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drawings/drawing10.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10.xml" ContentType="application/vnd.openxmlformats-officedocument.spreadsheetml.table+xml"/>
  <Override PartName="/xl/comments8.xml" ContentType="application/vnd.openxmlformats-officedocument.spreadsheetml.comments+xml"/>
  <Override PartName="/xl/tables/table11.xml" ContentType="application/vnd.openxmlformats-officedocument.spreadsheetml.table+xml"/>
  <Override PartName="/xl/drawings/drawing11.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drawings/drawing12.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3.xml" ContentType="application/vnd.openxmlformats-officedocument.spreadsheetml.table+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Scripts.xml" ContentType="application/vnd.ms-excel.pythonscript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3"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Workbooks\"/>
    </mc:Choice>
  </mc:AlternateContent>
  <xr:revisionPtr revIDLastSave="0" documentId="13_ncr:1_{EFBF424A-AF3C-4FD8-8850-3F3826788EC9}" xr6:coauthVersionLast="47" xr6:coauthVersionMax="47" xr10:uidLastSave="{00000000-0000-0000-0000-000000000000}"/>
  <bookViews>
    <workbookView xWindow="16284" yWindow="-108" windowWidth="19416" windowHeight="10560" firstSheet="1" activeTab="3" xr2:uid="{00000000-000D-0000-FFFF-FFFF00000000}"/>
  </bookViews>
  <sheets>
    <sheet name="EstimativaDeAta" sheetId="28" state="hidden" r:id="rId1"/>
    <sheet name="Itens" sheetId="19" r:id="rId2"/>
    <sheet name="DataFrame" sheetId="36" state="hidden" r:id="rId3"/>
    <sheet name="DashBoard" sheetId="39" r:id="rId4"/>
    <sheet name="RC_AF" sheetId="5" r:id="rId5"/>
    <sheet name="ConferirCompra" sheetId="34" state="hidden" r:id="rId6"/>
    <sheet name="Filtros" sheetId="16" r:id="rId7"/>
    <sheet name="Consumo" sheetId="3" r:id="rId8"/>
    <sheet name="Excluir_do_Estoque" sheetId="4" r:id="rId9"/>
    <sheet name="Parâmetros" sheetId="23" r:id="rId10"/>
    <sheet name="Assinaturas" sheetId="31" r:id="rId11"/>
    <sheet name="RCsGeradas" sheetId="29" state="hidden" r:id="rId12"/>
    <sheet name="VerificarAFs" sheetId="30" state="hidden" r:id="rId13"/>
    <sheet name="VerificarRCsAFs" sheetId="32" state="hidden" r:id="rId14"/>
  </sheets>
  <functionGroups builtInGroupCount="19"/>
  <definedNames>
    <definedName name="_xlnm._FilterDatabase" localSheetId="10" hidden="1">Assinaturas!$B$10:$Z$11</definedName>
    <definedName name="_xlnm._FilterDatabase" localSheetId="7" hidden="1">Consumo!$A$2:$AD$2</definedName>
    <definedName name="_xlnm._FilterDatabase" localSheetId="0" hidden="1">EstimativaDeAta!$B$8:$Y$9</definedName>
    <definedName name="_xlnm._FilterDatabase" localSheetId="1" hidden="1">Itens!$D$1:$F$1</definedName>
    <definedName name="_xlnm._FilterDatabase" localSheetId="4" hidden="1">RC_AF!$A$2:$AK$956</definedName>
    <definedName name="_xleta.IMAGE" hidden="1" xlm="1">#NAME?</definedName>
    <definedName name="_xleta.PY" hidden="1" xlm="1">#NAME?</definedName>
    <definedName name="_xlnm.Print_Titles" localSheetId="10">Assinaturas!$1:$10</definedName>
    <definedName name="_xlnm.Print_Titles" localSheetId="5">ConferirCompra!$1:$5</definedName>
    <definedName name="_xlnm.Print_Titles" localSheetId="0">EstimativaDeAta!$1:$8</definedName>
    <definedName name="_xlnm.Print_Titles" localSheetId="8">Excluir_do_Estoque!$1:$3</definedName>
    <definedName name="_xlnm.Print_Titles" localSheetId="12">VerificarAFs!$1:$2</definedName>
    <definedName name="_xlnm.Print_Titles" localSheetId="13">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29" l="1"/>
  <c r="B3" i="29"/>
  <c r="D2" i="29"/>
  <c r="C2" i="29"/>
  <c r="R11" i="31"/>
  <c r="I11" i="31"/>
  <c r="AA862" i="3"/>
  <c r="AU852" i="19" s="1"/>
  <c r="Z862" i="3"/>
  <c r="AT852" i="19" s="1"/>
  <c r="X862" i="3"/>
  <c r="T862" i="3"/>
  <c r="S862" i="3"/>
  <c r="AA861" i="3"/>
  <c r="AU474" i="19" s="1"/>
  <c r="Z861" i="3"/>
  <c r="AT474" i="19" s="1"/>
  <c r="X861" i="3"/>
  <c r="T861" i="3"/>
  <c r="W861" i="3" s="1"/>
  <c r="AA860" i="3"/>
  <c r="AU331" i="19" s="1"/>
  <c r="Z860" i="3"/>
  <c r="X860" i="3"/>
  <c r="T860" i="3"/>
  <c r="AA859" i="3"/>
  <c r="AU330" i="19" s="1"/>
  <c r="Z859" i="3"/>
  <c r="X859" i="3"/>
  <c r="T859" i="3"/>
  <c r="AA858" i="3"/>
  <c r="AU329" i="19" s="1"/>
  <c r="Z858" i="3"/>
  <c r="X858" i="3"/>
  <c r="T858" i="3"/>
  <c r="AA857" i="3"/>
  <c r="Z857" i="3"/>
  <c r="X857" i="3"/>
  <c r="T857" i="3"/>
  <c r="U857" i="3" s="1"/>
  <c r="AA856" i="3"/>
  <c r="AU327" i="19" s="1"/>
  <c r="Z856" i="3"/>
  <c r="X856" i="3"/>
  <c r="T856" i="3"/>
  <c r="AA855" i="3"/>
  <c r="Z855" i="3"/>
  <c r="X855" i="3"/>
  <c r="T855" i="3"/>
  <c r="AA854" i="3"/>
  <c r="AU328" i="19" s="1"/>
  <c r="Z854" i="3"/>
  <c r="X854" i="3"/>
  <c r="T854" i="3"/>
  <c r="V854" i="3" s="1"/>
  <c r="AA853" i="3"/>
  <c r="Z853" i="3"/>
  <c r="X853" i="3"/>
  <c r="T853" i="3"/>
  <c r="W853" i="3" s="1"/>
  <c r="AA852" i="3"/>
  <c r="AU36" i="19" s="1"/>
  <c r="Z852" i="3"/>
  <c r="X852" i="3"/>
  <c r="V852" i="3"/>
  <c r="U852" i="3"/>
  <c r="T852" i="3"/>
  <c r="W852" i="3" s="1"/>
  <c r="AA851" i="3"/>
  <c r="Z851" i="3"/>
  <c r="AT547" i="19" s="1"/>
  <c r="X851" i="3"/>
  <c r="T851" i="3"/>
  <c r="AA850" i="3"/>
  <c r="Z850" i="3"/>
  <c r="AT873" i="19" s="1"/>
  <c r="BH873" i="19" s="1"/>
  <c r="X850" i="3"/>
  <c r="T850" i="3"/>
  <c r="AA849" i="3"/>
  <c r="AU742" i="19" s="1"/>
  <c r="Z849" i="3"/>
  <c r="X849" i="3"/>
  <c r="T849" i="3"/>
  <c r="U849" i="3" s="1"/>
  <c r="S849" i="3"/>
  <c r="AA848" i="3"/>
  <c r="Z848" i="3"/>
  <c r="X848" i="3"/>
  <c r="T848" i="3"/>
  <c r="U848" i="3" s="1"/>
  <c r="S848" i="3"/>
  <c r="AA847" i="3"/>
  <c r="Z847" i="3"/>
  <c r="X847" i="3"/>
  <c r="W847" i="3"/>
  <c r="V847" i="3"/>
  <c r="T847" i="3"/>
  <c r="U847" i="3" s="1"/>
  <c r="S847" i="3"/>
  <c r="AA846" i="3"/>
  <c r="Z846" i="3"/>
  <c r="X846" i="3"/>
  <c r="T846" i="3"/>
  <c r="S846" i="3"/>
  <c r="AA845" i="3"/>
  <c r="AU237" i="19" s="1"/>
  <c r="Z845" i="3"/>
  <c r="X845" i="3"/>
  <c r="T845" i="3"/>
  <c r="U845" i="3" s="1"/>
  <c r="S845" i="3"/>
  <c r="AA844" i="3"/>
  <c r="AU479" i="19" s="1"/>
  <c r="Z844" i="3"/>
  <c r="X844" i="3"/>
  <c r="T844" i="3"/>
  <c r="U844" i="3" s="1"/>
  <c r="AA843" i="3"/>
  <c r="Z843" i="3"/>
  <c r="X843" i="3"/>
  <c r="T843" i="3"/>
  <c r="AA842" i="3"/>
  <c r="Z842" i="3"/>
  <c r="X842" i="3"/>
  <c r="T842" i="3"/>
  <c r="U842" i="3" s="1"/>
  <c r="AA841" i="3"/>
  <c r="Z841" i="3"/>
  <c r="X841" i="3"/>
  <c r="T841" i="3"/>
  <c r="U841" i="3" s="1"/>
  <c r="AA840" i="3"/>
  <c r="Z840" i="3"/>
  <c r="AT319" i="19" s="1"/>
  <c r="X840" i="3"/>
  <c r="T840" i="3"/>
  <c r="S840" i="3"/>
  <c r="AA839" i="3"/>
  <c r="Z839" i="3"/>
  <c r="AT81" i="19" s="1"/>
  <c r="X839" i="3"/>
  <c r="T839" i="3"/>
  <c r="U839" i="3" s="1"/>
  <c r="S839" i="3"/>
  <c r="AA838" i="3"/>
  <c r="Z838" i="3"/>
  <c r="X838" i="3"/>
  <c r="T838" i="3"/>
  <c r="S838" i="3"/>
  <c r="AA837" i="3"/>
  <c r="Z837" i="3"/>
  <c r="X837" i="3"/>
  <c r="T837" i="3"/>
  <c r="U837" i="3" s="1"/>
  <c r="S837" i="3"/>
  <c r="AA836" i="3"/>
  <c r="Z836" i="3"/>
  <c r="X836" i="3"/>
  <c r="T836" i="3"/>
  <c r="S836" i="3"/>
  <c r="AA835" i="3"/>
  <c r="Z835" i="3"/>
  <c r="X835" i="3"/>
  <c r="T835" i="3"/>
  <c r="U835" i="3" s="1"/>
  <c r="AA834" i="3"/>
  <c r="Z834" i="3"/>
  <c r="AT233" i="19" s="1"/>
  <c r="X834" i="3"/>
  <c r="T834" i="3"/>
  <c r="S834" i="3"/>
  <c r="AA833" i="3"/>
  <c r="AU556" i="19" s="1"/>
  <c r="Z833" i="3"/>
  <c r="AT556" i="19" s="1"/>
  <c r="X833" i="3"/>
  <c r="T833" i="3"/>
  <c r="W833" i="3" s="1"/>
  <c r="S833" i="3"/>
  <c r="AA832" i="3"/>
  <c r="Z832" i="3"/>
  <c r="X832" i="3"/>
  <c r="V832" i="3"/>
  <c r="T832" i="3"/>
  <c r="W832" i="3" s="1"/>
  <c r="AA831" i="3"/>
  <c r="Z831" i="3"/>
  <c r="AT460" i="19" s="1"/>
  <c r="X831" i="3"/>
  <c r="T831" i="3"/>
  <c r="S831" i="3"/>
  <c r="AA830" i="3"/>
  <c r="Z830" i="3"/>
  <c r="AT346" i="19" s="1"/>
  <c r="X830" i="3"/>
  <c r="T830" i="3"/>
  <c r="S830" i="3"/>
  <c r="AA829" i="3"/>
  <c r="AU462" i="19" s="1"/>
  <c r="Z829" i="3"/>
  <c r="AT462" i="19" s="1"/>
  <c r="X829" i="3"/>
  <c r="T829" i="3"/>
  <c r="S829" i="3"/>
  <c r="AA828" i="3"/>
  <c r="Z828" i="3"/>
  <c r="X828" i="3"/>
  <c r="T828" i="3"/>
  <c r="U828" i="3" s="1"/>
  <c r="S828" i="3"/>
  <c r="AA827" i="3"/>
  <c r="Z827" i="3"/>
  <c r="X827" i="3"/>
  <c r="T827" i="3"/>
  <c r="S827" i="3"/>
  <c r="AA826" i="3"/>
  <c r="AU771" i="19" s="1"/>
  <c r="Z826" i="3"/>
  <c r="X826" i="3"/>
  <c r="T826" i="3"/>
  <c r="S826" i="3"/>
  <c r="AA825" i="3"/>
  <c r="AU565" i="19" s="1"/>
  <c r="Z825" i="3"/>
  <c r="X825" i="3"/>
  <c r="T825" i="3"/>
  <c r="S825" i="3"/>
  <c r="AA824" i="3"/>
  <c r="Z824" i="3"/>
  <c r="AT100" i="19" s="1"/>
  <c r="X824" i="3"/>
  <c r="T824" i="3"/>
  <c r="U824" i="3" s="1"/>
  <c r="S824" i="3"/>
  <c r="AA823" i="3"/>
  <c r="AU101" i="19" s="1"/>
  <c r="Z823" i="3"/>
  <c r="X823" i="3"/>
  <c r="T823" i="3"/>
  <c r="S823" i="3"/>
  <c r="AA822" i="3"/>
  <c r="AU384" i="19" s="1"/>
  <c r="Z822" i="3"/>
  <c r="AT384" i="19" s="1"/>
  <c r="BH384" i="19" s="1"/>
  <c r="X822" i="3"/>
  <c r="T822" i="3"/>
  <c r="S822" i="3"/>
  <c r="AA821" i="3"/>
  <c r="AU103" i="19" s="1"/>
  <c r="Z821" i="3"/>
  <c r="X821" i="3"/>
  <c r="T821" i="3"/>
  <c r="V821" i="3" s="1"/>
  <c r="AA820" i="3"/>
  <c r="Z820" i="3"/>
  <c r="X820" i="3"/>
  <c r="T820" i="3"/>
  <c r="AA819" i="3"/>
  <c r="AU102" i="19" s="1"/>
  <c r="Z819" i="3"/>
  <c r="X819" i="3"/>
  <c r="T819" i="3"/>
  <c r="AA818" i="3"/>
  <c r="AU105" i="19" s="1"/>
  <c r="Z818" i="3"/>
  <c r="X818" i="3"/>
  <c r="T818" i="3"/>
  <c r="AA817" i="3"/>
  <c r="Z817" i="3"/>
  <c r="X817" i="3"/>
  <c r="T817" i="3"/>
  <c r="V817" i="3" s="1"/>
  <c r="AA816" i="3"/>
  <c r="AU587" i="19" s="1"/>
  <c r="Z816" i="3"/>
  <c r="X816" i="3"/>
  <c r="T816" i="3"/>
  <c r="V816" i="3" s="1"/>
  <c r="S816" i="3"/>
  <c r="AA815" i="3"/>
  <c r="AU728" i="19" s="1"/>
  <c r="Z815" i="3"/>
  <c r="X815" i="3"/>
  <c r="T815" i="3"/>
  <c r="AA814" i="3"/>
  <c r="Z814" i="3"/>
  <c r="X814" i="3"/>
  <c r="T814" i="3"/>
  <c r="W814" i="3" s="1"/>
  <c r="S814" i="3"/>
  <c r="AA813" i="3"/>
  <c r="AU659" i="19" s="1"/>
  <c r="Z813" i="3"/>
  <c r="X813" i="3"/>
  <c r="T813" i="3"/>
  <c r="AA812" i="3"/>
  <c r="Z812" i="3"/>
  <c r="X812" i="3"/>
  <c r="T812" i="3"/>
  <c r="S812" i="3"/>
  <c r="AA811" i="3"/>
  <c r="Z811" i="3"/>
  <c r="AT242" i="19" s="1"/>
  <c r="X811" i="3"/>
  <c r="T811" i="3"/>
  <c r="AA810" i="3"/>
  <c r="Z810" i="3"/>
  <c r="AT783" i="19" s="1"/>
  <c r="X810" i="3"/>
  <c r="T810" i="3"/>
  <c r="V810" i="3" s="1"/>
  <c r="AA809" i="3"/>
  <c r="Z809" i="3"/>
  <c r="X809" i="3"/>
  <c r="T809" i="3"/>
  <c r="V809" i="3" s="1"/>
  <c r="S809" i="3"/>
  <c r="AA808" i="3"/>
  <c r="Z808" i="3"/>
  <c r="X808" i="3"/>
  <c r="T808" i="3"/>
  <c r="S808" i="3"/>
  <c r="AA807" i="3"/>
  <c r="Z807" i="3"/>
  <c r="X807" i="3"/>
  <c r="T807" i="3"/>
  <c r="AA806" i="3"/>
  <c r="Z806" i="3"/>
  <c r="X806" i="3"/>
  <c r="T806" i="3"/>
  <c r="U806" i="3" s="1"/>
  <c r="AA805" i="3"/>
  <c r="Z805" i="3"/>
  <c r="X805" i="3"/>
  <c r="T805" i="3"/>
  <c r="AA804" i="3"/>
  <c r="Z804" i="3"/>
  <c r="AT394" i="19" s="1"/>
  <c r="X804" i="3"/>
  <c r="T804" i="3"/>
  <c r="AA803" i="3"/>
  <c r="Z803" i="3"/>
  <c r="X803" i="3"/>
  <c r="T803" i="3"/>
  <c r="W803" i="3" s="1"/>
  <c r="AA802" i="3"/>
  <c r="Z802" i="3"/>
  <c r="X802" i="3"/>
  <c r="T802" i="3"/>
  <c r="U802" i="3" s="1"/>
  <c r="AA801" i="3"/>
  <c r="AU938" i="19" s="1"/>
  <c r="Z801" i="3"/>
  <c r="X801" i="3"/>
  <c r="T801" i="3"/>
  <c r="U801" i="3" s="1"/>
  <c r="AA800" i="3"/>
  <c r="Z800" i="3"/>
  <c r="X800" i="3"/>
  <c r="T800" i="3"/>
  <c r="AA799" i="3"/>
  <c r="Z799" i="3"/>
  <c r="X799" i="3"/>
  <c r="T799" i="3"/>
  <c r="AA798" i="3"/>
  <c r="Z798" i="3"/>
  <c r="X798" i="3"/>
  <c r="T798" i="3"/>
  <c r="AA797" i="3"/>
  <c r="Z797" i="3"/>
  <c r="X797" i="3"/>
  <c r="T797" i="3"/>
  <c r="W797" i="3" s="1"/>
  <c r="AA796" i="3"/>
  <c r="Z796" i="3"/>
  <c r="X796" i="3"/>
  <c r="T796" i="3"/>
  <c r="AA795" i="3"/>
  <c r="Z795" i="3"/>
  <c r="X795" i="3"/>
  <c r="T795" i="3"/>
  <c r="AA794" i="3"/>
  <c r="AU910" i="19" s="1"/>
  <c r="Z794" i="3"/>
  <c r="X794" i="3"/>
  <c r="T794" i="3"/>
  <c r="U794" i="3" s="1"/>
  <c r="S794" i="3"/>
  <c r="AA793" i="3"/>
  <c r="Z793" i="3"/>
  <c r="X793" i="3"/>
  <c r="T793" i="3"/>
  <c r="U793" i="3" s="1"/>
  <c r="S793" i="3"/>
  <c r="AA792" i="3"/>
  <c r="Z792" i="3"/>
  <c r="X792" i="3"/>
  <c r="T792" i="3"/>
  <c r="AA791" i="3"/>
  <c r="Z791" i="3"/>
  <c r="X791" i="3"/>
  <c r="T791" i="3"/>
  <c r="AA790" i="3"/>
  <c r="Z790" i="3"/>
  <c r="X790" i="3"/>
  <c r="T790" i="3"/>
  <c r="AA789" i="3"/>
  <c r="AU669" i="19" s="1"/>
  <c r="Z789" i="3"/>
  <c r="X789" i="3"/>
  <c r="T789" i="3"/>
  <c r="AA788" i="3"/>
  <c r="Z788" i="3"/>
  <c r="X788" i="3"/>
  <c r="T788" i="3"/>
  <c r="U788" i="3" s="1"/>
  <c r="AA787" i="3"/>
  <c r="Z787" i="3"/>
  <c r="X787" i="3"/>
  <c r="T787" i="3"/>
  <c r="V787" i="3" s="1"/>
  <c r="AA786" i="3"/>
  <c r="Z786" i="3"/>
  <c r="X786" i="3"/>
  <c r="T786" i="3"/>
  <c r="V786" i="3" s="1"/>
  <c r="AA785" i="3"/>
  <c r="Z785" i="3"/>
  <c r="X785" i="3"/>
  <c r="T785" i="3"/>
  <c r="AA784" i="3"/>
  <c r="Z784" i="3"/>
  <c r="X784" i="3"/>
  <c r="T784" i="3"/>
  <c r="V784" i="3" s="1"/>
  <c r="AA783" i="3"/>
  <c r="Z783" i="3"/>
  <c r="X783" i="3"/>
  <c r="T783" i="3"/>
  <c r="AA782" i="3"/>
  <c r="Z782" i="3"/>
  <c r="X782" i="3"/>
  <c r="T782" i="3"/>
  <c r="AA781" i="3"/>
  <c r="Z781" i="3"/>
  <c r="X781" i="3"/>
  <c r="T781" i="3"/>
  <c r="AA780" i="3"/>
  <c r="Z780" i="3"/>
  <c r="X780" i="3"/>
  <c r="T780" i="3"/>
  <c r="U780" i="3" s="1"/>
  <c r="AA779" i="3"/>
  <c r="Z779" i="3"/>
  <c r="X779" i="3"/>
  <c r="T779" i="3"/>
  <c r="AA778" i="3"/>
  <c r="Z778" i="3"/>
  <c r="X778" i="3"/>
  <c r="T778" i="3"/>
  <c r="W778" i="3" s="1"/>
  <c r="AA777" i="3"/>
  <c r="Z777" i="3"/>
  <c r="X777" i="3"/>
  <c r="T777" i="3"/>
  <c r="U777" i="3" s="1"/>
  <c r="AA776" i="3"/>
  <c r="Z776" i="3"/>
  <c r="X776" i="3"/>
  <c r="T776" i="3"/>
  <c r="W776" i="3" s="1"/>
  <c r="S776" i="3"/>
  <c r="AA775" i="3"/>
  <c r="Z775" i="3"/>
  <c r="X775" i="3"/>
  <c r="T775" i="3"/>
  <c r="W775" i="3" s="1"/>
  <c r="AA774" i="3"/>
  <c r="Z774" i="3"/>
  <c r="X774" i="3"/>
  <c r="T774" i="3"/>
  <c r="S774" i="3"/>
  <c r="AA773" i="3"/>
  <c r="Z773" i="3"/>
  <c r="X773" i="3"/>
  <c r="T773" i="3"/>
  <c r="S773" i="3"/>
  <c r="AA772" i="3"/>
  <c r="Z772" i="3"/>
  <c r="AT225" i="19" s="1"/>
  <c r="X772" i="3"/>
  <c r="T772" i="3"/>
  <c r="U772" i="3" s="1"/>
  <c r="S772" i="3"/>
  <c r="AA771" i="3"/>
  <c r="AU228" i="19" s="1"/>
  <c r="Z771" i="3"/>
  <c r="X771" i="3"/>
  <c r="T771" i="3"/>
  <c r="AA770" i="3"/>
  <c r="AU224" i="19" s="1"/>
  <c r="Z770" i="3"/>
  <c r="X770" i="3"/>
  <c r="T770" i="3"/>
  <c r="U770" i="3" s="1"/>
  <c r="S770" i="3"/>
  <c r="AA769" i="3"/>
  <c r="Z769" i="3"/>
  <c r="X769" i="3"/>
  <c r="T769" i="3"/>
  <c r="AA768" i="3"/>
  <c r="Z768" i="3"/>
  <c r="X768" i="3"/>
  <c r="T768" i="3"/>
  <c r="U768" i="3" s="1"/>
  <c r="S768" i="3"/>
  <c r="AA767" i="3"/>
  <c r="AU422" i="19" s="1"/>
  <c r="Z767" i="3"/>
  <c r="X767" i="3"/>
  <c r="T767" i="3"/>
  <c r="AA766" i="3"/>
  <c r="Z766" i="3"/>
  <c r="AT459" i="19" s="1"/>
  <c r="BH459" i="19" s="1"/>
  <c r="X766" i="3"/>
  <c r="T766" i="3"/>
  <c r="AA765" i="3"/>
  <c r="AU648" i="19" s="1"/>
  <c r="Z765" i="3"/>
  <c r="X765" i="3"/>
  <c r="T765" i="3"/>
  <c r="W765" i="3" s="1"/>
  <c r="AA764" i="3"/>
  <c r="Z764" i="3"/>
  <c r="X764" i="3"/>
  <c r="T764" i="3"/>
  <c r="U764" i="3" s="1"/>
  <c r="S764" i="3"/>
  <c r="AA763" i="3"/>
  <c r="Z763" i="3"/>
  <c r="X763" i="3"/>
  <c r="T763" i="3"/>
  <c r="S763" i="3"/>
  <c r="AA762" i="3"/>
  <c r="Z762" i="3"/>
  <c r="X762" i="3"/>
  <c r="T762" i="3"/>
  <c r="V762" i="3" s="1"/>
  <c r="S762" i="3"/>
  <c r="AA761" i="3"/>
  <c r="Z761" i="3"/>
  <c r="AT491" i="19" s="1"/>
  <c r="X761" i="3"/>
  <c r="W761" i="3"/>
  <c r="T761" i="3"/>
  <c r="V761" i="3" s="1"/>
  <c r="S761" i="3"/>
  <c r="AA760" i="3"/>
  <c r="Z760" i="3"/>
  <c r="X760" i="3"/>
  <c r="T760" i="3"/>
  <c r="S760" i="3"/>
  <c r="AA759" i="3"/>
  <c r="Z759" i="3"/>
  <c r="X759" i="3"/>
  <c r="T759" i="3"/>
  <c r="W759" i="3" s="1"/>
  <c r="S759" i="3"/>
  <c r="AA758" i="3"/>
  <c r="Z758" i="3"/>
  <c r="AT592" i="19" s="1"/>
  <c r="X758" i="3"/>
  <c r="T758" i="3"/>
  <c r="W758" i="3" s="1"/>
  <c r="S758" i="3"/>
  <c r="AA757" i="3"/>
  <c r="AU749" i="19" s="1"/>
  <c r="Z757" i="3"/>
  <c r="AT749" i="19" s="1"/>
  <c r="X757" i="3"/>
  <c r="T757" i="3"/>
  <c r="S757" i="3"/>
  <c r="AA756" i="3"/>
  <c r="Z756" i="3"/>
  <c r="X756" i="3"/>
  <c r="T756" i="3"/>
  <c r="U756" i="3" s="1"/>
  <c r="AA755" i="3"/>
  <c r="AU751" i="19" s="1"/>
  <c r="Z755" i="3"/>
  <c r="AT751" i="19" s="1"/>
  <c r="X755" i="3"/>
  <c r="T755" i="3"/>
  <c r="V755" i="3" s="1"/>
  <c r="AA754" i="3"/>
  <c r="AU750" i="19" s="1"/>
  <c r="Z754" i="3"/>
  <c r="X754" i="3"/>
  <c r="T754" i="3"/>
  <c r="AA753" i="3"/>
  <c r="AU753" i="19" s="1"/>
  <c r="Z753" i="3"/>
  <c r="X753" i="3"/>
  <c r="T753" i="3"/>
  <c r="AA752" i="3"/>
  <c r="AU752" i="19" s="1"/>
  <c r="Z752" i="3"/>
  <c r="X752" i="3"/>
  <c r="T752" i="3"/>
  <c r="AA751" i="3"/>
  <c r="Z751" i="3"/>
  <c r="X751" i="3"/>
  <c r="T751" i="3"/>
  <c r="W751" i="3" s="1"/>
  <c r="AA750" i="3"/>
  <c r="Z750" i="3"/>
  <c r="X750" i="3"/>
  <c r="T750" i="3"/>
  <c r="AA749" i="3"/>
  <c r="AU476" i="19" s="1"/>
  <c r="Z749" i="3"/>
  <c r="X749" i="3"/>
  <c r="T749" i="3"/>
  <c r="U749" i="3" s="1"/>
  <c r="AA748" i="3"/>
  <c r="AU445" i="19" s="1"/>
  <c r="Z748" i="3"/>
  <c r="X748" i="3"/>
  <c r="T748" i="3"/>
  <c r="AA747" i="3"/>
  <c r="Z747" i="3"/>
  <c r="X747" i="3"/>
  <c r="T747" i="3"/>
  <c r="V747" i="3" s="1"/>
  <c r="S747" i="3"/>
  <c r="AA746" i="3"/>
  <c r="Z746" i="3"/>
  <c r="X746" i="3"/>
  <c r="T746" i="3"/>
  <c r="S746" i="3"/>
  <c r="AA745" i="3"/>
  <c r="Z745" i="3"/>
  <c r="X745" i="3"/>
  <c r="T745" i="3"/>
  <c r="V745" i="3" s="1"/>
  <c r="AA744" i="3"/>
  <c r="Z744" i="3"/>
  <c r="X744" i="3"/>
  <c r="T744" i="3"/>
  <c r="U744" i="3" s="1"/>
  <c r="AA743" i="3"/>
  <c r="Z743" i="3"/>
  <c r="X743" i="3"/>
  <c r="T743" i="3"/>
  <c r="U743" i="3" s="1"/>
  <c r="S743" i="3"/>
  <c r="AA742" i="3"/>
  <c r="Z742" i="3"/>
  <c r="X742" i="3"/>
  <c r="T742" i="3"/>
  <c r="W742" i="3" s="1"/>
  <c r="S742" i="3"/>
  <c r="AA741" i="3"/>
  <c r="Z741" i="3"/>
  <c r="X741" i="3"/>
  <c r="T741" i="3"/>
  <c r="S741" i="3"/>
  <c r="AA740" i="3"/>
  <c r="Z740" i="3"/>
  <c r="X740" i="3"/>
  <c r="T740" i="3"/>
  <c r="S740" i="3"/>
  <c r="AA739" i="3"/>
  <c r="Z739" i="3"/>
  <c r="X739" i="3"/>
  <c r="T739" i="3"/>
  <c r="U739" i="3" s="1"/>
  <c r="S739" i="3"/>
  <c r="AA738" i="3"/>
  <c r="AU775" i="19" s="1"/>
  <c r="Z738" i="3"/>
  <c r="X738" i="3"/>
  <c r="T738" i="3"/>
  <c r="W738" i="3" s="1"/>
  <c r="S738" i="3"/>
  <c r="AA737" i="3"/>
  <c r="AU584" i="19" s="1"/>
  <c r="Z737" i="3"/>
  <c r="X737" i="3"/>
  <c r="T737" i="3"/>
  <c r="U737" i="3" s="1"/>
  <c r="S737" i="3"/>
  <c r="AA736" i="3"/>
  <c r="AU776" i="19" s="1"/>
  <c r="Z736" i="3"/>
  <c r="X736" i="3"/>
  <c r="T736" i="3"/>
  <c r="S736" i="3"/>
  <c r="AA735" i="3"/>
  <c r="Z735" i="3"/>
  <c r="X735" i="3"/>
  <c r="T735" i="3"/>
  <c r="S735" i="3"/>
  <c r="AA734" i="3"/>
  <c r="Z734" i="3"/>
  <c r="X734" i="3"/>
  <c r="T734" i="3"/>
  <c r="U734" i="3" s="1"/>
  <c r="S734" i="3"/>
  <c r="AA733" i="3"/>
  <c r="Z733" i="3"/>
  <c r="X733" i="3"/>
  <c r="T733" i="3"/>
  <c r="S733" i="3"/>
  <c r="AA732" i="3"/>
  <c r="Z732" i="3"/>
  <c r="X732" i="3"/>
  <c r="T732" i="3"/>
  <c r="S732" i="3"/>
  <c r="AA731" i="3"/>
  <c r="AU681" i="19" s="1"/>
  <c r="Z731" i="3"/>
  <c r="AT681" i="19" s="1"/>
  <c r="X731" i="3"/>
  <c r="T731" i="3"/>
  <c r="S731" i="3"/>
  <c r="AA730" i="3"/>
  <c r="AU475" i="19" s="1"/>
  <c r="Z730" i="3"/>
  <c r="X730" i="3"/>
  <c r="T730" i="3"/>
  <c r="U730" i="3" s="1"/>
  <c r="AA729" i="3"/>
  <c r="AU944" i="19" s="1"/>
  <c r="Z729" i="3"/>
  <c r="X729" i="3"/>
  <c r="T729" i="3"/>
  <c r="AA728" i="3"/>
  <c r="Z728" i="3"/>
  <c r="X728" i="3"/>
  <c r="T728" i="3"/>
  <c r="W728" i="3" s="1"/>
  <c r="S728" i="3"/>
  <c r="AA727" i="3"/>
  <c r="Z727" i="3"/>
  <c r="X727" i="3"/>
  <c r="T727" i="3"/>
  <c r="AA726" i="3"/>
  <c r="Z726" i="3"/>
  <c r="X726" i="3"/>
  <c r="T726" i="3"/>
  <c r="U726" i="3" s="1"/>
  <c r="AA725" i="3"/>
  <c r="Z725" i="3"/>
  <c r="X725" i="3"/>
  <c r="T725" i="3"/>
  <c r="V725" i="3" s="1"/>
  <c r="AA724" i="3"/>
  <c r="Z724" i="3"/>
  <c r="X724" i="3"/>
  <c r="T724" i="3"/>
  <c r="AA723" i="3"/>
  <c r="AU883" i="19" s="1"/>
  <c r="Z723" i="3"/>
  <c r="AT883" i="19" s="1"/>
  <c r="X723" i="3"/>
  <c r="T723" i="3"/>
  <c r="AA722" i="3"/>
  <c r="AU485" i="19" s="1"/>
  <c r="Z722" i="3"/>
  <c r="X722" i="3"/>
  <c r="T722" i="3"/>
  <c r="AA721" i="3"/>
  <c r="AU390" i="19" s="1"/>
  <c r="Z721" i="3"/>
  <c r="X721" i="3"/>
  <c r="T721" i="3"/>
  <c r="S721" i="3"/>
  <c r="AA720" i="3"/>
  <c r="Z720" i="3"/>
  <c r="X720" i="3"/>
  <c r="T720" i="3"/>
  <c r="V720" i="3" s="1"/>
  <c r="S720" i="3"/>
  <c r="AA719" i="3"/>
  <c r="Z719" i="3"/>
  <c r="AT480" i="19" s="1"/>
  <c r="X719" i="3"/>
  <c r="T719" i="3"/>
  <c r="AA718" i="3"/>
  <c r="Z718" i="3"/>
  <c r="AT89" i="19" s="1"/>
  <c r="X718" i="3"/>
  <c r="T718" i="3"/>
  <c r="S718" i="3"/>
  <c r="AA717" i="3"/>
  <c r="Z717" i="3"/>
  <c r="X717" i="3"/>
  <c r="T717" i="3"/>
  <c r="AA716" i="3"/>
  <c r="Z716" i="3"/>
  <c r="X716" i="3"/>
  <c r="T716" i="3"/>
  <c r="U716" i="3" s="1"/>
  <c r="AA715" i="3"/>
  <c r="Z715" i="3"/>
  <c r="X715" i="3"/>
  <c r="T715" i="3"/>
  <c r="AA714" i="3"/>
  <c r="Z714" i="3"/>
  <c r="X714" i="3"/>
  <c r="T714" i="3"/>
  <c r="AA713" i="3"/>
  <c r="AU881" i="19" s="1"/>
  <c r="Z713" i="3"/>
  <c r="AT881" i="19" s="1"/>
  <c r="X713" i="3"/>
  <c r="T713" i="3"/>
  <c r="S713" i="3"/>
  <c r="AA712" i="3"/>
  <c r="AU884" i="19" s="1"/>
  <c r="Z712" i="3"/>
  <c r="X712" i="3"/>
  <c r="T712" i="3"/>
  <c r="V712" i="3" s="1"/>
  <c r="AA711" i="3"/>
  <c r="AU593" i="19" s="1"/>
  <c r="Z711" i="3"/>
  <c r="X711" i="3"/>
  <c r="T711" i="3"/>
  <c r="S711" i="3"/>
  <c r="AA710" i="3"/>
  <c r="Z710" i="3"/>
  <c r="X710" i="3"/>
  <c r="T710" i="3"/>
  <c r="AA709" i="3"/>
  <c r="AU863" i="19" s="1"/>
  <c r="Z709" i="3"/>
  <c r="X709" i="3"/>
  <c r="T709" i="3"/>
  <c r="AA708" i="3"/>
  <c r="AU903" i="19" s="1"/>
  <c r="Z708" i="3"/>
  <c r="X708" i="3"/>
  <c r="T708" i="3"/>
  <c r="V708" i="3" s="1"/>
  <c r="AA707" i="3"/>
  <c r="Z707" i="3"/>
  <c r="X707" i="3"/>
  <c r="T707" i="3"/>
  <c r="S707" i="3"/>
  <c r="AA706" i="3"/>
  <c r="AU860" i="19" s="1"/>
  <c r="Z706" i="3"/>
  <c r="AT860" i="19" s="1"/>
  <c r="X706" i="3"/>
  <c r="T706" i="3"/>
  <c r="AA705" i="3"/>
  <c r="Z705" i="3"/>
  <c r="X705" i="3"/>
  <c r="T705" i="3"/>
  <c r="S705" i="3"/>
  <c r="AA704" i="3"/>
  <c r="AU636" i="19" s="1"/>
  <c r="Z704" i="3"/>
  <c r="X704" i="3"/>
  <c r="T704" i="3"/>
  <c r="AA703" i="3"/>
  <c r="Z703" i="3"/>
  <c r="X703" i="3"/>
  <c r="T703" i="3"/>
  <c r="AA702" i="3"/>
  <c r="Z702" i="3"/>
  <c r="X702" i="3"/>
  <c r="T702" i="3"/>
  <c r="AA701" i="3"/>
  <c r="Z701" i="3"/>
  <c r="X701" i="3"/>
  <c r="T701" i="3"/>
  <c r="AA700" i="3"/>
  <c r="Z700" i="3"/>
  <c r="X700" i="3"/>
  <c r="T700" i="3"/>
  <c r="AA699" i="3"/>
  <c r="Z699" i="3"/>
  <c r="AT420" i="19" s="1"/>
  <c r="X699" i="3"/>
  <c r="T699" i="3"/>
  <c r="U699" i="3" s="1"/>
  <c r="S699" i="3"/>
  <c r="AA698" i="3"/>
  <c r="AU419" i="19" s="1"/>
  <c r="Z698" i="3"/>
  <c r="X698" i="3"/>
  <c r="T698" i="3"/>
  <c r="S698" i="3"/>
  <c r="AA697" i="3"/>
  <c r="AU56" i="19" s="1"/>
  <c r="Z697" i="3"/>
  <c r="X697" i="3"/>
  <c r="T697" i="3"/>
  <c r="S697" i="3"/>
  <c r="AA696" i="3"/>
  <c r="Z696" i="3"/>
  <c r="X696" i="3"/>
  <c r="T696" i="3"/>
  <c r="AA695" i="3"/>
  <c r="Z695" i="3"/>
  <c r="X695" i="3"/>
  <c r="T695" i="3"/>
  <c r="AA694" i="3"/>
  <c r="Z694" i="3"/>
  <c r="AT902" i="19" s="1"/>
  <c r="X694" i="3"/>
  <c r="W694" i="3"/>
  <c r="T694" i="3"/>
  <c r="U694" i="3" s="1"/>
  <c r="AA693" i="3"/>
  <c r="AU898" i="19" s="1"/>
  <c r="Z693" i="3"/>
  <c r="AT898" i="19" s="1"/>
  <c r="X693" i="3"/>
  <c r="T693" i="3"/>
  <c r="S693" i="3"/>
  <c r="AA692" i="3"/>
  <c r="AU899" i="19" s="1"/>
  <c r="Z692" i="3"/>
  <c r="X692" i="3"/>
  <c r="T692" i="3"/>
  <c r="U692" i="3" s="1"/>
  <c r="S692" i="3"/>
  <c r="AA691" i="3"/>
  <c r="Z691" i="3"/>
  <c r="X691" i="3"/>
  <c r="T691" i="3"/>
  <c r="AA690" i="3"/>
  <c r="AU834" i="19" s="1"/>
  <c r="Z690" i="3"/>
  <c r="X690" i="3"/>
  <c r="T690" i="3"/>
  <c r="V690" i="3" s="1"/>
  <c r="AA689" i="3"/>
  <c r="Z689" i="3"/>
  <c r="X689" i="3"/>
  <c r="T689" i="3"/>
  <c r="AA688" i="3"/>
  <c r="Z688" i="3"/>
  <c r="X688" i="3"/>
  <c r="T688" i="3"/>
  <c r="AA687" i="3"/>
  <c r="Z687" i="3"/>
  <c r="X687" i="3"/>
  <c r="T687" i="3"/>
  <c r="AA686" i="3"/>
  <c r="Z686" i="3"/>
  <c r="X686" i="3"/>
  <c r="T686" i="3"/>
  <c r="AA685" i="3"/>
  <c r="Z685" i="3"/>
  <c r="X685" i="3"/>
  <c r="T685" i="3"/>
  <c r="S685" i="3"/>
  <c r="AA684" i="3"/>
  <c r="Z684" i="3"/>
  <c r="AT577" i="19" s="1"/>
  <c r="X684" i="3"/>
  <c r="T684" i="3"/>
  <c r="U684" i="3" s="1"/>
  <c r="S684" i="3"/>
  <c r="AA683" i="3"/>
  <c r="Z683" i="3"/>
  <c r="X683" i="3"/>
  <c r="T683" i="3"/>
  <c r="S683" i="3"/>
  <c r="AA682" i="3"/>
  <c r="AU675" i="19" s="1"/>
  <c r="Z682" i="3"/>
  <c r="X682" i="3"/>
  <c r="T682" i="3"/>
  <c r="AA681" i="3"/>
  <c r="AU674" i="19" s="1"/>
  <c r="Z681" i="3"/>
  <c r="X681" i="3"/>
  <c r="T681" i="3"/>
  <c r="AA680" i="3"/>
  <c r="AU676" i="19" s="1"/>
  <c r="Z680" i="3"/>
  <c r="AT676" i="19" s="1"/>
  <c r="X680" i="3"/>
  <c r="T680" i="3"/>
  <c r="W680" i="3" s="1"/>
  <c r="AA679" i="3"/>
  <c r="AU388" i="19" s="1"/>
  <c r="Z679" i="3"/>
  <c r="X679" i="3"/>
  <c r="T679" i="3"/>
  <c r="AA678" i="3"/>
  <c r="Z678" i="3"/>
  <c r="X678" i="3"/>
  <c r="T678" i="3"/>
  <c r="S678" i="3"/>
  <c r="AA677" i="3"/>
  <c r="Z677" i="3"/>
  <c r="X677" i="3"/>
  <c r="T677" i="3"/>
  <c r="S677" i="3"/>
  <c r="AA676" i="3"/>
  <c r="Z676" i="3"/>
  <c r="X676" i="3"/>
  <c r="T676" i="3"/>
  <c r="AA675" i="3"/>
  <c r="Z675" i="3"/>
  <c r="X675" i="3"/>
  <c r="T675" i="3"/>
  <c r="AA674" i="3"/>
  <c r="Z674" i="3"/>
  <c r="X674" i="3"/>
  <c r="T674" i="3"/>
  <c r="U674" i="3" s="1"/>
  <c r="AA673" i="3"/>
  <c r="Z673" i="3"/>
  <c r="AT320" i="19" s="1"/>
  <c r="X673" i="3"/>
  <c r="T673" i="3"/>
  <c r="U673" i="3" s="1"/>
  <c r="S673" i="3"/>
  <c r="AA672" i="3"/>
  <c r="AU576" i="19" s="1"/>
  <c r="Z672" i="3"/>
  <c r="AT576" i="19" s="1"/>
  <c r="X672" i="3"/>
  <c r="T672" i="3"/>
  <c r="S672" i="3"/>
  <c r="AA671" i="3"/>
  <c r="Z671" i="3"/>
  <c r="X671" i="3"/>
  <c r="T671" i="3"/>
  <c r="S671" i="3"/>
  <c r="AA670" i="3"/>
  <c r="Z670" i="3"/>
  <c r="X670" i="3"/>
  <c r="T670" i="3"/>
  <c r="S670" i="3"/>
  <c r="AA669" i="3"/>
  <c r="Z669" i="3"/>
  <c r="AT245" i="19" s="1"/>
  <c r="X669" i="3"/>
  <c r="T669" i="3"/>
  <c r="S669" i="3"/>
  <c r="AA668" i="3"/>
  <c r="AU316" i="19" s="1"/>
  <c r="Z668" i="3"/>
  <c r="X668" i="3"/>
  <c r="T668" i="3"/>
  <c r="S668" i="3"/>
  <c r="AA667" i="3"/>
  <c r="Z667" i="3"/>
  <c r="X667" i="3"/>
  <c r="T667" i="3"/>
  <c r="V667" i="3" s="1"/>
  <c r="S667" i="3"/>
  <c r="AA666" i="3"/>
  <c r="Z666" i="3"/>
  <c r="X666" i="3"/>
  <c r="T666" i="3"/>
  <c r="W666" i="3" s="1"/>
  <c r="AA665" i="3"/>
  <c r="Z665" i="3"/>
  <c r="X665" i="3"/>
  <c r="T665" i="3"/>
  <c r="AA664" i="3"/>
  <c r="AU830" i="19" s="1"/>
  <c r="Z664" i="3"/>
  <c r="AT830" i="19" s="1"/>
  <c r="X664" i="3"/>
  <c r="T664" i="3"/>
  <c r="V664" i="3" s="1"/>
  <c r="S664" i="3"/>
  <c r="AA663" i="3"/>
  <c r="Z663" i="3"/>
  <c r="AT829" i="19" s="1"/>
  <c r="X663" i="3"/>
  <c r="V663" i="3"/>
  <c r="T663" i="3"/>
  <c r="S663" i="3"/>
  <c r="AA662" i="3"/>
  <c r="Z662" i="3"/>
  <c r="AT828" i="19" s="1"/>
  <c r="X662" i="3"/>
  <c r="T662" i="3"/>
  <c r="S662" i="3"/>
  <c r="AA661" i="3"/>
  <c r="Z661" i="3"/>
  <c r="AT827" i="19" s="1"/>
  <c r="X661" i="3"/>
  <c r="V661" i="3"/>
  <c r="T661" i="3"/>
  <c r="S661" i="3"/>
  <c r="AA660" i="3"/>
  <c r="AU826" i="19" s="1"/>
  <c r="Z660" i="3"/>
  <c r="AT826" i="19" s="1"/>
  <c r="BH826" i="19" s="1"/>
  <c r="X660" i="3"/>
  <c r="T660" i="3"/>
  <c r="S660" i="3"/>
  <c r="AA659" i="3"/>
  <c r="Z659" i="3"/>
  <c r="X659" i="3"/>
  <c r="T659" i="3"/>
  <c r="S659" i="3"/>
  <c r="AA658" i="3"/>
  <c r="Z658" i="3"/>
  <c r="X658" i="3"/>
  <c r="T658" i="3"/>
  <c r="S658" i="3"/>
  <c r="AA657" i="3"/>
  <c r="Z657" i="3"/>
  <c r="X657" i="3"/>
  <c r="T657" i="3"/>
  <c r="AA656" i="3"/>
  <c r="Z656" i="3"/>
  <c r="X656" i="3"/>
  <c r="U656" i="3"/>
  <c r="T656" i="3"/>
  <c r="W656" i="3" s="1"/>
  <c r="AA655" i="3"/>
  <c r="Z655" i="3"/>
  <c r="AT733" i="19" s="1"/>
  <c r="X655" i="3"/>
  <c r="T655" i="3"/>
  <c r="AA654" i="3"/>
  <c r="Z654" i="3"/>
  <c r="X654" i="3"/>
  <c r="T654" i="3"/>
  <c r="AA653" i="3"/>
  <c r="Z653" i="3"/>
  <c r="AT352" i="19" s="1"/>
  <c r="X653" i="3"/>
  <c r="T653" i="3"/>
  <c r="AA652" i="3"/>
  <c r="Z652" i="3"/>
  <c r="AT230" i="19" s="1"/>
  <c r="X652" i="3"/>
  <c r="T652" i="3"/>
  <c r="AA651" i="3"/>
  <c r="Z651" i="3"/>
  <c r="X651" i="3"/>
  <c r="T651" i="3"/>
  <c r="U651" i="3" s="1"/>
  <c r="S651" i="3"/>
  <c r="AA650" i="3"/>
  <c r="AU709" i="19" s="1"/>
  <c r="Z650" i="3"/>
  <c r="X650" i="3"/>
  <c r="T650" i="3"/>
  <c r="AA649" i="3"/>
  <c r="AU710" i="19" s="1"/>
  <c r="Z649" i="3"/>
  <c r="AT710" i="19" s="1"/>
  <c r="X649" i="3"/>
  <c r="T649" i="3"/>
  <c r="AA648" i="3"/>
  <c r="AU543" i="19" s="1"/>
  <c r="Z648" i="3"/>
  <c r="X648" i="3"/>
  <c r="T648" i="3"/>
  <c r="AA647" i="3"/>
  <c r="AU824" i="19" s="1"/>
  <c r="Z647" i="3"/>
  <c r="AT824" i="19" s="1"/>
  <c r="X647" i="3"/>
  <c r="T647" i="3"/>
  <c r="S647" i="3"/>
  <c r="AA646" i="3"/>
  <c r="AU825" i="19" s="1"/>
  <c r="Z646" i="3"/>
  <c r="X646" i="3"/>
  <c r="U646" i="3"/>
  <c r="T646" i="3"/>
  <c r="W646" i="3" s="1"/>
  <c r="S646" i="3"/>
  <c r="AA645" i="3"/>
  <c r="Z645" i="3"/>
  <c r="X645" i="3"/>
  <c r="T645" i="3"/>
  <c r="W645" i="3" s="1"/>
  <c r="S645" i="3"/>
  <c r="AA644" i="3"/>
  <c r="AU816" i="19" s="1"/>
  <c r="Z644" i="3"/>
  <c r="AT816" i="19" s="1"/>
  <c r="X644" i="3"/>
  <c r="T644" i="3"/>
  <c r="U644" i="3" s="1"/>
  <c r="S644" i="3"/>
  <c r="AA643" i="3"/>
  <c r="AU821" i="19" s="1"/>
  <c r="Z643" i="3"/>
  <c r="AT821" i="19" s="1"/>
  <c r="X643" i="3"/>
  <c r="T643" i="3"/>
  <c r="S643" i="3"/>
  <c r="AA642" i="3"/>
  <c r="AU820" i="19" s="1"/>
  <c r="Z642" i="3"/>
  <c r="AT820" i="19" s="1"/>
  <c r="BH820" i="19" s="1"/>
  <c r="X642" i="3"/>
  <c r="V642" i="3"/>
  <c r="T642" i="3"/>
  <c r="W642" i="3" s="1"/>
  <c r="S642" i="3"/>
  <c r="AA641" i="3"/>
  <c r="AU819" i="19" s="1"/>
  <c r="Z641" i="3"/>
  <c r="AT819" i="19" s="1"/>
  <c r="X641" i="3"/>
  <c r="T641" i="3"/>
  <c r="S641" i="3"/>
  <c r="AA640" i="3"/>
  <c r="AU818" i="19" s="1"/>
  <c r="Z640" i="3"/>
  <c r="AT818" i="19" s="1"/>
  <c r="X640" i="3"/>
  <c r="V640" i="3"/>
  <c r="T640" i="3"/>
  <c r="W640" i="3" s="1"/>
  <c r="S640" i="3"/>
  <c r="AA639" i="3"/>
  <c r="AU817" i="19" s="1"/>
  <c r="Z639" i="3"/>
  <c r="AT817" i="19" s="1"/>
  <c r="X639" i="3"/>
  <c r="U639" i="3"/>
  <c r="T639" i="3"/>
  <c r="S639" i="3"/>
  <c r="AA638" i="3"/>
  <c r="Z638" i="3"/>
  <c r="AT823" i="19" s="1"/>
  <c r="X638" i="3"/>
  <c r="U638" i="3"/>
  <c r="T638" i="3"/>
  <c r="S638" i="3"/>
  <c r="AA637" i="3"/>
  <c r="AU553" i="19" s="1"/>
  <c r="Z637" i="3"/>
  <c r="AT553" i="19" s="1"/>
  <c r="X637" i="3"/>
  <c r="T637" i="3"/>
  <c r="AA636" i="3"/>
  <c r="Z636" i="3"/>
  <c r="AT683" i="19" s="1"/>
  <c r="X636" i="3"/>
  <c r="T636" i="3"/>
  <c r="AA635" i="3"/>
  <c r="AU682" i="19" s="1"/>
  <c r="Z635" i="3"/>
  <c r="X635" i="3"/>
  <c r="T635" i="3"/>
  <c r="S635" i="3"/>
  <c r="AA634" i="3"/>
  <c r="Z634" i="3"/>
  <c r="X634" i="3"/>
  <c r="T634" i="3"/>
  <c r="V634" i="3" s="1"/>
  <c r="AA633" i="3"/>
  <c r="Z633" i="3"/>
  <c r="X633" i="3"/>
  <c r="T633" i="3"/>
  <c r="AA632" i="3"/>
  <c r="AU810" i="19" s="1"/>
  <c r="Z632" i="3"/>
  <c r="X632" i="3"/>
  <c r="T632" i="3"/>
  <c r="S632" i="3"/>
  <c r="AA631" i="3"/>
  <c r="Z631" i="3"/>
  <c r="X631" i="3"/>
  <c r="U631" i="3"/>
  <c r="T631" i="3"/>
  <c r="AA630" i="3"/>
  <c r="AU850" i="19" s="1"/>
  <c r="Z630" i="3"/>
  <c r="AT850" i="19" s="1"/>
  <c r="X630" i="3"/>
  <c r="T630" i="3"/>
  <c r="AA629" i="3"/>
  <c r="Z629" i="3"/>
  <c r="X629" i="3"/>
  <c r="T629" i="3"/>
  <c r="AA628" i="3"/>
  <c r="Z628" i="3"/>
  <c r="X628" i="3"/>
  <c r="T628" i="3"/>
  <c r="V628" i="3" s="1"/>
  <c r="S628" i="3"/>
  <c r="AA627" i="3"/>
  <c r="Z627" i="3"/>
  <c r="X627" i="3"/>
  <c r="T627" i="3"/>
  <c r="W627" i="3" s="1"/>
  <c r="AA626" i="3"/>
  <c r="Z626" i="3"/>
  <c r="X626" i="3"/>
  <c r="T626" i="3"/>
  <c r="AA625" i="3"/>
  <c r="Z625" i="3"/>
  <c r="X625" i="3"/>
  <c r="T625" i="3"/>
  <c r="U625" i="3" s="1"/>
  <c r="S625" i="3"/>
  <c r="AA624" i="3"/>
  <c r="Z624" i="3"/>
  <c r="X624" i="3"/>
  <c r="T624" i="3"/>
  <c r="V624" i="3" s="1"/>
  <c r="S624" i="3"/>
  <c r="AA623" i="3"/>
  <c r="Z623" i="3"/>
  <c r="AT861" i="19" s="1"/>
  <c r="X623" i="3"/>
  <c r="V623" i="3"/>
  <c r="T623" i="3"/>
  <c r="S623" i="3"/>
  <c r="AA622" i="3"/>
  <c r="AU664" i="19" s="1"/>
  <c r="Z622" i="3"/>
  <c r="X622" i="3"/>
  <c r="T622" i="3"/>
  <c r="W622" i="3" s="1"/>
  <c r="AA621" i="3"/>
  <c r="Z621" i="3"/>
  <c r="X621" i="3"/>
  <c r="T621" i="3"/>
  <c r="AA620" i="3"/>
  <c r="Z620" i="3"/>
  <c r="X620" i="3"/>
  <c r="T620" i="3"/>
  <c r="AA619" i="3"/>
  <c r="Z619" i="3"/>
  <c r="X619" i="3"/>
  <c r="U619" i="3"/>
  <c r="T619" i="3"/>
  <c r="V619" i="3" s="1"/>
  <c r="AA618" i="3"/>
  <c r="AU478" i="19" s="1"/>
  <c r="Z618" i="3"/>
  <c r="X618" i="3"/>
  <c r="T618" i="3"/>
  <c r="AA617" i="3"/>
  <c r="Z617" i="3"/>
  <c r="X617" i="3"/>
  <c r="T617" i="3"/>
  <c r="AA616" i="3"/>
  <c r="AU456" i="19" s="1"/>
  <c r="Z616" i="3"/>
  <c r="X616" i="3"/>
  <c r="T616" i="3"/>
  <c r="AA615" i="3"/>
  <c r="Z615" i="3"/>
  <c r="X615" i="3"/>
  <c r="T615" i="3"/>
  <c r="S615" i="3"/>
  <c r="AA614" i="3"/>
  <c r="Z614" i="3"/>
  <c r="AT244" i="19" s="1"/>
  <c r="X614" i="3"/>
  <c r="T614" i="3"/>
  <c r="S614" i="3"/>
  <c r="AA613" i="3"/>
  <c r="AU623" i="19" s="1"/>
  <c r="Z613" i="3"/>
  <c r="AT623" i="19" s="1"/>
  <c r="X613" i="3"/>
  <c r="T613" i="3"/>
  <c r="V613" i="3" s="1"/>
  <c r="AA612" i="3"/>
  <c r="Z612" i="3"/>
  <c r="X612" i="3"/>
  <c r="T612" i="3"/>
  <c r="AA611" i="3"/>
  <c r="Z611" i="3"/>
  <c r="AT621" i="19" s="1"/>
  <c r="X611" i="3"/>
  <c r="T611" i="3"/>
  <c r="AA610" i="3"/>
  <c r="Z610" i="3"/>
  <c r="AT620" i="19" s="1"/>
  <c r="X610" i="3"/>
  <c r="T610" i="3"/>
  <c r="W610" i="3" s="1"/>
  <c r="AA609" i="3"/>
  <c r="AU613" i="19" s="1"/>
  <c r="Z609" i="3"/>
  <c r="AT613" i="19" s="1"/>
  <c r="X609" i="3"/>
  <c r="T609" i="3"/>
  <c r="AA608" i="3"/>
  <c r="AU359" i="19" s="1"/>
  <c r="Z608" i="3"/>
  <c r="X608" i="3"/>
  <c r="T608" i="3"/>
  <c r="U608" i="3" s="1"/>
  <c r="AA607" i="3"/>
  <c r="Z607" i="3"/>
  <c r="X607" i="3"/>
  <c r="T607" i="3"/>
  <c r="S607" i="3"/>
  <c r="AA606" i="3"/>
  <c r="Z606" i="3"/>
  <c r="AT718" i="19" s="1"/>
  <c r="X606" i="3"/>
  <c r="T606" i="3"/>
  <c r="S606" i="3"/>
  <c r="AA605" i="3"/>
  <c r="AU685" i="19" s="1"/>
  <c r="Z605" i="3"/>
  <c r="AT685" i="19" s="1"/>
  <c r="BH685" i="19" s="1"/>
  <c r="X605" i="3"/>
  <c r="T605" i="3"/>
  <c r="AA604" i="3"/>
  <c r="Z604" i="3"/>
  <c r="AT644" i="19" s="1"/>
  <c r="X604" i="3"/>
  <c r="T604" i="3"/>
  <c r="S604" i="3"/>
  <c r="AA603" i="3"/>
  <c r="Z603" i="3"/>
  <c r="X603" i="3"/>
  <c r="T603" i="3"/>
  <c r="AA602" i="3"/>
  <c r="AU284" i="19" s="1"/>
  <c r="Z602" i="3"/>
  <c r="X602" i="3"/>
  <c r="T602" i="3"/>
  <c r="AA601" i="3"/>
  <c r="Z601" i="3"/>
  <c r="AT235" i="19" s="1"/>
  <c r="X601" i="3"/>
  <c r="T601" i="3"/>
  <c r="U601" i="3" s="1"/>
  <c r="AA600" i="3"/>
  <c r="AU254" i="19" s="1"/>
  <c r="Z600" i="3"/>
  <c r="X600" i="3"/>
  <c r="T600" i="3"/>
  <c r="U600" i="3" s="1"/>
  <c r="AA599" i="3"/>
  <c r="Z599" i="3"/>
  <c r="X599" i="3"/>
  <c r="T599" i="3"/>
  <c r="AA598" i="3"/>
  <c r="Z598" i="3"/>
  <c r="AT236" i="19" s="1"/>
  <c r="X598" i="3"/>
  <c r="V598" i="3"/>
  <c r="U598" i="3"/>
  <c r="T598" i="3"/>
  <c r="W598" i="3" s="1"/>
  <c r="AA597" i="3"/>
  <c r="Z597" i="3"/>
  <c r="X597" i="3"/>
  <c r="T597" i="3"/>
  <c r="V597" i="3" s="1"/>
  <c r="AA596" i="3"/>
  <c r="AU885" i="19" s="1"/>
  <c r="Z596" i="3"/>
  <c r="AT885" i="19" s="1"/>
  <c r="X596" i="3"/>
  <c r="T596" i="3"/>
  <c r="V596" i="3" s="1"/>
  <c r="AA595" i="3"/>
  <c r="AU925" i="19" s="1"/>
  <c r="Z595" i="3"/>
  <c r="AT925" i="19" s="1"/>
  <c r="X595" i="3"/>
  <c r="T595" i="3"/>
  <c r="AA594" i="3"/>
  <c r="Z594" i="3"/>
  <c r="AT418" i="19" s="1"/>
  <c r="BH418" i="19" s="1"/>
  <c r="X594" i="3"/>
  <c r="T594" i="3"/>
  <c r="AA593" i="3"/>
  <c r="AU417" i="19" s="1"/>
  <c r="Z593" i="3"/>
  <c r="AT417" i="19" s="1"/>
  <c r="X593" i="3"/>
  <c r="T593" i="3"/>
  <c r="AA592" i="3"/>
  <c r="AU416" i="19" s="1"/>
  <c r="Z592" i="3"/>
  <c r="AT416" i="19" s="1"/>
  <c r="X592" i="3"/>
  <c r="T592" i="3"/>
  <c r="AA591" i="3"/>
  <c r="Z591" i="3"/>
  <c r="X591" i="3"/>
  <c r="T591" i="3"/>
  <c r="V591" i="3" s="1"/>
  <c r="AA590" i="3"/>
  <c r="Z590" i="3"/>
  <c r="X590" i="3"/>
  <c r="T590" i="3"/>
  <c r="AA589" i="3"/>
  <c r="AU368" i="19" s="1"/>
  <c r="Z589" i="3"/>
  <c r="X589" i="3"/>
  <c r="T589" i="3"/>
  <c r="AA588" i="3"/>
  <c r="Z588" i="3"/>
  <c r="X588" i="3"/>
  <c r="T588" i="3"/>
  <c r="W588" i="3" s="1"/>
  <c r="AA587" i="3"/>
  <c r="Z587" i="3"/>
  <c r="X587" i="3"/>
  <c r="T587" i="3"/>
  <c r="AA586" i="3"/>
  <c r="Z586" i="3"/>
  <c r="X586" i="3"/>
  <c r="T586" i="3"/>
  <c r="W586" i="3" s="1"/>
  <c r="S586" i="3"/>
  <c r="AA585" i="3"/>
  <c r="Z585" i="3"/>
  <c r="X585" i="3"/>
  <c r="T585" i="3"/>
  <c r="AA584" i="3"/>
  <c r="Z584" i="3"/>
  <c r="X584" i="3"/>
  <c r="T584" i="3"/>
  <c r="S584" i="3"/>
  <c r="AA583" i="3"/>
  <c r="Z583" i="3"/>
  <c r="AT804" i="19" s="1"/>
  <c r="X583" i="3"/>
  <c r="T583" i="3"/>
  <c r="AA582" i="3"/>
  <c r="Z582" i="3"/>
  <c r="AT801" i="19" s="1"/>
  <c r="X582" i="3"/>
  <c r="T582" i="3"/>
  <c r="AA581" i="3"/>
  <c r="Z581" i="3"/>
  <c r="AT800" i="19" s="1"/>
  <c r="X581" i="3"/>
  <c r="T581" i="3"/>
  <c r="AA580" i="3"/>
  <c r="Z580" i="3"/>
  <c r="AT803" i="19" s="1"/>
  <c r="X580" i="3"/>
  <c r="T580" i="3"/>
  <c r="AA579" i="3"/>
  <c r="Z579" i="3"/>
  <c r="AT839" i="19" s="1"/>
  <c r="X579" i="3"/>
  <c r="T579" i="3"/>
  <c r="AA578" i="3"/>
  <c r="Z578" i="3"/>
  <c r="X578" i="3"/>
  <c r="T578" i="3"/>
  <c r="S578" i="3"/>
  <c r="AA577" i="3"/>
  <c r="Z577" i="3"/>
  <c r="X577" i="3"/>
  <c r="T577" i="3"/>
  <c r="S577" i="3"/>
  <c r="AA576" i="3"/>
  <c r="AU841" i="19" s="1"/>
  <c r="Z576" i="3"/>
  <c r="AT841" i="19" s="1"/>
  <c r="X576" i="3"/>
  <c r="T576" i="3"/>
  <c r="AA575" i="3"/>
  <c r="AU845" i="19" s="1"/>
  <c r="Z575" i="3"/>
  <c r="AT845" i="19" s="1"/>
  <c r="X575" i="3"/>
  <c r="T575" i="3"/>
  <c r="AA574" i="3"/>
  <c r="AU840" i="19" s="1"/>
  <c r="Z574" i="3"/>
  <c r="X574" i="3"/>
  <c r="T574" i="3"/>
  <c r="AA573" i="3"/>
  <c r="AU809" i="19" s="1"/>
  <c r="Z573" i="3"/>
  <c r="X573" i="3"/>
  <c r="T573" i="3"/>
  <c r="AA572" i="3"/>
  <c r="AU808" i="19" s="1"/>
  <c r="Z572" i="3"/>
  <c r="X572" i="3"/>
  <c r="T572" i="3"/>
  <c r="W572" i="3" s="1"/>
  <c r="AA571" i="3"/>
  <c r="Z571" i="3"/>
  <c r="X571" i="3"/>
  <c r="T571" i="3"/>
  <c r="AA570" i="3"/>
  <c r="Z570" i="3"/>
  <c r="X570" i="3"/>
  <c r="U570" i="3"/>
  <c r="T570" i="3"/>
  <c r="AA569" i="3"/>
  <c r="Z569" i="3"/>
  <c r="AT805" i="19" s="1"/>
  <c r="X569" i="3"/>
  <c r="T569" i="3"/>
  <c r="U569" i="3" s="1"/>
  <c r="AA568" i="3"/>
  <c r="Z568" i="3"/>
  <c r="AT838" i="19" s="1"/>
  <c r="X568" i="3"/>
  <c r="T568" i="3"/>
  <c r="U568" i="3" s="1"/>
  <c r="AA567" i="3"/>
  <c r="Z567" i="3"/>
  <c r="AT844" i="19" s="1"/>
  <c r="X567" i="3"/>
  <c r="T567" i="3"/>
  <c r="AA566" i="3"/>
  <c r="Z566" i="3"/>
  <c r="AT843" i="19" s="1"/>
  <c r="X566" i="3"/>
  <c r="T566" i="3"/>
  <c r="V566" i="3" s="1"/>
  <c r="AA565" i="3"/>
  <c r="AU97" i="19" s="1"/>
  <c r="Z565" i="3"/>
  <c r="X565" i="3"/>
  <c r="T565" i="3"/>
  <c r="S565" i="3"/>
  <c r="AA564" i="3"/>
  <c r="AU842" i="19" s="1"/>
  <c r="Z564" i="3"/>
  <c r="X564" i="3"/>
  <c r="T564" i="3"/>
  <c r="AA563" i="3"/>
  <c r="Z563" i="3"/>
  <c r="X563" i="3"/>
  <c r="T563" i="3"/>
  <c r="AA562" i="3"/>
  <c r="AU802" i="19" s="1"/>
  <c r="Z562" i="3"/>
  <c r="X562" i="3"/>
  <c r="T562" i="3"/>
  <c r="AA561" i="3"/>
  <c r="AU206" i="19" s="1"/>
  <c r="Z561" i="3"/>
  <c r="X561" i="3"/>
  <c r="T561" i="3"/>
  <c r="S561" i="3"/>
  <c r="AA560" i="3"/>
  <c r="Z560" i="3"/>
  <c r="X560" i="3"/>
  <c r="T560" i="3"/>
  <c r="S560" i="3"/>
  <c r="AA559" i="3"/>
  <c r="Z559" i="3"/>
  <c r="AT207" i="19" s="1"/>
  <c r="X559" i="3"/>
  <c r="T559" i="3"/>
  <c r="U559" i="3" s="1"/>
  <c r="AA558" i="3"/>
  <c r="Z558" i="3"/>
  <c r="X558" i="3"/>
  <c r="T558" i="3"/>
  <c r="U558" i="3" s="1"/>
  <c r="AA557" i="3"/>
  <c r="Z557" i="3"/>
  <c r="X557" i="3"/>
  <c r="T557" i="3"/>
  <c r="S557" i="3"/>
  <c r="AA556" i="3"/>
  <c r="Z556" i="3"/>
  <c r="X556" i="3"/>
  <c r="T556" i="3"/>
  <c r="AA555" i="3"/>
  <c r="Z555" i="3"/>
  <c r="X555" i="3"/>
  <c r="T555" i="3"/>
  <c r="S555" i="3"/>
  <c r="AA554" i="3"/>
  <c r="Z554" i="3"/>
  <c r="X554" i="3"/>
  <c r="T554" i="3"/>
  <c r="S554" i="3"/>
  <c r="AA553" i="3"/>
  <c r="AU493" i="19" s="1"/>
  <c r="Z553" i="3"/>
  <c r="X553" i="3"/>
  <c r="T553" i="3"/>
  <c r="S553" i="3"/>
  <c r="AA552" i="3"/>
  <c r="Z552" i="3"/>
  <c r="X552" i="3"/>
  <c r="T552" i="3"/>
  <c r="S552" i="3"/>
  <c r="AA551" i="3"/>
  <c r="Z551" i="3"/>
  <c r="X551" i="3"/>
  <c r="T551" i="3"/>
  <c r="S551" i="3"/>
  <c r="AA550" i="3"/>
  <c r="Z550" i="3"/>
  <c r="X550" i="3"/>
  <c r="T550" i="3"/>
  <c r="S550" i="3"/>
  <c r="AA549" i="3"/>
  <c r="Z549" i="3"/>
  <c r="X549" i="3"/>
  <c r="T549" i="3"/>
  <c r="S549" i="3"/>
  <c r="AA548" i="3"/>
  <c r="Z548" i="3"/>
  <c r="X548" i="3"/>
  <c r="T548" i="3"/>
  <c r="S548" i="3"/>
  <c r="AA547" i="3"/>
  <c r="Z547" i="3"/>
  <c r="X547" i="3"/>
  <c r="T547" i="3"/>
  <c r="S547" i="3"/>
  <c r="AA546" i="3"/>
  <c r="Z546" i="3"/>
  <c r="X546" i="3"/>
  <c r="T546" i="3"/>
  <c r="AA545" i="3"/>
  <c r="Z545" i="3"/>
  <c r="X545" i="3"/>
  <c r="T545" i="3"/>
  <c r="W545" i="3" s="1"/>
  <c r="AA544" i="3"/>
  <c r="Z544" i="3"/>
  <c r="X544" i="3"/>
  <c r="T544" i="3"/>
  <c r="U544" i="3" s="1"/>
  <c r="AA543" i="3"/>
  <c r="AU180" i="19" s="1"/>
  <c r="Z543" i="3"/>
  <c r="X543" i="3"/>
  <c r="T543" i="3"/>
  <c r="AA542" i="3"/>
  <c r="Z542" i="3"/>
  <c r="X542" i="3"/>
  <c r="T542" i="3"/>
  <c r="AA541" i="3"/>
  <c r="Z541" i="3"/>
  <c r="X541" i="3"/>
  <c r="T541" i="3"/>
  <c r="AA540" i="3"/>
  <c r="Z540" i="3"/>
  <c r="X540" i="3"/>
  <c r="T540" i="3"/>
  <c r="U540" i="3" s="1"/>
  <c r="AA539" i="3"/>
  <c r="Z539" i="3"/>
  <c r="AT176" i="19" s="1"/>
  <c r="X539" i="3"/>
  <c r="T539" i="3"/>
  <c r="U539" i="3" s="1"/>
  <c r="AA538" i="3"/>
  <c r="Z538" i="3"/>
  <c r="X538" i="3"/>
  <c r="T538" i="3"/>
  <c r="S538" i="3"/>
  <c r="AA537" i="3"/>
  <c r="Z537" i="3"/>
  <c r="X537" i="3"/>
  <c r="T537" i="3"/>
  <c r="AA536" i="3"/>
  <c r="Z536" i="3"/>
  <c r="X536" i="3"/>
  <c r="T536" i="3"/>
  <c r="AA535" i="3"/>
  <c r="Z535" i="3"/>
  <c r="X535" i="3"/>
  <c r="T535" i="3"/>
  <c r="U535" i="3" s="1"/>
  <c r="AA534" i="3"/>
  <c r="Z534" i="3"/>
  <c r="X534" i="3"/>
  <c r="W534" i="3"/>
  <c r="T534" i="3"/>
  <c r="V534" i="3" s="1"/>
  <c r="AA533" i="3"/>
  <c r="Z533" i="3"/>
  <c r="X533" i="3"/>
  <c r="T533" i="3"/>
  <c r="AA532" i="3"/>
  <c r="Z532" i="3"/>
  <c r="X532" i="3"/>
  <c r="T532" i="3"/>
  <c r="AA531" i="3"/>
  <c r="Z531" i="3"/>
  <c r="X531" i="3"/>
  <c r="T531" i="3"/>
  <c r="V531" i="3" s="1"/>
  <c r="AA530" i="3"/>
  <c r="Z530" i="3"/>
  <c r="X530" i="3"/>
  <c r="T530" i="3"/>
  <c r="S530" i="3"/>
  <c r="AA529" i="3"/>
  <c r="Z529" i="3"/>
  <c r="X529" i="3"/>
  <c r="T529" i="3"/>
  <c r="S529" i="3"/>
  <c r="AA528" i="3"/>
  <c r="Z528" i="3"/>
  <c r="AT161" i="19" s="1"/>
  <c r="X528" i="3"/>
  <c r="T528" i="3"/>
  <c r="U528" i="3" s="1"/>
  <c r="S528" i="3"/>
  <c r="AA527" i="3"/>
  <c r="Z527" i="3"/>
  <c r="AT160" i="19" s="1"/>
  <c r="X527" i="3"/>
  <c r="T527" i="3"/>
  <c r="U527" i="3" s="1"/>
  <c r="S527" i="3"/>
  <c r="AA526" i="3"/>
  <c r="AU163" i="19" s="1"/>
  <c r="Z526" i="3"/>
  <c r="X526" i="3"/>
  <c r="T526" i="3"/>
  <c r="S526" i="3"/>
  <c r="AA525" i="3"/>
  <c r="Z525" i="3"/>
  <c r="X525" i="3"/>
  <c r="T525" i="3"/>
  <c r="U525" i="3" s="1"/>
  <c r="S525" i="3"/>
  <c r="AA524" i="3"/>
  <c r="Z524" i="3"/>
  <c r="X524" i="3"/>
  <c r="T524" i="3"/>
  <c r="U524" i="3" s="1"/>
  <c r="S524" i="3"/>
  <c r="AA523" i="3"/>
  <c r="Z523" i="3"/>
  <c r="X523" i="3"/>
  <c r="W523" i="3"/>
  <c r="T523" i="3"/>
  <c r="U523" i="3" s="1"/>
  <c r="S523" i="3"/>
  <c r="AA522" i="3"/>
  <c r="Z522" i="3"/>
  <c r="X522" i="3"/>
  <c r="T522" i="3"/>
  <c r="S522" i="3"/>
  <c r="AA521" i="3"/>
  <c r="Z521" i="3"/>
  <c r="X521" i="3"/>
  <c r="V521" i="3"/>
  <c r="T521" i="3"/>
  <c r="U521" i="3" s="1"/>
  <c r="S521" i="3"/>
  <c r="AA520" i="3"/>
  <c r="AU193" i="19" s="1"/>
  <c r="Z520" i="3"/>
  <c r="X520" i="3"/>
  <c r="T520" i="3"/>
  <c r="U520" i="3" s="1"/>
  <c r="S520" i="3"/>
  <c r="AA519" i="3"/>
  <c r="Z519" i="3"/>
  <c r="X519" i="3"/>
  <c r="W519" i="3"/>
  <c r="V519" i="3"/>
  <c r="T519" i="3"/>
  <c r="U519" i="3" s="1"/>
  <c r="S519" i="3"/>
  <c r="AA518" i="3"/>
  <c r="AU194" i="19" s="1"/>
  <c r="Z518" i="3"/>
  <c r="X518" i="3"/>
  <c r="T518" i="3"/>
  <c r="S518" i="3"/>
  <c r="AA517" i="3"/>
  <c r="Z517" i="3"/>
  <c r="X517" i="3"/>
  <c r="T517" i="3"/>
  <c r="S517" i="3"/>
  <c r="AA516" i="3"/>
  <c r="Z516" i="3"/>
  <c r="X516" i="3"/>
  <c r="T516" i="3"/>
  <c r="U516" i="3" s="1"/>
  <c r="S516" i="3"/>
  <c r="AA515" i="3"/>
  <c r="Z515" i="3"/>
  <c r="AT186" i="19" s="1"/>
  <c r="X515" i="3"/>
  <c r="T515" i="3"/>
  <c r="AA514" i="3"/>
  <c r="Z514" i="3"/>
  <c r="AT183" i="19" s="1"/>
  <c r="X514" i="3"/>
  <c r="T514" i="3"/>
  <c r="V514" i="3" s="1"/>
  <c r="S514" i="3"/>
  <c r="AA513" i="3"/>
  <c r="AU182" i="19" s="1"/>
  <c r="Z513" i="3"/>
  <c r="X513" i="3"/>
  <c r="T513" i="3"/>
  <c r="S513" i="3"/>
  <c r="AA512" i="3"/>
  <c r="Z512" i="3"/>
  <c r="X512" i="3"/>
  <c r="V512" i="3"/>
  <c r="T512" i="3"/>
  <c r="S512" i="3"/>
  <c r="AA511" i="3"/>
  <c r="Z511" i="3"/>
  <c r="X511" i="3"/>
  <c r="T511" i="3"/>
  <c r="S511" i="3"/>
  <c r="AA510" i="3"/>
  <c r="AU187" i="19" s="1"/>
  <c r="Z510" i="3"/>
  <c r="X510" i="3"/>
  <c r="T510" i="3"/>
  <c r="V510" i="3" s="1"/>
  <c r="AA509" i="3"/>
  <c r="AU185" i="19" s="1"/>
  <c r="Z509" i="3"/>
  <c r="X509" i="3"/>
  <c r="T509" i="3"/>
  <c r="S509" i="3"/>
  <c r="AA508" i="3"/>
  <c r="AU649" i="19" s="1"/>
  <c r="Z508" i="3"/>
  <c r="X508" i="3"/>
  <c r="T508" i="3"/>
  <c r="U508" i="3" s="1"/>
  <c r="S508" i="3"/>
  <c r="AA507" i="3"/>
  <c r="Z507" i="3"/>
  <c r="X507" i="3"/>
  <c r="T507" i="3"/>
  <c r="AA506" i="3"/>
  <c r="Z506" i="3"/>
  <c r="X506" i="3"/>
  <c r="T506" i="3"/>
  <c r="S506" i="3"/>
  <c r="AA505" i="3"/>
  <c r="Z505" i="3"/>
  <c r="X505" i="3"/>
  <c r="T505" i="3"/>
  <c r="V505" i="3" s="1"/>
  <c r="S505" i="3"/>
  <c r="AA504" i="3"/>
  <c r="AU16" i="19" s="1"/>
  <c r="Z504" i="3"/>
  <c r="X504" i="3"/>
  <c r="T504" i="3"/>
  <c r="AA503" i="3"/>
  <c r="AU440" i="19" s="1"/>
  <c r="Z503" i="3"/>
  <c r="X503" i="3"/>
  <c r="T503" i="3"/>
  <c r="AA502" i="3"/>
  <c r="AU385" i="19" s="1"/>
  <c r="Z502" i="3"/>
  <c r="AT385" i="19" s="1"/>
  <c r="X502" i="3"/>
  <c r="T502" i="3"/>
  <c r="AA501" i="3"/>
  <c r="AU866" i="19" s="1"/>
  <c r="Z501" i="3"/>
  <c r="X501" i="3"/>
  <c r="T501" i="3"/>
  <c r="AA500" i="3"/>
  <c r="AU942" i="19" s="1"/>
  <c r="Z500" i="3"/>
  <c r="AT942" i="19" s="1"/>
  <c r="BH942" i="19" s="1"/>
  <c r="X500" i="3"/>
  <c r="T500" i="3"/>
  <c r="V500" i="3" s="1"/>
  <c r="AA499" i="3"/>
  <c r="AU862" i="19" s="1"/>
  <c r="Z499" i="3"/>
  <c r="X499" i="3"/>
  <c r="T499" i="3"/>
  <c r="V499" i="3" s="1"/>
  <c r="S499" i="3"/>
  <c r="AA498" i="3"/>
  <c r="AU701" i="19" s="1"/>
  <c r="Z498" i="3"/>
  <c r="AT701" i="19" s="1"/>
  <c r="X498" i="3"/>
  <c r="T498" i="3"/>
  <c r="AA497" i="3"/>
  <c r="Z497" i="3"/>
  <c r="X497" i="3"/>
  <c r="V497" i="3"/>
  <c r="T497" i="3"/>
  <c r="AA496" i="3"/>
  <c r="AU672" i="19" s="1"/>
  <c r="Z496" i="3"/>
  <c r="AT672" i="19" s="1"/>
  <c r="X496" i="3"/>
  <c r="T496" i="3"/>
  <c r="AA495" i="3"/>
  <c r="Z495" i="3"/>
  <c r="X495" i="3"/>
  <c r="T495" i="3"/>
  <c r="V495" i="3" s="1"/>
  <c r="AA494" i="3"/>
  <c r="Z494" i="3"/>
  <c r="X494" i="3"/>
  <c r="T494" i="3"/>
  <c r="AA493" i="3"/>
  <c r="Z493" i="3"/>
  <c r="AT446" i="19" s="1"/>
  <c r="X493" i="3"/>
  <c r="T493" i="3"/>
  <c r="V493" i="3" s="1"/>
  <c r="S493" i="3"/>
  <c r="AA492" i="3"/>
  <c r="Z492" i="3"/>
  <c r="X492" i="3"/>
  <c r="T492" i="3"/>
  <c r="S492" i="3"/>
  <c r="AA491" i="3"/>
  <c r="Z491" i="3"/>
  <c r="X491" i="3"/>
  <c r="T491" i="3"/>
  <c r="V491" i="3" s="1"/>
  <c r="S491" i="3"/>
  <c r="AA490" i="3"/>
  <c r="Z490" i="3"/>
  <c r="X490" i="3"/>
  <c r="T490" i="3"/>
  <c r="S490" i="3"/>
  <c r="AA489" i="3"/>
  <c r="Z489" i="3"/>
  <c r="X489" i="3"/>
  <c r="T489" i="3"/>
  <c r="V489" i="3" s="1"/>
  <c r="AA488" i="3"/>
  <c r="Z488" i="3"/>
  <c r="X488" i="3"/>
  <c r="T488" i="3"/>
  <c r="AA487" i="3"/>
  <c r="Z487" i="3"/>
  <c r="AT270" i="19" s="1"/>
  <c r="X487" i="3"/>
  <c r="T487" i="3"/>
  <c r="AA486" i="3"/>
  <c r="AU774" i="19" s="1"/>
  <c r="Z486" i="3"/>
  <c r="AT774" i="19" s="1"/>
  <c r="X486" i="3"/>
  <c r="T486" i="3"/>
  <c r="AA485" i="3"/>
  <c r="Z485" i="3"/>
  <c r="X485" i="3"/>
  <c r="T485" i="3"/>
  <c r="S485" i="3"/>
  <c r="AA484" i="3"/>
  <c r="AU700" i="19" s="1"/>
  <c r="Z484" i="3"/>
  <c r="X484" i="3"/>
  <c r="T484" i="3"/>
  <c r="V484" i="3" s="1"/>
  <c r="AA483" i="3"/>
  <c r="Z483" i="3"/>
  <c r="AT305" i="19" s="1"/>
  <c r="X483" i="3"/>
  <c r="T483" i="3"/>
  <c r="AA482" i="3"/>
  <c r="Z482" i="3"/>
  <c r="AT568" i="19" s="1"/>
  <c r="X482" i="3"/>
  <c r="T482" i="3"/>
  <c r="V482" i="3" s="1"/>
  <c r="AA481" i="3"/>
  <c r="Z481" i="3"/>
  <c r="AT714" i="19" s="1"/>
  <c r="BH714" i="19" s="1"/>
  <c r="X481" i="3"/>
  <c r="T481" i="3"/>
  <c r="AA480" i="3"/>
  <c r="Z480" i="3"/>
  <c r="X480" i="3"/>
  <c r="T480" i="3"/>
  <c r="V480" i="3" s="1"/>
  <c r="AA479" i="3"/>
  <c r="Z479" i="3"/>
  <c r="AT302" i="19" s="1"/>
  <c r="X479" i="3"/>
  <c r="T479" i="3"/>
  <c r="S479" i="3"/>
  <c r="AA478" i="3"/>
  <c r="AU779" i="19" s="1"/>
  <c r="Z478" i="3"/>
  <c r="X478" i="3"/>
  <c r="T478" i="3"/>
  <c r="S478" i="3"/>
  <c r="AA477" i="3"/>
  <c r="AU566" i="19" s="1"/>
  <c r="Z477" i="3"/>
  <c r="X477" i="3"/>
  <c r="T477" i="3"/>
  <c r="S477" i="3"/>
  <c r="AA476" i="3"/>
  <c r="AU780" i="19" s="1"/>
  <c r="Z476" i="3"/>
  <c r="AT780" i="19" s="1"/>
  <c r="X476" i="3"/>
  <c r="T476" i="3"/>
  <c r="S476" i="3"/>
  <c r="AA475" i="3"/>
  <c r="Z475" i="3"/>
  <c r="X475" i="3"/>
  <c r="T475" i="3"/>
  <c r="W475" i="3" s="1"/>
  <c r="S475" i="3"/>
  <c r="AA474" i="3"/>
  <c r="Z474" i="3"/>
  <c r="X474" i="3"/>
  <c r="W474" i="3"/>
  <c r="U474" i="3"/>
  <c r="T474" i="3"/>
  <c r="V474" i="3" s="1"/>
  <c r="AA473" i="3"/>
  <c r="AU702" i="19" s="1"/>
  <c r="Z473" i="3"/>
  <c r="X473" i="3"/>
  <c r="T473" i="3"/>
  <c r="AA472" i="3"/>
  <c r="Z472" i="3"/>
  <c r="X472" i="3"/>
  <c r="T472" i="3"/>
  <c r="S472" i="3"/>
  <c r="AA471" i="3"/>
  <c r="Z471" i="3"/>
  <c r="X471" i="3"/>
  <c r="T471" i="3"/>
  <c r="S471" i="3"/>
  <c r="AA470" i="3"/>
  <c r="Z470" i="3"/>
  <c r="X470" i="3"/>
  <c r="T470" i="3"/>
  <c r="S470" i="3"/>
  <c r="AA469" i="3"/>
  <c r="Z469" i="3"/>
  <c r="X469" i="3"/>
  <c r="T469" i="3"/>
  <c r="S469" i="3"/>
  <c r="AA468" i="3"/>
  <c r="AU778" i="19" s="1"/>
  <c r="Z468" i="3"/>
  <c r="X468" i="3"/>
  <c r="T468" i="3"/>
  <c r="W468" i="3" s="1"/>
  <c r="S468" i="3"/>
  <c r="AA467" i="3"/>
  <c r="AU73" i="19" s="1"/>
  <c r="Z467" i="3"/>
  <c r="X467" i="3"/>
  <c r="T467" i="3"/>
  <c r="W467" i="3" s="1"/>
  <c r="S467" i="3"/>
  <c r="AA466" i="3"/>
  <c r="AU694" i="19" s="1"/>
  <c r="Z466" i="3"/>
  <c r="X466" i="3"/>
  <c r="T466" i="3"/>
  <c r="AA465" i="3"/>
  <c r="Z465" i="3"/>
  <c r="X465" i="3"/>
  <c r="T465" i="3"/>
  <c r="AA464" i="3"/>
  <c r="Z464" i="3"/>
  <c r="X464" i="3"/>
  <c r="T464" i="3"/>
  <c r="W464" i="3" s="1"/>
  <c r="AA463" i="3"/>
  <c r="Z463" i="3"/>
  <c r="X463" i="3"/>
  <c r="T463" i="3"/>
  <c r="V463" i="3" s="1"/>
  <c r="AA462" i="3"/>
  <c r="Z462" i="3"/>
  <c r="X462" i="3"/>
  <c r="T462" i="3"/>
  <c r="AA461" i="3"/>
  <c r="Z461" i="3"/>
  <c r="AT758" i="19" s="1"/>
  <c r="X461" i="3"/>
  <c r="V461" i="3"/>
  <c r="T461" i="3"/>
  <c r="AA460" i="3"/>
  <c r="Z460" i="3"/>
  <c r="X460" i="3"/>
  <c r="T460" i="3"/>
  <c r="AA459" i="3"/>
  <c r="Z459" i="3"/>
  <c r="X459" i="3"/>
  <c r="T459" i="3"/>
  <c r="V459" i="3" s="1"/>
  <c r="AA458" i="3"/>
  <c r="Z458" i="3"/>
  <c r="AT542" i="19" s="1"/>
  <c r="X458" i="3"/>
  <c r="T458" i="3"/>
  <c r="W458" i="3" s="1"/>
  <c r="AA457" i="3"/>
  <c r="Z457" i="3"/>
  <c r="X457" i="3"/>
  <c r="T457" i="3"/>
  <c r="V457" i="3" s="1"/>
  <c r="AA456" i="3"/>
  <c r="Z456" i="3"/>
  <c r="X456" i="3"/>
  <c r="U456" i="3"/>
  <c r="T456" i="3"/>
  <c r="S456" i="3"/>
  <c r="AA455" i="3"/>
  <c r="AU759" i="19" s="1"/>
  <c r="Z455" i="3"/>
  <c r="AT759" i="19" s="1"/>
  <c r="X455" i="3"/>
  <c r="T455" i="3"/>
  <c r="S455" i="3"/>
  <c r="AA454" i="3"/>
  <c r="Z454" i="3"/>
  <c r="X454" i="3"/>
  <c r="T454" i="3"/>
  <c r="AA453" i="3"/>
  <c r="Z453" i="3"/>
  <c r="X453" i="3"/>
  <c r="T453" i="3"/>
  <c r="V453" i="3" s="1"/>
  <c r="S453" i="3"/>
  <c r="AA452" i="3"/>
  <c r="AU435" i="19" s="1"/>
  <c r="Z452" i="3"/>
  <c r="AT435" i="19" s="1"/>
  <c r="X452" i="3"/>
  <c r="T452" i="3"/>
  <c r="S452" i="3"/>
  <c r="AA451" i="3"/>
  <c r="Z451" i="3"/>
  <c r="AT436" i="19" s="1"/>
  <c r="X451" i="3"/>
  <c r="T451" i="3"/>
  <c r="V451" i="3" s="1"/>
  <c r="AA450" i="3"/>
  <c r="Z450" i="3"/>
  <c r="X450" i="3"/>
  <c r="T450" i="3"/>
  <c r="S450" i="3"/>
  <c r="AA449" i="3"/>
  <c r="AU426" i="19" s="1"/>
  <c r="Z449" i="3"/>
  <c r="X449" i="3"/>
  <c r="T449" i="3"/>
  <c r="W449" i="3" s="1"/>
  <c r="S449" i="3"/>
  <c r="AA448" i="3"/>
  <c r="Z448" i="3"/>
  <c r="X448" i="3"/>
  <c r="T448" i="3"/>
  <c r="S448" i="3"/>
  <c r="AA447" i="3"/>
  <c r="Z447" i="3"/>
  <c r="AT431" i="19" s="1"/>
  <c r="X447" i="3"/>
  <c r="T447" i="3"/>
  <c r="W447" i="3" s="1"/>
  <c r="S447" i="3"/>
  <c r="AA446" i="3"/>
  <c r="Z446" i="3"/>
  <c r="X446" i="3"/>
  <c r="T446" i="3"/>
  <c r="S446" i="3"/>
  <c r="AA445" i="3"/>
  <c r="Z445" i="3"/>
  <c r="X445" i="3"/>
  <c r="W445" i="3"/>
  <c r="T445" i="3"/>
  <c r="S445" i="3"/>
  <c r="AA444" i="3"/>
  <c r="Z444" i="3"/>
  <c r="X444" i="3"/>
  <c r="T444" i="3"/>
  <c r="S444" i="3"/>
  <c r="AA443" i="3"/>
  <c r="Z443" i="3"/>
  <c r="X443" i="3"/>
  <c r="W443" i="3"/>
  <c r="T443" i="3"/>
  <c r="S443" i="3"/>
  <c r="AA442" i="3"/>
  <c r="AU424" i="19" s="1"/>
  <c r="Z442" i="3"/>
  <c r="X442" i="3"/>
  <c r="T442" i="3"/>
  <c r="S442" i="3"/>
  <c r="AA441" i="3"/>
  <c r="AU423" i="19" s="1"/>
  <c r="Z441" i="3"/>
  <c r="X441" i="3"/>
  <c r="W441" i="3"/>
  <c r="T441" i="3"/>
  <c r="S441" i="3"/>
  <c r="AA440" i="3"/>
  <c r="AU429" i="19" s="1"/>
  <c r="Z440" i="3"/>
  <c r="AT429" i="19" s="1"/>
  <c r="X440" i="3"/>
  <c r="T440" i="3"/>
  <c r="S440" i="3"/>
  <c r="AA439" i="3"/>
  <c r="AU428" i="19" s="1"/>
  <c r="Z439" i="3"/>
  <c r="X439" i="3"/>
  <c r="T439" i="3"/>
  <c r="W439" i="3" s="1"/>
  <c r="S439" i="3"/>
  <c r="AA438" i="3"/>
  <c r="Z438" i="3"/>
  <c r="X438" i="3"/>
  <c r="T438" i="3"/>
  <c r="S438" i="3"/>
  <c r="AA437" i="3"/>
  <c r="AU894" i="19" s="1"/>
  <c r="Z437" i="3"/>
  <c r="AT894" i="19" s="1"/>
  <c r="X437" i="3"/>
  <c r="W437" i="3"/>
  <c r="T437" i="3"/>
  <c r="S437" i="3"/>
  <c r="AA436" i="3"/>
  <c r="AU363" i="19" s="1"/>
  <c r="Z436" i="3"/>
  <c r="X436" i="3"/>
  <c r="T436" i="3"/>
  <c r="S436" i="3"/>
  <c r="AA435" i="3"/>
  <c r="AU638" i="19" s="1"/>
  <c r="Z435" i="3"/>
  <c r="X435" i="3"/>
  <c r="W435" i="3"/>
  <c r="T435" i="3"/>
  <c r="AA434" i="3"/>
  <c r="AU367" i="19" s="1"/>
  <c r="Z434" i="3"/>
  <c r="AT367" i="19" s="1"/>
  <c r="X434" i="3"/>
  <c r="T434" i="3"/>
  <c r="AA433" i="3"/>
  <c r="AU940" i="19" s="1"/>
  <c r="Z433" i="3"/>
  <c r="AT940" i="19" s="1"/>
  <c r="X433" i="3"/>
  <c r="T433" i="3"/>
  <c r="S433" i="3"/>
  <c r="AA432" i="3"/>
  <c r="Z432" i="3"/>
  <c r="X432" i="3"/>
  <c r="T432" i="3"/>
  <c r="S432" i="3"/>
  <c r="AA431" i="3"/>
  <c r="Z431" i="3"/>
  <c r="X431" i="3"/>
  <c r="T431" i="3"/>
  <c r="S431" i="3"/>
  <c r="AA430" i="3"/>
  <c r="Z430" i="3"/>
  <c r="X430" i="3"/>
  <c r="T430" i="3"/>
  <c r="W430" i="3" s="1"/>
  <c r="AA429" i="3"/>
  <c r="Z429" i="3"/>
  <c r="X429" i="3"/>
  <c r="T429" i="3"/>
  <c r="AA428" i="3"/>
  <c r="Z428" i="3"/>
  <c r="X428" i="3"/>
  <c r="T428" i="3"/>
  <c r="AA427" i="3"/>
  <c r="Z427" i="3"/>
  <c r="X427" i="3"/>
  <c r="T427" i="3"/>
  <c r="W427" i="3" s="1"/>
  <c r="AA426" i="3"/>
  <c r="Z426" i="3"/>
  <c r="X426" i="3"/>
  <c r="T426" i="3"/>
  <c r="AA425" i="3"/>
  <c r="Z425" i="3"/>
  <c r="X425" i="3"/>
  <c r="T425" i="3"/>
  <c r="U425" i="3" s="1"/>
  <c r="AA424" i="3"/>
  <c r="Z424" i="3"/>
  <c r="X424" i="3"/>
  <c r="W424" i="3"/>
  <c r="T424" i="3"/>
  <c r="U424" i="3" s="1"/>
  <c r="AA423" i="3"/>
  <c r="AU656" i="19" s="1"/>
  <c r="Z423" i="3"/>
  <c r="AT656" i="19" s="1"/>
  <c r="X423" i="3"/>
  <c r="T423" i="3"/>
  <c r="AA422" i="3"/>
  <c r="Z422" i="3"/>
  <c r="AT442" i="19" s="1"/>
  <c r="X422" i="3"/>
  <c r="T422" i="3"/>
  <c r="AA421" i="3"/>
  <c r="Z421" i="3"/>
  <c r="AT441" i="19" s="1"/>
  <c r="X421" i="3"/>
  <c r="T421" i="3"/>
  <c r="W421" i="3" s="1"/>
  <c r="AA420" i="3"/>
  <c r="Z420" i="3"/>
  <c r="AT472" i="19" s="1"/>
  <c r="BH472" i="19" s="1"/>
  <c r="X420" i="3"/>
  <c r="T420" i="3"/>
  <c r="AA419" i="3"/>
  <c r="Z419" i="3"/>
  <c r="AT413" i="19" s="1"/>
  <c r="X419" i="3"/>
  <c r="T419" i="3"/>
  <c r="AA418" i="3"/>
  <c r="Z418" i="3"/>
  <c r="AT525" i="19" s="1"/>
  <c r="X418" i="3"/>
  <c r="T418" i="3"/>
  <c r="AA417" i="3"/>
  <c r="Z417" i="3"/>
  <c r="AT439" i="19" s="1"/>
  <c r="X417" i="3"/>
  <c r="T417" i="3"/>
  <c r="U417" i="3" s="1"/>
  <c r="S417" i="3"/>
  <c r="AA416" i="3"/>
  <c r="AU732" i="19" s="1"/>
  <c r="Z416" i="3"/>
  <c r="AT732" i="19" s="1"/>
  <c r="X416" i="3"/>
  <c r="T416" i="3"/>
  <c r="AA415" i="3"/>
  <c r="AU731" i="19" s="1"/>
  <c r="Z415" i="3"/>
  <c r="AT731" i="19" s="1"/>
  <c r="X415" i="3"/>
  <c r="T415" i="3"/>
  <c r="U415" i="3" s="1"/>
  <c r="AA414" i="3"/>
  <c r="AU740" i="19" s="1"/>
  <c r="Z414" i="3"/>
  <c r="AT740" i="19" s="1"/>
  <c r="X414" i="3"/>
  <c r="T414" i="3"/>
  <c r="S414" i="3"/>
  <c r="AA413" i="3"/>
  <c r="AU741" i="19" s="1"/>
  <c r="Z413" i="3"/>
  <c r="AT741" i="19" s="1"/>
  <c r="X413" i="3"/>
  <c r="T413" i="3"/>
  <c r="V413" i="3" s="1"/>
  <c r="S413" i="3"/>
  <c r="AA412" i="3"/>
  <c r="AU590" i="19" s="1"/>
  <c r="Z412" i="3"/>
  <c r="X412" i="3"/>
  <c r="T412" i="3"/>
  <c r="S412" i="3"/>
  <c r="AA411" i="3"/>
  <c r="Z411" i="3"/>
  <c r="X411" i="3"/>
  <c r="T411" i="3"/>
  <c r="AA410" i="3"/>
  <c r="Z410" i="3"/>
  <c r="AT473" i="19" s="1"/>
  <c r="X410" i="3"/>
  <c r="T410" i="3"/>
  <c r="U410" i="3" s="1"/>
  <c r="AA409" i="3"/>
  <c r="Z409" i="3"/>
  <c r="AT150" i="19" s="1"/>
  <c r="X409" i="3"/>
  <c r="T409" i="3"/>
  <c r="AA408" i="3"/>
  <c r="Z408" i="3"/>
  <c r="AT125" i="19" s="1"/>
  <c r="BH125" i="19" s="1"/>
  <c r="X408" i="3"/>
  <c r="T408" i="3"/>
  <c r="S408" i="3"/>
  <c r="AA407" i="3"/>
  <c r="Z407" i="3"/>
  <c r="X407" i="3"/>
  <c r="T407" i="3"/>
  <c r="U407" i="3" s="1"/>
  <c r="S407" i="3"/>
  <c r="AA406" i="3"/>
  <c r="AU128" i="19" s="1"/>
  <c r="Z406" i="3"/>
  <c r="X406" i="3"/>
  <c r="T406" i="3"/>
  <c r="W406" i="3" s="1"/>
  <c r="AA405" i="3"/>
  <c r="Z405" i="3"/>
  <c r="AT59" i="19" s="1"/>
  <c r="X405" i="3"/>
  <c r="T405" i="3"/>
  <c r="W405" i="3" s="1"/>
  <c r="S405" i="3"/>
  <c r="AA404" i="3"/>
  <c r="Z404" i="3"/>
  <c r="X404" i="3"/>
  <c r="T404" i="3"/>
  <c r="AA403" i="3"/>
  <c r="Z403" i="3"/>
  <c r="X403" i="3"/>
  <c r="T403" i="3"/>
  <c r="AA402" i="3"/>
  <c r="Z402" i="3"/>
  <c r="X402" i="3"/>
  <c r="T402" i="3"/>
  <c r="AA401" i="3"/>
  <c r="Z401" i="3"/>
  <c r="AT727" i="19" s="1"/>
  <c r="X401" i="3"/>
  <c r="V401" i="3"/>
  <c r="T401" i="3"/>
  <c r="U401" i="3" s="1"/>
  <c r="AA400" i="3"/>
  <c r="AU725" i="19" s="1"/>
  <c r="Z400" i="3"/>
  <c r="AT725" i="19" s="1"/>
  <c r="X400" i="3"/>
  <c r="T400" i="3"/>
  <c r="AA399" i="3"/>
  <c r="Z399" i="3"/>
  <c r="AT133" i="19" s="1"/>
  <c r="X399" i="3"/>
  <c r="T399" i="3"/>
  <c r="AA398" i="3"/>
  <c r="Z398" i="3"/>
  <c r="AT414" i="19" s="1"/>
  <c r="X398" i="3"/>
  <c r="T398" i="3"/>
  <c r="S398" i="3"/>
  <c r="AA397" i="3"/>
  <c r="Z397" i="3"/>
  <c r="AT904" i="19" s="1"/>
  <c r="X397" i="3"/>
  <c r="T397" i="3"/>
  <c r="AA396" i="3"/>
  <c r="Z396" i="3"/>
  <c r="X396" i="3"/>
  <c r="T396" i="3"/>
  <c r="S396" i="3"/>
  <c r="AA395" i="3"/>
  <c r="Z395" i="3"/>
  <c r="X395" i="3"/>
  <c r="T395" i="3"/>
  <c r="S395" i="3"/>
  <c r="AA394" i="3"/>
  <c r="Z394" i="3"/>
  <c r="X394" i="3"/>
  <c r="T394" i="3"/>
  <c r="AA393" i="3"/>
  <c r="Z393" i="3"/>
  <c r="AT585" i="19" s="1"/>
  <c r="X393" i="3"/>
  <c r="U393" i="3"/>
  <c r="T393" i="3"/>
  <c r="W393" i="3" s="1"/>
  <c r="AA392" i="3"/>
  <c r="Z392" i="3"/>
  <c r="AT371" i="19" s="1"/>
  <c r="X392" i="3"/>
  <c r="T392" i="3"/>
  <c r="S392" i="3"/>
  <c r="AA391" i="3"/>
  <c r="AU645" i="19" s="1"/>
  <c r="Z391" i="3"/>
  <c r="AT645" i="19" s="1"/>
  <c r="X391" i="3"/>
  <c r="T391" i="3"/>
  <c r="U391" i="3" s="1"/>
  <c r="S391" i="3"/>
  <c r="AA390" i="3"/>
  <c r="Z390" i="3"/>
  <c r="X390" i="3"/>
  <c r="T390" i="3"/>
  <c r="S390" i="3"/>
  <c r="AA389" i="3"/>
  <c r="AU939" i="19" s="1"/>
  <c r="Z389" i="3"/>
  <c r="AT939" i="19" s="1"/>
  <c r="X389" i="3"/>
  <c r="T389" i="3"/>
  <c r="S389" i="3"/>
  <c r="AA388" i="3"/>
  <c r="Z388" i="3"/>
  <c r="AT372" i="19" s="1"/>
  <c r="X388" i="3"/>
  <c r="T388" i="3"/>
  <c r="S388" i="3"/>
  <c r="AA387" i="3"/>
  <c r="AU119" i="19" s="1"/>
  <c r="Z387" i="3"/>
  <c r="X387" i="3"/>
  <c r="T387" i="3"/>
  <c r="V387" i="3" s="1"/>
  <c r="AA386" i="3"/>
  <c r="Z386" i="3"/>
  <c r="AT348" i="19" s="1"/>
  <c r="X386" i="3"/>
  <c r="T386" i="3"/>
  <c r="AA385" i="3"/>
  <c r="AU655" i="19" s="1"/>
  <c r="Z385" i="3"/>
  <c r="AT655" i="19" s="1"/>
  <c r="X385" i="3"/>
  <c r="T385" i="3"/>
  <c r="AA384" i="3"/>
  <c r="Z384" i="3"/>
  <c r="AT663" i="19" s="1"/>
  <c r="X384" i="3"/>
  <c r="T384" i="3"/>
  <c r="S384" i="3"/>
  <c r="AA383" i="3"/>
  <c r="Z383" i="3"/>
  <c r="X383" i="3"/>
  <c r="T383" i="3"/>
  <c r="AA382" i="3"/>
  <c r="Z382" i="3"/>
  <c r="X382" i="3"/>
  <c r="T382" i="3"/>
  <c r="S382" i="3"/>
  <c r="AA381" i="3"/>
  <c r="AU865" i="19" s="1"/>
  <c r="Z381" i="3"/>
  <c r="AT865" i="19" s="1"/>
  <c r="X381" i="3"/>
  <c r="T381" i="3"/>
  <c r="AA380" i="3"/>
  <c r="AU849" i="19" s="1"/>
  <c r="Z380" i="3"/>
  <c r="AT849" i="19" s="1"/>
  <c r="X380" i="3"/>
  <c r="T380" i="3"/>
  <c r="AA379" i="3"/>
  <c r="Z379" i="3"/>
  <c r="X379" i="3"/>
  <c r="T379" i="3"/>
  <c r="AA378" i="3"/>
  <c r="Z378" i="3"/>
  <c r="X378" i="3"/>
  <c r="T378" i="3"/>
  <c r="S378" i="3"/>
  <c r="AA377" i="3"/>
  <c r="Z377" i="3"/>
  <c r="AT280" i="19" s="1"/>
  <c r="X377" i="3"/>
  <c r="T377" i="3"/>
  <c r="W377" i="3" s="1"/>
  <c r="AA376" i="3"/>
  <c r="Z376" i="3"/>
  <c r="X376" i="3"/>
  <c r="T376" i="3"/>
  <c r="V376" i="3" s="1"/>
  <c r="S376" i="3"/>
  <c r="AA375" i="3"/>
  <c r="AU27" i="19" s="1"/>
  <c r="Z375" i="3"/>
  <c r="X375" i="3"/>
  <c r="T375" i="3"/>
  <c r="S375" i="3"/>
  <c r="AA374" i="3"/>
  <c r="Z374" i="3"/>
  <c r="X374" i="3"/>
  <c r="T374" i="3"/>
  <c r="V374" i="3" s="1"/>
  <c r="S374" i="3"/>
  <c r="AA373" i="3"/>
  <c r="Z373" i="3"/>
  <c r="X373" i="3"/>
  <c r="T373" i="3"/>
  <c r="S373" i="3"/>
  <c r="AA372" i="3"/>
  <c r="Z372" i="3"/>
  <c r="AT28" i="19" s="1"/>
  <c r="X372" i="3"/>
  <c r="T372" i="3"/>
  <c r="S372" i="3"/>
  <c r="AA371" i="3"/>
  <c r="AU458" i="19" s="1"/>
  <c r="Z371" i="3"/>
  <c r="AT458" i="19" s="1"/>
  <c r="X371" i="3"/>
  <c r="T371" i="3"/>
  <c r="AA370" i="3"/>
  <c r="AU755" i="19" s="1"/>
  <c r="Z370" i="3"/>
  <c r="AT755" i="19" s="1"/>
  <c r="X370" i="3"/>
  <c r="T370" i="3"/>
  <c r="AA369" i="3"/>
  <c r="AU523" i="19" s="1"/>
  <c r="Z369" i="3"/>
  <c r="X369" i="3"/>
  <c r="T369" i="3"/>
  <c r="V369" i="3" s="1"/>
  <c r="S369" i="3"/>
  <c r="AA368" i="3"/>
  <c r="Z368" i="3"/>
  <c r="X368" i="3"/>
  <c r="U368" i="3"/>
  <c r="T368" i="3"/>
  <c r="S368" i="3"/>
  <c r="AA367" i="3"/>
  <c r="Z367" i="3"/>
  <c r="AT240" i="19" s="1"/>
  <c r="X367" i="3"/>
  <c r="T367" i="3"/>
  <c r="S367" i="3"/>
  <c r="AA366" i="3"/>
  <c r="AU546" i="19" s="1"/>
  <c r="Z366" i="3"/>
  <c r="X366" i="3"/>
  <c r="T366" i="3"/>
  <c r="AA365" i="3"/>
  <c r="AU887" i="19" s="1"/>
  <c r="Z365" i="3"/>
  <c r="X365" i="3"/>
  <c r="T365" i="3"/>
  <c r="AA364" i="3"/>
  <c r="AU32" i="19" s="1"/>
  <c r="Z364" i="3"/>
  <c r="X364" i="3"/>
  <c r="T364" i="3"/>
  <c r="AA363" i="3"/>
  <c r="AU376" i="19" s="1"/>
  <c r="Z363" i="3"/>
  <c r="X363" i="3"/>
  <c r="T363" i="3"/>
  <c r="AA362" i="3"/>
  <c r="AU375" i="19" s="1"/>
  <c r="Z362" i="3"/>
  <c r="X362" i="3"/>
  <c r="T362" i="3"/>
  <c r="W362" i="3" s="1"/>
  <c r="AA361" i="3"/>
  <c r="Z361" i="3"/>
  <c r="X361" i="3"/>
  <c r="T361" i="3"/>
  <c r="AA360" i="3"/>
  <c r="AU373" i="19" s="1"/>
  <c r="Z360" i="3"/>
  <c r="X360" i="3"/>
  <c r="T360" i="3"/>
  <c r="U360" i="3" s="1"/>
  <c r="S360" i="3"/>
  <c r="AA359" i="3"/>
  <c r="Z359" i="3"/>
  <c r="AT650" i="19" s="1"/>
  <c r="X359" i="3"/>
  <c r="T359" i="3"/>
  <c r="AA358" i="3"/>
  <c r="AU652" i="19" s="1"/>
  <c r="Z358" i="3"/>
  <c r="X358" i="3"/>
  <c r="T358" i="3"/>
  <c r="AA357" i="3"/>
  <c r="AU651" i="19" s="1"/>
  <c r="Z357" i="3"/>
  <c r="X357" i="3"/>
  <c r="U357" i="3"/>
  <c r="T357" i="3"/>
  <c r="W357" i="3" s="1"/>
  <c r="AA356" i="3"/>
  <c r="Z356" i="3"/>
  <c r="AT913" i="19" s="1"/>
  <c r="X356" i="3"/>
  <c r="T356" i="3"/>
  <c r="AA355" i="3"/>
  <c r="Z355" i="3"/>
  <c r="AT673" i="19" s="1"/>
  <c r="X355" i="3"/>
  <c r="T355" i="3"/>
  <c r="AA354" i="3"/>
  <c r="AU522" i="19" s="1"/>
  <c r="Z354" i="3"/>
  <c r="X354" i="3"/>
  <c r="T354" i="3"/>
  <c r="AA353" i="3"/>
  <c r="AU336" i="19" s="1"/>
  <c r="Z353" i="3"/>
  <c r="X353" i="3"/>
  <c r="T353" i="3"/>
  <c r="U353" i="3" s="1"/>
  <c r="AA352" i="3"/>
  <c r="Z352" i="3"/>
  <c r="X352" i="3"/>
  <c r="T352" i="3"/>
  <c r="W352" i="3" s="1"/>
  <c r="S352" i="3"/>
  <c r="AA351" i="3"/>
  <c r="Z351" i="3"/>
  <c r="AT289" i="19" s="1"/>
  <c r="X351" i="3"/>
  <c r="T351" i="3"/>
  <c r="S351" i="3"/>
  <c r="AA350" i="3"/>
  <c r="AU412" i="19" s="1"/>
  <c r="Z350" i="3"/>
  <c r="X350" i="3"/>
  <c r="T350" i="3"/>
  <c r="S350" i="3"/>
  <c r="AA349" i="3"/>
  <c r="Z349" i="3"/>
  <c r="X349" i="3"/>
  <c r="U349" i="3"/>
  <c r="T349" i="3"/>
  <c r="W349" i="3" s="1"/>
  <c r="S349" i="3"/>
  <c r="AA348" i="3"/>
  <c r="AU404" i="19" s="1"/>
  <c r="Z348" i="3"/>
  <c r="AT404" i="19" s="1"/>
  <c r="X348" i="3"/>
  <c r="T348" i="3"/>
  <c r="S348" i="3"/>
  <c r="AA347" i="3"/>
  <c r="AU94" i="19" s="1"/>
  <c r="Z347" i="3"/>
  <c r="X347" i="3"/>
  <c r="T347" i="3"/>
  <c r="AA346" i="3"/>
  <c r="Z346" i="3"/>
  <c r="X346" i="3"/>
  <c r="T346" i="3"/>
  <c r="S346" i="3"/>
  <c r="AA345" i="3"/>
  <c r="Z345" i="3"/>
  <c r="X345" i="3"/>
  <c r="T345" i="3"/>
  <c r="S345" i="3"/>
  <c r="AA344" i="3"/>
  <c r="Z344" i="3"/>
  <c r="X344" i="3"/>
  <c r="T344" i="3"/>
  <c r="S344" i="3"/>
  <c r="AA343" i="3"/>
  <c r="AU411" i="19" s="1"/>
  <c r="Z343" i="3"/>
  <c r="AT411" i="19" s="1"/>
  <c r="X343" i="3"/>
  <c r="T343" i="3"/>
  <c r="S343" i="3"/>
  <c r="AA342" i="3"/>
  <c r="AU222" i="19" s="1"/>
  <c r="Z342" i="3"/>
  <c r="X342" i="3"/>
  <c r="T342" i="3"/>
  <c r="V342" i="3" s="1"/>
  <c r="AA341" i="3"/>
  <c r="AU350" i="19" s="1"/>
  <c r="Z341" i="3"/>
  <c r="X341" i="3"/>
  <c r="T341" i="3"/>
  <c r="AA340" i="3"/>
  <c r="AU349" i="19" s="1"/>
  <c r="Z340" i="3"/>
  <c r="X340" i="3"/>
  <c r="T340" i="3"/>
  <c r="AA339" i="3"/>
  <c r="AU120" i="19" s="1"/>
  <c r="Z339" i="3"/>
  <c r="X339" i="3"/>
  <c r="T339" i="3"/>
  <c r="U339" i="3" s="1"/>
  <c r="S339" i="3"/>
  <c r="AA338" i="3"/>
  <c r="AU369" i="19" s="1"/>
  <c r="Z338" i="3"/>
  <c r="AT369" i="19" s="1"/>
  <c r="X338" i="3"/>
  <c r="T338" i="3"/>
  <c r="S338" i="3"/>
  <c r="AA337" i="3"/>
  <c r="Z337" i="3"/>
  <c r="AT374" i="19" s="1"/>
  <c r="X337" i="3"/>
  <c r="T337" i="3"/>
  <c r="S337" i="3"/>
  <c r="AA336" i="3"/>
  <c r="Z336" i="3"/>
  <c r="AT387" i="19" s="1"/>
  <c r="X336" i="3"/>
  <c r="T336" i="3"/>
  <c r="S336" i="3"/>
  <c r="AA335" i="3"/>
  <c r="AU661" i="19" s="1"/>
  <c r="Z335" i="3"/>
  <c r="X335" i="3"/>
  <c r="T335" i="3"/>
  <c r="U335" i="3" s="1"/>
  <c r="AA334" i="3"/>
  <c r="Z334" i="3"/>
  <c r="X334" i="3"/>
  <c r="T334" i="3"/>
  <c r="V334" i="3" s="1"/>
  <c r="S334" i="3"/>
  <c r="AA333" i="3"/>
  <c r="AU658" i="19" s="1"/>
  <c r="Z333" i="3"/>
  <c r="AT658" i="19" s="1"/>
  <c r="X333" i="3"/>
  <c r="T333" i="3"/>
  <c r="AA332" i="3"/>
  <c r="AU657" i="19" s="1"/>
  <c r="Z332" i="3"/>
  <c r="X332" i="3"/>
  <c r="T332" i="3"/>
  <c r="AA331" i="3"/>
  <c r="AU312" i="19" s="1"/>
  <c r="Z331" i="3"/>
  <c r="X331" i="3"/>
  <c r="T331" i="3"/>
  <c r="V331" i="3" s="1"/>
  <c r="AA330" i="3"/>
  <c r="Z330" i="3"/>
  <c r="X330" i="3"/>
  <c r="T330" i="3"/>
  <c r="U330" i="3" s="1"/>
  <c r="S330" i="3"/>
  <c r="AA329" i="3"/>
  <c r="Z329" i="3"/>
  <c r="AT763" i="19" s="1"/>
  <c r="X329" i="3"/>
  <c r="T329" i="3"/>
  <c r="AA328" i="3"/>
  <c r="Z328" i="3"/>
  <c r="X328" i="3"/>
  <c r="U328" i="3"/>
  <c r="T328" i="3"/>
  <c r="AA327" i="3"/>
  <c r="AU762" i="19" s="1"/>
  <c r="Z327" i="3"/>
  <c r="AT762" i="19" s="1"/>
  <c r="X327" i="3"/>
  <c r="T327" i="3"/>
  <c r="S327" i="3"/>
  <c r="AA326" i="3"/>
  <c r="Z326" i="3"/>
  <c r="X326" i="3"/>
  <c r="T326" i="3"/>
  <c r="U326" i="3" s="1"/>
  <c r="S326" i="3"/>
  <c r="AA325" i="3"/>
  <c r="Z325" i="3"/>
  <c r="X325" i="3"/>
  <c r="T325" i="3"/>
  <c r="S325" i="3"/>
  <c r="AA324" i="3"/>
  <c r="Z324" i="3"/>
  <c r="X324" i="3"/>
  <c r="T324" i="3"/>
  <c r="S324" i="3"/>
  <c r="AA323" i="3"/>
  <c r="AU364" i="19" s="1"/>
  <c r="Z323" i="3"/>
  <c r="AT364" i="19" s="1"/>
  <c r="X323" i="3"/>
  <c r="T323" i="3"/>
  <c r="S323" i="3"/>
  <c r="AA322" i="3"/>
  <c r="AU362" i="19" s="1"/>
  <c r="Z322" i="3"/>
  <c r="X322" i="3"/>
  <c r="T322" i="3"/>
  <c r="U322" i="3" s="1"/>
  <c r="S322" i="3"/>
  <c r="AA321" i="3"/>
  <c r="Z321" i="3"/>
  <c r="X321" i="3"/>
  <c r="T321" i="3"/>
  <c r="AA320" i="3"/>
  <c r="Z320" i="3"/>
  <c r="X320" i="3"/>
  <c r="W320" i="3"/>
  <c r="T320" i="3"/>
  <c r="U320" i="3" s="1"/>
  <c r="S320" i="3"/>
  <c r="AA319" i="3"/>
  <c r="Z319" i="3"/>
  <c r="X319" i="3"/>
  <c r="T319" i="3"/>
  <c r="S319" i="3"/>
  <c r="AA318" i="3"/>
  <c r="AU574" i="19" s="1"/>
  <c r="Z318" i="3"/>
  <c r="X318" i="3"/>
  <c r="T318" i="3"/>
  <c r="AA317" i="3"/>
  <c r="AU847" i="19" s="1"/>
  <c r="Z317" i="3"/>
  <c r="X317" i="3"/>
  <c r="T317" i="3"/>
  <c r="W317" i="3" s="1"/>
  <c r="AA316" i="3"/>
  <c r="Z316" i="3"/>
  <c r="X316" i="3"/>
  <c r="T316" i="3"/>
  <c r="AA315" i="3"/>
  <c r="AU738" i="19" s="1"/>
  <c r="Z315" i="3"/>
  <c r="X315" i="3"/>
  <c r="T315" i="3"/>
  <c r="U315" i="3" s="1"/>
  <c r="S315" i="3"/>
  <c r="AA314" i="3"/>
  <c r="Z314" i="3"/>
  <c r="X314" i="3"/>
  <c r="T314" i="3"/>
  <c r="S314" i="3"/>
  <c r="AA313" i="3"/>
  <c r="Z313" i="3"/>
  <c r="X313" i="3"/>
  <c r="T313" i="3"/>
  <c r="S313" i="3"/>
  <c r="AA312" i="3"/>
  <c r="Z312" i="3"/>
  <c r="AT488" i="19" s="1"/>
  <c r="X312" i="3"/>
  <c r="T312" i="3"/>
  <c r="S312" i="3"/>
  <c r="AA311" i="3"/>
  <c r="Z311" i="3"/>
  <c r="X311" i="3"/>
  <c r="T311" i="3"/>
  <c r="U311" i="3" s="1"/>
  <c r="AA310" i="3"/>
  <c r="Z310" i="3"/>
  <c r="X310" i="3"/>
  <c r="T310" i="3"/>
  <c r="U310" i="3" s="1"/>
  <c r="AA309" i="3"/>
  <c r="Z309" i="3"/>
  <c r="X309" i="3"/>
  <c r="T309" i="3"/>
  <c r="AA308" i="3"/>
  <c r="Z308" i="3"/>
  <c r="X308" i="3"/>
  <c r="U308" i="3"/>
  <c r="T308" i="3"/>
  <c r="AA307" i="3"/>
  <c r="Z307" i="3"/>
  <c r="AT846" i="19" s="1"/>
  <c r="X307" i="3"/>
  <c r="T307" i="3"/>
  <c r="AA306" i="3"/>
  <c r="Z306" i="3"/>
  <c r="X306" i="3"/>
  <c r="T306" i="3"/>
  <c r="V306" i="3" s="1"/>
  <c r="AA305" i="3"/>
  <c r="AU548" i="19" s="1"/>
  <c r="Z305" i="3"/>
  <c r="X305" i="3"/>
  <c r="T305" i="3"/>
  <c r="AA304" i="3"/>
  <c r="AU604" i="19" s="1"/>
  <c r="Z304" i="3"/>
  <c r="X304" i="3"/>
  <c r="T304" i="3"/>
  <c r="S304" i="3"/>
  <c r="AA303" i="3"/>
  <c r="AU454" i="19" s="1"/>
  <c r="Z303" i="3"/>
  <c r="X303" i="3"/>
  <c r="T303" i="3"/>
  <c r="U303" i="3" s="1"/>
  <c r="AA302" i="3"/>
  <c r="Z302" i="3"/>
  <c r="X302" i="3"/>
  <c r="T302" i="3"/>
  <c r="AA301" i="3"/>
  <c r="Z301" i="3"/>
  <c r="X301" i="3"/>
  <c r="T301" i="3"/>
  <c r="S301" i="3"/>
  <c r="AA300" i="3"/>
  <c r="Z300" i="3"/>
  <c r="AT680" i="19" s="1"/>
  <c r="X300" i="3"/>
  <c r="T300" i="3"/>
  <c r="S300" i="3"/>
  <c r="AA299" i="3"/>
  <c r="AU484" i="19" s="1"/>
  <c r="Z299" i="3"/>
  <c r="X299" i="3"/>
  <c r="T299" i="3"/>
  <c r="AA298" i="3"/>
  <c r="Z298" i="3"/>
  <c r="X298" i="3"/>
  <c r="T298" i="3"/>
  <c r="AA297" i="3"/>
  <c r="Z297" i="3"/>
  <c r="X297" i="3"/>
  <c r="T297" i="3"/>
  <c r="AA296" i="3"/>
  <c r="Z296" i="3"/>
  <c r="X296" i="3"/>
  <c r="T296" i="3"/>
  <c r="AA295" i="3"/>
  <c r="Z295" i="3"/>
  <c r="X295" i="3"/>
  <c r="T295" i="3"/>
  <c r="V295" i="3" s="1"/>
  <c r="AA294" i="3"/>
  <c r="Z294" i="3"/>
  <c r="X294" i="3"/>
  <c r="V294" i="3"/>
  <c r="T294" i="3"/>
  <c r="W294" i="3" s="1"/>
  <c r="AA293" i="3"/>
  <c r="Z293" i="3"/>
  <c r="AT467" i="19" s="1"/>
  <c r="X293" i="3"/>
  <c r="T293" i="3"/>
  <c r="AA292" i="3"/>
  <c r="Z292" i="3"/>
  <c r="AT466" i="19" s="1"/>
  <c r="X292" i="3"/>
  <c r="T292" i="3"/>
  <c r="AA291" i="3"/>
  <c r="Z291" i="3"/>
  <c r="AT264" i="19" s="1"/>
  <c r="X291" i="3"/>
  <c r="W291" i="3"/>
  <c r="T291" i="3"/>
  <c r="U291" i="3" s="1"/>
  <c r="AA290" i="3"/>
  <c r="AU263" i="19" s="1"/>
  <c r="Z290" i="3"/>
  <c r="X290" i="3"/>
  <c r="T290" i="3"/>
  <c r="AA289" i="3"/>
  <c r="Z289" i="3"/>
  <c r="X289" i="3"/>
  <c r="T289" i="3"/>
  <c r="AA288" i="3"/>
  <c r="Z288" i="3"/>
  <c r="X288" i="3"/>
  <c r="T288" i="3"/>
  <c r="W288" i="3" s="1"/>
  <c r="AA287" i="3"/>
  <c r="Z287" i="3"/>
  <c r="X287" i="3"/>
  <c r="T287" i="3"/>
  <c r="AA286" i="3"/>
  <c r="AU468" i="19" s="1"/>
  <c r="Z286" i="3"/>
  <c r="X286" i="3"/>
  <c r="T286" i="3"/>
  <c r="AA285" i="3"/>
  <c r="AU724" i="19" s="1"/>
  <c r="Z285" i="3"/>
  <c r="AT724" i="19" s="1"/>
  <c r="X285" i="3"/>
  <c r="T285" i="3"/>
  <c r="U285" i="3" s="1"/>
  <c r="AA284" i="3"/>
  <c r="AU465" i="19" s="1"/>
  <c r="Z284" i="3"/>
  <c r="AT465" i="19" s="1"/>
  <c r="X284" i="3"/>
  <c r="T284" i="3"/>
  <c r="AA283" i="3"/>
  <c r="Z283" i="3"/>
  <c r="X283" i="3"/>
  <c r="T283" i="3"/>
  <c r="AA282" i="3"/>
  <c r="Z282" i="3"/>
  <c r="X282" i="3"/>
  <c r="T282" i="3"/>
  <c r="AA281" i="3"/>
  <c r="AU258" i="19" s="1"/>
  <c r="Z281" i="3"/>
  <c r="X281" i="3"/>
  <c r="T281" i="3"/>
  <c r="AA280" i="3"/>
  <c r="Z280" i="3"/>
  <c r="X280" i="3"/>
  <c r="T280" i="3"/>
  <c r="AA279" i="3"/>
  <c r="AU256" i="19" s="1"/>
  <c r="Z279" i="3"/>
  <c r="X279" i="3"/>
  <c r="T279" i="3"/>
  <c r="AA278" i="3"/>
  <c r="AU267" i="19" s="1"/>
  <c r="Z278" i="3"/>
  <c r="X278" i="3"/>
  <c r="T278" i="3"/>
  <c r="W278" i="3" s="1"/>
  <c r="AA277" i="3"/>
  <c r="AU908" i="19" s="1"/>
  <c r="Z277" i="3"/>
  <c r="AT908" i="19" s="1"/>
  <c r="X277" i="3"/>
  <c r="T277" i="3"/>
  <c r="AA276" i="3"/>
  <c r="Z276" i="3"/>
  <c r="X276" i="3"/>
  <c r="T276" i="3"/>
  <c r="S276" i="3"/>
  <c r="AA275" i="3"/>
  <c r="AU589" i="19" s="1"/>
  <c r="Z275" i="3"/>
  <c r="X275" i="3"/>
  <c r="T275" i="3"/>
  <c r="S275" i="3"/>
  <c r="AA274" i="3"/>
  <c r="Z274" i="3"/>
  <c r="X274" i="3"/>
  <c r="T274" i="3"/>
  <c r="AA273" i="3"/>
  <c r="Z273" i="3"/>
  <c r="AT905" i="19" s="1"/>
  <c r="X273" i="3"/>
  <c r="V273" i="3"/>
  <c r="T273" i="3"/>
  <c r="W273" i="3" s="1"/>
  <c r="AA272" i="3"/>
  <c r="Z272" i="3"/>
  <c r="X272" i="3"/>
  <c r="T272" i="3"/>
  <c r="AA271" i="3"/>
  <c r="Z271" i="3"/>
  <c r="X271" i="3"/>
  <c r="T271" i="3"/>
  <c r="AA270" i="3"/>
  <c r="Z270" i="3"/>
  <c r="AT483" i="19" s="1"/>
  <c r="X270" i="3"/>
  <c r="T270" i="3"/>
  <c r="AA269" i="3"/>
  <c r="Z269" i="3"/>
  <c r="X269" i="3"/>
  <c r="T269" i="3"/>
  <c r="AA268" i="3"/>
  <c r="Z268" i="3"/>
  <c r="X268" i="3"/>
  <c r="T268" i="3"/>
  <c r="AA267" i="3"/>
  <c r="AU524" i="19" s="1"/>
  <c r="Z267" i="3"/>
  <c r="AT524" i="19" s="1"/>
  <c r="X267" i="3"/>
  <c r="T267" i="3"/>
  <c r="S267" i="3"/>
  <c r="AA266" i="3"/>
  <c r="Z266" i="3"/>
  <c r="X266" i="3"/>
  <c r="T266" i="3"/>
  <c r="W266" i="3" s="1"/>
  <c r="AA265" i="3"/>
  <c r="Z265" i="3"/>
  <c r="X265" i="3"/>
  <c r="T265" i="3"/>
  <c r="S265" i="3"/>
  <c r="AA264" i="3"/>
  <c r="Z264" i="3"/>
  <c r="X264" i="3"/>
  <c r="T264" i="3"/>
  <c r="S264" i="3"/>
  <c r="AA263" i="3"/>
  <c r="AU922" i="19" s="1"/>
  <c r="Z263" i="3"/>
  <c r="AT922" i="19" s="1"/>
  <c r="X263" i="3"/>
  <c r="T263" i="3"/>
  <c r="AA262" i="3"/>
  <c r="Z262" i="3"/>
  <c r="X262" i="3"/>
  <c r="T262" i="3"/>
  <c r="W262" i="3" s="1"/>
  <c r="S262" i="3"/>
  <c r="AA261" i="3"/>
  <c r="Z261" i="3"/>
  <c r="X261" i="3"/>
  <c r="T261" i="3"/>
  <c r="W261" i="3" s="1"/>
  <c r="S261" i="3"/>
  <c r="AA260" i="3"/>
  <c r="Z260" i="3"/>
  <c r="X260" i="3"/>
  <c r="T260" i="3"/>
  <c r="W260" i="3" s="1"/>
  <c r="S260" i="3"/>
  <c r="AA259" i="3"/>
  <c r="Z259" i="3"/>
  <c r="X259" i="3"/>
  <c r="T259" i="3"/>
  <c r="W259" i="3" s="1"/>
  <c r="S259" i="3"/>
  <c r="AA258" i="3"/>
  <c r="Z258" i="3"/>
  <c r="X258" i="3"/>
  <c r="T258" i="3"/>
  <c r="W258" i="3" s="1"/>
  <c r="S258" i="3"/>
  <c r="AA257" i="3"/>
  <c r="AU777" i="19" s="1"/>
  <c r="Z257" i="3"/>
  <c r="X257" i="3"/>
  <c r="T257" i="3"/>
  <c r="W257" i="3" s="1"/>
  <c r="S257" i="3"/>
  <c r="AA256" i="3"/>
  <c r="Z256" i="3"/>
  <c r="X256" i="3"/>
  <c r="T256" i="3"/>
  <c r="W256" i="3" s="1"/>
  <c r="S256" i="3"/>
  <c r="AA255" i="3"/>
  <c r="Z255" i="3"/>
  <c r="X255" i="3"/>
  <c r="T255" i="3"/>
  <c r="W255" i="3" s="1"/>
  <c r="S255" i="3"/>
  <c r="AA254" i="3"/>
  <c r="Z254" i="3"/>
  <c r="X254" i="3"/>
  <c r="T254" i="3"/>
  <c r="W254" i="3" s="1"/>
  <c r="S254" i="3"/>
  <c r="AA253" i="3"/>
  <c r="Z253" i="3"/>
  <c r="AT572" i="19" s="1"/>
  <c r="X253" i="3"/>
  <c r="T253" i="3"/>
  <c r="W253" i="3" s="1"/>
  <c r="AA252" i="3"/>
  <c r="Z252" i="3"/>
  <c r="X252" i="3"/>
  <c r="T252" i="3"/>
  <c r="S252" i="3"/>
  <c r="AA251" i="3"/>
  <c r="Z251" i="3"/>
  <c r="X251" i="3"/>
  <c r="T251" i="3"/>
  <c r="W251" i="3" s="1"/>
  <c r="S251" i="3"/>
  <c r="AA250" i="3"/>
  <c r="Z250" i="3"/>
  <c r="AT570" i="19" s="1"/>
  <c r="X250" i="3"/>
  <c r="T250" i="3"/>
  <c r="AA249" i="3"/>
  <c r="Z249" i="3"/>
  <c r="AT307" i="19" s="1"/>
  <c r="X249" i="3"/>
  <c r="T249" i="3"/>
  <c r="AA248" i="3"/>
  <c r="Z248" i="3"/>
  <c r="X248" i="3"/>
  <c r="T248" i="3"/>
  <c r="S248" i="3"/>
  <c r="AA247" i="3"/>
  <c r="AU571" i="19" s="1"/>
  <c r="Z247" i="3"/>
  <c r="AT571" i="19" s="1"/>
  <c r="X247" i="3"/>
  <c r="T247" i="3"/>
  <c r="W247" i="3" s="1"/>
  <c r="AA246" i="3"/>
  <c r="Z246" i="3"/>
  <c r="X246" i="3"/>
  <c r="T246" i="3"/>
  <c r="S246" i="3"/>
  <c r="AA245" i="3"/>
  <c r="AU888" i="19" s="1"/>
  <c r="Z245" i="3"/>
  <c r="X245" i="3"/>
  <c r="T245" i="3"/>
  <c r="AA244" i="3"/>
  <c r="Z244" i="3"/>
  <c r="X244" i="3"/>
  <c r="T244" i="3"/>
  <c r="AA243" i="3"/>
  <c r="AU857" i="19" s="1"/>
  <c r="Z243" i="3"/>
  <c r="AT857" i="19" s="1"/>
  <c r="X243" i="3"/>
  <c r="T243" i="3"/>
  <c r="AA242" i="3"/>
  <c r="Z242" i="3"/>
  <c r="AT859" i="19" s="1"/>
  <c r="X242" i="3"/>
  <c r="T242" i="3"/>
  <c r="V242" i="3" s="1"/>
  <c r="AA241" i="3"/>
  <c r="AU858" i="19" s="1"/>
  <c r="Z241" i="3"/>
  <c r="AT858" i="19" s="1"/>
  <c r="X241" i="3"/>
  <c r="T241" i="3"/>
  <c r="U241" i="3" s="1"/>
  <c r="AA240" i="3"/>
  <c r="AU22" i="19" s="1"/>
  <c r="Z240" i="3"/>
  <c r="X240" i="3"/>
  <c r="T240" i="3"/>
  <c r="S240" i="3"/>
  <c r="AA239" i="3"/>
  <c r="Z239" i="3"/>
  <c r="X239" i="3"/>
  <c r="T239" i="3"/>
  <c r="S239" i="3"/>
  <c r="AA238" i="3"/>
  <c r="AU677" i="19" s="1"/>
  <c r="Z238" i="3"/>
  <c r="AT677" i="19" s="1"/>
  <c r="X238" i="3"/>
  <c r="T238" i="3"/>
  <c r="AA237" i="3"/>
  <c r="AU716" i="19" s="1"/>
  <c r="Z237" i="3"/>
  <c r="AT716" i="19" s="1"/>
  <c r="X237" i="3"/>
  <c r="T237" i="3"/>
  <c r="AA236" i="3"/>
  <c r="Z236" i="3"/>
  <c r="AT811" i="19" s="1"/>
  <c r="X236" i="3"/>
  <c r="T236" i="3"/>
  <c r="S236" i="3"/>
  <c r="AA235" i="3"/>
  <c r="Z235" i="3"/>
  <c r="X235" i="3"/>
  <c r="T235" i="3"/>
  <c r="W235" i="3" s="1"/>
  <c r="AA234" i="3"/>
  <c r="AU579" i="19" s="1"/>
  <c r="Z234" i="3"/>
  <c r="AT579" i="19" s="1"/>
  <c r="X234" i="3"/>
  <c r="T234" i="3"/>
  <c r="AA233" i="3"/>
  <c r="AU66" i="19" s="1"/>
  <c r="Z233" i="3"/>
  <c r="X233" i="3"/>
  <c r="T233" i="3"/>
  <c r="S233" i="3"/>
  <c r="AA232" i="3"/>
  <c r="Z232" i="3"/>
  <c r="AT63" i="19" s="1"/>
  <c r="X232" i="3"/>
  <c r="T232" i="3"/>
  <c r="S232" i="3"/>
  <c r="AA231" i="3"/>
  <c r="AU64" i="19" s="1"/>
  <c r="Z231" i="3"/>
  <c r="X231" i="3"/>
  <c r="T231" i="3"/>
  <c r="S231" i="3"/>
  <c r="AA230" i="3"/>
  <c r="Z230" i="3"/>
  <c r="X230" i="3"/>
  <c r="T230" i="3"/>
  <c r="S230" i="3"/>
  <c r="AA229" i="3"/>
  <c r="Z229" i="3"/>
  <c r="X229" i="3"/>
  <c r="T229" i="3"/>
  <c r="S229" i="3"/>
  <c r="AA228" i="3"/>
  <c r="Z228" i="3"/>
  <c r="X228" i="3"/>
  <c r="T228" i="3"/>
  <c r="S228" i="3"/>
  <c r="AA227" i="3"/>
  <c r="AU747" i="19" s="1"/>
  <c r="Z227" i="3"/>
  <c r="X227" i="3"/>
  <c r="T227" i="3"/>
  <c r="S227" i="3"/>
  <c r="AA226" i="3"/>
  <c r="Z226" i="3"/>
  <c r="AT65" i="19" s="1"/>
  <c r="X226" i="3"/>
  <c r="T226" i="3"/>
  <c r="AA225" i="3"/>
  <c r="Z225" i="3"/>
  <c r="AT490" i="19" s="1"/>
  <c r="X225" i="3"/>
  <c r="T225" i="3"/>
  <c r="S225" i="3"/>
  <c r="AA224" i="3"/>
  <c r="AU477" i="19" s="1"/>
  <c r="Z224" i="3"/>
  <c r="AT477" i="19" s="1"/>
  <c r="X224" i="3"/>
  <c r="T224" i="3"/>
  <c r="AA223" i="3"/>
  <c r="AU769" i="19" s="1"/>
  <c r="Z223" i="3"/>
  <c r="AT769" i="19" s="1"/>
  <c r="BH769" i="19" s="1"/>
  <c r="X223" i="3"/>
  <c r="T223" i="3"/>
  <c r="AA222" i="3"/>
  <c r="AU142" i="19" s="1"/>
  <c r="Z222" i="3"/>
  <c r="X222" i="3"/>
  <c r="T222" i="3"/>
  <c r="AA221" i="3"/>
  <c r="AU143" i="19" s="1"/>
  <c r="Z221" i="3"/>
  <c r="X221" i="3"/>
  <c r="T221" i="3"/>
  <c r="W221" i="3" s="1"/>
  <c r="AA220" i="3"/>
  <c r="AU745" i="19" s="1"/>
  <c r="Z220" i="3"/>
  <c r="AT745" i="19" s="1"/>
  <c r="X220" i="3"/>
  <c r="T220" i="3"/>
  <c r="W220" i="3" s="1"/>
  <c r="AA219" i="3"/>
  <c r="Z219" i="3"/>
  <c r="X219" i="3"/>
  <c r="T219" i="3"/>
  <c r="AA218" i="3"/>
  <c r="Z218" i="3"/>
  <c r="X218" i="3"/>
  <c r="T218" i="3"/>
  <c r="S218" i="3"/>
  <c r="AA217" i="3"/>
  <c r="Z217" i="3"/>
  <c r="X217" i="3"/>
  <c r="T217" i="3"/>
  <c r="U217" i="3" s="1"/>
  <c r="S217" i="3"/>
  <c r="AA216" i="3"/>
  <c r="Z216" i="3"/>
  <c r="AT586" i="19" s="1"/>
  <c r="X216" i="3"/>
  <c r="T216" i="3"/>
  <c r="S216" i="3"/>
  <c r="AA215" i="3"/>
  <c r="AU287" i="19" s="1"/>
  <c r="Z215" i="3"/>
  <c r="AT287" i="19" s="1"/>
  <c r="BH287" i="19" s="1"/>
  <c r="X215" i="3"/>
  <c r="T215" i="3"/>
  <c r="U215" i="3" s="1"/>
  <c r="S215" i="3"/>
  <c r="AA214" i="3"/>
  <c r="AU654" i="19" s="1"/>
  <c r="Z214" i="3"/>
  <c r="X214" i="3"/>
  <c r="T214" i="3"/>
  <c r="AA213" i="3"/>
  <c r="Z213" i="3"/>
  <c r="X213" i="3"/>
  <c r="T213" i="3"/>
  <c r="AA212" i="3"/>
  <c r="Z212" i="3"/>
  <c r="X212" i="3"/>
  <c r="T212" i="3"/>
  <c r="AA211" i="3"/>
  <c r="Z211" i="3"/>
  <c r="X211" i="3"/>
  <c r="T211" i="3"/>
  <c r="S211" i="3"/>
  <c r="AA210" i="3"/>
  <c r="Z210" i="3"/>
  <c r="X210" i="3"/>
  <c r="T210" i="3"/>
  <c r="S210" i="3"/>
  <c r="AA209" i="3"/>
  <c r="AU273" i="19" s="1"/>
  <c r="Z209" i="3"/>
  <c r="X209" i="3"/>
  <c r="T209" i="3"/>
  <c r="W209" i="3" s="1"/>
  <c r="AA208" i="3"/>
  <c r="Z208" i="3"/>
  <c r="X208" i="3"/>
  <c r="T208" i="3"/>
  <c r="S208" i="3"/>
  <c r="AA207" i="3"/>
  <c r="Z207" i="3"/>
  <c r="X207" i="3"/>
  <c r="T207" i="3"/>
  <c r="AA206" i="3"/>
  <c r="AU598" i="19" s="1"/>
  <c r="Z206" i="3"/>
  <c r="AT598" i="19" s="1"/>
  <c r="X206" i="3"/>
  <c r="T206" i="3"/>
  <c r="AA205" i="3"/>
  <c r="Z205" i="3"/>
  <c r="AT389" i="19" s="1"/>
  <c r="X205" i="3"/>
  <c r="T205" i="3"/>
  <c r="AA204" i="3"/>
  <c r="AU117" i="19" s="1"/>
  <c r="Z204" i="3"/>
  <c r="AT117" i="19" s="1"/>
  <c r="X204" i="3"/>
  <c r="T204" i="3"/>
  <c r="V204" i="3" s="1"/>
  <c r="AA203" i="3"/>
  <c r="Z203" i="3"/>
  <c r="X203" i="3"/>
  <c r="T203" i="3"/>
  <c r="U203" i="3" s="1"/>
  <c r="AA202" i="3"/>
  <c r="Z202" i="3"/>
  <c r="AT116" i="19" s="1"/>
  <c r="X202" i="3"/>
  <c r="T202" i="3"/>
  <c r="AA201" i="3"/>
  <c r="AU912" i="19" s="1"/>
  <c r="Z201" i="3"/>
  <c r="X201" i="3"/>
  <c r="T201" i="3"/>
  <c r="AA200" i="3"/>
  <c r="Z200" i="3"/>
  <c r="AT37" i="19" s="1"/>
  <c r="X200" i="3"/>
  <c r="T200" i="3"/>
  <c r="W200" i="3" s="1"/>
  <c r="AA199" i="3"/>
  <c r="Z199" i="3"/>
  <c r="AT153" i="19" s="1"/>
  <c r="X199" i="3"/>
  <c r="T199" i="3"/>
  <c r="AA198" i="3"/>
  <c r="Z198" i="3"/>
  <c r="AT154" i="19" s="1"/>
  <c r="X198" i="3"/>
  <c r="T198" i="3"/>
  <c r="W198" i="3" s="1"/>
  <c r="AA197" i="3"/>
  <c r="Z197" i="3"/>
  <c r="AT333" i="19" s="1"/>
  <c r="X197" i="3"/>
  <c r="U197" i="3"/>
  <c r="T197" i="3"/>
  <c r="W197" i="3" s="1"/>
  <c r="S197" i="3"/>
  <c r="AA196" i="3"/>
  <c r="Z196" i="3"/>
  <c r="AT332" i="19" s="1"/>
  <c r="X196" i="3"/>
  <c r="T196" i="3"/>
  <c r="S196" i="3"/>
  <c r="AA195" i="3"/>
  <c r="AU38" i="19" s="1"/>
  <c r="Z195" i="3"/>
  <c r="X195" i="3"/>
  <c r="T195" i="3"/>
  <c r="W195" i="3" s="1"/>
  <c r="AA194" i="3"/>
  <c r="AU602" i="19" s="1"/>
  <c r="Z194" i="3"/>
  <c r="X194" i="3"/>
  <c r="T194" i="3"/>
  <c r="S194" i="3"/>
  <c r="AA193" i="3"/>
  <c r="Z193" i="3"/>
  <c r="AT601" i="19" s="1"/>
  <c r="X193" i="3"/>
  <c r="T193" i="3"/>
  <c r="W193" i="3" s="1"/>
  <c r="AA192" i="3"/>
  <c r="Z192" i="3"/>
  <c r="AT232" i="19" s="1"/>
  <c r="X192" i="3"/>
  <c r="T192" i="3"/>
  <c r="V192" i="3" s="1"/>
  <c r="S192" i="3"/>
  <c r="AA191" i="3"/>
  <c r="AU234" i="19" s="1"/>
  <c r="Z191" i="3"/>
  <c r="X191" i="3"/>
  <c r="T191" i="3"/>
  <c r="S191" i="3"/>
  <c r="AA190" i="3"/>
  <c r="Z190" i="3"/>
  <c r="X190" i="3"/>
  <c r="T190" i="3"/>
  <c r="AA189" i="3"/>
  <c r="AU386" i="19" s="1"/>
  <c r="Z189" i="3"/>
  <c r="X189" i="3"/>
  <c r="T189" i="3"/>
  <c r="U189" i="3" s="1"/>
  <c r="S189" i="3"/>
  <c r="AA188" i="3"/>
  <c r="Z188" i="3"/>
  <c r="X188" i="3"/>
  <c r="T188" i="3"/>
  <c r="U188" i="3" s="1"/>
  <c r="AA187" i="3"/>
  <c r="Z187" i="3"/>
  <c r="X187" i="3"/>
  <c r="T187" i="3"/>
  <c r="U187" i="3" s="1"/>
  <c r="AA186" i="3"/>
  <c r="Z186" i="3"/>
  <c r="X186" i="3"/>
  <c r="T186" i="3"/>
  <c r="W186" i="3" s="1"/>
  <c r="AA185" i="3"/>
  <c r="Z185" i="3"/>
  <c r="X185" i="3"/>
  <c r="T185" i="3"/>
  <c r="AA184" i="3"/>
  <c r="Z184" i="3"/>
  <c r="X184" i="3"/>
  <c r="T184" i="3"/>
  <c r="U184" i="3" s="1"/>
  <c r="AA183" i="3"/>
  <c r="Z183" i="3"/>
  <c r="X183" i="3"/>
  <c r="T183" i="3"/>
  <c r="V183" i="3" s="1"/>
  <c r="AA182" i="3"/>
  <c r="AU199" i="19" s="1"/>
  <c r="Z182" i="3"/>
  <c r="X182" i="3"/>
  <c r="T182" i="3"/>
  <c r="W182" i="3" s="1"/>
  <c r="AA181" i="3"/>
  <c r="AU198" i="19" s="1"/>
  <c r="Z181" i="3"/>
  <c r="X181" i="3"/>
  <c r="T181" i="3"/>
  <c r="AA180" i="3"/>
  <c r="Z180" i="3"/>
  <c r="X180" i="3"/>
  <c r="T180" i="3"/>
  <c r="U180" i="3" s="1"/>
  <c r="S180" i="3"/>
  <c r="AA179" i="3"/>
  <c r="Z179" i="3"/>
  <c r="X179" i="3"/>
  <c r="T179" i="3"/>
  <c r="U179" i="3" s="1"/>
  <c r="S179" i="3"/>
  <c r="AA178" i="3"/>
  <c r="Z178" i="3"/>
  <c r="X178" i="3"/>
  <c r="T178" i="3"/>
  <c r="U178" i="3" s="1"/>
  <c r="S178" i="3"/>
  <c r="AA177" i="3"/>
  <c r="Z177" i="3"/>
  <c r="X177" i="3"/>
  <c r="T177" i="3"/>
  <c r="W177" i="3" s="1"/>
  <c r="S177" i="3"/>
  <c r="AA176" i="3"/>
  <c r="Z176" i="3"/>
  <c r="X176" i="3"/>
  <c r="T176" i="3"/>
  <c r="U176" i="3" s="1"/>
  <c r="S176" i="3"/>
  <c r="AA175" i="3"/>
  <c r="Z175" i="3"/>
  <c r="AT891" i="19" s="1"/>
  <c r="X175" i="3"/>
  <c r="T175" i="3"/>
  <c r="U175" i="3" s="1"/>
  <c r="S175" i="3"/>
  <c r="AA174" i="3"/>
  <c r="AU705" i="19" s="1"/>
  <c r="Z174" i="3"/>
  <c r="AT705" i="19" s="1"/>
  <c r="BH705" i="19" s="1"/>
  <c r="X174" i="3"/>
  <c r="T174" i="3"/>
  <c r="AA173" i="3"/>
  <c r="AU634" i="19" s="1"/>
  <c r="Z173" i="3"/>
  <c r="AT634" i="19" s="1"/>
  <c r="X173" i="3"/>
  <c r="T173" i="3"/>
  <c r="W173" i="3" s="1"/>
  <c r="AA172" i="3"/>
  <c r="AU635" i="19" s="1"/>
  <c r="Z172" i="3"/>
  <c r="AT635" i="19" s="1"/>
  <c r="X172" i="3"/>
  <c r="T172" i="3"/>
  <c r="W172" i="3" s="1"/>
  <c r="AA171" i="3"/>
  <c r="AU708" i="19" s="1"/>
  <c r="Z171" i="3"/>
  <c r="X171" i="3"/>
  <c r="T171" i="3"/>
  <c r="AA170" i="3"/>
  <c r="AU85" i="19" s="1"/>
  <c r="Z170" i="3"/>
  <c r="X170" i="3"/>
  <c r="T170" i="3"/>
  <c r="U170" i="3" s="1"/>
  <c r="AA169" i="3"/>
  <c r="AU238" i="19" s="1"/>
  <c r="Z169" i="3"/>
  <c r="X169" i="3"/>
  <c r="T169" i="3"/>
  <c r="AA168" i="3"/>
  <c r="AU782" i="19" s="1"/>
  <c r="Z168" i="3"/>
  <c r="AT782" i="19" s="1"/>
  <c r="X168" i="3"/>
  <c r="T168" i="3"/>
  <c r="W168" i="3" s="1"/>
  <c r="AA167" i="3"/>
  <c r="Z167" i="3"/>
  <c r="X167" i="3"/>
  <c r="T167" i="3"/>
  <c r="V167" i="3" s="1"/>
  <c r="AA166" i="3"/>
  <c r="AU408" i="19" s="1"/>
  <c r="Z166" i="3"/>
  <c r="AT408" i="19" s="1"/>
  <c r="X166" i="3"/>
  <c r="T166" i="3"/>
  <c r="U166" i="3" s="1"/>
  <c r="S166" i="3"/>
  <c r="AA165" i="3"/>
  <c r="Z165" i="3"/>
  <c r="X165" i="3"/>
  <c r="T165" i="3"/>
  <c r="U165" i="3" s="1"/>
  <c r="S165" i="3"/>
  <c r="AA164" i="3"/>
  <c r="Z164" i="3"/>
  <c r="AT410" i="19" s="1"/>
  <c r="X164" i="3"/>
  <c r="T164" i="3"/>
  <c r="S164" i="3"/>
  <c r="AA163" i="3"/>
  <c r="Z163" i="3"/>
  <c r="AT409" i="19" s="1"/>
  <c r="X163" i="3"/>
  <c r="V163" i="3"/>
  <c r="T163" i="3"/>
  <c r="U163" i="3" s="1"/>
  <c r="S163" i="3"/>
  <c r="AA162" i="3"/>
  <c r="Z162" i="3"/>
  <c r="X162" i="3"/>
  <c r="T162" i="3"/>
  <c r="U162" i="3" s="1"/>
  <c r="S162" i="3"/>
  <c r="AA161" i="3"/>
  <c r="Z161" i="3"/>
  <c r="X161" i="3"/>
  <c r="T161" i="3"/>
  <c r="U161" i="3" s="1"/>
  <c r="S161" i="3"/>
  <c r="AA160" i="3"/>
  <c r="Z160" i="3"/>
  <c r="AT625" i="19" s="1"/>
  <c r="X160" i="3"/>
  <c r="W160" i="3"/>
  <c r="T160" i="3"/>
  <c r="U160" i="3" s="1"/>
  <c r="S160" i="3"/>
  <c r="AA159" i="3"/>
  <c r="Z159" i="3"/>
  <c r="X159" i="3"/>
  <c r="T159" i="3"/>
  <c r="U159" i="3" s="1"/>
  <c r="S159" i="3"/>
  <c r="AA158" i="3"/>
  <c r="Z158" i="3"/>
  <c r="X158" i="3"/>
  <c r="T158" i="3"/>
  <c r="U158" i="3" s="1"/>
  <c r="S158" i="3"/>
  <c r="AA157" i="3"/>
  <c r="Z157" i="3"/>
  <c r="AT628" i="19" s="1"/>
  <c r="X157" i="3"/>
  <c r="T157" i="3"/>
  <c r="U157" i="3" s="1"/>
  <c r="AA156" i="3"/>
  <c r="Z156" i="3"/>
  <c r="AT617" i="19" s="1"/>
  <c r="X156" i="3"/>
  <c r="T156" i="3"/>
  <c r="W156" i="3" s="1"/>
  <c r="AA155" i="3"/>
  <c r="Z155" i="3"/>
  <c r="AT627" i="19" s="1"/>
  <c r="BH627" i="19" s="1"/>
  <c r="X155" i="3"/>
  <c r="T155" i="3"/>
  <c r="W155" i="3" s="1"/>
  <c r="AA154" i="3"/>
  <c r="Z154" i="3"/>
  <c r="X154" i="3"/>
  <c r="T154" i="3"/>
  <c r="AA153" i="3"/>
  <c r="Z153" i="3"/>
  <c r="AT361" i="19" s="1"/>
  <c r="X153" i="3"/>
  <c r="T153" i="3"/>
  <c r="U153" i="3" s="1"/>
  <c r="AA152" i="3"/>
  <c r="Z152" i="3"/>
  <c r="AT360" i="19" s="1"/>
  <c r="X152" i="3"/>
  <c r="W152" i="3"/>
  <c r="T152" i="3"/>
  <c r="V152" i="3" s="1"/>
  <c r="AA151" i="3"/>
  <c r="AU787" i="19" s="1"/>
  <c r="Z151" i="3"/>
  <c r="AT787" i="19" s="1"/>
  <c r="X151" i="3"/>
  <c r="T151" i="3"/>
  <c r="AA150" i="3"/>
  <c r="Z150" i="3"/>
  <c r="X150" i="3"/>
  <c r="T150" i="3"/>
  <c r="V150" i="3" s="1"/>
  <c r="AA149" i="3"/>
  <c r="AU690" i="19" s="1"/>
  <c r="Z149" i="3"/>
  <c r="X149" i="3"/>
  <c r="T149" i="3"/>
  <c r="V149" i="3" s="1"/>
  <c r="AA148" i="3"/>
  <c r="AU786" i="19" s="1"/>
  <c r="Z148" i="3"/>
  <c r="X148" i="3"/>
  <c r="T148" i="3"/>
  <c r="AA147" i="3"/>
  <c r="AU689" i="19" s="1"/>
  <c r="Z147" i="3"/>
  <c r="X147" i="3"/>
  <c r="T147" i="3"/>
  <c r="AA146" i="3"/>
  <c r="AU785" i="19" s="1"/>
  <c r="Z146" i="3"/>
  <c r="X146" i="3"/>
  <c r="T146" i="3"/>
  <c r="W146" i="3" s="1"/>
  <c r="AA145" i="3"/>
  <c r="AU215" i="19" s="1"/>
  <c r="Z145" i="3"/>
  <c r="X145" i="3"/>
  <c r="T145" i="3"/>
  <c r="W145" i="3" s="1"/>
  <c r="AA144" i="3"/>
  <c r="AU798" i="19" s="1"/>
  <c r="Z144" i="3"/>
  <c r="X144" i="3"/>
  <c r="T144" i="3"/>
  <c r="V144" i="3" s="1"/>
  <c r="AA143" i="3"/>
  <c r="AU793" i="19" s="1"/>
  <c r="Z143" i="3"/>
  <c r="X143" i="3"/>
  <c r="T143" i="3"/>
  <c r="V143" i="3" s="1"/>
  <c r="AA142" i="3"/>
  <c r="AU219" i="19" s="1"/>
  <c r="Z142" i="3"/>
  <c r="X142" i="3"/>
  <c r="T142" i="3"/>
  <c r="U142" i="3" s="1"/>
  <c r="AA141" i="3"/>
  <c r="AU218" i="19" s="1"/>
  <c r="Z141" i="3"/>
  <c r="X141" i="3"/>
  <c r="T141" i="3"/>
  <c r="W141" i="3" s="1"/>
  <c r="AA140" i="3"/>
  <c r="AU792" i="19" s="1"/>
  <c r="Z140" i="3"/>
  <c r="X140" i="3"/>
  <c r="T140" i="3"/>
  <c r="AA139" i="3"/>
  <c r="AU791" i="19" s="1"/>
  <c r="Z139" i="3"/>
  <c r="X139" i="3"/>
  <c r="T139" i="3"/>
  <c r="U139" i="3" s="1"/>
  <c r="AA138" i="3"/>
  <c r="Z138" i="3"/>
  <c r="AT790" i="19" s="1"/>
  <c r="X138" i="3"/>
  <c r="T138" i="3"/>
  <c r="AA137" i="3"/>
  <c r="Z137" i="3"/>
  <c r="X137" i="3"/>
  <c r="T137" i="3"/>
  <c r="W137" i="3" s="1"/>
  <c r="S137" i="3"/>
  <c r="AA136" i="3"/>
  <c r="Z136" i="3"/>
  <c r="X136" i="3"/>
  <c r="T136" i="3"/>
  <c r="W136" i="3" s="1"/>
  <c r="S136" i="3"/>
  <c r="AA135" i="3"/>
  <c r="Z135" i="3"/>
  <c r="AT573" i="19" s="1"/>
  <c r="X135" i="3"/>
  <c r="T135" i="3"/>
  <c r="W135" i="3" s="1"/>
  <c r="S135" i="3"/>
  <c r="AA134" i="3"/>
  <c r="AU737" i="19" s="1"/>
  <c r="Z134" i="3"/>
  <c r="X134" i="3"/>
  <c r="T134" i="3"/>
  <c r="W134" i="3" s="1"/>
  <c r="AA133" i="3"/>
  <c r="AU366" i="19" s="1"/>
  <c r="Z133" i="3"/>
  <c r="X133" i="3"/>
  <c r="T133" i="3"/>
  <c r="S133" i="3"/>
  <c r="AA132" i="3"/>
  <c r="Z132" i="3"/>
  <c r="X132" i="3"/>
  <c r="T132" i="3"/>
  <c r="S132" i="3"/>
  <c r="AA131" i="3"/>
  <c r="Z131" i="3"/>
  <c r="AT486" i="19" s="1"/>
  <c r="X131" i="3"/>
  <c r="T131" i="3"/>
  <c r="V131" i="3" s="1"/>
  <c r="AA130" i="3"/>
  <c r="Z130" i="3"/>
  <c r="X130" i="3"/>
  <c r="T130" i="3"/>
  <c r="S130" i="3"/>
  <c r="AA129" i="3"/>
  <c r="Z129" i="3"/>
  <c r="AT313" i="19" s="1"/>
  <c r="X129" i="3"/>
  <c r="T129" i="3"/>
  <c r="AA128" i="3"/>
  <c r="AU20" i="19" s="1"/>
  <c r="Z128" i="3"/>
  <c r="X128" i="3"/>
  <c r="T128" i="3"/>
  <c r="W128" i="3" s="1"/>
  <c r="S128" i="3"/>
  <c r="AA127" i="3"/>
  <c r="AU642" i="19" s="1"/>
  <c r="Z127" i="3"/>
  <c r="AT642" i="19" s="1"/>
  <c r="X127" i="3"/>
  <c r="T127" i="3"/>
  <c r="AA126" i="3"/>
  <c r="AU643" i="19" s="1"/>
  <c r="Z126" i="3"/>
  <c r="X126" i="3"/>
  <c r="T126" i="3"/>
  <c r="W126" i="3" s="1"/>
  <c r="AA125" i="3"/>
  <c r="Z125" i="3"/>
  <c r="X125" i="3"/>
  <c r="T125" i="3"/>
  <c r="AA124" i="3"/>
  <c r="Z124" i="3"/>
  <c r="X124" i="3"/>
  <c r="T124" i="3"/>
  <c r="AA123" i="3"/>
  <c r="Z123" i="3"/>
  <c r="X123" i="3"/>
  <c r="T123" i="3"/>
  <c r="AA122" i="3"/>
  <c r="Z122" i="3"/>
  <c r="X122" i="3"/>
  <c r="T122" i="3"/>
  <c r="W122" i="3" s="1"/>
  <c r="S122" i="3"/>
  <c r="AA121" i="3"/>
  <c r="Z121" i="3"/>
  <c r="X121" i="3"/>
  <c r="T121" i="3"/>
  <c r="W121" i="3" s="1"/>
  <c r="S121" i="3"/>
  <c r="AA120" i="3"/>
  <c r="Z120" i="3"/>
  <c r="AT122" i="19" s="1"/>
  <c r="X120" i="3"/>
  <c r="T120" i="3"/>
  <c r="W120" i="3" s="1"/>
  <c r="S120" i="3"/>
  <c r="AA119" i="3"/>
  <c r="AU770" i="19" s="1"/>
  <c r="Z119" i="3"/>
  <c r="X119" i="3"/>
  <c r="T119" i="3"/>
  <c r="W119" i="3" s="1"/>
  <c r="AA118" i="3"/>
  <c r="AU518" i="19" s="1"/>
  <c r="Z118" i="3"/>
  <c r="X118" i="3"/>
  <c r="T118" i="3"/>
  <c r="AA117" i="3"/>
  <c r="AU519" i="19" s="1"/>
  <c r="Z117" i="3"/>
  <c r="X117" i="3"/>
  <c r="T117" i="3"/>
  <c r="U117" i="3" s="1"/>
  <c r="AA116" i="3"/>
  <c r="AU516" i="19" s="1"/>
  <c r="Z116" i="3"/>
  <c r="AT516" i="19" s="1"/>
  <c r="X116" i="3"/>
  <c r="T116" i="3"/>
  <c r="V116" i="3" s="1"/>
  <c r="AA115" i="3"/>
  <c r="AU515" i="19" s="1"/>
  <c r="Z115" i="3"/>
  <c r="X115" i="3"/>
  <c r="T115" i="3"/>
  <c r="W115" i="3" s="1"/>
  <c r="AA114" i="3"/>
  <c r="AU514" i="19" s="1"/>
  <c r="Z114" i="3"/>
  <c r="X114" i="3"/>
  <c r="T114" i="3"/>
  <c r="AA113" i="3"/>
  <c r="Z113" i="3"/>
  <c r="X113" i="3"/>
  <c r="T113" i="3"/>
  <c r="W113" i="3" s="1"/>
  <c r="AA112" i="3"/>
  <c r="AU499" i="19" s="1"/>
  <c r="Z112" i="3"/>
  <c r="AT499" i="19" s="1"/>
  <c r="X112" i="3"/>
  <c r="T112" i="3"/>
  <c r="AA111" i="3"/>
  <c r="Z111" i="3"/>
  <c r="X111" i="3"/>
  <c r="T111" i="3"/>
  <c r="W111" i="3" s="1"/>
  <c r="AA110" i="3"/>
  <c r="AU513" i="19" s="1"/>
  <c r="Z110" i="3"/>
  <c r="X110" i="3"/>
  <c r="T110" i="3"/>
  <c r="AA109" i="3"/>
  <c r="Z109" i="3"/>
  <c r="X109" i="3"/>
  <c r="T109" i="3"/>
  <c r="U109" i="3" s="1"/>
  <c r="AA108" i="3"/>
  <c r="AU497" i="19" s="1"/>
  <c r="Z108" i="3"/>
  <c r="AT497" i="19" s="1"/>
  <c r="X108" i="3"/>
  <c r="T108" i="3"/>
  <c r="AA107" i="3"/>
  <c r="Z107" i="3"/>
  <c r="X107" i="3"/>
  <c r="T107" i="3"/>
  <c r="W107" i="3" s="1"/>
  <c r="AA106" i="3"/>
  <c r="AU511" i="19" s="1"/>
  <c r="Z106" i="3"/>
  <c r="X106" i="3"/>
  <c r="T106" i="3"/>
  <c r="V106" i="3" s="1"/>
  <c r="AA105" i="3"/>
  <c r="Z105" i="3"/>
  <c r="X105" i="3"/>
  <c r="T105" i="3"/>
  <c r="AA104" i="3"/>
  <c r="Z104" i="3"/>
  <c r="AT509" i="19" s="1"/>
  <c r="X104" i="3"/>
  <c r="T104" i="3"/>
  <c r="W104" i="3" s="1"/>
  <c r="AA103" i="3"/>
  <c r="Z103" i="3"/>
  <c r="AT508" i="19" s="1"/>
  <c r="X103" i="3"/>
  <c r="T103" i="3"/>
  <c r="W103" i="3" s="1"/>
  <c r="AA102" i="3"/>
  <c r="Z102" i="3"/>
  <c r="AT520" i="19" s="1"/>
  <c r="X102" i="3"/>
  <c r="T102" i="3"/>
  <c r="AA101" i="3"/>
  <c r="Z101" i="3"/>
  <c r="AT495" i="19" s="1"/>
  <c r="X101" i="3"/>
  <c r="T101" i="3"/>
  <c r="U101" i="3" s="1"/>
  <c r="AA100" i="3"/>
  <c r="Z100" i="3"/>
  <c r="X100" i="3"/>
  <c r="T100" i="3"/>
  <c r="V100" i="3" s="1"/>
  <c r="AA99" i="3"/>
  <c r="Z99" i="3"/>
  <c r="X99" i="3"/>
  <c r="T99" i="3"/>
  <c r="W99" i="3" s="1"/>
  <c r="AA98" i="3"/>
  <c r="Z98" i="3"/>
  <c r="X98" i="3"/>
  <c r="T98" i="3"/>
  <c r="V98" i="3" s="1"/>
  <c r="AA97" i="3"/>
  <c r="Z97" i="3"/>
  <c r="X97" i="3"/>
  <c r="T97" i="3"/>
  <c r="AA96" i="3"/>
  <c r="Z96" i="3"/>
  <c r="X96" i="3"/>
  <c r="T96" i="3"/>
  <c r="AA95" i="3"/>
  <c r="AU517" i="19" s="1"/>
  <c r="Z95" i="3"/>
  <c r="AT517" i="19" s="1"/>
  <c r="X95" i="3"/>
  <c r="T95" i="3"/>
  <c r="W95" i="3" s="1"/>
  <c r="AA94" i="3"/>
  <c r="AU503" i="19" s="1"/>
  <c r="Z94" i="3"/>
  <c r="X94" i="3"/>
  <c r="T94" i="3"/>
  <c r="AA93" i="3"/>
  <c r="AU506" i="19" s="1"/>
  <c r="Z93" i="3"/>
  <c r="AT506" i="19" s="1"/>
  <c r="X93" i="3"/>
  <c r="T93" i="3"/>
  <c r="AA92" i="3"/>
  <c r="AU504" i="19" s="1"/>
  <c r="Z92" i="3"/>
  <c r="X92" i="3"/>
  <c r="T92" i="3"/>
  <c r="V92" i="3" s="1"/>
  <c r="AA91" i="3"/>
  <c r="AU505" i="19" s="1"/>
  <c r="Z91" i="3"/>
  <c r="X91" i="3"/>
  <c r="T91" i="3"/>
  <c r="W91" i="3" s="1"/>
  <c r="AA90" i="3"/>
  <c r="AU538" i="19" s="1"/>
  <c r="Z90" i="3"/>
  <c r="X90" i="3"/>
  <c r="T90" i="3"/>
  <c r="V90" i="3" s="1"/>
  <c r="AA89" i="3"/>
  <c r="AU721" i="19" s="1"/>
  <c r="Z89" i="3"/>
  <c r="X89" i="3"/>
  <c r="T89" i="3"/>
  <c r="AA88" i="3"/>
  <c r="AU539" i="19" s="1"/>
  <c r="Z88" i="3"/>
  <c r="X88" i="3"/>
  <c r="T88" i="3"/>
  <c r="AA87" i="3"/>
  <c r="AU537" i="19" s="1"/>
  <c r="Z87" i="3"/>
  <c r="X87" i="3"/>
  <c r="T87" i="3"/>
  <c r="W87" i="3" s="1"/>
  <c r="AA86" i="3"/>
  <c r="AU720" i="19" s="1"/>
  <c r="Z86" i="3"/>
  <c r="X86" i="3"/>
  <c r="T86" i="3"/>
  <c r="AA85" i="3"/>
  <c r="AU719" i="19" s="1"/>
  <c r="Z85" i="3"/>
  <c r="X85" i="3"/>
  <c r="T85" i="3"/>
  <c r="U85" i="3" s="1"/>
  <c r="AA84" i="3"/>
  <c r="Z84" i="3"/>
  <c r="X84" i="3"/>
  <c r="T84" i="3"/>
  <c r="V84" i="3" s="1"/>
  <c r="S84" i="3"/>
  <c r="AA83" i="3"/>
  <c r="Z83" i="3"/>
  <c r="X83" i="3"/>
  <c r="T83" i="3"/>
  <c r="V83" i="3" s="1"/>
  <c r="AA82" i="3"/>
  <c r="Z82" i="3"/>
  <c r="X82" i="3"/>
  <c r="T82" i="3"/>
  <c r="W82" i="3" s="1"/>
  <c r="AA81" i="3"/>
  <c r="Z81" i="3"/>
  <c r="X81" i="3"/>
  <c r="T81" i="3"/>
  <c r="V81" i="3" s="1"/>
  <c r="AA80" i="3"/>
  <c r="Z80" i="3"/>
  <c r="X80" i="3"/>
  <c r="T80" i="3"/>
  <c r="AA79" i="3"/>
  <c r="Z79" i="3"/>
  <c r="AT600" i="19" s="1"/>
  <c r="X79" i="3"/>
  <c r="T79" i="3"/>
  <c r="W79" i="3" s="1"/>
  <c r="AA78" i="3"/>
  <c r="AU596" i="19" s="1"/>
  <c r="Z78" i="3"/>
  <c r="X78" i="3"/>
  <c r="T78" i="3"/>
  <c r="W78" i="3" s="1"/>
  <c r="S78" i="3"/>
  <c r="AA77" i="3"/>
  <c r="AU597" i="19" s="1"/>
  <c r="Z77" i="3"/>
  <c r="AT597" i="19" s="1"/>
  <c r="BH597" i="19" s="1"/>
  <c r="X77" i="3"/>
  <c r="T77" i="3"/>
  <c r="W77" i="3" s="1"/>
  <c r="S77" i="3"/>
  <c r="AA76" i="3"/>
  <c r="Z76" i="3"/>
  <c r="X76" i="3"/>
  <c r="T76" i="3"/>
  <c r="W76" i="3" s="1"/>
  <c r="S76" i="3"/>
  <c r="AA75" i="3"/>
  <c r="AU907" i="19" s="1"/>
  <c r="Z75" i="3"/>
  <c r="X75" i="3"/>
  <c r="T75" i="3"/>
  <c r="W75" i="3" s="1"/>
  <c r="S75" i="3"/>
  <c r="AA74" i="3"/>
  <c r="AU855" i="19" s="1"/>
  <c r="Z74" i="3"/>
  <c r="AT855" i="19" s="1"/>
  <c r="X74" i="3"/>
  <c r="T74" i="3"/>
  <c r="W74" i="3" s="1"/>
  <c r="S74" i="3"/>
  <c r="AA73" i="3"/>
  <c r="AU854" i="19" s="1"/>
  <c r="Z73" i="3"/>
  <c r="X73" i="3"/>
  <c r="T73" i="3"/>
  <c r="W73" i="3" s="1"/>
  <c r="S73" i="3"/>
  <c r="AA72" i="3"/>
  <c r="AU526" i="19" s="1"/>
  <c r="Z72" i="3"/>
  <c r="AT526" i="19" s="1"/>
  <c r="X72" i="3"/>
  <c r="T72" i="3"/>
  <c r="W72" i="3" s="1"/>
  <c r="S72" i="3"/>
  <c r="AA71" i="3"/>
  <c r="Z71" i="3"/>
  <c r="AT531" i="19" s="1"/>
  <c r="X71" i="3"/>
  <c r="T71" i="3"/>
  <c r="W71" i="3" s="1"/>
  <c r="S71" i="3"/>
  <c r="AA70" i="3"/>
  <c r="AU530" i="19" s="1"/>
  <c r="Z70" i="3"/>
  <c r="AT530" i="19" s="1"/>
  <c r="X70" i="3"/>
  <c r="T70" i="3"/>
  <c r="W70" i="3" s="1"/>
  <c r="S70" i="3"/>
  <c r="AA69" i="3"/>
  <c r="Z69" i="3"/>
  <c r="X69" i="3"/>
  <c r="T69" i="3"/>
  <c r="W69" i="3" s="1"/>
  <c r="S69" i="3"/>
  <c r="AA68" i="3"/>
  <c r="AU529" i="19" s="1"/>
  <c r="Z68" i="3"/>
  <c r="AT529" i="19" s="1"/>
  <c r="X68" i="3"/>
  <c r="T68" i="3"/>
  <c r="W68" i="3" s="1"/>
  <c r="S68" i="3"/>
  <c r="AA67" i="3"/>
  <c r="Z67" i="3"/>
  <c r="X67" i="3"/>
  <c r="T67" i="3"/>
  <c r="W67" i="3" s="1"/>
  <c r="S67" i="3"/>
  <c r="AA66" i="3"/>
  <c r="Z66" i="3"/>
  <c r="X66" i="3"/>
  <c r="T66" i="3"/>
  <c r="W66" i="3" s="1"/>
  <c r="S66" i="3"/>
  <c r="AA65" i="3"/>
  <c r="Z65" i="3"/>
  <c r="X65" i="3"/>
  <c r="T65" i="3"/>
  <c r="W65" i="3" s="1"/>
  <c r="S65" i="3"/>
  <c r="AA64" i="3"/>
  <c r="Z64" i="3"/>
  <c r="X64" i="3"/>
  <c r="T64" i="3"/>
  <c r="W64" i="3" s="1"/>
  <c r="S64" i="3"/>
  <c r="AA63" i="3"/>
  <c r="AU698" i="19" s="1"/>
  <c r="Z63" i="3"/>
  <c r="X63" i="3"/>
  <c r="T63" i="3"/>
  <c r="W63" i="3" s="1"/>
  <c r="AA62" i="3"/>
  <c r="AU697" i="19" s="1"/>
  <c r="Z62" i="3"/>
  <c r="AT697" i="19" s="1"/>
  <c r="X62" i="3"/>
  <c r="T62" i="3"/>
  <c r="V62" i="3" s="1"/>
  <c r="AA61" i="3"/>
  <c r="AU696" i="19" s="1"/>
  <c r="Z61" i="3"/>
  <c r="X61" i="3"/>
  <c r="T61" i="3"/>
  <c r="AA60" i="3"/>
  <c r="AU695" i="19" s="1"/>
  <c r="Z60" i="3"/>
  <c r="X60" i="3"/>
  <c r="T60" i="3"/>
  <c r="U60" i="3" s="1"/>
  <c r="AA59" i="3"/>
  <c r="AU928" i="19" s="1"/>
  <c r="Z59" i="3"/>
  <c r="AT928" i="19" s="1"/>
  <c r="X59" i="3"/>
  <c r="T59" i="3"/>
  <c r="W59" i="3" s="1"/>
  <c r="AA58" i="3"/>
  <c r="AU927" i="19" s="1"/>
  <c r="Z58" i="3"/>
  <c r="AT927" i="19" s="1"/>
  <c r="X58" i="3"/>
  <c r="T58" i="3"/>
  <c r="V58" i="3" s="1"/>
  <c r="AA57" i="3"/>
  <c r="AU926" i="19" s="1"/>
  <c r="Z57" i="3"/>
  <c r="AT926" i="19" s="1"/>
  <c r="X57" i="3"/>
  <c r="T57" i="3"/>
  <c r="U57" i="3" s="1"/>
  <c r="AA56" i="3"/>
  <c r="AU935" i="19" s="1"/>
  <c r="Z56" i="3"/>
  <c r="AT935" i="19" s="1"/>
  <c r="X56" i="3"/>
  <c r="T56" i="3"/>
  <c r="W56" i="3" s="1"/>
  <c r="AA55" i="3"/>
  <c r="AU934" i="19" s="1"/>
  <c r="Z55" i="3"/>
  <c r="AT934" i="19" s="1"/>
  <c r="X55" i="3"/>
  <c r="T55" i="3"/>
  <c r="W55" i="3" s="1"/>
  <c r="AA54" i="3"/>
  <c r="AU933" i="19" s="1"/>
  <c r="Z54" i="3"/>
  <c r="AT933" i="19" s="1"/>
  <c r="X54" i="3"/>
  <c r="T54" i="3"/>
  <c r="V54" i="3" s="1"/>
  <c r="AA53" i="3"/>
  <c r="AU932" i="19" s="1"/>
  <c r="Z53" i="3"/>
  <c r="AT932" i="19" s="1"/>
  <c r="X53" i="3"/>
  <c r="T53" i="3"/>
  <c r="V53" i="3" s="1"/>
  <c r="AA52" i="3"/>
  <c r="Z52" i="3"/>
  <c r="X52" i="3"/>
  <c r="T52" i="3"/>
  <c r="U52" i="3" s="1"/>
  <c r="AA51" i="3"/>
  <c r="AU521" i="19" s="1"/>
  <c r="Z51" i="3"/>
  <c r="X51" i="3"/>
  <c r="T51" i="3"/>
  <c r="W51" i="3" s="1"/>
  <c r="AA50" i="3"/>
  <c r="AU632" i="19" s="1"/>
  <c r="Z50" i="3"/>
  <c r="X50" i="3"/>
  <c r="T50" i="3"/>
  <c r="S50" i="3"/>
  <c r="AA49" i="3"/>
  <c r="Z49" i="3"/>
  <c r="X49" i="3"/>
  <c r="T49" i="3"/>
  <c r="V49" i="3" s="1"/>
  <c r="S49" i="3"/>
  <c r="AA48" i="3"/>
  <c r="Z48" i="3"/>
  <c r="AT7" i="19" s="1"/>
  <c r="X48" i="3"/>
  <c r="T48" i="3"/>
  <c r="S48" i="3"/>
  <c r="AA47" i="3"/>
  <c r="Z47" i="3"/>
  <c r="X47" i="3"/>
  <c r="T47" i="3"/>
  <c r="V47" i="3" s="1"/>
  <c r="S47" i="3"/>
  <c r="AA46" i="3"/>
  <c r="Z46" i="3"/>
  <c r="X46" i="3"/>
  <c r="T46" i="3"/>
  <c r="S46" i="3"/>
  <c r="AA45" i="3"/>
  <c r="Z45" i="3"/>
  <c r="X45" i="3"/>
  <c r="W45" i="3"/>
  <c r="T45" i="3"/>
  <c r="V45" i="3" s="1"/>
  <c r="AA44" i="3"/>
  <c r="AU403" i="19" s="1"/>
  <c r="Z44" i="3"/>
  <c r="AT403" i="19" s="1"/>
  <c r="X44" i="3"/>
  <c r="T44" i="3"/>
  <c r="S44" i="3"/>
  <c r="AA43" i="3"/>
  <c r="AU402" i="19" s="1"/>
  <c r="Z43" i="3"/>
  <c r="X43" i="3"/>
  <c r="T43" i="3"/>
  <c r="W43" i="3" s="1"/>
  <c r="S43" i="3"/>
  <c r="AA42" i="3"/>
  <c r="AU401" i="19" s="1"/>
  <c r="Z42" i="3"/>
  <c r="X42" i="3"/>
  <c r="T42" i="3"/>
  <c r="S42" i="3"/>
  <c r="AA41" i="3"/>
  <c r="Z41" i="3"/>
  <c r="AT400" i="19" s="1"/>
  <c r="X41" i="3"/>
  <c r="T41" i="3"/>
  <c r="U41" i="3" s="1"/>
  <c r="S41" i="3"/>
  <c r="AA40" i="3"/>
  <c r="Z40" i="3"/>
  <c r="AT91" i="19" s="1"/>
  <c r="X40" i="3"/>
  <c r="T40" i="3"/>
  <c r="V40" i="3" s="1"/>
  <c r="AA39" i="3"/>
  <c r="Z39" i="3"/>
  <c r="AT647" i="19" s="1"/>
  <c r="X39" i="3"/>
  <c r="T39" i="3"/>
  <c r="U39" i="3" s="1"/>
  <c r="S39" i="3"/>
  <c r="AA38" i="3"/>
  <c r="AU765" i="19" s="1"/>
  <c r="Z38" i="3"/>
  <c r="X38" i="3"/>
  <c r="T38" i="3"/>
  <c r="U38" i="3" s="1"/>
  <c r="S38" i="3"/>
  <c r="AA37" i="3"/>
  <c r="Z37" i="3"/>
  <c r="X37" i="3"/>
  <c r="T37" i="3"/>
  <c r="U37" i="3" s="1"/>
  <c r="AA36" i="3"/>
  <c r="Z36" i="3"/>
  <c r="X36" i="3"/>
  <c r="T36" i="3"/>
  <c r="W36" i="3" s="1"/>
  <c r="AA35" i="3"/>
  <c r="Z35" i="3"/>
  <c r="X35" i="3"/>
  <c r="T35" i="3"/>
  <c r="V35" i="3" s="1"/>
  <c r="S35" i="3"/>
  <c r="AA34" i="3"/>
  <c r="Z34" i="3"/>
  <c r="AT812" i="19" s="1"/>
  <c r="X34" i="3"/>
  <c r="T34" i="3"/>
  <c r="V34" i="3" s="1"/>
  <c r="S34" i="3"/>
  <c r="AA33" i="3"/>
  <c r="Z33" i="3"/>
  <c r="AT813" i="19" s="1"/>
  <c r="X33" i="3"/>
  <c r="T33" i="3"/>
  <c r="V33" i="3" s="1"/>
  <c r="S33" i="3"/>
  <c r="AA32" i="3"/>
  <c r="AU814" i="19" s="1"/>
  <c r="Z32" i="3"/>
  <c r="X32" i="3"/>
  <c r="T32" i="3"/>
  <c r="V32" i="3" s="1"/>
  <c r="S32" i="3"/>
  <c r="AA31" i="3"/>
  <c r="Z31" i="3"/>
  <c r="AT815" i="19" s="1"/>
  <c r="X31" i="3"/>
  <c r="T31" i="3"/>
  <c r="V31" i="3" s="1"/>
  <c r="AA30" i="3"/>
  <c r="Z30" i="3"/>
  <c r="X30" i="3"/>
  <c r="T30" i="3"/>
  <c r="U30" i="3" s="1"/>
  <c r="AA29" i="3"/>
  <c r="AU856" i="19" s="1"/>
  <c r="Z29" i="3"/>
  <c r="X29" i="3"/>
  <c r="T29" i="3"/>
  <c r="W29" i="3" s="1"/>
  <c r="AA28" i="3"/>
  <c r="Z28" i="3"/>
  <c r="AT837" i="19" s="1"/>
  <c r="X28" i="3"/>
  <c r="T28" i="3"/>
  <c r="W28" i="3" s="1"/>
  <c r="S28" i="3"/>
  <c r="AA27" i="3"/>
  <c r="AU836" i="19" s="1"/>
  <c r="Z27" i="3"/>
  <c r="AT836" i="19" s="1"/>
  <c r="X27" i="3"/>
  <c r="T27" i="3"/>
  <c r="W27" i="3" s="1"/>
  <c r="S27" i="3"/>
  <c r="AA26" i="3"/>
  <c r="AU835" i="19" s="1"/>
  <c r="Z26" i="3"/>
  <c r="AT835" i="19" s="1"/>
  <c r="X26" i="3"/>
  <c r="T26" i="3"/>
  <c r="W26" i="3" s="1"/>
  <c r="S26" i="3"/>
  <c r="AA25" i="3"/>
  <c r="AU615" i="19" s="1"/>
  <c r="Z25" i="3"/>
  <c r="X25" i="3"/>
  <c r="T25" i="3"/>
  <c r="W25" i="3" s="1"/>
  <c r="AA24" i="3"/>
  <c r="AU608" i="19" s="1"/>
  <c r="Z24" i="3"/>
  <c r="X24" i="3"/>
  <c r="T24" i="3"/>
  <c r="V24" i="3" s="1"/>
  <c r="AA23" i="3"/>
  <c r="Z23" i="3"/>
  <c r="X23" i="3"/>
  <c r="T23" i="3"/>
  <c r="S23" i="3"/>
  <c r="AA22" i="3"/>
  <c r="Z22" i="3"/>
  <c r="X22" i="3"/>
  <c r="W22" i="3"/>
  <c r="V22" i="3"/>
  <c r="T22" i="3"/>
  <c r="U22" i="3" s="1"/>
  <c r="AA21" i="3"/>
  <c r="Z21" i="3"/>
  <c r="AT342" i="19" s="1"/>
  <c r="X21" i="3"/>
  <c r="T21" i="3"/>
  <c r="AA20" i="3"/>
  <c r="AU684" i="19" s="1"/>
  <c r="Z20" i="3"/>
  <c r="AT684" i="19" s="1"/>
  <c r="X20" i="3"/>
  <c r="T20" i="3"/>
  <c r="W20" i="3" s="1"/>
  <c r="AA19" i="3"/>
  <c r="Z19" i="3"/>
  <c r="X19" i="3"/>
  <c r="T19" i="3"/>
  <c r="V19" i="3" s="1"/>
  <c r="S19" i="3"/>
  <c r="AA18" i="3"/>
  <c r="AU897" i="19" s="1"/>
  <c r="Z18" i="3"/>
  <c r="AT897" i="19" s="1"/>
  <c r="X18" i="3"/>
  <c r="T18" i="3"/>
  <c r="V18" i="3" s="1"/>
  <c r="AA17" i="3"/>
  <c r="AU55" i="19" s="1"/>
  <c r="Z17" i="3"/>
  <c r="X17" i="3"/>
  <c r="T17" i="3"/>
  <c r="AA16" i="3"/>
  <c r="Z16" i="3"/>
  <c r="X16" i="3"/>
  <c r="T16" i="3"/>
  <c r="W16" i="3" s="1"/>
  <c r="S16" i="3"/>
  <c r="AA15" i="3"/>
  <c r="Z15" i="3"/>
  <c r="X15" i="3"/>
  <c r="T15" i="3"/>
  <c r="W15" i="3" s="1"/>
  <c r="S15" i="3"/>
  <c r="AA14" i="3"/>
  <c r="AU450" i="19" s="1"/>
  <c r="Z14" i="3"/>
  <c r="AT450" i="19" s="1"/>
  <c r="X14" i="3"/>
  <c r="T14" i="3"/>
  <c r="W14" i="3" s="1"/>
  <c r="S14" i="3"/>
  <c r="AA13" i="3"/>
  <c r="AU536" i="19" s="1"/>
  <c r="Z13" i="3"/>
  <c r="AT536" i="19" s="1"/>
  <c r="X13" i="3"/>
  <c r="T13" i="3"/>
  <c r="S13" i="3"/>
  <c r="AA12" i="3"/>
  <c r="AU558" i="19" s="1"/>
  <c r="Z12" i="3"/>
  <c r="AT558" i="19" s="1"/>
  <c r="X12" i="3"/>
  <c r="T12" i="3"/>
  <c r="W12" i="3" s="1"/>
  <c r="S12" i="3"/>
  <c r="AA11" i="3"/>
  <c r="Z11" i="3"/>
  <c r="X11" i="3"/>
  <c r="T11" i="3"/>
  <c r="W11" i="3" s="1"/>
  <c r="S11" i="3"/>
  <c r="AA10" i="3"/>
  <c r="Z10" i="3"/>
  <c r="AT560" i="19" s="1"/>
  <c r="X10" i="3"/>
  <c r="T10" i="3"/>
  <c r="S10" i="3"/>
  <c r="AA9" i="3"/>
  <c r="Z9" i="3"/>
  <c r="X9" i="3"/>
  <c r="T9" i="3"/>
  <c r="S9" i="3"/>
  <c r="AA8" i="3"/>
  <c r="Z8" i="3"/>
  <c r="X8" i="3"/>
  <c r="T8" i="3"/>
  <c r="W8" i="3" s="1"/>
  <c r="S8" i="3"/>
  <c r="AA7" i="3"/>
  <c r="AU756" i="19" s="1"/>
  <c r="Z7" i="3"/>
  <c r="AT756" i="19" s="1"/>
  <c r="X7" i="3"/>
  <c r="T7" i="3"/>
  <c r="S7" i="3"/>
  <c r="AA6" i="3"/>
  <c r="AU149" i="19" s="1"/>
  <c r="Z6" i="3"/>
  <c r="X6" i="3"/>
  <c r="T6" i="3"/>
  <c r="W6" i="3" s="1"/>
  <c r="S6" i="3"/>
  <c r="AA5" i="3"/>
  <c r="Z5" i="3"/>
  <c r="AT151" i="19" s="1"/>
  <c r="X5" i="3"/>
  <c r="T5" i="3"/>
  <c r="AA4" i="3"/>
  <c r="Z4" i="3"/>
  <c r="AT594" i="19" s="1"/>
  <c r="X4" i="3"/>
  <c r="T4" i="3"/>
  <c r="W4" i="3" s="1"/>
  <c r="AA3" i="3"/>
  <c r="AU757" i="19" s="1"/>
  <c r="Z3" i="3"/>
  <c r="AT757" i="19" s="1"/>
  <c r="X3" i="3"/>
  <c r="T3" i="3"/>
  <c r="P2" i="16"/>
  <c r="N2" i="16"/>
  <c r="BG946" i="19"/>
  <c r="BB946" i="19"/>
  <c r="AZ946" i="19"/>
  <c r="BC946" i="19" s="1"/>
  <c r="AW946" i="19"/>
  <c r="AV946" i="19"/>
  <c r="L946" i="19" s="1"/>
  <c r="AU946" i="19"/>
  <c r="AT946" i="19"/>
  <c r="AS946" i="19"/>
  <c r="AR946" i="19"/>
  <c r="AP946" i="19"/>
  <c r="AO946" i="19"/>
  <c r="T946" i="19"/>
  <c r="N946" i="19"/>
  <c r="BG945" i="19"/>
  <c r="BB945" i="19"/>
  <c r="BA945" i="19"/>
  <c r="BE945" i="19" s="1"/>
  <c r="BF945" i="19" s="1"/>
  <c r="AZ945" i="19"/>
  <c r="BC945" i="19" s="1"/>
  <c r="AW945" i="19"/>
  <c r="AV945" i="19"/>
  <c r="AU945" i="19"/>
  <c r="AT945" i="19"/>
  <c r="AS945" i="19"/>
  <c r="AR945" i="19"/>
  <c r="AP945" i="19"/>
  <c r="AO945" i="19"/>
  <c r="T945" i="19"/>
  <c r="N945" i="19"/>
  <c r="L945" i="19"/>
  <c r="BG944" i="19"/>
  <c r="BB944" i="19"/>
  <c r="AZ944" i="19"/>
  <c r="AW944" i="19"/>
  <c r="AV944" i="19"/>
  <c r="L944" i="19" s="1"/>
  <c r="AT944" i="19"/>
  <c r="BH944" i="19" s="1"/>
  <c r="AS944" i="19"/>
  <c r="AR944" i="19"/>
  <c r="AP944" i="19"/>
  <c r="AO944" i="19"/>
  <c r="T944" i="19"/>
  <c r="N944" i="19"/>
  <c r="BG943" i="19"/>
  <c r="BC943" i="19"/>
  <c r="BB943" i="19"/>
  <c r="AZ943" i="19"/>
  <c r="BD943" i="19" s="1"/>
  <c r="AW943" i="19"/>
  <c r="AV943" i="19"/>
  <c r="AU943" i="19"/>
  <c r="AT943" i="19"/>
  <c r="AS943" i="19"/>
  <c r="AR943" i="19"/>
  <c r="AP943" i="19"/>
  <c r="AO943" i="19"/>
  <c r="T943" i="19"/>
  <c r="N943" i="19"/>
  <c r="L943" i="19"/>
  <c r="BG942" i="19"/>
  <c r="BB942" i="19"/>
  <c r="AZ942" i="19"/>
  <c r="AW942" i="19"/>
  <c r="AV942" i="19"/>
  <c r="AS942" i="19"/>
  <c r="AR942" i="19"/>
  <c r="AP942" i="19"/>
  <c r="AO942" i="19"/>
  <c r="T942" i="19"/>
  <c r="N942" i="19"/>
  <c r="L942" i="19"/>
  <c r="BG941" i="19"/>
  <c r="BB941" i="19"/>
  <c r="AZ941" i="19"/>
  <c r="BA941" i="19" s="1"/>
  <c r="BE941" i="19" s="1"/>
  <c r="BF941" i="19" s="1"/>
  <c r="AW941" i="19"/>
  <c r="AV941" i="19"/>
  <c r="L941" i="19" s="1"/>
  <c r="AU941" i="19"/>
  <c r="AT941" i="19"/>
  <c r="BH941" i="19" s="1"/>
  <c r="AS941" i="19"/>
  <c r="AR941" i="19"/>
  <c r="AP941" i="19"/>
  <c r="AO941" i="19"/>
  <c r="T941" i="19"/>
  <c r="N941" i="19"/>
  <c r="BG940" i="19"/>
  <c r="BB940" i="19"/>
  <c r="AZ940" i="19"/>
  <c r="AW940" i="19"/>
  <c r="BC940" i="19" s="1"/>
  <c r="AV940" i="19"/>
  <c r="L940" i="19" s="1"/>
  <c r="AS940" i="19"/>
  <c r="AR940" i="19"/>
  <c r="AP940" i="19"/>
  <c r="AO940" i="19"/>
  <c r="T940" i="19"/>
  <c r="N940" i="19"/>
  <c r="BG939" i="19"/>
  <c r="BB939" i="19"/>
  <c r="AZ939" i="19"/>
  <c r="AW939" i="19"/>
  <c r="AV939" i="19"/>
  <c r="L939" i="19" s="1"/>
  <c r="AS939" i="19"/>
  <c r="AR939" i="19"/>
  <c r="AP939" i="19"/>
  <c r="AO939" i="19"/>
  <c r="T939" i="19"/>
  <c r="N939" i="19"/>
  <c r="BG938" i="19"/>
  <c r="BB938" i="19"/>
  <c r="AZ938" i="19"/>
  <c r="AW938" i="19"/>
  <c r="AV938" i="19"/>
  <c r="AT938" i="19"/>
  <c r="AS938" i="19"/>
  <c r="AR938" i="19"/>
  <c r="AP938" i="19"/>
  <c r="AO938" i="19"/>
  <c r="T938" i="19"/>
  <c r="N938" i="19"/>
  <c r="L938" i="19"/>
  <c r="BG936" i="19"/>
  <c r="BB936" i="19"/>
  <c r="AZ936" i="19"/>
  <c r="AW936" i="19"/>
  <c r="AV936" i="19"/>
  <c r="L936" i="19" s="1"/>
  <c r="AU936" i="19"/>
  <c r="AT936" i="19"/>
  <c r="AS936" i="19"/>
  <c r="AR936" i="19"/>
  <c r="AP936" i="19"/>
  <c r="AO936" i="19"/>
  <c r="T936" i="19"/>
  <c r="N936" i="19"/>
  <c r="BG935" i="19"/>
  <c r="BB935" i="19"/>
  <c r="AZ935" i="19"/>
  <c r="BC935" i="19" s="1"/>
  <c r="AW935" i="19"/>
  <c r="AV935" i="19"/>
  <c r="L935" i="19" s="1"/>
  <c r="AS935" i="19"/>
  <c r="AR935" i="19"/>
  <c r="AP935" i="19"/>
  <c r="AO935" i="19"/>
  <c r="T935" i="19"/>
  <c r="N935" i="19"/>
  <c r="BG934" i="19"/>
  <c r="BB934" i="19"/>
  <c r="AZ934" i="19"/>
  <c r="BD934" i="19" s="1"/>
  <c r="AW934" i="19"/>
  <c r="AV934" i="19"/>
  <c r="L934" i="19" s="1"/>
  <c r="AS934" i="19"/>
  <c r="AR934" i="19"/>
  <c r="AP934" i="19"/>
  <c r="AO934" i="19"/>
  <c r="T934" i="19"/>
  <c r="N934" i="19"/>
  <c r="BG933" i="19"/>
  <c r="BB933" i="19"/>
  <c r="AZ933" i="19"/>
  <c r="BA933" i="19" s="1"/>
  <c r="BE933" i="19" s="1"/>
  <c r="BF933" i="19" s="1"/>
  <c r="AW933" i="19"/>
  <c r="AV933" i="19"/>
  <c r="L933" i="19" s="1"/>
  <c r="AS933" i="19"/>
  <c r="AR933" i="19"/>
  <c r="AP933" i="19"/>
  <c r="AO933" i="19"/>
  <c r="T933" i="19"/>
  <c r="N933" i="19"/>
  <c r="BG932" i="19"/>
  <c r="BB932" i="19"/>
  <c r="AZ932" i="19"/>
  <c r="AW932" i="19"/>
  <c r="AV932" i="19"/>
  <c r="L932" i="19" s="1"/>
  <c r="AS932" i="19"/>
  <c r="AR932" i="19"/>
  <c r="AP932" i="19"/>
  <c r="AO932" i="19"/>
  <c r="T932" i="19"/>
  <c r="N932" i="19"/>
  <c r="BG931" i="19"/>
  <c r="BB931" i="19"/>
  <c r="AZ931" i="19"/>
  <c r="BC931" i="19" s="1"/>
  <c r="AW931" i="19"/>
  <c r="AV931" i="19"/>
  <c r="L931" i="19" s="1"/>
  <c r="AU931" i="19"/>
  <c r="AT931" i="19"/>
  <c r="AS931" i="19"/>
  <c r="AR931" i="19"/>
  <c r="AP931" i="19"/>
  <c r="AO931" i="19"/>
  <c r="T931" i="19"/>
  <c r="N931" i="19"/>
  <c r="BG930" i="19"/>
  <c r="BB930" i="19"/>
  <c r="AZ930" i="19"/>
  <c r="BC930" i="19" s="1"/>
  <c r="AW930" i="19"/>
  <c r="AV930" i="19"/>
  <c r="AU930" i="19"/>
  <c r="AT930" i="19"/>
  <c r="AS930" i="19"/>
  <c r="AR930" i="19"/>
  <c r="AP930" i="19"/>
  <c r="AO930" i="19"/>
  <c r="T930" i="19"/>
  <c r="N930" i="19"/>
  <c r="L930" i="19"/>
  <c r="BG929" i="19"/>
  <c r="BB929" i="19"/>
  <c r="AZ929" i="19"/>
  <c r="AW929" i="19"/>
  <c r="AV929" i="19"/>
  <c r="L929" i="19" s="1"/>
  <c r="AU929" i="19"/>
  <c r="AT929" i="19"/>
  <c r="AS929" i="19"/>
  <c r="AR929" i="19"/>
  <c r="AP929" i="19"/>
  <c r="AO929" i="19"/>
  <c r="T929" i="19"/>
  <c r="N929" i="19"/>
  <c r="BG928" i="19"/>
  <c r="BB928" i="19"/>
  <c r="AZ928" i="19"/>
  <c r="AW928" i="19"/>
  <c r="AV928" i="19"/>
  <c r="L928" i="19" s="1"/>
  <c r="AS928" i="19"/>
  <c r="AR928" i="19"/>
  <c r="AP928" i="19"/>
  <c r="AO928" i="19"/>
  <c r="T928" i="19"/>
  <c r="N928" i="19"/>
  <c r="BG927" i="19"/>
  <c r="BB927" i="19"/>
  <c r="AZ927" i="19"/>
  <c r="BA927" i="19" s="1"/>
  <c r="BE927" i="19" s="1"/>
  <c r="BF927" i="19" s="1"/>
  <c r="AW927" i="19"/>
  <c r="AV927" i="19"/>
  <c r="L927" i="19" s="1"/>
  <c r="AS927" i="19"/>
  <c r="AR927" i="19"/>
  <c r="AP927" i="19"/>
  <c r="AO927" i="19"/>
  <c r="T927" i="19"/>
  <c r="N927" i="19"/>
  <c r="BG926" i="19"/>
  <c r="BB926" i="19"/>
  <c r="AZ926" i="19"/>
  <c r="BD926" i="19" s="1"/>
  <c r="AW926" i="19"/>
  <c r="AV926" i="19"/>
  <c r="L926" i="19" s="1"/>
  <c r="AS926" i="19"/>
  <c r="AR926" i="19"/>
  <c r="AP926" i="19"/>
  <c r="AO926" i="19"/>
  <c r="T926" i="19"/>
  <c r="N926" i="19"/>
  <c r="BG925" i="19"/>
  <c r="BB925" i="19"/>
  <c r="AZ925" i="19"/>
  <c r="BC925" i="19" s="1"/>
  <c r="AW925" i="19"/>
  <c r="AV925" i="19"/>
  <c r="AS925" i="19"/>
  <c r="AR925" i="19"/>
  <c r="AP925" i="19"/>
  <c r="AO925" i="19"/>
  <c r="T925" i="19"/>
  <c r="N925" i="19"/>
  <c r="L925" i="19"/>
  <c r="BG924" i="19"/>
  <c r="BB924" i="19"/>
  <c r="AZ924" i="19"/>
  <c r="AW924" i="19"/>
  <c r="AV924" i="19"/>
  <c r="L924" i="19" s="1"/>
  <c r="AU924" i="19"/>
  <c r="AT924" i="19"/>
  <c r="AS924" i="19"/>
  <c r="AR924" i="19"/>
  <c r="AP924" i="19"/>
  <c r="AO924" i="19"/>
  <c r="T924" i="19"/>
  <c r="N924" i="19"/>
  <c r="BG923" i="19"/>
  <c r="BB923" i="19"/>
  <c r="AZ923" i="19"/>
  <c r="AW923" i="19"/>
  <c r="AV923" i="19"/>
  <c r="L923" i="19" s="1"/>
  <c r="AU923" i="19"/>
  <c r="AT923" i="19"/>
  <c r="AS923" i="19"/>
  <c r="AR923" i="19"/>
  <c r="AP923" i="19"/>
  <c r="AO923" i="19"/>
  <c r="T923" i="19"/>
  <c r="N923" i="19"/>
  <c r="BG922" i="19"/>
  <c r="BB922" i="19"/>
  <c r="AZ922" i="19"/>
  <c r="BC922" i="19" s="1"/>
  <c r="AW922" i="19"/>
  <c r="AV922" i="19"/>
  <c r="L922" i="19" s="1"/>
  <c r="AS922" i="19"/>
  <c r="AR922" i="19"/>
  <c r="AP922" i="19"/>
  <c r="AO922" i="19"/>
  <c r="T922" i="19"/>
  <c r="N922" i="19"/>
  <c r="BG921" i="19"/>
  <c r="BB921" i="19"/>
  <c r="AZ921" i="19"/>
  <c r="BD921" i="19" s="1"/>
  <c r="AW921" i="19"/>
  <c r="AV921" i="19"/>
  <c r="AU921" i="19"/>
  <c r="AT921" i="19"/>
  <c r="AS921" i="19"/>
  <c r="AR921" i="19"/>
  <c r="AP921" i="19"/>
  <c r="AO921" i="19"/>
  <c r="T921" i="19"/>
  <c r="N921" i="19"/>
  <c r="L921" i="19"/>
  <c r="BG920" i="19"/>
  <c r="BB920" i="19"/>
  <c r="AZ920" i="19"/>
  <c r="BC920" i="19" s="1"/>
  <c r="AW920" i="19"/>
  <c r="AV920" i="19"/>
  <c r="L920" i="19" s="1"/>
  <c r="AU920" i="19"/>
  <c r="AT920" i="19"/>
  <c r="AS920" i="19"/>
  <c r="AR920" i="19"/>
  <c r="AP920" i="19"/>
  <c r="AO920" i="19"/>
  <c r="T920" i="19"/>
  <c r="N920" i="19"/>
  <c r="BG919" i="19"/>
  <c r="BB919" i="19"/>
  <c r="AZ919" i="19"/>
  <c r="BD919" i="19" s="1"/>
  <c r="AW919" i="19"/>
  <c r="AV919" i="19"/>
  <c r="AU919" i="19"/>
  <c r="AT919" i="19"/>
  <c r="AS919" i="19"/>
  <c r="AR919" i="19"/>
  <c r="AP919" i="19"/>
  <c r="AO919" i="19"/>
  <c r="T919" i="19"/>
  <c r="N919" i="19"/>
  <c r="L919" i="19"/>
  <c r="BG918" i="19"/>
  <c r="BB918" i="19"/>
  <c r="AZ918" i="19"/>
  <c r="AW918" i="19"/>
  <c r="AV918" i="19"/>
  <c r="L918" i="19" s="1"/>
  <c r="AU918" i="19"/>
  <c r="AT918" i="19"/>
  <c r="AS918" i="19"/>
  <c r="AR918" i="19"/>
  <c r="AP918" i="19"/>
  <c r="AO918" i="19"/>
  <c r="T918" i="19"/>
  <c r="N918" i="19"/>
  <c r="BG917" i="19"/>
  <c r="BB917" i="19"/>
  <c r="BA917" i="19"/>
  <c r="BE917" i="19" s="1"/>
  <c r="BF917" i="19" s="1"/>
  <c r="AZ917" i="19"/>
  <c r="BC917" i="19" s="1"/>
  <c r="AW917" i="19"/>
  <c r="AV917" i="19"/>
  <c r="L917" i="19" s="1"/>
  <c r="AU917" i="19"/>
  <c r="AT917" i="19"/>
  <c r="AS917" i="19"/>
  <c r="AR917" i="19"/>
  <c r="AP917" i="19"/>
  <c r="AO917" i="19"/>
  <c r="T917" i="19"/>
  <c r="N917" i="19"/>
  <c r="BG916" i="19"/>
  <c r="BB916" i="19"/>
  <c r="AZ916" i="19"/>
  <c r="AW916" i="19"/>
  <c r="AV916" i="19"/>
  <c r="L916" i="19" s="1"/>
  <c r="AU916" i="19"/>
  <c r="AT916" i="19"/>
  <c r="AS916" i="19"/>
  <c r="AR916" i="19"/>
  <c r="AP916" i="19"/>
  <c r="BF916" i="19" s="1"/>
  <c r="AO916" i="19"/>
  <c r="T916" i="19"/>
  <c r="N916" i="19"/>
  <c r="BG915" i="19"/>
  <c r="BB915" i="19"/>
  <c r="AZ915" i="19"/>
  <c r="AW915" i="19"/>
  <c r="AV915" i="19"/>
  <c r="L915" i="19" s="1"/>
  <c r="AU915" i="19"/>
  <c r="AT915" i="19"/>
  <c r="AS915" i="19"/>
  <c r="AR915" i="19"/>
  <c r="AP915" i="19"/>
  <c r="BF915" i="19" s="1"/>
  <c r="AO915" i="19"/>
  <c r="T915" i="19"/>
  <c r="N915" i="19"/>
  <c r="BG914" i="19"/>
  <c r="BB914" i="19"/>
  <c r="BA914" i="19"/>
  <c r="BE914" i="19" s="1"/>
  <c r="AZ914" i="19"/>
  <c r="AW914" i="19"/>
  <c r="AV914" i="19"/>
  <c r="L914" i="19" s="1"/>
  <c r="AU914" i="19"/>
  <c r="AT914" i="19"/>
  <c r="AS914" i="19"/>
  <c r="AR914" i="19"/>
  <c r="AP914" i="19"/>
  <c r="BF914" i="19" s="1"/>
  <c r="AO914" i="19"/>
  <c r="T914" i="19"/>
  <c r="N914" i="19"/>
  <c r="BG913" i="19"/>
  <c r="BB913" i="19"/>
  <c r="AZ913" i="19"/>
  <c r="AW913" i="19"/>
  <c r="AV913" i="19"/>
  <c r="AU913" i="19"/>
  <c r="AS913" i="19"/>
  <c r="AR913" i="19"/>
  <c r="AP913" i="19"/>
  <c r="BF913" i="19" s="1"/>
  <c r="AO913" i="19"/>
  <c r="T913" i="19"/>
  <c r="N913" i="19"/>
  <c r="L913" i="19"/>
  <c r="BG912" i="19"/>
  <c r="BB912" i="19"/>
  <c r="AZ912" i="19"/>
  <c r="BA912" i="19" s="1"/>
  <c r="BE912" i="19" s="1"/>
  <c r="AW912" i="19"/>
  <c r="AV912" i="19"/>
  <c r="AT912" i="19"/>
  <c r="AS912" i="19"/>
  <c r="AR912" i="19"/>
  <c r="AP912" i="19"/>
  <c r="BF912" i="19" s="1"/>
  <c r="AO912" i="19"/>
  <c r="T912" i="19"/>
  <c r="N912" i="19"/>
  <c r="L912" i="19"/>
  <c r="BG911" i="19"/>
  <c r="BB911" i="19"/>
  <c r="AZ911" i="19"/>
  <c r="BA911" i="19" s="1"/>
  <c r="BE911" i="19" s="1"/>
  <c r="AW911" i="19"/>
  <c r="BC911" i="19" s="1"/>
  <c r="AV911" i="19"/>
  <c r="L911" i="19" s="1"/>
  <c r="AU911" i="19"/>
  <c r="AT911" i="19"/>
  <c r="AS911" i="19"/>
  <c r="AR911" i="19"/>
  <c r="AP911" i="19"/>
  <c r="BF911" i="19" s="1"/>
  <c r="AO911" i="19"/>
  <c r="T911" i="19"/>
  <c r="N911" i="19"/>
  <c r="BG910" i="19"/>
  <c r="BB910" i="19"/>
  <c r="AZ910" i="19"/>
  <c r="BA910" i="19" s="1"/>
  <c r="BE910" i="19" s="1"/>
  <c r="AW910" i="19"/>
  <c r="AV910" i="19"/>
  <c r="AT910" i="19"/>
  <c r="BH910" i="19" s="1"/>
  <c r="AS910" i="19"/>
  <c r="AR910" i="19"/>
  <c r="AP910" i="19"/>
  <c r="BF910" i="19" s="1"/>
  <c r="AO910" i="19"/>
  <c r="T910" i="19"/>
  <c r="N910" i="19"/>
  <c r="L910" i="19"/>
  <c r="BG908" i="19"/>
  <c r="BB908" i="19"/>
  <c r="BA908" i="19"/>
  <c r="BE908" i="19" s="1"/>
  <c r="AZ908" i="19"/>
  <c r="AW908" i="19"/>
  <c r="AV908" i="19"/>
  <c r="L908" i="19" s="1"/>
  <c r="AS908" i="19"/>
  <c r="AR908" i="19"/>
  <c r="AP908" i="19"/>
  <c r="BF908" i="19" s="1"/>
  <c r="AO908" i="19"/>
  <c r="T908" i="19"/>
  <c r="N908" i="19"/>
  <c r="BG907" i="19"/>
  <c r="BB907" i="19"/>
  <c r="BA907" i="19"/>
  <c r="BE907" i="19" s="1"/>
  <c r="AZ907" i="19"/>
  <c r="AW907" i="19"/>
  <c r="AV907" i="19"/>
  <c r="AT907" i="19"/>
  <c r="BH907" i="19" s="1"/>
  <c r="AS907" i="19"/>
  <c r="AR907" i="19"/>
  <c r="AP907" i="19"/>
  <c r="BF907" i="19" s="1"/>
  <c r="AO907" i="19"/>
  <c r="T907" i="19"/>
  <c r="N907" i="19"/>
  <c r="L907" i="19"/>
  <c r="BG906" i="19"/>
  <c r="BB906" i="19"/>
  <c r="AZ906" i="19"/>
  <c r="AW906" i="19"/>
  <c r="AV906" i="19"/>
  <c r="L906" i="19" s="1"/>
  <c r="AU906" i="19"/>
  <c r="AT906" i="19"/>
  <c r="AS906" i="19"/>
  <c r="AR906" i="19"/>
  <c r="AP906" i="19"/>
  <c r="BF906" i="19" s="1"/>
  <c r="AO906" i="19"/>
  <c r="T906" i="19"/>
  <c r="N906" i="19"/>
  <c r="BG905" i="19"/>
  <c r="BB905" i="19"/>
  <c r="AZ905" i="19"/>
  <c r="AW905" i="19"/>
  <c r="AV905" i="19"/>
  <c r="AU905" i="19"/>
  <c r="AS905" i="19"/>
  <c r="AR905" i="19"/>
  <c r="AP905" i="19"/>
  <c r="BF905" i="19" s="1"/>
  <c r="AO905" i="19"/>
  <c r="T905" i="19"/>
  <c r="N905" i="19"/>
  <c r="L905" i="19"/>
  <c r="BG903" i="19"/>
  <c r="BB903" i="19"/>
  <c r="BA903" i="19"/>
  <c r="BE903" i="19" s="1"/>
  <c r="AZ903" i="19"/>
  <c r="AW903" i="19"/>
  <c r="AV903" i="19"/>
  <c r="AT903" i="19"/>
  <c r="AS903" i="19"/>
  <c r="AR903" i="19"/>
  <c r="AP903" i="19"/>
  <c r="AO903" i="19"/>
  <c r="T903" i="19"/>
  <c r="N903" i="19"/>
  <c r="L903" i="19"/>
  <c r="BG937" i="19"/>
  <c r="BB937" i="19"/>
  <c r="AZ937" i="19"/>
  <c r="AW937" i="19"/>
  <c r="AV937" i="19"/>
  <c r="L937" i="19" s="1"/>
  <c r="AU937" i="19"/>
  <c r="AT937" i="19"/>
  <c r="AS937" i="19"/>
  <c r="AR937" i="19"/>
  <c r="AP937" i="19"/>
  <c r="AO937" i="19"/>
  <c r="T937" i="19"/>
  <c r="N937" i="19"/>
  <c r="BG909" i="19"/>
  <c r="BB909" i="19"/>
  <c r="BA909" i="19"/>
  <c r="BE909" i="19" s="1"/>
  <c r="AZ909" i="19"/>
  <c r="AW909" i="19"/>
  <c r="AV909" i="19"/>
  <c r="L909" i="19" s="1"/>
  <c r="AU909" i="19"/>
  <c r="AT909" i="19"/>
  <c r="AS909" i="19"/>
  <c r="AR909" i="19"/>
  <c r="AP909" i="19"/>
  <c r="BF909" i="19" s="1"/>
  <c r="AO909" i="19"/>
  <c r="T909" i="19"/>
  <c r="N909" i="19"/>
  <c r="BG904" i="19"/>
  <c r="BB904" i="19"/>
  <c r="AZ904" i="19"/>
  <c r="AW904" i="19"/>
  <c r="AV904" i="19"/>
  <c r="AU904" i="19"/>
  <c r="AS904" i="19"/>
  <c r="AR904" i="19"/>
  <c r="AP904" i="19"/>
  <c r="BF904" i="19" s="1"/>
  <c r="AO904" i="19"/>
  <c r="T904" i="19"/>
  <c r="N904" i="19"/>
  <c r="L904" i="19"/>
  <c r="BG902" i="19"/>
  <c r="BB902" i="19"/>
  <c r="AZ902" i="19"/>
  <c r="AW902" i="19"/>
  <c r="AV902" i="19"/>
  <c r="L902" i="19" s="1"/>
  <c r="AU902" i="19"/>
  <c r="AS902" i="19"/>
  <c r="AR902" i="19"/>
  <c r="AP902" i="19"/>
  <c r="AO902" i="19"/>
  <c r="T902" i="19"/>
  <c r="N902" i="19"/>
  <c r="BG901" i="19"/>
  <c r="BB901" i="19"/>
  <c r="AZ901" i="19"/>
  <c r="BA901" i="19" s="1"/>
  <c r="BE901" i="19" s="1"/>
  <c r="BF901" i="19" s="1"/>
  <c r="AW901" i="19"/>
  <c r="AV901" i="19"/>
  <c r="L901" i="19" s="1"/>
  <c r="AU901" i="19"/>
  <c r="AT901" i="19"/>
  <c r="AS901" i="19"/>
  <c r="AR901" i="19"/>
  <c r="AP901" i="19"/>
  <c r="AO901" i="19"/>
  <c r="T901" i="19"/>
  <c r="N901" i="19"/>
  <c r="BG900" i="19"/>
  <c r="BB900" i="19"/>
  <c r="AZ900" i="19"/>
  <c r="AW900" i="19"/>
  <c r="AV900" i="19"/>
  <c r="AU900" i="19"/>
  <c r="AT900" i="19"/>
  <c r="AS900" i="19"/>
  <c r="AR900" i="19"/>
  <c r="AP900" i="19"/>
  <c r="AO900" i="19"/>
  <c r="T900" i="19"/>
  <c r="N900" i="19"/>
  <c r="L900" i="19"/>
  <c r="BG899" i="19"/>
  <c r="BB899" i="19"/>
  <c r="AZ899" i="19"/>
  <c r="BC899" i="19" s="1"/>
  <c r="AW899" i="19"/>
  <c r="AV899" i="19"/>
  <c r="AT899" i="19"/>
  <c r="AS899" i="19"/>
  <c r="AR899" i="19"/>
  <c r="AP899" i="19"/>
  <c r="AO899" i="19"/>
  <c r="T899" i="19"/>
  <c r="N899" i="19"/>
  <c r="L899" i="19"/>
  <c r="BG898" i="19"/>
  <c r="BB898" i="19"/>
  <c r="AZ898" i="19"/>
  <c r="AW898" i="19"/>
  <c r="AV898" i="19"/>
  <c r="AS898" i="19"/>
  <c r="AR898" i="19"/>
  <c r="AP898" i="19"/>
  <c r="AO898" i="19"/>
  <c r="T898" i="19"/>
  <c r="N898" i="19"/>
  <c r="L898" i="19"/>
  <c r="BG897" i="19"/>
  <c r="BB897" i="19"/>
  <c r="AZ897" i="19"/>
  <c r="AW897" i="19"/>
  <c r="BC897" i="19" s="1"/>
  <c r="AV897" i="19"/>
  <c r="L897" i="19" s="1"/>
  <c r="AS897" i="19"/>
  <c r="AR897" i="19"/>
  <c r="AP897" i="19"/>
  <c r="AO897" i="19"/>
  <c r="T897" i="19"/>
  <c r="N897" i="19"/>
  <c r="BG896" i="19"/>
  <c r="BB896" i="19"/>
  <c r="AZ896" i="19"/>
  <c r="AW896" i="19"/>
  <c r="BC896" i="19" s="1"/>
  <c r="AV896" i="19"/>
  <c r="L896" i="19" s="1"/>
  <c r="AU896" i="19"/>
  <c r="AT896" i="19"/>
  <c r="AS896" i="19"/>
  <c r="AR896" i="19"/>
  <c r="AP896" i="19"/>
  <c r="AO896" i="19"/>
  <c r="T896" i="19"/>
  <c r="N896" i="19"/>
  <c r="BG894" i="19"/>
  <c r="BB894" i="19"/>
  <c r="AZ894" i="19"/>
  <c r="AW894" i="19"/>
  <c r="AV894" i="19"/>
  <c r="AS894" i="19"/>
  <c r="AR894" i="19"/>
  <c r="AP894" i="19"/>
  <c r="AO894" i="19"/>
  <c r="T894" i="19"/>
  <c r="N894" i="19"/>
  <c r="L894" i="19"/>
  <c r="BG892" i="19"/>
  <c r="BB892" i="19"/>
  <c r="AZ892" i="19"/>
  <c r="BA892" i="19" s="1"/>
  <c r="BE892" i="19" s="1"/>
  <c r="BF892" i="19" s="1"/>
  <c r="AW892" i="19"/>
  <c r="AV892" i="19"/>
  <c r="AU892" i="19"/>
  <c r="AT892" i="19"/>
  <c r="BH892" i="19" s="1"/>
  <c r="AS892" i="19"/>
  <c r="AR892" i="19"/>
  <c r="AP892" i="19"/>
  <c r="AO892" i="19"/>
  <c r="T892" i="19"/>
  <c r="N892" i="19"/>
  <c r="L892" i="19"/>
  <c r="BG891" i="19"/>
  <c r="BB891" i="19"/>
  <c r="AZ891" i="19"/>
  <c r="AW891" i="19"/>
  <c r="BC891" i="19" s="1"/>
  <c r="AV891" i="19"/>
  <c r="AU891" i="19"/>
  <c r="AS891" i="19"/>
  <c r="AR891" i="19"/>
  <c r="AP891" i="19"/>
  <c r="AO891" i="19"/>
  <c r="T891" i="19"/>
  <c r="N891" i="19"/>
  <c r="L891" i="19"/>
  <c r="BG889" i="19"/>
  <c r="BC889" i="19"/>
  <c r="BB889" i="19"/>
  <c r="BA889" i="19"/>
  <c r="BE889" i="19" s="1"/>
  <c r="BF889" i="19" s="1"/>
  <c r="AZ889" i="19"/>
  <c r="AW889" i="19"/>
  <c r="AV889" i="19"/>
  <c r="L889" i="19" s="1"/>
  <c r="AU889" i="19"/>
  <c r="AT889" i="19"/>
  <c r="AS889" i="19"/>
  <c r="AR889" i="19"/>
  <c r="AP889" i="19"/>
  <c r="AO889" i="19"/>
  <c r="T889" i="19"/>
  <c r="N889" i="19"/>
  <c r="BG888" i="19"/>
  <c r="BB888" i="19"/>
  <c r="AZ888" i="19"/>
  <c r="AW888" i="19"/>
  <c r="AV888" i="19"/>
  <c r="AT888" i="19"/>
  <c r="AS888" i="19"/>
  <c r="AR888" i="19"/>
  <c r="AP888" i="19"/>
  <c r="AO888" i="19"/>
  <c r="T888" i="19"/>
  <c r="N888" i="19"/>
  <c r="L888" i="19"/>
  <c r="BG886" i="19"/>
  <c r="BB886" i="19"/>
  <c r="AZ886" i="19"/>
  <c r="AW886" i="19"/>
  <c r="AV886" i="19"/>
  <c r="L886" i="19" s="1"/>
  <c r="AU886" i="19"/>
  <c r="AT886" i="19"/>
  <c r="AS886" i="19"/>
  <c r="AR886" i="19"/>
  <c r="AP886" i="19"/>
  <c r="AO886" i="19"/>
  <c r="T886" i="19"/>
  <c r="N886" i="19"/>
  <c r="BG885" i="19"/>
  <c r="BB885" i="19"/>
  <c r="AZ885" i="19"/>
  <c r="AW885" i="19"/>
  <c r="AV885" i="19"/>
  <c r="AS885" i="19"/>
  <c r="AR885" i="19"/>
  <c r="AP885" i="19"/>
  <c r="AO885" i="19"/>
  <c r="T885" i="19"/>
  <c r="N885" i="19"/>
  <c r="L885" i="19"/>
  <c r="BG884" i="19"/>
  <c r="BB884" i="19"/>
  <c r="AZ884" i="19"/>
  <c r="AW884" i="19"/>
  <c r="AV884" i="19"/>
  <c r="AT884" i="19"/>
  <c r="AS884" i="19"/>
  <c r="AR884" i="19"/>
  <c r="AP884" i="19"/>
  <c r="AO884" i="19"/>
  <c r="T884" i="19"/>
  <c r="N884" i="19"/>
  <c r="L884" i="19"/>
  <c r="BG883" i="19"/>
  <c r="BB883" i="19"/>
  <c r="AZ883" i="19"/>
  <c r="AW883" i="19"/>
  <c r="AV883" i="19"/>
  <c r="L883" i="19" s="1"/>
  <c r="AS883" i="19"/>
  <c r="AR883" i="19"/>
  <c r="AP883" i="19"/>
  <c r="AO883" i="19"/>
  <c r="T883" i="19"/>
  <c r="N883" i="19"/>
  <c r="BG881" i="19"/>
  <c r="BB881" i="19"/>
  <c r="AZ881" i="19"/>
  <c r="AW881" i="19"/>
  <c r="AV881" i="19"/>
  <c r="AS881" i="19"/>
  <c r="AR881" i="19"/>
  <c r="AP881" i="19"/>
  <c r="AO881" i="19"/>
  <c r="T881" i="19"/>
  <c r="N881" i="19"/>
  <c r="L881" i="19"/>
  <c r="BG880" i="19"/>
  <c r="BB880" i="19"/>
  <c r="AZ880" i="19"/>
  <c r="AW880" i="19"/>
  <c r="AV880" i="19"/>
  <c r="L880" i="19" s="1"/>
  <c r="AU880" i="19"/>
  <c r="AT880" i="19"/>
  <c r="AS880" i="19"/>
  <c r="AR880" i="19"/>
  <c r="AP880" i="19"/>
  <c r="AO880" i="19"/>
  <c r="T880" i="19"/>
  <c r="N880" i="19"/>
  <c r="BG865" i="19"/>
  <c r="BB865" i="19"/>
  <c r="AZ865" i="19"/>
  <c r="BA865" i="19" s="1"/>
  <c r="BE865" i="19" s="1"/>
  <c r="BF865" i="19" s="1"/>
  <c r="AW865" i="19"/>
  <c r="AV865" i="19"/>
  <c r="L865" i="19" s="1"/>
  <c r="AS865" i="19"/>
  <c r="AR865" i="19"/>
  <c r="AP865" i="19"/>
  <c r="AO865" i="19"/>
  <c r="T865" i="19"/>
  <c r="N865" i="19"/>
  <c r="BG864" i="19"/>
  <c r="BB864" i="19"/>
  <c r="AZ864" i="19"/>
  <c r="AW864" i="19"/>
  <c r="AV864" i="19"/>
  <c r="L864" i="19" s="1"/>
  <c r="AU864" i="19"/>
  <c r="AT864" i="19"/>
  <c r="AS864" i="19"/>
  <c r="AR864" i="19"/>
  <c r="AP864" i="19"/>
  <c r="AO864" i="19"/>
  <c r="T864" i="19"/>
  <c r="N864" i="19"/>
  <c r="BG863" i="19"/>
  <c r="BB863" i="19"/>
  <c r="AZ863" i="19"/>
  <c r="BD863" i="19" s="1"/>
  <c r="AW863" i="19"/>
  <c r="AV863" i="19"/>
  <c r="AT863" i="19"/>
  <c r="AS863" i="19"/>
  <c r="AR863" i="19"/>
  <c r="AP863" i="19"/>
  <c r="AO863" i="19"/>
  <c r="T863" i="19"/>
  <c r="N863" i="19"/>
  <c r="L863" i="19"/>
  <c r="BG861" i="19"/>
  <c r="BB861" i="19"/>
  <c r="AZ861" i="19"/>
  <c r="BD861" i="19" s="1"/>
  <c r="AW861" i="19"/>
  <c r="AV861" i="19"/>
  <c r="AU861" i="19"/>
  <c r="AS861" i="19"/>
  <c r="AR861" i="19"/>
  <c r="AP861" i="19"/>
  <c r="AO861" i="19"/>
  <c r="T861" i="19"/>
  <c r="N861" i="19"/>
  <c r="L861" i="19"/>
  <c r="BG860" i="19"/>
  <c r="BB860" i="19"/>
  <c r="AZ860" i="19"/>
  <c r="AW860" i="19"/>
  <c r="AV860" i="19"/>
  <c r="AS860" i="19"/>
  <c r="AR860" i="19"/>
  <c r="AP860" i="19"/>
  <c r="AO860" i="19"/>
  <c r="T860" i="19"/>
  <c r="N860" i="19"/>
  <c r="L860" i="19"/>
  <c r="BG859" i="19"/>
  <c r="BB859" i="19"/>
  <c r="AZ859" i="19"/>
  <c r="BD859" i="19" s="1"/>
  <c r="AW859" i="19"/>
  <c r="AV859" i="19"/>
  <c r="AU859" i="19"/>
  <c r="AS859" i="19"/>
  <c r="AR859" i="19"/>
  <c r="AP859" i="19"/>
  <c r="AO859" i="19"/>
  <c r="T859" i="19"/>
  <c r="N859" i="19"/>
  <c r="L859" i="19"/>
  <c r="BG858" i="19"/>
  <c r="BB858" i="19"/>
  <c r="AZ858" i="19"/>
  <c r="AW858" i="19"/>
  <c r="BC858" i="19" s="1"/>
  <c r="AV858" i="19"/>
  <c r="AS858" i="19"/>
  <c r="AR858" i="19"/>
  <c r="AP858" i="19"/>
  <c r="AO858" i="19"/>
  <c r="T858" i="19"/>
  <c r="N858" i="19"/>
  <c r="L858" i="19"/>
  <c r="BG857" i="19"/>
  <c r="BB857" i="19"/>
  <c r="AZ857" i="19"/>
  <c r="BD857" i="19" s="1"/>
  <c r="AW857" i="19"/>
  <c r="AV857" i="19"/>
  <c r="AS857" i="19"/>
  <c r="AR857" i="19"/>
  <c r="AP857" i="19"/>
  <c r="AO857" i="19"/>
  <c r="T857" i="19"/>
  <c r="N857" i="19"/>
  <c r="L857" i="19"/>
  <c r="BG856" i="19"/>
  <c r="BB856" i="19"/>
  <c r="AZ856" i="19"/>
  <c r="BD856" i="19" s="1"/>
  <c r="AW856" i="19"/>
  <c r="AV856" i="19"/>
  <c r="AT856" i="19"/>
  <c r="AS856" i="19"/>
  <c r="AR856" i="19"/>
  <c r="AP856" i="19"/>
  <c r="AO856" i="19"/>
  <c r="T856" i="19"/>
  <c r="N856" i="19"/>
  <c r="L856" i="19"/>
  <c r="BG855" i="19"/>
  <c r="BB855" i="19"/>
  <c r="AZ855" i="19"/>
  <c r="AW855" i="19"/>
  <c r="AV855" i="19"/>
  <c r="AS855" i="19"/>
  <c r="AR855" i="19"/>
  <c r="AP855" i="19"/>
  <c r="AO855" i="19"/>
  <c r="T855" i="19"/>
  <c r="N855" i="19"/>
  <c r="L855" i="19"/>
  <c r="BG854" i="19"/>
  <c r="BB854" i="19"/>
  <c r="AZ854" i="19"/>
  <c r="AW854" i="19"/>
  <c r="AV854" i="19"/>
  <c r="AT854" i="19"/>
  <c r="AS854" i="19"/>
  <c r="AR854" i="19"/>
  <c r="AP854" i="19"/>
  <c r="AO854" i="19"/>
  <c r="T854" i="19"/>
  <c r="N854" i="19"/>
  <c r="L854" i="19"/>
  <c r="BG852" i="19"/>
  <c r="BB852" i="19"/>
  <c r="AZ852" i="19"/>
  <c r="BD852" i="19" s="1"/>
  <c r="AW852" i="19"/>
  <c r="AV852" i="19"/>
  <c r="L852" i="19" s="1"/>
  <c r="AS852" i="19"/>
  <c r="AR852" i="19"/>
  <c r="AP852" i="19"/>
  <c r="AO852" i="19"/>
  <c r="T852" i="19"/>
  <c r="N852" i="19"/>
  <c r="BG851" i="19"/>
  <c r="BB851" i="19"/>
  <c r="AZ851" i="19"/>
  <c r="BD851" i="19" s="1"/>
  <c r="AW851" i="19"/>
  <c r="AV851" i="19"/>
  <c r="L851" i="19" s="1"/>
  <c r="AU851" i="19"/>
  <c r="AT851" i="19"/>
  <c r="AS851" i="19"/>
  <c r="AR851" i="19"/>
  <c r="AP851" i="19"/>
  <c r="AO851" i="19"/>
  <c r="T851" i="19"/>
  <c r="N851" i="19"/>
  <c r="BG850" i="19"/>
  <c r="BB850" i="19"/>
  <c r="AZ850" i="19"/>
  <c r="BA850" i="19" s="1"/>
  <c r="BE850" i="19" s="1"/>
  <c r="BF850" i="19" s="1"/>
  <c r="AW850" i="19"/>
  <c r="AV850" i="19"/>
  <c r="L850" i="19" s="1"/>
  <c r="AS850" i="19"/>
  <c r="AR850" i="19"/>
  <c r="AP850" i="19"/>
  <c r="AO850" i="19"/>
  <c r="T850" i="19"/>
  <c r="N850" i="19"/>
  <c r="BG849" i="19"/>
  <c r="BB849" i="19"/>
  <c r="AZ849" i="19"/>
  <c r="AW849" i="19"/>
  <c r="AV849" i="19"/>
  <c r="L849" i="19" s="1"/>
  <c r="AS849" i="19"/>
  <c r="AR849" i="19"/>
  <c r="AP849" i="19"/>
  <c r="AO849" i="19"/>
  <c r="T849" i="19"/>
  <c r="N849" i="19"/>
  <c r="BG848" i="19"/>
  <c r="BC848" i="19"/>
  <c r="BB848" i="19"/>
  <c r="AZ848" i="19"/>
  <c r="AW848" i="19"/>
  <c r="BA848" i="19" s="1"/>
  <c r="BE848" i="19" s="1"/>
  <c r="BF848" i="19" s="1"/>
  <c r="AV848" i="19"/>
  <c r="L848" i="19" s="1"/>
  <c r="AU848" i="19"/>
  <c r="AT848" i="19"/>
  <c r="AS848" i="19"/>
  <c r="AR848" i="19"/>
  <c r="AP848" i="19"/>
  <c r="AO848" i="19"/>
  <c r="T848" i="19"/>
  <c r="N848" i="19"/>
  <c r="BG847" i="19"/>
  <c r="BB847" i="19"/>
  <c r="AZ847" i="19"/>
  <c r="AW847" i="19"/>
  <c r="AV847" i="19"/>
  <c r="AT847" i="19"/>
  <c r="AS847" i="19"/>
  <c r="AR847" i="19"/>
  <c r="AP847" i="19"/>
  <c r="AO847" i="19"/>
  <c r="T847" i="19"/>
  <c r="N847" i="19"/>
  <c r="L847" i="19"/>
  <c r="BG846" i="19"/>
  <c r="BB846" i="19"/>
  <c r="AZ846" i="19"/>
  <c r="BA846" i="19" s="1"/>
  <c r="BE846" i="19" s="1"/>
  <c r="BF846" i="19" s="1"/>
  <c r="AW846" i="19"/>
  <c r="AV846" i="19"/>
  <c r="L846" i="19" s="1"/>
  <c r="AU846" i="19"/>
  <c r="AS846" i="19"/>
  <c r="AR846" i="19"/>
  <c r="AP846" i="19"/>
  <c r="AO846" i="19"/>
  <c r="T846" i="19"/>
  <c r="N846" i="19"/>
  <c r="BG845" i="19"/>
  <c r="BB845" i="19"/>
  <c r="AZ845" i="19"/>
  <c r="AW845" i="19"/>
  <c r="BC845" i="19" s="1"/>
  <c r="AV845" i="19"/>
  <c r="L845" i="19" s="1"/>
  <c r="AS845" i="19"/>
  <c r="AR845" i="19"/>
  <c r="AP845" i="19"/>
  <c r="AO845" i="19"/>
  <c r="T845" i="19"/>
  <c r="N845" i="19"/>
  <c r="BG844" i="19"/>
  <c r="BB844" i="19"/>
  <c r="AZ844" i="19"/>
  <c r="AW844" i="19"/>
  <c r="AV844" i="19"/>
  <c r="AU844" i="19"/>
  <c r="AS844" i="19"/>
  <c r="AR844" i="19"/>
  <c r="AP844" i="19"/>
  <c r="AO844" i="19"/>
  <c r="T844" i="19"/>
  <c r="N844" i="19"/>
  <c r="L844" i="19"/>
  <c r="BG843" i="19"/>
  <c r="BB843" i="19"/>
  <c r="AZ843" i="19"/>
  <c r="AW843" i="19"/>
  <c r="AV843" i="19"/>
  <c r="AU843" i="19"/>
  <c r="AS843" i="19"/>
  <c r="AR843" i="19"/>
  <c r="AP843" i="19"/>
  <c r="AO843" i="19"/>
  <c r="T843" i="19"/>
  <c r="N843" i="19"/>
  <c r="L843" i="19"/>
  <c r="BG842" i="19"/>
  <c r="BB842" i="19"/>
  <c r="AZ842" i="19"/>
  <c r="BD842" i="19" s="1"/>
  <c r="AW842" i="19"/>
  <c r="AV842" i="19"/>
  <c r="AT842" i="19"/>
  <c r="AS842" i="19"/>
  <c r="AR842" i="19"/>
  <c r="AP842" i="19"/>
  <c r="AO842" i="19"/>
  <c r="T842" i="19"/>
  <c r="N842" i="19"/>
  <c r="L842" i="19"/>
  <c r="BG841" i="19"/>
  <c r="BB841" i="19"/>
  <c r="AZ841" i="19"/>
  <c r="BD841" i="19" s="1"/>
  <c r="AW841" i="19"/>
  <c r="AV841" i="19"/>
  <c r="L841" i="19" s="1"/>
  <c r="AS841" i="19"/>
  <c r="AR841" i="19"/>
  <c r="AP841" i="19"/>
  <c r="AO841" i="19"/>
  <c r="T841" i="19"/>
  <c r="N841" i="19"/>
  <c r="BG840" i="19"/>
  <c r="BC840" i="19"/>
  <c r="BB840" i="19"/>
  <c r="AZ840" i="19"/>
  <c r="AW840" i="19"/>
  <c r="BA840" i="19" s="1"/>
  <c r="BE840" i="19" s="1"/>
  <c r="BF840" i="19" s="1"/>
  <c r="AV840" i="19"/>
  <c r="AT840" i="19"/>
  <c r="BH840" i="19" s="1"/>
  <c r="AS840" i="19"/>
  <c r="AR840" i="19"/>
  <c r="AP840" i="19"/>
  <c r="AO840" i="19"/>
  <c r="T840" i="19"/>
  <c r="N840" i="19"/>
  <c r="L840" i="19"/>
  <c r="BG839" i="19"/>
  <c r="BB839" i="19"/>
  <c r="AZ839" i="19"/>
  <c r="AW839" i="19"/>
  <c r="AV839" i="19"/>
  <c r="AU839" i="19"/>
  <c r="AS839" i="19"/>
  <c r="AR839" i="19"/>
  <c r="AP839" i="19"/>
  <c r="AO839" i="19"/>
  <c r="T839" i="19"/>
  <c r="N839" i="19"/>
  <c r="L839" i="19"/>
  <c r="BG838" i="19"/>
  <c r="BB838" i="19"/>
  <c r="BA838" i="19"/>
  <c r="BE838" i="19" s="1"/>
  <c r="BF838" i="19" s="1"/>
  <c r="AZ838" i="19"/>
  <c r="AW838" i="19"/>
  <c r="AV838" i="19"/>
  <c r="AU838" i="19"/>
  <c r="AS838" i="19"/>
  <c r="AR838" i="19"/>
  <c r="AP838" i="19"/>
  <c r="AO838" i="19"/>
  <c r="T838" i="19"/>
  <c r="N838" i="19"/>
  <c r="L838" i="19"/>
  <c r="BG837" i="19"/>
  <c r="BB837" i="19"/>
  <c r="AZ837" i="19"/>
  <c r="AW837" i="19"/>
  <c r="AV837" i="19"/>
  <c r="AU837" i="19"/>
  <c r="AS837" i="19"/>
  <c r="AR837" i="19"/>
  <c r="AP837" i="19"/>
  <c r="AO837" i="19"/>
  <c r="T837" i="19"/>
  <c r="N837" i="19"/>
  <c r="L837" i="19"/>
  <c r="BG836" i="19"/>
  <c r="BB836" i="19"/>
  <c r="AZ836" i="19"/>
  <c r="BC836" i="19" s="1"/>
  <c r="AW836" i="19"/>
  <c r="AV836" i="19"/>
  <c r="AS836" i="19"/>
  <c r="AR836" i="19"/>
  <c r="AP836" i="19"/>
  <c r="AO836" i="19"/>
  <c r="T836" i="19"/>
  <c r="N836" i="19"/>
  <c r="L836" i="19"/>
  <c r="BG835" i="19"/>
  <c r="BB835" i="19"/>
  <c r="AZ835" i="19"/>
  <c r="AW835" i="19"/>
  <c r="AV835" i="19"/>
  <c r="L835" i="19" s="1"/>
  <c r="AS835" i="19"/>
  <c r="AR835" i="19"/>
  <c r="AP835" i="19"/>
  <c r="AO835" i="19"/>
  <c r="T835" i="19"/>
  <c r="N835" i="19"/>
  <c r="BG834" i="19"/>
  <c r="BB834" i="19"/>
  <c r="AZ834" i="19"/>
  <c r="AW834" i="19"/>
  <c r="AV834" i="19"/>
  <c r="AT834" i="19"/>
  <c r="AS834" i="19"/>
  <c r="AR834" i="19"/>
  <c r="AP834" i="19"/>
  <c r="AO834" i="19"/>
  <c r="T834" i="19"/>
  <c r="N834" i="19"/>
  <c r="L834" i="19"/>
  <c r="BG833" i="19"/>
  <c r="BB833" i="19"/>
  <c r="AZ833" i="19"/>
  <c r="AW833" i="19"/>
  <c r="AV833" i="19"/>
  <c r="AU833" i="19"/>
  <c r="AT833" i="19"/>
  <c r="BH833" i="19" s="1"/>
  <c r="AS833" i="19"/>
  <c r="AR833" i="19"/>
  <c r="AP833" i="19"/>
  <c r="AO833" i="19"/>
  <c r="T833" i="19"/>
  <c r="N833" i="19"/>
  <c r="L833" i="19"/>
  <c r="BG832" i="19"/>
  <c r="BB832" i="19"/>
  <c r="AZ832" i="19"/>
  <c r="BC832" i="19" s="1"/>
  <c r="AW832" i="19"/>
  <c r="AV832" i="19"/>
  <c r="L832" i="19" s="1"/>
  <c r="AU832" i="19"/>
  <c r="AT832" i="19"/>
  <c r="AS832" i="19"/>
  <c r="AR832" i="19"/>
  <c r="AP832" i="19"/>
  <c r="AO832" i="19"/>
  <c r="T832" i="19"/>
  <c r="N832" i="19"/>
  <c r="BG831" i="19"/>
  <c r="BB831" i="19"/>
  <c r="AZ831" i="19"/>
  <c r="AW831" i="19"/>
  <c r="AV831" i="19"/>
  <c r="L831" i="19" s="1"/>
  <c r="AU831" i="19"/>
  <c r="AT831" i="19"/>
  <c r="AS831" i="19"/>
  <c r="AR831" i="19"/>
  <c r="AP831" i="19"/>
  <c r="AO831" i="19"/>
  <c r="T831" i="19"/>
  <c r="N831" i="19"/>
  <c r="BG830" i="19"/>
  <c r="BB830" i="19"/>
  <c r="AZ830" i="19"/>
  <c r="BD830" i="19" s="1"/>
  <c r="AW830" i="19"/>
  <c r="AV830" i="19"/>
  <c r="L830" i="19" s="1"/>
  <c r="AS830" i="19"/>
  <c r="AR830" i="19"/>
  <c r="AP830" i="19"/>
  <c r="AO830" i="19"/>
  <c r="T830" i="19"/>
  <c r="N830" i="19"/>
  <c r="BG829" i="19"/>
  <c r="BB829" i="19"/>
  <c r="AZ829" i="19"/>
  <c r="BD829" i="19" s="1"/>
  <c r="AW829" i="19"/>
  <c r="AV829" i="19"/>
  <c r="L829" i="19" s="1"/>
  <c r="AU829" i="19"/>
  <c r="AS829" i="19"/>
  <c r="AR829" i="19"/>
  <c r="AP829" i="19"/>
  <c r="AO829" i="19"/>
  <c r="T829" i="19"/>
  <c r="N829" i="19"/>
  <c r="BG828" i="19"/>
  <c r="BB828" i="19"/>
  <c r="BA828" i="19"/>
  <c r="BE828" i="19" s="1"/>
  <c r="BF828" i="19" s="1"/>
  <c r="AZ828" i="19"/>
  <c r="AW828" i="19"/>
  <c r="AV828" i="19"/>
  <c r="AU828" i="19"/>
  <c r="AS828" i="19"/>
  <c r="AR828" i="19"/>
  <c r="AP828" i="19"/>
  <c r="AO828" i="19"/>
  <c r="T828" i="19"/>
  <c r="N828" i="19"/>
  <c r="L828" i="19"/>
  <c r="BG827" i="19"/>
  <c r="BB827" i="19"/>
  <c r="AZ827" i="19"/>
  <c r="AW827" i="19"/>
  <c r="AV827" i="19"/>
  <c r="AU827" i="19"/>
  <c r="AS827" i="19"/>
  <c r="AR827" i="19"/>
  <c r="AP827" i="19"/>
  <c r="AO827" i="19"/>
  <c r="T827" i="19"/>
  <c r="N827" i="19"/>
  <c r="L827" i="19"/>
  <c r="BG826" i="19"/>
  <c r="BB826" i="19"/>
  <c r="AZ826" i="19"/>
  <c r="BD826" i="19" s="1"/>
  <c r="AW826" i="19"/>
  <c r="AV826" i="19"/>
  <c r="L826" i="19" s="1"/>
  <c r="AS826" i="19"/>
  <c r="AR826" i="19"/>
  <c r="AP826" i="19"/>
  <c r="AO826" i="19"/>
  <c r="T826" i="19"/>
  <c r="N826" i="19"/>
  <c r="BG825" i="19"/>
  <c r="BB825" i="19"/>
  <c r="AZ825" i="19"/>
  <c r="AW825" i="19"/>
  <c r="AV825" i="19"/>
  <c r="AT825" i="19"/>
  <c r="AS825" i="19"/>
  <c r="AR825" i="19"/>
  <c r="AP825" i="19"/>
  <c r="AO825" i="19"/>
  <c r="T825" i="19"/>
  <c r="N825" i="19"/>
  <c r="L825" i="19"/>
  <c r="BG824" i="19"/>
  <c r="BB824" i="19"/>
  <c r="AZ824" i="19"/>
  <c r="AW824" i="19"/>
  <c r="AV824" i="19"/>
  <c r="L824" i="19" s="1"/>
  <c r="AS824" i="19"/>
  <c r="AR824" i="19"/>
  <c r="AP824" i="19"/>
  <c r="AO824" i="19"/>
  <c r="T824" i="19"/>
  <c r="N824" i="19"/>
  <c r="BG823" i="19"/>
  <c r="BB823" i="19"/>
  <c r="AZ823" i="19"/>
  <c r="AW823" i="19"/>
  <c r="AV823" i="19"/>
  <c r="AU823" i="19"/>
  <c r="AS823" i="19"/>
  <c r="AR823" i="19"/>
  <c r="AP823" i="19"/>
  <c r="AO823" i="19"/>
  <c r="T823" i="19"/>
  <c r="N823" i="19"/>
  <c r="L823" i="19"/>
  <c r="BG822" i="19"/>
  <c r="BB822" i="19"/>
  <c r="AZ822" i="19"/>
  <c r="BA822" i="19" s="1"/>
  <c r="BE822" i="19" s="1"/>
  <c r="BF822" i="19" s="1"/>
  <c r="AW822" i="19"/>
  <c r="AV822" i="19"/>
  <c r="L822" i="19" s="1"/>
  <c r="AU822" i="19"/>
  <c r="AT822" i="19"/>
  <c r="AS822" i="19"/>
  <c r="AR822" i="19"/>
  <c r="AP822" i="19"/>
  <c r="AO822" i="19"/>
  <c r="T822" i="19"/>
  <c r="N822" i="19"/>
  <c r="BG821" i="19"/>
  <c r="BB821" i="19"/>
  <c r="AZ821" i="19"/>
  <c r="BD821" i="19" s="1"/>
  <c r="AW821" i="19"/>
  <c r="AV821" i="19"/>
  <c r="AS821" i="19"/>
  <c r="AR821" i="19"/>
  <c r="AP821" i="19"/>
  <c r="AO821" i="19"/>
  <c r="T821" i="19"/>
  <c r="N821" i="19"/>
  <c r="L821" i="19"/>
  <c r="BG820" i="19"/>
  <c r="BB820" i="19"/>
  <c r="BA820" i="19"/>
  <c r="BE820" i="19" s="1"/>
  <c r="BF820" i="19" s="1"/>
  <c r="AZ820" i="19"/>
  <c r="BD820" i="19" s="1"/>
  <c r="AW820" i="19"/>
  <c r="AV820" i="19"/>
  <c r="AS820" i="19"/>
  <c r="AR820" i="19"/>
  <c r="AP820" i="19"/>
  <c r="AO820" i="19"/>
  <c r="T820" i="19"/>
  <c r="N820" i="19"/>
  <c r="L820" i="19"/>
  <c r="BG819" i="19"/>
  <c r="BB819" i="19"/>
  <c r="AZ819" i="19"/>
  <c r="AW819" i="19"/>
  <c r="AV819" i="19"/>
  <c r="L819" i="19" s="1"/>
  <c r="AS819" i="19"/>
  <c r="AR819" i="19"/>
  <c r="AP819" i="19"/>
  <c r="AO819" i="19"/>
  <c r="T819" i="19"/>
  <c r="N819" i="19"/>
  <c r="BG818" i="19"/>
  <c r="BB818" i="19"/>
  <c r="AZ818" i="19"/>
  <c r="AW818" i="19"/>
  <c r="AV818" i="19"/>
  <c r="L818" i="19" s="1"/>
  <c r="AS818" i="19"/>
  <c r="AR818" i="19"/>
  <c r="AP818" i="19"/>
  <c r="AO818" i="19"/>
  <c r="T818" i="19"/>
  <c r="N818" i="19"/>
  <c r="BG817" i="19"/>
  <c r="BB817" i="19"/>
  <c r="AZ817" i="19"/>
  <c r="AW817" i="19"/>
  <c r="AV817" i="19"/>
  <c r="L817" i="19" s="1"/>
  <c r="AS817" i="19"/>
  <c r="AR817" i="19"/>
  <c r="AP817" i="19"/>
  <c r="AO817" i="19"/>
  <c r="T817" i="19"/>
  <c r="N817" i="19"/>
  <c r="BG816" i="19"/>
  <c r="BB816" i="19"/>
  <c r="AZ816" i="19"/>
  <c r="AW816" i="19"/>
  <c r="AV816" i="19"/>
  <c r="L816" i="19" s="1"/>
  <c r="AS816" i="19"/>
  <c r="AR816" i="19"/>
  <c r="AP816" i="19"/>
  <c r="AO816" i="19"/>
  <c r="T816" i="19"/>
  <c r="N816" i="19"/>
  <c r="BG815" i="19"/>
  <c r="BB815" i="19"/>
  <c r="AZ815" i="19"/>
  <c r="AW815" i="19"/>
  <c r="AV815" i="19"/>
  <c r="AU815" i="19"/>
  <c r="AS815" i="19"/>
  <c r="AR815" i="19"/>
  <c r="AP815" i="19"/>
  <c r="AO815" i="19"/>
  <c r="T815" i="19"/>
  <c r="N815" i="19"/>
  <c r="L815" i="19"/>
  <c r="BG814" i="19"/>
  <c r="BB814" i="19"/>
  <c r="AZ814" i="19"/>
  <c r="BD814" i="19" s="1"/>
  <c r="AW814" i="19"/>
  <c r="AV814" i="19"/>
  <c r="AT814" i="19"/>
  <c r="AS814" i="19"/>
  <c r="AR814" i="19"/>
  <c r="AP814" i="19"/>
  <c r="AO814" i="19"/>
  <c r="T814" i="19"/>
  <c r="N814" i="19"/>
  <c r="L814" i="19"/>
  <c r="BG813" i="19"/>
  <c r="BB813" i="19"/>
  <c r="AZ813" i="19"/>
  <c r="AW813" i="19"/>
  <c r="AV813" i="19"/>
  <c r="AU813" i="19"/>
  <c r="AS813" i="19"/>
  <c r="AR813" i="19"/>
  <c r="AP813" i="19"/>
  <c r="AO813" i="19"/>
  <c r="T813" i="19"/>
  <c r="N813" i="19"/>
  <c r="L813" i="19"/>
  <c r="BG812" i="19"/>
  <c r="BB812" i="19"/>
  <c r="AZ812" i="19"/>
  <c r="AW812" i="19"/>
  <c r="AV812" i="19"/>
  <c r="AU812" i="19"/>
  <c r="AS812" i="19"/>
  <c r="AR812" i="19"/>
  <c r="AP812" i="19"/>
  <c r="AO812" i="19"/>
  <c r="T812" i="19"/>
  <c r="N812" i="19"/>
  <c r="L812" i="19"/>
  <c r="BG811" i="19"/>
  <c r="BB811" i="19"/>
  <c r="AZ811" i="19"/>
  <c r="AW811" i="19"/>
  <c r="AV811" i="19"/>
  <c r="AU811" i="19"/>
  <c r="AS811" i="19"/>
  <c r="AR811" i="19"/>
  <c r="AP811" i="19"/>
  <c r="AO811" i="19"/>
  <c r="T811" i="19"/>
  <c r="N811" i="19"/>
  <c r="L811" i="19"/>
  <c r="BG810" i="19"/>
  <c r="BB810" i="19"/>
  <c r="AZ810" i="19"/>
  <c r="AW810" i="19"/>
  <c r="AV810" i="19"/>
  <c r="AT810" i="19"/>
  <c r="AS810" i="19"/>
  <c r="AR810" i="19"/>
  <c r="AP810" i="19"/>
  <c r="AO810" i="19"/>
  <c r="T810" i="19"/>
  <c r="N810" i="19"/>
  <c r="L810" i="19"/>
  <c r="BG809" i="19"/>
  <c r="BB809" i="19"/>
  <c r="AZ809" i="19"/>
  <c r="AW809" i="19"/>
  <c r="AV809" i="19"/>
  <c r="AT809" i="19"/>
  <c r="AS809" i="19"/>
  <c r="AR809" i="19"/>
  <c r="AP809" i="19"/>
  <c r="AO809" i="19"/>
  <c r="T809" i="19"/>
  <c r="N809" i="19"/>
  <c r="L809" i="19"/>
  <c r="BG808" i="19"/>
  <c r="BB808" i="19"/>
  <c r="AZ808" i="19"/>
  <c r="AW808" i="19"/>
  <c r="AV808" i="19"/>
  <c r="AT808" i="19"/>
  <c r="AS808" i="19"/>
  <c r="AR808" i="19"/>
  <c r="AP808" i="19"/>
  <c r="AO808" i="19"/>
  <c r="T808" i="19"/>
  <c r="N808" i="19"/>
  <c r="L808" i="19"/>
  <c r="BG807" i="19"/>
  <c r="BB807" i="19"/>
  <c r="AZ807" i="19"/>
  <c r="AW807" i="19"/>
  <c r="AV807" i="19"/>
  <c r="L807" i="19" s="1"/>
  <c r="AU807" i="19"/>
  <c r="AT807" i="19"/>
  <c r="AS807" i="19"/>
  <c r="AR807" i="19"/>
  <c r="AP807" i="19"/>
  <c r="AO807" i="19"/>
  <c r="T807" i="19"/>
  <c r="N807" i="19"/>
  <c r="BG806" i="19"/>
  <c r="BB806" i="19"/>
  <c r="AZ806" i="19"/>
  <c r="AW806" i="19"/>
  <c r="AV806" i="19"/>
  <c r="L806" i="19" s="1"/>
  <c r="AU806" i="19"/>
  <c r="AT806" i="19"/>
  <c r="AS806" i="19"/>
  <c r="AR806" i="19"/>
  <c r="AP806" i="19"/>
  <c r="AO806" i="19"/>
  <c r="T806" i="19"/>
  <c r="N806" i="19"/>
  <c r="BG805" i="19"/>
  <c r="BB805" i="19"/>
  <c r="AZ805" i="19"/>
  <c r="AW805" i="19"/>
  <c r="AV805" i="19"/>
  <c r="AU805" i="19"/>
  <c r="AS805" i="19"/>
  <c r="AR805" i="19"/>
  <c r="AP805" i="19"/>
  <c r="AO805" i="19"/>
  <c r="T805" i="19"/>
  <c r="N805" i="19"/>
  <c r="L805" i="19"/>
  <c r="BG804" i="19"/>
  <c r="BB804" i="19"/>
  <c r="AZ804" i="19"/>
  <c r="AW804" i="19"/>
  <c r="AV804" i="19"/>
  <c r="AU804" i="19"/>
  <c r="AS804" i="19"/>
  <c r="AR804" i="19"/>
  <c r="AP804" i="19"/>
  <c r="AO804" i="19"/>
  <c r="T804" i="19"/>
  <c r="N804" i="19"/>
  <c r="L804" i="19"/>
  <c r="BG803" i="19"/>
  <c r="BB803" i="19"/>
  <c r="AZ803" i="19"/>
  <c r="AW803" i="19"/>
  <c r="AV803" i="19"/>
  <c r="AU803" i="19"/>
  <c r="AS803" i="19"/>
  <c r="AR803" i="19"/>
  <c r="AP803" i="19"/>
  <c r="AO803" i="19"/>
  <c r="T803" i="19"/>
  <c r="N803" i="19"/>
  <c r="L803" i="19"/>
  <c r="BG802" i="19"/>
  <c r="BB802" i="19"/>
  <c r="AZ802" i="19"/>
  <c r="AW802" i="19"/>
  <c r="AV802" i="19"/>
  <c r="AT802" i="19"/>
  <c r="AS802" i="19"/>
  <c r="AR802" i="19"/>
  <c r="AP802" i="19"/>
  <c r="AO802" i="19"/>
  <c r="T802" i="19"/>
  <c r="N802" i="19"/>
  <c r="L802" i="19"/>
  <c r="BG801" i="19"/>
  <c r="BB801" i="19"/>
  <c r="AZ801" i="19"/>
  <c r="BA801" i="19" s="1"/>
  <c r="BE801" i="19" s="1"/>
  <c r="BF801" i="19" s="1"/>
  <c r="AW801" i="19"/>
  <c r="AV801" i="19"/>
  <c r="AU801" i="19"/>
  <c r="AS801" i="19"/>
  <c r="AR801" i="19"/>
  <c r="AP801" i="19"/>
  <c r="AO801" i="19"/>
  <c r="T801" i="19"/>
  <c r="N801" i="19"/>
  <c r="L801" i="19"/>
  <c r="BG800" i="19"/>
  <c r="BB800" i="19"/>
  <c r="AZ800" i="19"/>
  <c r="AW800" i="19"/>
  <c r="AV800" i="19"/>
  <c r="AU800" i="19"/>
  <c r="AS800" i="19"/>
  <c r="AR800" i="19"/>
  <c r="AP800" i="19"/>
  <c r="AO800" i="19"/>
  <c r="T800" i="19"/>
  <c r="N800" i="19"/>
  <c r="L800" i="19"/>
  <c r="BG799" i="19"/>
  <c r="BB799" i="19"/>
  <c r="AZ799" i="19"/>
  <c r="AW799" i="19"/>
  <c r="AV799" i="19"/>
  <c r="L799" i="19" s="1"/>
  <c r="AU799" i="19"/>
  <c r="AT799" i="19"/>
  <c r="AS799" i="19"/>
  <c r="AR799" i="19"/>
  <c r="AP799" i="19"/>
  <c r="AO799" i="19"/>
  <c r="T799" i="19"/>
  <c r="N799" i="19"/>
  <c r="BG798" i="19"/>
  <c r="BC798" i="19"/>
  <c r="BB798" i="19"/>
  <c r="AZ798" i="19"/>
  <c r="AW798" i="19"/>
  <c r="AV798" i="19"/>
  <c r="L798" i="19" s="1"/>
  <c r="AT798" i="19"/>
  <c r="AS798" i="19"/>
  <c r="AR798" i="19"/>
  <c r="AP798" i="19"/>
  <c r="AO798" i="19"/>
  <c r="T798" i="19"/>
  <c r="N798" i="19"/>
  <c r="BG797" i="19"/>
  <c r="BB797" i="19"/>
  <c r="AZ797" i="19"/>
  <c r="BD797" i="19" s="1"/>
  <c r="AW797" i="19"/>
  <c r="AV797" i="19"/>
  <c r="L797" i="19" s="1"/>
  <c r="AU797" i="19"/>
  <c r="AT797" i="19"/>
  <c r="AS797" i="19"/>
  <c r="AR797" i="19"/>
  <c r="AP797" i="19"/>
  <c r="AO797" i="19"/>
  <c r="T797" i="19"/>
  <c r="N797" i="19"/>
  <c r="BG796" i="19"/>
  <c r="BB796" i="19"/>
  <c r="AZ796" i="19"/>
  <c r="BC796" i="19" s="1"/>
  <c r="AW796" i="19"/>
  <c r="AV796" i="19"/>
  <c r="AU796" i="19"/>
  <c r="AT796" i="19"/>
  <c r="AS796" i="19"/>
  <c r="AR796" i="19"/>
  <c r="AP796" i="19"/>
  <c r="AO796" i="19"/>
  <c r="T796" i="19"/>
  <c r="N796" i="19"/>
  <c r="L796" i="19"/>
  <c r="BG795" i="19"/>
  <c r="BB795" i="19"/>
  <c r="AZ795" i="19"/>
  <c r="AW795" i="19"/>
  <c r="AV795" i="19"/>
  <c r="L795" i="19" s="1"/>
  <c r="AU795" i="19"/>
  <c r="AT795" i="19"/>
  <c r="AS795" i="19"/>
  <c r="AR795" i="19"/>
  <c r="AP795" i="19"/>
  <c r="AO795" i="19"/>
  <c r="T795" i="19"/>
  <c r="N795" i="19"/>
  <c r="BG794" i="19"/>
  <c r="BB794" i="19"/>
  <c r="BA794" i="19"/>
  <c r="BE794" i="19" s="1"/>
  <c r="BF794" i="19" s="1"/>
  <c r="AZ794" i="19"/>
  <c r="BC794" i="19" s="1"/>
  <c r="AW794" i="19"/>
  <c r="AV794" i="19"/>
  <c r="L794" i="19" s="1"/>
  <c r="AU794" i="19"/>
  <c r="AT794" i="19"/>
  <c r="AS794" i="19"/>
  <c r="AR794" i="19"/>
  <c r="AP794" i="19"/>
  <c r="AO794" i="19"/>
  <c r="T794" i="19"/>
  <c r="N794" i="19"/>
  <c r="BG793" i="19"/>
  <c r="BB793" i="19"/>
  <c r="AZ793" i="19"/>
  <c r="BD793" i="19" s="1"/>
  <c r="AW793" i="19"/>
  <c r="AV793" i="19"/>
  <c r="L793" i="19" s="1"/>
  <c r="AT793" i="19"/>
  <c r="BH793" i="19" s="1"/>
  <c r="AS793" i="19"/>
  <c r="AR793" i="19"/>
  <c r="AP793" i="19"/>
  <c r="AO793" i="19"/>
  <c r="T793" i="19"/>
  <c r="N793" i="19"/>
  <c r="BG792" i="19"/>
  <c r="BC792" i="19"/>
  <c r="BB792" i="19"/>
  <c r="AZ792" i="19"/>
  <c r="BA792" i="19" s="1"/>
  <c r="BE792" i="19" s="1"/>
  <c r="BF792" i="19" s="1"/>
  <c r="AW792" i="19"/>
  <c r="AV792" i="19"/>
  <c r="AT792" i="19"/>
  <c r="AS792" i="19"/>
  <c r="AR792" i="19"/>
  <c r="AP792" i="19"/>
  <c r="AO792" i="19"/>
  <c r="T792" i="19"/>
  <c r="N792" i="19"/>
  <c r="L792" i="19"/>
  <c r="BG791" i="19"/>
  <c r="BB791" i="19"/>
  <c r="AZ791" i="19"/>
  <c r="BA791" i="19" s="1"/>
  <c r="BE791" i="19" s="1"/>
  <c r="BF791" i="19" s="1"/>
  <c r="AW791" i="19"/>
  <c r="AV791" i="19"/>
  <c r="L791" i="19" s="1"/>
  <c r="AT791" i="19"/>
  <c r="AS791" i="19"/>
  <c r="AR791" i="19"/>
  <c r="AP791" i="19"/>
  <c r="AO791" i="19"/>
  <c r="T791" i="19"/>
  <c r="N791" i="19"/>
  <c r="BG790" i="19"/>
  <c r="BB790" i="19"/>
  <c r="AZ790" i="19"/>
  <c r="BD790" i="19" s="1"/>
  <c r="AW790" i="19"/>
  <c r="AV790" i="19"/>
  <c r="AU790" i="19"/>
  <c r="AS790" i="19"/>
  <c r="AR790" i="19"/>
  <c r="AP790" i="19"/>
  <c r="AO790" i="19"/>
  <c r="T790" i="19"/>
  <c r="N790" i="19"/>
  <c r="L790" i="19"/>
  <c r="BG789" i="19"/>
  <c r="BB789" i="19"/>
  <c r="AZ789" i="19"/>
  <c r="BD789" i="19" s="1"/>
  <c r="AW789" i="19"/>
  <c r="AV789" i="19"/>
  <c r="L789" i="19" s="1"/>
  <c r="AU789" i="19"/>
  <c r="AT789" i="19"/>
  <c r="AS789" i="19"/>
  <c r="AR789" i="19"/>
  <c r="AP789" i="19"/>
  <c r="AO789" i="19"/>
  <c r="T789" i="19"/>
  <c r="N789" i="19"/>
  <c r="BG788" i="19"/>
  <c r="BC788" i="19"/>
  <c r="BB788" i="19"/>
  <c r="AZ788" i="19"/>
  <c r="AW788" i="19"/>
  <c r="AV788" i="19"/>
  <c r="L788" i="19" s="1"/>
  <c r="AU788" i="19"/>
  <c r="AT788" i="19"/>
  <c r="AS788" i="19"/>
  <c r="AR788" i="19"/>
  <c r="AP788" i="19"/>
  <c r="AO788" i="19"/>
  <c r="T788" i="19"/>
  <c r="N788" i="19"/>
  <c r="BG787" i="19"/>
  <c r="BB787" i="19"/>
  <c r="AZ787" i="19"/>
  <c r="AW787" i="19"/>
  <c r="AV787" i="19"/>
  <c r="AS787" i="19"/>
  <c r="AR787" i="19"/>
  <c r="AP787" i="19"/>
  <c r="AO787" i="19"/>
  <c r="T787" i="19"/>
  <c r="N787" i="19"/>
  <c r="L787" i="19"/>
  <c r="BG786" i="19"/>
  <c r="BB786" i="19"/>
  <c r="AZ786" i="19"/>
  <c r="AW786" i="19"/>
  <c r="AV786" i="19"/>
  <c r="L786" i="19" s="1"/>
  <c r="AT786" i="19"/>
  <c r="BH786" i="19" s="1"/>
  <c r="AS786" i="19"/>
  <c r="AR786" i="19"/>
  <c r="AP786" i="19"/>
  <c r="AO786" i="19"/>
  <c r="T786" i="19"/>
  <c r="N786" i="19"/>
  <c r="BG785" i="19"/>
  <c r="BC785" i="19"/>
  <c r="BB785" i="19"/>
  <c r="AZ785" i="19"/>
  <c r="AW785" i="19"/>
  <c r="AV785" i="19"/>
  <c r="L785" i="19" s="1"/>
  <c r="AT785" i="19"/>
  <c r="AS785" i="19"/>
  <c r="AR785" i="19"/>
  <c r="AP785" i="19"/>
  <c r="AO785" i="19"/>
  <c r="T785" i="19"/>
  <c r="N785" i="19"/>
  <c r="BG782" i="19"/>
  <c r="BB782" i="19"/>
  <c r="BA782" i="19"/>
  <c r="BE782" i="19" s="1"/>
  <c r="BF782" i="19" s="1"/>
  <c r="AZ782" i="19"/>
  <c r="AW782" i="19"/>
  <c r="AV782" i="19"/>
  <c r="L782" i="19" s="1"/>
  <c r="AS782" i="19"/>
  <c r="AR782" i="19"/>
  <c r="AP782" i="19"/>
  <c r="AO782" i="19"/>
  <c r="T782" i="19"/>
  <c r="N782" i="19"/>
  <c r="BG781" i="19"/>
  <c r="BB781" i="19"/>
  <c r="AZ781" i="19"/>
  <c r="BD781" i="19" s="1"/>
  <c r="AW781" i="19"/>
  <c r="AV781" i="19"/>
  <c r="L781" i="19" s="1"/>
  <c r="AU781" i="19"/>
  <c r="AT781" i="19"/>
  <c r="AS781" i="19"/>
  <c r="AR781" i="19"/>
  <c r="AP781" i="19"/>
  <c r="AO781" i="19"/>
  <c r="T781" i="19"/>
  <c r="N781" i="19"/>
  <c r="BG780" i="19"/>
  <c r="BB780" i="19"/>
  <c r="AZ780" i="19"/>
  <c r="AW780" i="19"/>
  <c r="AV780" i="19"/>
  <c r="L780" i="19" s="1"/>
  <c r="AS780" i="19"/>
  <c r="AR780" i="19"/>
  <c r="AP780" i="19"/>
  <c r="AO780" i="19"/>
  <c r="T780" i="19"/>
  <c r="N780" i="19"/>
  <c r="BG779" i="19"/>
  <c r="BB779" i="19"/>
  <c r="AZ779" i="19"/>
  <c r="AW779" i="19"/>
  <c r="AV779" i="19"/>
  <c r="AT779" i="19"/>
  <c r="AS779" i="19"/>
  <c r="AR779" i="19"/>
  <c r="AP779" i="19"/>
  <c r="AO779" i="19"/>
  <c r="T779" i="19"/>
  <c r="N779" i="19"/>
  <c r="L779" i="19"/>
  <c r="BG778" i="19"/>
  <c r="BB778" i="19"/>
  <c r="AZ778" i="19"/>
  <c r="BC778" i="19" s="1"/>
  <c r="AW778" i="19"/>
  <c r="AV778" i="19"/>
  <c r="AT778" i="19"/>
  <c r="AS778" i="19"/>
  <c r="AR778" i="19"/>
  <c r="AP778" i="19"/>
  <c r="AO778" i="19"/>
  <c r="T778" i="19"/>
  <c r="N778" i="19"/>
  <c r="L778" i="19"/>
  <c r="BG777" i="19"/>
  <c r="BB777" i="19"/>
  <c r="AZ777" i="19"/>
  <c r="AW777" i="19"/>
  <c r="AV777" i="19"/>
  <c r="AT777" i="19"/>
  <c r="AS777" i="19"/>
  <c r="AR777" i="19"/>
  <c r="AP777" i="19"/>
  <c r="AO777" i="19"/>
  <c r="T777" i="19"/>
  <c r="N777" i="19"/>
  <c r="L777" i="19"/>
  <c r="BG776" i="19"/>
  <c r="BB776" i="19"/>
  <c r="AZ776" i="19"/>
  <c r="AW776" i="19"/>
  <c r="AV776" i="19"/>
  <c r="AT776" i="19"/>
  <c r="AS776" i="19"/>
  <c r="AR776" i="19"/>
  <c r="AP776" i="19"/>
  <c r="AO776" i="19"/>
  <c r="T776" i="19"/>
  <c r="N776" i="19"/>
  <c r="L776" i="19"/>
  <c r="BG775" i="19"/>
  <c r="BB775" i="19"/>
  <c r="AZ775" i="19"/>
  <c r="AW775" i="19"/>
  <c r="AV775" i="19"/>
  <c r="L775" i="19" s="1"/>
  <c r="AT775" i="19"/>
  <c r="AS775" i="19"/>
  <c r="AR775" i="19"/>
  <c r="AP775" i="19"/>
  <c r="AO775" i="19"/>
  <c r="T775" i="19"/>
  <c r="N775" i="19"/>
  <c r="BG774" i="19"/>
  <c r="BB774" i="19"/>
  <c r="AZ774" i="19"/>
  <c r="AW774" i="19"/>
  <c r="AV774" i="19"/>
  <c r="L774" i="19" s="1"/>
  <c r="AS774" i="19"/>
  <c r="AR774" i="19"/>
  <c r="AP774" i="19"/>
  <c r="AO774" i="19"/>
  <c r="T774" i="19"/>
  <c r="N774" i="19"/>
  <c r="BG773" i="19"/>
  <c r="BB773" i="19"/>
  <c r="AZ773" i="19"/>
  <c r="BA773" i="19" s="1"/>
  <c r="BE773" i="19" s="1"/>
  <c r="BF773" i="19" s="1"/>
  <c r="AW773" i="19"/>
  <c r="AV773" i="19"/>
  <c r="L773" i="19" s="1"/>
  <c r="AU773" i="19"/>
  <c r="AT773" i="19"/>
  <c r="AS773" i="19"/>
  <c r="AR773" i="19"/>
  <c r="AP773" i="19"/>
  <c r="AO773" i="19"/>
  <c r="T773" i="19"/>
  <c r="N773" i="19"/>
  <c r="BG772" i="19"/>
  <c r="BB772" i="19"/>
  <c r="AZ772" i="19"/>
  <c r="AW772" i="19"/>
  <c r="AV772" i="19"/>
  <c r="L772" i="19" s="1"/>
  <c r="AU772" i="19"/>
  <c r="AT772" i="19"/>
  <c r="AS772" i="19"/>
  <c r="AR772" i="19"/>
  <c r="AP772" i="19"/>
  <c r="AO772" i="19"/>
  <c r="T772" i="19"/>
  <c r="N772" i="19"/>
  <c r="BG771" i="19"/>
  <c r="BB771" i="19"/>
  <c r="AZ771" i="19"/>
  <c r="BC771" i="19" s="1"/>
  <c r="AW771" i="19"/>
  <c r="AV771" i="19"/>
  <c r="AT771" i="19"/>
  <c r="AS771" i="19"/>
  <c r="AR771" i="19"/>
  <c r="AP771" i="19"/>
  <c r="AO771" i="19"/>
  <c r="T771" i="19"/>
  <c r="N771" i="19"/>
  <c r="L771" i="19"/>
  <c r="BG770" i="19"/>
  <c r="BB770" i="19"/>
  <c r="AZ770" i="19"/>
  <c r="AW770" i="19"/>
  <c r="BC770" i="19" s="1"/>
  <c r="AV770" i="19"/>
  <c r="AT770" i="19"/>
  <c r="AS770" i="19"/>
  <c r="AR770" i="19"/>
  <c r="AP770" i="19"/>
  <c r="AO770" i="19"/>
  <c r="T770" i="19"/>
  <c r="N770" i="19"/>
  <c r="L770" i="19"/>
  <c r="BG769" i="19"/>
  <c r="BB769" i="19"/>
  <c r="AZ769" i="19"/>
  <c r="BC769" i="19" s="1"/>
  <c r="AW769" i="19"/>
  <c r="AV769" i="19"/>
  <c r="L769" i="19" s="1"/>
  <c r="AS769" i="19"/>
  <c r="AR769" i="19"/>
  <c r="AP769" i="19"/>
  <c r="AO769" i="19"/>
  <c r="T769" i="19"/>
  <c r="N769" i="19"/>
  <c r="BG768" i="19"/>
  <c r="BB768" i="19"/>
  <c r="AZ768" i="19"/>
  <c r="BA768" i="19" s="1"/>
  <c r="BE768" i="19" s="1"/>
  <c r="BF768" i="19" s="1"/>
  <c r="AW768" i="19"/>
  <c r="AV768" i="19"/>
  <c r="L768" i="19" s="1"/>
  <c r="AU768" i="19"/>
  <c r="AT768" i="19"/>
  <c r="AS768" i="19"/>
  <c r="AR768" i="19"/>
  <c r="AP768" i="19"/>
  <c r="AO768" i="19"/>
  <c r="T768" i="19"/>
  <c r="N768" i="19"/>
  <c r="BG767" i="19"/>
  <c r="BB767" i="19"/>
  <c r="AZ767" i="19"/>
  <c r="BA767" i="19" s="1"/>
  <c r="BE767" i="19" s="1"/>
  <c r="BF767" i="19" s="1"/>
  <c r="AW767" i="19"/>
  <c r="AV767" i="19"/>
  <c r="L767" i="19" s="1"/>
  <c r="AU767" i="19"/>
  <c r="AT767" i="19"/>
  <c r="AS767" i="19"/>
  <c r="AR767" i="19"/>
  <c r="AP767" i="19"/>
  <c r="AO767" i="19"/>
  <c r="T767" i="19"/>
  <c r="N767" i="19"/>
  <c r="BG766" i="19"/>
  <c r="BB766" i="19"/>
  <c r="AZ766" i="19"/>
  <c r="AW766" i="19"/>
  <c r="BC766" i="19" s="1"/>
  <c r="AV766" i="19"/>
  <c r="L766" i="19" s="1"/>
  <c r="AU766" i="19"/>
  <c r="AT766" i="19"/>
  <c r="AS766" i="19"/>
  <c r="AR766" i="19"/>
  <c r="AP766" i="19"/>
  <c r="AO766" i="19"/>
  <c r="T766" i="19"/>
  <c r="N766" i="19"/>
  <c r="BG765" i="19"/>
  <c r="BB765" i="19"/>
  <c r="AZ765" i="19"/>
  <c r="BC765" i="19" s="1"/>
  <c r="AW765" i="19"/>
  <c r="AV765" i="19"/>
  <c r="AT765" i="19"/>
  <c r="AS765" i="19"/>
  <c r="AR765" i="19"/>
  <c r="AP765" i="19"/>
  <c r="AO765" i="19"/>
  <c r="T765" i="19"/>
  <c r="N765" i="19"/>
  <c r="L765" i="19"/>
  <c r="BG764" i="19"/>
  <c r="BB764" i="19"/>
  <c r="AZ764" i="19"/>
  <c r="AW764" i="19"/>
  <c r="AV764" i="19"/>
  <c r="L764" i="19" s="1"/>
  <c r="AU764" i="19"/>
  <c r="AT764" i="19"/>
  <c r="AS764" i="19"/>
  <c r="AR764" i="19"/>
  <c r="AP764" i="19"/>
  <c r="AO764" i="19"/>
  <c r="T764" i="19"/>
  <c r="N764" i="19"/>
  <c r="BG763" i="19"/>
  <c r="BB763" i="19"/>
  <c r="AZ763" i="19"/>
  <c r="AW763" i="19"/>
  <c r="AV763" i="19"/>
  <c r="L763" i="19" s="1"/>
  <c r="AU763" i="19"/>
  <c r="AS763" i="19"/>
  <c r="AR763" i="19"/>
  <c r="AP763" i="19"/>
  <c r="AO763" i="19"/>
  <c r="T763" i="19"/>
  <c r="N763" i="19"/>
  <c r="BG762" i="19"/>
  <c r="BB762" i="19"/>
  <c r="AZ762" i="19"/>
  <c r="AW762" i="19"/>
  <c r="AV762" i="19"/>
  <c r="L762" i="19" s="1"/>
  <c r="AS762" i="19"/>
  <c r="AR762" i="19"/>
  <c r="AP762" i="19"/>
  <c r="AO762" i="19"/>
  <c r="T762" i="19"/>
  <c r="N762" i="19"/>
  <c r="BG759" i="19"/>
  <c r="BB759" i="19"/>
  <c r="AZ759" i="19"/>
  <c r="AW759" i="19"/>
  <c r="AV759" i="19"/>
  <c r="AS759" i="19"/>
  <c r="AR759" i="19"/>
  <c r="AP759" i="19"/>
  <c r="AO759" i="19"/>
  <c r="T759" i="19"/>
  <c r="N759" i="19"/>
  <c r="L759" i="19"/>
  <c r="BG758" i="19"/>
  <c r="BB758" i="19"/>
  <c r="AZ758" i="19"/>
  <c r="BA758" i="19" s="1"/>
  <c r="BE758" i="19" s="1"/>
  <c r="BF758" i="19" s="1"/>
  <c r="AW758" i="19"/>
  <c r="AV758" i="19"/>
  <c r="AU758" i="19"/>
  <c r="AS758" i="19"/>
  <c r="AR758" i="19"/>
  <c r="AP758" i="19"/>
  <c r="AO758" i="19"/>
  <c r="T758" i="19"/>
  <c r="N758" i="19"/>
  <c r="L758" i="19"/>
  <c r="BG757" i="19"/>
  <c r="BB757" i="19"/>
  <c r="AZ757" i="19"/>
  <c r="AW757" i="19"/>
  <c r="AV757" i="19"/>
  <c r="L757" i="19" s="1"/>
  <c r="AS757" i="19"/>
  <c r="AR757" i="19"/>
  <c r="AP757" i="19"/>
  <c r="AO757" i="19"/>
  <c r="T757" i="19"/>
  <c r="N757" i="19"/>
  <c r="BG756" i="19"/>
  <c r="BB756" i="19"/>
  <c r="AZ756" i="19"/>
  <c r="AW756" i="19"/>
  <c r="AV756" i="19"/>
  <c r="L756" i="19" s="1"/>
  <c r="AS756" i="19"/>
  <c r="AR756" i="19"/>
  <c r="AP756" i="19"/>
  <c r="AO756" i="19"/>
  <c r="T756" i="19"/>
  <c r="N756" i="19"/>
  <c r="BG755" i="19"/>
  <c r="BB755" i="19"/>
  <c r="AZ755" i="19"/>
  <c r="BC755" i="19" s="1"/>
  <c r="AW755" i="19"/>
  <c r="AV755" i="19"/>
  <c r="AS755" i="19"/>
  <c r="AR755" i="19"/>
  <c r="AP755" i="19"/>
  <c r="AO755" i="19"/>
  <c r="T755" i="19"/>
  <c r="N755" i="19"/>
  <c r="L755" i="19"/>
  <c r="BG754" i="19"/>
  <c r="BB754" i="19"/>
  <c r="AZ754" i="19"/>
  <c r="BA754" i="19" s="1"/>
  <c r="BE754" i="19" s="1"/>
  <c r="BF754" i="19" s="1"/>
  <c r="AW754" i="19"/>
  <c r="AV754" i="19"/>
  <c r="AU754" i="19"/>
  <c r="AT754" i="19"/>
  <c r="AS754" i="19"/>
  <c r="AR754" i="19"/>
  <c r="AP754" i="19"/>
  <c r="AO754" i="19"/>
  <c r="T754" i="19"/>
  <c r="N754" i="19"/>
  <c r="L754" i="19"/>
  <c r="BG753" i="19"/>
  <c r="BB753" i="19"/>
  <c r="AZ753" i="19"/>
  <c r="AW753" i="19"/>
  <c r="BC753" i="19" s="1"/>
  <c r="AV753" i="19"/>
  <c r="AT753" i="19"/>
  <c r="AS753" i="19"/>
  <c r="AR753" i="19"/>
  <c r="AP753" i="19"/>
  <c r="AO753" i="19"/>
  <c r="T753" i="19"/>
  <c r="N753" i="19"/>
  <c r="L753" i="19"/>
  <c r="BG752" i="19"/>
  <c r="BB752" i="19"/>
  <c r="AZ752" i="19"/>
  <c r="AW752" i="19"/>
  <c r="AV752" i="19"/>
  <c r="AT752" i="19"/>
  <c r="AS752" i="19"/>
  <c r="AR752" i="19"/>
  <c r="AP752" i="19"/>
  <c r="AO752" i="19"/>
  <c r="T752" i="19"/>
  <c r="N752" i="19"/>
  <c r="L752" i="19"/>
  <c r="BG751" i="19"/>
  <c r="BC751" i="19"/>
  <c r="BB751" i="19"/>
  <c r="AZ751" i="19"/>
  <c r="AW751" i="19"/>
  <c r="AV751" i="19"/>
  <c r="L751" i="19" s="1"/>
  <c r="AS751" i="19"/>
  <c r="AR751" i="19"/>
  <c r="AP751" i="19"/>
  <c r="AO751" i="19"/>
  <c r="T751" i="19"/>
  <c r="N751" i="19"/>
  <c r="BG750" i="19"/>
  <c r="BC750" i="19"/>
  <c r="BB750" i="19"/>
  <c r="AZ750" i="19"/>
  <c r="AW750" i="19"/>
  <c r="AV750" i="19"/>
  <c r="AT750" i="19"/>
  <c r="AS750" i="19"/>
  <c r="AR750" i="19"/>
  <c r="AP750" i="19"/>
  <c r="AO750" i="19"/>
  <c r="T750" i="19"/>
  <c r="N750" i="19"/>
  <c r="L750" i="19"/>
  <c r="BG749" i="19"/>
  <c r="BB749" i="19"/>
  <c r="AZ749" i="19"/>
  <c r="AW749" i="19"/>
  <c r="AV749" i="19"/>
  <c r="AS749" i="19"/>
  <c r="AR749" i="19"/>
  <c r="AP749" i="19"/>
  <c r="AO749" i="19"/>
  <c r="T749" i="19"/>
  <c r="N749" i="19"/>
  <c r="L749" i="19"/>
  <c r="BG748" i="19"/>
  <c r="BB748" i="19"/>
  <c r="AZ748" i="19"/>
  <c r="AW748" i="19"/>
  <c r="AV748" i="19"/>
  <c r="L748" i="19" s="1"/>
  <c r="AU748" i="19"/>
  <c r="AT748" i="19"/>
  <c r="AS748" i="19"/>
  <c r="AR748" i="19"/>
  <c r="AP748" i="19"/>
  <c r="AO748" i="19"/>
  <c r="T748" i="19"/>
  <c r="N748" i="19"/>
  <c r="BG747" i="19"/>
  <c r="BB747" i="19"/>
  <c r="AZ747" i="19"/>
  <c r="AW747" i="19"/>
  <c r="AV747" i="19"/>
  <c r="AT747" i="19"/>
  <c r="AS747" i="19"/>
  <c r="AR747" i="19"/>
  <c r="AP747" i="19"/>
  <c r="AO747" i="19"/>
  <c r="T747" i="19"/>
  <c r="N747" i="19"/>
  <c r="L747" i="19"/>
  <c r="BG746" i="19"/>
  <c r="BB746" i="19"/>
  <c r="AZ746" i="19"/>
  <c r="AW746" i="19"/>
  <c r="AV746" i="19"/>
  <c r="L746" i="19" s="1"/>
  <c r="AU746" i="19"/>
  <c r="AT746" i="19"/>
  <c r="AS746" i="19"/>
  <c r="AR746" i="19"/>
  <c r="AP746" i="19"/>
  <c r="AO746" i="19"/>
  <c r="T746" i="19"/>
  <c r="N746" i="19"/>
  <c r="BG745" i="19"/>
  <c r="BB745" i="19"/>
  <c r="AZ745" i="19"/>
  <c r="AW745" i="19"/>
  <c r="AV745" i="19"/>
  <c r="AS745" i="19"/>
  <c r="AR745" i="19"/>
  <c r="AP745" i="19"/>
  <c r="AO745" i="19"/>
  <c r="T745" i="19"/>
  <c r="N745" i="19"/>
  <c r="L745" i="19"/>
  <c r="BG744" i="19"/>
  <c r="BB744" i="19"/>
  <c r="AZ744" i="19"/>
  <c r="BC744" i="19" s="1"/>
  <c r="AW744" i="19"/>
  <c r="AV744" i="19"/>
  <c r="L744" i="19" s="1"/>
  <c r="AU744" i="19"/>
  <c r="AT744" i="19"/>
  <c r="AS744" i="19"/>
  <c r="AR744" i="19"/>
  <c r="AP744" i="19"/>
  <c r="AO744" i="19"/>
  <c r="T744" i="19"/>
  <c r="N744" i="19"/>
  <c r="BG743" i="19"/>
  <c r="BB743" i="19"/>
  <c r="AZ743" i="19"/>
  <c r="BD743" i="19" s="1"/>
  <c r="AW743" i="19"/>
  <c r="AV743" i="19"/>
  <c r="L743" i="19" s="1"/>
  <c r="AU743" i="19"/>
  <c r="AT743" i="19"/>
  <c r="AS743" i="19"/>
  <c r="AR743" i="19"/>
  <c r="AP743" i="19"/>
  <c r="AO743" i="19"/>
  <c r="T743" i="19"/>
  <c r="N743" i="19"/>
  <c r="BG742" i="19"/>
  <c r="BB742" i="19"/>
  <c r="AZ742" i="19"/>
  <c r="AW742" i="19"/>
  <c r="AV742" i="19"/>
  <c r="AT742" i="19"/>
  <c r="AS742" i="19"/>
  <c r="AR742" i="19"/>
  <c r="AP742" i="19"/>
  <c r="AO742" i="19"/>
  <c r="T742" i="19"/>
  <c r="N742" i="19"/>
  <c r="L742" i="19"/>
  <c r="BG741" i="19"/>
  <c r="BB741" i="19"/>
  <c r="BA741" i="19"/>
  <c r="BE741" i="19" s="1"/>
  <c r="BF741" i="19" s="1"/>
  <c r="AZ741" i="19"/>
  <c r="AW741" i="19"/>
  <c r="AV741" i="19"/>
  <c r="L741" i="19" s="1"/>
  <c r="AS741" i="19"/>
  <c r="AR741" i="19"/>
  <c r="AP741" i="19"/>
  <c r="AO741" i="19"/>
  <c r="T741" i="19"/>
  <c r="N741" i="19"/>
  <c r="BG740" i="19"/>
  <c r="BB740" i="19"/>
  <c r="AZ740" i="19"/>
  <c r="AW740" i="19"/>
  <c r="AV740" i="19"/>
  <c r="AS740" i="19"/>
  <c r="AR740" i="19"/>
  <c r="AP740" i="19"/>
  <c r="AO740" i="19"/>
  <c r="T740" i="19"/>
  <c r="N740" i="19"/>
  <c r="L740" i="19"/>
  <c r="BG739" i="19"/>
  <c r="BB739" i="19"/>
  <c r="AZ739" i="19"/>
  <c r="AW739" i="19"/>
  <c r="AV739" i="19"/>
  <c r="L739" i="19" s="1"/>
  <c r="AU739" i="19"/>
  <c r="AT739" i="19"/>
  <c r="AS739" i="19"/>
  <c r="AR739" i="19"/>
  <c r="AP739" i="19"/>
  <c r="AO739" i="19"/>
  <c r="T739" i="19"/>
  <c r="N739" i="19"/>
  <c r="BG738" i="19"/>
  <c r="BB738" i="19"/>
  <c r="AZ738" i="19"/>
  <c r="AW738" i="19"/>
  <c r="AV738" i="19"/>
  <c r="AT738" i="19"/>
  <c r="AS738" i="19"/>
  <c r="AR738" i="19"/>
  <c r="AP738" i="19"/>
  <c r="AO738" i="19"/>
  <c r="T738" i="19"/>
  <c r="N738" i="19"/>
  <c r="L738" i="19"/>
  <c r="BG737" i="19"/>
  <c r="BB737" i="19"/>
  <c r="AZ737" i="19"/>
  <c r="AW737" i="19"/>
  <c r="AV737" i="19"/>
  <c r="AT737" i="19"/>
  <c r="AS737" i="19"/>
  <c r="AR737" i="19"/>
  <c r="AP737" i="19"/>
  <c r="AO737" i="19"/>
  <c r="T737" i="19"/>
  <c r="N737" i="19"/>
  <c r="L737" i="19"/>
  <c r="BG736" i="19"/>
  <c r="BB736" i="19"/>
  <c r="AZ736" i="19"/>
  <c r="AW736" i="19"/>
  <c r="AV736" i="19"/>
  <c r="L736" i="19" s="1"/>
  <c r="AU736" i="19"/>
  <c r="AT736" i="19"/>
  <c r="AS736" i="19"/>
  <c r="AR736" i="19"/>
  <c r="AP736" i="19"/>
  <c r="AO736" i="19"/>
  <c r="T736" i="19"/>
  <c r="N736" i="19"/>
  <c r="BG735" i="19"/>
  <c r="BB735" i="19"/>
  <c r="AZ735" i="19"/>
  <c r="AW735" i="19"/>
  <c r="AV735" i="19"/>
  <c r="L735" i="19" s="1"/>
  <c r="AU735" i="19"/>
  <c r="AT735" i="19"/>
  <c r="AS735" i="19"/>
  <c r="AR735" i="19"/>
  <c r="AP735" i="19"/>
  <c r="AO735" i="19"/>
  <c r="T735" i="19"/>
  <c r="N735" i="19"/>
  <c r="BG734" i="19"/>
  <c r="BB734" i="19"/>
  <c r="AZ734" i="19"/>
  <c r="AW734" i="19"/>
  <c r="AV734" i="19"/>
  <c r="L734" i="19" s="1"/>
  <c r="AU734" i="19"/>
  <c r="AT734" i="19"/>
  <c r="AS734" i="19"/>
  <c r="AR734" i="19"/>
  <c r="AP734" i="19"/>
  <c r="AO734" i="19"/>
  <c r="T734" i="19"/>
  <c r="N734" i="19"/>
  <c r="BG733" i="19"/>
  <c r="BB733" i="19"/>
  <c r="AZ733" i="19"/>
  <c r="BC733" i="19" s="1"/>
  <c r="AW733" i="19"/>
  <c r="AV733" i="19"/>
  <c r="AU733" i="19"/>
  <c r="AS733" i="19"/>
  <c r="AR733" i="19"/>
  <c r="AP733" i="19"/>
  <c r="AO733" i="19"/>
  <c r="T733" i="19"/>
  <c r="N733" i="19"/>
  <c r="L733" i="19"/>
  <c r="BG732" i="19"/>
  <c r="BB732" i="19"/>
  <c r="AZ732" i="19"/>
  <c r="AW732" i="19"/>
  <c r="AV732" i="19"/>
  <c r="AS732" i="19"/>
  <c r="AR732" i="19"/>
  <c r="AP732" i="19"/>
  <c r="AO732" i="19"/>
  <c r="T732" i="19"/>
  <c r="N732" i="19"/>
  <c r="L732" i="19"/>
  <c r="BG731" i="19"/>
  <c r="BB731" i="19"/>
  <c r="AZ731" i="19"/>
  <c r="BA731" i="19" s="1"/>
  <c r="BE731" i="19" s="1"/>
  <c r="BF731" i="19" s="1"/>
  <c r="AW731" i="19"/>
  <c r="AV731" i="19"/>
  <c r="AS731" i="19"/>
  <c r="AR731" i="19"/>
  <c r="AP731" i="19"/>
  <c r="AO731" i="19"/>
  <c r="T731" i="19"/>
  <c r="N731" i="19"/>
  <c r="L731" i="19"/>
  <c r="BG730" i="19"/>
  <c r="BB730" i="19"/>
  <c r="AZ730" i="19"/>
  <c r="BD730" i="19" s="1"/>
  <c r="AW730" i="19"/>
  <c r="AV730" i="19"/>
  <c r="L730" i="19" s="1"/>
  <c r="AU730" i="19"/>
  <c r="AT730" i="19"/>
  <c r="AS730" i="19"/>
  <c r="AR730" i="19"/>
  <c r="AP730" i="19"/>
  <c r="AO730" i="19"/>
  <c r="T730" i="19"/>
  <c r="N730" i="19"/>
  <c r="BG729" i="19"/>
  <c r="BB729" i="19"/>
  <c r="AZ729" i="19"/>
  <c r="BA729" i="19" s="1"/>
  <c r="BE729" i="19" s="1"/>
  <c r="BF729" i="19" s="1"/>
  <c r="AW729" i="19"/>
  <c r="AV729" i="19"/>
  <c r="L729" i="19" s="1"/>
  <c r="AU729" i="19"/>
  <c r="AT729" i="19"/>
  <c r="AS729" i="19"/>
  <c r="AR729" i="19"/>
  <c r="AP729" i="19"/>
  <c r="AO729" i="19"/>
  <c r="T729" i="19"/>
  <c r="N729" i="19"/>
  <c r="BG728" i="19"/>
  <c r="BB728" i="19"/>
  <c r="AZ728" i="19"/>
  <c r="AW728" i="19"/>
  <c r="AV728" i="19"/>
  <c r="AT728" i="19"/>
  <c r="AS728" i="19"/>
  <c r="AR728" i="19"/>
  <c r="AP728" i="19"/>
  <c r="AO728" i="19"/>
  <c r="T728" i="19"/>
  <c r="N728" i="19"/>
  <c r="L728" i="19"/>
  <c r="BG727" i="19"/>
  <c r="BB727" i="19"/>
  <c r="AZ727" i="19"/>
  <c r="AW727" i="19"/>
  <c r="AV727" i="19"/>
  <c r="AU727" i="19"/>
  <c r="AS727" i="19"/>
  <c r="AR727" i="19"/>
  <c r="AP727" i="19"/>
  <c r="AO727" i="19"/>
  <c r="T727" i="19"/>
  <c r="N727" i="19"/>
  <c r="L727" i="19"/>
  <c r="BG726" i="19"/>
  <c r="BB726" i="19"/>
  <c r="BA726" i="19"/>
  <c r="BE726" i="19" s="1"/>
  <c r="BF726" i="19" s="1"/>
  <c r="AZ726" i="19"/>
  <c r="AW726" i="19"/>
  <c r="AV726" i="19"/>
  <c r="L726" i="19" s="1"/>
  <c r="AU726" i="19"/>
  <c r="AT726" i="19"/>
  <c r="AS726" i="19"/>
  <c r="AR726" i="19"/>
  <c r="AP726" i="19"/>
  <c r="AO726" i="19"/>
  <c r="T726" i="19"/>
  <c r="N726" i="19"/>
  <c r="BG725" i="19"/>
  <c r="BB725" i="19"/>
  <c r="AZ725" i="19"/>
  <c r="AW725" i="19"/>
  <c r="BA725" i="19" s="1"/>
  <c r="BE725" i="19" s="1"/>
  <c r="BF725" i="19" s="1"/>
  <c r="AV725" i="19"/>
  <c r="L725" i="19" s="1"/>
  <c r="AS725" i="19"/>
  <c r="AR725" i="19"/>
  <c r="AP725" i="19"/>
  <c r="AO725" i="19"/>
  <c r="T725" i="19"/>
  <c r="N725" i="19"/>
  <c r="BG724" i="19"/>
  <c r="BB724" i="19"/>
  <c r="AZ724" i="19"/>
  <c r="BD724" i="19" s="1"/>
  <c r="AW724" i="19"/>
  <c r="AV724" i="19"/>
  <c r="L724" i="19" s="1"/>
  <c r="AS724" i="19"/>
  <c r="AR724" i="19"/>
  <c r="AP724" i="19"/>
  <c r="AO724" i="19"/>
  <c r="T724" i="19"/>
  <c r="N724" i="19"/>
  <c r="BG723" i="19"/>
  <c r="BB723" i="19"/>
  <c r="AZ723" i="19"/>
  <c r="AW723" i="19"/>
  <c r="AV723" i="19"/>
  <c r="L723" i="19" s="1"/>
  <c r="AU723" i="19"/>
  <c r="AT723" i="19"/>
  <c r="AS723" i="19"/>
  <c r="AR723" i="19"/>
  <c r="AP723" i="19"/>
  <c r="AO723" i="19"/>
  <c r="T723" i="19"/>
  <c r="N723" i="19"/>
  <c r="BG722" i="19"/>
  <c r="BB722" i="19"/>
  <c r="AZ722" i="19"/>
  <c r="BD722" i="19" s="1"/>
  <c r="AW722" i="19"/>
  <c r="AV722" i="19"/>
  <c r="L722" i="19" s="1"/>
  <c r="AU722" i="19"/>
  <c r="AT722" i="19"/>
  <c r="AS722" i="19"/>
  <c r="AR722" i="19"/>
  <c r="AP722" i="19"/>
  <c r="AO722" i="19"/>
  <c r="T722" i="19"/>
  <c r="N722" i="19"/>
  <c r="BG721" i="19"/>
  <c r="BB721" i="19"/>
  <c r="AZ721" i="19"/>
  <c r="AW721" i="19"/>
  <c r="AV721" i="19"/>
  <c r="AT721" i="19"/>
  <c r="AS721" i="19"/>
  <c r="AR721" i="19"/>
  <c r="AP721" i="19"/>
  <c r="AO721" i="19"/>
  <c r="T721" i="19"/>
  <c r="N721" i="19"/>
  <c r="L721" i="19"/>
  <c r="BG720" i="19"/>
  <c r="BB720" i="19"/>
  <c r="AZ720" i="19"/>
  <c r="BA720" i="19" s="1"/>
  <c r="BE720" i="19" s="1"/>
  <c r="BF720" i="19" s="1"/>
  <c r="AW720" i="19"/>
  <c r="AV720" i="19"/>
  <c r="AT720" i="19"/>
  <c r="AS720" i="19"/>
  <c r="AR720" i="19"/>
  <c r="AP720" i="19"/>
  <c r="AO720" i="19"/>
  <c r="T720" i="19"/>
  <c r="N720" i="19"/>
  <c r="L720" i="19"/>
  <c r="BG719" i="19"/>
  <c r="BB719" i="19"/>
  <c r="AZ719" i="19"/>
  <c r="BD719" i="19" s="1"/>
  <c r="AW719" i="19"/>
  <c r="AV719" i="19"/>
  <c r="AT719" i="19"/>
  <c r="AS719" i="19"/>
  <c r="AR719" i="19"/>
  <c r="AP719" i="19"/>
  <c r="AO719" i="19"/>
  <c r="T719" i="19"/>
  <c r="N719" i="19"/>
  <c r="L719" i="19"/>
  <c r="BG718" i="19"/>
  <c r="BB718" i="19"/>
  <c r="AZ718" i="19"/>
  <c r="AW718" i="19"/>
  <c r="BC718" i="19" s="1"/>
  <c r="AV718" i="19"/>
  <c r="AU718" i="19"/>
  <c r="AS718" i="19"/>
  <c r="AR718" i="19"/>
  <c r="AP718" i="19"/>
  <c r="AO718" i="19"/>
  <c r="T718" i="19"/>
  <c r="N718" i="19"/>
  <c r="L718" i="19"/>
  <c r="BG717" i="19"/>
  <c r="BB717" i="19"/>
  <c r="AZ717" i="19"/>
  <c r="AW717" i="19"/>
  <c r="AV717" i="19"/>
  <c r="L717" i="19" s="1"/>
  <c r="AU717" i="19"/>
  <c r="AT717" i="19"/>
  <c r="AS717" i="19"/>
  <c r="AR717" i="19"/>
  <c r="AP717" i="19"/>
  <c r="AO717" i="19"/>
  <c r="T717" i="19"/>
  <c r="N717" i="19"/>
  <c r="BG716" i="19"/>
  <c r="BB716" i="19"/>
  <c r="AZ716" i="19"/>
  <c r="AW716" i="19"/>
  <c r="AV716" i="19"/>
  <c r="AS716" i="19"/>
  <c r="AR716" i="19"/>
  <c r="AP716" i="19"/>
  <c r="AO716" i="19"/>
  <c r="T716" i="19"/>
  <c r="N716" i="19"/>
  <c r="L716" i="19"/>
  <c r="BG715" i="19"/>
  <c r="BB715" i="19"/>
  <c r="AZ715" i="19"/>
  <c r="AW715" i="19"/>
  <c r="AV715" i="19"/>
  <c r="L715" i="19" s="1"/>
  <c r="AU715" i="19"/>
  <c r="AT715" i="19"/>
  <c r="AS715" i="19"/>
  <c r="AR715" i="19"/>
  <c r="AP715" i="19"/>
  <c r="AO715" i="19"/>
  <c r="T715" i="19"/>
  <c r="N715" i="19"/>
  <c r="BG714" i="19"/>
  <c r="BB714" i="19"/>
  <c r="AZ714" i="19"/>
  <c r="BD714" i="19" s="1"/>
  <c r="AW714" i="19"/>
  <c r="AV714" i="19"/>
  <c r="L714" i="19" s="1"/>
  <c r="AU714" i="19"/>
  <c r="AS714" i="19"/>
  <c r="AR714" i="19"/>
  <c r="AP714" i="19"/>
  <c r="AO714" i="19"/>
  <c r="T714" i="19"/>
  <c r="N714" i="19"/>
  <c r="BG713" i="19"/>
  <c r="BB713" i="19"/>
  <c r="AZ713" i="19"/>
  <c r="BD713" i="19" s="1"/>
  <c r="AW713" i="19"/>
  <c r="AV713" i="19"/>
  <c r="L713" i="19" s="1"/>
  <c r="AU713" i="19"/>
  <c r="AT713" i="19"/>
  <c r="BH713" i="19" s="1"/>
  <c r="AS713" i="19"/>
  <c r="AR713" i="19"/>
  <c r="AP713" i="19"/>
  <c r="AO713" i="19"/>
  <c r="T713" i="19"/>
  <c r="N713" i="19"/>
  <c r="BG712" i="19"/>
  <c r="BB712" i="19"/>
  <c r="AZ712" i="19"/>
  <c r="AW712" i="19"/>
  <c r="AV712" i="19"/>
  <c r="L712" i="19" s="1"/>
  <c r="AU712" i="19"/>
  <c r="AT712" i="19"/>
  <c r="AS712" i="19"/>
  <c r="AR712" i="19"/>
  <c r="AP712" i="19"/>
  <c r="AO712" i="19"/>
  <c r="T712" i="19"/>
  <c r="N712" i="19"/>
  <c r="BG711" i="19"/>
  <c r="BB711" i="19"/>
  <c r="AZ711" i="19"/>
  <c r="BA711" i="19" s="1"/>
  <c r="BE711" i="19" s="1"/>
  <c r="BF711" i="19" s="1"/>
  <c r="AW711" i="19"/>
  <c r="AV711" i="19"/>
  <c r="L711" i="19" s="1"/>
  <c r="AU711" i="19"/>
  <c r="AT711" i="19"/>
  <c r="AS711" i="19"/>
  <c r="AR711" i="19"/>
  <c r="AP711" i="19"/>
  <c r="AO711" i="19"/>
  <c r="T711" i="19"/>
  <c r="N711" i="19"/>
  <c r="BG710" i="19"/>
  <c r="BB710" i="19"/>
  <c r="AZ710" i="19"/>
  <c r="AW710" i="19"/>
  <c r="AV710" i="19"/>
  <c r="L710" i="19" s="1"/>
  <c r="AS710" i="19"/>
  <c r="AR710" i="19"/>
  <c r="AP710" i="19"/>
  <c r="AO710" i="19"/>
  <c r="T710" i="19"/>
  <c r="N710" i="19"/>
  <c r="BG709" i="19"/>
  <c r="BB709" i="19"/>
  <c r="AZ709" i="19"/>
  <c r="AW709" i="19"/>
  <c r="AV709" i="19"/>
  <c r="AT709" i="19"/>
  <c r="AS709" i="19"/>
  <c r="AR709" i="19"/>
  <c r="AP709" i="19"/>
  <c r="AO709" i="19"/>
  <c r="T709" i="19"/>
  <c r="N709" i="19"/>
  <c r="L709" i="19"/>
  <c r="BG708" i="19"/>
  <c r="BB708" i="19"/>
  <c r="AZ708" i="19"/>
  <c r="BD708" i="19" s="1"/>
  <c r="AW708" i="19"/>
  <c r="AV708" i="19"/>
  <c r="AT708" i="19"/>
  <c r="AS708" i="19"/>
  <c r="AR708" i="19"/>
  <c r="AP708" i="19"/>
  <c r="AO708" i="19"/>
  <c r="T708" i="19"/>
  <c r="N708" i="19"/>
  <c r="L708" i="19"/>
  <c r="BG707" i="19"/>
  <c r="BB707" i="19"/>
  <c r="AZ707" i="19"/>
  <c r="AW707" i="19"/>
  <c r="AV707" i="19"/>
  <c r="L707" i="19" s="1"/>
  <c r="AU707" i="19"/>
  <c r="AT707" i="19"/>
  <c r="AS707" i="19"/>
  <c r="AR707" i="19"/>
  <c r="AP707" i="19"/>
  <c r="AO707" i="19"/>
  <c r="T707" i="19"/>
  <c r="N707" i="19"/>
  <c r="BG706" i="19"/>
  <c r="BB706" i="19"/>
  <c r="AZ706" i="19"/>
  <c r="AW706" i="19"/>
  <c r="BA706" i="19" s="1"/>
  <c r="BE706" i="19" s="1"/>
  <c r="BF706" i="19" s="1"/>
  <c r="AV706" i="19"/>
  <c r="L706" i="19" s="1"/>
  <c r="AU706" i="19"/>
  <c r="AT706" i="19"/>
  <c r="AS706" i="19"/>
  <c r="AR706" i="19"/>
  <c r="AP706" i="19"/>
  <c r="AO706" i="19"/>
  <c r="T706" i="19"/>
  <c r="N706" i="19"/>
  <c r="BG705" i="19"/>
  <c r="BB705" i="19"/>
  <c r="AZ705" i="19"/>
  <c r="AW705" i="19"/>
  <c r="AV705" i="19"/>
  <c r="AS705" i="19"/>
  <c r="AR705" i="19"/>
  <c r="AP705" i="19"/>
  <c r="AO705" i="19"/>
  <c r="T705" i="19"/>
  <c r="N705" i="19"/>
  <c r="L705" i="19"/>
  <c r="BG704" i="19"/>
  <c r="BB704" i="19"/>
  <c r="AZ704" i="19"/>
  <c r="AW704" i="19"/>
  <c r="AV704" i="19"/>
  <c r="L704" i="19" s="1"/>
  <c r="AU704" i="19"/>
  <c r="AT704" i="19"/>
  <c r="AS704" i="19"/>
  <c r="AR704" i="19"/>
  <c r="AP704" i="19"/>
  <c r="AO704" i="19"/>
  <c r="T704" i="19"/>
  <c r="N704" i="19"/>
  <c r="BG703" i="19"/>
  <c r="BB703" i="19"/>
  <c r="AZ703" i="19"/>
  <c r="BA703" i="19" s="1"/>
  <c r="BE703" i="19" s="1"/>
  <c r="BF703" i="19" s="1"/>
  <c r="AW703" i="19"/>
  <c r="AV703" i="19"/>
  <c r="L703" i="19" s="1"/>
  <c r="AU703" i="19"/>
  <c r="AT703" i="19"/>
  <c r="AS703" i="19"/>
  <c r="AR703" i="19"/>
  <c r="AP703" i="19"/>
  <c r="AO703" i="19"/>
  <c r="T703" i="19"/>
  <c r="N703" i="19"/>
  <c r="BG702" i="19"/>
  <c r="BB702" i="19"/>
  <c r="AZ702" i="19"/>
  <c r="AW702" i="19"/>
  <c r="AV702" i="19"/>
  <c r="L702" i="19" s="1"/>
  <c r="AT702" i="19"/>
  <c r="AS702" i="19"/>
  <c r="AR702" i="19"/>
  <c r="AP702" i="19"/>
  <c r="AO702" i="19"/>
  <c r="T702" i="19"/>
  <c r="N702" i="19"/>
  <c r="BG701" i="19"/>
  <c r="BB701" i="19"/>
  <c r="AZ701" i="19"/>
  <c r="BA701" i="19" s="1"/>
  <c r="BE701" i="19" s="1"/>
  <c r="BF701" i="19" s="1"/>
  <c r="AW701" i="19"/>
  <c r="AV701" i="19"/>
  <c r="L701" i="19" s="1"/>
  <c r="AS701" i="19"/>
  <c r="AR701" i="19"/>
  <c r="AP701" i="19"/>
  <c r="AO701" i="19"/>
  <c r="T701" i="19"/>
  <c r="N701" i="19"/>
  <c r="BG700" i="19"/>
  <c r="BB700" i="19"/>
  <c r="AZ700" i="19"/>
  <c r="BD700" i="19" s="1"/>
  <c r="AW700" i="19"/>
  <c r="AV700" i="19"/>
  <c r="L700" i="19" s="1"/>
  <c r="AT700" i="19"/>
  <c r="AS700" i="19"/>
  <c r="AR700" i="19"/>
  <c r="AP700" i="19"/>
  <c r="AO700" i="19"/>
  <c r="T700" i="19"/>
  <c r="N700" i="19"/>
  <c r="BG699" i="19"/>
  <c r="BC699" i="19"/>
  <c r="BB699" i="19"/>
  <c r="AZ699" i="19"/>
  <c r="AW699" i="19"/>
  <c r="AV699" i="19"/>
  <c r="L699" i="19" s="1"/>
  <c r="AU699" i="19"/>
  <c r="AT699" i="19"/>
  <c r="AS699" i="19"/>
  <c r="AR699" i="19"/>
  <c r="AP699" i="19"/>
  <c r="AO699" i="19"/>
  <c r="T699" i="19"/>
  <c r="N699" i="19"/>
  <c r="BG698" i="19"/>
  <c r="BB698" i="19"/>
  <c r="AZ698" i="19"/>
  <c r="AW698" i="19"/>
  <c r="AV698" i="19"/>
  <c r="AT698" i="19"/>
  <c r="AS698" i="19"/>
  <c r="AR698" i="19"/>
  <c r="AP698" i="19"/>
  <c r="AO698" i="19"/>
  <c r="T698" i="19"/>
  <c r="N698" i="19"/>
  <c r="L698" i="19"/>
  <c r="BG697" i="19"/>
  <c r="BB697" i="19"/>
  <c r="AZ697" i="19"/>
  <c r="AW697" i="19"/>
  <c r="AV697" i="19"/>
  <c r="AS697" i="19"/>
  <c r="AR697" i="19"/>
  <c r="AP697" i="19"/>
  <c r="AO697" i="19"/>
  <c r="T697" i="19"/>
  <c r="N697" i="19"/>
  <c r="L697" i="19"/>
  <c r="BG696" i="19"/>
  <c r="BB696" i="19"/>
  <c r="AZ696" i="19"/>
  <c r="BD696" i="19" s="1"/>
  <c r="AW696" i="19"/>
  <c r="AV696" i="19"/>
  <c r="AT696" i="19"/>
  <c r="AS696" i="19"/>
  <c r="AR696" i="19"/>
  <c r="AP696" i="19"/>
  <c r="AO696" i="19"/>
  <c r="T696" i="19"/>
  <c r="N696" i="19"/>
  <c r="L696" i="19"/>
  <c r="BG695" i="19"/>
  <c r="BB695" i="19"/>
  <c r="AZ695" i="19"/>
  <c r="BA695" i="19" s="1"/>
  <c r="BE695" i="19" s="1"/>
  <c r="BF695" i="19" s="1"/>
  <c r="AW695" i="19"/>
  <c r="AV695" i="19"/>
  <c r="AT695" i="19"/>
  <c r="AS695" i="19"/>
  <c r="AR695" i="19"/>
  <c r="AP695" i="19"/>
  <c r="AO695" i="19"/>
  <c r="T695" i="19"/>
  <c r="N695" i="19"/>
  <c r="L695" i="19"/>
  <c r="BG694" i="19"/>
  <c r="BB694" i="19"/>
  <c r="AZ694" i="19"/>
  <c r="AW694" i="19"/>
  <c r="AV694" i="19"/>
  <c r="AT694" i="19"/>
  <c r="AS694" i="19"/>
  <c r="AR694" i="19"/>
  <c r="AP694" i="19"/>
  <c r="AO694" i="19"/>
  <c r="T694" i="19"/>
  <c r="N694" i="19"/>
  <c r="L694" i="19"/>
  <c r="BG693" i="19"/>
  <c r="BB693" i="19"/>
  <c r="AZ693" i="19"/>
  <c r="AW693" i="19"/>
  <c r="AV693" i="19"/>
  <c r="L693" i="19" s="1"/>
  <c r="AU693" i="19"/>
  <c r="AT693" i="19"/>
  <c r="AS693" i="19"/>
  <c r="AR693" i="19"/>
  <c r="AP693" i="19"/>
  <c r="AO693" i="19"/>
  <c r="T693" i="19"/>
  <c r="N693" i="19"/>
  <c r="BG692" i="19"/>
  <c r="BB692" i="19"/>
  <c r="AZ692" i="19"/>
  <c r="BC692" i="19" s="1"/>
  <c r="AW692" i="19"/>
  <c r="AV692" i="19"/>
  <c r="L692" i="19" s="1"/>
  <c r="AU692" i="19"/>
  <c r="AT692" i="19"/>
  <c r="AS692" i="19"/>
  <c r="AR692" i="19"/>
  <c r="AP692" i="19"/>
  <c r="AO692" i="19"/>
  <c r="T692" i="19"/>
  <c r="N692" i="19"/>
  <c r="BG691" i="19"/>
  <c r="BB691" i="19"/>
  <c r="AZ691" i="19"/>
  <c r="AW691" i="19"/>
  <c r="BA691" i="19" s="1"/>
  <c r="BE691" i="19" s="1"/>
  <c r="BF691" i="19" s="1"/>
  <c r="AV691" i="19"/>
  <c r="L691" i="19" s="1"/>
  <c r="AU691" i="19"/>
  <c r="AT691" i="19"/>
  <c r="AS691" i="19"/>
  <c r="AR691" i="19"/>
  <c r="AP691" i="19"/>
  <c r="AO691" i="19"/>
  <c r="T691" i="19"/>
  <c r="N691" i="19"/>
  <c r="BG690" i="19"/>
  <c r="BB690" i="19"/>
  <c r="AZ690" i="19"/>
  <c r="AW690" i="19"/>
  <c r="AV690" i="19"/>
  <c r="AT690" i="19"/>
  <c r="BH690" i="19" s="1"/>
  <c r="AS690" i="19"/>
  <c r="AR690" i="19"/>
  <c r="AP690" i="19"/>
  <c r="AO690" i="19"/>
  <c r="T690" i="19"/>
  <c r="N690" i="19"/>
  <c r="L690" i="19"/>
  <c r="BG689" i="19"/>
  <c r="BC689" i="19"/>
  <c r="BB689" i="19"/>
  <c r="AZ689" i="19"/>
  <c r="AW689" i="19"/>
  <c r="BA689" i="19" s="1"/>
  <c r="BE689" i="19" s="1"/>
  <c r="BF689" i="19" s="1"/>
  <c r="AV689" i="19"/>
  <c r="AT689" i="19"/>
  <c r="AS689" i="19"/>
  <c r="AR689" i="19"/>
  <c r="AP689" i="19"/>
  <c r="AO689" i="19"/>
  <c r="T689" i="19"/>
  <c r="N689" i="19"/>
  <c r="L689" i="19"/>
  <c r="BG688" i="19"/>
  <c r="BB688" i="19"/>
  <c r="AZ688" i="19"/>
  <c r="BD688" i="19" s="1"/>
  <c r="AW688" i="19"/>
  <c r="AV688" i="19"/>
  <c r="L688" i="19" s="1"/>
  <c r="AU688" i="19"/>
  <c r="AT688" i="19"/>
  <c r="AS688" i="19"/>
  <c r="AR688" i="19"/>
  <c r="AP688" i="19"/>
  <c r="AO688" i="19"/>
  <c r="T688" i="19"/>
  <c r="N688" i="19"/>
  <c r="BG687" i="19"/>
  <c r="BB687" i="19"/>
  <c r="AZ687" i="19"/>
  <c r="BA687" i="19" s="1"/>
  <c r="BE687" i="19" s="1"/>
  <c r="BF687" i="19" s="1"/>
  <c r="AW687" i="19"/>
  <c r="AV687" i="19"/>
  <c r="L687" i="19" s="1"/>
  <c r="AU687" i="19"/>
  <c r="AT687" i="19"/>
  <c r="AS687" i="19"/>
  <c r="AR687" i="19"/>
  <c r="AP687" i="19"/>
  <c r="AO687" i="19"/>
  <c r="T687" i="19"/>
  <c r="N687" i="19"/>
  <c r="BG686" i="19"/>
  <c r="BC686" i="19"/>
  <c r="BB686" i="19"/>
  <c r="AZ686" i="19"/>
  <c r="AW686" i="19"/>
  <c r="BA686" i="19" s="1"/>
  <c r="BE686" i="19" s="1"/>
  <c r="BF686" i="19" s="1"/>
  <c r="AV686" i="19"/>
  <c r="L686" i="19" s="1"/>
  <c r="AU686" i="19"/>
  <c r="AT686" i="19"/>
  <c r="AS686" i="19"/>
  <c r="AR686" i="19"/>
  <c r="AP686" i="19"/>
  <c r="AO686" i="19"/>
  <c r="T686" i="19"/>
  <c r="N686" i="19"/>
  <c r="BG685" i="19"/>
  <c r="BB685" i="19"/>
  <c r="BA685" i="19"/>
  <c r="BE685" i="19" s="1"/>
  <c r="BF685" i="19" s="1"/>
  <c r="AZ685" i="19"/>
  <c r="AW685" i="19"/>
  <c r="AV685" i="19"/>
  <c r="AS685" i="19"/>
  <c r="AR685" i="19"/>
  <c r="AP685" i="19"/>
  <c r="AO685" i="19"/>
  <c r="T685" i="19"/>
  <c r="N685" i="19"/>
  <c r="L685" i="19"/>
  <c r="BG684" i="19"/>
  <c r="BB684" i="19"/>
  <c r="AZ684" i="19"/>
  <c r="AW684" i="19"/>
  <c r="AV684" i="19"/>
  <c r="L684" i="19" s="1"/>
  <c r="AS684" i="19"/>
  <c r="AR684" i="19"/>
  <c r="AP684" i="19"/>
  <c r="AO684" i="19"/>
  <c r="T684" i="19"/>
  <c r="N684" i="19"/>
  <c r="BG683" i="19"/>
  <c r="BB683" i="19"/>
  <c r="AZ683" i="19"/>
  <c r="BD683" i="19" s="1"/>
  <c r="AW683" i="19"/>
  <c r="AV683" i="19"/>
  <c r="AU683" i="19"/>
  <c r="AS683" i="19"/>
  <c r="AR683" i="19"/>
  <c r="AP683" i="19"/>
  <c r="AO683" i="19"/>
  <c r="T683" i="19"/>
  <c r="N683" i="19"/>
  <c r="L683" i="19"/>
  <c r="BG682" i="19"/>
  <c r="BB682" i="19"/>
  <c r="AZ682" i="19"/>
  <c r="AW682" i="19"/>
  <c r="AV682" i="19"/>
  <c r="AT682" i="19"/>
  <c r="AS682" i="19"/>
  <c r="AR682" i="19"/>
  <c r="AP682" i="19"/>
  <c r="AO682" i="19"/>
  <c r="T682" i="19"/>
  <c r="N682" i="19"/>
  <c r="L682" i="19"/>
  <c r="BG681" i="19"/>
  <c r="BB681" i="19"/>
  <c r="AZ681" i="19"/>
  <c r="AW681" i="19"/>
  <c r="AV681" i="19"/>
  <c r="AS681" i="19"/>
  <c r="AR681" i="19"/>
  <c r="AP681" i="19"/>
  <c r="AO681" i="19"/>
  <c r="T681" i="19"/>
  <c r="N681" i="19"/>
  <c r="L681" i="19"/>
  <c r="BG680" i="19"/>
  <c r="BB680" i="19"/>
  <c r="AZ680" i="19"/>
  <c r="AW680" i="19"/>
  <c r="AV680" i="19"/>
  <c r="AU680" i="19"/>
  <c r="AS680" i="19"/>
  <c r="AR680" i="19"/>
  <c r="AP680" i="19"/>
  <c r="AO680" i="19"/>
  <c r="T680" i="19"/>
  <c r="N680" i="19"/>
  <c r="L680" i="19"/>
  <c r="BG678" i="19"/>
  <c r="BB678" i="19"/>
  <c r="AZ678" i="19"/>
  <c r="BD678" i="19" s="1"/>
  <c r="AW678" i="19"/>
  <c r="AV678" i="19"/>
  <c r="L678" i="19" s="1"/>
  <c r="AU678" i="19"/>
  <c r="AT678" i="19"/>
  <c r="BH678" i="19" s="1"/>
  <c r="AS678" i="19"/>
  <c r="AR678" i="19"/>
  <c r="AP678" i="19"/>
  <c r="AO678" i="19"/>
  <c r="T678" i="19"/>
  <c r="N678" i="19"/>
  <c r="BG677" i="19"/>
  <c r="BB677" i="19"/>
  <c r="AZ677" i="19"/>
  <c r="AW677" i="19"/>
  <c r="AV677" i="19"/>
  <c r="AS677" i="19"/>
  <c r="AR677" i="19"/>
  <c r="AP677" i="19"/>
  <c r="AO677" i="19"/>
  <c r="T677" i="19"/>
  <c r="N677" i="19"/>
  <c r="L677" i="19"/>
  <c r="BG676" i="19"/>
  <c r="BB676" i="19"/>
  <c r="AZ676" i="19"/>
  <c r="AW676" i="19"/>
  <c r="BA676" i="19" s="1"/>
  <c r="BE676" i="19" s="1"/>
  <c r="BF676" i="19" s="1"/>
  <c r="AV676" i="19"/>
  <c r="AS676" i="19"/>
  <c r="AR676" i="19"/>
  <c r="AP676" i="19"/>
  <c r="AO676" i="19"/>
  <c r="T676" i="19"/>
  <c r="N676" i="19"/>
  <c r="L676" i="19"/>
  <c r="BG675" i="19"/>
  <c r="BB675" i="19"/>
  <c r="AZ675" i="19"/>
  <c r="AW675" i="19"/>
  <c r="AV675" i="19"/>
  <c r="L675" i="19" s="1"/>
  <c r="AT675" i="19"/>
  <c r="AS675" i="19"/>
  <c r="AR675" i="19"/>
  <c r="AP675" i="19"/>
  <c r="AO675" i="19"/>
  <c r="T675" i="19"/>
  <c r="N675" i="19"/>
  <c r="BG674" i="19"/>
  <c r="BB674" i="19"/>
  <c r="AZ674" i="19"/>
  <c r="BD674" i="19" s="1"/>
  <c r="AW674" i="19"/>
  <c r="AV674" i="19"/>
  <c r="AT674" i="19"/>
  <c r="AS674" i="19"/>
  <c r="AR674" i="19"/>
  <c r="AP674" i="19"/>
  <c r="AO674" i="19"/>
  <c r="T674" i="19"/>
  <c r="N674" i="19"/>
  <c r="L674" i="19"/>
  <c r="BG673" i="19"/>
  <c r="BB673" i="19"/>
  <c r="AZ673" i="19"/>
  <c r="AW673" i="19"/>
  <c r="AV673" i="19"/>
  <c r="L673" i="19" s="1"/>
  <c r="AU673" i="19"/>
  <c r="AS673" i="19"/>
  <c r="AR673" i="19"/>
  <c r="AP673" i="19"/>
  <c r="AO673" i="19"/>
  <c r="T673" i="19"/>
  <c r="N673" i="19"/>
  <c r="BG672" i="19"/>
  <c r="BB672" i="19"/>
  <c r="AZ672" i="19"/>
  <c r="AW672" i="19"/>
  <c r="BC672" i="19" s="1"/>
  <c r="AV672" i="19"/>
  <c r="AS672" i="19"/>
  <c r="AR672" i="19"/>
  <c r="AP672" i="19"/>
  <c r="AO672" i="19"/>
  <c r="T672" i="19"/>
  <c r="N672" i="19"/>
  <c r="L672" i="19"/>
  <c r="BG669" i="19"/>
  <c r="BB669" i="19"/>
  <c r="AZ669" i="19"/>
  <c r="BD669" i="19" s="1"/>
  <c r="AW669" i="19"/>
  <c r="AV669" i="19"/>
  <c r="AT669" i="19"/>
  <c r="AS669" i="19"/>
  <c r="AR669" i="19"/>
  <c r="AP669" i="19"/>
  <c r="AO669" i="19"/>
  <c r="T669" i="19"/>
  <c r="N669" i="19"/>
  <c r="L669" i="19"/>
  <c r="BG664" i="19"/>
  <c r="BB664" i="19"/>
  <c r="AZ664" i="19"/>
  <c r="BD664" i="19" s="1"/>
  <c r="AW664" i="19"/>
  <c r="AV664" i="19"/>
  <c r="AT664" i="19"/>
  <c r="AS664" i="19"/>
  <c r="AR664" i="19"/>
  <c r="AP664" i="19"/>
  <c r="AO664" i="19"/>
  <c r="T664" i="19"/>
  <c r="N664" i="19"/>
  <c r="L664" i="19"/>
  <c r="BG663" i="19"/>
  <c r="BB663" i="19"/>
  <c r="AZ663" i="19"/>
  <c r="AW663" i="19"/>
  <c r="AV663" i="19"/>
  <c r="L663" i="19" s="1"/>
  <c r="AU663" i="19"/>
  <c r="AS663" i="19"/>
  <c r="AR663" i="19"/>
  <c r="AP663" i="19"/>
  <c r="AO663" i="19"/>
  <c r="T663" i="19"/>
  <c r="N663" i="19"/>
  <c r="BG661" i="19"/>
  <c r="BB661" i="19"/>
  <c r="AZ661" i="19"/>
  <c r="BC661" i="19" s="1"/>
  <c r="AW661" i="19"/>
  <c r="AV661" i="19"/>
  <c r="AT661" i="19"/>
  <c r="AS661" i="19"/>
  <c r="AR661" i="19"/>
  <c r="AP661" i="19"/>
  <c r="AO661" i="19"/>
  <c r="T661" i="19"/>
  <c r="N661" i="19"/>
  <c r="L661" i="19"/>
  <c r="BG659" i="19"/>
  <c r="BB659" i="19"/>
  <c r="BA659" i="19"/>
  <c r="BE659" i="19" s="1"/>
  <c r="BF659" i="19" s="1"/>
  <c r="AZ659" i="19"/>
  <c r="AW659" i="19"/>
  <c r="AV659" i="19"/>
  <c r="AT659" i="19"/>
  <c r="BH659" i="19" s="1"/>
  <c r="AS659" i="19"/>
  <c r="AR659" i="19"/>
  <c r="AP659" i="19"/>
  <c r="AO659" i="19"/>
  <c r="T659" i="19"/>
  <c r="N659" i="19"/>
  <c r="L659" i="19"/>
  <c r="BG658" i="19"/>
  <c r="BB658" i="19"/>
  <c r="AZ658" i="19"/>
  <c r="AW658" i="19"/>
  <c r="AV658" i="19"/>
  <c r="L658" i="19" s="1"/>
  <c r="AS658" i="19"/>
  <c r="AR658" i="19"/>
  <c r="AP658" i="19"/>
  <c r="AO658" i="19"/>
  <c r="T658" i="19"/>
  <c r="N658" i="19"/>
  <c r="BG657" i="19"/>
  <c r="BB657" i="19"/>
  <c r="AZ657" i="19"/>
  <c r="BD657" i="19" s="1"/>
  <c r="AW657" i="19"/>
  <c r="AV657" i="19"/>
  <c r="AT657" i="19"/>
  <c r="AS657" i="19"/>
  <c r="AR657" i="19"/>
  <c r="AP657" i="19"/>
  <c r="AO657" i="19"/>
  <c r="T657" i="19"/>
  <c r="N657" i="19"/>
  <c r="L657" i="19"/>
  <c r="BG656" i="19"/>
  <c r="BB656" i="19"/>
  <c r="AZ656" i="19"/>
  <c r="AW656" i="19"/>
  <c r="AV656" i="19"/>
  <c r="AS656" i="19"/>
  <c r="AR656" i="19"/>
  <c r="AP656" i="19"/>
  <c r="AO656" i="19"/>
  <c r="T656" i="19"/>
  <c r="N656" i="19"/>
  <c r="L656" i="19"/>
  <c r="BG655" i="19"/>
  <c r="BB655" i="19"/>
  <c r="AZ655" i="19"/>
  <c r="AW655" i="19"/>
  <c r="AV655" i="19"/>
  <c r="AS655" i="19"/>
  <c r="AR655" i="19"/>
  <c r="AP655" i="19"/>
  <c r="AO655" i="19"/>
  <c r="T655" i="19"/>
  <c r="N655" i="19"/>
  <c r="L655" i="19"/>
  <c r="BG652" i="19"/>
  <c r="BB652" i="19"/>
  <c r="AZ652" i="19"/>
  <c r="AW652" i="19"/>
  <c r="AV652" i="19"/>
  <c r="AT652" i="19"/>
  <c r="AS652" i="19"/>
  <c r="AR652" i="19"/>
  <c r="AP652" i="19"/>
  <c r="AO652" i="19"/>
  <c r="T652" i="19"/>
  <c r="N652" i="19"/>
  <c r="L652" i="19"/>
  <c r="BG651" i="19"/>
  <c r="BB651" i="19"/>
  <c r="AZ651" i="19"/>
  <c r="BD651" i="19" s="1"/>
  <c r="AW651" i="19"/>
  <c r="AV651" i="19"/>
  <c r="AT651" i="19"/>
  <c r="AS651" i="19"/>
  <c r="AR651" i="19"/>
  <c r="AP651" i="19"/>
  <c r="AO651" i="19"/>
  <c r="T651" i="19"/>
  <c r="N651" i="19"/>
  <c r="L651" i="19"/>
  <c r="BG650" i="19"/>
  <c r="BB650" i="19"/>
  <c r="AZ650" i="19"/>
  <c r="AW650" i="19"/>
  <c r="AV650" i="19"/>
  <c r="AU650" i="19"/>
  <c r="AS650" i="19"/>
  <c r="AR650" i="19"/>
  <c r="AP650" i="19"/>
  <c r="AO650" i="19"/>
  <c r="T650" i="19"/>
  <c r="N650" i="19"/>
  <c r="L650" i="19"/>
  <c r="BG649" i="19"/>
  <c r="BB649" i="19"/>
  <c r="AZ649" i="19"/>
  <c r="BD649" i="19" s="1"/>
  <c r="AW649" i="19"/>
  <c r="AV649" i="19"/>
  <c r="AT649" i="19"/>
  <c r="AS649" i="19"/>
  <c r="AR649" i="19"/>
  <c r="AP649" i="19"/>
  <c r="AO649" i="19"/>
  <c r="T649" i="19"/>
  <c r="N649" i="19"/>
  <c r="L649" i="19"/>
  <c r="BG648" i="19"/>
  <c r="BB648" i="19"/>
  <c r="AZ648" i="19"/>
  <c r="AW648" i="19"/>
  <c r="AV648" i="19"/>
  <c r="L648" i="19" s="1"/>
  <c r="AT648" i="19"/>
  <c r="AS648" i="19"/>
  <c r="AR648" i="19"/>
  <c r="AP648" i="19"/>
  <c r="AO648" i="19"/>
  <c r="T648" i="19"/>
  <c r="N648" i="19"/>
  <c r="BG647" i="19"/>
  <c r="BB647" i="19"/>
  <c r="AZ647" i="19"/>
  <c r="AW647" i="19"/>
  <c r="BC647" i="19" s="1"/>
  <c r="AV647" i="19"/>
  <c r="AU647" i="19"/>
  <c r="AS647" i="19"/>
  <c r="AR647" i="19"/>
  <c r="AP647" i="19"/>
  <c r="AO647" i="19"/>
  <c r="T647" i="19"/>
  <c r="N647" i="19"/>
  <c r="L647" i="19"/>
  <c r="BG643" i="19"/>
  <c r="BB643" i="19"/>
  <c r="AZ643" i="19"/>
  <c r="BC643" i="19" s="1"/>
  <c r="AW643" i="19"/>
  <c r="AV643" i="19"/>
  <c r="AT643" i="19"/>
  <c r="AS643" i="19"/>
  <c r="AR643" i="19"/>
  <c r="AP643" i="19"/>
  <c r="AO643" i="19"/>
  <c r="T643" i="19"/>
  <c r="N643" i="19"/>
  <c r="L643" i="19"/>
  <c r="BG642" i="19"/>
  <c r="BB642" i="19"/>
  <c r="AZ642" i="19"/>
  <c r="BD642" i="19" s="1"/>
  <c r="AW642" i="19"/>
  <c r="AV642" i="19"/>
  <c r="L642" i="19" s="1"/>
  <c r="AS642" i="19"/>
  <c r="AR642" i="19"/>
  <c r="AP642" i="19"/>
  <c r="AO642" i="19"/>
  <c r="T642" i="19"/>
  <c r="N642" i="19"/>
  <c r="BG639" i="19"/>
  <c r="BB639" i="19"/>
  <c r="AZ639" i="19"/>
  <c r="BA639" i="19" s="1"/>
  <c r="BE639" i="19" s="1"/>
  <c r="BF639" i="19" s="1"/>
  <c r="AW639" i="19"/>
  <c r="AV639" i="19"/>
  <c r="L639" i="19" s="1"/>
  <c r="AU639" i="19"/>
  <c r="AT639" i="19"/>
  <c r="AS639" i="19"/>
  <c r="AR639" i="19"/>
  <c r="AP639" i="19"/>
  <c r="AO639" i="19"/>
  <c r="T639" i="19"/>
  <c r="N639" i="19"/>
  <c r="BG638" i="19"/>
  <c r="BB638" i="19"/>
  <c r="AZ638" i="19"/>
  <c r="AW638" i="19"/>
  <c r="AV638" i="19"/>
  <c r="AT638" i="19"/>
  <c r="AS638" i="19"/>
  <c r="AR638" i="19"/>
  <c r="AP638" i="19"/>
  <c r="AO638" i="19"/>
  <c r="T638" i="19"/>
  <c r="N638" i="19"/>
  <c r="L638" i="19"/>
  <c r="BG637" i="19"/>
  <c r="BB637" i="19"/>
  <c r="AZ637" i="19"/>
  <c r="AW637" i="19"/>
  <c r="BC637" i="19" s="1"/>
  <c r="AV637" i="19"/>
  <c r="L637" i="19" s="1"/>
  <c r="AU637" i="19"/>
  <c r="AT637" i="19"/>
  <c r="AS637" i="19"/>
  <c r="AR637" i="19"/>
  <c r="AP637" i="19"/>
  <c r="AO637" i="19"/>
  <c r="T637" i="19"/>
  <c r="N637" i="19"/>
  <c r="BG636" i="19"/>
  <c r="BB636" i="19"/>
  <c r="AZ636" i="19"/>
  <c r="AW636" i="19"/>
  <c r="AV636" i="19"/>
  <c r="AT636" i="19"/>
  <c r="AS636" i="19"/>
  <c r="AR636" i="19"/>
  <c r="AP636" i="19"/>
  <c r="AO636" i="19"/>
  <c r="T636" i="19"/>
  <c r="N636" i="19"/>
  <c r="L636" i="19"/>
  <c r="BG635" i="19"/>
  <c r="BB635" i="19"/>
  <c r="AZ635" i="19"/>
  <c r="BD635" i="19" s="1"/>
  <c r="AW635" i="19"/>
  <c r="AV635" i="19"/>
  <c r="L635" i="19" s="1"/>
  <c r="AS635" i="19"/>
  <c r="AR635" i="19"/>
  <c r="AP635" i="19"/>
  <c r="AO635" i="19"/>
  <c r="T635" i="19"/>
  <c r="N635" i="19"/>
  <c r="BG634" i="19"/>
  <c r="BB634" i="19"/>
  <c r="AZ634" i="19"/>
  <c r="AW634" i="19"/>
  <c r="BC634" i="19" s="1"/>
  <c r="AV634" i="19"/>
  <c r="L634" i="19" s="1"/>
  <c r="AS634" i="19"/>
  <c r="AR634" i="19"/>
  <c r="AP634" i="19"/>
  <c r="AO634" i="19"/>
  <c r="T634" i="19"/>
  <c r="N634" i="19"/>
  <c r="BG633" i="19"/>
  <c r="BB633" i="19"/>
  <c r="AZ633" i="19"/>
  <c r="AW633" i="19"/>
  <c r="AV633" i="19"/>
  <c r="L633" i="19" s="1"/>
  <c r="AU633" i="19"/>
  <c r="AT633" i="19"/>
  <c r="AS633" i="19"/>
  <c r="AR633" i="19"/>
  <c r="AP633" i="19"/>
  <c r="AO633" i="19"/>
  <c r="T633" i="19"/>
  <c r="N633" i="19"/>
  <c r="BG632" i="19"/>
  <c r="BB632" i="19"/>
  <c r="AZ632" i="19"/>
  <c r="AW632" i="19"/>
  <c r="AV632" i="19"/>
  <c r="AT632" i="19"/>
  <c r="AS632" i="19"/>
  <c r="AR632" i="19"/>
  <c r="AP632" i="19"/>
  <c r="AO632" i="19"/>
  <c r="T632" i="19"/>
  <c r="N632" i="19"/>
  <c r="L632" i="19"/>
  <c r="BG631" i="19"/>
  <c r="BB631" i="19"/>
  <c r="AZ631" i="19"/>
  <c r="BA631" i="19" s="1"/>
  <c r="BE631" i="19" s="1"/>
  <c r="BF631" i="19" s="1"/>
  <c r="AW631" i="19"/>
  <c r="AV631" i="19"/>
  <c r="L631" i="19" s="1"/>
  <c r="AU631" i="19"/>
  <c r="AT631" i="19"/>
  <c r="AS631" i="19"/>
  <c r="AR631" i="19"/>
  <c r="AP631" i="19"/>
  <c r="AO631" i="19"/>
  <c r="T631" i="19"/>
  <c r="N631" i="19"/>
  <c r="BG628" i="19"/>
  <c r="BB628" i="19"/>
  <c r="AZ628" i="19"/>
  <c r="AW628" i="19"/>
  <c r="AV628" i="19"/>
  <c r="L628" i="19" s="1"/>
  <c r="AU628" i="19"/>
  <c r="AS628" i="19"/>
  <c r="AR628" i="19"/>
  <c r="AP628" i="19"/>
  <c r="AO628" i="19"/>
  <c r="T628" i="19"/>
  <c r="N628" i="19"/>
  <c r="BG626" i="19"/>
  <c r="BB626" i="19"/>
  <c r="AZ626" i="19"/>
  <c r="AW626" i="19"/>
  <c r="BA626" i="19" s="1"/>
  <c r="BE626" i="19" s="1"/>
  <c r="BF626" i="19" s="1"/>
  <c r="AV626" i="19"/>
  <c r="L626" i="19" s="1"/>
  <c r="AU626" i="19"/>
  <c r="AT626" i="19"/>
  <c r="AS626" i="19"/>
  <c r="AR626" i="19"/>
  <c r="AP626" i="19"/>
  <c r="AO626" i="19"/>
  <c r="T626" i="19"/>
  <c r="N626" i="19"/>
  <c r="BG625" i="19"/>
  <c r="BB625" i="19"/>
  <c r="AZ625" i="19"/>
  <c r="AW625" i="19"/>
  <c r="AV625" i="19"/>
  <c r="AU625" i="19"/>
  <c r="AS625" i="19"/>
  <c r="AR625" i="19"/>
  <c r="AP625" i="19"/>
  <c r="AO625" i="19"/>
  <c r="T625" i="19"/>
  <c r="N625" i="19"/>
  <c r="L625" i="19"/>
  <c r="BG623" i="19"/>
  <c r="BB623" i="19"/>
  <c r="AZ623" i="19"/>
  <c r="AW623" i="19"/>
  <c r="BC623" i="19" s="1"/>
  <c r="AV623" i="19"/>
  <c r="L623" i="19" s="1"/>
  <c r="AS623" i="19"/>
  <c r="AR623" i="19"/>
  <c r="AP623" i="19"/>
  <c r="AO623" i="19"/>
  <c r="T623" i="19"/>
  <c r="N623" i="19"/>
  <c r="BG619" i="19"/>
  <c r="BB619" i="19"/>
  <c r="AZ619" i="19"/>
  <c r="BD619" i="19" s="1"/>
  <c r="AW619" i="19"/>
  <c r="AV619" i="19"/>
  <c r="L619" i="19" s="1"/>
  <c r="AU619" i="19"/>
  <c r="AT619" i="19"/>
  <c r="AS619" i="19"/>
  <c r="AR619" i="19"/>
  <c r="AP619" i="19"/>
  <c r="AO619" i="19"/>
  <c r="T619" i="19"/>
  <c r="N619" i="19"/>
  <c r="BG618" i="19"/>
  <c r="BB618" i="19"/>
  <c r="AZ618" i="19"/>
  <c r="AW618" i="19"/>
  <c r="AV618" i="19"/>
  <c r="L618" i="19" s="1"/>
  <c r="AU618" i="19"/>
  <c r="AT618" i="19"/>
  <c r="BH618" i="19" s="1"/>
  <c r="AS618" i="19"/>
  <c r="AR618" i="19"/>
  <c r="AP618" i="19"/>
  <c r="AO618" i="19"/>
  <c r="T618" i="19"/>
  <c r="N618" i="19"/>
  <c r="BG616" i="19"/>
  <c r="BB616" i="19"/>
  <c r="AZ616" i="19"/>
  <c r="BD616" i="19" s="1"/>
  <c r="AW616" i="19"/>
  <c r="AV616" i="19"/>
  <c r="L616" i="19" s="1"/>
  <c r="AU616" i="19"/>
  <c r="AT616" i="19"/>
  <c r="AS616" i="19"/>
  <c r="AR616" i="19"/>
  <c r="AP616" i="19"/>
  <c r="AO616" i="19"/>
  <c r="T616" i="19"/>
  <c r="N616" i="19"/>
  <c r="BG615" i="19"/>
  <c r="BB615" i="19"/>
  <c r="AZ615" i="19"/>
  <c r="AW615" i="19"/>
  <c r="AV615" i="19"/>
  <c r="L615" i="19" s="1"/>
  <c r="AT615" i="19"/>
  <c r="AS615" i="19"/>
  <c r="AR615" i="19"/>
  <c r="AP615" i="19"/>
  <c r="AO615" i="19"/>
  <c r="T615" i="19"/>
  <c r="N615" i="19"/>
  <c r="BG613" i="19"/>
  <c r="BB613" i="19"/>
  <c r="AZ613" i="19"/>
  <c r="AW613" i="19"/>
  <c r="BA613" i="19" s="1"/>
  <c r="BE613" i="19" s="1"/>
  <c r="BF613" i="19" s="1"/>
  <c r="AV613" i="19"/>
  <c r="AS613" i="19"/>
  <c r="AR613" i="19"/>
  <c r="AP613" i="19"/>
  <c r="AO613" i="19"/>
  <c r="T613" i="19"/>
  <c r="N613" i="19"/>
  <c r="L613" i="19"/>
  <c r="BG611" i="19"/>
  <c r="BB611" i="19"/>
  <c r="AZ611" i="19"/>
  <c r="BD611" i="19" s="1"/>
  <c r="AW611" i="19"/>
  <c r="AV611" i="19"/>
  <c r="L611" i="19" s="1"/>
  <c r="AU611" i="19"/>
  <c r="AT611" i="19"/>
  <c r="AS611" i="19"/>
  <c r="AR611" i="19"/>
  <c r="AP611" i="19"/>
  <c r="AO611" i="19"/>
  <c r="T611" i="19"/>
  <c r="N611" i="19"/>
  <c r="BG609" i="19"/>
  <c r="BB609" i="19"/>
  <c r="AZ609" i="19"/>
  <c r="AW609" i="19"/>
  <c r="AV609" i="19"/>
  <c r="L609" i="19" s="1"/>
  <c r="AU609" i="19"/>
  <c r="AT609" i="19"/>
  <c r="AS609" i="19"/>
  <c r="AR609" i="19"/>
  <c r="AP609" i="19"/>
  <c r="AO609" i="19"/>
  <c r="T609" i="19"/>
  <c r="N609" i="19"/>
  <c r="BG608" i="19"/>
  <c r="BB608" i="19"/>
  <c r="AZ608" i="19"/>
  <c r="AW608" i="19"/>
  <c r="BC608" i="19" s="1"/>
  <c r="AV608" i="19"/>
  <c r="AT608" i="19"/>
  <c r="AS608" i="19"/>
  <c r="AR608" i="19"/>
  <c r="AP608" i="19"/>
  <c r="AO608" i="19"/>
  <c r="T608" i="19"/>
  <c r="N608" i="19"/>
  <c r="L608" i="19"/>
  <c r="BG607" i="19"/>
  <c r="BB607" i="19"/>
  <c r="AZ607" i="19"/>
  <c r="BD607" i="19" s="1"/>
  <c r="AW607" i="19"/>
  <c r="AV607" i="19"/>
  <c r="L607" i="19" s="1"/>
  <c r="AU607" i="19"/>
  <c r="AT607" i="19"/>
  <c r="AS607" i="19"/>
  <c r="AR607" i="19"/>
  <c r="AP607" i="19"/>
  <c r="AO607" i="19"/>
  <c r="T607" i="19"/>
  <c r="N607" i="19"/>
  <c r="BG606" i="19"/>
  <c r="BB606" i="19"/>
  <c r="AZ606" i="19"/>
  <c r="AW606" i="19"/>
  <c r="AV606" i="19"/>
  <c r="L606" i="19" s="1"/>
  <c r="AU606" i="19"/>
  <c r="AT606" i="19"/>
  <c r="AS606" i="19"/>
  <c r="AR606" i="19"/>
  <c r="AP606" i="19"/>
  <c r="BF606" i="19" s="1"/>
  <c r="AO606" i="19"/>
  <c r="T606" i="19"/>
  <c r="N606" i="19"/>
  <c r="BG604" i="19"/>
  <c r="BB604" i="19"/>
  <c r="AZ604" i="19"/>
  <c r="AW604" i="19"/>
  <c r="AV604" i="19"/>
  <c r="AT604" i="19"/>
  <c r="AS604" i="19"/>
  <c r="AR604" i="19"/>
  <c r="AP604" i="19"/>
  <c r="BF604" i="19" s="1"/>
  <c r="AO604" i="19"/>
  <c r="T604" i="19"/>
  <c r="N604" i="19"/>
  <c r="L604" i="19"/>
  <c r="BG600" i="19"/>
  <c r="BB600" i="19"/>
  <c r="AZ600" i="19"/>
  <c r="AW600" i="19"/>
  <c r="BA600" i="19" s="1"/>
  <c r="BE600" i="19" s="1"/>
  <c r="AV600" i="19"/>
  <c r="L600" i="19" s="1"/>
  <c r="AU600" i="19"/>
  <c r="AS600" i="19"/>
  <c r="AR600" i="19"/>
  <c r="AP600" i="19"/>
  <c r="BF600" i="19" s="1"/>
  <c r="AO600" i="19"/>
  <c r="T600" i="19"/>
  <c r="N600" i="19"/>
  <c r="BG599" i="19"/>
  <c r="BB599" i="19"/>
  <c r="AZ599" i="19"/>
  <c r="BD599" i="19" s="1"/>
  <c r="AW599" i="19"/>
  <c r="AV599" i="19"/>
  <c r="L599" i="19" s="1"/>
  <c r="AU599" i="19"/>
  <c r="AT599" i="19"/>
  <c r="AS599" i="19"/>
  <c r="AR599" i="19"/>
  <c r="AP599" i="19"/>
  <c r="BF599" i="19" s="1"/>
  <c r="AO599" i="19"/>
  <c r="T599" i="19"/>
  <c r="N599" i="19"/>
  <c r="BG598" i="19"/>
  <c r="BB598" i="19"/>
  <c r="AZ598" i="19"/>
  <c r="AW598" i="19"/>
  <c r="AV598" i="19"/>
  <c r="L598" i="19" s="1"/>
  <c r="AS598" i="19"/>
  <c r="AR598" i="19"/>
  <c r="AP598" i="19"/>
  <c r="BF598" i="19" s="1"/>
  <c r="AO598" i="19"/>
  <c r="T598" i="19"/>
  <c r="N598" i="19"/>
  <c r="BG597" i="19"/>
  <c r="BB597" i="19"/>
  <c r="AZ597" i="19"/>
  <c r="BD597" i="19" s="1"/>
  <c r="AW597" i="19"/>
  <c r="AV597" i="19"/>
  <c r="L597" i="19" s="1"/>
  <c r="AS597" i="19"/>
  <c r="AR597" i="19"/>
  <c r="AP597" i="19"/>
  <c r="BF597" i="19" s="1"/>
  <c r="AO597" i="19"/>
  <c r="T597" i="19"/>
  <c r="N597" i="19"/>
  <c r="BG596" i="19"/>
  <c r="BB596" i="19"/>
  <c r="AZ596" i="19"/>
  <c r="AW596" i="19"/>
  <c r="AV596" i="19"/>
  <c r="AT596" i="19"/>
  <c r="AS596" i="19"/>
  <c r="AR596" i="19"/>
  <c r="AP596" i="19"/>
  <c r="BF596" i="19" s="1"/>
  <c r="AO596" i="19"/>
  <c r="T596" i="19"/>
  <c r="N596" i="19"/>
  <c r="L596" i="19"/>
  <c r="BG594" i="19"/>
  <c r="BB594" i="19"/>
  <c r="AZ594" i="19"/>
  <c r="AW594" i="19"/>
  <c r="AV594" i="19"/>
  <c r="L594" i="19" s="1"/>
  <c r="AU594" i="19"/>
  <c r="AS594" i="19"/>
  <c r="AR594" i="19"/>
  <c r="AP594" i="19"/>
  <c r="BF594" i="19" s="1"/>
  <c r="AO594" i="19"/>
  <c r="T594" i="19"/>
  <c r="N594" i="19"/>
  <c r="BG593" i="19"/>
  <c r="BB593" i="19"/>
  <c r="AZ593" i="19"/>
  <c r="AW593" i="19"/>
  <c r="BA593" i="19" s="1"/>
  <c r="BE593" i="19" s="1"/>
  <c r="AV593" i="19"/>
  <c r="L593" i="19" s="1"/>
  <c r="AT593" i="19"/>
  <c r="AS593" i="19"/>
  <c r="AR593" i="19"/>
  <c r="AP593" i="19"/>
  <c r="BF593" i="19" s="1"/>
  <c r="AO593" i="19"/>
  <c r="T593" i="19"/>
  <c r="N593" i="19"/>
  <c r="BG592" i="19"/>
  <c r="BB592" i="19"/>
  <c r="AZ592" i="19"/>
  <c r="BA592" i="19" s="1"/>
  <c r="BE592" i="19" s="1"/>
  <c r="AW592" i="19"/>
  <c r="AV592" i="19"/>
  <c r="AU592" i="19"/>
  <c r="AS592" i="19"/>
  <c r="AR592" i="19"/>
  <c r="AP592" i="19"/>
  <c r="BF592" i="19" s="1"/>
  <c r="AO592" i="19"/>
  <c r="T592" i="19"/>
  <c r="N592" i="19"/>
  <c r="L592" i="19"/>
  <c r="BG591" i="19"/>
  <c r="BB591" i="19"/>
  <c r="AZ591" i="19"/>
  <c r="AW591" i="19"/>
  <c r="AV591" i="19"/>
  <c r="L591" i="19" s="1"/>
  <c r="AU591" i="19"/>
  <c r="AT591" i="19"/>
  <c r="AS591" i="19"/>
  <c r="AR591" i="19"/>
  <c r="AP591" i="19"/>
  <c r="BF591" i="19" s="1"/>
  <c r="AO591" i="19"/>
  <c r="T591" i="19"/>
  <c r="N591" i="19"/>
  <c r="BG590" i="19"/>
  <c r="BB590" i="19"/>
  <c r="AZ590" i="19"/>
  <c r="AW590" i="19"/>
  <c r="AV590" i="19"/>
  <c r="AT590" i="19"/>
  <c r="AS590" i="19"/>
  <c r="AR590" i="19"/>
  <c r="AP590" i="19"/>
  <c r="BF590" i="19" s="1"/>
  <c r="AO590" i="19"/>
  <c r="T590" i="19"/>
  <c r="N590" i="19"/>
  <c r="L590" i="19"/>
  <c r="BG589" i="19"/>
  <c r="BB589" i="19"/>
  <c r="AZ589" i="19"/>
  <c r="AW589" i="19"/>
  <c r="AV589" i="19"/>
  <c r="L589" i="19" s="1"/>
  <c r="AT589" i="19"/>
  <c r="AS589" i="19"/>
  <c r="AR589" i="19"/>
  <c r="AP589" i="19"/>
  <c r="BF589" i="19" s="1"/>
  <c r="AO589" i="19"/>
  <c r="T589" i="19"/>
  <c r="N589" i="19"/>
  <c r="BG587" i="19"/>
  <c r="BB587" i="19"/>
  <c r="AZ587" i="19"/>
  <c r="AW587" i="19"/>
  <c r="AV587" i="19"/>
  <c r="AT587" i="19"/>
  <c r="BH587" i="19" s="1"/>
  <c r="AS587" i="19"/>
  <c r="AR587" i="19"/>
  <c r="AP587" i="19"/>
  <c r="BF587" i="19" s="1"/>
  <c r="AO587" i="19"/>
  <c r="T587" i="19"/>
  <c r="N587" i="19"/>
  <c r="L587" i="19"/>
  <c r="BG586" i="19"/>
  <c r="BB586" i="19"/>
  <c r="AZ586" i="19"/>
  <c r="AW586" i="19"/>
  <c r="AV586" i="19"/>
  <c r="AU586" i="19"/>
  <c r="AS586" i="19"/>
  <c r="AR586" i="19"/>
  <c r="AP586" i="19"/>
  <c r="BF586" i="19" s="1"/>
  <c r="AO586" i="19"/>
  <c r="T586" i="19"/>
  <c r="N586" i="19"/>
  <c r="L586" i="19"/>
  <c r="BG585" i="19"/>
  <c r="BB585" i="19"/>
  <c r="AZ585" i="19"/>
  <c r="AW585" i="19"/>
  <c r="AV585" i="19"/>
  <c r="AU585" i="19"/>
  <c r="AS585" i="19"/>
  <c r="AR585" i="19"/>
  <c r="AP585" i="19"/>
  <c r="BF585" i="19" s="1"/>
  <c r="AO585" i="19"/>
  <c r="T585" i="19"/>
  <c r="N585" i="19"/>
  <c r="L585" i="19"/>
  <c r="BG584" i="19"/>
  <c r="BB584" i="19"/>
  <c r="AZ584" i="19"/>
  <c r="AW584" i="19"/>
  <c r="AV584" i="19"/>
  <c r="L584" i="19" s="1"/>
  <c r="AT584" i="19"/>
  <c r="AS584" i="19"/>
  <c r="AR584" i="19"/>
  <c r="AP584" i="19"/>
  <c r="BF584" i="19" s="1"/>
  <c r="AO584" i="19"/>
  <c r="T584" i="19"/>
  <c r="N584" i="19"/>
  <c r="BG583" i="19"/>
  <c r="BB583" i="19"/>
  <c r="AZ583" i="19"/>
  <c r="AW583" i="19"/>
  <c r="AV583" i="19"/>
  <c r="L583" i="19" s="1"/>
  <c r="AU583" i="19"/>
  <c r="AT583" i="19"/>
  <c r="AS583" i="19"/>
  <c r="AR583" i="19"/>
  <c r="AP583" i="19"/>
  <c r="BF583" i="19" s="1"/>
  <c r="AO583" i="19"/>
  <c r="T583" i="19"/>
  <c r="N583" i="19"/>
  <c r="BG582" i="19"/>
  <c r="BB582" i="19"/>
  <c r="AZ582" i="19"/>
  <c r="AW582" i="19"/>
  <c r="AV582" i="19"/>
  <c r="L582" i="19" s="1"/>
  <c r="AU582" i="19"/>
  <c r="AT582" i="19"/>
  <c r="BH582" i="19" s="1"/>
  <c r="AS582" i="19"/>
  <c r="AR582" i="19"/>
  <c r="AP582" i="19"/>
  <c r="BF582" i="19" s="1"/>
  <c r="AO582" i="19"/>
  <c r="T582" i="19"/>
  <c r="N582" i="19"/>
  <c r="BG581" i="19"/>
  <c r="BB581" i="19"/>
  <c r="AZ581" i="19"/>
  <c r="AW581" i="19"/>
  <c r="AV581" i="19"/>
  <c r="L581" i="19" s="1"/>
  <c r="AU581" i="19"/>
  <c r="AT581" i="19"/>
  <c r="AS581" i="19"/>
  <c r="AR581" i="19"/>
  <c r="AP581" i="19"/>
  <c r="BF581" i="19" s="1"/>
  <c r="AO581" i="19"/>
  <c r="T581" i="19"/>
  <c r="N581" i="19"/>
  <c r="BG580" i="19"/>
  <c r="BB580" i="19"/>
  <c r="AZ580" i="19"/>
  <c r="AW580" i="19"/>
  <c r="AV580" i="19"/>
  <c r="AU580" i="19"/>
  <c r="AT580" i="19"/>
  <c r="AS580" i="19"/>
  <c r="AR580" i="19"/>
  <c r="AP580" i="19"/>
  <c r="BF580" i="19" s="1"/>
  <c r="AO580" i="19"/>
  <c r="T580" i="19"/>
  <c r="N580" i="19"/>
  <c r="L580" i="19"/>
  <c r="BG579" i="19"/>
  <c r="BB579" i="19"/>
  <c r="AZ579" i="19"/>
  <c r="AW579" i="19"/>
  <c r="AV579" i="19"/>
  <c r="AS579" i="19"/>
  <c r="AR579" i="19"/>
  <c r="AP579" i="19"/>
  <c r="BF579" i="19" s="1"/>
  <c r="AO579" i="19"/>
  <c r="T579" i="19"/>
  <c r="N579" i="19"/>
  <c r="L579" i="19"/>
  <c r="BG578" i="19"/>
  <c r="BB578" i="19"/>
  <c r="AZ578" i="19"/>
  <c r="BA578" i="19" s="1"/>
  <c r="BE578" i="19" s="1"/>
  <c r="AW578" i="19"/>
  <c r="AV578" i="19"/>
  <c r="L578" i="19" s="1"/>
  <c r="AU578" i="19"/>
  <c r="AT578" i="19"/>
  <c r="AS578" i="19"/>
  <c r="AR578" i="19"/>
  <c r="AP578" i="19"/>
  <c r="BF578" i="19" s="1"/>
  <c r="AO578" i="19"/>
  <c r="T578" i="19"/>
  <c r="N578" i="19"/>
  <c r="BG577" i="19"/>
  <c r="BB577" i="19"/>
  <c r="AZ577" i="19"/>
  <c r="AW577" i="19"/>
  <c r="AV577" i="19"/>
  <c r="L577" i="19" s="1"/>
  <c r="AU577" i="19"/>
  <c r="AS577" i="19"/>
  <c r="AR577" i="19"/>
  <c r="AP577" i="19"/>
  <c r="BF577" i="19" s="1"/>
  <c r="AO577" i="19"/>
  <c r="T577" i="19"/>
  <c r="N577" i="19"/>
  <c r="BG576" i="19"/>
  <c r="BB576" i="19"/>
  <c r="AZ576" i="19"/>
  <c r="AW576" i="19"/>
  <c r="AV576" i="19"/>
  <c r="AS576" i="19"/>
  <c r="AR576" i="19"/>
  <c r="AP576" i="19"/>
  <c r="BF576" i="19" s="1"/>
  <c r="AO576" i="19"/>
  <c r="T576" i="19"/>
  <c r="N576" i="19"/>
  <c r="L576" i="19"/>
  <c r="BG573" i="19"/>
  <c r="BB573" i="19"/>
  <c r="AZ573" i="19"/>
  <c r="AW573" i="19"/>
  <c r="AV573" i="19"/>
  <c r="AU573" i="19"/>
  <c r="AS573" i="19"/>
  <c r="AR573" i="19"/>
  <c r="AP573" i="19"/>
  <c r="BF573" i="19" s="1"/>
  <c r="AO573" i="19"/>
  <c r="T573" i="19"/>
  <c r="N573" i="19"/>
  <c r="L573" i="19"/>
  <c r="BG572" i="19"/>
  <c r="BB572" i="19"/>
  <c r="AZ572" i="19"/>
  <c r="BA572" i="19" s="1"/>
  <c r="BE572" i="19" s="1"/>
  <c r="AW572" i="19"/>
  <c r="AV572" i="19"/>
  <c r="L572" i="19" s="1"/>
  <c r="AU572" i="19"/>
  <c r="AS572" i="19"/>
  <c r="AR572" i="19"/>
  <c r="AP572" i="19"/>
  <c r="BF572" i="19" s="1"/>
  <c r="AO572" i="19"/>
  <c r="T572" i="19"/>
  <c r="N572" i="19"/>
  <c r="BG571" i="19"/>
  <c r="BB571" i="19"/>
  <c r="AZ571" i="19"/>
  <c r="AW571" i="19"/>
  <c r="AV571" i="19"/>
  <c r="AS571" i="19"/>
  <c r="AR571" i="19"/>
  <c r="AP571" i="19"/>
  <c r="BF571" i="19" s="1"/>
  <c r="AO571" i="19"/>
  <c r="T571" i="19"/>
  <c r="N571" i="19"/>
  <c r="L571" i="19"/>
  <c r="BG570" i="19"/>
  <c r="BB570" i="19"/>
  <c r="AZ570" i="19"/>
  <c r="AW570" i="19"/>
  <c r="AV570" i="19"/>
  <c r="AU570" i="19"/>
  <c r="AS570" i="19"/>
  <c r="AR570" i="19"/>
  <c r="AP570" i="19"/>
  <c r="BF570" i="19" s="1"/>
  <c r="AO570" i="19"/>
  <c r="T570" i="19"/>
  <c r="N570" i="19"/>
  <c r="L570" i="19"/>
  <c r="BG569" i="19"/>
  <c r="BB569" i="19"/>
  <c r="AZ569" i="19"/>
  <c r="AW569" i="19"/>
  <c r="AV569" i="19"/>
  <c r="L569" i="19" s="1"/>
  <c r="AU569" i="19"/>
  <c r="AT569" i="19"/>
  <c r="AS569" i="19"/>
  <c r="AR569" i="19"/>
  <c r="AP569" i="19"/>
  <c r="BF569" i="19" s="1"/>
  <c r="AO569" i="19"/>
  <c r="T569" i="19"/>
  <c r="N569" i="19"/>
  <c r="BG568" i="19"/>
  <c r="BB568" i="19"/>
  <c r="AZ568" i="19"/>
  <c r="BC568" i="19" s="1"/>
  <c r="AW568" i="19"/>
  <c r="AV568" i="19"/>
  <c r="L568" i="19" s="1"/>
  <c r="AU568" i="19"/>
  <c r="AS568" i="19"/>
  <c r="AR568" i="19"/>
  <c r="AP568" i="19"/>
  <c r="BF568" i="19" s="1"/>
  <c r="AO568" i="19"/>
  <c r="T568" i="19"/>
  <c r="N568" i="19"/>
  <c r="BG567" i="19"/>
  <c r="BB567" i="19"/>
  <c r="AZ567" i="19"/>
  <c r="AW567" i="19"/>
  <c r="AV567" i="19"/>
  <c r="AU567" i="19"/>
  <c r="AT567" i="19"/>
  <c r="AS567" i="19"/>
  <c r="AR567" i="19"/>
  <c r="AP567" i="19"/>
  <c r="BF567" i="19" s="1"/>
  <c r="AO567" i="19"/>
  <c r="T567" i="19"/>
  <c r="N567" i="19"/>
  <c r="L567" i="19"/>
  <c r="BG566" i="19"/>
  <c r="BB566" i="19"/>
  <c r="AZ566" i="19"/>
  <c r="AW566" i="19"/>
  <c r="AV566" i="19"/>
  <c r="AT566" i="19"/>
  <c r="AS566" i="19"/>
  <c r="AR566" i="19"/>
  <c r="AP566" i="19"/>
  <c r="BF566" i="19" s="1"/>
  <c r="AO566" i="19"/>
  <c r="T566" i="19"/>
  <c r="N566" i="19"/>
  <c r="L566" i="19"/>
  <c r="BG564" i="19"/>
  <c r="BB564" i="19"/>
  <c r="AZ564" i="19"/>
  <c r="BD564" i="19" s="1"/>
  <c r="AW564" i="19"/>
  <c r="AV564" i="19"/>
  <c r="AU564" i="19"/>
  <c r="AT564" i="19"/>
  <c r="AS564" i="19"/>
  <c r="AR564" i="19"/>
  <c r="AP564" i="19"/>
  <c r="BF564" i="19" s="1"/>
  <c r="AO564" i="19"/>
  <c r="T564" i="19"/>
  <c r="N564" i="19"/>
  <c r="L564" i="19"/>
  <c r="BG563" i="19"/>
  <c r="BB563" i="19"/>
  <c r="AZ563" i="19"/>
  <c r="AW563" i="19"/>
  <c r="AV563" i="19"/>
  <c r="L563" i="19" s="1"/>
  <c r="AU563" i="19"/>
  <c r="AT563" i="19"/>
  <c r="AS563" i="19"/>
  <c r="AR563" i="19"/>
  <c r="AP563" i="19"/>
  <c r="BF563" i="19" s="1"/>
  <c r="AO563" i="19"/>
  <c r="T563" i="19"/>
  <c r="N563" i="19"/>
  <c r="BG562" i="19"/>
  <c r="BB562" i="19"/>
  <c r="AZ562" i="19"/>
  <c r="AW562" i="19"/>
  <c r="AV562" i="19"/>
  <c r="L562" i="19" s="1"/>
  <c r="AU562" i="19"/>
  <c r="AT562" i="19"/>
  <c r="AS562" i="19"/>
  <c r="AR562" i="19"/>
  <c r="AP562" i="19"/>
  <c r="BF562" i="19" s="1"/>
  <c r="AO562" i="19"/>
  <c r="T562" i="19"/>
  <c r="N562" i="19"/>
  <c r="BG560" i="19"/>
  <c r="BB560" i="19"/>
  <c r="AZ560" i="19"/>
  <c r="BC560" i="19" s="1"/>
  <c r="AW560" i="19"/>
  <c r="AV560" i="19"/>
  <c r="L560" i="19" s="1"/>
  <c r="AU560" i="19"/>
  <c r="AS560" i="19"/>
  <c r="AR560" i="19"/>
  <c r="AP560" i="19"/>
  <c r="BF560" i="19" s="1"/>
  <c r="AO560" i="19"/>
  <c r="T560" i="19"/>
  <c r="N560" i="19"/>
  <c r="BG559" i="19"/>
  <c r="BB559" i="19"/>
  <c r="AZ559" i="19"/>
  <c r="AW559" i="19"/>
  <c r="AV559" i="19"/>
  <c r="L559" i="19" s="1"/>
  <c r="AU559" i="19"/>
  <c r="AT559" i="19"/>
  <c r="AS559" i="19"/>
  <c r="AR559" i="19"/>
  <c r="AP559" i="19"/>
  <c r="BF559" i="19" s="1"/>
  <c r="AO559" i="19"/>
  <c r="T559" i="19"/>
  <c r="N559" i="19"/>
  <c r="BG558" i="19"/>
  <c r="BB558" i="19"/>
  <c r="AZ558" i="19"/>
  <c r="AW558" i="19"/>
  <c r="BA558" i="19" s="1"/>
  <c r="BE558" i="19" s="1"/>
  <c r="AV558" i="19"/>
  <c r="L558" i="19" s="1"/>
  <c r="AS558" i="19"/>
  <c r="AR558" i="19"/>
  <c r="AP558" i="19"/>
  <c r="BF558" i="19" s="1"/>
  <c r="AO558" i="19"/>
  <c r="T558" i="19"/>
  <c r="N558" i="19"/>
  <c r="BG556" i="19"/>
  <c r="BB556" i="19"/>
  <c r="AZ556" i="19"/>
  <c r="AW556" i="19"/>
  <c r="BA556" i="19" s="1"/>
  <c r="BE556" i="19" s="1"/>
  <c r="AV556" i="19"/>
  <c r="L556" i="19" s="1"/>
  <c r="AS556" i="19"/>
  <c r="AR556" i="19"/>
  <c r="AP556" i="19"/>
  <c r="BF556" i="19" s="1"/>
  <c r="AO556" i="19"/>
  <c r="T556" i="19"/>
  <c r="N556" i="19"/>
  <c r="BG555" i="19"/>
  <c r="BB555" i="19"/>
  <c r="AZ555" i="19"/>
  <c r="AW555" i="19"/>
  <c r="AV555" i="19"/>
  <c r="L555" i="19" s="1"/>
  <c r="AU555" i="19"/>
  <c r="AT555" i="19"/>
  <c r="AS555" i="19"/>
  <c r="AR555" i="19"/>
  <c r="AP555" i="19"/>
  <c r="BF555" i="19" s="1"/>
  <c r="AO555" i="19"/>
  <c r="T555" i="19"/>
  <c r="N555" i="19"/>
  <c r="BG553" i="19"/>
  <c r="BB553" i="19"/>
  <c r="AZ553" i="19"/>
  <c r="BC553" i="19" s="1"/>
  <c r="AW553" i="19"/>
  <c r="AV553" i="19"/>
  <c r="L553" i="19" s="1"/>
  <c r="AS553" i="19"/>
  <c r="AR553" i="19"/>
  <c r="AP553" i="19"/>
  <c r="BF553" i="19" s="1"/>
  <c r="AO553" i="19"/>
  <c r="T553" i="19"/>
  <c r="N553" i="19"/>
  <c r="BG552" i="19"/>
  <c r="BB552" i="19"/>
  <c r="AZ552" i="19"/>
  <c r="BC552" i="19" s="1"/>
  <c r="AW552" i="19"/>
  <c r="AV552" i="19"/>
  <c r="L552" i="19" s="1"/>
  <c r="AU552" i="19"/>
  <c r="AT552" i="19"/>
  <c r="AS552" i="19"/>
  <c r="AR552" i="19"/>
  <c r="AP552" i="19"/>
  <c r="BF552" i="19" s="1"/>
  <c r="AO552" i="19"/>
  <c r="T552" i="19"/>
  <c r="N552" i="19"/>
  <c r="BG550" i="19"/>
  <c r="BB550" i="19"/>
  <c r="AZ550" i="19"/>
  <c r="AW550" i="19"/>
  <c r="AV550" i="19"/>
  <c r="L550" i="19" s="1"/>
  <c r="AU550" i="19"/>
  <c r="AT550" i="19"/>
  <c r="AS550" i="19"/>
  <c r="AR550" i="19"/>
  <c r="AP550" i="19"/>
  <c r="BF550" i="19" s="1"/>
  <c r="AO550" i="19"/>
  <c r="T550" i="19"/>
  <c r="N550" i="19"/>
  <c r="BG548" i="19"/>
  <c r="BB548" i="19"/>
  <c r="AZ548" i="19"/>
  <c r="AW548" i="19"/>
  <c r="AV548" i="19"/>
  <c r="AT548" i="19"/>
  <c r="AS548" i="19"/>
  <c r="AR548" i="19"/>
  <c r="AP548" i="19"/>
  <c r="BF548" i="19" s="1"/>
  <c r="AO548" i="19"/>
  <c r="T548" i="19"/>
  <c r="N548" i="19"/>
  <c r="L548" i="19"/>
  <c r="BG547" i="19"/>
  <c r="BB547" i="19"/>
  <c r="AZ547" i="19"/>
  <c r="AW547" i="19"/>
  <c r="AV547" i="19"/>
  <c r="L547" i="19" s="1"/>
  <c r="AU547" i="19"/>
  <c r="AS547" i="19"/>
  <c r="AR547" i="19"/>
  <c r="AP547" i="19"/>
  <c r="BF547" i="19" s="1"/>
  <c r="AO547" i="19"/>
  <c r="T547" i="19"/>
  <c r="N547" i="19"/>
  <c r="BG546" i="19"/>
  <c r="BB546" i="19"/>
  <c r="AZ546" i="19"/>
  <c r="AW546" i="19"/>
  <c r="AV546" i="19"/>
  <c r="L546" i="19" s="1"/>
  <c r="AT546" i="19"/>
  <c r="AS546" i="19"/>
  <c r="AR546" i="19"/>
  <c r="AP546" i="19"/>
  <c r="BF546" i="19" s="1"/>
  <c r="AO546" i="19"/>
  <c r="T546" i="19"/>
  <c r="N546" i="19"/>
  <c r="BG544" i="19"/>
  <c r="BB544" i="19"/>
  <c r="AZ544" i="19"/>
  <c r="AW544" i="19"/>
  <c r="AV544" i="19"/>
  <c r="L544" i="19" s="1"/>
  <c r="AU544" i="19"/>
  <c r="AT544" i="19"/>
  <c r="AS544" i="19"/>
  <c r="AR544" i="19"/>
  <c r="AP544" i="19"/>
  <c r="BF544" i="19" s="1"/>
  <c r="AO544" i="19"/>
  <c r="T544" i="19"/>
  <c r="N544" i="19"/>
  <c r="BG543" i="19"/>
  <c r="BB543" i="19"/>
  <c r="AZ543" i="19"/>
  <c r="AW543" i="19"/>
  <c r="AV543" i="19"/>
  <c r="AT543" i="19"/>
  <c r="AS543" i="19"/>
  <c r="AR543" i="19"/>
  <c r="AP543" i="19"/>
  <c r="BF543" i="19" s="1"/>
  <c r="AO543" i="19"/>
  <c r="T543" i="19"/>
  <c r="N543" i="19"/>
  <c r="L543" i="19"/>
  <c r="BG542" i="19"/>
  <c r="BB542" i="19"/>
  <c r="AZ542" i="19"/>
  <c r="AW542" i="19"/>
  <c r="BA542" i="19" s="1"/>
  <c r="BE542" i="19" s="1"/>
  <c r="AV542" i="19"/>
  <c r="L542" i="19" s="1"/>
  <c r="AU542" i="19"/>
  <c r="AS542" i="19"/>
  <c r="AR542" i="19"/>
  <c r="AP542" i="19"/>
  <c r="BF542" i="19" s="1"/>
  <c r="AO542" i="19"/>
  <c r="T542" i="19"/>
  <c r="N542" i="19"/>
  <c r="BG541" i="19"/>
  <c r="BB541" i="19"/>
  <c r="AZ541" i="19"/>
  <c r="BA541" i="19" s="1"/>
  <c r="BE541" i="19" s="1"/>
  <c r="AW541" i="19"/>
  <c r="AV541" i="19"/>
  <c r="L541" i="19" s="1"/>
  <c r="AU541" i="19"/>
  <c r="AT541" i="19"/>
  <c r="BH541" i="19" s="1"/>
  <c r="AS541" i="19"/>
  <c r="AR541" i="19"/>
  <c r="AP541" i="19"/>
  <c r="BF541" i="19" s="1"/>
  <c r="AO541" i="19"/>
  <c r="T541" i="19"/>
  <c r="N541" i="19"/>
  <c r="BG540" i="19"/>
  <c r="BB540" i="19"/>
  <c r="AZ540" i="19"/>
  <c r="AW540" i="19"/>
  <c r="BC540" i="19" s="1"/>
  <c r="AV540" i="19"/>
  <c r="L540" i="19" s="1"/>
  <c r="AU540" i="19"/>
  <c r="AT540" i="19"/>
  <c r="AS540" i="19"/>
  <c r="AR540" i="19"/>
  <c r="AP540" i="19"/>
  <c r="BF540" i="19" s="1"/>
  <c r="AO540" i="19"/>
  <c r="T540" i="19"/>
  <c r="N540" i="19"/>
  <c r="BG539" i="19"/>
  <c r="BB539" i="19"/>
  <c r="AZ539" i="19"/>
  <c r="AW539" i="19"/>
  <c r="AV539" i="19"/>
  <c r="AT539" i="19"/>
  <c r="AS539" i="19"/>
  <c r="AR539" i="19"/>
  <c r="AP539" i="19"/>
  <c r="BF539" i="19" s="1"/>
  <c r="AO539" i="19"/>
  <c r="T539" i="19"/>
  <c r="N539" i="19"/>
  <c r="L539" i="19"/>
  <c r="BG538" i="19"/>
  <c r="BB538" i="19"/>
  <c r="AZ538" i="19"/>
  <c r="BD538" i="19" s="1"/>
  <c r="AW538" i="19"/>
  <c r="AV538" i="19"/>
  <c r="AT538" i="19"/>
  <c r="AS538" i="19"/>
  <c r="AR538" i="19"/>
  <c r="AP538" i="19"/>
  <c r="BF538" i="19" s="1"/>
  <c r="AO538" i="19"/>
  <c r="T538" i="19"/>
  <c r="N538" i="19"/>
  <c r="L538" i="19"/>
  <c r="BG537" i="19"/>
  <c r="BB537" i="19"/>
  <c r="AZ537" i="19"/>
  <c r="AW537" i="19"/>
  <c r="BC537" i="19" s="1"/>
  <c r="AV537" i="19"/>
  <c r="AT537" i="19"/>
  <c r="AS537" i="19"/>
  <c r="AR537" i="19"/>
  <c r="AP537" i="19"/>
  <c r="BF537" i="19" s="1"/>
  <c r="AO537" i="19"/>
  <c r="T537" i="19"/>
  <c r="N537" i="19"/>
  <c r="L537" i="19"/>
  <c r="BG536" i="19"/>
  <c r="BB536" i="19"/>
  <c r="AZ536" i="19"/>
  <c r="AW536" i="19"/>
  <c r="AV536" i="19"/>
  <c r="L536" i="19" s="1"/>
  <c r="AS536" i="19"/>
  <c r="AR536" i="19"/>
  <c r="AP536" i="19"/>
  <c r="BF536" i="19" s="1"/>
  <c r="AO536" i="19"/>
  <c r="T536" i="19"/>
  <c r="N536" i="19"/>
  <c r="BG535" i="19"/>
  <c r="BB535" i="19"/>
  <c r="AZ535" i="19"/>
  <c r="AW535" i="19"/>
  <c r="AV535" i="19"/>
  <c r="L535" i="19" s="1"/>
  <c r="AU535" i="19"/>
  <c r="AT535" i="19"/>
  <c r="AS535" i="19"/>
  <c r="AR535" i="19"/>
  <c r="AP535" i="19"/>
  <c r="BF535" i="19" s="1"/>
  <c r="AO535" i="19"/>
  <c r="T535" i="19"/>
  <c r="N535" i="19"/>
  <c r="BG533" i="19"/>
  <c r="BB533" i="19"/>
  <c r="AZ533" i="19"/>
  <c r="AW533" i="19"/>
  <c r="BC533" i="19" s="1"/>
  <c r="AV533" i="19"/>
  <c r="L533" i="19" s="1"/>
  <c r="AU533" i="19"/>
  <c r="AT533" i="19"/>
  <c r="AS533" i="19"/>
  <c r="AR533" i="19"/>
  <c r="AP533" i="19"/>
  <c r="BF533" i="19" s="1"/>
  <c r="AO533" i="19"/>
  <c r="T533" i="19"/>
  <c r="N533" i="19"/>
  <c r="BG531" i="19"/>
  <c r="BB531" i="19"/>
  <c r="AZ531" i="19"/>
  <c r="BA531" i="19" s="1"/>
  <c r="BE531" i="19" s="1"/>
  <c r="AW531" i="19"/>
  <c r="AV531" i="19"/>
  <c r="AU531" i="19"/>
  <c r="AS531" i="19"/>
  <c r="AR531" i="19"/>
  <c r="AP531" i="19"/>
  <c r="BF531" i="19" s="1"/>
  <c r="AO531" i="19"/>
  <c r="T531" i="19"/>
  <c r="N531" i="19"/>
  <c r="L531" i="19"/>
  <c r="BG530" i="19"/>
  <c r="BB530" i="19"/>
  <c r="AZ530" i="19"/>
  <c r="AW530" i="19"/>
  <c r="AV530" i="19"/>
  <c r="AS530" i="19"/>
  <c r="AR530" i="19"/>
  <c r="AP530" i="19"/>
  <c r="BF530" i="19" s="1"/>
  <c r="AO530" i="19"/>
  <c r="T530" i="19"/>
  <c r="N530" i="19"/>
  <c r="L530" i="19"/>
  <c r="BG529" i="19"/>
  <c r="BB529" i="19"/>
  <c r="AZ529" i="19"/>
  <c r="AW529" i="19"/>
  <c r="AV529" i="19"/>
  <c r="AS529" i="19"/>
  <c r="AR529" i="19"/>
  <c r="AP529" i="19"/>
  <c r="BF529" i="19" s="1"/>
  <c r="AO529" i="19"/>
  <c r="T529" i="19"/>
  <c r="N529" i="19"/>
  <c r="L529" i="19"/>
  <c r="BG528" i="19"/>
  <c r="BB528" i="19"/>
  <c r="AZ528" i="19"/>
  <c r="BD528" i="19" s="1"/>
  <c r="AW528" i="19"/>
  <c r="AV528" i="19"/>
  <c r="L528" i="19" s="1"/>
  <c r="AU528" i="19"/>
  <c r="AT528" i="19"/>
  <c r="AS528" i="19"/>
  <c r="AR528" i="19"/>
  <c r="AP528" i="19"/>
  <c r="BF528" i="19" s="1"/>
  <c r="AO528" i="19"/>
  <c r="T528" i="19"/>
  <c r="N528" i="19"/>
  <c r="BG526" i="19"/>
  <c r="BB526" i="19"/>
  <c r="AZ526" i="19"/>
  <c r="AW526" i="19"/>
  <c r="BA526" i="19" s="1"/>
  <c r="BE526" i="19" s="1"/>
  <c r="AV526" i="19"/>
  <c r="AS526" i="19"/>
  <c r="AR526" i="19"/>
  <c r="AP526" i="19"/>
  <c r="BF526" i="19" s="1"/>
  <c r="AO526" i="19"/>
  <c r="T526" i="19"/>
  <c r="N526" i="19"/>
  <c r="L526" i="19"/>
  <c r="BG524" i="19"/>
  <c r="BB524" i="19"/>
  <c r="AZ524" i="19"/>
  <c r="BA524" i="19" s="1"/>
  <c r="BE524" i="19" s="1"/>
  <c r="AW524" i="19"/>
  <c r="BC524" i="19" s="1"/>
  <c r="AV524" i="19"/>
  <c r="AS524" i="19"/>
  <c r="AR524" i="19"/>
  <c r="AP524" i="19"/>
  <c r="BF524" i="19" s="1"/>
  <c r="AO524" i="19"/>
  <c r="T524" i="19"/>
  <c r="N524" i="19"/>
  <c r="L524" i="19"/>
  <c r="BG523" i="19"/>
  <c r="BB523" i="19"/>
  <c r="AZ523" i="19"/>
  <c r="BD523" i="19" s="1"/>
  <c r="AW523" i="19"/>
  <c r="AV523" i="19"/>
  <c r="L523" i="19" s="1"/>
  <c r="AT523" i="19"/>
  <c r="AS523" i="19"/>
  <c r="AR523" i="19"/>
  <c r="AP523" i="19"/>
  <c r="BF523" i="19" s="1"/>
  <c r="AO523" i="19"/>
  <c r="T523" i="19"/>
  <c r="N523" i="19"/>
  <c r="BG522" i="19"/>
  <c r="BB522" i="19"/>
  <c r="AZ522" i="19"/>
  <c r="AW522" i="19"/>
  <c r="AV522" i="19"/>
  <c r="AT522" i="19"/>
  <c r="AS522" i="19"/>
  <c r="AR522" i="19"/>
  <c r="AP522" i="19"/>
  <c r="BF522" i="19" s="1"/>
  <c r="AO522" i="19"/>
  <c r="T522" i="19"/>
  <c r="N522" i="19"/>
  <c r="L522" i="19"/>
  <c r="BG521" i="19"/>
  <c r="BB521" i="19"/>
  <c r="AZ521" i="19"/>
  <c r="AW521" i="19"/>
  <c r="AV521" i="19"/>
  <c r="AT521" i="19"/>
  <c r="AS521" i="19"/>
  <c r="AR521" i="19"/>
  <c r="AP521" i="19"/>
  <c r="BF521" i="19" s="1"/>
  <c r="AO521" i="19"/>
  <c r="T521" i="19"/>
  <c r="N521" i="19"/>
  <c r="L521" i="19"/>
  <c r="BG520" i="19"/>
  <c r="BB520" i="19"/>
  <c r="AZ520" i="19"/>
  <c r="BD520" i="19" s="1"/>
  <c r="AW520" i="19"/>
  <c r="AV520" i="19"/>
  <c r="AU520" i="19"/>
  <c r="AS520" i="19"/>
  <c r="AR520" i="19"/>
  <c r="AP520" i="19"/>
  <c r="BF520" i="19" s="1"/>
  <c r="AO520" i="19"/>
  <c r="T520" i="19"/>
  <c r="N520" i="19"/>
  <c r="L520" i="19"/>
  <c r="BG519" i="19"/>
  <c r="BB519" i="19"/>
  <c r="AZ519" i="19"/>
  <c r="AW519" i="19"/>
  <c r="AV519" i="19"/>
  <c r="AT519" i="19"/>
  <c r="AS519" i="19"/>
  <c r="AR519" i="19"/>
  <c r="AP519" i="19"/>
  <c r="BF519" i="19" s="1"/>
  <c r="AO519" i="19"/>
  <c r="T519" i="19"/>
  <c r="N519" i="19"/>
  <c r="L519" i="19"/>
  <c r="BG518" i="19"/>
  <c r="BB518" i="19"/>
  <c r="AZ518" i="19"/>
  <c r="AW518" i="19"/>
  <c r="AV518" i="19"/>
  <c r="AT518" i="19"/>
  <c r="AS518" i="19"/>
  <c r="AR518" i="19"/>
  <c r="AP518" i="19"/>
  <c r="BF518" i="19" s="1"/>
  <c r="AO518" i="19"/>
  <c r="T518" i="19"/>
  <c r="N518" i="19"/>
  <c r="L518" i="19"/>
  <c r="BG517" i="19"/>
  <c r="BC517" i="19"/>
  <c r="BB517" i="19"/>
  <c r="AZ517" i="19"/>
  <c r="AW517" i="19"/>
  <c r="AV517" i="19"/>
  <c r="L517" i="19" s="1"/>
  <c r="AS517" i="19"/>
  <c r="AR517" i="19"/>
  <c r="AP517" i="19"/>
  <c r="BF517" i="19" s="1"/>
  <c r="AO517" i="19"/>
  <c r="T517" i="19"/>
  <c r="N517" i="19"/>
  <c r="BG516" i="19"/>
  <c r="BB516" i="19"/>
  <c r="AZ516" i="19"/>
  <c r="BD516" i="19" s="1"/>
  <c r="AW516" i="19"/>
  <c r="AV516" i="19"/>
  <c r="AS516" i="19"/>
  <c r="AR516" i="19"/>
  <c r="AP516" i="19"/>
  <c r="BF516" i="19" s="1"/>
  <c r="AO516" i="19"/>
  <c r="T516" i="19"/>
  <c r="N516" i="19"/>
  <c r="L516" i="19"/>
  <c r="BG515" i="19"/>
  <c r="BB515" i="19"/>
  <c r="AZ515" i="19"/>
  <c r="AW515" i="19"/>
  <c r="AV515" i="19"/>
  <c r="AT515" i="19"/>
  <c r="AS515" i="19"/>
  <c r="AR515" i="19"/>
  <c r="AP515" i="19"/>
  <c r="BF515" i="19" s="1"/>
  <c r="AO515" i="19"/>
  <c r="T515" i="19"/>
  <c r="N515" i="19"/>
  <c r="L515" i="19"/>
  <c r="BG514" i="19"/>
  <c r="BB514" i="19"/>
  <c r="AZ514" i="19"/>
  <c r="AW514" i="19"/>
  <c r="AV514" i="19"/>
  <c r="AT514" i="19"/>
  <c r="AS514" i="19"/>
  <c r="AR514" i="19"/>
  <c r="AP514" i="19"/>
  <c r="BF514" i="19" s="1"/>
  <c r="AO514" i="19"/>
  <c r="T514" i="19"/>
  <c r="N514" i="19"/>
  <c r="L514" i="19"/>
  <c r="BG513" i="19"/>
  <c r="BB513" i="19"/>
  <c r="AZ513" i="19"/>
  <c r="BC513" i="19" s="1"/>
  <c r="AW513" i="19"/>
  <c r="AV513" i="19"/>
  <c r="L513" i="19" s="1"/>
  <c r="AT513" i="19"/>
  <c r="AS513" i="19"/>
  <c r="AR513" i="19"/>
  <c r="AP513" i="19"/>
  <c r="BF513" i="19" s="1"/>
  <c r="AO513" i="19"/>
  <c r="T513" i="19"/>
  <c r="N513" i="19"/>
  <c r="BG512" i="19"/>
  <c r="BB512" i="19"/>
  <c r="AZ512" i="19"/>
  <c r="AW512" i="19"/>
  <c r="AV512" i="19"/>
  <c r="L512" i="19" s="1"/>
  <c r="AU512" i="19"/>
  <c r="AT512" i="19"/>
  <c r="AS512" i="19"/>
  <c r="AR512" i="19"/>
  <c r="AP512" i="19"/>
  <c r="BF512" i="19" s="1"/>
  <c r="AO512" i="19"/>
  <c r="T512" i="19"/>
  <c r="N512" i="19"/>
  <c r="BG511" i="19"/>
  <c r="BB511" i="19"/>
  <c r="AZ511" i="19"/>
  <c r="AW511" i="19"/>
  <c r="AV511" i="19"/>
  <c r="L511" i="19" s="1"/>
  <c r="AT511" i="19"/>
  <c r="AS511" i="19"/>
  <c r="AR511" i="19"/>
  <c r="AP511" i="19"/>
  <c r="BF511" i="19" s="1"/>
  <c r="AO511" i="19"/>
  <c r="T511" i="19"/>
  <c r="N511" i="19"/>
  <c r="BG510" i="19"/>
  <c r="BB510" i="19"/>
  <c r="AZ510" i="19"/>
  <c r="BA510" i="19" s="1"/>
  <c r="BE510" i="19" s="1"/>
  <c r="AW510" i="19"/>
  <c r="AV510" i="19"/>
  <c r="L510" i="19" s="1"/>
  <c r="AU510" i="19"/>
  <c r="AT510" i="19"/>
  <c r="BH510" i="19" s="1"/>
  <c r="AS510" i="19"/>
  <c r="AR510" i="19"/>
  <c r="AP510" i="19"/>
  <c r="BF510" i="19" s="1"/>
  <c r="AO510" i="19"/>
  <c r="T510" i="19"/>
  <c r="N510" i="19"/>
  <c r="BG509" i="19"/>
  <c r="BB509" i="19"/>
  <c r="AZ509" i="19"/>
  <c r="AW509" i="19"/>
  <c r="AV509" i="19"/>
  <c r="AU509" i="19"/>
  <c r="AS509" i="19"/>
  <c r="AR509" i="19"/>
  <c r="AP509" i="19"/>
  <c r="BF509" i="19" s="1"/>
  <c r="AO509" i="19"/>
  <c r="T509" i="19"/>
  <c r="N509" i="19"/>
  <c r="L509" i="19"/>
  <c r="BG508" i="19"/>
  <c r="BB508" i="19"/>
  <c r="AZ508" i="19"/>
  <c r="AW508" i="19"/>
  <c r="BC508" i="19" s="1"/>
  <c r="AV508" i="19"/>
  <c r="AU508" i="19"/>
  <c r="AS508" i="19"/>
  <c r="AR508" i="19"/>
  <c r="AP508" i="19"/>
  <c r="BF508" i="19" s="1"/>
  <c r="AO508" i="19"/>
  <c r="T508" i="19"/>
  <c r="N508" i="19"/>
  <c r="L508" i="19"/>
  <c r="BG507" i="19"/>
  <c r="BB507" i="19"/>
  <c r="AZ507" i="19"/>
  <c r="BA507" i="19" s="1"/>
  <c r="BE507" i="19" s="1"/>
  <c r="AW507" i="19"/>
  <c r="AV507" i="19"/>
  <c r="L507" i="19" s="1"/>
  <c r="AU507" i="19"/>
  <c r="AT507" i="19"/>
  <c r="BH507" i="19" s="1"/>
  <c r="AS507" i="19"/>
  <c r="AR507" i="19"/>
  <c r="AP507" i="19"/>
  <c r="BF507" i="19" s="1"/>
  <c r="AO507" i="19"/>
  <c r="T507" i="19"/>
  <c r="N507" i="19"/>
  <c r="BG506" i="19"/>
  <c r="BB506" i="19"/>
  <c r="AZ506" i="19"/>
  <c r="AW506" i="19"/>
  <c r="AV506" i="19"/>
  <c r="L506" i="19" s="1"/>
  <c r="AS506" i="19"/>
  <c r="AR506" i="19"/>
  <c r="AP506" i="19"/>
  <c r="BF506" i="19" s="1"/>
  <c r="AO506" i="19"/>
  <c r="T506" i="19"/>
  <c r="N506" i="19"/>
  <c r="BG505" i="19"/>
  <c r="BB505" i="19"/>
  <c r="AZ505" i="19"/>
  <c r="AW505" i="19"/>
  <c r="AV505" i="19"/>
  <c r="AT505" i="19"/>
  <c r="AS505" i="19"/>
  <c r="AR505" i="19"/>
  <c r="AP505" i="19"/>
  <c r="BF505" i="19" s="1"/>
  <c r="AO505" i="19"/>
  <c r="T505" i="19"/>
  <c r="N505" i="19"/>
  <c r="L505" i="19"/>
  <c r="BG504" i="19"/>
  <c r="BB504" i="19"/>
  <c r="AZ504" i="19"/>
  <c r="AW504" i="19"/>
  <c r="BC504" i="19" s="1"/>
  <c r="AV504" i="19"/>
  <c r="AT504" i="19"/>
  <c r="AS504" i="19"/>
  <c r="AR504" i="19"/>
  <c r="AP504" i="19"/>
  <c r="BF504" i="19" s="1"/>
  <c r="AO504" i="19"/>
  <c r="T504" i="19"/>
  <c r="N504" i="19"/>
  <c r="L504" i="19"/>
  <c r="BG503" i="19"/>
  <c r="BB503" i="19"/>
  <c r="AZ503" i="19"/>
  <c r="BA503" i="19" s="1"/>
  <c r="BE503" i="19" s="1"/>
  <c r="AW503" i="19"/>
  <c r="AV503" i="19"/>
  <c r="AT503" i="19"/>
  <c r="AS503" i="19"/>
  <c r="AR503" i="19"/>
  <c r="AP503" i="19"/>
  <c r="BF503" i="19" s="1"/>
  <c r="AO503" i="19"/>
  <c r="T503" i="19"/>
  <c r="N503" i="19"/>
  <c r="L503" i="19"/>
  <c r="BG502" i="19"/>
  <c r="BB502" i="19"/>
  <c r="AZ502" i="19"/>
  <c r="AW502" i="19"/>
  <c r="AV502" i="19"/>
  <c r="L502" i="19" s="1"/>
  <c r="AU502" i="19"/>
  <c r="AT502" i="19"/>
  <c r="AS502" i="19"/>
  <c r="AR502" i="19"/>
  <c r="AP502" i="19"/>
  <c r="BF502" i="19" s="1"/>
  <c r="AO502" i="19"/>
  <c r="T502" i="19"/>
  <c r="N502" i="19"/>
  <c r="BG501" i="19"/>
  <c r="BB501" i="19"/>
  <c r="AZ501" i="19"/>
  <c r="AW501" i="19"/>
  <c r="AV501" i="19"/>
  <c r="L501" i="19" s="1"/>
  <c r="AU501" i="19"/>
  <c r="AT501" i="19"/>
  <c r="AS501" i="19"/>
  <c r="AR501" i="19"/>
  <c r="AP501" i="19"/>
  <c r="BF501" i="19" s="1"/>
  <c r="AO501" i="19"/>
  <c r="T501" i="19"/>
  <c r="N501" i="19"/>
  <c r="BG500" i="19"/>
  <c r="BB500" i="19"/>
  <c r="AZ500" i="19"/>
  <c r="AW500" i="19"/>
  <c r="AV500" i="19"/>
  <c r="AU500" i="19"/>
  <c r="AT500" i="19"/>
  <c r="BH500" i="19" s="1"/>
  <c r="AS500" i="19"/>
  <c r="AR500" i="19"/>
  <c r="AP500" i="19"/>
  <c r="BF500" i="19" s="1"/>
  <c r="AO500" i="19"/>
  <c r="T500" i="19"/>
  <c r="N500" i="19"/>
  <c r="L500" i="19"/>
  <c r="BG499" i="19"/>
  <c r="BH499" i="19" s="1"/>
  <c r="BB499" i="19"/>
  <c r="AZ499" i="19"/>
  <c r="AW499" i="19"/>
  <c r="AV499" i="19"/>
  <c r="AS499" i="19"/>
  <c r="AR499" i="19"/>
  <c r="AP499" i="19"/>
  <c r="BF499" i="19" s="1"/>
  <c r="AO499" i="19"/>
  <c r="T499" i="19"/>
  <c r="N499" i="19"/>
  <c r="L499" i="19"/>
  <c r="BG497" i="19"/>
  <c r="BB497" i="19"/>
  <c r="AZ497" i="19"/>
  <c r="AW497" i="19"/>
  <c r="AV497" i="19"/>
  <c r="AS497" i="19"/>
  <c r="AR497" i="19"/>
  <c r="AP497" i="19"/>
  <c r="BF497" i="19" s="1"/>
  <c r="AO497" i="19"/>
  <c r="T497" i="19"/>
  <c r="N497" i="19"/>
  <c r="L497" i="19"/>
  <c r="BG496" i="19"/>
  <c r="BB496" i="19"/>
  <c r="AZ496" i="19"/>
  <c r="AW496" i="19"/>
  <c r="AV496" i="19"/>
  <c r="L496" i="19" s="1"/>
  <c r="AU496" i="19"/>
  <c r="AT496" i="19"/>
  <c r="AS496" i="19"/>
  <c r="AR496" i="19"/>
  <c r="AP496" i="19"/>
  <c r="BF496" i="19" s="1"/>
  <c r="AO496" i="19"/>
  <c r="T496" i="19"/>
  <c r="N496" i="19"/>
  <c r="BG495" i="19"/>
  <c r="BH495" i="19" s="1"/>
  <c r="BB495" i="19"/>
  <c r="AZ495" i="19"/>
  <c r="AW495" i="19"/>
  <c r="AV495" i="19"/>
  <c r="AU495" i="19"/>
  <c r="AS495" i="19"/>
  <c r="AR495" i="19"/>
  <c r="AP495" i="19"/>
  <c r="BF495" i="19" s="1"/>
  <c r="AO495" i="19"/>
  <c r="T495" i="19"/>
  <c r="N495" i="19"/>
  <c r="L495" i="19"/>
  <c r="BG493" i="19"/>
  <c r="BB493" i="19"/>
  <c r="AZ493" i="19"/>
  <c r="AW493" i="19"/>
  <c r="AV493" i="19"/>
  <c r="L493" i="19" s="1"/>
  <c r="AT493" i="19"/>
  <c r="AS493" i="19"/>
  <c r="AR493" i="19"/>
  <c r="AP493" i="19"/>
  <c r="BF493" i="19" s="1"/>
  <c r="AO493" i="19"/>
  <c r="T493" i="19"/>
  <c r="N493" i="19"/>
  <c r="BG492" i="19"/>
  <c r="BB492" i="19"/>
  <c r="AZ492" i="19"/>
  <c r="AW492" i="19"/>
  <c r="AV492" i="19"/>
  <c r="L492" i="19" s="1"/>
  <c r="AU492" i="19"/>
  <c r="AT492" i="19"/>
  <c r="AS492" i="19"/>
  <c r="AR492" i="19"/>
  <c r="AP492" i="19"/>
  <c r="BF492" i="19" s="1"/>
  <c r="AO492" i="19"/>
  <c r="T492" i="19"/>
  <c r="N492" i="19"/>
  <c r="BG491" i="19"/>
  <c r="BB491" i="19"/>
  <c r="BA491" i="19"/>
  <c r="BE491" i="19" s="1"/>
  <c r="AZ491" i="19"/>
  <c r="AW491" i="19"/>
  <c r="AV491" i="19"/>
  <c r="AU491" i="19"/>
  <c r="AS491" i="19"/>
  <c r="AR491" i="19"/>
  <c r="AP491" i="19"/>
  <c r="BF491" i="19" s="1"/>
  <c r="AO491" i="19"/>
  <c r="T491" i="19"/>
  <c r="N491" i="19"/>
  <c r="L491" i="19"/>
  <c r="BG489" i="19"/>
  <c r="BB489" i="19"/>
  <c r="AZ489" i="19"/>
  <c r="AW489" i="19"/>
  <c r="BC489" i="19" s="1"/>
  <c r="AV489" i="19"/>
  <c r="L489" i="19" s="1"/>
  <c r="AU489" i="19"/>
  <c r="AT489" i="19"/>
  <c r="AS489" i="19"/>
  <c r="AR489" i="19"/>
  <c r="AP489" i="19"/>
  <c r="BF489" i="19" s="1"/>
  <c r="AO489" i="19"/>
  <c r="T489" i="19"/>
  <c r="N489" i="19"/>
  <c r="BG488" i="19"/>
  <c r="BB488" i="19"/>
  <c r="BA488" i="19"/>
  <c r="BE488" i="19" s="1"/>
  <c r="AZ488" i="19"/>
  <c r="AW488" i="19"/>
  <c r="AV488" i="19"/>
  <c r="AU488" i="19"/>
  <c r="AS488" i="19"/>
  <c r="AR488" i="19"/>
  <c r="AP488" i="19"/>
  <c r="BF488" i="19" s="1"/>
  <c r="AO488" i="19"/>
  <c r="T488" i="19"/>
  <c r="N488" i="19"/>
  <c r="L488" i="19"/>
  <c r="BG486" i="19"/>
  <c r="BB486" i="19"/>
  <c r="AZ486" i="19"/>
  <c r="AW486" i="19"/>
  <c r="BC486" i="19" s="1"/>
  <c r="AV486" i="19"/>
  <c r="L486" i="19" s="1"/>
  <c r="AU486" i="19"/>
  <c r="AS486" i="19"/>
  <c r="AR486" i="19"/>
  <c r="AP486" i="19"/>
  <c r="BF486" i="19" s="1"/>
  <c r="AO486" i="19"/>
  <c r="T486" i="19"/>
  <c r="N486" i="19"/>
  <c r="BG485" i="19"/>
  <c r="BB485" i="19"/>
  <c r="AZ485" i="19"/>
  <c r="AW485" i="19"/>
  <c r="AV485" i="19"/>
  <c r="L485" i="19" s="1"/>
  <c r="AT485" i="19"/>
  <c r="BH485" i="19" s="1"/>
  <c r="AS485" i="19"/>
  <c r="AR485" i="19"/>
  <c r="AP485" i="19"/>
  <c r="BF485" i="19" s="1"/>
  <c r="AO485" i="19"/>
  <c r="T485" i="19"/>
  <c r="N485" i="19"/>
  <c r="BG484" i="19"/>
  <c r="BB484" i="19"/>
  <c r="AZ484" i="19"/>
  <c r="BD484" i="19" s="1"/>
  <c r="AW484" i="19"/>
  <c r="AV484" i="19"/>
  <c r="AT484" i="19"/>
  <c r="AS484" i="19"/>
  <c r="AR484" i="19"/>
  <c r="AP484" i="19"/>
  <c r="BF484" i="19" s="1"/>
  <c r="AO484" i="19"/>
  <c r="T484" i="19"/>
  <c r="N484" i="19"/>
  <c r="L484" i="19"/>
  <c r="BG483" i="19"/>
  <c r="BB483" i="19"/>
  <c r="AZ483" i="19"/>
  <c r="AW483" i="19"/>
  <c r="BC483" i="19" s="1"/>
  <c r="AV483" i="19"/>
  <c r="AU483" i="19"/>
  <c r="AS483" i="19"/>
  <c r="AR483" i="19"/>
  <c r="AP483" i="19"/>
  <c r="BF483" i="19" s="1"/>
  <c r="AO483" i="19"/>
  <c r="T483" i="19"/>
  <c r="N483" i="19"/>
  <c r="L483" i="19"/>
  <c r="BG480" i="19"/>
  <c r="BB480" i="19"/>
  <c r="AZ480" i="19"/>
  <c r="AW480" i="19"/>
  <c r="AV480" i="19"/>
  <c r="L480" i="19" s="1"/>
  <c r="AU480" i="19"/>
  <c r="AS480" i="19"/>
  <c r="AR480" i="19"/>
  <c r="AP480" i="19"/>
  <c r="BF480" i="19" s="1"/>
  <c r="AO480" i="19"/>
  <c r="T480" i="19"/>
  <c r="N480" i="19"/>
  <c r="BG479" i="19"/>
  <c r="BB479" i="19"/>
  <c r="AZ479" i="19"/>
  <c r="AW479" i="19"/>
  <c r="AV479" i="19"/>
  <c r="AT479" i="19"/>
  <c r="AS479" i="19"/>
  <c r="AR479" i="19"/>
  <c r="AP479" i="19"/>
  <c r="BF479" i="19" s="1"/>
  <c r="AO479" i="19"/>
  <c r="T479" i="19"/>
  <c r="N479" i="19"/>
  <c r="L479" i="19"/>
  <c r="BG478" i="19"/>
  <c r="BB478" i="19"/>
  <c r="AZ478" i="19"/>
  <c r="AW478" i="19"/>
  <c r="AV478" i="19"/>
  <c r="AT478" i="19"/>
  <c r="AS478" i="19"/>
  <c r="AR478" i="19"/>
  <c r="AP478" i="19"/>
  <c r="BF478" i="19" s="1"/>
  <c r="AO478" i="19"/>
  <c r="T478" i="19"/>
  <c r="N478" i="19"/>
  <c r="L478" i="19"/>
  <c r="BG477" i="19"/>
  <c r="BB477" i="19"/>
  <c r="AZ477" i="19"/>
  <c r="AW477" i="19"/>
  <c r="AV477" i="19"/>
  <c r="L477" i="19" s="1"/>
  <c r="AS477" i="19"/>
  <c r="AR477" i="19"/>
  <c r="AP477" i="19"/>
  <c r="BF477" i="19" s="1"/>
  <c r="AO477" i="19"/>
  <c r="T477" i="19"/>
  <c r="N477" i="19"/>
  <c r="BG476" i="19"/>
  <c r="BB476" i="19"/>
  <c r="AZ476" i="19"/>
  <c r="AW476" i="19"/>
  <c r="AV476" i="19"/>
  <c r="L476" i="19" s="1"/>
  <c r="AT476" i="19"/>
  <c r="AS476" i="19"/>
  <c r="AR476" i="19"/>
  <c r="AP476" i="19"/>
  <c r="BF476" i="19" s="1"/>
  <c r="AO476" i="19"/>
  <c r="T476" i="19"/>
  <c r="N476" i="19"/>
  <c r="BG475" i="19"/>
  <c r="BB475" i="19"/>
  <c r="AZ475" i="19"/>
  <c r="AW475" i="19"/>
  <c r="AV475" i="19"/>
  <c r="L475" i="19" s="1"/>
  <c r="AT475" i="19"/>
  <c r="AS475" i="19"/>
  <c r="AR475" i="19"/>
  <c r="AP475" i="19"/>
  <c r="BF475" i="19" s="1"/>
  <c r="AO475" i="19"/>
  <c r="T475" i="19"/>
  <c r="N475" i="19"/>
  <c r="BG474" i="19"/>
  <c r="BB474" i="19"/>
  <c r="AZ474" i="19"/>
  <c r="BD474" i="19" s="1"/>
  <c r="AW474" i="19"/>
  <c r="AV474" i="19"/>
  <c r="L474" i="19" s="1"/>
  <c r="AS474" i="19"/>
  <c r="AR474" i="19"/>
  <c r="AP474" i="19"/>
  <c r="BF474" i="19" s="1"/>
  <c r="AO474" i="19"/>
  <c r="T474" i="19"/>
  <c r="N474" i="19"/>
  <c r="BG473" i="19"/>
  <c r="BB473" i="19"/>
  <c r="AZ473" i="19"/>
  <c r="AW473" i="19"/>
  <c r="AV473" i="19"/>
  <c r="L473" i="19" s="1"/>
  <c r="AU473" i="19"/>
  <c r="AS473" i="19"/>
  <c r="AR473" i="19"/>
  <c r="AP473" i="19"/>
  <c r="BF473" i="19" s="1"/>
  <c r="AO473" i="19"/>
  <c r="T473" i="19"/>
  <c r="N473" i="19"/>
  <c r="BG472" i="19"/>
  <c r="BB472" i="19"/>
  <c r="AZ472" i="19"/>
  <c r="BA472" i="19" s="1"/>
  <c r="BE472" i="19" s="1"/>
  <c r="AW472" i="19"/>
  <c r="AV472" i="19"/>
  <c r="AU472" i="19"/>
  <c r="AS472" i="19"/>
  <c r="AR472" i="19"/>
  <c r="AP472" i="19"/>
  <c r="BF472" i="19" s="1"/>
  <c r="AO472" i="19"/>
  <c r="T472" i="19"/>
  <c r="N472" i="19"/>
  <c r="L472" i="19"/>
  <c r="BG471" i="19"/>
  <c r="BB471" i="19"/>
  <c r="AZ471" i="19"/>
  <c r="AW471" i="19"/>
  <c r="BC471" i="19" s="1"/>
  <c r="AV471" i="19"/>
  <c r="L471" i="19" s="1"/>
  <c r="AU471" i="19"/>
  <c r="AT471" i="19"/>
  <c r="AS471" i="19"/>
  <c r="AR471" i="19"/>
  <c r="AP471" i="19"/>
  <c r="BF471" i="19" s="1"/>
  <c r="AO471" i="19"/>
  <c r="T471" i="19"/>
  <c r="N471" i="19"/>
  <c r="BG469" i="19"/>
  <c r="BB469" i="19"/>
  <c r="AZ469" i="19"/>
  <c r="AW469" i="19"/>
  <c r="AV469" i="19"/>
  <c r="L469" i="19" s="1"/>
  <c r="AU469" i="19"/>
  <c r="AT469" i="19"/>
  <c r="BH469" i="19" s="1"/>
  <c r="AS469" i="19"/>
  <c r="AR469" i="19"/>
  <c r="AP469" i="19"/>
  <c r="BF469" i="19" s="1"/>
  <c r="AO469" i="19"/>
  <c r="T469" i="19"/>
  <c r="N469" i="19"/>
  <c r="BG468" i="19"/>
  <c r="BB468" i="19"/>
  <c r="AZ468" i="19"/>
  <c r="BD468" i="19" s="1"/>
  <c r="AW468" i="19"/>
  <c r="AV468" i="19"/>
  <c r="AT468" i="19"/>
  <c r="AS468" i="19"/>
  <c r="AR468" i="19"/>
  <c r="AP468" i="19"/>
  <c r="BF468" i="19" s="1"/>
  <c r="AO468" i="19"/>
  <c r="T468" i="19"/>
  <c r="N468" i="19"/>
  <c r="L468" i="19"/>
  <c r="BG467" i="19"/>
  <c r="BB467" i="19"/>
  <c r="AZ467" i="19"/>
  <c r="AW467" i="19"/>
  <c r="BC467" i="19" s="1"/>
  <c r="AV467" i="19"/>
  <c r="L467" i="19" s="1"/>
  <c r="AU467" i="19"/>
  <c r="AS467" i="19"/>
  <c r="AR467" i="19"/>
  <c r="AP467" i="19"/>
  <c r="BF467" i="19" s="1"/>
  <c r="AO467" i="19"/>
  <c r="T467" i="19"/>
  <c r="N467" i="19"/>
  <c r="BG466" i="19"/>
  <c r="BB466" i="19"/>
  <c r="AZ466" i="19"/>
  <c r="AW466" i="19"/>
  <c r="AV466" i="19"/>
  <c r="AU466" i="19"/>
  <c r="AS466" i="19"/>
  <c r="AR466" i="19"/>
  <c r="AP466" i="19"/>
  <c r="BF466" i="19" s="1"/>
  <c r="AO466" i="19"/>
  <c r="T466" i="19"/>
  <c r="N466" i="19"/>
  <c r="L466" i="19"/>
  <c r="BG465" i="19"/>
  <c r="BB465" i="19"/>
  <c r="AZ465" i="19"/>
  <c r="AW465" i="19"/>
  <c r="AV465" i="19"/>
  <c r="AS465" i="19"/>
  <c r="AR465" i="19"/>
  <c r="AP465" i="19"/>
  <c r="BF465" i="19" s="1"/>
  <c r="AO465" i="19"/>
  <c r="T465" i="19"/>
  <c r="N465" i="19"/>
  <c r="L465" i="19"/>
  <c r="BG464" i="19"/>
  <c r="BB464" i="19"/>
  <c r="AZ464" i="19"/>
  <c r="AW464" i="19"/>
  <c r="AV464" i="19"/>
  <c r="L464" i="19" s="1"/>
  <c r="AU464" i="19"/>
  <c r="AT464" i="19"/>
  <c r="AS464" i="19"/>
  <c r="AR464" i="19"/>
  <c r="AP464" i="19"/>
  <c r="BF464" i="19" s="1"/>
  <c r="AO464" i="19"/>
  <c r="T464" i="19"/>
  <c r="N464" i="19"/>
  <c r="BG463" i="19"/>
  <c r="BB463" i="19"/>
  <c r="AZ463" i="19"/>
  <c r="AW463" i="19"/>
  <c r="AV463" i="19"/>
  <c r="L463" i="19" s="1"/>
  <c r="AU463" i="19"/>
  <c r="AT463" i="19"/>
  <c r="AS463" i="19"/>
  <c r="AR463" i="19"/>
  <c r="AP463" i="19"/>
  <c r="BF463" i="19" s="1"/>
  <c r="AO463" i="19"/>
  <c r="T463" i="19"/>
  <c r="N463" i="19"/>
  <c r="BG462" i="19"/>
  <c r="BB462" i="19"/>
  <c r="AZ462" i="19"/>
  <c r="BA462" i="19" s="1"/>
  <c r="BE462" i="19" s="1"/>
  <c r="AW462" i="19"/>
  <c r="AV462" i="19"/>
  <c r="L462" i="19" s="1"/>
  <c r="AS462" i="19"/>
  <c r="AR462" i="19"/>
  <c r="AP462" i="19"/>
  <c r="BF462" i="19" s="1"/>
  <c r="AO462" i="19"/>
  <c r="T462" i="19"/>
  <c r="N462" i="19"/>
  <c r="BG461" i="19"/>
  <c r="BB461" i="19"/>
  <c r="AZ461" i="19"/>
  <c r="AW461" i="19"/>
  <c r="AV461" i="19"/>
  <c r="L461" i="19" s="1"/>
  <c r="AU461" i="19"/>
  <c r="AT461" i="19"/>
  <c r="AS461" i="19"/>
  <c r="AR461" i="19"/>
  <c r="AP461" i="19"/>
  <c r="BF461" i="19" s="1"/>
  <c r="AO461" i="19"/>
  <c r="T461" i="19"/>
  <c r="N461" i="19"/>
  <c r="BG460" i="19"/>
  <c r="BB460" i="19"/>
  <c r="AZ460" i="19"/>
  <c r="AW460" i="19"/>
  <c r="AV460" i="19"/>
  <c r="AU460" i="19"/>
  <c r="AS460" i="19"/>
  <c r="AR460" i="19"/>
  <c r="AP460" i="19"/>
  <c r="BF460" i="19" s="1"/>
  <c r="AO460" i="19"/>
  <c r="T460" i="19"/>
  <c r="N460" i="19"/>
  <c r="L460" i="19"/>
  <c r="BG459" i="19"/>
  <c r="BB459" i="19"/>
  <c r="AZ459" i="19"/>
  <c r="BA459" i="19" s="1"/>
  <c r="BE459" i="19" s="1"/>
  <c r="AW459" i="19"/>
  <c r="AV459" i="19"/>
  <c r="AU459" i="19"/>
  <c r="AS459" i="19"/>
  <c r="AR459" i="19"/>
  <c r="AP459" i="19"/>
  <c r="BF459" i="19" s="1"/>
  <c r="AO459" i="19"/>
  <c r="T459" i="19"/>
  <c r="N459" i="19"/>
  <c r="L459" i="19"/>
  <c r="BG458" i="19"/>
  <c r="BB458" i="19"/>
  <c r="AZ458" i="19"/>
  <c r="AW458" i="19"/>
  <c r="AV458" i="19"/>
  <c r="AS458" i="19"/>
  <c r="AR458" i="19"/>
  <c r="AP458" i="19"/>
  <c r="BF458" i="19" s="1"/>
  <c r="AO458" i="19"/>
  <c r="T458" i="19"/>
  <c r="N458" i="19"/>
  <c r="L458" i="19"/>
  <c r="BG457" i="19"/>
  <c r="BB457" i="19"/>
  <c r="AZ457" i="19"/>
  <c r="AW457" i="19"/>
  <c r="AV457" i="19"/>
  <c r="L457" i="19" s="1"/>
  <c r="AU457" i="19"/>
  <c r="AT457" i="19"/>
  <c r="AS457" i="19"/>
  <c r="AR457" i="19"/>
  <c r="AP457" i="19"/>
  <c r="BF457" i="19" s="1"/>
  <c r="AO457" i="19"/>
  <c r="T457" i="19"/>
  <c r="N457" i="19"/>
  <c r="BG456" i="19"/>
  <c r="BB456" i="19"/>
  <c r="AZ456" i="19"/>
  <c r="AW456" i="19"/>
  <c r="AV456" i="19"/>
  <c r="AT456" i="19"/>
  <c r="AS456" i="19"/>
  <c r="AR456" i="19"/>
  <c r="AP456" i="19"/>
  <c r="BF456" i="19" s="1"/>
  <c r="AO456" i="19"/>
  <c r="T456" i="19"/>
  <c r="N456" i="19"/>
  <c r="L456" i="19"/>
  <c r="BG455" i="19"/>
  <c r="BB455" i="19"/>
  <c r="AZ455" i="19"/>
  <c r="AW455" i="19"/>
  <c r="AV455" i="19"/>
  <c r="L455" i="19" s="1"/>
  <c r="AU455" i="19"/>
  <c r="AT455" i="19"/>
  <c r="AS455" i="19"/>
  <c r="AR455" i="19"/>
  <c r="AP455" i="19"/>
  <c r="BF455" i="19" s="1"/>
  <c r="AO455" i="19"/>
  <c r="T455" i="19"/>
  <c r="N455" i="19"/>
  <c r="BG454" i="19"/>
  <c r="BB454" i="19"/>
  <c r="AZ454" i="19"/>
  <c r="AW454" i="19"/>
  <c r="AV454" i="19"/>
  <c r="AT454" i="19"/>
  <c r="AS454" i="19"/>
  <c r="AR454" i="19"/>
  <c r="AP454" i="19"/>
  <c r="BF454" i="19" s="1"/>
  <c r="AO454" i="19"/>
  <c r="T454" i="19"/>
  <c r="N454" i="19"/>
  <c r="L454" i="19"/>
  <c r="BG451" i="19"/>
  <c r="BB451" i="19"/>
  <c r="AZ451" i="19"/>
  <c r="AW451" i="19"/>
  <c r="AV451" i="19"/>
  <c r="L451" i="19" s="1"/>
  <c r="AU451" i="19"/>
  <c r="AT451" i="19"/>
  <c r="AS451" i="19"/>
  <c r="AR451" i="19"/>
  <c r="AP451" i="19"/>
  <c r="BF451" i="19" s="1"/>
  <c r="AO451" i="19"/>
  <c r="T451" i="19"/>
  <c r="N451" i="19"/>
  <c r="BG450" i="19"/>
  <c r="BB450" i="19"/>
  <c r="AZ450" i="19"/>
  <c r="AW450" i="19"/>
  <c r="AV450" i="19"/>
  <c r="AS450" i="19"/>
  <c r="AR450" i="19"/>
  <c r="AP450" i="19"/>
  <c r="BF450" i="19" s="1"/>
  <c r="AO450" i="19"/>
  <c r="T450" i="19"/>
  <c r="N450" i="19"/>
  <c r="L450" i="19"/>
  <c r="BG449" i="19"/>
  <c r="BB449" i="19"/>
  <c r="AZ449" i="19"/>
  <c r="AW449" i="19"/>
  <c r="AV449" i="19"/>
  <c r="L449" i="19" s="1"/>
  <c r="AU449" i="19"/>
  <c r="AT449" i="19"/>
  <c r="AS449" i="19"/>
  <c r="AR449" i="19"/>
  <c r="AP449" i="19"/>
  <c r="BF449" i="19" s="1"/>
  <c r="AO449" i="19"/>
  <c r="T449" i="19"/>
  <c r="N449" i="19"/>
  <c r="BG448" i="19"/>
  <c r="BB448" i="19"/>
  <c r="AZ448" i="19"/>
  <c r="BA448" i="19" s="1"/>
  <c r="BE448" i="19" s="1"/>
  <c r="AW448" i="19"/>
  <c r="AV448" i="19"/>
  <c r="L448" i="19" s="1"/>
  <c r="AU448" i="19"/>
  <c r="AT448" i="19"/>
  <c r="AS448" i="19"/>
  <c r="AR448" i="19"/>
  <c r="AP448" i="19"/>
  <c r="BF448" i="19" s="1"/>
  <c r="AO448" i="19"/>
  <c r="T448" i="19"/>
  <c r="N448" i="19"/>
  <c r="BG447" i="19"/>
  <c r="BB447" i="19"/>
  <c r="AZ447" i="19"/>
  <c r="AW447" i="19"/>
  <c r="AV447" i="19"/>
  <c r="L447" i="19" s="1"/>
  <c r="AU447" i="19"/>
  <c r="AT447" i="19"/>
  <c r="AS447" i="19"/>
  <c r="AR447" i="19"/>
  <c r="AP447" i="19"/>
  <c r="BF447" i="19" s="1"/>
  <c r="AO447" i="19"/>
  <c r="T447" i="19"/>
  <c r="N447" i="19"/>
  <c r="BG446" i="19"/>
  <c r="BB446" i="19"/>
  <c r="AZ446" i="19"/>
  <c r="AW446" i="19"/>
  <c r="AV446" i="19"/>
  <c r="L446" i="19" s="1"/>
  <c r="AU446" i="19"/>
  <c r="AS446" i="19"/>
  <c r="AR446" i="19"/>
  <c r="AP446" i="19"/>
  <c r="BF446" i="19" s="1"/>
  <c r="AO446" i="19"/>
  <c r="T446" i="19"/>
  <c r="N446" i="19"/>
  <c r="BG445" i="19"/>
  <c r="BB445" i="19"/>
  <c r="AZ445" i="19"/>
  <c r="AW445" i="19"/>
  <c r="AV445" i="19"/>
  <c r="L445" i="19" s="1"/>
  <c r="AT445" i="19"/>
  <c r="AS445" i="19"/>
  <c r="AR445" i="19"/>
  <c r="AP445" i="19"/>
  <c r="BF445" i="19" s="1"/>
  <c r="AO445" i="19"/>
  <c r="T445" i="19"/>
  <c r="N445" i="19"/>
  <c r="BG444" i="19"/>
  <c r="BB444" i="19"/>
  <c r="AZ444" i="19"/>
  <c r="AW444" i="19"/>
  <c r="AV444" i="19"/>
  <c r="L444" i="19" s="1"/>
  <c r="AU444" i="19"/>
  <c r="AT444" i="19"/>
  <c r="AS444" i="19"/>
  <c r="AR444" i="19"/>
  <c r="AP444" i="19"/>
  <c r="BF444" i="19" s="1"/>
  <c r="AO444" i="19"/>
  <c r="T444" i="19"/>
  <c r="N444" i="19"/>
  <c r="BG443" i="19"/>
  <c r="BB443" i="19"/>
  <c r="AZ443" i="19"/>
  <c r="BC443" i="19" s="1"/>
  <c r="AW443" i="19"/>
  <c r="AV443" i="19"/>
  <c r="L443" i="19" s="1"/>
  <c r="AU443" i="19"/>
  <c r="AT443" i="19"/>
  <c r="AS443" i="19"/>
  <c r="AR443" i="19"/>
  <c r="AP443" i="19"/>
  <c r="BF443" i="19" s="1"/>
  <c r="AO443" i="19"/>
  <c r="T443" i="19"/>
  <c r="N443" i="19"/>
  <c r="BG442" i="19"/>
  <c r="BB442" i="19"/>
  <c r="AZ442" i="19"/>
  <c r="AW442" i="19"/>
  <c r="AV442" i="19"/>
  <c r="L442" i="19" s="1"/>
  <c r="AU442" i="19"/>
  <c r="AS442" i="19"/>
  <c r="AR442" i="19"/>
  <c r="AP442" i="19"/>
  <c r="BF442" i="19" s="1"/>
  <c r="AO442" i="19"/>
  <c r="T442" i="19"/>
  <c r="N442" i="19"/>
  <c r="BG440" i="19"/>
  <c r="BB440" i="19"/>
  <c r="AZ440" i="19"/>
  <c r="AW440" i="19"/>
  <c r="AV440" i="19"/>
  <c r="L440" i="19" s="1"/>
  <c r="AT440" i="19"/>
  <c r="AS440" i="19"/>
  <c r="AR440" i="19"/>
  <c r="AP440" i="19"/>
  <c r="BF440" i="19" s="1"/>
  <c r="AO440" i="19"/>
  <c r="T440" i="19"/>
  <c r="N440" i="19"/>
  <c r="BG438" i="19"/>
  <c r="BB438" i="19"/>
  <c r="AZ438" i="19"/>
  <c r="AW438" i="19"/>
  <c r="AV438" i="19"/>
  <c r="L438" i="19" s="1"/>
  <c r="AU438" i="19"/>
  <c r="AT438" i="19"/>
  <c r="AS438" i="19"/>
  <c r="AR438" i="19"/>
  <c r="AP438" i="19"/>
  <c r="BF438" i="19" s="1"/>
  <c r="AO438" i="19"/>
  <c r="T438" i="19"/>
  <c r="N438" i="19"/>
  <c r="BG436" i="19"/>
  <c r="BB436" i="19"/>
  <c r="AZ436" i="19"/>
  <c r="AW436" i="19"/>
  <c r="AV436" i="19"/>
  <c r="L436" i="19" s="1"/>
  <c r="AU436" i="19"/>
  <c r="AS436" i="19"/>
  <c r="AR436" i="19"/>
  <c r="AP436" i="19"/>
  <c r="BF436" i="19" s="1"/>
  <c r="AO436" i="19"/>
  <c r="T436" i="19"/>
  <c r="N436" i="19"/>
  <c r="BG435" i="19"/>
  <c r="BB435" i="19"/>
  <c r="AZ435" i="19"/>
  <c r="BC435" i="19" s="1"/>
  <c r="AW435" i="19"/>
  <c r="AV435" i="19"/>
  <c r="L435" i="19" s="1"/>
  <c r="AS435" i="19"/>
  <c r="AR435" i="19"/>
  <c r="AP435" i="19"/>
  <c r="BF435" i="19" s="1"/>
  <c r="AO435" i="19"/>
  <c r="T435" i="19"/>
  <c r="N435" i="19"/>
  <c r="BG431" i="19"/>
  <c r="BB431" i="19"/>
  <c r="AZ431" i="19"/>
  <c r="BD431" i="19" s="1"/>
  <c r="AW431" i="19"/>
  <c r="AV431" i="19"/>
  <c r="L431" i="19" s="1"/>
  <c r="AU431" i="19"/>
  <c r="AS431" i="19"/>
  <c r="AR431" i="19"/>
  <c r="AP431" i="19"/>
  <c r="BF431" i="19" s="1"/>
  <c r="AO431" i="19"/>
  <c r="T431" i="19"/>
  <c r="N431" i="19"/>
  <c r="BG429" i="19"/>
  <c r="BB429" i="19"/>
  <c r="AZ429" i="19"/>
  <c r="AW429" i="19"/>
  <c r="AV429" i="19"/>
  <c r="AS429" i="19"/>
  <c r="AR429" i="19"/>
  <c r="AP429" i="19"/>
  <c r="BF429" i="19" s="1"/>
  <c r="AO429" i="19"/>
  <c r="T429" i="19"/>
  <c r="N429" i="19"/>
  <c r="L429" i="19"/>
  <c r="BG428" i="19"/>
  <c r="BB428" i="19"/>
  <c r="AZ428" i="19"/>
  <c r="AW428" i="19"/>
  <c r="AV428" i="19"/>
  <c r="L428" i="19" s="1"/>
  <c r="AT428" i="19"/>
  <c r="AS428" i="19"/>
  <c r="AR428" i="19"/>
  <c r="AP428" i="19"/>
  <c r="BF428" i="19" s="1"/>
  <c r="AO428" i="19"/>
  <c r="T428" i="19"/>
  <c r="N428" i="19"/>
  <c r="BG426" i="19"/>
  <c r="BB426" i="19"/>
  <c r="AZ426" i="19"/>
  <c r="BA426" i="19" s="1"/>
  <c r="BE426" i="19" s="1"/>
  <c r="AW426" i="19"/>
  <c r="AV426" i="19"/>
  <c r="AT426" i="19"/>
  <c r="BH426" i="19" s="1"/>
  <c r="AS426" i="19"/>
  <c r="AR426" i="19"/>
  <c r="AP426" i="19"/>
  <c r="BF426" i="19" s="1"/>
  <c r="AO426" i="19"/>
  <c r="T426" i="19"/>
  <c r="N426" i="19"/>
  <c r="L426" i="19"/>
  <c r="BG424" i="19"/>
  <c r="BB424" i="19"/>
  <c r="AZ424" i="19"/>
  <c r="AW424" i="19"/>
  <c r="AV424" i="19"/>
  <c r="AT424" i="19"/>
  <c r="AS424" i="19"/>
  <c r="AR424" i="19"/>
  <c r="AP424" i="19"/>
  <c r="BF424" i="19" s="1"/>
  <c r="AO424" i="19"/>
  <c r="T424" i="19"/>
  <c r="N424" i="19"/>
  <c r="L424" i="19"/>
  <c r="BG423" i="19"/>
  <c r="BB423" i="19"/>
  <c r="AZ423" i="19"/>
  <c r="AW423" i="19"/>
  <c r="BA423" i="19" s="1"/>
  <c r="BE423" i="19" s="1"/>
  <c r="AV423" i="19"/>
  <c r="L423" i="19" s="1"/>
  <c r="AT423" i="19"/>
  <c r="AS423" i="19"/>
  <c r="AR423" i="19"/>
  <c r="AP423" i="19"/>
  <c r="BF423" i="19" s="1"/>
  <c r="AO423" i="19"/>
  <c r="T423" i="19"/>
  <c r="N423" i="19"/>
  <c r="BG422" i="19"/>
  <c r="BB422" i="19"/>
  <c r="AZ422" i="19"/>
  <c r="AW422" i="19"/>
  <c r="AV422" i="19"/>
  <c r="L422" i="19" s="1"/>
  <c r="AT422" i="19"/>
  <c r="BH422" i="19" s="1"/>
  <c r="AS422" i="19"/>
  <c r="AR422" i="19"/>
  <c r="AP422" i="19"/>
  <c r="BF422" i="19" s="1"/>
  <c r="AO422" i="19"/>
  <c r="T422" i="19"/>
  <c r="N422" i="19"/>
  <c r="BG421" i="19"/>
  <c r="BB421" i="19"/>
  <c r="AZ421" i="19"/>
  <c r="AW421" i="19"/>
  <c r="AV421" i="19"/>
  <c r="L421" i="19" s="1"/>
  <c r="AU421" i="19"/>
  <c r="AT421" i="19"/>
  <c r="AS421" i="19"/>
  <c r="AR421" i="19"/>
  <c r="AP421" i="19"/>
  <c r="BF421" i="19" s="1"/>
  <c r="AO421" i="19"/>
  <c r="T421" i="19"/>
  <c r="N421" i="19"/>
  <c r="BG420" i="19"/>
  <c r="BB420" i="19"/>
  <c r="AZ420" i="19"/>
  <c r="BA420" i="19" s="1"/>
  <c r="BE420" i="19" s="1"/>
  <c r="AW420" i="19"/>
  <c r="BC420" i="19" s="1"/>
  <c r="AV420" i="19"/>
  <c r="AU420" i="19"/>
  <c r="AS420" i="19"/>
  <c r="AR420" i="19"/>
  <c r="AP420" i="19"/>
  <c r="BF420" i="19" s="1"/>
  <c r="AO420" i="19"/>
  <c r="T420" i="19"/>
  <c r="N420" i="19"/>
  <c r="L420" i="19"/>
  <c r="BG419" i="19"/>
  <c r="BB419" i="19"/>
  <c r="AZ419" i="19"/>
  <c r="AW419" i="19"/>
  <c r="BA419" i="19" s="1"/>
  <c r="BE419" i="19" s="1"/>
  <c r="AV419" i="19"/>
  <c r="AT419" i="19"/>
  <c r="AS419" i="19"/>
  <c r="AR419" i="19"/>
  <c r="AP419" i="19"/>
  <c r="BF419" i="19" s="1"/>
  <c r="AO419" i="19"/>
  <c r="T419" i="19"/>
  <c r="N419" i="19"/>
  <c r="L419" i="19"/>
  <c r="BG418" i="19"/>
  <c r="BB418" i="19"/>
  <c r="AZ418" i="19"/>
  <c r="AW418" i="19"/>
  <c r="AV418" i="19"/>
  <c r="L418" i="19" s="1"/>
  <c r="AU418" i="19"/>
  <c r="AS418" i="19"/>
  <c r="AR418" i="19"/>
  <c r="AP418" i="19"/>
  <c r="BF418" i="19" s="1"/>
  <c r="AO418" i="19"/>
  <c r="T418" i="19"/>
  <c r="N418" i="19"/>
  <c r="BG417" i="19"/>
  <c r="BB417" i="19"/>
  <c r="AZ417" i="19"/>
  <c r="BD417" i="19" s="1"/>
  <c r="AW417" i="19"/>
  <c r="AV417" i="19"/>
  <c r="L417" i="19" s="1"/>
  <c r="AS417" i="19"/>
  <c r="AR417" i="19"/>
  <c r="AP417" i="19"/>
  <c r="BF417" i="19" s="1"/>
  <c r="AO417" i="19"/>
  <c r="T417" i="19"/>
  <c r="N417" i="19"/>
  <c r="BG416" i="19"/>
  <c r="BB416" i="19"/>
  <c r="AZ416" i="19"/>
  <c r="AW416" i="19"/>
  <c r="BC416" i="19" s="1"/>
  <c r="AV416" i="19"/>
  <c r="AS416" i="19"/>
  <c r="AR416" i="19"/>
  <c r="AP416" i="19"/>
  <c r="BF416" i="19" s="1"/>
  <c r="AO416" i="19"/>
  <c r="T416" i="19"/>
  <c r="N416" i="19"/>
  <c r="L416" i="19"/>
  <c r="BG415" i="19"/>
  <c r="BB415" i="19"/>
  <c r="AZ415" i="19"/>
  <c r="AW415" i="19"/>
  <c r="BA415" i="19" s="1"/>
  <c r="BE415" i="19" s="1"/>
  <c r="AV415" i="19"/>
  <c r="AU415" i="19"/>
  <c r="AT415" i="19"/>
  <c r="AS415" i="19"/>
  <c r="AR415" i="19"/>
  <c r="AP415" i="19"/>
  <c r="BF415" i="19" s="1"/>
  <c r="AO415" i="19"/>
  <c r="T415" i="19"/>
  <c r="N415" i="19"/>
  <c r="L415" i="19"/>
  <c r="BG414" i="19"/>
  <c r="BB414" i="19"/>
  <c r="AZ414" i="19"/>
  <c r="AW414" i="19"/>
  <c r="AV414" i="19"/>
  <c r="L414" i="19" s="1"/>
  <c r="AU414" i="19"/>
  <c r="AS414" i="19"/>
  <c r="AR414" i="19"/>
  <c r="AP414" i="19"/>
  <c r="BF414" i="19" s="1"/>
  <c r="AO414" i="19"/>
  <c r="T414" i="19"/>
  <c r="N414" i="19"/>
  <c r="BG413" i="19"/>
  <c r="BB413" i="19"/>
  <c r="AZ413" i="19"/>
  <c r="AW413" i="19"/>
  <c r="AV413" i="19"/>
  <c r="L413" i="19" s="1"/>
  <c r="AU413" i="19"/>
  <c r="AS413" i="19"/>
  <c r="AR413" i="19"/>
  <c r="AP413" i="19"/>
  <c r="BF413" i="19" s="1"/>
  <c r="AO413" i="19"/>
  <c r="T413" i="19"/>
  <c r="N413" i="19"/>
  <c r="BG412" i="19"/>
  <c r="BB412" i="19"/>
  <c r="AZ412" i="19"/>
  <c r="BA412" i="19" s="1"/>
  <c r="BE412" i="19" s="1"/>
  <c r="AW412" i="19"/>
  <c r="AV412" i="19"/>
  <c r="AT412" i="19"/>
  <c r="BH412" i="19" s="1"/>
  <c r="AS412" i="19"/>
  <c r="AR412" i="19"/>
  <c r="AP412" i="19"/>
  <c r="BF412" i="19" s="1"/>
  <c r="AO412" i="19"/>
  <c r="T412" i="19"/>
  <c r="N412" i="19"/>
  <c r="L412" i="19"/>
  <c r="BG411" i="19"/>
  <c r="BB411" i="19"/>
  <c r="AZ411" i="19"/>
  <c r="AW411" i="19"/>
  <c r="BA411" i="19" s="1"/>
  <c r="BE411" i="19" s="1"/>
  <c r="AV411" i="19"/>
  <c r="L411" i="19" s="1"/>
  <c r="AS411" i="19"/>
  <c r="AR411" i="19"/>
  <c r="AP411" i="19"/>
  <c r="BF411" i="19" s="1"/>
  <c r="AO411" i="19"/>
  <c r="T411" i="19"/>
  <c r="N411" i="19"/>
  <c r="BG410" i="19"/>
  <c r="BB410" i="19"/>
  <c r="AZ410" i="19"/>
  <c r="BD410" i="19" s="1"/>
  <c r="AW410" i="19"/>
  <c r="AV410" i="19"/>
  <c r="AU410" i="19"/>
  <c r="AS410" i="19"/>
  <c r="AR410" i="19"/>
  <c r="AP410" i="19"/>
  <c r="BF410" i="19" s="1"/>
  <c r="AO410" i="19"/>
  <c r="T410" i="19"/>
  <c r="N410" i="19"/>
  <c r="L410" i="19"/>
  <c r="BG409" i="19"/>
  <c r="BB409" i="19"/>
  <c r="AZ409" i="19"/>
  <c r="AW409" i="19"/>
  <c r="AV409" i="19"/>
  <c r="L409" i="19" s="1"/>
  <c r="AU409" i="19"/>
  <c r="AS409" i="19"/>
  <c r="AR409" i="19"/>
  <c r="AP409" i="19"/>
  <c r="BF409" i="19" s="1"/>
  <c r="AO409" i="19"/>
  <c r="T409" i="19"/>
  <c r="N409" i="19"/>
  <c r="BG408" i="19"/>
  <c r="BB408" i="19"/>
  <c r="AZ408" i="19"/>
  <c r="AW408" i="19"/>
  <c r="AV408" i="19"/>
  <c r="AS408" i="19"/>
  <c r="AR408" i="19"/>
  <c r="AP408" i="19"/>
  <c r="BF408" i="19" s="1"/>
  <c r="AO408" i="19"/>
  <c r="T408" i="19"/>
  <c r="N408" i="19"/>
  <c r="L408" i="19"/>
  <c r="BG407" i="19"/>
  <c r="BB407" i="19"/>
  <c r="AZ407" i="19"/>
  <c r="AW407" i="19"/>
  <c r="AV407" i="19"/>
  <c r="L407" i="19" s="1"/>
  <c r="AU407" i="19"/>
  <c r="AT407" i="19"/>
  <c r="BH407" i="19" s="1"/>
  <c r="AS407" i="19"/>
  <c r="AR407" i="19"/>
  <c r="AP407" i="19"/>
  <c r="BF407" i="19" s="1"/>
  <c r="AO407" i="19"/>
  <c r="T407" i="19"/>
  <c r="N407" i="19"/>
  <c r="BG406" i="19"/>
  <c r="BB406" i="19"/>
  <c r="AZ406" i="19"/>
  <c r="BD406" i="19" s="1"/>
  <c r="AW406" i="19"/>
  <c r="AV406" i="19"/>
  <c r="L406" i="19" s="1"/>
  <c r="AU406" i="19"/>
  <c r="AT406" i="19"/>
  <c r="AS406" i="19"/>
  <c r="AR406" i="19"/>
  <c r="AP406" i="19"/>
  <c r="BF406" i="19" s="1"/>
  <c r="AO406" i="19"/>
  <c r="T406" i="19"/>
  <c r="N406" i="19"/>
  <c r="BG405" i="19"/>
  <c r="BB405" i="19"/>
  <c r="AZ405" i="19"/>
  <c r="AW405" i="19"/>
  <c r="BC405" i="19" s="1"/>
  <c r="AV405" i="19"/>
  <c r="AU405" i="19"/>
  <c r="AT405" i="19"/>
  <c r="AS405" i="19"/>
  <c r="AR405" i="19"/>
  <c r="AP405" i="19"/>
  <c r="BF405" i="19" s="1"/>
  <c r="AO405" i="19"/>
  <c r="T405" i="19"/>
  <c r="N405" i="19"/>
  <c r="L405" i="19"/>
  <c r="BG404" i="19"/>
  <c r="BB404" i="19"/>
  <c r="AZ404" i="19"/>
  <c r="AW404" i="19"/>
  <c r="BA404" i="19" s="1"/>
  <c r="BE404" i="19" s="1"/>
  <c r="AV404" i="19"/>
  <c r="AS404" i="19"/>
  <c r="AR404" i="19"/>
  <c r="AP404" i="19"/>
  <c r="BF404" i="19" s="1"/>
  <c r="AO404" i="19"/>
  <c r="T404" i="19"/>
  <c r="N404" i="19"/>
  <c r="L404" i="19"/>
  <c r="BG403" i="19"/>
  <c r="BB403" i="19"/>
  <c r="AZ403" i="19"/>
  <c r="AW403" i="19"/>
  <c r="AV403" i="19"/>
  <c r="L403" i="19" s="1"/>
  <c r="AS403" i="19"/>
  <c r="AR403" i="19"/>
  <c r="AP403" i="19"/>
  <c r="BF403" i="19" s="1"/>
  <c r="AO403" i="19"/>
  <c r="T403" i="19"/>
  <c r="N403" i="19"/>
  <c r="BG402" i="19"/>
  <c r="BB402" i="19"/>
  <c r="BA402" i="19"/>
  <c r="BE402" i="19" s="1"/>
  <c r="AZ402" i="19"/>
  <c r="AW402" i="19"/>
  <c r="BC402" i="19" s="1"/>
  <c r="AV402" i="19"/>
  <c r="AT402" i="19"/>
  <c r="BH402" i="19" s="1"/>
  <c r="AS402" i="19"/>
  <c r="AR402" i="19"/>
  <c r="AP402" i="19"/>
  <c r="BF402" i="19" s="1"/>
  <c r="AO402" i="19"/>
  <c r="T402" i="19"/>
  <c r="N402" i="19"/>
  <c r="L402" i="19"/>
  <c r="BG401" i="19"/>
  <c r="BB401" i="19"/>
  <c r="AZ401" i="19"/>
  <c r="AW401" i="19"/>
  <c r="AV401" i="19"/>
  <c r="AT401" i="19"/>
  <c r="AS401" i="19"/>
  <c r="AR401" i="19"/>
  <c r="AP401" i="19"/>
  <c r="BF401" i="19" s="1"/>
  <c r="AO401" i="19"/>
  <c r="T401" i="19"/>
  <c r="N401" i="19"/>
  <c r="L401" i="19"/>
  <c r="BG400" i="19"/>
  <c r="BB400" i="19"/>
  <c r="AZ400" i="19"/>
  <c r="AW400" i="19"/>
  <c r="BA400" i="19" s="1"/>
  <c r="BE400" i="19" s="1"/>
  <c r="AV400" i="19"/>
  <c r="AU400" i="19"/>
  <c r="AS400" i="19"/>
  <c r="AR400" i="19"/>
  <c r="AP400" i="19"/>
  <c r="BF400" i="19" s="1"/>
  <c r="AO400" i="19"/>
  <c r="T400" i="19"/>
  <c r="N400" i="19"/>
  <c r="L400" i="19"/>
  <c r="BG399" i="19"/>
  <c r="BB399" i="19"/>
  <c r="AZ399" i="19"/>
  <c r="BC399" i="19" s="1"/>
  <c r="AW399" i="19"/>
  <c r="AV399" i="19"/>
  <c r="L399" i="19" s="1"/>
  <c r="AU399" i="19"/>
  <c r="AT399" i="19"/>
  <c r="BH399" i="19" s="1"/>
  <c r="AS399" i="19"/>
  <c r="AR399" i="19"/>
  <c r="AP399" i="19"/>
  <c r="BF399" i="19" s="1"/>
  <c r="AO399" i="19"/>
  <c r="T399" i="19"/>
  <c r="N399" i="19"/>
  <c r="BG398" i="19"/>
  <c r="BB398" i="19"/>
  <c r="AZ398" i="19"/>
  <c r="AW398" i="19"/>
  <c r="AV398" i="19"/>
  <c r="L398" i="19" s="1"/>
  <c r="AU398" i="19"/>
  <c r="AT398" i="19"/>
  <c r="AS398" i="19"/>
  <c r="AR398" i="19"/>
  <c r="AP398" i="19"/>
  <c r="BF398" i="19" s="1"/>
  <c r="AO398" i="19"/>
  <c r="T398" i="19"/>
  <c r="N398" i="19"/>
  <c r="BG397" i="19"/>
  <c r="BB397" i="19"/>
  <c r="AZ397" i="19"/>
  <c r="AW397" i="19"/>
  <c r="AV397" i="19"/>
  <c r="L397" i="19" s="1"/>
  <c r="AU397" i="19"/>
  <c r="AT397" i="19"/>
  <c r="AS397" i="19"/>
  <c r="AR397" i="19"/>
  <c r="AP397" i="19"/>
  <c r="BF397" i="19" s="1"/>
  <c r="AO397" i="19"/>
  <c r="T397" i="19"/>
  <c r="N397" i="19"/>
  <c r="BG396" i="19"/>
  <c r="BB396" i="19"/>
  <c r="AZ396" i="19"/>
  <c r="AW396" i="19"/>
  <c r="AV396" i="19"/>
  <c r="L396" i="19" s="1"/>
  <c r="AU396" i="19"/>
  <c r="AT396" i="19"/>
  <c r="AS396" i="19"/>
  <c r="AR396" i="19"/>
  <c r="AP396" i="19"/>
  <c r="BF396" i="19" s="1"/>
  <c r="AO396" i="19"/>
  <c r="T396" i="19"/>
  <c r="N396" i="19"/>
  <c r="BG395" i="19"/>
  <c r="BB395" i="19"/>
  <c r="AZ395" i="19"/>
  <c r="AW395" i="19"/>
  <c r="AV395" i="19"/>
  <c r="AU395" i="19"/>
  <c r="AT395" i="19"/>
  <c r="AS395" i="19"/>
  <c r="AR395" i="19"/>
  <c r="AP395" i="19"/>
  <c r="BF395" i="19" s="1"/>
  <c r="AO395" i="19"/>
  <c r="T395" i="19"/>
  <c r="N395" i="19"/>
  <c r="L395" i="19"/>
  <c r="BG394" i="19"/>
  <c r="BB394" i="19"/>
  <c r="AZ394" i="19"/>
  <c r="AW394" i="19"/>
  <c r="BA394" i="19" s="1"/>
  <c r="BE394" i="19" s="1"/>
  <c r="AV394" i="19"/>
  <c r="AU394" i="19"/>
  <c r="AS394" i="19"/>
  <c r="AR394" i="19"/>
  <c r="AP394" i="19"/>
  <c r="BF394" i="19" s="1"/>
  <c r="AO394" i="19"/>
  <c r="T394" i="19"/>
  <c r="N394" i="19"/>
  <c r="L394" i="19"/>
  <c r="BG393" i="19"/>
  <c r="BB393" i="19"/>
  <c r="AZ393" i="19"/>
  <c r="AW393" i="19"/>
  <c r="AV393" i="19"/>
  <c r="L393" i="19" s="1"/>
  <c r="AU393" i="19"/>
  <c r="AT393" i="19"/>
  <c r="AS393" i="19"/>
  <c r="AR393" i="19"/>
  <c r="AP393" i="19"/>
  <c r="BF393" i="19" s="1"/>
  <c r="AO393" i="19"/>
  <c r="T393" i="19"/>
  <c r="N393" i="19"/>
  <c r="BG392" i="19"/>
  <c r="BB392" i="19"/>
  <c r="AZ392" i="19"/>
  <c r="AW392" i="19"/>
  <c r="AV392" i="19"/>
  <c r="L392" i="19" s="1"/>
  <c r="AU392" i="19"/>
  <c r="AT392" i="19"/>
  <c r="AS392" i="19"/>
  <c r="AR392" i="19"/>
  <c r="AP392" i="19"/>
  <c r="BF392" i="19" s="1"/>
  <c r="AO392" i="19"/>
  <c r="T392" i="19"/>
  <c r="N392" i="19"/>
  <c r="BG391" i="19"/>
  <c r="BB391" i="19"/>
  <c r="AZ391" i="19"/>
  <c r="AW391" i="19"/>
  <c r="AV391" i="19"/>
  <c r="L391" i="19" s="1"/>
  <c r="AU391" i="19"/>
  <c r="AT391" i="19"/>
  <c r="AS391" i="19"/>
  <c r="AR391" i="19"/>
  <c r="AP391" i="19"/>
  <c r="BF391" i="19" s="1"/>
  <c r="AO391" i="19"/>
  <c r="T391" i="19"/>
  <c r="N391" i="19"/>
  <c r="BG390" i="19"/>
  <c r="BB390" i="19"/>
  <c r="AZ390" i="19"/>
  <c r="AW390" i="19"/>
  <c r="AV390" i="19"/>
  <c r="L390" i="19" s="1"/>
  <c r="AT390" i="19"/>
  <c r="AS390" i="19"/>
  <c r="AR390" i="19"/>
  <c r="AP390" i="19"/>
  <c r="BF390" i="19" s="1"/>
  <c r="AO390" i="19"/>
  <c r="T390" i="19"/>
  <c r="N390" i="19"/>
  <c r="BG388" i="19"/>
  <c r="BB388" i="19"/>
  <c r="AZ388" i="19"/>
  <c r="AW388" i="19"/>
  <c r="AV388" i="19"/>
  <c r="L388" i="19" s="1"/>
  <c r="AT388" i="19"/>
  <c r="AS388" i="19"/>
  <c r="AR388" i="19"/>
  <c r="AP388" i="19"/>
  <c r="BF388" i="19" s="1"/>
  <c r="AO388" i="19"/>
  <c r="T388" i="19"/>
  <c r="N388" i="19"/>
  <c r="BG387" i="19"/>
  <c r="BB387" i="19"/>
  <c r="AZ387" i="19"/>
  <c r="AW387" i="19"/>
  <c r="AV387" i="19"/>
  <c r="L387" i="19" s="1"/>
  <c r="AU387" i="19"/>
  <c r="AS387" i="19"/>
  <c r="AR387" i="19"/>
  <c r="AP387" i="19"/>
  <c r="BF387" i="19" s="1"/>
  <c r="AO387" i="19"/>
  <c r="T387" i="19"/>
  <c r="N387" i="19"/>
  <c r="BG386" i="19"/>
  <c r="BB386" i="19"/>
  <c r="AZ386" i="19"/>
  <c r="AW386" i="19"/>
  <c r="AV386" i="19"/>
  <c r="AT386" i="19"/>
  <c r="AS386" i="19"/>
  <c r="AR386" i="19"/>
  <c r="AP386" i="19"/>
  <c r="BF386" i="19" s="1"/>
  <c r="AO386" i="19"/>
  <c r="T386" i="19"/>
  <c r="N386" i="19"/>
  <c r="L386" i="19"/>
  <c r="BG385" i="19"/>
  <c r="BB385" i="19"/>
  <c r="AZ385" i="19"/>
  <c r="AW385" i="19"/>
  <c r="AV385" i="19"/>
  <c r="L385" i="19" s="1"/>
  <c r="AS385" i="19"/>
  <c r="AR385" i="19"/>
  <c r="AP385" i="19"/>
  <c r="BF385" i="19" s="1"/>
  <c r="AO385" i="19"/>
  <c r="T385" i="19"/>
  <c r="N385" i="19"/>
  <c r="BG384" i="19"/>
  <c r="BB384" i="19"/>
  <c r="AZ384" i="19"/>
  <c r="AW384" i="19"/>
  <c r="AV384" i="19"/>
  <c r="L384" i="19" s="1"/>
  <c r="AS384" i="19"/>
  <c r="AR384" i="19"/>
  <c r="AP384" i="19"/>
  <c r="BF384" i="19" s="1"/>
  <c r="AO384" i="19"/>
  <c r="T384" i="19"/>
  <c r="N384" i="19"/>
  <c r="BG383" i="19"/>
  <c r="BB383" i="19"/>
  <c r="AZ383" i="19"/>
  <c r="BA383" i="19" s="1"/>
  <c r="BE383" i="19" s="1"/>
  <c r="AW383" i="19"/>
  <c r="AV383" i="19"/>
  <c r="L383" i="19" s="1"/>
  <c r="AU383" i="19"/>
  <c r="AT383" i="19"/>
  <c r="AS383" i="19"/>
  <c r="AR383" i="19"/>
  <c r="AP383" i="19"/>
  <c r="BF383" i="19" s="1"/>
  <c r="AO383" i="19"/>
  <c r="T383" i="19"/>
  <c r="N383" i="19"/>
  <c r="BG377" i="19"/>
  <c r="BB377" i="19"/>
  <c r="AZ377" i="19"/>
  <c r="AW377" i="19"/>
  <c r="AV377" i="19"/>
  <c r="L377" i="19" s="1"/>
  <c r="AU377" i="19"/>
  <c r="AT377" i="19"/>
  <c r="AS377" i="19"/>
  <c r="AR377" i="19"/>
  <c r="AP377" i="19"/>
  <c r="BF377" i="19" s="1"/>
  <c r="AO377" i="19"/>
  <c r="T377" i="19"/>
  <c r="N377" i="19"/>
  <c r="BG374" i="19"/>
  <c r="BB374" i="19"/>
  <c r="AZ374" i="19"/>
  <c r="AW374" i="19"/>
  <c r="AV374" i="19"/>
  <c r="L374" i="19" s="1"/>
  <c r="AU374" i="19"/>
  <c r="AS374" i="19"/>
  <c r="AR374" i="19"/>
  <c r="AP374" i="19"/>
  <c r="BF374" i="19" s="1"/>
  <c r="AO374" i="19"/>
  <c r="T374" i="19"/>
  <c r="N374" i="19"/>
  <c r="BG373" i="19"/>
  <c r="BB373" i="19"/>
  <c r="AZ373" i="19"/>
  <c r="AW373" i="19"/>
  <c r="AV373" i="19"/>
  <c r="L373" i="19" s="1"/>
  <c r="AT373" i="19"/>
  <c r="BH373" i="19" s="1"/>
  <c r="AS373" i="19"/>
  <c r="AR373" i="19"/>
  <c r="AP373" i="19"/>
  <c r="BF373" i="19" s="1"/>
  <c r="AO373" i="19"/>
  <c r="T373" i="19"/>
  <c r="N373" i="19"/>
  <c r="BG369" i="19"/>
  <c r="BB369" i="19"/>
  <c r="AZ369" i="19"/>
  <c r="BA369" i="19" s="1"/>
  <c r="BE369" i="19" s="1"/>
  <c r="AW369" i="19"/>
  <c r="AV369" i="19"/>
  <c r="L369" i="19" s="1"/>
  <c r="AS369" i="19"/>
  <c r="AR369" i="19"/>
  <c r="AP369" i="19"/>
  <c r="BF369" i="19" s="1"/>
  <c r="AO369" i="19"/>
  <c r="T369" i="19"/>
  <c r="N369" i="19"/>
  <c r="BG368" i="19"/>
  <c r="BB368" i="19"/>
  <c r="AZ368" i="19"/>
  <c r="AW368" i="19"/>
  <c r="AV368" i="19"/>
  <c r="L368" i="19" s="1"/>
  <c r="AT368" i="19"/>
  <c r="AS368" i="19"/>
  <c r="AR368" i="19"/>
  <c r="AP368" i="19"/>
  <c r="BF368" i="19" s="1"/>
  <c r="AO368" i="19"/>
  <c r="T368" i="19"/>
  <c r="N368" i="19"/>
  <c r="BG367" i="19"/>
  <c r="BB367" i="19"/>
  <c r="AZ367" i="19"/>
  <c r="AW367" i="19"/>
  <c r="AV367" i="19"/>
  <c r="L367" i="19" s="1"/>
  <c r="AS367" i="19"/>
  <c r="AR367" i="19"/>
  <c r="AP367" i="19"/>
  <c r="BF367" i="19" s="1"/>
  <c r="AO367" i="19"/>
  <c r="T367" i="19"/>
  <c r="N367" i="19"/>
  <c r="BG364" i="19"/>
  <c r="BB364" i="19"/>
  <c r="AZ364" i="19"/>
  <c r="AW364" i="19"/>
  <c r="AV364" i="19"/>
  <c r="L364" i="19" s="1"/>
  <c r="AS364" i="19"/>
  <c r="AR364" i="19"/>
  <c r="AP364" i="19"/>
  <c r="BF364" i="19" s="1"/>
  <c r="AO364" i="19"/>
  <c r="T364" i="19"/>
  <c r="N364" i="19"/>
  <c r="BG363" i="19"/>
  <c r="BB363" i="19"/>
  <c r="AZ363" i="19"/>
  <c r="AW363" i="19"/>
  <c r="AV363" i="19"/>
  <c r="AT363" i="19"/>
  <c r="AS363" i="19"/>
  <c r="AR363" i="19"/>
  <c r="AP363" i="19"/>
  <c r="BF363" i="19" s="1"/>
  <c r="AO363" i="19"/>
  <c r="T363" i="19"/>
  <c r="N363" i="19"/>
  <c r="L363" i="19"/>
  <c r="BG362" i="19"/>
  <c r="BB362" i="19"/>
  <c r="AZ362" i="19"/>
  <c r="AW362" i="19"/>
  <c r="AV362" i="19"/>
  <c r="L362" i="19" s="1"/>
  <c r="AT362" i="19"/>
  <c r="AS362" i="19"/>
  <c r="AR362" i="19"/>
  <c r="AP362" i="19"/>
  <c r="BF362" i="19" s="1"/>
  <c r="AO362" i="19"/>
  <c r="T362" i="19"/>
  <c r="N362" i="19"/>
  <c r="BG360" i="19"/>
  <c r="BB360" i="19"/>
  <c r="AZ360" i="19"/>
  <c r="BD360" i="19" s="1"/>
  <c r="AW360" i="19"/>
  <c r="AV360" i="19"/>
  <c r="L360" i="19" s="1"/>
  <c r="AU360" i="19"/>
  <c r="AS360" i="19"/>
  <c r="AR360" i="19"/>
  <c r="AP360" i="19"/>
  <c r="BF360" i="19" s="1"/>
  <c r="AO360" i="19"/>
  <c r="T360" i="19"/>
  <c r="N360" i="19"/>
  <c r="BG359" i="19"/>
  <c r="BB359" i="19"/>
  <c r="AZ359" i="19"/>
  <c r="AW359" i="19"/>
  <c r="AV359" i="19"/>
  <c r="AT359" i="19"/>
  <c r="AS359" i="19"/>
  <c r="AR359" i="19"/>
  <c r="AP359" i="19"/>
  <c r="BF359" i="19" s="1"/>
  <c r="AO359" i="19"/>
  <c r="T359" i="19"/>
  <c r="N359" i="19"/>
  <c r="L359" i="19"/>
  <c r="BG358" i="19"/>
  <c r="BB358" i="19"/>
  <c r="AZ358" i="19"/>
  <c r="AW358" i="19"/>
  <c r="AV358" i="19"/>
  <c r="L358" i="19" s="1"/>
  <c r="AU358" i="19"/>
  <c r="AT358" i="19"/>
  <c r="AS358" i="19"/>
  <c r="AR358" i="19"/>
  <c r="AP358" i="19"/>
  <c r="BF358" i="19" s="1"/>
  <c r="AO358" i="19"/>
  <c r="T358" i="19"/>
  <c r="N358" i="19"/>
  <c r="BG357" i="19"/>
  <c r="BB357" i="19"/>
  <c r="AZ357" i="19"/>
  <c r="BC357" i="19" s="1"/>
  <c r="AW357" i="19"/>
  <c r="AV357" i="19"/>
  <c r="AU357" i="19"/>
  <c r="AT357" i="19"/>
  <c r="BH357" i="19" s="1"/>
  <c r="AS357" i="19"/>
  <c r="AR357" i="19"/>
  <c r="AP357" i="19"/>
  <c r="BF357" i="19" s="1"/>
  <c r="AO357" i="19"/>
  <c r="T357" i="19"/>
  <c r="N357" i="19"/>
  <c r="L357" i="19"/>
  <c r="BG356" i="19"/>
  <c r="BB356" i="19"/>
  <c r="AZ356" i="19"/>
  <c r="AW356" i="19"/>
  <c r="AV356" i="19"/>
  <c r="L356" i="19" s="1"/>
  <c r="AU356" i="19"/>
  <c r="AT356" i="19"/>
  <c r="AS356" i="19"/>
  <c r="AR356" i="19"/>
  <c r="AP356" i="19"/>
  <c r="BF356" i="19" s="1"/>
  <c r="AO356" i="19"/>
  <c r="T356" i="19"/>
  <c r="N356" i="19"/>
  <c r="BG355" i="19"/>
  <c r="BB355" i="19"/>
  <c r="AZ355" i="19"/>
  <c r="AW355" i="19"/>
  <c r="AV355" i="19"/>
  <c r="AU355" i="19"/>
  <c r="AT355" i="19"/>
  <c r="BH355" i="19" s="1"/>
  <c r="AS355" i="19"/>
  <c r="AR355" i="19"/>
  <c r="AP355" i="19"/>
  <c r="BF355" i="19" s="1"/>
  <c r="AO355" i="19"/>
  <c r="T355" i="19"/>
  <c r="N355" i="19"/>
  <c r="L355" i="19"/>
  <c r="BG354" i="19"/>
  <c r="BB354" i="19"/>
  <c r="AZ354" i="19"/>
  <c r="AW354" i="19"/>
  <c r="AV354" i="19"/>
  <c r="L354" i="19" s="1"/>
  <c r="AU354" i="19"/>
  <c r="AT354" i="19"/>
  <c r="AS354" i="19"/>
  <c r="AR354" i="19"/>
  <c r="AP354" i="19"/>
  <c r="BF354" i="19" s="1"/>
  <c r="AO354" i="19"/>
  <c r="T354" i="19"/>
  <c r="N354" i="19"/>
  <c r="BG353" i="19"/>
  <c r="BB353" i="19"/>
  <c r="AZ353" i="19"/>
  <c r="AW353" i="19"/>
  <c r="AV353" i="19"/>
  <c r="L353" i="19" s="1"/>
  <c r="AU353" i="19"/>
  <c r="AT353" i="19"/>
  <c r="AS353" i="19"/>
  <c r="AR353" i="19"/>
  <c r="AP353" i="19"/>
  <c r="BF353" i="19" s="1"/>
  <c r="AO353" i="19"/>
  <c r="T353" i="19"/>
  <c r="N353" i="19"/>
  <c r="BG352" i="19"/>
  <c r="BB352" i="19"/>
  <c r="AZ352" i="19"/>
  <c r="BD352" i="19" s="1"/>
  <c r="AW352" i="19"/>
  <c r="AV352" i="19"/>
  <c r="AU352" i="19"/>
  <c r="AS352" i="19"/>
  <c r="AR352" i="19"/>
  <c r="AP352" i="19"/>
  <c r="BF352" i="19" s="1"/>
  <c r="AO352" i="19"/>
  <c r="T352" i="19"/>
  <c r="N352" i="19"/>
  <c r="L352" i="19"/>
  <c r="BG351" i="19"/>
  <c r="BB351" i="19"/>
  <c r="AZ351" i="19"/>
  <c r="AW351" i="19"/>
  <c r="AV351" i="19"/>
  <c r="L351" i="19" s="1"/>
  <c r="AU351" i="19"/>
  <c r="AT351" i="19"/>
  <c r="AS351" i="19"/>
  <c r="AR351" i="19"/>
  <c r="AP351" i="19"/>
  <c r="BF351" i="19" s="1"/>
  <c r="AO351" i="19"/>
  <c r="T351" i="19"/>
  <c r="N351" i="19"/>
  <c r="BG350" i="19"/>
  <c r="BB350" i="19"/>
  <c r="AZ350" i="19"/>
  <c r="AW350" i="19"/>
  <c r="BA350" i="19" s="1"/>
  <c r="BE350" i="19" s="1"/>
  <c r="AV350" i="19"/>
  <c r="L350" i="19" s="1"/>
  <c r="AT350" i="19"/>
  <c r="AS350" i="19"/>
  <c r="AR350" i="19"/>
  <c r="AP350" i="19"/>
  <c r="BF350" i="19" s="1"/>
  <c r="AO350" i="19"/>
  <c r="T350" i="19"/>
  <c r="N350" i="19"/>
  <c r="BG349" i="19"/>
  <c r="BB349" i="19"/>
  <c r="AZ349" i="19"/>
  <c r="AW349" i="19"/>
  <c r="AV349" i="19"/>
  <c r="L349" i="19" s="1"/>
  <c r="AT349" i="19"/>
  <c r="AS349" i="19"/>
  <c r="AR349" i="19"/>
  <c r="AP349" i="19"/>
  <c r="BF349" i="19" s="1"/>
  <c r="AO349" i="19"/>
  <c r="T349" i="19"/>
  <c r="N349" i="19"/>
  <c r="BG348" i="19"/>
  <c r="BB348" i="19"/>
  <c r="AZ348" i="19"/>
  <c r="AW348" i="19"/>
  <c r="AV348" i="19"/>
  <c r="AU348" i="19"/>
  <c r="AS348" i="19"/>
  <c r="AR348" i="19"/>
  <c r="AP348" i="19"/>
  <c r="BF348" i="19" s="1"/>
  <c r="AO348" i="19"/>
  <c r="T348" i="19"/>
  <c r="N348" i="19"/>
  <c r="L348" i="19"/>
  <c r="BG346" i="19"/>
  <c r="BB346" i="19"/>
  <c r="AZ346" i="19"/>
  <c r="AW346" i="19"/>
  <c r="AV346" i="19"/>
  <c r="L346" i="19" s="1"/>
  <c r="AU346" i="19"/>
  <c r="AS346" i="19"/>
  <c r="AR346" i="19"/>
  <c r="AP346" i="19"/>
  <c r="BF346" i="19" s="1"/>
  <c r="AO346" i="19"/>
  <c r="T346" i="19"/>
  <c r="N346" i="19"/>
  <c r="BG345" i="19"/>
  <c r="BB345" i="19"/>
  <c r="AZ345" i="19"/>
  <c r="BC345" i="19" s="1"/>
  <c r="AW345" i="19"/>
  <c r="AV345" i="19"/>
  <c r="L345" i="19" s="1"/>
  <c r="AU345" i="19"/>
  <c r="AT345" i="19"/>
  <c r="AS345" i="19"/>
  <c r="AR345" i="19"/>
  <c r="AP345" i="19"/>
  <c r="BF345" i="19" s="1"/>
  <c r="AO345" i="19"/>
  <c r="T345" i="19"/>
  <c r="N345" i="19"/>
  <c r="BG344" i="19"/>
  <c r="BB344" i="19"/>
  <c r="BA344" i="19"/>
  <c r="BE344" i="19" s="1"/>
  <c r="AZ344" i="19"/>
  <c r="AW344" i="19"/>
  <c r="AV344" i="19"/>
  <c r="L344" i="19" s="1"/>
  <c r="AU344" i="19"/>
  <c r="AT344" i="19"/>
  <c r="AS344" i="19"/>
  <c r="AR344" i="19"/>
  <c r="AP344" i="19"/>
  <c r="BF344" i="19" s="1"/>
  <c r="AO344" i="19"/>
  <c r="T344" i="19"/>
  <c r="N344" i="19"/>
  <c r="BG343" i="19"/>
  <c r="BB343" i="19"/>
  <c r="AZ343" i="19"/>
  <c r="BC343" i="19" s="1"/>
  <c r="AW343" i="19"/>
  <c r="AV343" i="19"/>
  <c r="L343" i="19" s="1"/>
  <c r="AU343" i="19"/>
  <c r="AT343" i="19"/>
  <c r="AS343" i="19"/>
  <c r="AR343" i="19"/>
  <c r="AP343" i="19"/>
  <c r="BF343" i="19" s="1"/>
  <c r="AO343" i="19"/>
  <c r="T343" i="19"/>
  <c r="N343" i="19"/>
  <c r="BG342" i="19"/>
  <c r="BB342" i="19"/>
  <c r="AZ342" i="19"/>
  <c r="AW342" i="19"/>
  <c r="AV342" i="19"/>
  <c r="AU342" i="19"/>
  <c r="AS342" i="19"/>
  <c r="AR342" i="19"/>
  <c r="AP342" i="19"/>
  <c r="BF342" i="19" s="1"/>
  <c r="AO342" i="19"/>
  <c r="T342" i="19"/>
  <c r="N342" i="19"/>
  <c r="L342" i="19"/>
  <c r="BG341" i="19"/>
  <c r="BB341" i="19"/>
  <c r="AZ341" i="19"/>
  <c r="AW341" i="19"/>
  <c r="BC341" i="19" s="1"/>
  <c r="AV341" i="19"/>
  <c r="L341" i="19" s="1"/>
  <c r="AU341" i="19"/>
  <c r="AT341" i="19"/>
  <c r="AS341" i="19"/>
  <c r="AR341" i="19"/>
  <c r="AP341" i="19"/>
  <c r="BF341" i="19" s="1"/>
  <c r="AO341" i="19"/>
  <c r="T341" i="19"/>
  <c r="N341" i="19"/>
  <c r="BG340" i="19"/>
  <c r="BB340" i="19"/>
  <c r="AZ340" i="19"/>
  <c r="AW340" i="19"/>
  <c r="AV340" i="19"/>
  <c r="AU340" i="19"/>
  <c r="AT340" i="19"/>
  <c r="AS340" i="19"/>
  <c r="AR340" i="19"/>
  <c r="AP340" i="19"/>
  <c r="BF340" i="19" s="1"/>
  <c r="AO340" i="19"/>
  <c r="T340" i="19"/>
  <c r="N340" i="19"/>
  <c r="L340" i="19"/>
  <c r="BG339" i="19"/>
  <c r="BB339" i="19"/>
  <c r="AZ339" i="19"/>
  <c r="AW339" i="19"/>
  <c r="BC339" i="19" s="1"/>
  <c r="AV339" i="19"/>
  <c r="L339" i="19" s="1"/>
  <c r="AU339" i="19"/>
  <c r="AT339" i="19"/>
  <c r="AS339" i="19"/>
  <c r="AR339" i="19"/>
  <c r="AP339" i="19"/>
  <c r="BF339" i="19" s="1"/>
  <c r="AO339" i="19"/>
  <c r="T339" i="19"/>
  <c r="N339" i="19"/>
  <c r="BG338" i="19"/>
  <c r="BB338" i="19"/>
  <c r="AZ338" i="19"/>
  <c r="BA338" i="19" s="1"/>
  <c r="BE338" i="19" s="1"/>
  <c r="AW338" i="19"/>
  <c r="AV338" i="19"/>
  <c r="AU338" i="19"/>
  <c r="AT338" i="19"/>
  <c r="AS338" i="19"/>
  <c r="AR338" i="19"/>
  <c r="AP338" i="19"/>
  <c r="BF338" i="19" s="1"/>
  <c r="AO338" i="19"/>
  <c r="T338" i="19"/>
  <c r="N338" i="19"/>
  <c r="L338" i="19"/>
  <c r="BG337" i="19"/>
  <c r="BB337" i="19"/>
  <c r="AZ337" i="19"/>
  <c r="AW337" i="19"/>
  <c r="BA337" i="19" s="1"/>
  <c r="BE337" i="19" s="1"/>
  <c r="AV337" i="19"/>
  <c r="L337" i="19" s="1"/>
  <c r="AU337" i="19"/>
  <c r="AT337" i="19"/>
  <c r="AS337" i="19"/>
  <c r="AR337" i="19"/>
  <c r="AP337" i="19"/>
  <c r="BF337" i="19" s="1"/>
  <c r="AO337" i="19"/>
  <c r="T337" i="19"/>
  <c r="N337" i="19"/>
  <c r="BG336" i="19"/>
  <c r="BB336" i="19"/>
  <c r="AZ336" i="19"/>
  <c r="AW336" i="19"/>
  <c r="AV336" i="19"/>
  <c r="AT336" i="19"/>
  <c r="AS336" i="19"/>
  <c r="AR336" i="19"/>
  <c r="AP336" i="19"/>
  <c r="BF336" i="19" s="1"/>
  <c r="AO336" i="19"/>
  <c r="T336" i="19"/>
  <c r="N336" i="19"/>
  <c r="L336" i="19"/>
  <c r="BG335" i="19"/>
  <c r="BB335" i="19"/>
  <c r="AZ335" i="19"/>
  <c r="AW335" i="19"/>
  <c r="AV335" i="19"/>
  <c r="L335" i="19" s="1"/>
  <c r="AU335" i="19"/>
  <c r="AT335" i="19"/>
  <c r="AS335" i="19"/>
  <c r="AR335" i="19"/>
  <c r="AP335" i="19"/>
  <c r="BF335" i="19" s="1"/>
  <c r="AO335" i="19"/>
  <c r="T335" i="19"/>
  <c r="N335" i="19"/>
  <c r="BG334" i="19"/>
  <c r="BB334" i="19"/>
  <c r="AZ334" i="19"/>
  <c r="AW334" i="19"/>
  <c r="AV334" i="19"/>
  <c r="L334" i="19" s="1"/>
  <c r="AU334" i="19"/>
  <c r="AT334" i="19"/>
  <c r="AS334" i="19"/>
  <c r="AR334" i="19"/>
  <c r="AP334" i="19"/>
  <c r="BF334" i="19" s="1"/>
  <c r="AO334" i="19"/>
  <c r="T334" i="19"/>
  <c r="N334" i="19"/>
  <c r="BG333" i="19"/>
  <c r="BB333" i="19"/>
  <c r="AZ333" i="19"/>
  <c r="AW333" i="19"/>
  <c r="BC333" i="19" s="1"/>
  <c r="AV333" i="19"/>
  <c r="L333" i="19" s="1"/>
  <c r="AU333" i="19"/>
  <c r="AS333" i="19"/>
  <c r="AR333" i="19"/>
  <c r="AP333" i="19"/>
  <c r="BF333" i="19" s="1"/>
  <c r="AO333" i="19"/>
  <c r="T333" i="19"/>
  <c r="N333" i="19"/>
  <c r="BG331" i="19"/>
  <c r="BB331" i="19"/>
  <c r="AZ331" i="19"/>
  <c r="AW331" i="19"/>
  <c r="AV331" i="19"/>
  <c r="AT331" i="19"/>
  <c r="AS331" i="19"/>
  <c r="AR331" i="19"/>
  <c r="AP331" i="19"/>
  <c r="BF331" i="19" s="1"/>
  <c r="AO331" i="19"/>
  <c r="T331" i="19"/>
  <c r="N331" i="19"/>
  <c r="L331" i="19"/>
  <c r="BG330" i="19"/>
  <c r="BB330" i="19"/>
  <c r="AZ330" i="19"/>
  <c r="BD330" i="19" s="1"/>
  <c r="AW330" i="19"/>
  <c r="AV330" i="19"/>
  <c r="AT330" i="19"/>
  <c r="BH330" i="19" s="1"/>
  <c r="AS330" i="19"/>
  <c r="AR330" i="19"/>
  <c r="AP330" i="19"/>
  <c r="BF330" i="19" s="1"/>
  <c r="AO330" i="19"/>
  <c r="T330" i="19"/>
  <c r="N330" i="19"/>
  <c r="L330" i="19"/>
  <c r="BG329" i="19"/>
  <c r="BB329" i="19"/>
  <c r="AZ329" i="19"/>
  <c r="AW329" i="19"/>
  <c r="AV329" i="19"/>
  <c r="AT329" i="19"/>
  <c r="AS329" i="19"/>
  <c r="AR329" i="19"/>
  <c r="AP329" i="19"/>
  <c r="BF329" i="19" s="1"/>
  <c r="AO329" i="19"/>
  <c r="T329" i="19"/>
  <c r="N329" i="19"/>
  <c r="L329" i="19"/>
  <c r="BG328" i="19"/>
  <c r="BB328" i="19"/>
  <c r="AZ328" i="19"/>
  <c r="AW328" i="19"/>
  <c r="BC328" i="19" s="1"/>
  <c r="AV328" i="19"/>
  <c r="AT328" i="19"/>
  <c r="AS328" i="19"/>
  <c r="AR328" i="19"/>
  <c r="AP328" i="19"/>
  <c r="BF328" i="19" s="1"/>
  <c r="AO328" i="19"/>
  <c r="T328" i="19"/>
  <c r="N328" i="19"/>
  <c r="L328" i="19"/>
  <c r="BG323" i="19"/>
  <c r="BB323" i="19"/>
  <c r="AZ323" i="19"/>
  <c r="AW323" i="19"/>
  <c r="AV323" i="19"/>
  <c r="L323" i="19" s="1"/>
  <c r="AU323" i="19"/>
  <c r="AT323" i="19"/>
  <c r="AS323" i="19"/>
  <c r="AR323" i="19"/>
  <c r="AP323" i="19"/>
  <c r="BF323" i="19" s="1"/>
  <c r="AO323" i="19"/>
  <c r="T323" i="19"/>
  <c r="N323" i="19"/>
  <c r="BG322" i="19"/>
  <c r="BB322" i="19"/>
  <c r="BA322" i="19"/>
  <c r="BE322" i="19" s="1"/>
  <c r="AZ322" i="19"/>
  <c r="AW322" i="19"/>
  <c r="BC322" i="19" s="1"/>
  <c r="AV322" i="19"/>
  <c r="L322" i="19" s="1"/>
  <c r="AU322" i="19"/>
  <c r="AT322" i="19"/>
  <c r="AS322" i="19"/>
  <c r="AR322" i="19"/>
  <c r="AP322" i="19"/>
  <c r="BF322" i="19" s="1"/>
  <c r="AO322" i="19"/>
  <c r="T322" i="19"/>
  <c r="N322" i="19"/>
  <c r="BG321" i="19"/>
  <c r="BB321" i="19"/>
  <c r="AZ321" i="19"/>
  <c r="AW321" i="19"/>
  <c r="AV321" i="19"/>
  <c r="L321" i="19" s="1"/>
  <c r="AU321" i="19"/>
  <c r="AT321" i="19"/>
  <c r="AS321" i="19"/>
  <c r="AR321" i="19"/>
  <c r="AP321" i="19"/>
  <c r="BF321" i="19" s="1"/>
  <c r="AO321" i="19"/>
  <c r="T321" i="19"/>
  <c r="N321" i="19"/>
  <c r="BG320" i="19"/>
  <c r="BB320" i="19"/>
  <c r="AZ320" i="19"/>
  <c r="BA320" i="19" s="1"/>
  <c r="BE320" i="19" s="1"/>
  <c r="AW320" i="19"/>
  <c r="AV320" i="19"/>
  <c r="AU320" i="19"/>
  <c r="AS320" i="19"/>
  <c r="AR320" i="19"/>
  <c r="AP320" i="19"/>
  <c r="BF320" i="19" s="1"/>
  <c r="AO320" i="19"/>
  <c r="T320" i="19"/>
  <c r="N320" i="19"/>
  <c r="L320" i="19"/>
  <c r="BG319" i="19"/>
  <c r="BB319" i="19"/>
  <c r="AZ319" i="19"/>
  <c r="AW319" i="19"/>
  <c r="AV319" i="19"/>
  <c r="AU319" i="19"/>
  <c r="AS319" i="19"/>
  <c r="AR319" i="19"/>
  <c r="AP319" i="19"/>
  <c r="BF319" i="19" s="1"/>
  <c r="AO319" i="19"/>
  <c r="T319" i="19"/>
  <c r="N319" i="19"/>
  <c r="L319" i="19"/>
  <c r="BG318" i="19"/>
  <c r="BB318" i="19"/>
  <c r="AZ318" i="19"/>
  <c r="AW318" i="19"/>
  <c r="AV318" i="19"/>
  <c r="L318" i="19" s="1"/>
  <c r="AU318" i="19"/>
  <c r="AT318" i="19"/>
  <c r="AS318" i="19"/>
  <c r="AR318" i="19"/>
  <c r="AP318" i="19"/>
  <c r="BF318" i="19" s="1"/>
  <c r="AO318" i="19"/>
  <c r="T318" i="19"/>
  <c r="N318" i="19"/>
  <c r="BG317" i="19"/>
  <c r="BB317" i="19"/>
  <c r="AZ317" i="19"/>
  <c r="BD317" i="19" s="1"/>
  <c r="AW317" i="19"/>
  <c r="AV317" i="19"/>
  <c r="L317" i="19" s="1"/>
  <c r="AU317" i="19"/>
  <c r="AT317" i="19"/>
  <c r="AS317" i="19"/>
  <c r="AR317" i="19"/>
  <c r="AP317" i="19"/>
  <c r="BF317" i="19" s="1"/>
  <c r="AO317" i="19"/>
  <c r="T317" i="19"/>
  <c r="N317" i="19"/>
  <c r="BG316" i="19"/>
  <c r="BB316" i="19"/>
  <c r="AZ316" i="19"/>
  <c r="AW316" i="19"/>
  <c r="AV316" i="19"/>
  <c r="AT316" i="19"/>
  <c r="AS316" i="19"/>
  <c r="AR316" i="19"/>
  <c r="AP316" i="19"/>
  <c r="BF316" i="19" s="1"/>
  <c r="AO316" i="19"/>
  <c r="T316" i="19"/>
  <c r="N316" i="19"/>
  <c r="L316" i="19"/>
  <c r="BG315" i="19"/>
  <c r="BB315" i="19"/>
  <c r="AZ315" i="19"/>
  <c r="AW315" i="19"/>
  <c r="AV315" i="19"/>
  <c r="AU315" i="19"/>
  <c r="AT315" i="19"/>
  <c r="AS315" i="19"/>
  <c r="AR315" i="19"/>
  <c r="AP315" i="19"/>
  <c r="BF315" i="19" s="1"/>
  <c r="AO315" i="19"/>
  <c r="T315" i="19"/>
  <c r="N315" i="19"/>
  <c r="L315" i="19"/>
  <c r="BG313" i="19"/>
  <c r="BB313" i="19"/>
  <c r="AZ313" i="19"/>
  <c r="AW313" i="19"/>
  <c r="BC313" i="19" s="1"/>
  <c r="AV313" i="19"/>
  <c r="L313" i="19" s="1"/>
  <c r="AU313" i="19"/>
  <c r="AS313" i="19"/>
  <c r="AR313" i="19"/>
  <c r="AP313" i="19"/>
  <c r="BF313" i="19" s="1"/>
  <c r="AO313" i="19"/>
  <c r="T313" i="19"/>
  <c r="N313" i="19"/>
  <c r="BG311" i="19"/>
  <c r="BB311" i="19"/>
  <c r="AZ311" i="19"/>
  <c r="BA311" i="19" s="1"/>
  <c r="BE311" i="19" s="1"/>
  <c r="AW311" i="19"/>
  <c r="AV311" i="19"/>
  <c r="AU311" i="19"/>
  <c r="AT311" i="19"/>
  <c r="AS311" i="19"/>
  <c r="AR311" i="19"/>
  <c r="AP311" i="19"/>
  <c r="BF311" i="19" s="1"/>
  <c r="AO311" i="19"/>
  <c r="T311" i="19"/>
  <c r="N311" i="19"/>
  <c r="L311" i="19"/>
  <c r="BG310" i="19"/>
  <c r="BB310" i="19"/>
  <c r="AZ310" i="19"/>
  <c r="AW310" i="19"/>
  <c r="BC310" i="19" s="1"/>
  <c r="AV310" i="19"/>
  <c r="L310" i="19" s="1"/>
  <c r="AU310" i="19"/>
  <c r="AT310" i="19"/>
  <c r="AS310" i="19"/>
  <c r="AR310" i="19"/>
  <c r="AP310" i="19"/>
  <c r="BF310" i="19" s="1"/>
  <c r="AO310" i="19"/>
  <c r="T310" i="19"/>
  <c r="N310" i="19"/>
  <c r="BG308" i="19"/>
  <c r="BB308" i="19"/>
  <c r="AZ308" i="19"/>
  <c r="AW308" i="19"/>
  <c r="AV308" i="19"/>
  <c r="AU308" i="19"/>
  <c r="AT308" i="19"/>
  <c r="AS308" i="19"/>
  <c r="AR308" i="19"/>
  <c r="AP308" i="19"/>
  <c r="BF308" i="19" s="1"/>
  <c r="AO308" i="19"/>
  <c r="T308" i="19"/>
  <c r="N308" i="19"/>
  <c r="L308" i="19"/>
  <c r="BG307" i="19"/>
  <c r="BB307" i="19"/>
  <c r="AZ307" i="19"/>
  <c r="AW307" i="19"/>
  <c r="BC307" i="19" s="1"/>
  <c r="AV307" i="19"/>
  <c r="AU307" i="19"/>
  <c r="AS307" i="19"/>
  <c r="AR307" i="19"/>
  <c r="AP307" i="19"/>
  <c r="BF307" i="19" s="1"/>
  <c r="AO307" i="19"/>
  <c r="T307" i="19"/>
  <c r="N307" i="19"/>
  <c r="L307" i="19"/>
  <c r="BG306" i="19"/>
  <c r="BB306" i="19"/>
  <c r="AZ306" i="19"/>
  <c r="AW306" i="19"/>
  <c r="AV306" i="19"/>
  <c r="L306" i="19" s="1"/>
  <c r="AU306" i="19"/>
  <c r="AT306" i="19"/>
  <c r="AS306" i="19"/>
  <c r="AR306" i="19"/>
  <c r="AP306" i="19"/>
  <c r="BF306" i="19" s="1"/>
  <c r="AO306" i="19"/>
  <c r="T306" i="19"/>
  <c r="N306" i="19"/>
  <c r="BG305" i="19"/>
  <c r="BB305" i="19"/>
  <c r="AZ305" i="19"/>
  <c r="AW305" i="19"/>
  <c r="BC305" i="19" s="1"/>
  <c r="AV305" i="19"/>
  <c r="L305" i="19" s="1"/>
  <c r="AU305" i="19"/>
  <c r="AS305" i="19"/>
  <c r="AR305" i="19"/>
  <c r="AP305" i="19"/>
  <c r="BF305" i="19" s="1"/>
  <c r="AO305" i="19"/>
  <c r="T305" i="19"/>
  <c r="N305" i="19"/>
  <c r="BG304" i="19"/>
  <c r="BB304" i="19"/>
  <c r="AZ304" i="19"/>
  <c r="BC304" i="19" s="1"/>
  <c r="AW304" i="19"/>
  <c r="AV304" i="19"/>
  <c r="L304" i="19" s="1"/>
  <c r="AU304" i="19"/>
  <c r="AT304" i="19"/>
  <c r="BH304" i="19" s="1"/>
  <c r="AS304" i="19"/>
  <c r="AR304" i="19"/>
  <c r="AP304" i="19"/>
  <c r="BF304" i="19" s="1"/>
  <c r="AO304" i="19"/>
  <c r="T304" i="19"/>
  <c r="N304" i="19"/>
  <c r="BG303" i="19"/>
  <c r="BB303" i="19"/>
  <c r="AZ303" i="19"/>
  <c r="AW303" i="19"/>
  <c r="BC303" i="19" s="1"/>
  <c r="AV303" i="19"/>
  <c r="L303" i="19" s="1"/>
  <c r="AU303" i="19"/>
  <c r="AT303" i="19"/>
  <c r="AS303" i="19"/>
  <c r="AR303" i="19"/>
  <c r="AP303" i="19"/>
  <c r="BF303" i="19" s="1"/>
  <c r="AO303" i="19"/>
  <c r="T303" i="19"/>
  <c r="N303" i="19"/>
  <c r="BG302" i="19"/>
  <c r="BB302" i="19"/>
  <c r="AZ302" i="19"/>
  <c r="AW302" i="19"/>
  <c r="AV302" i="19"/>
  <c r="AU302" i="19"/>
  <c r="AS302" i="19"/>
  <c r="AR302" i="19"/>
  <c r="AP302" i="19"/>
  <c r="BF302" i="19" s="1"/>
  <c r="AO302" i="19"/>
  <c r="T302" i="19"/>
  <c r="N302" i="19"/>
  <c r="L302" i="19"/>
  <c r="BG301" i="19"/>
  <c r="BB301" i="19"/>
  <c r="AZ301" i="19"/>
  <c r="AW301" i="19"/>
  <c r="AV301" i="19"/>
  <c r="L301" i="19" s="1"/>
  <c r="AU301" i="19"/>
  <c r="AT301" i="19"/>
  <c r="BH301" i="19" s="1"/>
  <c r="AS301" i="19"/>
  <c r="AR301" i="19"/>
  <c r="AP301" i="19"/>
  <c r="BF301" i="19" s="1"/>
  <c r="AO301" i="19"/>
  <c r="T301" i="19"/>
  <c r="N301" i="19"/>
  <c r="BG300" i="19"/>
  <c r="BB300" i="19"/>
  <c r="AZ300" i="19"/>
  <c r="BA300" i="19" s="1"/>
  <c r="BE300" i="19" s="1"/>
  <c r="AW300" i="19"/>
  <c r="AV300" i="19"/>
  <c r="L300" i="19" s="1"/>
  <c r="AU300" i="19"/>
  <c r="AT300" i="19"/>
  <c r="AS300" i="19"/>
  <c r="AR300" i="19"/>
  <c r="AP300" i="19"/>
  <c r="BF300" i="19" s="1"/>
  <c r="AO300" i="19"/>
  <c r="T300" i="19"/>
  <c r="N300" i="19"/>
  <c r="BG299" i="19"/>
  <c r="BB299" i="19"/>
  <c r="AZ299" i="19"/>
  <c r="AW299" i="19"/>
  <c r="AV299" i="19"/>
  <c r="L299" i="19" s="1"/>
  <c r="AU299" i="19"/>
  <c r="AT299" i="19"/>
  <c r="AS299" i="19"/>
  <c r="AR299" i="19"/>
  <c r="AP299" i="19"/>
  <c r="BF299" i="19" s="1"/>
  <c r="AO299" i="19"/>
  <c r="T299" i="19"/>
  <c r="N299" i="19"/>
  <c r="BG298" i="19"/>
  <c r="BB298" i="19"/>
  <c r="AZ298" i="19"/>
  <c r="BA298" i="19" s="1"/>
  <c r="BE298" i="19" s="1"/>
  <c r="AW298" i="19"/>
  <c r="AV298" i="19"/>
  <c r="L298" i="19" s="1"/>
  <c r="AU298" i="19"/>
  <c r="AT298" i="19"/>
  <c r="AS298" i="19"/>
  <c r="AR298" i="19"/>
  <c r="AP298" i="19"/>
  <c r="BF298" i="19" s="1"/>
  <c r="AO298" i="19"/>
  <c r="T298" i="19"/>
  <c r="N298" i="19"/>
  <c r="BG297" i="19"/>
  <c r="BB297" i="19"/>
  <c r="AZ297" i="19"/>
  <c r="AW297" i="19"/>
  <c r="AV297" i="19"/>
  <c r="L297" i="19" s="1"/>
  <c r="AU297" i="19"/>
  <c r="AT297" i="19"/>
  <c r="BH297" i="19" s="1"/>
  <c r="AS297" i="19"/>
  <c r="AR297" i="19"/>
  <c r="AP297" i="19"/>
  <c r="BF297" i="19" s="1"/>
  <c r="AO297" i="19"/>
  <c r="T297" i="19"/>
  <c r="N297" i="19"/>
  <c r="BG293" i="19"/>
  <c r="BB293" i="19"/>
  <c r="AZ293" i="19"/>
  <c r="BD293" i="19" s="1"/>
  <c r="AW293" i="19"/>
  <c r="AV293" i="19"/>
  <c r="L293" i="19" s="1"/>
  <c r="AU293" i="19"/>
  <c r="AT293" i="19"/>
  <c r="AS293" i="19"/>
  <c r="AR293" i="19"/>
  <c r="AP293" i="19"/>
  <c r="BF293" i="19" s="1"/>
  <c r="AO293" i="19"/>
  <c r="T293" i="19"/>
  <c r="N293" i="19"/>
  <c r="BG292" i="19"/>
  <c r="BB292" i="19"/>
  <c r="AZ292" i="19"/>
  <c r="AW292" i="19"/>
  <c r="AV292" i="19"/>
  <c r="L292" i="19" s="1"/>
  <c r="AU292" i="19"/>
  <c r="AT292" i="19"/>
  <c r="AS292" i="19"/>
  <c r="AR292" i="19"/>
  <c r="AP292" i="19"/>
  <c r="BF292" i="19" s="1"/>
  <c r="AO292" i="19"/>
  <c r="T292" i="19"/>
  <c r="N292" i="19"/>
  <c r="BG291" i="19"/>
  <c r="BB291" i="19"/>
  <c r="AZ291" i="19"/>
  <c r="BD291" i="19" s="1"/>
  <c r="AW291" i="19"/>
  <c r="AV291" i="19"/>
  <c r="L291" i="19" s="1"/>
  <c r="AU291" i="19"/>
  <c r="AT291" i="19"/>
  <c r="AS291" i="19"/>
  <c r="AR291" i="19"/>
  <c r="AP291" i="19"/>
  <c r="BF291" i="19" s="1"/>
  <c r="AO291" i="19"/>
  <c r="T291" i="19"/>
  <c r="N291" i="19"/>
  <c r="BG290" i="19"/>
  <c r="BB290" i="19"/>
  <c r="AZ290" i="19"/>
  <c r="AW290" i="19"/>
  <c r="AV290" i="19"/>
  <c r="L290" i="19" s="1"/>
  <c r="AU290" i="19"/>
  <c r="AT290" i="19"/>
  <c r="BH290" i="19" s="1"/>
  <c r="AS290" i="19"/>
  <c r="AR290" i="19"/>
  <c r="AP290" i="19"/>
  <c r="BF290" i="19" s="1"/>
  <c r="AO290" i="19"/>
  <c r="T290" i="19"/>
  <c r="N290" i="19"/>
  <c r="BG289" i="19"/>
  <c r="BB289" i="19"/>
  <c r="AZ289" i="19"/>
  <c r="BD289" i="19" s="1"/>
  <c r="AW289" i="19"/>
  <c r="AV289" i="19"/>
  <c r="L289" i="19" s="1"/>
  <c r="AU289" i="19"/>
  <c r="AS289" i="19"/>
  <c r="AR289" i="19"/>
  <c r="AP289" i="19"/>
  <c r="BF289" i="19" s="1"/>
  <c r="AO289" i="19"/>
  <c r="T289" i="19"/>
  <c r="N289" i="19"/>
  <c r="BG287" i="19"/>
  <c r="BB287" i="19"/>
  <c r="AZ287" i="19"/>
  <c r="AW287" i="19"/>
  <c r="AV287" i="19"/>
  <c r="AS287" i="19"/>
  <c r="AR287" i="19"/>
  <c r="AP287" i="19"/>
  <c r="BF287" i="19" s="1"/>
  <c r="AO287" i="19"/>
  <c r="T287" i="19"/>
  <c r="N287" i="19"/>
  <c r="L287" i="19"/>
  <c r="BG286" i="19"/>
  <c r="BB286" i="19"/>
  <c r="AZ286" i="19"/>
  <c r="BD286" i="19" s="1"/>
  <c r="AW286" i="19"/>
  <c r="AV286" i="19"/>
  <c r="L286" i="19" s="1"/>
  <c r="AU286" i="19"/>
  <c r="AT286" i="19"/>
  <c r="AS286" i="19"/>
  <c r="AR286" i="19"/>
  <c r="AP286" i="19"/>
  <c r="BF286" i="19" s="1"/>
  <c r="AO286" i="19"/>
  <c r="T286" i="19"/>
  <c r="N286" i="19"/>
  <c r="BG285" i="19"/>
  <c r="BB285" i="19"/>
  <c r="AZ285" i="19"/>
  <c r="AW285" i="19"/>
  <c r="AV285" i="19"/>
  <c r="AU285" i="19"/>
  <c r="AT285" i="19"/>
  <c r="BH285" i="19" s="1"/>
  <c r="AS285" i="19"/>
  <c r="AR285" i="19"/>
  <c r="AP285" i="19"/>
  <c r="BF285" i="19" s="1"/>
  <c r="AO285" i="19"/>
  <c r="T285" i="19"/>
  <c r="N285" i="19"/>
  <c r="L285" i="19"/>
  <c r="BG284" i="19"/>
  <c r="BB284" i="19"/>
  <c r="AZ284" i="19"/>
  <c r="AW284" i="19"/>
  <c r="AV284" i="19"/>
  <c r="L284" i="19" s="1"/>
  <c r="AT284" i="19"/>
  <c r="AS284" i="19"/>
  <c r="AR284" i="19"/>
  <c r="AP284" i="19"/>
  <c r="BF284" i="19" s="1"/>
  <c r="AO284" i="19"/>
  <c r="T284" i="19"/>
  <c r="N284" i="19"/>
  <c r="BG283" i="19"/>
  <c r="BB283" i="19"/>
  <c r="AZ283" i="19"/>
  <c r="BC283" i="19" s="1"/>
  <c r="AW283" i="19"/>
  <c r="AV283" i="19"/>
  <c r="L283" i="19" s="1"/>
  <c r="AU283" i="19"/>
  <c r="AT283" i="19"/>
  <c r="AS283" i="19"/>
  <c r="AR283" i="19"/>
  <c r="AP283" i="19"/>
  <c r="BF283" i="19" s="1"/>
  <c r="AO283" i="19"/>
  <c r="T283" i="19"/>
  <c r="N283" i="19"/>
  <c r="BG282" i="19"/>
  <c r="BB282" i="19"/>
  <c r="AZ282" i="19"/>
  <c r="BD282" i="19" s="1"/>
  <c r="AW282" i="19"/>
  <c r="AV282" i="19"/>
  <c r="L282" i="19" s="1"/>
  <c r="AU282" i="19"/>
  <c r="AT282" i="19"/>
  <c r="AS282" i="19"/>
  <c r="AR282" i="19"/>
  <c r="AP282" i="19"/>
  <c r="BF282" i="19" s="1"/>
  <c r="AO282" i="19"/>
  <c r="T282" i="19"/>
  <c r="N282" i="19"/>
  <c r="BG280" i="19"/>
  <c r="BB280" i="19"/>
  <c r="AZ280" i="19"/>
  <c r="AW280" i="19"/>
  <c r="AV280" i="19"/>
  <c r="AU280" i="19"/>
  <c r="AS280" i="19"/>
  <c r="AR280" i="19"/>
  <c r="AP280" i="19"/>
  <c r="BF280" i="19" s="1"/>
  <c r="AO280" i="19"/>
  <c r="T280" i="19"/>
  <c r="N280" i="19"/>
  <c r="L280" i="19"/>
  <c r="BG279" i="19"/>
  <c r="BB279" i="19"/>
  <c r="AZ279" i="19"/>
  <c r="AW279" i="19"/>
  <c r="BC279" i="19" s="1"/>
  <c r="AV279" i="19"/>
  <c r="L279" i="19" s="1"/>
  <c r="AU279" i="19"/>
  <c r="AT279" i="19"/>
  <c r="AS279" i="19"/>
  <c r="AR279" i="19"/>
  <c r="AP279" i="19"/>
  <c r="BF279" i="19" s="1"/>
  <c r="AO279" i="19"/>
  <c r="T279" i="19"/>
  <c r="N279" i="19"/>
  <c r="BG277" i="19"/>
  <c r="BB277" i="19"/>
  <c r="AZ277" i="19"/>
  <c r="BC277" i="19" s="1"/>
  <c r="AW277" i="19"/>
  <c r="AV277" i="19"/>
  <c r="L277" i="19" s="1"/>
  <c r="AU277" i="19"/>
  <c r="AT277" i="19"/>
  <c r="BH277" i="19" s="1"/>
  <c r="AS277" i="19"/>
  <c r="AR277" i="19"/>
  <c r="AP277" i="19"/>
  <c r="BF277" i="19" s="1"/>
  <c r="AO277" i="19"/>
  <c r="T277" i="19"/>
  <c r="N277" i="19"/>
  <c r="BG276" i="19"/>
  <c r="BB276" i="19"/>
  <c r="AZ276" i="19"/>
  <c r="AW276" i="19"/>
  <c r="AV276" i="19"/>
  <c r="L276" i="19" s="1"/>
  <c r="AU276" i="19"/>
  <c r="AT276" i="19"/>
  <c r="AS276" i="19"/>
  <c r="AR276" i="19"/>
  <c r="AP276" i="19"/>
  <c r="BF276" i="19" s="1"/>
  <c r="AO276" i="19"/>
  <c r="T276" i="19"/>
  <c r="N276" i="19"/>
  <c r="BG275" i="19"/>
  <c r="BB275" i="19"/>
  <c r="AZ275" i="19"/>
  <c r="AW275" i="19"/>
  <c r="AV275" i="19"/>
  <c r="AU275" i="19"/>
  <c r="AT275" i="19"/>
  <c r="BH275" i="19" s="1"/>
  <c r="AS275" i="19"/>
  <c r="AR275" i="19"/>
  <c r="AP275" i="19"/>
  <c r="BF275" i="19" s="1"/>
  <c r="AO275" i="19"/>
  <c r="T275" i="19"/>
  <c r="N275" i="19"/>
  <c r="L275" i="19"/>
  <c r="BG274" i="19"/>
  <c r="BB274" i="19"/>
  <c r="AZ274" i="19"/>
  <c r="AW274" i="19"/>
  <c r="BC274" i="19" s="1"/>
  <c r="AV274" i="19"/>
  <c r="L274" i="19" s="1"/>
  <c r="AU274" i="19"/>
  <c r="AT274" i="19"/>
  <c r="AS274" i="19"/>
  <c r="AR274" i="19"/>
  <c r="AP274" i="19"/>
  <c r="BF274" i="19" s="1"/>
  <c r="AO274" i="19"/>
  <c r="T274" i="19"/>
  <c r="N274" i="19"/>
  <c r="BG273" i="19"/>
  <c r="BB273" i="19"/>
  <c r="AZ273" i="19"/>
  <c r="BC273" i="19" s="1"/>
  <c r="AW273" i="19"/>
  <c r="AV273" i="19"/>
  <c r="AT273" i="19"/>
  <c r="AS273" i="19"/>
  <c r="AR273" i="19"/>
  <c r="AP273" i="19"/>
  <c r="BF273" i="19" s="1"/>
  <c r="AO273" i="19"/>
  <c r="T273" i="19"/>
  <c r="N273" i="19"/>
  <c r="L273" i="19"/>
  <c r="BG271" i="19"/>
  <c r="BB271" i="19"/>
  <c r="AZ271" i="19"/>
  <c r="AW271" i="19"/>
  <c r="AV271" i="19"/>
  <c r="L271" i="19" s="1"/>
  <c r="AU271" i="19"/>
  <c r="AT271" i="19"/>
  <c r="BH271" i="19" s="1"/>
  <c r="AS271" i="19"/>
  <c r="AR271" i="19"/>
  <c r="AP271" i="19"/>
  <c r="BF271" i="19" s="1"/>
  <c r="AO271" i="19"/>
  <c r="T271" i="19"/>
  <c r="N271" i="19"/>
  <c r="BG270" i="19"/>
  <c r="BH270" i="19" s="1"/>
  <c r="BB270" i="19"/>
  <c r="AZ270" i="19"/>
  <c r="AW270" i="19"/>
  <c r="AV270" i="19"/>
  <c r="AU270" i="19"/>
  <c r="AS270" i="19"/>
  <c r="AR270" i="19"/>
  <c r="AP270" i="19"/>
  <c r="BF270" i="19" s="1"/>
  <c r="AO270" i="19"/>
  <c r="T270" i="19"/>
  <c r="N270" i="19"/>
  <c r="L270" i="19"/>
  <c r="BG269" i="19"/>
  <c r="BB269" i="19"/>
  <c r="AZ269" i="19"/>
  <c r="BD269" i="19" s="1"/>
  <c r="AW269" i="19"/>
  <c r="AV269" i="19"/>
  <c r="L269" i="19" s="1"/>
  <c r="AU269" i="19"/>
  <c r="AT269" i="19"/>
  <c r="BH269" i="19" s="1"/>
  <c r="AS269" i="19"/>
  <c r="AR269" i="19"/>
  <c r="AP269" i="19"/>
  <c r="BF269" i="19" s="1"/>
  <c r="AO269" i="19"/>
  <c r="T269" i="19"/>
  <c r="N269" i="19"/>
  <c r="BG267" i="19"/>
  <c r="BB267" i="19"/>
  <c r="AZ267" i="19"/>
  <c r="BA267" i="19" s="1"/>
  <c r="BE267" i="19" s="1"/>
  <c r="AW267" i="19"/>
  <c r="AV267" i="19"/>
  <c r="AT267" i="19"/>
  <c r="AS267" i="19"/>
  <c r="AR267" i="19"/>
  <c r="AP267" i="19"/>
  <c r="BF267" i="19" s="1"/>
  <c r="AO267" i="19"/>
  <c r="T267" i="19"/>
  <c r="N267" i="19"/>
  <c r="L267" i="19"/>
  <c r="BG266" i="19"/>
  <c r="BB266" i="19"/>
  <c r="AZ266" i="19"/>
  <c r="AW266" i="19"/>
  <c r="AV266" i="19"/>
  <c r="AU266" i="19"/>
  <c r="AT266" i="19"/>
  <c r="AS266" i="19"/>
  <c r="AR266" i="19"/>
  <c r="AP266" i="19"/>
  <c r="BF266" i="19" s="1"/>
  <c r="AO266" i="19"/>
  <c r="T266" i="19"/>
  <c r="N266" i="19"/>
  <c r="L266" i="19"/>
  <c r="BG264" i="19"/>
  <c r="BB264" i="19"/>
  <c r="AZ264" i="19"/>
  <c r="BD264" i="19" s="1"/>
  <c r="AW264" i="19"/>
  <c r="AV264" i="19"/>
  <c r="AU264" i="19"/>
  <c r="AS264" i="19"/>
  <c r="AR264" i="19"/>
  <c r="AP264" i="19"/>
  <c r="BF264" i="19" s="1"/>
  <c r="AO264" i="19"/>
  <c r="T264" i="19"/>
  <c r="N264" i="19"/>
  <c r="L264" i="19"/>
  <c r="BG263" i="19"/>
  <c r="BB263" i="19"/>
  <c r="AZ263" i="19"/>
  <c r="AW263" i="19"/>
  <c r="BD263" i="19" s="1"/>
  <c r="AV263" i="19"/>
  <c r="AT263" i="19"/>
  <c r="AS263" i="19"/>
  <c r="AR263" i="19"/>
  <c r="AP263" i="19"/>
  <c r="BF263" i="19" s="1"/>
  <c r="AO263" i="19"/>
  <c r="T263" i="19"/>
  <c r="N263" i="19"/>
  <c r="L263" i="19"/>
  <c r="BG260" i="19"/>
  <c r="BB260" i="19"/>
  <c r="AZ260" i="19"/>
  <c r="BD260" i="19" s="1"/>
  <c r="AW260" i="19"/>
  <c r="AV260" i="19"/>
  <c r="L260" i="19" s="1"/>
  <c r="AU260" i="19"/>
  <c r="AT260" i="19"/>
  <c r="AS260" i="19"/>
  <c r="AR260" i="19"/>
  <c r="AP260" i="19"/>
  <c r="BF260" i="19" s="1"/>
  <c r="AO260" i="19"/>
  <c r="T260" i="19"/>
  <c r="N260" i="19"/>
  <c r="BG258" i="19"/>
  <c r="BB258" i="19"/>
  <c r="AZ258" i="19"/>
  <c r="AW258" i="19"/>
  <c r="AV258" i="19"/>
  <c r="AT258" i="19"/>
  <c r="AS258" i="19"/>
  <c r="AR258" i="19"/>
  <c r="AP258" i="19"/>
  <c r="BF258" i="19" s="1"/>
  <c r="AO258" i="19"/>
  <c r="T258" i="19"/>
  <c r="N258" i="19"/>
  <c r="L258" i="19"/>
  <c r="BG257" i="19"/>
  <c r="BB257" i="19"/>
  <c r="AZ257" i="19"/>
  <c r="AW257" i="19"/>
  <c r="AV257" i="19"/>
  <c r="AU257" i="19"/>
  <c r="AT257" i="19"/>
  <c r="AS257" i="19"/>
  <c r="AR257" i="19"/>
  <c r="AP257" i="19"/>
  <c r="BF257" i="19" s="1"/>
  <c r="AO257" i="19"/>
  <c r="T257" i="19"/>
  <c r="N257" i="19"/>
  <c r="L257" i="19"/>
  <c r="BG256" i="19"/>
  <c r="BB256" i="19"/>
  <c r="AZ256" i="19"/>
  <c r="AW256" i="19"/>
  <c r="BC256" i="19" s="1"/>
  <c r="AV256" i="19"/>
  <c r="AT256" i="19"/>
  <c r="AS256" i="19"/>
  <c r="AR256" i="19"/>
  <c r="AP256" i="19"/>
  <c r="BF256" i="19" s="1"/>
  <c r="AO256" i="19"/>
  <c r="T256" i="19"/>
  <c r="N256" i="19"/>
  <c r="L256" i="19"/>
  <c r="BG255" i="19"/>
  <c r="BB255" i="19"/>
  <c r="AZ255" i="19"/>
  <c r="AW255" i="19"/>
  <c r="AV255" i="19"/>
  <c r="L255" i="19" s="1"/>
  <c r="AU255" i="19"/>
  <c r="AT255" i="19"/>
  <c r="AS255" i="19"/>
  <c r="AR255" i="19"/>
  <c r="AP255" i="19"/>
  <c r="BF255" i="19" s="1"/>
  <c r="AO255" i="19"/>
  <c r="T255" i="19"/>
  <c r="N255" i="19"/>
  <c r="BG254" i="19"/>
  <c r="BB254" i="19"/>
  <c r="AZ254" i="19"/>
  <c r="BD254" i="19" s="1"/>
  <c r="AW254" i="19"/>
  <c r="AV254" i="19"/>
  <c r="AT254" i="19"/>
  <c r="AS254" i="19"/>
  <c r="AR254" i="19"/>
  <c r="AP254" i="19"/>
  <c r="BF254" i="19" s="1"/>
  <c r="AO254" i="19"/>
  <c r="T254" i="19"/>
  <c r="N254" i="19"/>
  <c r="L254" i="19"/>
  <c r="BG253" i="19"/>
  <c r="BB253" i="19"/>
  <c r="AZ253" i="19"/>
  <c r="AW253" i="19"/>
  <c r="BC253" i="19" s="1"/>
  <c r="AV253" i="19"/>
  <c r="L253" i="19" s="1"/>
  <c r="AU253" i="19"/>
  <c r="AT253" i="19"/>
  <c r="AS253" i="19"/>
  <c r="AR253" i="19"/>
  <c r="AP253" i="19"/>
  <c r="BF253" i="19" s="1"/>
  <c r="AO253" i="19"/>
  <c r="T253" i="19"/>
  <c r="N253" i="19"/>
  <c r="BG252" i="19"/>
  <c r="BB252" i="19"/>
  <c r="AZ252" i="19"/>
  <c r="BA252" i="19" s="1"/>
  <c r="BE252" i="19" s="1"/>
  <c r="AW252" i="19"/>
  <c r="AV252" i="19"/>
  <c r="L252" i="19" s="1"/>
  <c r="AU252" i="19"/>
  <c r="AT252" i="19"/>
  <c r="BH252" i="19" s="1"/>
  <c r="AS252" i="19"/>
  <c r="AR252" i="19"/>
  <c r="AP252" i="19"/>
  <c r="BF252" i="19" s="1"/>
  <c r="AO252" i="19"/>
  <c r="T252" i="19"/>
  <c r="N252" i="19"/>
  <c r="BG251" i="19"/>
  <c r="BB251" i="19"/>
  <c r="AZ251" i="19"/>
  <c r="BD251" i="19" s="1"/>
  <c r="AW251" i="19"/>
  <c r="AV251" i="19"/>
  <c r="L251" i="19" s="1"/>
  <c r="AU251" i="19"/>
  <c r="AT251" i="19"/>
  <c r="AS251" i="19"/>
  <c r="AR251" i="19"/>
  <c r="AP251" i="19"/>
  <c r="BF251" i="19" s="1"/>
  <c r="AO251" i="19"/>
  <c r="T251" i="19"/>
  <c r="N251" i="19"/>
  <c r="BG250" i="19"/>
  <c r="BB250" i="19"/>
  <c r="AZ250" i="19"/>
  <c r="AW250" i="19"/>
  <c r="AV250" i="19"/>
  <c r="L250" i="19" s="1"/>
  <c r="AU250" i="19"/>
  <c r="AT250" i="19"/>
  <c r="AS250" i="19"/>
  <c r="AR250" i="19"/>
  <c r="AP250" i="19"/>
  <c r="BF250" i="19" s="1"/>
  <c r="AO250" i="19"/>
  <c r="T250" i="19"/>
  <c r="N250" i="19"/>
  <c r="BG249" i="19"/>
  <c r="BB249" i="19"/>
  <c r="AZ249" i="19"/>
  <c r="BD249" i="19" s="1"/>
  <c r="AW249" i="19"/>
  <c r="AV249" i="19"/>
  <c r="L249" i="19" s="1"/>
  <c r="AU249" i="19"/>
  <c r="AT249" i="19"/>
  <c r="AS249" i="19"/>
  <c r="AR249" i="19"/>
  <c r="AP249" i="19"/>
  <c r="BF249" i="19" s="1"/>
  <c r="AO249" i="19"/>
  <c r="T249" i="19"/>
  <c r="N249" i="19"/>
  <c r="BG248" i="19"/>
  <c r="BB248" i="19"/>
  <c r="AZ248" i="19"/>
  <c r="AW248" i="19"/>
  <c r="AV248" i="19"/>
  <c r="L248" i="19" s="1"/>
  <c r="AU248" i="19"/>
  <c r="AT248" i="19"/>
  <c r="AS248" i="19"/>
  <c r="AR248" i="19"/>
  <c r="AP248" i="19"/>
  <c r="BF248" i="19" s="1"/>
  <c r="AO248" i="19"/>
  <c r="T248" i="19"/>
  <c r="N248" i="19"/>
  <c r="BG247" i="19"/>
  <c r="BB247" i="19"/>
  <c r="AZ247" i="19"/>
  <c r="BA247" i="19" s="1"/>
  <c r="BE247" i="19" s="1"/>
  <c r="AW247" i="19"/>
  <c r="AV247" i="19"/>
  <c r="L247" i="19" s="1"/>
  <c r="AU247" i="19"/>
  <c r="AT247" i="19"/>
  <c r="AS247" i="19"/>
  <c r="AR247" i="19"/>
  <c r="AP247" i="19"/>
  <c r="BF247" i="19" s="1"/>
  <c r="AO247" i="19"/>
  <c r="T247" i="19"/>
  <c r="N247" i="19"/>
  <c r="BG246" i="19"/>
  <c r="BB246" i="19"/>
  <c r="AZ246" i="19"/>
  <c r="AW246" i="19"/>
  <c r="AV246" i="19"/>
  <c r="AU246" i="19"/>
  <c r="AT246" i="19"/>
  <c r="BH246" i="19" s="1"/>
  <c r="AS246" i="19"/>
  <c r="AR246" i="19"/>
  <c r="AP246" i="19"/>
  <c r="BF246" i="19" s="1"/>
  <c r="AO246" i="19"/>
  <c r="T246" i="19"/>
  <c r="N246" i="19"/>
  <c r="L246" i="19"/>
  <c r="BG245" i="19"/>
  <c r="BB245" i="19"/>
  <c r="AZ245" i="19"/>
  <c r="AW245" i="19"/>
  <c r="BC245" i="19" s="1"/>
  <c r="AV245" i="19"/>
  <c r="AU245" i="19"/>
  <c r="AS245" i="19"/>
  <c r="AR245" i="19"/>
  <c r="AP245" i="19"/>
  <c r="BF245" i="19" s="1"/>
  <c r="AO245" i="19"/>
  <c r="T245" i="19"/>
  <c r="N245" i="19"/>
  <c r="L245" i="19"/>
  <c r="BG244" i="19"/>
  <c r="BB244" i="19"/>
  <c r="AZ244" i="19"/>
  <c r="AW244" i="19"/>
  <c r="AV244" i="19"/>
  <c r="AU244" i="19"/>
  <c r="AS244" i="19"/>
  <c r="AR244" i="19"/>
  <c r="AP244" i="19"/>
  <c r="BF244" i="19" s="1"/>
  <c r="AO244" i="19"/>
  <c r="T244" i="19"/>
  <c r="N244" i="19"/>
  <c r="L244" i="19"/>
  <c r="BG243" i="19"/>
  <c r="BB243" i="19"/>
  <c r="AZ243" i="19"/>
  <c r="AW243" i="19"/>
  <c r="AV243" i="19"/>
  <c r="AU243" i="19"/>
  <c r="AT243" i="19"/>
  <c r="AS243" i="19"/>
  <c r="AR243" i="19"/>
  <c r="AP243" i="19"/>
  <c r="BF243" i="19" s="1"/>
  <c r="AO243" i="19"/>
  <c r="T243" i="19"/>
  <c r="N243" i="19"/>
  <c r="L243" i="19"/>
  <c r="BG241" i="19"/>
  <c r="BB241" i="19"/>
  <c r="AZ241" i="19"/>
  <c r="AW241" i="19"/>
  <c r="AV241" i="19"/>
  <c r="AU241" i="19"/>
  <c r="AT241" i="19"/>
  <c r="AS241" i="19"/>
  <c r="AR241" i="19"/>
  <c r="AP241" i="19"/>
  <c r="BF241" i="19" s="1"/>
  <c r="AO241" i="19"/>
  <c r="T241" i="19"/>
  <c r="N241" i="19"/>
  <c r="L241" i="19"/>
  <c r="BG240" i="19"/>
  <c r="BB240" i="19"/>
  <c r="AZ240" i="19"/>
  <c r="AW240" i="19"/>
  <c r="BA240" i="19" s="1"/>
  <c r="BE240" i="19" s="1"/>
  <c r="AV240" i="19"/>
  <c r="L240" i="19" s="1"/>
  <c r="AU240" i="19"/>
  <c r="AS240" i="19"/>
  <c r="AR240" i="19"/>
  <c r="AP240" i="19"/>
  <c r="BF240" i="19" s="1"/>
  <c r="AO240" i="19"/>
  <c r="T240" i="19"/>
  <c r="N240" i="19"/>
  <c r="BG239" i="19"/>
  <c r="BB239" i="19"/>
  <c r="BA239" i="19"/>
  <c r="BE239" i="19" s="1"/>
  <c r="AZ239" i="19"/>
  <c r="AW239" i="19"/>
  <c r="AV239" i="19"/>
  <c r="AU239" i="19"/>
  <c r="AT239" i="19"/>
  <c r="AS239" i="19"/>
  <c r="AR239" i="19"/>
  <c r="AP239" i="19"/>
  <c r="BF239" i="19" s="1"/>
  <c r="AO239" i="19"/>
  <c r="T239" i="19"/>
  <c r="N239" i="19"/>
  <c r="L239" i="19"/>
  <c r="BG238" i="19"/>
  <c r="BB238" i="19"/>
  <c r="AZ238" i="19"/>
  <c r="AW238" i="19"/>
  <c r="BA238" i="19" s="1"/>
  <c r="BE238" i="19" s="1"/>
  <c r="AV238" i="19"/>
  <c r="L238" i="19" s="1"/>
  <c r="AT238" i="19"/>
  <c r="BH238" i="19" s="1"/>
  <c r="AS238" i="19"/>
  <c r="AR238" i="19"/>
  <c r="AP238" i="19"/>
  <c r="BF238" i="19" s="1"/>
  <c r="AO238" i="19"/>
  <c r="T238" i="19"/>
  <c r="N238" i="19"/>
  <c r="BG237" i="19"/>
  <c r="BB237" i="19"/>
  <c r="AZ237" i="19"/>
  <c r="AW237" i="19"/>
  <c r="AV237" i="19"/>
  <c r="AT237" i="19"/>
  <c r="AS237" i="19"/>
  <c r="AR237" i="19"/>
  <c r="AP237" i="19"/>
  <c r="BF237" i="19" s="1"/>
  <c r="AO237" i="19"/>
  <c r="T237" i="19"/>
  <c r="N237" i="19"/>
  <c r="L237" i="19"/>
  <c r="BG236" i="19"/>
  <c r="BH236" i="19" s="1"/>
  <c r="BB236" i="19"/>
  <c r="AZ236" i="19"/>
  <c r="BD236" i="19" s="1"/>
  <c r="AW236" i="19"/>
  <c r="AV236" i="19"/>
  <c r="AU236" i="19"/>
  <c r="AS236" i="19"/>
  <c r="AR236" i="19"/>
  <c r="AP236" i="19"/>
  <c r="BF236" i="19" s="1"/>
  <c r="AO236" i="19"/>
  <c r="T236" i="19"/>
  <c r="N236" i="19"/>
  <c r="L236" i="19"/>
  <c r="BG235" i="19"/>
  <c r="BB235" i="19"/>
  <c r="AZ235" i="19"/>
  <c r="AW235" i="19"/>
  <c r="AV235" i="19"/>
  <c r="AU235" i="19"/>
  <c r="AS235" i="19"/>
  <c r="AR235" i="19"/>
  <c r="AP235" i="19"/>
  <c r="BF235" i="19" s="1"/>
  <c r="AO235" i="19"/>
  <c r="T235" i="19"/>
  <c r="N235" i="19"/>
  <c r="L235" i="19"/>
  <c r="BG234" i="19"/>
  <c r="BB234" i="19"/>
  <c r="AZ234" i="19"/>
  <c r="AW234" i="19"/>
  <c r="AV234" i="19"/>
  <c r="L234" i="19" s="1"/>
  <c r="AT234" i="19"/>
  <c r="AS234" i="19"/>
  <c r="AR234" i="19"/>
  <c r="AP234" i="19"/>
  <c r="BF234" i="19" s="1"/>
  <c r="AO234" i="19"/>
  <c r="T234" i="19"/>
  <c r="N234" i="19"/>
  <c r="BG233" i="19"/>
  <c r="BB233" i="19"/>
  <c r="AZ233" i="19"/>
  <c r="AW233" i="19"/>
  <c r="AV233" i="19"/>
  <c r="AU233" i="19"/>
  <c r="AS233" i="19"/>
  <c r="AR233" i="19"/>
  <c r="AP233" i="19"/>
  <c r="BF233" i="19" s="1"/>
  <c r="AO233" i="19"/>
  <c r="T233" i="19"/>
  <c r="N233" i="19"/>
  <c r="L233" i="19"/>
  <c r="BG230" i="19"/>
  <c r="BB230" i="19"/>
  <c r="AZ230" i="19"/>
  <c r="AW230" i="19"/>
  <c r="AV230" i="19"/>
  <c r="AU230" i="19"/>
  <c r="AS230" i="19"/>
  <c r="AR230" i="19"/>
  <c r="AP230" i="19"/>
  <c r="BF230" i="19" s="1"/>
  <c r="AO230" i="19"/>
  <c r="T230" i="19"/>
  <c r="N230" i="19"/>
  <c r="L230" i="19"/>
  <c r="BG229" i="19"/>
  <c r="BB229" i="19"/>
  <c r="AZ229" i="19"/>
  <c r="BD229" i="19" s="1"/>
  <c r="AW229" i="19"/>
  <c r="AV229" i="19"/>
  <c r="L229" i="19" s="1"/>
  <c r="AU229" i="19"/>
  <c r="AT229" i="19"/>
  <c r="AS229" i="19"/>
  <c r="AR229" i="19"/>
  <c r="AP229" i="19"/>
  <c r="BF229" i="19" s="1"/>
  <c r="AO229" i="19"/>
  <c r="T229" i="19"/>
  <c r="N229" i="19"/>
  <c r="BG228" i="19"/>
  <c r="BB228" i="19"/>
  <c r="AZ228" i="19"/>
  <c r="AW228" i="19"/>
  <c r="AV228" i="19"/>
  <c r="AT228" i="19"/>
  <c r="AS228" i="19"/>
  <c r="AR228" i="19"/>
  <c r="AP228" i="19"/>
  <c r="BF228" i="19" s="1"/>
  <c r="AO228" i="19"/>
  <c r="T228" i="19"/>
  <c r="N228" i="19"/>
  <c r="L228" i="19"/>
  <c r="BG227" i="19"/>
  <c r="BB227" i="19"/>
  <c r="AZ227" i="19"/>
  <c r="BD227" i="19" s="1"/>
  <c r="AW227" i="19"/>
  <c r="AV227" i="19"/>
  <c r="L227" i="19" s="1"/>
  <c r="AU227" i="19"/>
  <c r="AT227" i="19"/>
  <c r="AS227" i="19"/>
  <c r="AR227" i="19"/>
  <c r="AP227" i="19"/>
  <c r="BF227" i="19" s="1"/>
  <c r="AO227" i="19"/>
  <c r="T227" i="19"/>
  <c r="N227" i="19"/>
  <c r="BG226" i="19"/>
  <c r="BB226" i="19"/>
  <c r="AZ226" i="19"/>
  <c r="AW226" i="19"/>
  <c r="AV226" i="19"/>
  <c r="L226" i="19" s="1"/>
  <c r="AU226" i="19"/>
  <c r="AT226" i="19"/>
  <c r="AS226" i="19"/>
  <c r="AR226" i="19"/>
  <c r="AP226" i="19"/>
  <c r="BF226" i="19" s="1"/>
  <c r="AO226" i="19"/>
  <c r="T226" i="19"/>
  <c r="N226" i="19"/>
  <c r="BG225" i="19"/>
  <c r="BB225" i="19"/>
  <c r="AZ225" i="19"/>
  <c r="BD225" i="19" s="1"/>
  <c r="AW225" i="19"/>
  <c r="AV225" i="19"/>
  <c r="AU225" i="19"/>
  <c r="AS225" i="19"/>
  <c r="AR225" i="19"/>
  <c r="AP225" i="19"/>
  <c r="BF225" i="19" s="1"/>
  <c r="AO225" i="19"/>
  <c r="T225" i="19"/>
  <c r="N225" i="19"/>
  <c r="L225" i="19"/>
  <c r="BG224" i="19"/>
  <c r="BB224" i="19"/>
  <c r="AZ224" i="19"/>
  <c r="AW224" i="19"/>
  <c r="AV224" i="19"/>
  <c r="AT224" i="19"/>
  <c r="AS224" i="19"/>
  <c r="AR224" i="19"/>
  <c r="AP224" i="19"/>
  <c r="BF224" i="19" s="1"/>
  <c r="AO224" i="19"/>
  <c r="T224" i="19"/>
  <c r="N224" i="19"/>
  <c r="L224" i="19"/>
  <c r="BG223" i="19"/>
  <c r="BB223" i="19"/>
  <c r="AZ223" i="19"/>
  <c r="AW223" i="19"/>
  <c r="AV223" i="19"/>
  <c r="L223" i="19" s="1"/>
  <c r="AU223" i="19"/>
  <c r="AT223" i="19"/>
  <c r="AS223" i="19"/>
  <c r="AR223" i="19"/>
  <c r="AP223" i="19"/>
  <c r="BF223" i="19" s="1"/>
  <c r="AO223" i="19"/>
  <c r="T223" i="19"/>
  <c r="N223" i="19"/>
  <c r="BG221" i="19"/>
  <c r="BB221" i="19"/>
  <c r="AZ221" i="19"/>
  <c r="BA221" i="19" s="1"/>
  <c r="BE221" i="19" s="1"/>
  <c r="AW221" i="19"/>
  <c r="AV221" i="19"/>
  <c r="L221" i="19" s="1"/>
  <c r="AU221" i="19"/>
  <c r="AT221" i="19"/>
  <c r="AS221" i="19"/>
  <c r="AR221" i="19"/>
  <c r="AP221" i="19"/>
  <c r="BF221" i="19" s="1"/>
  <c r="AO221" i="19"/>
  <c r="T221" i="19"/>
  <c r="N221" i="19"/>
  <c r="BG220" i="19"/>
  <c r="BB220" i="19"/>
  <c r="AZ220" i="19"/>
  <c r="AW220" i="19"/>
  <c r="AV220" i="19"/>
  <c r="AU220" i="19"/>
  <c r="AT220" i="19"/>
  <c r="AS220" i="19"/>
  <c r="AR220" i="19"/>
  <c r="AP220" i="19"/>
  <c r="BF220" i="19" s="1"/>
  <c r="AO220" i="19"/>
  <c r="T220" i="19"/>
  <c r="N220" i="19"/>
  <c r="L220" i="19"/>
  <c r="BG219" i="19"/>
  <c r="BB219" i="19"/>
  <c r="AZ219" i="19"/>
  <c r="BD219" i="19" s="1"/>
  <c r="AW219" i="19"/>
  <c r="AV219" i="19"/>
  <c r="L219" i="19" s="1"/>
  <c r="AT219" i="19"/>
  <c r="BH219" i="19" s="1"/>
  <c r="AS219" i="19"/>
  <c r="AR219" i="19"/>
  <c r="AP219" i="19"/>
  <c r="BF219" i="19" s="1"/>
  <c r="AO219" i="19"/>
  <c r="T219" i="19"/>
  <c r="N219" i="19"/>
  <c r="BG218" i="19"/>
  <c r="BB218" i="19"/>
  <c r="AZ218" i="19"/>
  <c r="BD218" i="19" s="1"/>
  <c r="AW218" i="19"/>
  <c r="AV218" i="19"/>
  <c r="AT218" i="19"/>
  <c r="AS218" i="19"/>
  <c r="AR218" i="19"/>
  <c r="AP218" i="19"/>
  <c r="BF218" i="19" s="1"/>
  <c r="AO218" i="19"/>
  <c r="T218" i="19"/>
  <c r="N218" i="19"/>
  <c r="L218" i="19"/>
  <c r="BG217" i="19"/>
  <c r="BB217" i="19"/>
  <c r="AZ217" i="19"/>
  <c r="AW217" i="19"/>
  <c r="AV217" i="19"/>
  <c r="L217" i="19" s="1"/>
  <c r="AU217" i="19"/>
  <c r="AT217" i="19"/>
  <c r="AS217" i="19"/>
  <c r="AR217" i="19"/>
  <c r="AP217" i="19"/>
  <c r="BF217" i="19" s="1"/>
  <c r="AO217" i="19"/>
  <c r="T217" i="19"/>
  <c r="N217" i="19"/>
  <c r="BG216" i="19"/>
  <c r="BB216" i="19"/>
  <c r="AZ216" i="19"/>
  <c r="AW216" i="19"/>
  <c r="AV216" i="19"/>
  <c r="L216" i="19" s="1"/>
  <c r="AU216" i="19"/>
  <c r="AT216" i="19"/>
  <c r="AS216" i="19"/>
  <c r="AR216" i="19"/>
  <c r="AP216" i="19"/>
  <c r="BF216" i="19" s="1"/>
  <c r="AO216" i="19"/>
  <c r="T216" i="19"/>
  <c r="N216" i="19"/>
  <c r="BG215" i="19"/>
  <c r="BB215" i="19"/>
  <c r="AZ215" i="19"/>
  <c r="AW215" i="19"/>
  <c r="AV215" i="19"/>
  <c r="L215" i="19" s="1"/>
  <c r="AT215" i="19"/>
  <c r="BH215" i="19" s="1"/>
  <c r="AS215" i="19"/>
  <c r="AR215" i="19"/>
  <c r="AP215" i="19"/>
  <c r="BF215" i="19" s="1"/>
  <c r="AO215" i="19"/>
  <c r="T215" i="19"/>
  <c r="N215" i="19"/>
  <c r="BG214" i="19"/>
  <c r="BB214" i="19"/>
  <c r="BA214" i="19"/>
  <c r="BE214" i="19" s="1"/>
  <c r="AZ214" i="19"/>
  <c r="AW214" i="19"/>
  <c r="AV214" i="19"/>
  <c r="L214" i="19" s="1"/>
  <c r="AU214" i="19"/>
  <c r="AT214" i="19"/>
  <c r="AS214" i="19"/>
  <c r="AR214" i="19"/>
  <c r="AP214" i="19"/>
  <c r="BF214" i="19" s="1"/>
  <c r="AO214" i="19"/>
  <c r="T214" i="19"/>
  <c r="N214" i="19"/>
  <c r="BG211" i="19"/>
  <c r="BB211" i="19"/>
  <c r="AZ211" i="19"/>
  <c r="AW211" i="19"/>
  <c r="AV211" i="19"/>
  <c r="L211" i="19" s="1"/>
  <c r="AU211" i="19"/>
  <c r="AT211" i="19"/>
  <c r="AS211" i="19"/>
  <c r="AR211" i="19"/>
  <c r="AP211" i="19"/>
  <c r="BF211" i="19" s="1"/>
  <c r="AO211" i="19"/>
  <c r="T211" i="19"/>
  <c r="N211" i="19"/>
  <c r="BG208" i="19"/>
  <c r="BB208" i="19"/>
  <c r="AZ208" i="19"/>
  <c r="AW208" i="19"/>
  <c r="AV208" i="19"/>
  <c r="L208" i="19" s="1"/>
  <c r="AU208" i="19"/>
  <c r="AT208" i="19"/>
  <c r="AS208" i="19"/>
  <c r="AR208" i="19"/>
  <c r="AP208" i="19"/>
  <c r="BF208" i="19" s="1"/>
  <c r="AO208" i="19"/>
  <c r="T208" i="19"/>
  <c r="N208" i="19"/>
  <c r="BG207" i="19"/>
  <c r="BB207" i="19"/>
  <c r="AZ207" i="19"/>
  <c r="BA207" i="19" s="1"/>
  <c r="BE207" i="19" s="1"/>
  <c r="AW207" i="19"/>
  <c r="AV207" i="19"/>
  <c r="AU207" i="19"/>
  <c r="AS207" i="19"/>
  <c r="AR207" i="19"/>
  <c r="AP207" i="19"/>
  <c r="BF207" i="19" s="1"/>
  <c r="AO207" i="19"/>
  <c r="T207" i="19"/>
  <c r="N207" i="19"/>
  <c r="L207" i="19"/>
  <c r="BG206" i="19"/>
  <c r="BB206" i="19"/>
  <c r="AZ206" i="19"/>
  <c r="AW206" i="19"/>
  <c r="AV206" i="19"/>
  <c r="AT206" i="19"/>
  <c r="AS206" i="19"/>
  <c r="AR206" i="19"/>
  <c r="AP206" i="19"/>
  <c r="BF206" i="19" s="1"/>
  <c r="AO206" i="19"/>
  <c r="T206" i="19"/>
  <c r="N206" i="19"/>
  <c r="L206" i="19"/>
  <c r="BG197" i="19"/>
  <c r="BB197" i="19"/>
  <c r="AZ197" i="19"/>
  <c r="AW197" i="19"/>
  <c r="AV197" i="19"/>
  <c r="L197" i="19" s="1"/>
  <c r="AU197" i="19"/>
  <c r="AT197" i="19"/>
  <c r="AS197" i="19"/>
  <c r="AR197" i="19"/>
  <c r="AP197" i="19"/>
  <c r="BF197" i="19" s="1"/>
  <c r="AO197" i="19"/>
  <c r="T197" i="19"/>
  <c r="N197" i="19"/>
  <c r="BG191" i="19"/>
  <c r="BB191" i="19"/>
  <c r="AZ191" i="19"/>
  <c r="AW191" i="19"/>
  <c r="AV191" i="19"/>
  <c r="L191" i="19" s="1"/>
  <c r="AU191" i="19"/>
  <c r="AT191" i="19"/>
  <c r="AS191" i="19"/>
  <c r="AR191" i="19"/>
  <c r="AP191" i="19"/>
  <c r="BF191" i="19" s="1"/>
  <c r="AO191" i="19"/>
  <c r="T191" i="19"/>
  <c r="N191" i="19"/>
  <c r="BG188" i="19"/>
  <c r="BB188" i="19"/>
  <c r="AZ188" i="19"/>
  <c r="AW188" i="19"/>
  <c r="AV188" i="19"/>
  <c r="L188" i="19" s="1"/>
  <c r="AU188" i="19"/>
  <c r="AT188" i="19"/>
  <c r="AS188" i="19"/>
  <c r="AR188" i="19"/>
  <c r="AP188" i="19"/>
  <c r="BF188" i="19" s="1"/>
  <c r="AO188" i="19"/>
  <c r="T188" i="19"/>
  <c r="N188" i="19"/>
  <c r="BG177" i="19"/>
  <c r="BB177" i="19"/>
  <c r="AZ177" i="19"/>
  <c r="BA177" i="19" s="1"/>
  <c r="BE177" i="19" s="1"/>
  <c r="AW177" i="19"/>
  <c r="AV177" i="19"/>
  <c r="L177" i="19" s="1"/>
  <c r="AU177" i="19"/>
  <c r="AT177" i="19"/>
  <c r="AS177" i="19"/>
  <c r="AR177" i="19"/>
  <c r="AP177" i="19"/>
  <c r="BF177" i="19" s="1"/>
  <c r="AO177" i="19"/>
  <c r="T177" i="19"/>
  <c r="N177" i="19"/>
  <c r="BG169" i="19"/>
  <c r="BB169" i="19"/>
  <c r="AZ169" i="19"/>
  <c r="BD169" i="19" s="1"/>
  <c r="AW169" i="19"/>
  <c r="AV169" i="19"/>
  <c r="AU169" i="19"/>
  <c r="AT169" i="19"/>
  <c r="AS169" i="19"/>
  <c r="AR169" i="19"/>
  <c r="AP169" i="19"/>
  <c r="BF169" i="19" s="1"/>
  <c r="AO169" i="19"/>
  <c r="T169" i="19"/>
  <c r="N169" i="19"/>
  <c r="L169" i="19"/>
  <c r="BG168" i="19"/>
  <c r="BB168" i="19"/>
  <c r="AZ168" i="19"/>
  <c r="AW168" i="19"/>
  <c r="AV168" i="19"/>
  <c r="L168" i="19" s="1"/>
  <c r="AU168" i="19"/>
  <c r="AT168" i="19"/>
  <c r="AS168" i="19"/>
  <c r="AR168" i="19"/>
  <c r="AP168" i="19"/>
  <c r="BF168" i="19" s="1"/>
  <c r="AO168" i="19"/>
  <c r="T168" i="19"/>
  <c r="N168" i="19"/>
  <c r="BG167" i="19"/>
  <c r="BB167" i="19"/>
  <c r="AZ167" i="19"/>
  <c r="BD167" i="19" s="1"/>
  <c r="AW167" i="19"/>
  <c r="AV167" i="19"/>
  <c r="AU167" i="19"/>
  <c r="AT167" i="19"/>
  <c r="AS167" i="19"/>
  <c r="AR167" i="19"/>
  <c r="AP167" i="19"/>
  <c r="BF167" i="19" s="1"/>
  <c r="AO167" i="19"/>
  <c r="T167" i="19"/>
  <c r="N167" i="19"/>
  <c r="L167" i="19"/>
  <c r="BG166" i="19"/>
  <c r="BB166" i="19"/>
  <c r="AZ166" i="19"/>
  <c r="AW166" i="19"/>
  <c r="BC166" i="19" s="1"/>
  <c r="AV166" i="19"/>
  <c r="L166" i="19" s="1"/>
  <c r="AU166" i="19"/>
  <c r="AT166" i="19"/>
  <c r="AS166" i="19"/>
  <c r="AR166" i="19"/>
  <c r="AP166" i="19"/>
  <c r="BF166" i="19" s="1"/>
  <c r="AO166" i="19"/>
  <c r="T166" i="19"/>
  <c r="N166" i="19"/>
  <c r="BG165" i="19"/>
  <c r="BB165" i="19"/>
  <c r="AZ165" i="19"/>
  <c r="AW165" i="19"/>
  <c r="BC165" i="19" s="1"/>
  <c r="AV165" i="19"/>
  <c r="L165" i="19" s="1"/>
  <c r="AU165" i="19"/>
  <c r="AT165" i="19"/>
  <c r="AS165" i="19"/>
  <c r="AR165" i="19"/>
  <c r="AP165" i="19"/>
  <c r="BF165" i="19" s="1"/>
  <c r="AO165" i="19"/>
  <c r="T165" i="19"/>
  <c r="N165" i="19"/>
  <c r="BG157" i="19"/>
  <c r="BB157" i="19"/>
  <c r="AZ157" i="19"/>
  <c r="BA157" i="19" s="1"/>
  <c r="BE157" i="19" s="1"/>
  <c r="AW157" i="19"/>
  <c r="AV157" i="19"/>
  <c r="AU157" i="19"/>
  <c r="AT157" i="19"/>
  <c r="BH157" i="19" s="1"/>
  <c r="AS157" i="19"/>
  <c r="AR157" i="19"/>
  <c r="AP157" i="19"/>
  <c r="BF157" i="19" s="1"/>
  <c r="AO157" i="19"/>
  <c r="T157" i="19"/>
  <c r="N157" i="19"/>
  <c r="L157" i="19"/>
  <c r="BG155" i="19"/>
  <c r="BB155" i="19"/>
  <c r="AZ155" i="19"/>
  <c r="AW155" i="19"/>
  <c r="BC155" i="19" s="1"/>
  <c r="AV155" i="19"/>
  <c r="L155" i="19" s="1"/>
  <c r="AU155" i="19"/>
  <c r="AT155" i="19"/>
  <c r="AS155" i="19"/>
  <c r="AR155" i="19"/>
  <c r="AP155" i="19"/>
  <c r="BF155" i="19" s="1"/>
  <c r="AO155" i="19"/>
  <c r="T155" i="19"/>
  <c r="N155" i="19"/>
  <c r="BG153" i="19"/>
  <c r="BB153" i="19"/>
  <c r="AZ153" i="19"/>
  <c r="AW153" i="19"/>
  <c r="AV153" i="19"/>
  <c r="AU153" i="19"/>
  <c r="AS153" i="19"/>
  <c r="AR153" i="19"/>
  <c r="AP153" i="19"/>
  <c r="BF153" i="19" s="1"/>
  <c r="AO153" i="19"/>
  <c r="T153" i="19"/>
  <c r="N153" i="19"/>
  <c r="L153" i="19"/>
  <c r="BG152" i="19"/>
  <c r="BB152" i="19"/>
  <c r="AZ152" i="19"/>
  <c r="AW152" i="19"/>
  <c r="AV152" i="19"/>
  <c r="AU152" i="19"/>
  <c r="AT152" i="19"/>
  <c r="AS152" i="19"/>
  <c r="AR152" i="19"/>
  <c r="AP152" i="19"/>
  <c r="BF152" i="19" s="1"/>
  <c r="AO152" i="19"/>
  <c r="T152" i="19"/>
  <c r="N152" i="19"/>
  <c r="L152" i="19"/>
  <c r="BG151" i="19"/>
  <c r="BB151" i="19"/>
  <c r="AZ151" i="19"/>
  <c r="AW151" i="19"/>
  <c r="BA151" i="19" s="1"/>
  <c r="BE151" i="19" s="1"/>
  <c r="AV151" i="19"/>
  <c r="AU151" i="19"/>
  <c r="AS151" i="19"/>
  <c r="AR151" i="19"/>
  <c r="AP151" i="19"/>
  <c r="BF151" i="19" s="1"/>
  <c r="AO151" i="19"/>
  <c r="T151" i="19"/>
  <c r="N151" i="19"/>
  <c r="L151" i="19"/>
  <c r="BG150" i="19"/>
  <c r="BB150" i="19"/>
  <c r="AZ150" i="19"/>
  <c r="AW150" i="19"/>
  <c r="AV150" i="19"/>
  <c r="L150" i="19" s="1"/>
  <c r="AU150" i="19"/>
  <c r="AS150" i="19"/>
  <c r="AR150" i="19"/>
  <c r="AP150" i="19"/>
  <c r="BF150" i="19" s="1"/>
  <c r="AO150" i="19"/>
  <c r="T150" i="19"/>
  <c r="N150" i="19"/>
  <c r="BG149" i="19"/>
  <c r="BB149" i="19"/>
  <c r="AZ149" i="19"/>
  <c r="AW149" i="19"/>
  <c r="AV149" i="19"/>
  <c r="AT149" i="19"/>
  <c r="AS149" i="19"/>
  <c r="AR149" i="19"/>
  <c r="AP149" i="19"/>
  <c r="BF149" i="19" s="1"/>
  <c r="AO149" i="19"/>
  <c r="T149" i="19"/>
  <c r="N149" i="19"/>
  <c r="L149" i="19"/>
  <c r="BG148" i="19"/>
  <c r="BB148" i="19"/>
  <c r="AZ148" i="19"/>
  <c r="AW148" i="19"/>
  <c r="BA148" i="19" s="1"/>
  <c r="BE148" i="19" s="1"/>
  <c r="AV148" i="19"/>
  <c r="L148" i="19" s="1"/>
  <c r="AU148" i="19"/>
  <c r="AT148" i="19"/>
  <c r="AS148" i="19"/>
  <c r="AR148" i="19"/>
  <c r="AP148" i="19"/>
  <c r="BF148" i="19" s="1"/>
  <c r="AO148" i="19"/>
  <c r="T148" i="19"/>
  <c r="N148" i="19"/>
  <c r="BG147" i="19"/>
  <c r="BB147" i="19"/>
  <c r="AZ147" i="19"/>
  <c r="BD147" i="19" s="1"/>
  <c r="AW147" i="19"/>
  <c r="AV147" i="19"/>
  <c r="AU147" i="19"/>
  <c r="AT147" i="19"/>
  <c r="AS147" i="19"/>
  <c r="AR147" i="19"/>
  <c r="AP147" i="19"/>
  <c r="BF147" i="19" s="1"/>
  <c r="AO147" i="19"/>
  <c r="T147" i="19"/>
  <c r="N147" i="19"/>
  <c r="L147" i="19"/>
  <c r="BG146" i="19"/>
  <c r="BB146" i="19"/>
  <c r="AZ146" i="19"/>
  <c r="AW146" i="19"/>
  <c r="BA146" i="19" s="1"/>
  <c r="BE146" i="19" s="1"/>
  <c r="AV146" i="19"/>
  <c r="L146" i="19" s="1"/>
  <c r="AU146" i="19"/>
  <c r="AT146" i="19"/>
  <c r="AS146" i="19"/>
  <c r="AR146" i="19"/>
  <c r="AP146" i="19"/>
  <c r="BF146" i="19" s="1"/>
  <c r="AO146" i="19"/>
  <c r="T146" i="19"/>
  <c r="N146" i="19"/>
  <c r="BG145" i="19"/>
  <c r="BB145" i="19"/>
  <c r="AZ145" i="19"/>
  <c r="BA145" i="19" s="1"/>
  <c r="BE145" i="19" s="1"/>
  <c r="AW145" i="19"/>
  <c r="AV145" i="19"/>
  <c r="L145" i="19" s="1"/>
  <c r="AU145" i="19"/>
  <c r="AT145" i="19"/>
  <c r="AS145" i="19"/>
  <c r="AR145" i="19"/>
  <c r="AP145" i="19"/>
  <c r="BF145" i="19" s="1"/>
  <c r="AO145" i="19"/>
  <c r="T145" i="19"/>
  <c r="N145" i="19"/>
  <c r="BG144" i="19"/>
  <c r="BB144" i="19"/>
  <c r="AZ144" i="19"/>
  <c r="AW144" i="19"/>
  <c r="AV144" i="19"/>
  <c r="AU144" i="19"/>
  <c r="AT144" i="19"/>
  <c r="AS144" i="19"/>
  <c r="AR144" i="19"/>
  <c r="AP144" i="19"/>
  <c r="BF144" i="19" s="1"/>
  <c r="AO144" i="19"/>
  <c r="T144" i="19"/>
  <c r="N144" i="19"/>
  <c r="L144" i="19"/>
  <c r="BG143" i="19"/>
  <c r="BB143" i="19"/>
  <c r="AZ143" i="19"/>
  <c r="AW143" i="19"/>
  <c r="BC143" i="19" s="1"/>
  <c r="AV143" i="19"/>
  <c r="L143" i="19" s="1"/>
  <c r="AT143" i="19"/>
  <c r="AS143" i="19"/>
  <c r="AR143" i="19"/>
  <c r="AP143" i="19"/>
  <c r="BF143" i="19" s="1"/>
  <c r="AO143" i="19"/>
  <c r="T143" i="19"/>
  <c r="N143" i="19"/>
  <c r="BG142" i="19"/>
  <c r="BB142" i="19"/>
  <c r="AZ142" i="19"/>
  <c r="BD142" i="19" s="1"/>
  <c r="AW142" i="19"/>
  <c r="AV142" i="19"/>
  <c r="AT142" i="19"/>
  <c r="BH142" i="19" s="1"/>
  <c r="AS142" i="19"/>
  <c r="AR142" i="19"/>
  <c r="AP142" i="19"/>
  <c r="BF142" i="19" s="1"/>
  <c r="AO142" i="19"/>
  <c r="T142" i="19"/>
  <c r="N142" i="19"/>
  <c r="L142" i="19"/>
  <c r="BG141" i="19"/>
  <c r="BB141" i="19"/>
  <c r="AZ141" i="19"/>
  <c r="AW141" i="19"/>
  <c r="AV141" i="19"/>
  <c r="L141" i="19" s="1"/>
  <c r="AU141" i="19"/>
  <c r="AT141" i="19"/>
  <c r="AS141" i="19"/>
  <c r="AR141" i="19"/>
  <c r="AP141" i="19"/>
  <c r="BF141" i="19" s="1"/>
  <c r="AO141" i="19"/>
  <c r="T141" i="19"/>
  <c r="N141" i="19"/>
  <c r="BG140" i="19"/>
  <c r="BB140" i="19"/>
  <c r="AZ140" i="19"/>
  <c r="AW140" i="19"/>
  <c r="AV140" i="19"/>
  <c r="L140" i="19" s="1"/>
  <c r="AU140" i="19"/>
  <c r="AT140" i="19"/>
  <c r="AS140" i="19"/>
  <c r="AR140" i="19"/>
  <c r="AP140" i="19"/>
  <c r="BF140" i="19" s="1"/>
  <c r="AO140" i="19"/>
  <c r="T140" i="19"/>
  <c r="N140" i="19"/>
  <c r="BG139" i="19"/>
  <c r="BB139" i="19"/>
  <c r="AZ139" i="19"/>
  <c r="AW139" i="19"/>
  <c r="AV139" i="19"/>
  <c r="L139" i="19" s="1"/>
  <c r="AU139" i="19"/>
  <c r="AT139" i="19"/>
  <c r="BH139" i="19" s="1"/>
  <c r="AS139" i="19"/>
  <c r="AR139" i="19"/>
  <c r="AP139" i="19"/>
  <c r="BF139" i="19" s="1"/>
  <c r="AO139" i="19"/>
  <c r="T139" i="19"/>
  <c r="N139" i="19"/>
  <c r="BG138" i="19"/>
  <c r="BB138" i="19"/>
  <c r="AZ138" i="19"/>
  <c r="BA138" i="19" s="1"/>
  <c r="BE138" i="19" s="1"/>
  <c r="AW138" i="19"/>
  <c r="AV138" i="19"/>
  <c r="L138" i="19" s="1"/>
  <c r="AU138" i="19"/>
  <c r="AT138" i="19"/>
  <c r="AS138" i="19"/>
  <c r="AR138" i="19"/>
  <c r="AP138" i="19"/>
  <c r="BF138" i="19" s="1"/>
  <c r="AO138" i="19"/>
  <c r="T138" i="19"/>
  <c r="N138" i="19"/>
  <c r="BG137" i="19"/>
  <c r="BB137" i="19"/>
  <c r="AZ137" i="19"/>
  <c r="AW137" i="19"/>
  <c r="AV137" i="19"/>
  <c r="L137" i="19" s="1"/>
  <c r="AU137" i="19"/>
  <c r="AT137" i="19"/>
  <c r="AS137" i="19"/>
  <c r="AR137" i="19"/>
  <c r="AP137" i="19"/>
  <c r="BF137" i="19" s="1"/>
  <c r="AO137" i="19"/>
  <c r="T137" i="19"/>
  <c r="N137" i="19"/>
  <c r="BG136" i="19"/>
  <c r="BB136" i="19"/>
  <c r="AZ136" i="19"/>
  <c r="AW136" i="19"/>
  <c r="AV136" i="19"/>
  <c r="L136" i="19" s="1"/>
  <c r="AU136" i="19"/>
  <c r="AT136" i="19"/>
  <c r="AS136" i="19"/>
  <c r="AR136" i="19"/>
  <c r="AP136" i="19"/>
  <c r="BF136" i="19" s="1"/>
  <c r="AO136" i="19"/>
  <c r="T136" i="19"/>
  <c r="N136" i="19"/>
  <c r="BG135" i="19"/>
  <c r="BB135" i="19"/>
  <c r="AZ135" i="19"/>
  <c r="AW135" i="19"/>
  <c r="AV135" i="19"/>
  <c r="L135" i="19" s="1"/>
  <c r="AU135" i="19"/>
  <c r="AT135" i="19"/>
  <c r="BH135" i="19" s="1"/>
  <c r="AS135" i="19"/>
  <c r="AR135" i="19"/>
  <c r="AP135" i="19"/>
  <c r="BF135" i="19" s="1"/>
  <c r="AO135" i="19"/>
  <c r="T135" i="19"/>
  <c r="N135" i="19"/>
  <c r="BG134" i="19"/>
  <c r="BB134" i="19"/>
  <c r="AZ134" i="19"/>
  <c r="BA134" i="19" s="1"/>
  <c r="BE134" i="19" s="1"/>
  <c r="AW134" i="19"/>
  <c r="AV134" i="19"/>
  <c r="L134" i="19" s="1"/>
  <c r="AU134" i="19"/>
  <c r="AT134" i="19"/>
  <c r="AS134" i="19"/>
  <c r="AR134" i="19"/>
  <c r="AP134" i="19"/>
  <c r="BF134" i="19" s="1"/>
  <c r="AO134" i="19"/>
  <c r="T134" i="19"/>
  <c r="N134" i="19"/>
  <c r="BG133" i="19"/>
  <c r="BB133" i="19"/>
  <c r="AZ133" i="19"/>
  <c r="AW133" i="19"/>
  <c r="AV133" i="19"/>
  <c r="L133" i="19" s="1"/>
  <c r="AU133" i="19"/>
  <c r="AS133" i="19"/>
  <c r="AR133" i="19"/>
  <c r="AP133" i="19"/>
  <c r="BF133" i="19" s="1"/>
  <c r="AO133" i="19"/>
  <c r="T133" i="19"/>
  <c r="N133" i="19"/>
  <c r="BG132" i="19"/>
  <c r="BB132" i="19"/>
  <c r="AZ132" i="19"/>
  <c r="AW132" i="19"/>
  <c r="AV132" i="19"/>
  <c r="L132" i="19" s="1"/>
  <c r="AU132" i="19"/>
  <c r="AT132" i="19"/>
  <c r="AS132" i="19"/>
  <c r="AR132" i="19"/>
  <c r="AP132" i="19"/>
  <c r="BF132" i="19" s="1"/>
  <c r="AO132" i="19"/>
  <c r="T132" i="19"/>
  <c r="N132" i="19"/>
  <c r="BG131" i="19"/>
  <c r="BB131" i="19"/>
  <c r="AZ131" i="19"/>
  <c r="BA131" i="19" s="1"/>
  <c r="BE131" i="19" s="1"/>
  <c r="AW131" i="19"/>
  <c r="AV131" i="19"/>
  <c r="L131" i="19" s="1"/>
  <c r="AU131" i="19"/>
  <c r="AT131" i="19"/>
  <c r="AS131" i="19"/>
  <c r="AR131" i="19"/>
  <c r="AP131" i="19"/>
  <c r="BF131" i="19" s="1"/>
  <c r="AO131" i="19"/>
  <c r="T131" i="19"/>
  <c r="N131" i="19"/>
  <c r="BG130" i="19"/>
  <c r="BB130" i="19"/>
  <c r="AZ130" i="19"/>
  <c r="AW130" i="19"/>
  <c r="AV130" i="19"/>
  <c r="L130" i="19" s="1"/>
  <c r="AU130" i="19"/>
  <c r="AT130" i="19"/>
  <c r="AS130" i="19"/>
  <c r="AR130" i="19"/>
  <c r="AP130" i="19"/>
  <c r="BF130" i="19" s="1"/>
  <c r="AO130" i="19"/>
  <c r="T130" i="19"/>
  <c r="N130" i="19"/>
  <c r="BG129" i="19"/>
  <c r="BB129" i="19"/>
  <c r="AZ129" i="19"/>
  <c r="BA129" i="19" s="1"/>
  <c r="BE129" i="19" s="1"/>
  <c r="AW129" i="19"/>
  <c r="AV129" i="19"/>
  <c r="L129" i="19" s="1"/>
  <c r="AU129" i="19"/>
  <c r="AT129" i="19"/>
  <c r="AS129" i="19"/>
  <c r="AR129" i="19"/>
  <c r="AP129" i="19"/>
  <c r="BF129" i="19" s="1"/>
  <c r="AO129" i="19"/>
  <c r="T129" i="19"/>
  <c r="N129" i="19"/>
  <c r="BG128" i="19"/>
  <c r="BB128" i="19"/>
  <c r="AZ128" i="19"/>
  <c r="BA128" i="19" s="1"/>
  <c r="BE128" i="19" s="1"/>
  <c r="AW128" i="19"/>
  <c r="AV128" i="19"/>
  <c r="AT128" i="19"/>
  <c r="AS128" i="19"/>
  <c r="AR128" i="19"/>
  <c r="AP128" i="19"/>
  <c r="BF128" i="19" s="1"/>
  <c r="AO128" i="19"/>
  <c r="T128" i="19"/>
  <c r="N128" i="19"/>
  <c r="L128" i="19"/>
  <c r="BG127" i="19"/>
  <c r="BB127" i="19"/>
  <c r="AZ127" i="19"/>
  <c r="AW127" i="19"/>
  <c r="AV127" i="19"/>
  <c r="AU127" i="19"/>
  <c r="AT127" i="19"/>
  <c r="AS127" i="19"/>
  <c r="AR127" i="19"/>
  <c r="AP127" i="19"/>
  <c r="BF127" i="19" s="1"/>
  <c r="AO127" i="19"/>
  <c r="T127" i="19"/>
  <c r="N127" i="19"/>
  <c r="L127" i="19"/>
  <c r="BG124" i="19"/>
  <c r="BB124" i="19"/>
  <c r="AZ124" i="19"/>
  <c r="AW124" i="19"/>
  <c r="AV124" i="19"/>
  <c r="L124" i="19" s="1"/>
  <c r="AU124" i="19"/>
  <c r="AT124" i="19"/>
  <c r="AS124" i="19"/>
  <c r="AR124" i="19"/>
  <c r="AP124" i="19"/>
  <c r="BF124" i="19" s="1"/>
  <c r="AO124" i="19"/>
  <c r="T124" i="19"/>
  <c r="N124" i="19"/>
  <c r="BG123" i="19"/>
  <c r="BB123" i="19"/>
  <c r="AZ123" i="19"/>
  <c r="AW123" i="19"/>
  <c r="AV123" i="19"/>
  <c r="L123" i="19" s="1"/>
  <c r="AU123" i="19"/>
  <c r="AT123" i="19"/>
  <c r="AS123" i="19"/>
  <c r="AR123" i="19"/>
  <c r="AP123" i="19"/>
  <c r="BF123" i="19" s="1"/>
  <c r="AO123" i="19"/>
  <c r="T123" i="19"/>
  <c r="N123" i="19"/>
  <c r="BG122" i="19"/>
  <c r="BH122" i="19" s="1"/>
  <c r="BB122" i="19"/>
  <c r="AZ122" i="19"/>
  <c r="AW122" i="19"/>
  <c r="AV122" i="19"/>
  <c r="AU122" i="19"/>
  <c r="AS122" i="19"/>
  <c r="AR122" i="19"/>
  <c r="AP122" i="19"/>
  <c r="BF122" i="19" s="1"/>
  <c r="AO122" i="19"/>
  <c r="T122" i="19"/>
  <c r="N122" i="19"/>
  <c r="L122" i="19"/>
  <c r="BG120" i="19"/>
  <c r="BB120" i="19"/>
  <c r="AZ120" i="19"/>
  <c r="BD120" i="19" s="1"/>
  <c r="AW120" i="19"/>
  <c r="AV120" i="19"/>
  <c r="L120" i="19" s="1"/>
  <c r="AT120" i="19"/>
  <c r="AS120" i="19"/>
  <c r="AR120" i="19"/>
  <c r="AP120" i="19"/>
  <c r="BF120" i="19" s="1"/>
  <c r="AO120" i="19"/>
  <c r="T120" i="19"/>
  <c r="N120" i="19"/>
  <c r="BG119" i="19"/>
  <c r="BB119" i="19"/>
  <c r="AZ119" i="19"/>
  <c r="BD119" i="19" s="1"/>
  <c r="AW119" i="19"/>
  <c r="AV119" i="19"/>
  <c r="AT119" i="19"/>
  <c r="AS119" i="19"/>
  <c r="AR119" i="19"/>
  <c r="AP119" i="19"/>
  <c r="BF119" i="19" s="1"/>
  <c r="AO119" i="19"/>
  <c r="T119" i="19"/>
  <c r="N119" i="19"/>
  <c r="L119" i="19"/>
  <c r="BG117" i="19"/>
  <c r="BB117" i="19"/>
  <c r="AZ117" i="19"/>
  <c r="AW117" i="19"/>
  <c r="AV117" i="19"/>
  <c r="AS117" i="19"/>
  <c r="AR117" i="19"/>
  <c r="AP117" i="19"/>
  <c r="BF117" i="19" s="1"/>
  <c r="AO117" i="19"/>
  <c r="T117" i="19"/>
  <c r="N117" i="19"/>
  <c r="L117" i="19"/>
  <c r="BG116" i="19"/>
  <c r="BB116" i="19"/>
  <c r="AZ116" i="19"/>
  <c r="AW116" i="19"/>
  <c r="AV116" i="19"/>
  <c r="L116" i="19" s="1"/>
  <c r="AU116" i="19"/>
  <c r="AS116" i="19"/>
  <c r="AR116" i="19"/>
  <c r="AP116" i="19"/>
  <c r="BF116" i="19" s="1"/>
  <c r="AO116" i="19"/>
  <c r="T116" i="19"/>
  <c r="N116" i="19"/>
  <c r="BG115" i="19"/>
  <c r="BB115" i="19"/>
  <c r="AZ115" i="19"/>
  <c r="BD115" i="19" s="1"/>
  <c r="AW115" i="19"/>
  <c r="AV115" i="19"/>
  <c r="L115" i="19" s="1"/>
  <c r="AU115" i="19"/>
  <c r="AT115" i="19"/>
  <c r="BH115" i="19" s="1"/>
  <c r="AS115" i="19"/>
  <c r="AR115" i="19"/>
  <c r="AP115" i="19"/>
  <c r="BF115" i="19" s="1"/>
  <c r="AO115" i="19"/>
  <c r="T115" i="19"/>
  <c r="N115" i="19"/>
  <c r="BG114" i="19"/>
  <c r="BB114" i="19"/>
  <c r="AZ114" i="19"/>
  <c r="AW114" i="19"/>
  <c r="AV114" i="19"/>
  <c r="L114" i="19" s="1"/>
  <c r="AU114" i="19"/>
  <c r="AT114" i="19"/>
  <c r="AS114" i="19"/>
  <c r="AR114" i="19"/>
  <c r="AP114" i="19"/>
  <c r="BF114" i="19" s="1"/>
  <c r="AO114" i="19"/>
  <c r="T114" i="19"/>
  <c r="N114" i="19"/>
  <c r="BG113" i="19"/>
  <c r="BB113" i="19"/>
  <c r="AZ113" i="19"/>
  <c r="BA113" i="19" s="1"/>
  <c r="BE113" i="19" s="1"/>
  <c r="AW113" i="19"/>
  <c r="AV113" i="19"/>
  <c r="L113" i="19" s="1"/>
  <c r="AU113" i="19"/>
  <c r="AT113" i="19"/>
  <c r="AS113" i="19"/>
  <c r="AR113" i="19"/>
  <c r="AP113" i="19"/>
  <c r="BF113" i="19" s="1"/>
  <c r="AO113" i="19"/>
  <c r="T113" i="19"/>
  <c r="N113" i="19"/>
  <c r="BG112" i="19"/>
  <c r="BB112" i="19"/>
  <c r="AZ112" i="19"/>
  <c r="AW112" i="19"/>
  <c r="AV112" i="19"/>
  <c r="L112" i="19" s="1"/>
  <c r="AU112" i="19"/>
  <c r="AT112" i="19"/>
  <c r="AS112" i="19"/>
  <c r="AR112" i="19"/>
  <c r="AP112" i="19"/>
  <c r="BF112" i="19" s="1"/>
  <c r="AO112" i="19"/>
  <c r="T112" i="19"/>
  <c r="N112" i="19"/>
  <c r="BG111" i="19"/>
  <c r="BB111" i="19"/>
  <c r="AZ111" i="19"/>
  <c r="AW111" i="19"/>
  <c r="AV111" i="19"/>
  <c r="L111" i="19" s="1"/>
  <c r="AU111" i="19"/>
  <c r="AT111" i="19"/>
  <c r="AS111" i="19"/>
  <c r="AR111" i="19"/>
  <c r="AP111" i="19"/>
  <c r="BF111" i="19" s="1"/>
  <c r="AO111" i="19"/>
  <c r="T111" i="19"/>
  <c r="N111" i="19"/>
  <c r="BG110" i="19"/>
  <c r="BB110" i="19"/>
  <c r="AZ110" i="19"/>
  <c r="AW110" i="19"/>
  <c r="AV110" i="19"/>
  <c r="L110" i="19" s="1"/>
  <c r="AU110" i="19"/>
  <c r="AT110" i="19"/>
  <c r="AS110" i="19"/>
  <c r="AR110" i="19"/>
  <c r="AP110" i="19"/>
  <c r="BF110" i="19" s="1"/>
  <c r="AO110" i="19"/>
  <c r="T110" i="19"/>
  <c r="N110" i="19"/>
  <c r="BG109" i="19"/>
  <c r="BB109" i="19"/>
  <c r="AZ109" i="19"/>
  <c r="AW109" i="19"/>
  <c r="BC109" i="19" s="1"/>
  <c r="AV109" i="19"/>
  <c r="AU109" i="19"/>
  <c r="AT109" i="19"/>
  <c r="AS109" i="19"/>
  <c r="AR109" i="19"/>
  <c r="AP109" i="19"/>
  <c r="BF109" i="19" s="1"/>
  <c r="AO109" i="19"/>
  <c r="T109" i="19"/>
  <c r="N109" i="19"/>
  <c r="L109" i="19"/>
  <c r="BG108" i="19"/>
  <c r="BB108" i="19"/>
  <c r="AZ108" i="19"/>
  <c r="AW108" i="19"/>
  <c r="BA108" i="19" s="1"/>
  <c r="BE108" i="19" s="1"/>
  <c r="AV108" i="19"/>
  <c r="AU108" i="19"/>
  <c r="AT108" i="19"/>
  <c r="AS108" i="19"/>
  <c r="AR108" i="19"/>
  <c r="AP108" i="19"/>
  <c r="BF108" i="19" s="1"/>
  <c r="AO108" i="19"/>
  <c r="T108" i="19"/>
  <c r="N108" i="19"/>
  <c r="L108" i="19"/>
  <c r="BG107" i="19"/>
  <c r="BB107" i="19"/>
  <c r="AZ107" i="19"/>
  <c r="AW107" i="19"/>
  <c r="AV107" i="19"/>
  <c r="L107" i="19" s="1"/>
  <c r="AU107" i="19"/>
  <c r="AT107" i="19"/>
  <c r="BH107" i="19" s="1"/>
  <c r="AS107" i="19"/>
  <c r="AR107" i="19"/>
  <c r="AP107" i="19"/>
  <c r="BF107" i="19" s="1"/>
  <c r="AO107" i="19"/>
  <c r="T107" i="19"/>
  <c r="N107" i="19"/>
  <c r="BG106" i="19"/>
  <c r="BB106" i="19"/>
  <c r="AZ106" i="19"/>
  <c r="BD106" i="19" s="1"/>
  <c r="AW106" i="19"/>
  <c r="AV106" i="19"/>
  <c r="L106" i="19" s="1"/>
  <c r="AU106" i="19"/>
  <c r="AT106" i="19"/>
  <c r="BH106" i="19" s="1"/>
  <c r="AS106" i="19"/>
  <c r="AR106" i="19"/>
  <c r="AP106" i="19"/>
  <c r="BF106" i="19" s="1"/>
  <c r="AO106" i="19"/>
  <c r="T106" i="19"/>
  <c r="N106" i="19"/>
  <c r="BG105" i="19"/>
  <c r="BB105" i="19"/>
  <c r="AZ105" i="19"/>
  <c r="AW105" i="19"/>
  <c r="BC105" i="19" s="1"/>
  <c r="AV105" i="19"/>
  <c r="L105" i="19" s="1"/>
  <c r="AT105" i="19"/>
  <c r="AS105" i="19"/>
  <c r="AR105" i="19"/>
  <c r="AP105" i="19"/>
  <c r="BF105" i="19" s="1"/>
  <c r="AO105" i="19"/>
  <c r="T105" i="19"/>
  <c r="N105" i="19"/>
  <c r="BG104" i="19"/>
  <c r="BB104" i="19"/>
  <c r="AZ104" i="19"/>
  <c r="BD104" i="19" s="1"/>
  <c r="AW104" i="19"/>
  <c r="AV104" i="19"/>
  <c r="L104" i="19" s="1"/>
  <c r="AU104" i="19"/>
  <c r="AT104" i="19"/>
  <c r="AS104" i="19"/>
  <c r="AR104" i="19"/>
  <c r="AP104" i="19"/>
  <c r="BF104" i="19" s="1"/>
  <c r="AO104" i="19"/>
  <c r="T104" i="19"/>
  <c r="N104" i="19"/>
  <c r="BG103" i="19"/>
  <c r="BB103" i="19"/>
  <c r="AZ103" i="19"/>
  <c r="AW103" i="19"/>
  <c r="AV103" i="19"/>
  <c r="L103" i="19" s="1"/>
  <c r="AT103" i="19"/>
  <c r="AS103" i="19"/>
  <c r="AR103" i="19"/>
  <c r="AP103" i="19"/>
  <c r="BF103" i="19" s="1"/>
  <c r="AO103" i="19"/>
  <c r="T103" i="19"/>
  <c r="N103" i="19"/>
  <c r="BG101" i="19"/>
  <c r="BB101" i="19"/>
  <c r="AZ101" i="19"/>
  <c r="AW101" i="19"/>
  <c r="AV101" i="19"/>
  <c r="AT101" i="19"/>
  <c r="AS101" i="19"/>
  <c r="AR101" i="19"/>
  <c r="AP101" i="19"/>
  <c r="BF101" i="19" s="1"/>
  <c r="AO101" i="19"/>
  <c r="T101" i="19"/>
  <c r="N101" i="19"/>
  <c r="L101" i="19"/>
  <c r="BG100" i="19"/>
  <c r="BB100" i="19"/>
  <c r="AZ100" i="19"/>
  <c r="AW100" i="19"/>
  <c r="AV100" i="19"/>
  <c r="AU100" i="19"/>
  <c r="AS100" i="19"/>
  <c r="AR100" i="19"/>
  <c r="AP100" i="19"/>
  <c r="BF100" i="19" s="1"/>
  <c r="AO100" i="19"/>
  <c r="T100" i="19"/>
  <c r="N100" i="19"/>
  <c r="L100" i="19"/>
  <c r="BG99" i="19"/>
  <c r="BB99" i="19"/>
  <c r="AZ99" i="19"/>
  <c r="AW99" i="19"/>
  <c r="BC99" i="19" s="1"/>
  <c r="AV99" i="19"/>
  <c r="AU99" i="19"/>
  <c r="AT99" i="19"/>
  <c r="AS99" i="19"/>
  <c r="AR99" i="19"/>
  <c r="AP99" i="19"/>
  <c r="BF99" i="19" s="1"/>
  <c r="AO99" i="19"/>
  <c r="T99" i="19"/>
  <c r="N99" i="19"/>
  <c r="L99" i="19"/>
  <c r="BG98" i="19"/>
  <c r="BB98" i="19"/>
  <c r="AZ98" i="19"/>
  <c r="AW98" i="19"/>
  <c r="BA98" i="19" s="1"/>
  <c r="BE98" i="19" s="1"/>
  <c r="AV98" i="19"/>
  <c r="AU98" i="19"/>
  <c r="AT98" i="19"/>
  <c r="AS98" i="19"/>
  <c r="AR98" i="19"/>
  <c r="AP98" i="19"/>
  <c r="BF98" i="19" s="1"/>
  <c r="AO98" i="19"/>
  <c r="T98" i="19"/>
  <c r="N98" i="19"/>
  <c r="L98" i="19"/>
  <c r="BG97" i="19"/>
  <c r="BB97" i="19"/>
  <c r="AZ97" i="19"/>
  <c r="AW97" i="19"/>
  <c r="BC97" i="19" s="1"/>
  <c r="AV97" i="19"/>
  <c r="AT97" i="19"/>
  <c r="AS97" i="19"/>
  <c r="AR97" i="19"/>
  <c r="AP97" i="19"/>
  <c r="BF97" i="19" s="1"/>
  <c r="AO97" i="19"/>
  <c r="T97" i="19"/>
  <c r="N97" i="19"/>
  <c r="L97" i="19"/>
  <c r="BG96" i="19"/>
  <c r="BB96" i="19"/>
  <c r="AZ96" i="19"/>
  <c r="BA96" i="19" s="1"/>
  <c r="BE96" i="19" s="1"/>
  <c r="AW96" i="19"/>
  <c r="AV96" i="19"/>
  <c r="L96" i="19" s="1"/>
  <c r="AU96" i="19"/>
  <c r="AT96" i="19"/>
  <c r="AS96" i="19"/>
  <c r="AR96" i="19"/>
  <c r="AP96" i="19"/>
  <c r="BF96" i="19" s="1"/>
  <c r="AO96" i="19"/>
  <c r="T96" i="19"/>
  <c r="N96" i="19"/>
  <c r="BG95" i="19"/>
  <c r="BB95" i="19"/>
  <c r="AZ95" i="19"/>
  <c r="AW95" i="19"/>
  <c r="AV95" i="19"/>
  <c r="L95" i="19" s="1"/>
  <c r="AU95" i="19"/>
  <c r="AT95" i="19"/>
  <c r="AS95" i="19"/>
  <c r="AR95" i="19"/>
  <c r="AP95" i="19"/>
  <c r="BF95" i="19" s="1"/>
  <c r="AO95" i="19"/>
  <c r="T95" i="19"/>
  <c r="N95" i="19"/>
  <c r="BG94" i="19"/>
  <c r="BB94" i="19"/>
  <c r="AZ94" i="19"/>
  <c r="AW94" i="19"/>
  <c r="AV94" i="19"/>
  <c r="L94" i="19" s="1"/>
  <c r="AT94" i="19"/>
  <c r="AS94" i="19"/>
  <c r="AR94" i="19"/>
  <c r="AP94" i="19"/>
  <c r="BF94" i="19" s="1"/>
  <c r="AO94" i="19"/>
  <c r="T94" i="19"/>
  <c r="N94" i="19"/>
  <c r="BG93" i="19"/>
  <c r="BB93" i="19"/>
  <c r="AZ93" i="19"/>
  <c r="AW93" i="19"/>
  <c r="AV93" i="19"/>
  <c r="L93" i="19" s="1"/>
  <c r="AU93" i="19"/>
  <c r="AT93" i="19"/>
  <c r="BH93" i="19" s="1"/>
  <c r="AS93" i="19"/>
  <c r="AR93" i="19"/>
  <c r="AP93" i="19"/>
  <c r="BF93" i="19" s="1"/>
  <c r="AO93" i="19"/>
  <c r="T93" i="19"/>
  <c r="N93" i="19"/>
  <c r="BG91" i="19"/>
  <c r="BB91" i="19"/>
  <c r="AZ91" i="19"/>
  <c r="BA91" i="19" s="1"/>
  <c r="BE91" i="19" s="1"/>
  <c r="AW91" i="19"/>
  <c r="AV91" i="19"/>
  <c r="AU91" i="19"/>
  <c r="AS91" i="19"/>
  <c r="AR91" i="19"/>
  <c r="AP91" i="19"/>
  <c r="BF91" i="19" s="1"/>
  <c r="AO91" i="19"/>
  <c r="T91" i="19"/>
  <c r="N91" i="19"/>
  <c r="L91" i="19"/>
  <c r="BG88" i="19"/>
  <c r="BB88" i="19"/>
  <c r="AZ88" i="19"/>
  <c r="AW88" i="19"/>
  <c r="AV88" i="19"/>
  <c r="L88" i="19" s="1"/>
  <c r="AU88" i="19"/>
  <c r="AT88" i="19"/>
  <c r="AS88" i="19"/>
  <c r="AR88" i="19"/>
  <c r="AP88" i="19"/>
  <c r="BF88" i="19" s="1"/>
  <c r="AO88" i="19"/>
  <c r="T88" i="19"/>
  <c r="N88" i="19"/>
  <c r="BG87" i="19"/>
  <c r="BB87" i="19"/>
  <c r="AZ87" i="19"/>
  <c r="AW87" i="19"/>
  <c r="BA87" i="19" s="1"/>
  <c r="BE87" i="19" s="1"/>
  <c r="AV87" i="19"/>
  <c r="AU87" i="19"/>
  <c r="AT87" i="19"/>
  <c r="AS87" i="19"/>
  <c r="AR87" i="19"/>
  <c r="AP87" i="19"/>
  <c r="BF87" i="19" s="1"/>
  <c r="AO87" i="19"/>
  <c r="T87" i="19"/>
  <c r="N87" i="19"/>
  <c r="L87" i="19"/>
  <c r="BG85" i="19"/>
  <c r="BB85" i="19"/>
  <c r="AZ85" i="19"/>
  <c r="AW85" i="19"/>
  <c r="BA85" i="19" s="1"/>
  <c r="BE85" i="19" s="1"/>
  <c r="AV85" i="19"/>
  <c r="L85" i="19" s="1"/>
  <c r="AT85" i="19"/>
  <c r="AS85" i="19"/>
  <c r="AR85" i="19"/>
  <c r="AP85" i="19"/>
  <c r="BF85" i="19" s="1"/>
  <c r="AO85" i="19"/>
  <c r="T85" i="19"/>
  <c r="N85" i="19"/>
  <c r="BG84" i="19"/>
  <c r="BB84" i="19"/>
  <c r="AZ84" i="19"/>
  <c r="AW84" i="19"/>
  <c r="BA84" i="19" s="1"/>
  <c r="BE84" i="19" s="1"/>
  <c r="AV84" i="19"/>
  <c r="L84" i="19" s="1"/>
  <c r="AU84" i="19"/>
  <c r="AT84" i="19"/>
  <c r="AS84" i="19"/>
  <c r="AR84" i="19"/>
  <c r="AP84" i="19"/>
  <c r="BF84" i="19" s="1"/>
  <c r="AO84" i="19"/>
  <c r="T84" i="19"/>
  <c r="N84" i="19"/>
  <c r="BG83" i="19"/>
  <c r="BB83" i="19"/>
  <c r="AZ83" i="19"/>
  <c r="BD83" i="19" s="1"/>
  <c r="AW83" i="19"/>
  <c r="AV83" i="19"/>
  <c r="L83" i="19" s="1"/>
  <c r="AU83" i="19"/>
  <c r="AT83" i="19"/>
  <c r="AS83" i="19"/>
  <c r="AR83" i="19"/>
  <c r="AP83" i="19"/>
  <c r="BF83" i="19" s="1"/>
  <c r="AO83" i="19"/>
  <c r="T83" i="19"/>
  <c r="N83" i="19"/>
  <c r="BG82" i="19"/>
  <c r="BB82" i="19"/>
  <c r="AZ82" i="19"/>
  <c r="BA82" i="19" s="1"/>
  <c r="BE82" i="19" s="1"/>
  <c r="AW82" i="19"/>
  <c r="AV82" i="19"/>
  <c r="L82" i="19" s="1"/>
  <c r="AU82" i="19"/>
  <c r="AT82" i="19"/>
  <c r="AS82" i="19"/>
  <c r="AR82" i="19"/>
  <c r="AP82" i="19"/>
  <c r="BF82" i="19" s="1"/>
  <c r="AO82" i="19"/>
  <c r="T82" i="19"/>
  <c r="N82" i="19"/>
  <c r="BG81" i="19"/>
  <c r="BB81" i="19"/>
  <c r="AZ81" i="19"/>
  <c r="AW81" i="19"/>
  <c r="AV81" i="19"/>
  <c r="AU81" i="19"/>
  <c r="AS81" i="19"/>
  <c r="AR81" i="19"/>
  <c r="AP81" i="19"/>
  <c r="BF81" i="19" s="1"/>
  <c r="AO81" i="19"/>
  <c r="T81" i="19"/>
  <c r="N81" i="19"/>
  <c r="L81" i="19"/>
  <c r="BG80" i="19"/>
  <c r="BB80" i="19"/>
  <c r="AZ80" i="19"/>
  <c r="AW80" i="19"/>
  <c r="AV80" i="19"/>
  <c r="L80" i="19" s="1"/>
  <c r="AU80" i="19"/>
  <c r="AT80" i="19"/>
  <c r="AS80" i="19"/>
  <c r="AR80" i="19"/>
  <c r="AP80" i="19"/>
  <c r="BF80" i="19" s="1"/>
  <c r="AO80" i="19"/>
  <c r="T80" i="19"/>
  <c r="N80" i="19"/>
  <c r="BG79" i="19"/>
  <c r="BB79" i="19"/>
  <c r="AZ79" i="19"/>
  <c r="BD79" i="19" s="1"/>
  <c r="AW79" i="19"/>
  <c r="AV79" i="19"/>
  <c r="L79" i="19" s="1"/>
  <c r="AU79" i="19"/>
  <c r="AT79" i="19"/>
  <c r="AS79" i="19"/>
  <c r="AR79" i="19"/>
  <c r="AP79" i="19"/>
  <c r="BF79" i="19" s="1"/>
  <c r="AO79" i="19"/>
  <c r="T79" i="19"/>
  <c r="N79" i="19"/>
  <c r="BG78" i="19"/>
  <c r="BB78" i="19"/>
  <c r="AZ78" i="19"/>
  <c r="BD78" i="19" s="1"/>
  <c r="AW78" i="19"/>
  <c r="AV78" i="19"/>
  <c r="L78" i="19" s="1"/>
  <c r="AU78" i="19"/>
  <c r="AT78" i="19"/>
  <c r="BH78" i="19" s="1"/>
  <c r="AS78" i="19"/>
  <c r="AR78" i="19"/>
  <c r="AP78" i="19"/>
  <c r="BF78" i="19" s="1"/>
  <c r="AO78" i="19"/>
  <c r="T78" i="19"/>
  <c r="N78" i="19"/>
  <c r="BG77" i="19"/>
  <c r="BB77" i="19"/>
  <c r="AZ77" i="19"/>
  <c r="AW77" i="19"/>
  <c r="AV77" i="19"/>
  <c r="L77" i="19" s="1"/>
  <c r="AU77" i="19"/>
  <c r="AT77" i="19"/>
  <c r="AS77" i="19"/>
  <c r="AR77" i="19"/>
  <c r="AP77" i="19"/>
  <c r="BF77" i="19" s="1"/>
  <c r="AO77" i="19"/>
  <c r="T77" i="19"/>
  <c r="N77" i="19"/>
  <c r="BG76" i="19"/>
  <c r="BB76" i="19"/>
  <c r="AZ76" i="19"/>
  <c r="BD76" i="19" s="1"/>
  <c r="AW76" i="19"/>
  <c r="AV76" i="19"/>
  <c r="L76" i="19" s="1"/>
  <c r="AU76" i="19"/>
  <c r="AT76" i="19"/>
  <c r="BH76" i="19" s="1"/>
  <c r="AS76" i="19"/>
  <c r="AR76" i="19"/>
  <c r="AP76" i="19"/>
  <c r="BF76" i="19" s="1"/>
  <c r="AO76" i="19"/>
  <c r="T76" i="19"/>
  <c r="N76" i="19"/>
  <c r="BG74" i="19"/>
  <c r="BB74" i="19"/>
  <c r="AZ74" i="19"/>
  <c r="AW74" i="19"/>
  <c r="AV74" i="19"/>
  <c r="AU74" i="19"/>
  <c r="AT74" i="19"/>
  <c r="AS74" i="19"/>
  <c r="AR74" i="19"/>
  <c r="AP74" i="19"/>
  <c r="BF74" i="19" s="1"/>
  <c r="AO74" i="19"/>
  <c r="T74" i="19"/>
  <c r="N74" i="19"/>
  <c r="L74" i="19"/>
  <c r="BG73" i="19"/>
  <c r="BB73" i="19"/>
  <c r="AZ73" i="19"/>
  <c r="AW73" i="19"/>
  <c r="BC73" i="19" s="1"/>
  <c r="AV73" i="19"/>
  <c r="AT73" i="19"/>
  <c r="AS73" i="19"/>
  <c r="AR73" i="19"/>
  <c r="AP73" i="19"/>
  <c r="BF73" i="19" s="1"/>
  <c r="AO73" i="19"/>
  <c r="T73" i="19"/>
  <c r="N73" i="19"/>
  <c r="L73" i="19"/>
  <c r="BG72" i="19"/>
  <c r="BB72" i="19"/>
  <c r="AZ72" i="19"/>
  <c r="BA72" i="19" s="1"/>
  <c r="BE72" i="19" s="1"/>
  <c r="AW72" i="19"/>
  <c r="AV72" i="19"/>
  <c r="L72" i="19" s="1"/>
  <c r="AU72" i="19"/>
  <c r="AT72" i="19"/>
  <c r="AS72" i="19"/>
  <c r="AR72" i="19"/>
  <c r="AP72" i="19"/>
  <c r="BF72" i="19" s="1"/>
  <c r="AO72" i="19"/>
  <c r="T72" i="19"/>
  <c r="N72" i="19"/>
  <c r="BG71" i="19"/>
  <c r="BB71" i="19"/>
  <c r="AZ71" i="19"/>
  <c r="AW71" i="19"/>
  <c r="AV71" i="19"/>
  <c r="L71" i="19" s="1"/>
  <c r="AU71" i="19"/>
  <c r="AT71" i="19"/>
  <c r="AS71" i="19"/>
  <c r="AR71" i="19"/>
  <c r="AP71" i="19"/>
  <c r="BF71" i="19" s="1"/>
  <c r="AO71" i="19"/>
  <c r="T71" i="19"/>
  <c r="N71" i="19"/>
  <c r="BG70" i="19"/>
  <c r="BB70" i="19"/>
  <c r="AZ70" i="19"/>
  <c r="AW70" i="19"/>
  <c r="AV70" i="19"/>
  <c r="L70" i="19" s="1"/>
  <c r="AU70" i="19"/>
  <c r="AT70" i="19"/>
  <c r="AS70" i="19"/>
  <c r="AR70" i="19"/>
  <c r="AP70" i="19"/>
  <c r="BF70" i="19" s="1"/>
  <c r="AO70" i="19"/>
  <c r="T70" i="19"/>
  <c r="N70" i="19"/>
  <c r="BG69" i="19"/>
  <c r="BB69" i="19"/>
  <c r="AZ69" i="19"/>
  <c r="AW69" i="19"/>
  <c r="AV69" i="19"/>
  <c r="L69" i="19" s="1"/>
  <c r="AU69" i="19"/>
  <c r="AT69" i="19"/>
  <c r="AS69" i="19"/>
  <c r="AR69" i="19"/>
  <c r="AP69" i="19"/>
  <c r="BF69" i="19" s="1"/>
  <c r="AO69" i="19"/>
  <c r="T69" i="19"/>
  <c r="N69" i="19"/>
  <c r="BG68" i="19"/>
  <c r="BB68" i="19"/>
  <c r="AZ68" i="19"/>
  <c r="BA68" i="19" s="1"/>
  <c r="BE68" i="19" s="1"/>
  <c r="AW68" i="19"/>
  <c r="AV68" i="19"/>
  <c r="L68" i="19" s="1"/>
  <c r="AU68" i="19"/>
  <c r="AT68" i="19"/>
  <c r="AS68" i="19"/>
  <c r="AR68" i="19"/>
  <c r="AP68" i="19"/>
  <c r="BF68" i="19" s="1"/>
  <c r="AO68" i="19"/>
  <c r="T68" i="19"/>
  <c r="N68" i="19"/>
  <c r="BG67" i="19"/>
  <c r="BB67" i="19"/>
  <c r="AZ67" i="19"/>
  <c r="AW67" i="19"/>
  <c r="AV67" i="19"/>
  <c r="L67" i="19" s="1"/>
  <c r="AU67" i="19"/>
  <c r="AT67" i="19"/>
  <c r="AS67" i="19"/>
  <c r="AR67" i="19"/>
  <c r="AP67" i="19"/>
  <c r="BF67" i="19" s="1"/>
  <c r="AO67" i="19"/>
  <c r="T67" i="19"/>
  <c r="N67" i="19"/>
  <c r="BG66" i="19"/>
  <c r="BB66" i="19"/>
  <c r="AZ66" i="19"/>
  <c r="AW66" i="19"/>
  <c r="AV66" i="19"/>
  <c r="L66" i="19" s="1"/>
  <c r="AT66" i="19"/>
  <c r="AS66" i="19"/>
  <c r="AR66" i="19"/>
  <c r="AP66" i="19"/>
  <c r="BF66" i="19" s="1"/>
  <c r="AO66" i="19"/>
  <c r="T66" i="19"/>
  <c r="N66" i="19"/>
  <c r="BG65" i="19"/>
  <c r="BB65" i="19"/>
  <c r="AZ65" i="19"/>
  <c r="AW65" i="19"/>
  <c r="AV65" i="19"/>
  <c r="L65" i="19" s="1"/>
  <c r="AU65" i="19"/>
  <c r="AS65" i="19"/>
  <c r="AR65" i="19"/>
  <c r="AP65" i="19"/>
  <c r="BF65" i="19" s="1"/>
  <c r="AO65" i="19"/>
  <c r="T65" i="19"/>
  <c r="N65" i="19"/>
  <c r="BG64" i="19"/>
  <c r="BB64" i="19"/>
  <c r="AZ64" i="19"/>
  <c r="BA64" i="19" s="1"/>
  <c r="BE64" i="19" s="1"/>
  <c r="AW64" i="19"/>
  <c r="AV64" i="19"/>
  <c r="AT64" i="19"/>
  <c r="AS64" i="19"/>
  <c r="AR64" i="19"/>
  <c r="AP64" i="19"/>
  <c r="BF64" i="19" s="1"/>
  <c r="AO64" i="19"/>
  <c r="T64" i="19"/>
  <c r="N64" i="19"/>
  <c r="L64" i="19"/>
  <c r="BG62" i="19"/>
  <c r="BB62" i="19"/>
  <c r="AZ62" i="19"/>
  <c r="AW62" i="19"/>
  <c r="AV62" i="19"/>
  <c r="AU62" i="19"/>
  <c r="AT62" i="19"/>
  <c r="AS62" i="19"/>
  <c r="AR62" i="19"/>
  <c r="AP62" i="19"/>
  <c r="BF62" i="19" s="1"/>
  <c r="AO62" i="19"/>
  <c r="T62" i="19"/>
  <c r="N62" i="19"/>
  <c r="L62" i="19"/>
  <c r="BG61" i="19"/>
  <c r="BB61" i="19"/>
  <c r="AZ61" i="19"/>
  <c r="AW61" i="19"/>
  <c r="AV61" i="19"/>
  <c r="AU61" i="19"/>
  <c r="AT61" i="19"/>
  <c r="BH61" i="19" s="1"/>
  <c r="AS61" i="19"/>
  <c r="AR61" i="19"/>
  <c r="AP61" i="19"/>
  <c r="BF61" i="19" s="1"/>
  <c r="AO61" i="19"/>
  <c r="T61" i="19"/>
  <c r="N61" i="19"/>
  <c r="L61" i="19"/>
  <c r="BG60" i="19"/>
  <c r="BB60" i="19"/>
  <c r="AZ60" i="19"/>
  <c r="AW60" i="19"/>
  <c r="BA60" i="19" s="1"/>
  <c r="BE60" i="19" s="1"/>
  <c r="AV60" i="19"/>
  <c r="L60" i="19" s="1"/>
  <c r="AU60" i="19"/>
  <c r="AT60" i="19"/>
  <c r="AS60" i="19"/>
  <c r="AR60" i="19"/>
  <c r="AP60" i="19"/>
  <c r="BF60" i="19" s="1"/>
  <c r="AO60" i="19"/>
  <c r="T60" i="19"/>
  <c r="N60" i="19"/>
  <c r="BG59" i="19"/>
  <c r="BB59" i="19"/>
  <c r="AZ59" i="19"/>
  <c r="AW59" i="19"/>
  <c r="BA59" i="19" s="1"/>
  <c r="BE59" i="19" s="1"/>
  <c r="AV59" i="19"/>
  <c r="AU59" i="19"/>
  <c r="AS59" i="19"/>
  <c r="AR59" i="19"/>
  <c r="AP59" i="19"/>
  <c r="BF59" i="19" s="1"/>
  <c r="AO59" i="19"/>
  <c r="T59" i="19"/>
  <c r="N59" i="19"/>
  <c r="L59" i="19"/>
  <c r="BG57" i="19"/>
  <c r="BB57" i="19"/>
  <c r="AZ57" i="19"/>
  <c r="AW57" i="19"/>
  <c r="AV57" i="19"/>
  <c r="L57" i="19" s="1"/>
  <c r="AU57" i="19"/>
  <c r="AT57" i="19"/>
  <c r="AS57" i="19"/>
  <c r="AR57" i="19"/>
  <c r="AP57" i="19"/>
  <c r="BF57" i="19" s="1"/>
  <c r="AO57" i="19"/>
  <c r="T57" i="19"/>
  <c r="N57" i="19"/>
  <c r="BG56" i="19"/>
  <c r="BB56" i="19"/>
  <c r="AZ56" i="19"/>
  <c r="AW56" i="19"/>
  <c r="AV56" i="19"/>
  <c r="AT56" i="19"/>
  <c r="AS56" i="19"/>
  <c r="AR56" i="19"/>
  <c r="AP56" i="19"/>
  <c r="BF56" i="19" s="1"/>
  <c r="AO56" i="19"/>
  <c r="T56" i="19"/>
  <c r="N56" i="19"/>
  <c r="L56" i="19"/>
  <c r="BG55" i="19"/>
  <c r="BB55" i="19"/>
  <c r="AZ55" i="19"/>
  <c r="BD55" i="19" s="1"/>
  <c r="AW55" i="19"/>
  <c r="AV55" i="19"/>
  <c r="AT55" i="19"/>
  <c r="AS55" i="19"/>
  <c r="AR55" i="19"/>
  <c r="AP55" i="19"/>
  <c r="BF55" i="19" s="1"/>
  <c r="AO55" i="19"/>
  <c r="T55" i="19"/>
  <c r="N55" i="19"/>
  <c r="L55" i="19"/>
  <c r="BG54" i="19"/>
  <c r="BB54" i="19"/>
  <c r="AZ54" i="19"/>
  <c r="AW54" i="19"/>
  <c r="AV54" i="19"/>
  <c r="L54" i="19" s="1"/>
  <c r="AU54" i="19"/>
  <c r="AT54" i="19"/>
  <c r="AS54" i="19"/>
  <c r="AR54" i="19"/>
  <c r="AP54" i="19"/>
  <c r="BF54" i="19" s="1"/>
  <c r="AO54" i="19"/>
  <c r="T54" i="19"/>
  <c r="N54" i="19"/>
  <c r="BG53" i="19"/>
  <c r="BB53" i="19"/>
  <c r="AZ53" i="19"/>
  <c r="AW53" i="19"/>
  <c r="AV53" i="19"/>
  <c r="L53" i="19" s="1"/>
  <c r="AU53" i="19"/>
  <c r="AT53" i="19"/>
  <c r="AS53" i="19"/>
  <c r="AR53" i="19"/>
  <c r="AP53" i="19"/>
  <c r="BF53" i="19" s="1"/>
  <c r="AO53" i="19"/>
  <c r="T53" i="19"/>
  <c r="N53" i="19"/>
  <c r="BG52" i="19"/>
  <c r="BB52" i="19"/>
  <c r="AZ52" i="19"/>
  <c r="AW52" i="19"/>
  <c r="AV52" i="19"/>
  <c r="L52" i="19" s="1"/>
  <c r="AU52" i="19"/>
  <c r="AT52" i="19"/>
  <c r="AS52" i="19"/>
  <c r="AR52" i="19"/>
  <c r="AP52" i="19"/>
  <c r="BF52" i="19" s="1"/>
  <c r="AO52" i="19"/>
  <c r="T52" i="19"/>
  <c r="N52" i="19"/>
  <c r="BG51" i="19"/>
  <c r="BB51" i="19"/>
  <c r="AZ51" i="19"/>
  <c r="BC51" i="19" s="1"/>
  <c r="AW51" i="19"/>
  <c r="AV51" i="19"/>
  <c r="L51" i="19" s="1"/>
  <c r="AU51" i="19"/>
  <c r="AT51" i="19"/>
  <c r="AS51" i="19"/>
  <c r="AR51" i="19"/>
  <c r="AP51" i="19"/>
  <c r="BF51" i="19" s="1"/>
  <c r="AO51" i="19"/>
  <c r="T51" i="19"/>
  <c r="N51" i="19"/>
  <c r="BG49" i="19"/>
  <c r="BB49" i="19"/>
  <c r="AZ49" i="19"/>
  <c r="AW49" i="19"/>
  <c r="AV49" i="19"/>
  <c r="L49" i="19" s="1"/>
  <c r="AU49" i="19"/>
  <c r="AT49" i="19"/>
  <c r="AS49" i="19"/>
  <c r="AR49" i="19"/>
  <c r="AP49" i="19"/>
  <c r="BF49" i="19" s="1"/>
  <c r="AO49" i="19"/>
  <c r="T49" i="19"/>
  <c r="N49" i="19"/>
  <c r="BG48" i="19"/>
  <c r="BB48" i="19"/>
  <c r="AZ48" i="19"/>
  <c r="AW48" i="19"/>
  <c r="AV48" i="19"/>
  <c r="L48" i="19" s="1"/>
  <c r="AU48" i="19"/>
  <c r="AT48" i="19"/>
  <c r="AS48" i="19"/>
  <c r="AR48" i="19"/>
  <c r="AP48" i="19"/>
  <c r="BF48" i="19" s="1"/>
  <c r="AO48" i="19"/>
  <c r="T48" i="19"/>
  <c r="N48" i="19"/>
  <c r="BG47" i="19"/>
  <c r="BB47" i="19"/>
  <c r="AZ47" i="19"/>
  <c r="AW47" i="19"/>
  <c r="AV47" i="19"/>
  <c r="L47" i="19" s="1"/>
  <c r="AU47" i="19"/>
  <c r="AT47" i="19"/>
  <c r="AS47" i="19"/>
  <c r="AR47" i="19"/>
  <c r="AP47" i="19"/>
  <c r="BF47" i="19" s="1"/>
  <c r="AO47" i="19"/>
  <c r="T47" i="19"/>
  <c r="N47" i="19"/>
  <c r="BG45" i="19"/>
  <c r="BB45" i="19"/>
  <c r="AZ45" i="19"/>
  <c r="BC45" i="19" s="1"/>
  <c r="AW45" i="19"/>
  <c r="AV45" i="19"/>
  <c r="L45" i="19" s="1"/>
  <c r="AU45" i="19"/>
  <c r="AT45" i="19"/>
  <c r="AS45" i="19"/>
  <c r="AR45" i="19"/>
  <c r="AP45" i="19"/>
  <c r="BF45" i="19" s="1"/>
  <c r="AO45" i="19"/>
  <c r="T45" i="19"/>
  <c r="N45" i="19"/>
  <c r="BG44" i="19"/>
  <c r="BB44" i="19"/>
  <c r="AZ44" i="19"/>
  <c r="AW44" i="19"/>
  <c r="AV44" i="19"/>
  <c r="L44" i="19" s="1"/>
  <c r="AU44" i="19"/>
  <c r="AT44" i="19"/>
  <c r="AS44" i="19"/>
  <c r="AR44" i="19"/>
  <c r="AP44" i="19"/>
  <c r="BF44" i="19" s="1"/>
  <c r="AO44" i="19"/>
  <c r="T44" i="19"/>
  <c r="N44" i="19"/>
  <c r="BG43" i="19"/>
  <c r="BB43" i="19"/>
  <c r="AZ43" i="19"/>
  <c r="BC43" i="19" s="1"/>
  <c r="AW43" i="19"/>
  <c r="AV43" i="19"/>
  <c r="L43" i="19" s="1"/>
  <c r="AU43" i="19"/>
  <c r="AT43" i="19"/>
  <c r="AS43" i="19"/>
  <c r="AR43" i="19"/>
  <c r="AP43" i="19"/>
  <c r="AO43" i="19"/>
  <c r="T43" i="19"/>
  <c r="N43" i="19"/>
  <c r="BG42" i="19"/>
  <c r="BB42" i="19"/>
  <c r="AZ42" i="19"/>
  <c r="AW42" i="19"/>
  <c r="AV42" i="19"/>
  <c r="L42" i="19" s="1"/>
  <c r="AU42" i="19"/>
  <c r="AT42" i="19"/>
  <c r="AS42" i="19"/>
  <c r="AR42" i="19"/>
  <c r="AP42" i="19"/>
  <c r="AO42" i="19"/>
  <c r="T42" i="19"/>
  <c r="N42" i="19"/>
  <c r="BG38" i="19"/>
  <c r="BB38" i="19"/>
  <c r="AZ38" i="19"/>
  <c r="BC38" i="19" s="1"/>
  <c r="AW38" i="19"/>
  <c r="AV38" i="19"/>
  <c r="AT38" i="19"/>
  <c r="AS38" i="19"/>
  <c r="AR38" i="19"/>
  <c r="AP38" i="19"/>
  <c r="AO38" i="19"/>
  <c r="T38" i="19"/>
  <c r="N38" i="19"/>
  <c r="L38" i="19"/>
  <c r="BG36" i="19"/>
  <c r="BB36" i="19"/>
  <c r="AZ36" i="19"/>
  <c r="AW36" i="19"/>
  <c r="BC36" i="19" s="1"/>
  <c r="AV36" i="19"/>
  <c r="AT36" i="19"/>
  <c r="AS36" i="19"/>
  <c r="AR36" i="19"/>
  <c r="AP36" i="19"/>
  <c r="AO36" i="19"/>
  <c r="T36" i="19"/>
  <c r="N36" i="19"/>
  <c r="L36" i="19"/>
  <c r="BG32" i="19"/>
  <c r="BB32" i="19"/>
  <c r="AZ32" i="19"/>
  <c r="AW32" i="19"/>
  <c r="AV32" i="19"/>
  <c r="L32" i="19" s="1"/>
  <c r="AT32" i="19"/>
  <c r="AS32" i="19"/>
  <c r="AR32" i="19"/>
  <c r="AP32" i="19"/>
  <c r="AO32" i="19"/>
  <c r="T32" i="19"/>
  <c r="N32" i="19"/>
  <c r="BG31" i="19"/>
  <c r="BB31" i="19"/>
  <c r="AZ31" i="19"/>
  <c r="AW31" i="19"/>
  <c r="AV31" i="19"/>
  <c r="L31" i="19" s="1"/>
  <c r="AU31" i="19"/>
  <c r="AT31" i="19"/>
  <c r="AS31" i="19"/>
  <c r="AR31" i="19"/>
  <c r="AP31" i="19"/>
  <c r="AO31" i="19"/>
  <c r="T31" i="19"/>
  <c r="N31" i="19"/>
  <c r="BG30" i="19"/>
  <c r="BB30" i="19"/>
  <c r="AZ30" i="19"/>
  <c r="AW30" i="19"/>
  <c r="AV30" i="19"/>
  <c r="L30" i="19" s="1"/>
  <c r="AU30" i="19"/>
  <c r="AT30" i="19"/>
  <c r="AS30" i="19"/>
  <c r="AR30" i="19"/>
  <c r="AP30" i="19"/>
  <c r="AO30" i="19"/>
  <c r="T30" i="19"/>
  <c r="N30" i="19"/>
  <c r="BG29" i="19"/>
  <c r="BB29" i="19"/>
  <c r="AZ29" i="19"/>
  <c r="AW29" i="19"/>
  <c r="AV29" i="19"/>
  <c r="L29" i="19" s="1"/>
  <c r="AU29" i="19"/>
  <c r="AT29" i="19"/>
  <c r="BH29" i="19" s="1"/>
  <c r="AS29" i="19"/>
  <c r="AR29" i="19"/>
  <c r="AP29" i="19"/>
  <c r="AO29" i="19"/>
  <c r="T29" i="19"/>
  <c r="N29" i="19"/>
  <c r="BG28" i="19"/>
  <c r="BB28" i="19"/>
  <c r="AZ28" i="19"/>
  <c r="BD28" i="19" s="1"/>
  <c r="AW28" i="19"/>
  <c r="AV28" i="19"/>
  <c r="L28" i="19" s="1"/>
  <c r="AU28" i="19"/>
  <c r="AS28" i="19"/>
  <c r="AR28" i="19"/>
  <c r="AP28" i="19"/>
  <c r="AO28" i="19"/>
  <c r="T28" i="19"/>
  <c r="N28" i="19"/>
  <c r="BG27" i="19"/>
  <c r="BB27" i="19"/>
  <c r="AZ27" i="19"/>
  <c r="AW27" i="19"/>
  <c r="AV27" i="19"/>
  <c r="AT27" i="19"/>
  <c r="AS27" i="19"/>
  <c r="AR27" i="19"/>
  <c r="AP27" i="19"/>
  <c r="AO27" i="19"/>
  <c r="T27" i="19"/>
  <c r="N27" i="19"/>
  <c r="L27" i="19"/>
  <c r="BG26" i="19"/>
  <c r="BB26" i="19"/>
  <c r="AZ26" i="19"/>
  <c r="AW26" i="19"/>
  <c r="AV26" i="19"/>
  <c r="L26" i="19" s="1"/>
  <c r="AU26" i="19"/>
  <c r="AT26" i="19"/>
  <c r="AS26" i="19"/>
  <c r="AR26" i="19"/>
  <c r="AP26" i="19"/>
  <c r="AO26" i="19"/>
  <c r="T26" i="19"/>
  <c r="N26" i="19"/>
  <c r="BG25" i="19"/>
  <c r="BB25" i="19"/>
  <c r="AZ25" i="19"/>
  <c r="AW25" i="19"/>
  <c r="AV25" i="19"/>
  <c r="L25" i="19" s="1"/>
  <c r="AU25" i="19"/>
  <c r="AT25" i="19"/>
  <c r="AS25" i="19"/>
  <c r="AR25" i="19"/>
  <c r="AP25" i="19"/>
  <c r="AO25" i="19"/>
  <c r="T25" i="19"/>
  <c r="N25" i="19"/>
  <c r="BG24" i="19"/>
  <c r="BB24" i="19"/>
  <c r="AZ24" i="19"/>
  <c r="BD24" i="19" s="1"/>
  <c r="AW24" i="19"/>
  <c r="AV24" i="19"/>
  <c r="L24" i="19" s="1"/>
  <c r="AU24" i="19"/>
  <c r="AT24" i="19"/>
  <c r="AS24" i="19"/>
  <c r="AR24" i="19"/>
  <c r="AP24" i="19"/>
  <c r="AO24" i="19"/>
  <c r="T24" i="19"/>
  <c r="N24" i="19"/>
  <c r="BG23" i="19"/>
  <c r="BB23" i="19"/>
  <c r="AZ23" i="19"/>
  <c r="AW23" i="19"/>
  <c r="AV23" i="19"/>
  <c r="AU23" i="19"/>
  <c r="AT23" i="19"/>
  <c r="AS23" i="19"/>
  <c r="AR23" i="19"/>
  <c r="AP23" i="19"/>
  <c r="AO23" i="19"/>
  <c r="T23" i="19"/>
  <c r="N23" i="19"/>
  <c r="L23" i="19"/>
  <c r="BG22" i="19"/>
  <c r="BB22" i="19"/>
  <c r="AZ22" i="19"/>
  <c r="AW22" i="19"/>
  <c r="AV22" i="19"/>
  <c r="AT22" i="19"/>
  <c r="AS22" i="19"/>
  <c r="AR22" i="19"/>
  <c r="AP22" i="19"/>
  <c r="AO22" i="19"/>
  <c r="T22" i="19"/>
  <c r="N22" i="19"/>
  <c r="L22" i="19"/>
  <c r="BG21" i="19"/>
  <c r="BB21" i="19"/>
  <c r="AZ21" i="19"/>
  <c r="AW21" i="19"/>
  <c r="AV21" i="19"/>
  <c r="L21" i="19" s="1"/>
  <c r="AU21" i="19"/>
  <c r="AT21" i="19"/>
  <c r="AS21" i="19"/>
  <c r="AR21" i="19"/>
  <c r="AP21" i="19"/>
  <c r="AO21" i="19"/>
  <c r="T21" i="19"/>
  <c r="N21" i="19"/>
  <c r="BG15" i="19"/>
  <c r="BB15" i="19"/>
  <c r="AZ15" i="19"/>
  <c r="BA15" i="19" s="1"/>
  <c r="BE15" i="19" s="1"/>
  <c r="AW15" i="19"/>
  <c r="AV15" i="19"/>
  <c r="L15" i="19" s="1"/>
  <c r="AU15" i="19"/>
  <c r="AT15" i="19"/>
  <c r="AS15" i="19"/>
  <c r="AR15" i="19"/>
  <c r="AP15" i="19"/>
  <c r="AO15" i="19"/>
  <c r="T15" i="19"/>
  <c r="N15" i="19"/>
  <c r="BG14" i="19"/>
  <c r="BB14" i="19"/>
  <c r="AZ14" i="19"/>
  <c r="AW14" i="19"/>
  <c r="AV14" i="19"/>
  <c r="L14" i="19" s="1"/>
  <c r="AU14" i="19"/>
  <c r="AT14" i="19"/>
  <c r="AS14" i="19"/>
  <c r="AR14" i="19"/>
  <c r="AP14" i="19"/>
  <c r="AO14" i="19"/>
  <c r="T14" i="19"/>
  <c r="N14" i="19"/>
  <c r="BG13" i="19"/>
  <c r="BB13" i="19"/>
  <c r="AZ13" i="19"/>
  <c r="BA13" i="19" s="1"/>
  <c r="BE13" i="19" s="1"/>
  <c r="AW13" i="19"/>
  <c r="AV13" i="19"/>
  <c r="L13" i="19" s="1"/>
  <c r="AU13" i="19"/>
  <c r="AT13" i="19"/>
  <c r="AS13" i="19"/>
  <c r="AR13" i="19"/>
  <c r="AP13" i="19"/>
  <c r="AO13" i="19"/>
  <c r="T13" i="19"/>
  <c r="N13" i="19"/>
  <c r="BG10" i="19"/>
  <c r="BB10" i="19"/>
  <c r="AZ10" i="19"/>
  <c r="AW10" i="19"/>
  <c r="AV10" i="19"/>
  <c r="L10" i="19" s="1"/>
  <c r="AU10" i="19"/>
  <c r="AT10" i="19"/>
  <c r="AS10" i="19"/>
  <c r="AR10" i="19"/>
  <c r="AP10" i="19"/>
  <c r="AO10" i="19"/>
  <c r="T10" i="19"/>
  <c r="N10" i="19"/>
  <c r="BG8" i="19"/>
  <c r="BB8" i="19"/>
  <c r="AZ8" i="19"/>
  <c r="BA8" i="19" s="1"/>
  <c r="BE8" i="19" s="1"/>
  <c r="AW8" i="19"/>
  <c r="AV8" i="19"/>
  <c r="L8" i="19" s="1"/>
  <c r="AU8" i="19"/>
  <c r="AT8" i="19"/>
  <c r="AS8" i="19"/>
  <c r="AR8" i="19"/>
  <c r="AP8" i="19"/>
  <c r="AO8" i="19"/>
  <c r="T8" i="19"/>
  <c r="N8" i="19"/>
  <c r="BG7" i="19"/>
  <c r="BB7" i="19"/>
  <c r="AZ7" i="19"/>
  <c r="AW7" i="19"/>
  <c r="AV7" i="19"/>
  <c r="AU7" i="19"/>
  <c r="AS7" i="19"/>
  <c r="AR7" i="19"/>
  <c r="AP7" i="19"/>
  <c r="AO7" i="19"/>
  <c r="T7" i="19"/>
  <c r="N7" i="19"/>
  <c r="L7" i="19"/>
  <c r="BG6" i="19"/>
  <c r="BB6" i="19"/>
  <c r="AZ6" i="19"/>
  <c r="AW6" i="19"/>
  <c r="AV6" i="19"/>
  <c r="L6" i="19" s="1"/>
  <c r="AU6" i="19"/>
  <c r="AT6" i="19"/>
  <c r="BH6" i="19" s="1"/>
  <c r="AS6" i="19"/>
  <c r="AR6" i="19"/>
  <c r="AP6" i="19"/>
  <c r="AO6" i="19"/>
  <c r="T6" i="19"/>
  <c r="N6" i="19"/>
  <c r="BG5" i="19"/>
  <c r="BB5" i="19"/>
  <c r="AZ5" i="19"/>
  <c r="BD5" i="19" s="1"/>
  <c r="AW5" i="19"/>
  <c r="AV5" i="19"/>
  <c r="L5" i="19" s="1"/>
  <c r="AU5" i="19"/>
  <c r="AT5" i="19"/>
  <c r="AS5" i="19"/>
  <c r="AR5" i="19"/>
  <c r="AP5" i="19"/>
  <c r="AO5" i="19"/>
  <c r="T5" i="19"/>
  <c r="N5" i="19"/>
  <c r="BG4" i="19"/>
  <c r="BB4" i="19"/>
  <c r="AZ4" i="19"/>
  <c r="AW4" i="19"/>
  <c r="AV4" i="19"/>
  <c r="L4" i="19" s="1"/>
  <c r="AU4" i="19"/>
  <c r="AT4" i="19"/>
  <c r="AS4" i="19"/>
  <c r="AR4" i="19"/>
  <c r="AP4" i="19"/>
  <c r="AO4" i="19"/>
  <c r="T4" i="19"/>
  <c r="N4" i="19"/>
  <c r="BG761" i="19"/>
  <c r="BB761" i="19"/>
  <c r="AZ761" i="19"/>
  <c r="AW761" i="19"/>
  <c r="AV761" i="19"/>
  <c r="L761" i="19" s="1"/>
  <c r="AU761" i="19"/>
  <c r="AT761" i="19"/>
  <c r="AS761" i="19"/>
  <c r="AR761" i="19"/>
  <c r="AP761" i="19"/>
  <c r="AO761" i="19"/>
  <c r="T761" i="19"/>
  <c r="N761" i="19"/>
  <c r="BG660" i="19"/>
  <c r="BB660" i="19"/>
  <c r="AZ660" i="19"/>
  <c r="AW660" i="19"/>
  <c r="AV660" i="19"/>
  <c r="L660" i="19" s="1"/>
  <c r="AU660" i="19"/>
  <c r="AT660" i="19"/>
  <c r="BH660" i="19" s="1"/>
  <c r="AS660" i="19"/>
  <c r="AR660" i="19"/>
  <c r="AP660" i="19"/>
  <c r="AO660" i="19"/>
  <c r="T660" i="19"/>
  <c r="N660" i="19"/>
  <c r="BG654" i="19"/>
  <c r="BB654" i="19"/>
  <c r="AZ654" i="19"/>
  <c r="BA654" i="19" s="1"/>
  <c r="BE654" i="19" s="1"/>
  <c r="BF654" i="19" s="1"/>
  <c r="AW654" i="19"/>
  <c r="AV654" i="19"/>
  <c r="L654" i="19" s="1"/>
  <c r="AT654" i="19"/>
  <c r="BH654" i="19" s="1"/>
  <c r="AS654" i="19"/>
  <c r="AR654" i="19"/>
  <c r="AP654" i="19"/>
  <c r="AO654" i="19"/>
  <c r="T654" i="19"/>
  <c r="N654" i="19"/>
  <c r="BG644" i="19"/>
  <c r="BB644" i="19"/>
  <c r="AZ644" i="19"/>
  <c r="AW644" i="19"/>
  <c r="AV644" i="19"/>
  <c r="L644" i="19" s="1"/>
  <c r="AU644" i="19"/>
  <c r="AS644" i="19"/>
  <c r="AR644" i="19"/>
  <c r="AP644" i="19"/>
  <c r="AO644" i="19"/>
  <c r="T644" i="19"/>
  <c r="N644" i="19"/>
  <c r="BG624" i="19"/>
  <c r="BB624" i="19"/>
  <c r="AZ624" i="19"/>
  <c r="AW624" i="19"/>
  <c r="AV624" i="19"/>
  <c r="L624" i="19" s="1"/>
  <c r="AU624" i="19"/>
  <c r="AT624" i="19"/>
  <c r="AS624" i="19"/>
  <c r="AR624" i="19"/>
  <c r="AP624" i="19"/>
  <c r="AO624" i="19"/>
  <c r="T624" i="19"/>
  <c r="N624" i="19"/>
  <c r="BG603" i="19"/>
  <c r="BB603" i="19"/>
  <c r="AZ603" i="19"/>
  <c r="BA603" i="19" s="1"/>
  <c r="BE603" i="19" s="1"/>
  <c r="AW603" i="19"/>
  <c r="AV603" i="19"/>
  <c r="L603" i="19" s="1"/>
  <c r="AU603" i="19"/>
  <c r="AT603" i="19"/>
  <c r="AS603" i="19"/>
  <c r="AR603" i="19"/>
  <c r="AP603" i="19"/>
  <c r="BF603" i="19" s="1"/>
  <c r="AO603" i="19"/>
  <c r="T603" i="19"/>
  <c r="N603" i="19"/>
  <c r="BG494" i="19"/>
  <c r="BB494" i="19"/>
  <c r="AZ494" i="19"/>
  <c r="AW494" i="19"/>
  <c r="AV494" i="19"/>
  <c r="L494" i="19" s="1"/>
  <c r="AU494" i="19"/>
  <c r="AT494" i="19"/>
  <c r="AS494" i="19"/>
  <c r="AR494" i="19"/>
  <c r="AP494" i="19"/>
  <c r="BF494" i="19" s="1"/>
  <c r="AO494" i="19"/>
  <c r="T494" i="19"/>
  <c r="N494" i="19"/>
  <c r="BG434" i="19"/>
  <c r="BB434" i="19"/>
  <c r="AZ434" i="19"/>
  <c r="BA434" i="19" s="1"/>
  <c r="BE434" i="19" s="1"/>
  <c r="AW434" i="19"/>
  <c r="AV434" i="19"/>
  <c r="L434" i="19" s="1"/>
  <c r="AU434" i="19"/>
  <c r="AT434" i="19"/>
  <c r="AS434" i="19"/>
  <c r="AR434" i="19"/>
  <c r="AP434" i="19"/>
  <c r="BF434" i="19" s="1"/>
  <c r="AO434" i="19"/>
  <c r="T434" i="19"/>
  <c r="N434" i="19"/>
  <c r="BG371" i="19"/>
  <c r="BB371" i="19"/>
  <c r="AZ371" i="19"/>
  <c r="BC371" i="19" s="1"/>
  <c r="AW371" i="19"/>
  <c r="AV371" i="19"/>
  <c r="L371" i="19" s="1"/>
  <c r="AU371" i="19"/>
  <c r="AS371" i="19"/>
  <c r="AR371" i="19"/>
  <c r="AP371" i="19"/>
  <c r="BF371" i="19" s="1"/>
  <c r="AO371" i="19"/>
  <c r="T371" i="19"/>
  <c r="N371" i="19"/>
  <c r="BG312" i="19"/>
  <c r="BB312" i="19"/>
  <c r="AZ312" i="19"/>
  <c r="AW312" i="19"/>
  <c r="BA312" i="19" s="1"/>
  <c r="BE312" i="19" s="1"/>
  <c r="AV312" i="19"/>
  <c r="AT312" i="19"/>
  <c r="BH312" i="19" s="1"/>
  <c r="AS312" i="19"/>
  <c r="AR312" i="19"/>
  <c r="AP312" i="19"/>
  <c r="BF312" i="19" s="1"/>
  <c r="AO312" i="19"/>
  <c r="T312" i="19"/>
  <c r="N312" i="19"/>
  <c r="L312" i="19"/>
  <c r="BG242" i="19"/>
  <c r="BB242" i="19"/>
  <c r="BA242" i="19"/>
  <c r="BE242" i="19" s="1"/>
  <c r="AZ242" i="19"/>
  <c r="AW242" i="19"/>
  <c r="AV242" i="19"/>
  <c r="L242" i="19" s="1"/>
  <c r="AU242" i="19"/>
  <c r="AS242" i="19"/>
  <c r="AR242" i="19"/>
  <c r="AP242" i="19"/>
  <c r="BF242" i="19" s="1"/>
  <c r="AO242" i="19"/>
  <c r="T242" i="19"/>
  <c r="N242" i="19"/>
  <c r="BG180" i="19"/>
  <c r="BB180" i="19"/>
  <c r="AZ180" i="19"/>
  <c r="AW180" i="19"/>
  <c r="AV180" i="19"/>
  <c r="AT180" i="19"/>
  <c r="AS180" i="19"/>
  <c r="AR180" i="19"/>
  <c r="AP180" i="19"/>
  <c r="BF180" i="19" s="1"/>
  <c r="AO180" i="19"/>
  <c r="T180" i="19"/>
  <c r="N180" i="19"/>
  <c r="L180" i="19"/>
  <c r="BG176" i="19"/>
  <c r="BB176" i="19"/>
  <c r="AZ176" i="19"/>
  <c r="AW176" i="19"/>
  <c r="AV176" i="19"/>
  <c r="AU176" i="19"/>
  <c r="AS176" i="19"/>
  <c r="AR176" i="19"/>
  <c r="AP176" i="19"/>
  <c r="BF176" i="19" s="1"/>
  <c r="AO176" i="19"/>
  <c r="T176" i="19"/>
  <c r="N176" i="19"/>
  <c r="L176" i="19"/>
  <c r="BG63" i="19"/>
  <c r="BB63" i="19"/>
  <c r="AZ63" i="19"/>
  <c r="BA63" i="19" s="1"/>
  <c r="BE63" i="19" s="1"/>
  <c r="AW63" i="19"/>
  <c r="AV63" i="19"/>
  <c r="AU63" i="19"/>
  <c r="AS63" i="19"/>
  <c r="AR63" i="19"/>
  <c r="AP63" i="19"/>
  <c r="BF63" i="19" s="1"/>
  <c r="AO63" i="19"/>
  <c r="T63" i="19"/>
  <c r="N63" i="19"/>
  <c r="L63" i="19"/>
  <c r="BG37" i="19"/>
  <c r="BB37" i="19"/>
  <c r="AZ37" i="19"/>
  <c r="AW37" i="19"/>
  <c r="BA37" i="19" s="1"/>
  <c r="BE37" i="19" s="1"/>
  <c r="AV37" i="19"/>
  <c r="L37" i="19" s="1"/>
  <c r="AU37" i="19"/>
  <c r="AS37" i="19"/>
  <c r="AR37" i="19"/>
  <c r="AP37" i="19"/>
  <c r="AO37" i="19"/>
  <c r="T37" i="19"/>
  <c r="N37" i="19"/>
  <c r="BG33" i="19"/>
  <c r="BB33" i="19"/>
  <c r="AZ33" i="19"/>
  <c r="BC33" i="19" s="1"/>
  <c r="AW33" i="19"/>
  <c r="AV33" i="19"/>
  <c r="L33" i="19" s="1"/>
  <c r="AU33" i="19"/>
  <c r="AT33" i="19"/>
  <c r="AS33" i="19"/>
  <c r="AR33" i="19"/>
  <c r="AP33" i="19"/>
  <c r="AO33" i="19"/>
  <c r="T33" i="19"/>
  <c r="N33" i="19"/>
  <c r="BG17" i="19"/>
  <c r="BB17" i="19"/>
  <c r="AZ17" i="19"/>
  <c r="AW17" i="19"/>
  <c r="AV17" i="19"/>
  <c r="L17" i="19" s="1"/>
  <c r="AU17" i="19"/>
  <c r="AT17" i="19"/>
  <c r="AS17" i="19"/>
  <c r="AR17" i="19"/>
  <c r="AP17" i="19"/>
  <c r="AO17" i="19"/>
  <c r="T17" i="19"/>
  <c r="N17" i="19"/>
  <c r="BG9" i="19"/>
  <c r="BB9" i="19"/>
  <c r="AZ9" i="19"/>
  <c r="AW9" i="19"/>
  <c r="AV9" i="19"/>
  <c r="L9" i="19" s="1"/>
  <c r="AU9" i="19"/>
  <c r="AT9" i="19"/>
  <c r="AS9" i="19"/>
  <c r="AR9" i="19"/>
  <c r="AP9" i="19"/>
  <c r="AO9" i="19"/>
  <c r="T9" i="19"/>
  <c r="N9" i="19"/>
  <c r="BG876" i="19"/>
  <c r="BB876" i="19"/>
  <c r="AZ876" i="19"/>
  <c r="AW876" i="19"/>
  <c r="AV876" i="19"/>
  <c r="L876" i="19" s="1"/>
  <c r="AU876" i="19"/>
  <c r="AT876" i="19"/>
  <c r="AS876" i="19"/>
  <c r="AR876" i="19"/>
  <c r="AP876" i="19"/>
  <c r="AO876" i="19"/>
  <c r="T876" i="19"/>
  <c r="N876" i="19"/>
  <c r="BG645" i="19"/>
  <c r="BB645" i="19"/>
  <c r="AZ645" i="19"/>
  <c r="AW645" i="19"/>
  <c r="BC645" i="19" s="1"/>
  <c r="AV645" i="19"/>
  <c r="AS645" i="19"/>
  <c r="AR645" i="19"/>
  <c r="AP645" i="19"/>
  <c r="AO645" i="19"/>
  <c r="T645" i="19"/>
  <c r="N645" i="19"/>
  <c r="L645" i="19"/>
  <c r="BG627" i="19"/>
  <c r="BB627" i="19"/>
  <c r="AZ627" i="19"/>
  <c r="BA627" i="19" s="1"/>
  <c r="BE627" i="19" s="1"/>
  <c r="BF627" i="19" s="1"/>
  <c r="AW627" i="19"/>
  <c r="AV627" i="19"/>
  <c r="L627" i="19" s="1"/>
  <c r="AU627" i="19"/>
  <c r="AS627" i="19"/>
  <c r="AR627" i="19"/>
  <c r="AP627" i="19"/>
  <c r="AO627" i="19"/>
  <c r="T627" i="19"/>
  <c r="N627" i="19"/>
  <c r="BG554" i="19"/>
  <c r="BB554" i="19"/>
  <c r="AZ554" i="19"/>
  <c r="AW554" i="19"/>
  <c r="AV554" i="19"/>
  <c r="L554" i="19" s="1"/>
  <c r="AU554" i="19"/>
  <c r="AT554" i="19"/>
  <c r="AS554" i="19"/>
  <c r="AR554" i="19"/>
  <c r="AP554" i="19"/>
  <c r="BF554" i="19" s="1"/>
  <c r="AO554" i="19"/>
  <c r="T554" i="19"/>
  <c r="N554" i="19"/>
  <c r="BG487" i="19"/>
  <c r="BB487" i="19"/>
  <c r="AZ487" i="19"/>
  <c r="BA487" i="19" s="1"/>
  <c r="BE487" i="19" s="1"/>
  <c r="AW487" i="19"/>
  <c r="AV487" i="19"/>
  <c r="L487" i="19" s="1"/>
  <c r="AU487" i="19"/>
  <c r="AT487" i="19"/>
  <c r="AS487" i="19"/>
  <c r="AR487" i="19"/>
  <c r="AP487" i="19"/>
  <c r="BF487" i="19" s="1"/>
  <c r="AO487" i="19"/>
  <c r="T487" i="19"/>
  <c r="N487" i="19"/>
  <c r="BG439" i="19"/>
  <c r="BB439" i="19"/>
  <c r="AZ439" i="19"/>
  <c r="AW439" i="19"/>
  <c r="AV439" i="19"/>
  <c r="L439" i="19" s="1"/>
  <c r="AU439" i="19"/>
  <c r="AS439" i="19"/>
  <c r="AR439" i="19"/>
  <c r="AP439" i="19"/>
  <c r="BF439" i="19" s="1"/>
  <c r="AO439" i="19"/>
  <c r="T439" i="19"/>
  <c r="N439" i="19"/>
  <c r="BG375" i="19"/>
  <c r="BB375" i="19"/>
  <c r="AZ375" i="19"/>
  <c r="BA375" i="19" s="1"/>
  <c r="BE375" i="19" s="1"/>
  <c r="AW375" i="19"/>
  <c r="AV375" i="19"/>
  <c r="L375" i="19" s="1"/>
  <c r="AT375" i="19"/>
  <c r="BH375" i="19" s="1"/>
  <c r="AS375" i="19"/>
  <c r="AR375" i="19"/>
  <c r="AP375" i="19"/>
  <c r="BF375" i="19" s="1"/>
  <c r="AO375" i="19"/>
  <c r="T375" i="19"/>
  <c r="N375" i="19"/>
  <c r="BG372" i="19"/>
  <c r="BB372" i="19"/>
  <c r="AZ372" i="19"/>
  <c r="AW372" i="19"/>
  <c r="BC372" i="19" s="1"/>
  <c r="AV372" i="19"/>
  <c r="AU372" i="19"/>
  <c r="AS372" i="19"/>
  <c r="AR372" i="19"/>
  <c r="AP372" i="19"/>
  <c r="BF372" i="19" s="1"/>
  <c r="AO372" i="19"/>
  <c r="T372" i="19"/>
  <c r="N372" i="19"/>
  <c r="L372" i="19"/>
  <c r="BG347" i="19"/>
  <c r="BB347" i="19"/>
  <c r="AZ347" i="19"/>
  <c r="AW347" i="19"/>
  <c r="AV347" i="19"/>
  <c r="L347" i="19" s="1"/>
  <c r="AU347" i="19"/>
  <c r="AT347" i="19"/>
  <c r="AS347" i="19"/>
  <c r="AR347" i="19"/>
  <c r="AP347" i="19"/>
  <c r="BF347" i="19" s="1"/>
  <c r="AO347" i="19"/>
  <c r="T347" i="19"/>
  <c r="N347" i="19"/>
  <c r="BG309" i="19"/>
  <c r="BB309" i="19"/>
  <c r="AZ309" i="19"/>
  <c r="AW309" i="19"/>
  <c r="AV309" i="19"/>
  <c r="AU309" i="19"/>
  <c r="AT309" i="19"/>
  <c r="BH309" i="19" s="1"/>
  <c r="AS309" i="19"/>
  <c r="AR309" i="19"/>
  <c r="AP309" i="19"/>
  <c r="BF309" i="19" s="1"/>
  <c r="AO309" i="19"/>
  <c r="T309" i="19"/>
  <c r="N309" i="19"/>
  <c r="L309" i="19"/>
  <c r="BG278" i="19"/>
  <c r="BB278" i="19"/>
  <c r="AZ278" i="19"/>
  <c r="AW278" i="19"/>
  <c r="BA278" i="19" s="1"/>
  <c r="BE278" i="19" s="1"/>
  <c r="AV278" i="19"/>
  <c r="L278" i="19" s="1"/>
  <c r="AU278" i="19"/>
  <c r="AT278" i="19"/>
  <c r="AS278" i="19"/>
  <c r="AR278" i="19"/>
  <c r="AP278" i="19"/>
  <c r="BF278" i="19" s="1"/>
  <c r="AO278" i="19"/>
  <c r="T278" i="19"/>
  <c r="N278" i="19"/>
  <c r="BG265" i="19"/>
  <c r="BB265" i="19"/>
  <c r="AZ265" i="19"/>
  <c r="BC265" i="19" s="1"/>
  <c r="AW265" i="19"/>
  <c r="AV265" i="19"/>
  <c r="L265" i="19" s="1"/>
  <c r="AU265" i="19"/>
  <c r="AT265" i="19"/>
  <c r="AS265" i="19"/>
  <c r="AR265" i="19"/>
  <c r="AP265" i="19"/>
  <c r="BF265" i="19" s="1"/>
  <c r="AO265" i="19"/>
  <c r="T265" i="19"/>
  <c r="N265" i="19"/>
  <c r="BG262" i="19"/>
  <c r="BB262" i="19"/>
  <c r="AZ262" i="19"/>
  <c r="AW262" i="19"/>
  <c r="AV262" i="19"/>
  <c r="L262" i="19" s="1"/>
  <c r="AU262" i="19"/>
  <c r="AT262" i="19"/>
  <c r="AS262" i="19"/>
  <c r="AR262" i="19"/>
  <c r="AP262" i="19"/>
  <c r="BF262" i="19" s="1"/>
  <c r="AO262" i="19"/>
  <c r="T262" i="19"/>
  <c r="N262" i="19"/>
  <c r="BG259" i="19"/>
  <c r="BB259" i="19"/>
  <c r="AZ259" i="19"/>
  <c r="BC259" i="19" s="1"/>
  <c r="AW259" i="19"/>
  <c r="AV259" i="19"/>
  <c r="L259" i="19" s="1"/>
  <c r="AU259" i="19"/>
  <c r="AT259" i="19"/>
  <c r="BH259" i="19" s="1"/>
  <c r="AS259" i="19"/>
  <c r="AR259" i="19"/>
  <c r="AP259" i="19"/>
  <c r="BF259" i="19" s="1"/>
  <c r="AO259" i="19"/>
  <c r="T259" i="19"/>
  <c r="N259" i="19"/>
  <c r="BG210" i="19"/>
  <c r="BB210" i="19"/>
  <c r="AZ210" i="19"/>
  <c r="AW210" i="19"/>
  <c r="AV210" i="19"/>
  <c r="L210" i="19" s="1"/>
  <c r="AU210" i="19"/>
  <c r="AT210" i="19"/>
  <c r="AS210" i="19"/>
  <c r="AR210" i="19"/>
  <c r="AP210" i="19"/>
  <c r="BF210" i="19" s="1"/>
  <c r="AO210" i="19"/>
  <c r="T210" i="19"/>
  <c r="N210" i="19"/>
  <c r="BG195" i="19"/>
  <c r="BB195" i="19"/>
  <c r="AZ195" i="19"/>
  <c r="BC195" i="19" s="1"/>
  <c r="AW195" i="19"/>
  <c r="AV195" i="19"/>
  <c r="L195" i="19" s="1"/>
  <c r="AU195" i="19"/>
  <c r="AT195" i="19"/>
  <c r="AS195" i="19"/>
  <c r="AR195" i="19"/>
  <c r="AP195" i="19"/>
  <c r="BF195" i="19" s="1"/>
  <c r="AO195" i="19"/>
  <c r="T195" i="19"/>
  <c r="N195" i="19"/>
  <c r="BG190" i="19"/>
  <c r="BB190" i="19"/>
  <c r="AZ190" i="19"/>
  <c r="AW190" i="19"/>
  <c r="AV190" i="19"/>
  <c r="L190" i="19" s="1"/>
  <c r="AU190" i="19"/>
  <c r="AT190" i="19"/>
  <c r="AS190" i="19"/>
  <c r="AR190" i="19"/>
  <c r="AP190" i="19"/>
  <c r="BF190" i="19" s="1"/>
  <c r="AO190" i="19"/>
  <c r="T190" i="19"/>
  <c r="N190" i="19"/>
  <c r="BG50" i="19"/>
  <c r="BB50" i="19"/>
  <c r="AZ50" i="19"/>
  <c r="BC50" i="19" s="1"/>
  <c r="AW50" i="19"/>
  <c r="AV50" i="19"/>
  <c r="L50" i="19" s="1"/>
  <c r="AU50" i="19"/>
  <c r="AT50" i="19"/>
  <c r="BH50" i="19" s="1"/>
  <c r="AS50" i="19"/>
  <c r="AR50" i="19"/>
  <c r="AP50" i="19"/>
  <c r="BF50" i="19" s="1"/>
  <c r="AO50" i="19"/>
  <c r="T50" i="19"/>
  <c r="N50" i="19"/>
  <c r="BG12" i="19"/>
  <c r="BB12" i="19"/>
  <c r="AZ12" i="19"/>
  <c r="AW12" i="19"/>
  <c r="AV12" i="19"/>
  <c r="L12" i="19" s="1"/>
  <c r="AU12" i="19"/>
  <c r="AT12" i="19"/>
  <c r="AS12" i="19"/>
  <c r="AR12" i="19"/>
  <c r="AP12" i="19"/>
  <c r="AO12" i="19"/>
  <c r="T12" i="19"/>
  <c r="N12" i="19"/>
  <c r="BG11" i="19"/>
  <c r="BB11" i="19"/>
  <c r="AZ11" i="19"/>
  <c r="BC11" i="19" s="1"/>
  <c r="AW11" i="19"/>
  <c r="AV11" i="19"/>
  <c r="L11" i="19" s="1"/>
  <c r="AU11" i="19"/>
  <c r="AT11" i="19"/>
  <c r="AS11" i="19"/>
  <c r="AR11" i="19"/>
  <c r="AP11" i="19"/>
  <c r="AO11" i="19"/>
  <c r="T11" i="19"/>
  <c r="N11" i="19"/>
  <c r="BG874" i="19"/>
  <c r="BB874" i="19"/>
  <c r="AZ874" i="19"/>
  <c r="AW874" i="19"/>
  <c r="AV874" i="19"/>
  <c r="L874" i="19" s="1"/>
  <c r="AU874" i="19"/>
  <c r="AT874" i="19"/>
  <c r="AS874" i="19"/>
  <c r="AR874" i="19"/>
  <c r="AP874" i="19"/>
  <c r="AO874" i="19"/>
  <c r="T874" i="19"/>
  <c r="N874" i="19"/>
  <c r="BG760" i="19"/>
  <c r="BB760" i="19"/>
  <c r="AZ760" i="19"/>
  <c r="AW760" i="19"/>
  <c r="AV760" i="19"/>
  <c r="L760" i="19" s="1"/>
  <c r="AU760" i="19"/>
  <c r="AT760" i="19"/>
  <c r="AS760" i="19"/>
  <c r="AR760" i="19"/>
  <c r="AP760" i="19"/>
  <c r="AO760" i="19"/>
  <c r="T760" i="19"/>
  <c r="N760" i="19"/>
  <c r="BG630" i="19"/>
  <c r="BB630" i="19"/>
  <c r="AZ630" i="19"/>
  <c r="BA630" i="19" s="1"/>
  <c r="BE630" i="19" s="1"/>
  <c r="BF630" i="19" s="1"/>
  <c r="AW630" i="19"/>
  <c r="AV630" i="19"/>
  <c r="L630" i="19" s="1"/>
  <c r="AU630" i="19"/>
  <c r="AT630" i="19"/>
  <c r="AS630" i="19"/>
  <c r="AR630" i="19"/>
  <c r="AP630" i="19"/>
  <c r="AO630" i="19"/>
  <c r="T630" i="19"/>
  <c r="N630" i="19"/>
  <c r="BG595" i="19"/>
  <c r="BB595" i="19"/>
  <c r="AZ595" i="19"/>
  <c r="AW595" i="19"/>
  <c r="AV595" i="19"/>
  <c r="L595" i="19" s="1"/>
  <c r="AU595" i="19"/>
  <c r="AT595" i="19"/>
  <c r="AS595" i="19"/>
  <c r="AR595" i="19"/>
  <c r="AP595" i="19"/>
  <c r="BF595" i="19" s="1"/>
  <c r="AO595" i="19"/>
  <c r="T595" i="19"/>
  <c r="N595" i="19"/>
  <c r="BG453" i="19"/>
  <c r="BB453" i="19"/>
  <c r="AZ453" i="19"/>
  <c r="BA453" i="19" s="1"/>
  <c r="BE453" i="19" s="1"/>
  <c r="AW453" i="19"/>
  <c r="AV453" i="19"/>
  <c r="L453" i="19" s="1"/>
  <c r="AU453" i="19"/>
  <c r="AT453" i="19"/>
  <c r="AS453" i="19"/>
  <c r="AR453" i="19"/>
  <c r="AP453" i="19"/>
  <c r="BF453" i="19" s="1"/>
  <c r="AO453" i="19"/>
  <c r="T453" i="19"/>
  <c r="N453" i="19"/>
  <c r="BG441" i="19"/>
  <c r="BB441" i="19"/>
  <c r="AZ441" i="19"/>
  <c r="AW441" i="19"/>
  <c r="AV441" i="19"/>
  <c r="L441" i="19" s="1"/>
  <c r="AU441" i="19"/>
  <c r="AS441" i="19"/>
  <c r="AR441" i="19"/>
  <c r="AP441" i="19"/>
  <c r="BF441" i="19" s="1"/>
  <c r="AO441" i="19"/>
  <c r="T441" i="19"/>
  <c r="N441" i="19"/>
  <c r="BG288" i="19"/>
  <c r="BB288" i="19"/>
  <c r="AZ288" i="19"/>
  <c r="AW288" i="19"/>
  <c r="AV288" i="19"/>
  <c r="L288" i="19" s="1"/>
  <c r="AU288" i="19"/>
  <c r="AT288" i="19"/>
  <c r="AS288" i="19"/>
  <c r="AR288" i="19"/>
  <c r="AP288" i="19"/>
  <c r="BF288" i="19" s="1"/>
  <c r="AO288" i="19"/>
  <c r="T288" i="19"/>
  <c r="N288" i="19"/>
  <c r="BG261" i="19"/>
  <c r="BB261" i="19"/>
  <c r="AZ261" i="19"/>
  <c r="AW261" i="19"/>
  <c r="AV261" i="19"/>
  <c r="L261" i="19" s="1"/>
  <c r="AU261" i="19"/>
  <c r="AT261" i="19"/>
  <c r="BH261" i="19" s="1"/>
  <c r="AS261" i="19"/>
  <c r="AR261" i="19"/>
  <c r="AP261" i="19"/>
  <c r="BF261" i="19" s="1"/>
  <c r="AO261" i="19"/>
  <c r="T261" i="19"/>
  <c r="N261" i="19"/>
  <c r="BG232" i="19"/>
  <c r="BB232" i="19"/>
  <c r="AZ232" i="19"/>
  <c r="BA232" i="19" s="1"/>
  <c r="BE232" i="19" s="1"/>
  <c r="AW232" i="19"/>
  <c r="AV232" i="19"/>
  <c r="L232" i="19" s="1"/>
  <c r="AU232" i="19"/>
  <c r="AS232" i="19"/>
  <c r="AR232" i="19"/>
  <c r="AP232" i="19"/>
  <c r="BF232" i="19" s="1"/>
  <c r="AO232" i="19"/>
  <c r="T232" i="19"/>
  <c r="N232" i="19"/>
  <c r="BG209" i="19"/>
  <c r="BB209" i="19"/>
  <c r="AZ209" i="19"/>
  <c r="AW209" i="19"/>
  <c r="AV209" i="19"/>
  <c r="L209" i="19" s="1"/>
  <c r="AU209" i="19"/>
  <c r="AT209" i="19"/>
  <c r="AS209" i="19"/>
  <c r="AR209" i="19"/>
  <c r="AP209" i="19"/>
  <c r="BF209" i="19" s="1"/>
  <c r="AO209" i="19"/>
  <c r="T209" i="19"/>
  <c r="N209" i="19"/>
  <c r="BG203" i="19"/>
  <c r="BB203" i="19"/>
  <c r="AZ203" i="19"/>
  <c r="AW203" i="19"/>
  <c r="BA203" i="19" s="1"/>
  <c r="BE203" i="19" s="1"/>
  <c r="AV203" i="19"/>
  <c r="L203" i="19" s="1"/>
  <c r="AU203" i="19"/>
  <c r="AT203" i="19"/>
  <c r="AS203" i="19"/>
  <c r="AR203" i="19"/>
  <c r="AP203" i="19"/>
  <c r="BF203" i="19" s="1"/>
  <c r="AO203" i="19"/>
  <c r="T203" i="19"/>
  <c r="N203" i="19"/>
  <c r="BG202" i="19"/>
  <c r="BB202" i="19"/>
  <c r="AZ202" i="19"/>
  <c r="BA202" i="19" s="1"/>
  <c r="BE202" i="19" s="1"/>
  <c r="AW202" i="19"/>
  <c r="AV202" i="19"/>
  <c r="L202" i="19" s="1"/>
  <c r="AU202" i="19"/>
  <c r="AT202" i="19"/>
  <c r="AS202" i="19"/>
  <c r="AR202" i="19"/>
  <c r="AP202" i="19"/>
  <c r="BF202" i="19" s="1"/>
  <c r="AO202" i="19"/>
  <c r="T202" i="19"/>
  <c r="N202" i="19"/>
  <c r="BG192" i="19"/>
  <c r="BB192" i="19"/>
  <c r="AZ192" i="19"/>
  <c r="AW192" i="19"/>
  <c r="AV192" i="19"/>
  <c r="L192" i="19" s="1"/>
  <c r="AU192" i="19"/>
  <c r="AT192" i="19"/>
  <c r="AS192" i="19"/>
  <c r="AR192" i="19"/>
  <c r="AP192" i="19"/>
  <c r="BF192" i="19" s="1"/>
  <c r="AO192" i="19"/>
  <c r="T192" i="19"/>
  <c r="N192" i="19"/>
  <c r="BG102" i="19"/>
  <c r="BB102" i="19"/>
  <c r="AZ102" i="19"/>
  <c r="BA102" i="19" s="1"/>
  <c r="BE102" i="19" s="1"/>
  <c r="AW102" i="19"/>
  <c r="AV102" i="19"/>
  <c r="L102" i="19" s="1"/>
  <c r="AT102" i="19"/>
  <c r="AS102" i="19"/>
  <c r="AR102" i="19"/>
  <c r="AP102" i="19"/>
  <c r="BF102" i="19" s="1"/>
  <c r="AO102" i="19"/>
  <c r="T102" i="19"/>
  <c r="N102" i="19"/>
  <c r="BG75" i="19"/>
  <c r="BB75" i="19"/>
  <c r="AZ75" i="19"/>
  <c r="AW75" i="19"/>
  <c r="AV75" i="19"/>
  <c r="L75" i="19" s="1"/>
  <c r="AU75" i="19"/>
  <c r="AT75" i="19"/>
  <c r="AS75" i="19"/>
  <c r="AR75" i="19"/>
  <c r="AP75" i="19"/>
  <c r="BF75" i="19" s="1"/>
  <c r="AO75" i="19"/>
  <c r="T75" i="19"/>
  <c r="N75" i="19"/>
  <c r="BG20" i="19"/>
  <c r="BB20" i="19"/>
  <c r="AZ20" i="19"/>
  <c r="BA20" i="19" s="1"/>
  <c r="BE20" i="19" s="1"/>
  <c r="AW20" i="19"/>
  <c r="AV20" i="19"/>
  <c r="AT20" i="19"/>
  <c r="AS20" i="19"/>
  <c r="AR20" i="19"/>
  <c r="AP20" i="19"/>
  <c r="AO20" i="19"/>
  <c r="T20" i="19"/>
  <c r="N20" i="19"/>
  <c r="L20" i="19"/>
  <c r="BG646" i="19"/>
  <c r="BB646" i="19"/>
  <c r="AZ646" i="19"/>
  <c r="AW646" i="19"/>
  <c r="AV646" i="19"/>
  <c r="L646" i="19" s="1"/>
  <c r="AU646" i="19"/>
  <c r="AT646" i="19"/>
  <c r="AS646" i="19"/>
  <c r="AR646" i="19"/>
  <c r="AP646" i="19"/>
  <c r="AO646" i="19"/>
  <c r="T646" i="19"/>
  <c r="N646" i="19"/>
  <c r="BG612" i="19"/>
  <c r="BB612" i="19"/>
  <c r="AZ612" i="19"/>
  <c r="AW612" i="19"/>
  <c r="BA612" i="19" s="1"/>
  <c r="BE612" i="19" s="1"/>
  <c r="BF612" i="19" s="1"/>
  <c r="AV612" i="19"/>
  <c r="L612" i="19" s="1"/>
  <c r="AU612" i="19"/>
  <c r="AT612" i="19"/>
  <c r="AS612" i="19"/>
  <c r="AR612" i="19"/>
  <c r="AP612" i="19"/>
  <c r="AO612" i="19"/>
  <c r="T612" i="19"/>
  <c r="N612" i="19"/>
  <c r="BG588" i="19"/>
  <c r="BB588" i="19"/>
  <c r="AZ588" i="19"/>
  <c r="AW588" i="19"/>
  <c r="AV588" i="19"/>
  <c r="L588" i="19" s="1"/>
  <c r="AU588" i="19"/>
  <c r="AT588" i="19"/>
  <c r="AS588" i="19"/>
  <c r="AR588" i="19"/>
  <c r="AP588" i="19"/>
  <c r="BF588" i="19" s="1"/>
  <c r="AO588" i="19"/>
  <c r="T588" i="19"/>
  <c r="N588" i="19"/>
  <c r="BG561" i="19"/>
  <c r="BB561" i="19"/>
  <c r="AZ561" i="19"/>
  <c r="BC561" i="19" s="1"/>
  <c r="AW561" i="19"/>
  <c r="AV561" i="19"/>
  <c r="L561" i="19" s="1"/>
  <c r="AU561" i="19"/>
  <c r="AT561" i="19"/>
  <c r="BH561" i="19" s="1"/>
  <c r="AS561" i="19"/>
  <c r="AR561" i="19"/>
  <c r="AP561" i="19"/>
  <c r="BF561" i="19" s="1"/>
  <c r="AO561" i="19"/>
  <c r="T561" i="19"/>
  <c r="N561" i="19"/>
  <c r="BG490" i="19"/>
  <c r="BB490" i="19"/>
  <c r="AZ490" i="19"/>
  <c r="AW490" i="19"/>
  <c r="AV490" i="19"/>
  <c r="L490" i="19" s="1"/>
  <c r="AU490" i="19"/>
  <c r="AS490" i="19"/>
  <c r="AR490" i="19"/>
  <c r="AP490" i="19"/>
  <c r="BF490" i="19" s="1"/>
  <c r="AO490" i="19"/>
  <c r="T490" i="19"/>
  <c r="N490" i="19"/>
  <c r="BG452" i="19"/>
  <c r="BB452" i="19"/>
  <c r="BA452" i="19"/>
  <c r="BE452" i="19" s="1"/>
  <c r="AZ452" i="19"/>
  <c r="AW452" i="19"/>
  <c r="AV452" i="19"/>
  <c r="AU452" i="19"/>
  <c r="AT452" i="19"/>
  <c r="AS452" i="19"/>
  <c r="AR452" i="19"/>
  <c r="AP452" i="19"/>
  <c r="BF452" i="19" s="1"/>
  <c r="AO452" i="19"/>
  <c r="T452" i="19"/>
  <c r="N452" i="19"/>
  <c r="L452" i="19"/>
  <c r="BG433" i="19"/>
  <c r="BB433" i="19"/>
  <c r="AZ433" i="19"/>
  <c r="AW433" i="19"/>
  <c r="BA433" i="19" s="1"/>
  <c r="BE433" i="19" s="1"/>
  <c r="AV433" i="19"/>
  <c r="L433" i="19" s="1"/>
  <c r="AU433" i="19"/>
  <c r="AT433" i="19"/>
  <c r="AS433" i="19"/>
  <c r="AR433" i="19"/>
  <c r="AP433" i="19"/>
  <c r="BF433" i="19" s="1"/>
  <c r="AO433" i="19"/>
  <c r="T433" i="19"/>
  <c r="N433" i="19"/>
  <c r="BG382" i="19"/>
  <c r="BB382" i="19"/>
  <c r="BA382" i="19"/>
  <c r="BE382" i="19" s="1"/>
  <c r="AZ382" i="19"/>
  <c r="AW382" i="19"/>
  <c r="AV382" i="19"/>
  <c r="AU382" i="19"/>
  <c r="AT382" i="19"/>
  <c r="AS382" i="19"/>
  <c r="AR382" i="19"/>
  <c r="AP382" i="19"/>
  <c r="BF382" i="19" s="1"/>
  <c r="AO382" i="19"/>
  <c r="T382" i="19"/>
  <c r="N382" i="19"/>
  <c r="L382" i="19"/>
  <c r="BG381" i="19"/>
  <c r="BB381" i="19"/>
  <c r="AZ381" i="19"/>
  <c r="AW381" i="19"/>
  <c r="BA381" i="19" s="1"/>
  <c r="BE381" i="19" s="1"/>
  <c r="AV381" i="19"/>
  <c r="L381" i="19" s="1"/>
  <c r="AU381" i="19"/>
  <c r="AT381" i="19"/>
  <c r="AS381" i="19"/>
  <c r="AR381" i="19"/>
  <c r="AP381" i="19"/>
  <c r="BF381" i="19" s="1"/>
  <c r="AO381" i="19"/>
  <c r="T381" i="19"/>
  <c r="N381" i="19"/>
  <c r="BG380" i="19"/>
  <c r="BB380" i="19"/>
  <c r="BA380" i="19"/>
  <c r="BE380" i="19" s="1"/>
  <c r="AZ380" i="19"/>
  <c r="AW380" i="19"/>
  <c r="AV380" i="19"/>
  <c r="AU380" i="19"/>
  <c r="AT380" i="19"/>
  <c r="AS380" i="19"/>
  <c r="AR380" i="19"/>
  <c r="AP380" i="19"/>
  <c r="BF380" i="19" s="1"/>
  <c r="AO380" i="19"/>
  <c r="T380" i="19"/>
  <c r="N380" i="19"/>
  <c r="L380" i="19"/>
  <c r="BG378" i="19"/>
  <c r="BB378" i="19"/>
  <c r="AZ378" i="19"/>
  <c r="AW378" i="19"/>
  <c r="BA378" i="19" s="1"/>
  <c r="BE378" i="19" s="1"/>
  <c r="AV378" i="19"/>
  <c r="L378" i="19" s="1"/>
  <c r="AU378" i="19"/>
  <c r="AT378" i="19"/>
  <c r="AS378" i="19"/>
  <c r="AR378" i="19"/>
  <c r="AP378" i="19"/>
  <c r="BF378" i="19" s="1"/>
  <c r="AO378" i="19"/>
  <c r="T378" i="19"/>
  <c r="N378" i="19"/>
  <c r="BG212" i="19"/>
  <c r="BB212" i="19"/>
  <c r="BA212" i="19"/>
  <c r="BE212" i="19" s="1"/>
  <c r="AZ212" i="19"/>
  <c r="AW212" i="19"/>
  <c r="AV212" i="19"/>
  <c r="AU212" i="19"/>
  <c r="AT212" i="19"/>
  <c r="AS212" i="19"/>
  <c r="AR212" i="19"/>
  <c r="AP212" i="19"/>
  <c r="BF212" i="19" s="1"/>
  <c r="AO212" i="19"/>
  <c r="T212" i="19"/>
  <c r="N212" i="19"/>
  <c r="L212" i="19"/>
  <c r="BG205" i="19"/>
  <c r="BB205" i="19"/>
  <c r="AZ205" i="19"/>
  <c r="AW205" i="19"/>
  <c r="BA205" i="19" s="1"/>
  <c r="BE205" i="19" s="1"/>
  <c r="AV205" i="19"/>
  <c r="L205" i="19" s="1"/>
  <c r="AU205" i="19"/>
  <c r="AT205" i="19"/>
  <c r="AS205" i="19"/>
  <c r="AR205" i="19"/>
  <c r="AP205" i="19"/>
  <c r="BF205" i="19" s="1"/>
  <c r="AO205" i="19"/>
  <c r="T205" i="19"/>
  <c r="N205" i="19"/>
  <c r="BG196" i="19"/>
  <c r="BB196" i="19"/>
  <c r="BA196" i="19"/>
  <c r="BE196" i="19" s="1"/>
  <c r="AZ196" i="19"/>
  <c r="AW196" i="19"/>
  <c r="AV196" i="19"/>
  <c r="AU196" i="19"/>
  <c r="AT196" i="19"/>
  <c r="AS196" i="19"/>
  <c r="AR196" i="19"/>
  <c r="AP196" i="19"/>
  <c r="BF196" i="19" s="1"/>
  <c r="AO196" i="19"/>
  <c r="T196" i="19"/>
  <c r="N196" i="19"/>
  <c r="L196" i="19"/>
  <c r="BG178" i="19"/>
  <c r="BB178" i="19"/>
  <c r="AZ178" i="19"/>
  <c r="AW178" i="19"/>
  <c r="BA178" i="19" s="1"/>
  <c r="BE178" i="19" s="1"/>
  <c r="AV178" i="19"/>
  <c r="AU178" i="19"/>
  <c r="AT178" i="19"/>
  <c r="AS178" i="19"/>
  <c r="AR178" i="19"/>
  <c r="AP178" i="19"/>
  <c r="BF178" i="19" s="1"/>
  <c r="AO178" i="19"/>
  <c r="T178" i="19"/>
  <c r="N178" i="19"/>
  <c r="L178" i="19"/>
  <c r="BG121" i="19"/>
  <c r="BB121" i="19"/>
  <c r="AZ121" i="19"/>
  <c r="AW121" i="19"/>
  <c r="AV121" i="19"/>
  <c r="L121" i="19" s="1"/>
  <c r="AU121" i="19"/>
  <c r="AT121" i="19"/>
  <c r="AS121" i="19"/>
  <c r="AR121" i="19"/>
  <c r="AP121" i="19"/>
  <c r="BF121" i="19" s="1"/>
  <c r="AO121" i="19"/>
  <c r="T121" i="19"/>
  <c r="N121" i="19"/>
  <c r="BG19" i="19"/>
  <c r="BB19" i="19"/>
  <c r="AZ19" i="19"/>
  <c r="AW19" i="19"/>
  <c r="AV19" i="19"/>
  <c r="L19" i="19" s="1"/>
  <c r="AU19" i="19"/>
  <c r="AT19" i="19"/>
  <c r="AS19" i="19"/>
  <c r="AR19" i="19"/>
  <c r="AP19" i="19"/>
  <c r="AO19" i="19"/>
  <c r="T19" i="19"/>
  <c r="N19" i="19"/>
  <c r="BG870" i="19"/>
  <c r="BB870" i="19"/>
  <c r="AZ870" i="19"/>
  <c r="AW870" i="19"/>
  <c r="AV870" i="19"/>
  <c r="L870" i="19" s="1"/>
  <c r="AU870" i="19"/>
  <c r="AT870" i="19"/>
  <c r="AS870" i="19"/>
  <c r="AR870" i="19"/>
  <c r="AP870" i="19"/>
  <c r="AO870" i="19"/>
  <c r="T870" i="19"/>
  <c r="N870" i="19"/>
  <c r="BG671" i="19"/>
  <c r="BB671" i="19"/>
  <c r="AZ671" i="19"/>
  <c r="BA671" i="19" s="1"/>
  <c r="BE671" i="19" s="1"/>
  <c r="BF671" i="19" s="1"/>
  <c r="AW671" i="19"/>
  <c r="AV671" i="19"/>
  <c r="L671" i="19" s="1"/>
  <c r="AU671" i="19"/>
  <c r="AT671" i="19"/>
  <c r="AS671" i="19"/>
  <c r="AR671" i="19"/>
  <c r="AP671" i="19"/>
  <c r="AO671" i="19"/>
  <c r="T671" i="19"/>
  <c r="N671" i="19"/>
  <c r="BG668" i="19"/>
  <c r="BB668" i="19"/>
  <c r="AZ668" i="19"/>
  <c r="AW668" i="19"/>
  <c r="AV668" i="19"/>
  <c r="L668" i="19" s="1"/>
  <c r="AU668" i="19"/>
  <c r="AT668" i="19"/>
  <c r="AS668" i="19"/>
  <c r="AR668" i="19"/>
  <c r="AP668" i="19"/>
  <c r="AO668" i="19"/>
  <c r="T668" i="19"/>
  <c r="N668" i="19"/>
  <c r="BG667" i="19"/>
  <c r="BB667" i="19"/>
  <c r="AZ667" i="19"/>
  <c r="AW667" i="19"/>
  <c r="AV667" i="19"/>
  <c r="L667" i="19" s="1"/>
  <c r="AU667" i="19"/>
  <c r="AT667" i="19"/>
  <c r="AS667" i="19"/>
  <c r="AR667" i="19"/>
  <c r="AP667" i="19"/>
  <c r="AO667" i="19"/>
  <c r="T667" i="19"/>
  <c r="N667" i="19"/>
  <c r="BG665" i="19"/>
  <c r="BB665" i="19"/>
  <c r="AZ665" i="19"/>
  <c r="AW665" i="19"/>
  <c r="AV665" i="19"/>
  <c r="L665" i="19" s="1"/>
  <c r="AU665" i="19"/>
  <c r="AT665" i="19"/>
  <c r="AS665" i="19"/>
  <c r="AR665" i="19"/>
  <c r="AP665" i="19"/>
  <c r="AO665" i="19"/>
  <c r="T665" i="19"/>
  <c r="N665" i="19"/>
  <c r="BG614" i="19"/>
  <c r="BB614" i="19"/>
  <c r="AZ614" i="19"/>
  <c r="BA614" i="19" s="1"/>
  <c r="BE614" i="19" s="1"/>
  <c r="BF614" i="19" s="1"/>
  <c r="AW614" i="19"/>
  <c r="AV614" i="19"/>
  <c r="L614" i="19" s="1"/>
  <c r="AU614" i="19"/>
  <c r="AT614" i="19"/>
  <c r="AS614" i="19"/>
  <c r="AR614" i="19"/>
  <c r="AP614" i="19"/>
  <c r="AO614" i="19"/>
  <c r="T614" i="19"/>
  <c r="N614" i="19"/>
  <c r="BG602" i="19"/>
  <c r="BB602" i="19"/>
  <c r="AZ602" i="19"/>
  <c r="AW602" i="19"/>
  <c r="AV602" i="19"/>
  <c r="AT602" i="19"/>
  <c r="AS602" i="19"/>
  <c r="AR602" i="19"/>
  <c r="AP602" i="19"/>
  <c r="BF602" i="19" s="1"/>
  <c r="AO602" i="19"/>
  <c r="T602" i="19"/>
  <c r="N602" i="19"/>
  <c r="L602" i="19"/>
  <c r="BG601" i="19"/>
  <c r="BB601" i="19"/>
  <c r="AZ601" i="19"/>
  <c r="AW601" i="19"/>
  <c r="AV601" i="19"/>
  <c r="L601" i="19" s="1"/>
  <c r="AU601" i="19"/>
  <c r="AS601" i="19"/>
  <c r="AR601" i="19"/>
  <c r="AP601" i="19"/>
  <c r="BF601" i="19" s="1"/>
  <c r="AO601" i="19"/>
  <c r="T601" i="19"/>
  <c r="N601" i="19"/>
  <c r="BG574" i="19"/>
  <c r="BB574" i="19"/>
  <c r="AZ574" i="19"/>
  <c r="AW574" i="19"/>
  <c r="AV574" i="19"/>
  <c r="AT574" i="19"/>
  <c r="AS574" i="19"/>
  <c r="AR574" i="19"/>
  <c r="AP574" i="19"/>
  <c r="BF574" i="19" s="1"/>
  <c r="AO574" i="19"/>
  <c r="T574" i="19"/>
  <c r="N574" i="19"/>
  <c r="L574" i="19"/>
  <c r="BG557" i="19"/>
  <c r="BB557" i="19"/>
  <c r="AZ557" i="19"/>
  <c r="AW557" i="19"/>
  <c r="AV557" i="19"/>
  <c r="AU557" i="19"/>
  <c r="AT557" i="19"/>
  <c r="AS557" i="19"/>
  <c r="AR557" i="19"/>
  <c r="AP557" i="19"/>
  <c r="BF557" i="19" s="1"/>
  <c r="AO557" i="19"/>
  <c r="T557" i="19"/>
  <c r="N557" i="19"/>
  <c r="L557" i="19"/>
  <c r="BG549" i="19"/>
  <c r="BB549" i="19"/>
  <c r="AZ549" i="19"/>
  <c r="AW549" i="19"/>
  <c r="AV549" i="19"/>
  <c r="L549" i="19" s="1"/>
  <c r="AU549" i="19"/>
  <c r="AT549" i="19"/>
  <c r="BH549" i="19" s="1"/>
  <c r="AS549" i="19"/>
  <c r="AR549" i="19"/>
  <c r="AP549" i="19"/>
  <c r="BF549" i="19" s="1"/>
  <c r="AO549" i="19"/>
  <c r="T549" i="19"/>
  <c r="N549" i="19"/>
  <c r="BG470" i="19"/>
  <c r="BB470" i="19"/>
  <c r="AZ470" i="19"/>
  <c r="AW470" i="19"/>
  <c r="AV470" i="19"/>
  <c r="L470" i="19" s="1"/>
  <c r="AU470" i="19"/>
  <c r="AT470" i="19"/>
  <c r="AS470" i="19"/>
  <c r="AR470" i="19"/>
  <c r="AP470" i="19"/>
  <c r="BF470" i="19" s="1"/>
  <c r="AO470" i="19"/>
  <c r="T470" i="19"/>
  <c r="N470" i="19"/>
  <c r="BG425" i="19"/>
  <c r="BB425" i="19"/>
  <c r="AZ425" i="19"/>
  <c r="BA425" i="19" s="1"/>
  <c r="BE425" i="19" s="1"/>
  <c r="AW425" i="19"/>
  <c r="AV425" i="19"/>
  <c r="L425" i="19" s="1"/>
  <c r="AU425" i="19"/>
  <c r="AT425" i="19"/>
  <c r="BH425" i="19" s="1"/>
  <c r="AS425" i="19"/>
  <c r="AR425" i="19"/>
  <c r="AP425" i="19"/>
  <c r="BF425" i="19" s="1"/>
  <c r="AO425" i="19"/>
  <c r="T425" i="19"/>
  <c r="N425" i="19"/>
  <c r="BG314" i="19"/>
  <c r="BB314" i="19"/>
  <c r="AZ314" i="19"/>
  <c r="AW314" i="19"/>
  <c r="AV314" i="19"/>
  <c r="L314" i="19" s="1"/>
  <c r="AU314" i="19"/>
  <c r="AT314" i="19"/>
  <c r="AS314" i="19"/>
  <c r="AR314" i="19"/>
  <c r="AP314" i="19"/>
  <c r="BF314" i="19" s="1"/>
  <c r="AO314" i="19"/>
  <c r="T314" i="19"/>
  <c r="N314" i="19"/>
  <c r="BG268" i="19"/>
  <c r="BB268" i="19"/>
  <c r="AZ268" i="19"/>
  <c r="AW268" i="19"/>
  <c r="AV268" i="19"/>
  <c r="L268" i="19" s="1"/>
  <c r="AU268" i="19"/>
  <c r="AT268" i="19"/>
  <c r="AS268" i="19"/>
  <c r="AR268" i="19"/>
  <c r="AP268" i="19"/>
  <c r="BF268" i="19" s="1"/>
  <c r="AO268" i="19"/>
  <c r="T268" i="19"/>
  <c r="N268" i="19"/>
  <c r="BG201" i="19"/>
  <c r="BB201" i="19"/>
  <c r="AZ201" i="19"/>
  <c r="AW201" i="19"/>
  <c r="AV201" i="19"/>
  <c r="L201" i="19" s="1"/>
  <c r="AU201" i="19"/>
  <c r="AT201" i="19"/>
  <c r="AS201" i="19"/>
  <c r="AR201" i="19"/>
  <c r="AP201" i="19"/>
  <c r="BF201" i="19" s="1"/>
  <c r="AO201" i="19"/>
  <c r="T201" i="19"/>
  <c r="N201" i="19"/>
  <c r="BG199" i="19"/>
  <c r="BB199" i="19"/>
  <c r="AZ199" i="19"/>
  <c r="AW199" i="19"/>
  <c r="AV199" i="19"/>
  <c r="AT199" i="19"/>
  <c r="AS199" i="19"/>
  <c r="AR199" i="19"/>
  <c r="AP199" i="19"/>
  <c r="BF199" i="19" s="1"/>
  <c r="AO199" i="19"/>
  <c r="T199" i="19"/>
  <c r="N199" i="19"/>
  <c r="L199" i="19"/>
  <c r="BG193" i="19"/>
  <c r="BB193" i="19"/>
  <c r="AZ193" i="19"/>
  <c r="AW193" i="19"/>
  <c r="AV193" i="19"/>
  <c r="L193" i="19" s="1"/>
  <c r="AT193" i="19"/>
  <c r="AS193" i="19"/>
  <c r="AR193" i="19"/>
  <c r="AP193" i="19"/>
  <c r="BF193" i="19" s="1"/>
  <c r="AO193" i="19"/>
  <c r="T193" i="19"/>
  <c r="N193" i="19"/>
  <c r="BG174" i="19"/>
  <c r="BB174" i="19"/>
  <c r="AZ174" i="19"/>
  <c r="BA174" i="19" s="1"/>
  <c r="BE174" i="19" s="1"/>
  <c r="AW174" i="19"/>
  <c r="AV174" i="19"/>
  <c r="L174" i="19" s="1"/>
  <c r="AU174" i="19"/>
  <c r="AT174" i="19"/>
  <c r="AS174" i="19"/>
  <c r="AR174" i="19"/>
  <c r="AP174" i="19"/>
  <c r="BF174" i="19" s="1"/>
  <c r="AO174" i="19"/>
  <c r="T174" i="19"/>
  <c r="N174" i="19"/>
  <c r="BG173" i="19"/>
  <c r="BB173" i="19"/>
  <c r="AZ173" i="19"/>
  <c r="AW173" i="19"/>
  <c r="AV173" i="19"/>
  <c r="L173" i="19" s="1"/>
  <c r="AU173" i="19"/>
  <c r="AT173" i="19"/>
  <c r="AS173" i="19"/>
  <c r="AR173" i="19"/>
  <c r="AP173" i="19"/>
  <c r="BF173" i="19" s="1"/>
  <c r="AO173" i="19"/>
  <c r="T173" i="19"/>
  <c r="N173" i="19"/>
  <c r="BG172" i="19"/>
  <c r="BB172" i="19"/>
  <c r="AZ172" i="19"/>
  <c r="AW172" i="19"/>
  <c r="AV172" i="19"/>
  <c r="L172" i="19" s="1"/>
  <c r="AU172" i="19"/>
  <c r="AT172" i="19"/>
  <c r="AS172" i="19"/>
  <c r="AR172" i="19"/>
  <c r="AP172" i="19"/>
  <c r="BF172" i="19" s="1"/>
  <c r="AO172" i="19"/>
  <c r="T172" i="19"/>
  <c r="N172" i="19"/>
  <c r="BG171" i="19"/>
  <c r="BB171" i="19"/>
  <c r="AZ171" i="19"/>
  <c r="AW171" i="19"/>
  <c r="AV171" i="19"/>
  <c r="L171" i="19" s="1"/>
  <c r="AU171" i="19"/>
  <c r="AT171" i="19"/>
  <c r="AS171" i="19"/>
  <c r="AR171" i="19"/>
  <c r="AP171" i="19"/>
  <c r="BF171" i="19" s="1"/>
  <c r="AO171" i="19"/>
  <c r="T171" i="19"/>
  <c r="N171" i="19"/>
  <c r="BG170" i="19"/>
  <c r="BB170" i="19"/>
  <c r="AZ170" i="19"/>
  <c r="BA170" i="19" s="1"/>
  <c r="BE170" i="19" s="1"/>
  <c r="AW170" i="19"/>
  <c r="AV170" i="19"/>
  <c r="L170" i="19" s="1"/>
  <c r="AU170" i="19"/>
  <c r="AT170" i="19"/>
  <c r="AS170" i="19"/>
  <c r="AR170" i="19"/>
  <c r="AP170" i="19"/>
  <c r="BF170" i="19" s="1"/>
  <c r="AO170" i="19"/>
  <c r="T170" i="19"/>
  <c r="N170" i="19"/>
  <c r="BG163" i="19"/>
  <c r="BB163" i="19"/>
  <c r="AZ163" i="19"/>
  <c r="AW163" i="19"/>
  <c r="AV163" i="19"/>
  <c r="L163" i="19" s="1"/>
  <c r="AT163" i="19"/>
  <c r="AS163" i="19"/>
  <c r="AR163" i="19"/>
  <c r="AP163" i="19"/>
  <c r="BF163" i="19" s="1"/>
  <c r="AO163" i="19"/>
  <c r="T163" i="19"/>
  <c r="N163" i="19"/>
  <c r="BG162" i="19"/>
  <c r="BB162" i="19"/>
  <c r="AZ162" i="19"/>
  <c r="AW162" i="19"/>
  <c r="AV162" i="19"/>
  <c r="L162" i="19" s="1"/>
  <c r="AU162" i="19"/>
  <c r="AT162" i="19"/>
  <c r="AS162" i="19"/>
  <c r="AR162" i="19"/>
  <c r="AP162" i="19"/>
  <c r="BF162" i="19" s="1"/>
  <c r="AO162" i="19"/>
  <c r="T162" i="19"/>
  <c r="N162" i="19"/>
  <c r="BG158" i="19"/>
  <c r="BB158" i="19"/>
  <c r="AZ158" i="19"/>
  <c r="BA158" i="19" s="1"/>
  <c r="BE158" i="19" s="1"/>
  <c r="AW158" i="19"/>
  <c r="AV158" i="19"/>
  <c r="L158" i="19" s="1"/>
  <c r="AU158" i="19"/>
  <c r="AT158" i="19"/>
  <c r="AS158" i="19"/>
  <c r="AR158" i="19"/>
  <c r="AP158" i="19"/>
  <c r="BF158" i="19" s="1"/>
  <c r="AO158" i="19"/>
  <c r="T158" i="19"/>
  <c r="N158" i="19"/>
  <c r="BG126" i="19"/>
  <c r="BB126" i="19"/>
  <c r="AZ126" i="19"/>
  <c r="AW126" i="19"/>
  <c r="AV126" i="19"/>
  <c r="L126" i="19" s="1"/>
  <c r="AU126" i="19"/>
  <c r="AT126" i="19"/>
  <c r="AS126" i="19"/>
  <c r="AR126" i="19"/>
  <c r="AP126" i="19"/>
  <c r="BF126" i="19" s="1"/>
  <c r="AO126" i="19"/>
  <c r="T126" i="19"/>
  <c r="N126" i="19"/>
  <c r="BG58" i="19"/>
  <c r="BB58" i="19"/>
  <c r="AZ58" i="19"/>
  <c r="BA58" i="19" s="1"/>
  <c r="BE58" i="19" s="1"/>
  <c r="AW58" i="19"/>
  <c r="AV58" i="19"/>
  <c r="L58" i="19" s="1"/>
  <c r="AU58" i="19"/>
  <c r="AT58" i="19"/>
  <c r="AS58" i="19"/>
  <c r="AR58" i="19"/>
  <c r="AP58" i="19"/>
  <c r="BF58" i="19" s="1"/>
  <c r="AO58" i="19"/>
  <c r="T58" i="19"/>
  <c r="N58" i="19"/>
  <c r="BG35" i="19"/>
  <c r="BB35" i="19"/>
  <c r="AZ35" i="19"/>
  <c r="AW35" i="19"/>
  <c r="AV35" i="19"/>
  <c r="L35" i="19" s="1"/>
  <c r="AU35" i="19"/>
  <c r="AT35" i="19"/>
  <c r="AS35" i="19"/>
  <c r="AR35" i="19"/>
  <c r="AP35" i="19"/>
  <c r="AO35" i="19"/>
  <c r="T35" i="19"/>
  <c r="N35" i="19"/>
  <c r="BG878" i="19"/>
  <c r="BB878" i="19"/>
  <c r="AZ878" i="19"/>
  <c r="AW878" i="19"/>
  <c r="AV878" i="19"/>
  <c r="L878" i="19" s="1"/>
  <c r="AU878" i="19"/>
  <c r="AT878" i="19"/>
  <c r="AS878" i="19"/>
  <c r="AR878" i="19"/>
  <c r="AP878" i="19"/>
  <c r="AO878" i="19"/>
  <c r="T878" i="19"/>
  <c r="N878" i="19"/>
  <c r="BG875" i="19"/>
  <c r="BB875" i="19"/>
  <c r="AZ875" i="19"/>
  <c r="AW875" i="19"/>
  <c r="AV875" i="19"/>
  <c r="L875" i="19" s="1"/>
  <c r="AU875" i="19"/>
  <c r="AT875" i="19"/>
  <c r="BH875" i="19" s="1"/>
  <c r="AS875" i="19"/>
  <c r="AR875" i="19"/>
  <c r="AP875" i="19"/>
  <c r="AO875" i="19"/>
  <c r="T875" i="19"/>
  <c r="N875" i="19"/>
  <c r="BG872" i="19"/>
  <c r="BB872" i="19"/>
  <c r="BA872" i="19"/>
  <c r="BE872" i="19" s="1"/>
  <c r="BF872" i="19" s="1"/>
  <c r="AZ872" i="19"/>
  <c r="AW872" i="19"/>
  <c r="AV872" i="19"/>
  <c r="L872" i="19" s="1"/>
  <c r="AU872" i="19"/>
  <c r="AT872" i="19"/>
  <c r="AS872" i="19"/>
  <c r="AR872" i="19"/>
  <c r="AP872" i="19"/>
  <c r="AO872" i="19"/>
  <c r="T872" i="19"/>
  <c r="N872" i="19"/>
  <c r="BG868" i="19"/>
  <c r="BB868" i="19"/>
  <c r="AZ868" i="19"/>
  <c r="BA868" i="19" s="1"/>
  <c r="BE868" i="19" s="1"/>
  <c r="BF868" i="19" s="1"/>
  <c r="AW868" i="19"/>
  <c r="AV868" i="19"/>
  <c r="L868" i="19" s="1"/>
  <c r="AU868" i="19"/>
  <c r="AT868" i="19"/>
  <c r="AS868" i="19"/>
  <c r="AR868" i="19"/>
  <c r="AP868" i="19"/>
  <c r="AO868" i="19"/>
  <c r="T868" i="19"/>
  <c r="N868" i="19"/>
  <c r="BG867" i="19"/>
  <c r="BB867" i="19"/>
  <c r="AZ867" i="19"/>
  <c r="AW867" i="19"/>
  <c r="AV867" i="19"/>
  <c r="L867" i="19" s="1"/>
  <c r="AU867" i="19"/>
  <c r="AT867" i="19"/>
  <c r="AS867" i="19"/>
  <c r="AR867" i="19"/>
  <c r="AP867" i="19"/>
  <c r="AO867" i="19"/>
  <c r="T867" i="19"/>
  <c r="N867" i="19"/>
  <c r="BG783" i="19"/>
  <c r="BB783" i="19"/>
  <c r="AZ783" i="19"/>
  <c r="AW783" i="19"/>
  <c r="AV783" i="19"/>
  <c r="L783" i="19" s="1"/>
  <c r="AU783" i="19"/>
  <c r="AS783" i="19"/>
  <c r="AR783" i="19"/>
  <c r="AP783" i="19"/>
  <c r="AO783" i="19"/>
  <c r="T783" i="19"/>
  <c r="N783" i="19"/>
  <c r="BG670" i="19"/>
  <c r="BB670" i="19"/>
  <c r="AZ670" i="19"/>
  <c r="BA670" i="19" s="1"/>
  <c r="BE670" i="19" s="1"/>
  <c r="BF670" i="19" s="1"/>
  <c r="AW670" i="19"/>
  <c r="AV670" i="19"/>
  <c r="L670" i="19" s="1"/>
  <c r="AU670" i="19"/>
  <c r="AT670" i="19"/>
  <c r="AS670" i="19"/>
  <c r="AR670" i="19"/>
  <c r="AP670" i="19"/>
  <c r="AO670" i="19"/>
  <c r="T670" i="19"/>
  <c r="N670" i="19"/>
  <c r="BG629" i="19"/>
  <c r="BB629" i="19"/>
  <c r="AZ629" i="19"/>
  <c r="AW629" i="19"/>
  <c r="AV629" i="19"/>
  <c r="L629" i="19" s="1"/>
  <c r="AU629" i="19"/>
  <c r="AT629" i="19"/>
  <c r="AS629" i="19"/>
  <c r="AR629" i="19"/>
  <c r="AP629" i="19"/>
  <c r="AO629" i="19"/>
  <c r="T629" i="19"/>
  <c r="N629" i="19"/>
  <c r="BG617" i="19"/>
  <c r="BB617" i="19"/>
  <c r="AZ617" i="19"/>
  <c r="AW617" i="19"/>
  <c r="AV617" i="19"/>
  <c r="L617" i="19" s="1"/>
  <c r="AU617" i="19"/>
  <c r="AS617" i="19"/>
  <c r="AR617" i="19"/>
  <c r="AP617" i="19"/>
  <c r="AO617" i="19"/>
  <c r="T617" i="19"/>
  <c r="N617" i="19"/>
  <c r="BG545" i="19"/>
  <c r="BB545" i="19"/>
  <c r="AZ545" i="19"/>
  <c r="BC545" i="19" s="1"/>
  <c r="AW545" i="19"/>
  <c r="AV545" i="19"/>
  <c r="L545" i="19" s="1"/>
  <c r="AU545" i="19"/>
  <c r="AT545" i="19"/>
  <c r="AS545" i="19"/>
  <c r="AR545" i="19"/>
  <c r="AP545" i="19"/>
  <c r="BF545" i="19" s="1"/>
  <c r="AO545" i="19"/>
  <c r="T545" i="19"/>
  <c r="N545" i="19"/>
  <c r="BG379" i="19"/>
  <c r="BB379" i="19"/>
  <c r="AZ379" i="19"/>
  <c r="AW379" i="19"/>
  <c r="AV379" i="19"/>
  <c r="L379" i="19" s="1"/>
  <c r="AU379" i="19"/>
  <c r="AT379" i="19"/>
  <c r="AS379" i="19"/>
  <c r="AR379" i="19"/>
  <c r="AP379" i="19"/>
  <c r="BF379" i="19" s="1"/>
  <c r="AO379" i="19"/>
  <c r="T379" i="19"/>
  <c r="N379" i="19"/>
  <c r="BG376" i="19"/>
  <c r="BB376" i="19"/>
  <c r="AZ376" i="19"/>
  <c r="BC376" i="19" s="1"/>
  <c r="AW376" i="19"/>
  <c r="AV376" i="19"/>
  <c r="L376" i="19" s="1"/>
  <c r="AT376" i="19"/>
  <c r="BH376" i="19" s="1"/>
  <c r="AS376" i="19"/>
  <c r="AR376" i="19"/>
  <c r="AP376" i="19"/>
  <c r="BF376" i="19" s="1"/>
  <c r="AO376" i="19"/>
  <c r="T376" i="19"/>
  <c r="N376" i="19"/>
  <c r="BG370" i="19"/>
  <c r="BB370" i="19"/>
  <c r="AZ370" i="19"/>
  <c r="AW370" i="19"/>
  <c r="AV370" i="19"/>
  <c r="L370" i="19" s="1"/>
  <c r="AU370" i="19"/>
  <c r="AT370" i="19"/>
  <c r="AS370" i="19"/>
  <c r="AR370" i="19"/>
  <c r="AP370" i="19"/>
  <c r="BF370" i="19" s="1"/>
  <c r="AO370" i="19"/>
  <c r="T370" i="19"/>
  <c r="N370" i="19"/>
  <c r="BG366" i="19"/>
  <c r="BB366" i="19"/>
  <c r="AZ366" i="19"/>
  <c r="AW366" i="19"/>
  <c r="BA366" i="19" s="1"/>
  <c r="BE366" i="19" s="1"/>
  <c r="AV366" i="19"/>
  <c r="L366" i="19" s="1"/>
  <c r="AT366" i="19"/>
  <c r="AS366" i="19"/>
  <c r="AR366" i="19"/>
  <c r="AP366" i="19"/>
  <c r="BF366" i="19" s="1"/>
  <c r="AO366" i="19"/>
  <c r="T366" i="19"/>
  <c r="N366" i="19"/>
  <c r="BG361" i="19"/>
  <c r="BB361" i="19"/>
  <c r="AZ361" i="19"/>
  <c r="AW361" i="19"/>
  <c r="AV361" i="19"/>
  <c r="L361" i="19" s="1"/>
  <c r="AU361" i="19"/>
  <c r="AS361" i="19"/>
  <c r="AR361" i="19"/>
  <c r="AP361" i="19"/>
  <c r="BF361" i="19" s="1"/>
  <c r="AO361" i="19"/>
  <c r="T361" i="19"/>
  <c r="N361" i="19"/>
  <c r="BG327" i="19"/>
  <c r="BB327" i="19"/>
  <c r="AZ327" i="19"/>
  <c r="AW327" i="19"/>
  <c r="AV327" i="19"/>
  <c r="AT327" i="19"/>
  <c r="AS327" i="19"/>
  <c r="AR327" i="19"/>
  <c r="AP327" i="19"/>
  <c r="BF327" i="19" s="1"/>
  <c r="AO327" i="19"/>
  <c r="T327" i="19"/>
  <c r="N327" i="19"/>
  <c r="L327" i="19"/>
  <c r="BG294" i="19"/>
  <c r="BB294" i="19"/>
  <c r="AZ294" i="19"/>
  <c r="BA294" i="19" s="1"/>
  <c r="BE294" i="19" s="1"/>
  <c r="AW294" i="19"/>
  <c r="AV294" i="19"/>
  <c r="L294" i="19" s="1"/>
  <c r="AU294" i="19"/>
  <c r="AT294" i="19"/>
  <c r="AS294" i="19"/>
  <c r="AR294" i="19"/>
  <c r="AP294" i="19"/>
  <c r="BF294" i="19" s="1"/>
  <c r="AO294" i="19"/>
  <c r="T294" i="19"/>
  <c r="N294" i="19"/>
  <c r="BG194" i="19"/>
  <c r="BB194" i="19"/>
  <c r="AZ194" i="19"/>
  <c r="AW194" i="19"/>
  <c r="AV194" i="19"/>
  <c r="L194" i="19" s="1"/>
  <c r="AT194" i="19"/>
  <c r="AS194" i="19"/>
  <c r="AR194" i="19"/>
  <c r="AP194" i="19"/>
  <c r="BF194" i="19" s="1"/>
  <c r="AO194" i="19"/>
  <c r="T194" i="19"/>
  <c r="N194" i="19"/>
  <c r="BG183" i="19"/>
  <c r="BB183" i="19"/>
  <c r="AZ183" i="19"/>
  <c r="BA183" i="19" s="1"/>
  <c r="BE183" i="19" s="1"/>
  <c r="AW183" i="19"/>
  <c r="AV183" i="19"/>
  <c r="L183" i="19" s="1"/>
  <c r="AU183" i="19"/>
  <c r="AS183" i="19"/>
  <c r="AR183" i="19"/>
  <c r="AP183" i="19"/>
  <c r="BF183" i="19" s="1"/>
  <c r="AO183" i="19"/>
  <c r="T183" i="19"/>
  <c r="N183" i="19"/>
  <c r="BG164" i="19"/>
  <c r="BB164" i="19"/>
  <c r="AZ164" i="19"/>
  <c r="AW164" i="19"/>
  <c r="AV164" i="19"/>
  <c r="L164" i="19" s="1"/>
  <c r="AU164" i="19"/>
  <c r="AT164" i="19"/>
  <c r="BH164" i="19" s="1"/>
  <c r="AS164" i="19"/>
  <c r="AR164" i="19"/>
  <c r="AP164" i="19"/>
  <c r="BF164" i="19" s="1"/>
  <c r="AO164" i="19"/>
  <c r="T164" i="19"/>
  <c r="N164" i="19"/>
  <c r="BG92" i="19"/>
  <c r="BB92" i="19"/>
  <c r="AZ92" i="19"/>
  <c r="AW92" i="19"/>
  <c r="AV92" i="19"/>
  <c r="L92" i="19" s="1"/>
  <c r="AU92" i="19"/>
  <c r="AT92" i="19"/>
  <c r="AS92" i="19"/>
  <c r="AR92" i="19"/>
  <c r="AP92" i="19"/>
  <c r="BF92" i="19" s="1"/>
  <c r="AO92" i="19"/>
  <c r="T92" i="19"/>
  <c r="N92" i="19"/>
  <c r="BG873" i="19"/>
  <c r="BB873" i="19"/>
  <c r="AZ873" i="19"/>
  <c r="BA873" i="19" s="1"/>
  <c r="BE873" i="19" s="1"/>
  <c r="BF873" i="19" s="1"/>
  <c r="AW873" i="19"/>
  <c r="AV873" i="19"/>
  <c r="L873" i="19" s="1"/>
  <c r="AU873" i="19"/>
  <c r="AS873" i="19"/>
  <c r="AR873" i="19"/>
  <c r="AP873" i="19"/>
  <c r="AO873" i="19"/>
  <c r="T873" i="19"/>
  <c r="N873" i="19"/>
  <c r="BG666" i="19"/>
  <c r="BB666" i="19"/>
  <c r="AZ666" i="19"/>
  <c r="AW666" i="19"/>
  <c r="AV666" i="19"/>
  <c r="L666" i="19" s="1"/>
  <c r="AU666" i="19"/>
  <c r="AT666" i="19"/>
  <c r="AS666" i="19"/>
  <c r="AR666" i="19"/>
  <c r="AP666" i="19"/>
  <c r="AO666" i="19"/>
  <c r="T666" i="19"/>
  <c r="N666" i="19"/>
  <c r="BG662" i="19"/>
  <c r="BB662" i="19"/>
  <c r="AZ662" i="19"/>
  <c r="AW662" i="19"/>
  <c r="AV662" i="19"/>
  <c r="L662" i="19" s="1"/>
  <c r="AU662" i="19"/>
  <c r="AT662" i="19"/>
  <c r="AS662" i="19"/>
  <c r="AR662" i="19"/>
  <c r="AP662" i="19"/>
  <c r="AO662" i="19"/>
  <c r="T662" i="19"/>
  <c r="N662" i="19"/>
  <c r="BG653" i="19"/>
  <c r="BB653" i="19"/>
  <c r="AZ653" i="19"/>
  <c r="BA653" i="19" s="1"/>
  <c r="BE653" i="19" s="1"/>
  <c r="BF653" i="19" s="1"/>
  <c r="AW653" i="19"/>
  <c r="AV653" i="19"/>
  <c r="L653" i="19" s="1"/>
  <c r="AU653" i="19"/>
  <c r="AT653" i="19"/>
  <c r="AS653" i="19"/>
  <c r="AR653" i="19"/>
  <c r="AP653" i="19"/>
  <c r="AO653" i="19"/>
  <c r="T653" i="19"/>
  <c r="N653" i="19"/>
  <c r="BG641" i="19"/>
  <c r="BB641" i="19"/>
  <c r="AZ641" i="19"/>
  <c r="AW641" i="19"/>
  <c r="AV641" i="19"/>
  <c r="L641" i="19" s="1"/>
  <c r="AU641" i="19"/>
  <c r="AT641" i="19"/>
  <c r="BH641" i="19" s="1"/>
  <c r="AS641" i="19"/>
  <c r="AR641" i="19"/>
  <c r="AP641" i="19"/>
  <c r="AO641" i="19"/>
  <c r="T641" i="19"/>
  <c r="N641" i="19"/>
  <c r="BG640" i="19"/>
  <c r="BB640" i="19"/>
  <c r="AZ640" i="19"/>
  <c r="BA640" i="19" s="1"/>
  <c r="BE640" i="19" s="1"/>
  <c r="BF640" i="19" s="1"/>
  <c r="AW640" i="19"/>
  <c r="AV640" i="19"/>
  <c r="L640" i="19" s="1"/>
  <c r="AU640" i="19"/>
  <c r="AT640" i="19"/>
  <c r="AS640" i="19"/>
  <c r="AR640" i="19"/>
  <c r="AP640" i="19"/>
  <c r="AO640" i="19"/>
  <c r="T640" i="19"/>
  <c r="N640" i="19"/>
  <c r="BG551" i="19"/>
  <c r="BB551" i="19"/>
  <c r="AZ551" i="19"/>
  <c r="AW551" i="19"/>
  <c r="AV551" i="19"/>
  <c r="L551" i="19" s="1"/>
  <c r="AU551" i="19"/>
  <c r="AT551" i="19"/>
  <c r="AS551" i="19"/>
  <c r="AR551" i="19"/>
  <c r="AP551" i="19"/>
  <c r="BF551" i="19" s="1"/>
  <c r="AO551" i="19"/>
  <c r="T551" i="19"/>
  <c r="N551" i="19"/>
  <c r="BG534" i="19"/>
  <c r="BB534" i="19"/>
  <c r="AZ534" i="19"/>
  <c r="BA534" i="19" s="1"/>
  <c r="BE534" i="19" s="1"/>
  <c r="AW534" i="19"/>
  <c r="AV534" i="19"/>
  <c r="L534" i="19" s="1"/>
  <c r="AU534" i="19"/>
  <c r="AT534" i="19"/>
  <c r="AS534" i="19"/>
  <c r="AR534" i="19"/>
  <c r="AP534" i="19"/>
  <c r="BF534" i="19" s="1"/>
  <c r="AO534" i="19"/>
  <c r="T534" i="19"/>
  <c r="N534" i="19"/>
  <c r="BG432" i="19"/>
  <c r="BB432" i="19"/>
  <c r="AZ432" i="19"/>
  <c r="AW432" i="19"/>
  <c r="BA432" i="19" s="1"/>
  <c r="BE432" i="19" s="1"/>
  <c r="AV432" i="19"/>
  <c r="L432" i="19" s="1"/>
  <c r="AU432" i="19"/>
  <c r="AT432" i="19"/>
  <c r="AS432" i="19"/>
  <c r="AR432" i="19"/>
  <c r="AP432" i="19"/>
  <c r="BF432" i="19" s="1"/>
  <c r="AO432" i="19"/>
  <c r="T432" i="19"/>
  <c r="N432" i="19"/>
  <c r="BG332" i="19"/>
  <c r="BB332" i="19"/>
  <c r="AZ332" i="19"/>
  <c r="BA332" i="19" s="1"/>
  <c r="BE332" i="19" s="1"/>
  <c r="AW332" i="19"/>
  <c r="AV332" i="19"/>
  <c r="AU332" i="19"/>
  <c r="AS332" i="19"/>
  <c r="AR332" i="19"/>
  <c r="AP332" i="19"/>
  <c r="BF332" i="19" s="1"/>
  <c r="AO332" i="19"/>
  <c r="T332" i="19"/>
  <c r="N332" i="19"/>
  <c r="L332" i="19"/>
  <c r="BG204" i="19"/>
  <c r="BB204" i="19"/>
  <c r="AZ204" i="19"/>
  <c r="BC204" i="19" s="1"/>
  <c r="AW204" i="19"/>
  <c r="AV204" i="19"/>
  <c r="L204" i="19" s="1"/>
  <c r="AU204" i="19"/>
  <c r="AT204" i="19"/>
  <c r="BH204" i="19" s="1"/>
  <c r="AS204" i="19"/>
  <c r="AR204" i="19"/>
  <c r="AP204" i="19"/>
  <c r="BF204" i="19" s="1"/>
  <c r="AO204" i="19"/>
  <c r="T204" i="19"/>
  <c r="N204" i="19"/>
  <c r="BG186" i="19"/>
  <c r="BB186" i="19"/>
  <c r="AZ186" i="19"/>
  <c r="AW186" i="19"/>
  <c r="AV186" i="19"/>
  <c r="AU186" i="19"/>
  <c r="AS186" i="19"/>
  <c r="AR186" i="19"/>
  <c r="AP186" i="19"/>
  <c r="BF186" i="19" s="1"/>
  <c r="AO186" i="19"/>
  <c r="T186" i="19"/>
  <c r="N186" i="19"/>
  <c r="L186" i="19"/>
  <c r="BG182" i="19"/>
  <c r="BB182" i="19"/>
  <c r="AZ182" i="19"/>
  <c r="AW182" i="19"/>
  <c r="AV182" i="19"/>
  <c r="L182" i="19" s="1"/>
  <c r="AT182" i="19"/>
  <c r="AS182" i="19"/>
  <c r="AR182" i="19"/>
  <c r="AP182" i="19"/>
  <c r="BF182" i="19" s="1"/>
  <c r="AO182" i="19"/>
  <c r="T182" i="19"/>
  <c r="N182" i="19"/>
  <c r="BG161" i="19"/>
  <c r="BB161" i="19"/>
  <c r="AZ161" i="19"/>
  <c r="AW161" i="19"/>
  <c r="BA161" i="19" s="1"/>
  <c r="BE161" i="19" s="1"/>
  <c r="AV161" i="19"/>
  <c r="AU161" i="19"/>
  <c r="AS161" i="19"/>
  <c r="AR161" i="19"/>
  <c r="AP161" i="19"/>
  <c r="BF161" i="19" s="1"/>
  <c r="AO161" i="19"/>
  <c r="T161" i="19"/>
  <c r="N161" i="19"/>
  <c r="L161" i="19"/>
  <c r="BG159" i="19"/>
  <c r="BB159" i="19"/>
  <c r="AZ159" i="19"/>
  <c r="AW159" i="19"/>
  <c r="AV159" i="19"/>
  <c r="L159" i="19" s="1"/>
  <c r="AU159" i="19"/>
  <c r="AT159" i="19"/>
  <c r="AS159" i="19"/>
  <c r="AR159" i="19"/>
  <c r="AP159" i="19"/>
  <c r="BF159" i="19" s="1"/>
  <c r="AO159" i="19"/>
  <c r="T159" i="19"/>
  <c r="N159" i="19"/>
  <c r="BG125" i="19"/>
  <c r="BB125" i="19"/>
  <c r="AZ125" i="19"/>
  <c r="AW125" i="19"/>
  <c r="AV125" i="19"/>
  <c r="L125" i="19" s="1"/>
  <c r="AU125" i="19"/>
  <c r="AS125" i="19"/>
  <c r="AR125" i="19"/>
  <c r="AP125" i="19"/>
  <c r="BF125" i="19" s="1"/>
  <c r="AO125" i="19"/>
  <c r="T125" i="19"/>
  <c r="N125" i="19"/>
  <c r="BG16" i="19"/>
  <c r="BB16" i="19"/>
  <c r="AZ16" i="19"/>
  <c r="AW16" i="19"/>
  <c r="AV16" i="19"/>
  <c r="L16" i="19" s="1"/>
  <c r="AT16" i="19"/>
  <c r="AS16" i="19"/>
  <c r="AR16" i="19"/>
  <c r="AP16" i="19"/>
  <c r="AO16" i="19"/>
  <c r="T16" i="19"/>
  <c r="N16" i="19"/>
  <c r="BG879" i="19"/>
  <c r="BB879" i="19"/>
  <c r="AZ879" i="19"/>
  <c r="AW879" i="19"/>
  <c r="AV879" i="19"/>
  <c r="L879" i="19" s="1"/>
  <c r="AU879" i="19"/>
  <c r="AT879" i="19"/>
  <c r="AS879" i="19"/>
  <c r="AR879" i="19"/>
  <c r="AP879" i="19"/>
  <c r="AO879" i="19"/>
  <c r="T879" i="19"/>
  <c r="N879" i="19"/>
  <c r="BG877" i="19"/>
  <c r="BB877" i="19"/>
  <c r="AZ877" i="19"/>
  <c r="BC877" i="19" s="1"/>
  <c r="AW877" i="19"/>
  <c r="AV877" i="19"/>
  <c r="L877" i="19" s="1"/>
  <c r="AU877" i="19"/>
  <c r="AT877" i="19"/>
  <c r="AS877" i="19"/>
  <c r="AR877" i="19"/>
  <c r="AP877" i="19"/>
  <c r="AO877" i="19"/>
  <c r="T877" i="19"/>
  <c r="N877" i="19"/>
  <c r="BG871" i="19"/>
  <c r="BB871" i="19"/>
  <c r="AZ871" i="19"/>
  <c r="AW871" i="19"/>
  <c r="AV871" i="19"/>
  <c r="L871" i="19" s="1"/>
  <c r="AU871" i="19"/>
  <c r="AT871" i="19"/>
  <c r="AS871" i="19"/>
  <c r="AR871" i="19"/>
  <c r="AP871" i="19"/>
  <c r="AO871" i="19"/>
  <c r="T871" i="19"/>
  <c r="N871" i="19"/>
  <c r="BG869" i="19"/>
  <c r="BB869" i="19"/>
  <c r="AZ869" i="19"/>
  <c r="AW869" i="19"/>
  <c r="BA869" i="19" s="1"/>
  <c r="BE869" i="19" s="1"/>
  <c r="BF869" i="19" s="1"/>
  <c r="AV869" i="19"/>
  <c r="L869" i="19" s="1"/>
  <c r="AU869" i="19"/>
  <c r="AT869" i="19"/>
  <c r="AS869" i="19"/>
  <c r="AR869" i="19"/>
  <c r="AP869" i="19"/>
  <c r="AO869" i="19"/>
  <c r="T869" i="19"/>
  <c r="N869" i="19"/>
  <c r="BG605" i="19"/>
  <c r="BB605" i="19"/>
  <c r="AZ605" i="19"/>
  <c r="AW605" i="19"/>
  <c r="BA605" i="19" s="1"/>
  <c r="BE605" i="19" s="1"/>
  <c r="AV605" i="19"/>
  <c r="AU605" i="19"/>
  <c r="AT605" i="19"/>
  <c r="AS605" i="19"/>
  <c r="AR605" i="19"/>
  <c r="AP605" i="19"/>
  <c r="BF605" i="19" s="1"/>
  <c r="AO605" i="19"/>
  <c r="T605" i="19"/>
  <c r="N605" i="19"/>
  <c r="L605" i="19"/>
  <c r="BG326" i="19"/>
  <c r="BB326" i="19"/>
  <c r="AZ326" i="19"/>
  <c r="AW326" i="19"/>
  <c r="BA326" i="19" s="1"/>
  <c r="BE326" i="19" s="1"/>
  <c r="AV326" i="19"/>
  <c r="L326" i="19" s="1"/>
  <c r="AU326" i="19"/>
  <c r="AT326" i="19"/>
  <c r="AS326" i="19"/>
  <c r="AR326" i="19"/>
  <c r="AP326" i="19"/>
  <c r="BF326" i="19" s="1"/>
  <c r="AO326" i="19"/>
  <c r="T326" i="19"/>
  <c r="N326" i="19"/>
  <c r="BG222" i="19"/>
  <c r="BB222" i="19"/>
  <c r="AZ222" i="19"/>
  <c r="AW222" i="19"/>
  <c r="BA222" i="19" s="1"/>
  <c r="BE222" i="19" s="1"/>
  <c r="AV222" i="19"/>
  <c r="AT222" i="19"/>
  <c r="AS222" i="19"/>
  <c r="AR222" i="19"/>
  <c r="AP222" i="19"/>
  <c r="BF222" i="19" s="1"/>
  <c r="AO222" i="19"/>
  <c r="T222" i="19"/>
  <c r="N222" i="19"/>
  <c r="L222" i="19"/>
  <c r="BG200" i="19"/>
  <c r="BB200" i="19"/>
  <c r="AZ200" i="19"/>
  <c r="AW200" i="19"/>
  <c r="BA200" i="19" s="1"/>
  <c r="BE200" i="19" s="1"/>
  <c r="AV200" i="19"/>
  <c r="L200" i="19" s="1"/>
  <c r="AU200" i="19"/>
  <c r="AT200" i="19"/>
  <c r="AS200" i="19"/>
  <c r="AR200" i="19"/>
  <c r="AP200" i="19"/>
  <c r="BF200" i="19" s="1"/>
  <c r="AO200" i="19"/>
  <c r="T200" i="19"/>
  <c r="N200" i="19"/>
  <c r="BG198" i="19"/>
  <c r="BB198" i="19"/>
  <c r="AZ198" i="19"/>
  <c r="AW198" i="19"/>
  <c r="BA198" i="19" s="1"/>
  <c r="BE198" i="19" s="1"/>
  <c r="AV198" i="19"/>
  <c r="AT198" i="19"/>
  <c r="AS198" i="19"/>
  <c r="AR198" i="19"/>
  <c r="AP198" i="19"/>
  <c r="BF198" i="19" s="1"/>
  <c r="AO198" i="19"/>
  <c r="T198" i="19"/>
  <c r="N198" i="19"/>
  <c r="L198" i="19"/>
  <c r="BG187" i="19"/>
  <c r="BB187" i="19"/>
  <c r="AZ187" i="19"/>
  <c r="AW187" i="19"/>
  <c r="AV187" i="19"/>
  <c r="L187" i="19" s="1"/>
  <c r="AT187" i="19"/>
  <c r="AS187" i="19"/>
  <c r="AR187" i="19"/>
  <c r="AP187" i="19"/>
  <c r="BF187" i="19" s="1"/>
  <c r="AO187" i="19"/>
  <c r="T187" i="19"/>
  <c r="N187" i="19"/>
  <c r="BG185" i="19"/>
  <c r="BB185" i="19"/>
  <c r="AZ185" i="19"/>
  <c r="AW185" i="19"/>
  <c r="AV185" i="19"/>
  <c r="L185" i="19" s="1"/>
  <c r="AT185" i="19"/>
  <c r="AS185" i="19"/>
  <c r="AR185" i="19"/>
  <c r="AP185" i="19"/>
  <c r="BF185" i="19" s="1"/>
  <c r="AO185" i="19"/>
  <c r="T185" i="19"/>
  <c r="N185" i="19"/>
  <c r="BG184" i="19"/>
  <c r="BB184" i="19"/>
  <c r="AZ184" i="19"/>
  <c r="AW184" i="19"/>
  <c r="BA184" i="19" s="1"/>
  <c r="BE184" i="19" s="1"/>
  <c r="AV184" i="19"/>
  <c r="L184" i="19" s="1"/>
  <c r="AU184" i="19"/>
  <c r="AT184" i="19"/>
  <c r="AS184" i="19"/>
  <c r="AR184" i="19"/>
  <c r="AP184" i="19"/>
  <c r="BF184" i="19" s="1"/>
  <c r="AO184" i="19"/>
  <c r="T184" i="19"/>
  <c r="N184" i="19"/>
  <c r="BG179" i="19"/>
  <c r="BB179" i="19"/>
  <c r="AZ179" i="19"/>
  <c r="AW179" i="19"/>
  <c r="AV179" i="19"/>
  <c r="L179" i="19" s="1"/>
  <c r="AU179" i="19"/>
  <c r="AT179" i="19"/>
  <c r="AS179" i="19"/>
  <c r="AR179" i="19"/>
  <c r="AP179" i="19"/>
  <c r="BF179" i="19" s="1"/>
  <c r="AO179" i="19"/>
  <c r="T179" i="19"/>
  <c r="N179" i="19"/>
  <c r="BG175" i="19"/>
  <c r="BB175" i="19"/>
  <c r="AZ175" i="19"/>
  <c r="BA175" i="19" s="1"/>
  <c r="BE175" i="19" s="1"/>
  <c r="AW175" i="19"/>
  <c r="AV175" i="19"/>
  <c r="L175" i="19" s="1"/>
  <c r="AU175" i="19"/>
  <c r="AT175" i="19"/>
  <c r="AS175" i="19"/>
  <c r="AR175" i="19"/>
  <c r="AP175" i="19"/>
  <c r="BF175" i="19" s="1"/>
  <c r="AO175" i="19"/>
  <c r="T175" i="19"/>
  <c r="N175" i="19"/>
  <c r="BG154" i="19"/>
  <c r="BB154" i="19"/>
  <c r="AZ154" i="19"/>
  <c r="AW154" i="19"/>
  <c r="AV154" i="19"/>
  <c r="L154" i="19" s="1"/>
  <c r="AU154" i="19"/>
  <c r="AS154" i="19"/>
  <c r="AR154" i="19"/>
  <c r="AP154" i="19"/>
  <c r="BF154" i="19" s="1"/>
  <c r="AO154" i="19"/>
  <c r="T154" i="19"/>
  <c r="N154" i="19"/>
  <c r="BG118" i="19"/>
  <c r="BB118" i="19"/>
  <c r="AZ118" i="19"/>
  <c r="BA118" i="19" s="1"/>
  <c r="BE118" i="19" s="1"/>
  <c r="AW118" i="19"/>
  <c r="AV118" i="19"/>
  <c r="L118" i="19" s="1"/>
  <c r="AU118" i="19"/>
  <c r="AT118" i="19"/>
  <c r="AS118" i="19"/>
  <c r="AR118" i="19"/>
  <c r="AP118" i="19"/>
  <c r="BF118" i="19" s="1"/>
  <c r="AO118" i="19"/>
  <c r="T118" i="19"/>
  <c r="N118" i="19"/>
  <c r="BG784" i="19"/>
  <c r="BB784" i="19"/>
  <c r="AZ784" i="19"/>
  <c r="BA784" i="19" s="1"/>
  <c r="BE784" i="19" s="1"/>
  <c r="BF784" i="19" s="1"/>
  <c r="AW784" i="19"/>
  <c r="AV784" i="19"/>
  <c r="L784" i="19" s="1"/>
  <c r="AU784" i="19"/>
  <c r="AT784" i="19"/>
  <c r="AS784" i="19"/>
  <c r="AR784" i="19"/>
  <c r="AP784" i="19"/>
  <c r="AO784" i="19"/>
  <c r="T784" i="19"/>
  <c r="N784" i="19"/>
  <c r="BG498" i="19"/>
  <c r="BB498" i="19"/>
  <c r="AZ498" i="19"/>
  <c r="AW498" i="19"/>
  <c r="AV498" i="19"/>
  <c r="L498" i="19" s="1"/>
  <c r="AU498" i="19"/>
  <c r="AT498" i="19"/>
  <c r="AS498" i="19"/>
  <c r="AR498" i="19"/>
  <c r="AP498" i="19"/>
  <c r="BF498" i="19" s="1"/>
  <c r="AO498" i="19"/>
  <c r="T498" i="19"/>
  <c r="N498" i="19"/>
  <c r="BG481" i="19"/>
  <c r="BB481" i="19"/>
  <c r="BA481" i="19"/>
  <c r="BE481" i="19" s="1"/>
  <c r="AZ481" i="19"/>
  <c r="AW481" i="19"/>
  <c r="AV481" i="19"/>
  <c r="L481" i="19" s="1"/>
  <c r="AU481" i="19"/>
  <c r="AT481" i="19"/>
  <c r="AS481" i="19"/>
  <c r="AR481" i="19"/>
  <c r="AP481" i="19"/>
  <c r="BF481" i="19" s="1"/>
  <c r="AO481" i="19"/>
  <c r="T481" i="19"/>
  <c r="N481" i="19"/>
  <c r="BG365" i="19"/>
  <c r="BB365" i="19"/>
  <c r="AZ365" i="19"/>
  <c r="AW365" i="19"/>
  <c r="AV365" i="19"/>
  <c r="L365" i="19" s="1"/>
  <c r="AU365" i="19"/>
  <c r="AT365" i="19"/>
  <c r="AS365" i="19"/>
  <c r="AR365" i="19"/>
  <c r="AP365" i="19"/>
  <c r="BF365" i="19" s="1"/>
  <c r="AO365" i="19"/>
  <c r="T365" i="19"/>
  <c r="N365" i="19"/>
  <c r="BG295" i="19"/>
  <c r="BB295" i="19"/>
  <c r="AZ295" i="19"/>
  <c r="BA295" i="19" s="1"/>
  <c r="BE295" i="19" s="1"/>
  <c r="AW295" i="19"/>
  <c r="AV295" i="19"/>
  <c r="L295" i="19" s="1"/>
  <c r="AU295" i="19"/>
  <c r="AT295" i="19"/>
  <c r="AS295" i="19"/>
  <c r="AR295" i="19"/>
  <c r="AP295" i="19"/>
  <c r="BF295" i="19" s="1"/>
  <c r="AO295" i="19"/>
  <c r="T295" i="19"/>
  <c r="N295" i="19"/>
  <c r="BG281" i="19"/>
  <c r="BB281" i="19"/>
  <c r="AZ281" i="19"/>
  <c r="AW281" i="19"/>
  <c r="AV281" i="19"/>
  <c r="L281" i="19" s="1"/>
  <c r="AU281" i="19"/>
  <c r="AT281" i="19"/>
  <c r="AS281" i="19"/>
  <c r="AR281" i="19"/>
  <c r="AP281" i="19"/>
  <c r="BF281" i="19" s="1"/>
  <c r="AO281" i="19"/>
  <c r="T281" i="19"/>
  <c r="N281" i="19"/>
  <c r="BG181" i="19"/>
  <c r="BB181" i="19"/>
  <c r="AZ181" i="19"/>
  <c r="AW181" i="19"/>
  <c r="BA181" i="19" s="1"/>
  <c r="BE181" i="19" s="1"/>
  <c r="AV181" i="19"/>
  <c r="L181" i="19" s="1"/>
  <c r="AU181" i="19"/>
  <c r="AT181" i="19"/>
  <c r="AS181" i="19"/>
  <c r="AR181" i="19"/>
  <c r="AP181" i="19"/>
  <c r="BF181" i="19" s="1"/>
  <c r="AO181" i="19"/>
  <c r="T181" i="19"/>
  <c r="N181" i="19"/>
  <c r="BG160" i="19"/>
  <c r="BB160" i="19"/>
  <c r="AZ160" i="19"/>
  <c r="AW160" i="19"/>
  <c r="AV160" i="19"/>
  <c r="L160" i="19" s="1"/>
  <c r="AU160" i="19"/>
  <c r="AS160" i="19"/>
  <c r="AR160" i="19"/>
  <c r="AP160" i="19"/>
  <c r="BF160" i="19" s="1"/>
  <c r="AO160" i="19"/>
  <c r="T160" i="19"/>
  <c r="N160" i="19"/>
  <c r="BG86" i="19"/>
  <c r="BB86" i="19"/>
  <c r="AZ86" i="19"/>
  <c r="BA86" i="19" s="1"/>
  <c r="BE86" i="19" s="1"/>
  <c r="AW86" i="19"/>
  <c r="AV86" i="19"/>
  <c r="L86" i="19" s="1"/>
  <c r="AU86" i="19"/>
  <c r="AT86" i="19"/>
  <c r="AS86" i="19"/>
  <c r="AR86" i="19"/>
  <c r="AP86" i="19"/>
  <c r="BF86" i="19" s="1"/>
  <c r="AO86" i="19"/>
  <c r="T86" i="19"/>
  <c r="N86" i="19"/>
  <c r="BG41" i="19"/>
  <c r="BB41" i="19"/>
  <c r="AZ41" i="19"/>
  <c r="AW41" i="19"/>
  <c r="AV41" i="19"/>
  <c r="AU41" i="19"/>
  <c r="AT41" i="19"/>
  <c r="AS41" i="19"/>
  <c r="AR41" i="19"/>
  <c r="AP41" i="19"/>
  <c r="AO41" i="19"/>
  <c r="T41" i="19"/>
  <c r="N41" i="19"/>
  <c r="L41" i="19"/>
  <c r="BG895" i="19"/>
  <c r="BB895" i="19"/>
  <c r="AZ895" i="19"/>
  <c r="AW895" i="19"/>
  <c r="AV895" i="19"/>
  <c r="L895" i="19" s="1"/>
  <c r="AU895" i="19"/>
  <c r="AT895" i="19"/>
  <c r="AS895" i="19"/>
  <c r="AR895" i="19"/>
  <c r="AP895" i="19"/>
  <c r="AO895" i="19"/>
  <c r="T895" i="19"/>
  <c r="N895" i="19"/>
  <c r="BG893" i="19"/>
  <c r="BB893" i="19"/>
  <c r="AZ893" i="19"/>
  <c r="BD893" i="19" s="1"/>
  <c r="AW893" i="19"/>
  <c r="AV893" i="19"/>
  <c r="L893" i="19" s="1"/>
  <c r="AU893" i="19"/>
  <c r="AT893" i="19"/>
  <c r="AS893" i="19"/>
  <c r="AR893" i="19"/>
  <c r="AP893" i="19"/>
  <c r="AO893" i="19"/>
  <c r="T893" i="19"/>
  <c r="N893" i="19"/>
  <c r="BG890" i="19"/>
  <c r="BB890" i="19"/>
  <c r="AZ890" i="19"/>
  <c r="AW890" i="19"/>
  <c r="AV890" i="19"/>
  <c r="L890" i="19" s="1"/>
  <c r="AU890" i="19"/>
  <c r="AT890" i="19"/>
  <c r="AS890" i="19"/>
  <c r="AR890" i="19"/>
  <c r="AP890" i="19"/>
  <c r="AO890" i="19"/>
  <c r="T890" i="19"/>
  <c r="N890" i="19"/>
  <c r="BG887" i="19"/>
  <c r="BB887" i="19"/>
  <c r="AZ887" i="19"/>
  <c r="AW887" i="19"/>
  <c r="BA887" i="19" s="1"/>
  <c r="BE887" i="19" s="1"/>
  <c r="BF887" i="19" s="1"/>
  <c r="AV887" i="19"/>
  <c r="L887" i="19" s="1"/>
  <c r="AT887" i="19"/>
  <c r="AS887" i="19"/>
  <c r="AR887" i="19"/>
  <c r="AP887" i="19"/>
  <c r="AO887" i="19"/>
  <c r="T887" i="19"/>
  <c r="N887" i="19"/>
  <c r="BG882" i="19"/>
  <c r="BB882" i="19"/>
  <c r="AZ882" i="19"/>
  <c r="AW882" i="19"/>
  <c r="BA882" i="19" s="1"/>
  <c r="BE882" i="19" s="1"/>
  <c r="BF882" i="19" s="1"/>
  <c r="AV882" i="19"/>
  <c r="L882" i="19" s="1"/>
  <c r="AU882" i="19"/>
  <c r="AT882" i="19"/>
  <c r="AS882" i="19"/>
  <c r="AR882" i="19"/>
  <c r="AP882" i="19"/>
  <c r="AO882" i="19"/>
  <c r="T882" i="19"/>
  <c r="N882" i="19"/>
  <c r="BG866" i="19"/>
  <c r="BB866" i="19"/>
  <c r="AZ866" i="19"/>
  <c r="AW866" i="19"/>
  <c r="AV866" i="19"/>
  <c r="L866" i="19" s="1"/>
  <c r="AT866" i="19"/>
  <c r="AS866" i="19"/>
  <c r="AR866" i="19"/>
  <c r="AP866" i="19"/>
  <c r="AO866" i="19"/>
  <c r="T866" i="19"/>
  <c r="N866" i="19"/>
  <c r="BG862" i="19"/>
  <c r="BB862" i="19"/>
  <c r="AZ862" i="19"/>
  <c r="AW862" i="19"/>
  <c r="AV862" i="19"/>
  <c r="L862" i="19" s="1"/>
  <c r="AT862" i="19"/>
  <c r="AS862" i="19"/>
  <c r="AR862" i="19"/>
  <c r="AP862" i="19"/>
  <c r="AO862" i="19"/>
  <c r="T862" i="19"/>
  <c r="N862" i="19"/>
  <c r="BG853" i="19"/>
  <c r="BB853" i="19"/>
  <c r="AZ853" i="19"/>
  <c r="AW853" i="19"/>
  <c r="AV853" i="19"/>
  <c r="L853" i="19" s="1"/>
  <c r="AU853" i="19"/>
  <c r="AT853" i="19"/>
  <c r="AS853" i="19"/>
  <c r="AR853" i="19"/>
  <c r="AP853" i="19"/>
  <c r="AO853" i="19"/>
  <c r="T853" i="19"/>
  <c r="N853" i="19"/>
  <c r="BG679" i="19"/>
  <c r="BB679" i="19"/>
  <c r="AZ679" i="19"/>
  <c r="AW679" i="19"/>
  <c r="AV679" i="19"/>
  <c r="L679" i="19" s="1"/>
  <c r="AU679" i="19"/>
  <c r="AT679" i="19"/>
  <c r="BH679" i="19" s="1"/>
  <c r="AS679" i="19"/>
  <c r="AR679" i="19"/>
  <c r="AP679" i="19"/>
  <c r="AO679" i="19"/>
  <c r="T679" i="19"/>
  <c r="N679" i="19"/>
  <c r="BG622" i="19"/>
  <c r="BB622" i="19"/>
  <c r="BA622" i="19"/>
  <c r="BE622" i="19" s="1"/>
  <c r="BF622" i="19" s="1"/>
  <c r="AZ622" i="19"/>
  <c r="AW622" i="19"/>
  <c r="BC622" i="19" s="1"/>
  <c r="AV622" i="19"/>
  <c r="L622" i="19" s="1"/>
  <c r="AU622" i="19"/>
  <c r="AT622" i="19"/>
  <c r="AS622" i="19"/>
  <c r="AR622" i="19"/>
  <c r="AP622" i="19"/>
  <c r="AO622" i="19"/>
  <c r="T622" i="19"/>
  <c r="N622" i="19"/>
  <c r="BG621" i="19"/>
  <c r="BB621" i="19"/>
  <c r="AZ621" i="19"/>
  <c r="BA621" i="19" s="1"/>
  <c r="BE621" i="19" s="1"/>
  <c r="BF621" i="19" s="1"/>
  <c r="AW621" i="19"/>
  <c r="AV621" i="19"/>
  <c r="L621" i="19" s="1"/>
  <c r="AU621" i="19"/>
  <c r="AS621" i="19"/>
  <c r="AR621" i="19"/>
  <c r="AP621" i="19"/>
  <c r="AO621" i="19"/>
  <c r="T621" i="19"/>
  <c r="N621" i="19"/>
  <c r="BG620" i="19"/>
  <c r="BB620" i="19"/>
  <c r="AZ620" i="19"/>
  <c r="AW620" i="19"/>
  <c r="AV620" i="19"/>
  <c r="AU620" i="19"/>
  <c r="AS620" i="19"/>
  <c r="AR620" i="19"/>
  <c r="AP620" i="19"/>
  <c r="AO620" i="19"/>
  <c r="T620" i="19"/>
  <c r="N620" i="19"/>
  <c r="L620" i="19"/>
  <c r="BG610" i="19"/>
  <c r="BB610" i="19"/>
  <c r="AZ610" i="19"/>
  <c r="AW610" i="19"/>
  <c r="AV610" i="19"/>
  <c r="L610" i="19" s="1"/>
  <c r="AU610" i="19"/>
  <c r="AT610" i="19"/>
  <c r="AS610" i="19"/>
  <c r="AR610" i="19"/>
  <c r="AP610" i="19"/>
  <c r="AO610" i="19"/>
  <c r="T610" i="19"/>
  <c r="N610" i="19"/>
  <c r="BG575" i="19"/>
  <c r="BB575" i="19"/>
  <c r="AZ575" i="19"/>
  <c r="AW575" i="19"/>
  <c r="AV575" i="19"/>
  <c r="L575" i="19" s="1"/>
  <c r="AU575" i="19"/>
  <c r="AT575" i="19"/>
  <c r="AS575" i="19"/>
  <c r="AR575" i="19"/>
  <c r="AP575" i="19"/>
  <c r="BF575" i="19" s="1"/>
  <c r="AO575" i="19"/>
  <c r="T575" i="19"/>
  <c r="N575" i="19"/>
  <c r="BG565" i="19"/>
  <c r="BB565" i="19"/>
  <c r="AZ565" i="19"/>
  <c r="BA565" i="19" s="1"/>
  <c r="BE565" i="19" s="1"/>
  <c r="AW565" i="19"/>
  <c r="AV565" i="19"/>
  <c r="L565" i="19" s="1"/>
  <c r="AT565" i="19"/>
  <c r="AS565" i="19"/>
  <c r="AR565" i="19"/>
  <c r="AP565" i="19"/>
  <c r="BF565" i="19" s="1"/>
  <c r="AO565" i="19"/>
  <c r="T565" i="19"/>
  <c r="N565" i="19"/>
  <c r="BG532" i="19"/>
  <c r="BB532" i="19"/>
  <c r="AZ532" i="19"/>
  <c r="AW532" i="19"/>
  <c r="AV532" i="19"/>
  <c r="L532" i="19" s="1"/>
  <c r="AU532" i="19"/>
  <c r="AT532" i="19"/>
  <c r="AS532" i="19"/>
  <c r="AR532" i="19"/>
  <c r="AP532" i="19"/>
  <c r="BF532" i="19" s="1"/>
  <c r="AO532" i="19"/>
  <c r="T532" i="19"/>
  <c r="N532" i="19"/>
  <c r="BG527" i="19"/>
  <c r="BB527" i="19"/>
  <c r="AZ527" i="19"/>
  <c r="AW527" i="19"/>
  <c r="AV527" i="19"/>
  <c r="L527" i="19" s="1"/>
  <c r="AU527" i="19"/>
  <c r="AT527" i="19"/>
  <c r="AS527" i="19"/>
  <c r="AR527" i="19"/>
  <c r="AP527" i="19"/>
  <c r="BF527" i="19" s="1"/>
  <c r="AO527" i="19"/>
  <c r="T527" i="19"/>
  <c r="N527" i="19"/>
  <c r="BG525" i="19"/>
  <c r="BB525" i="19"/>
  <c r="AZ525" i="19"/>
  <c r="AW525" i="19"/>
  <c r="AV525" i="19"/>
  <c r="L525" i="19" s="1"/>
  <c r="AU525" i="19"/>
  <c r="AS525" i="19"/>
  <c r="AR525" i="19"/>
  <c r="AP525" i="19"/>
  <c r="BF525" i="19" s="1"/>
  <c r="AO525" i="19"/>
  <c r="T525" i="19"/>
  <c r="N525" i="19"/>
  <c r="BG482" i="19"/>
  <c r="BB482" i="19"/>
  <c r="AZ482" i="19"/>
  <c r="BA482" i="19" s="1"/>
  <c r="BE482" i="19" s="1"/>
  <c r="AW482" i="19"/>
  <c r="AV482" i="19"/>
  <c r="L482" i="19" s="1"/>
  <c r="AU482" i="19"/>
  <c r="AT482" i="19"/>
  <c r="AS482" i="19"/>
  <c r="AR482" i="19"/>
  <c r="AP482" i="19"/>
  <c r="BF482" i="19" s="1"/>
  <c r="AO482" i="19"/>
  <c r="T482" i="19"/>
  <c r="N482" i="19"/>
  <c r="BG437" i="19"/>
  <c r="BB437" i="19"/>
  <c r="AZ437" i="19"/>
  <c r="AW437" i="19"/>
  <c r="AV437" i="19"/>
  <c r="L437" i="19" s="1"/>
  <c r="AU437" i="19"/>
  <c r="AT437" i="19"/>
  <c r="AS437" i="19"/>
  <c r="AR437" i="19"/>
  <c r="AP437" i="19"/>
  <c r="BF437" i="19" s="1"/>
  <c r="AO437" i="19"/>
  <c r="T437" i="19"/>
  <c r="N437" i="19"/>
  <c r="BG430" i="19"/>
  <c r="BB430" i="19"/>
  <c r="AZ430" i="19"/>
  <c r="BA430" i="19" s="1"/>
  <c r="BE430" i="19" s="1"/>
  <c r="AW430" i="19"/>
  <c r="AV430" i="19"/>
  <c r="L430" i="19" s="1"/>
  <c r="AU430" i="19"/>
  <c r="AT430" i="19"/>
  <c r="BH430" i="19" s="1"/>
  <c r="AS430" i="19"/>
  <c r="AR430" i="19"/>
  <c r="AP430" i="19"/>
  <c r="BF430" i="19" s="1"/>
  <c r="AO430" i="19"/>
  <c r="T430" i="19"/>
  <c r="N430" i="19"/>
  <c r="BG427" i="19"/>
  <c r="BB427" i="19"/>
  <c r="AZ427" i="19"/>
  <c r="BA427" i="19" s="1"/>
  <c r="BE427" i="19" s="1"/>
  <c r="AW427" i="19"/>
  <c r="AV427" i="19"/>
  <c r="L427" i="19" s="1"/>
  <c r="AU427" i="19"/>
  <c r="AT427" i="19"/>
  <c r="AS427" i="19"/>
  <c r="AR427" i="19"/>
  <c r="AP427" i="19"/>
  <c r="BF427" i="19" s="1"/>
  <c r="AO427" i="19"/>
  <c r="T427" i="19"/>
  <c r="N427" i="19"/>
  <c r="BG389" i="19"/>
  <c r="BB389" i="19"/>
  <c r="AZ389" i="19"/>
  <c r="AW389" i="19"/>
  <c r="AV389" i="19"/>
  <c r="AU389" i="19"/>
  <c r="AS389" i="19"/>
  <c r="AR389" i="19"/>
  <c r="AP389" i="19"/>
  <c r="BF389" i="19" s="1"/>
  <c r="AO389" i="19"/>
  <c r="T389" i="19"/>
  <c r="N389" i="19"/>
  <c r="L389" i="19"/>
  <c r="BG325" i="19"/>
  <c r="BB325" i="19"/>
  <c r="AZ325" i="19"/>
  <c r="BC325" i="19" s="1"/>
  <c r="AW325" i="19"/>
  <c r="AV325" i="19"/>
  <c r="L325" i="19" s="1"/>
  <c r="AU325" i="19"/>
  <c r="AT325" i="19"/>
  <c r="BH325" i="19" s="1"/>
  <c r="AS325" i="19"/>
  <c r="AR325" i="19"/>
  <c r="AP325" i="19"/>
  <c r="BF325" i="19" s="1"/>
  <c r="AO325" i="19"/>
  <c r="T325" i="19"/>
  <c r="N325" i="19"/>
  <c r="BG324" i="19"/>
  <c r="BB324" i="19"/>
  <c r="AZ324" i="19"/>
  <c r="AW324" i="19"/>
  <c r="AV324" i="19"/>
  <c r="L324" i="19" s="1"/>
  <c r="AU324" i="19"/>
  <c r="AT324" i="19"/>
  <c r="AS324" i="19"/>
  <c r="AR324" i="19"/>
  <c r="AP324" i="19"/>
  <c r="BF324" i="19" s="1"/>
  <c r="AO324" i="19"/>
  <c r="T324" i="19"/>
  <c r="N324" i="19"/>
  <c r="BG296" i="19"/>
  <c r="BB296" i="19"/>
  <c r="AZ296" i="19"/>
  <c r="BC296" i="19" s="1"/>
  <c r="AW296" i="19"/>
  <c r="AV296" i="19"/>
  <c r="L296" i="19" s="1"/>
  <c r="AU296" i="19"/>
  <c r="AT296" i="19"/>
  <c r="BH296" i="19" s="1"/>
  <c r="AS296" i="19"/>
  <c r="AR296" i="19"/>
  <c r="AP296" i="19"/>
  <c r="BF296" i="19" s="1"/>
  <c r="AO296" i="19"/>
  <c r="T296" i="19"/>
  <c r="N296" i="19"/>
  <c r="BG272" i="19"/>
  <c r="BB272" i="19"/>
  <c r="AZ272" i="19"/>
  <c r="AW272" i="19"/>
  <c r="AV272" i="19"/>
  <c r="L272" i="19" s="1"/>
  <c r="AU272" i="19"/>
  <c r="AT272" i="19"/>
  <c r="AS272" i="19"/>
  <c r="AR272" i="19"/>
  <c r="AP272" i="19"/>
  <c r="BF272" i="19" s="1"/>
  <c r="AO272" i="19"/>
  <c r="T272" i="19"/>
  <c r="N272" i="19"/>
  <c r="BG231" i="19"/>
  <c r="BB231" i="19"/>
  <c r="AZ231" i="19"/>
  <c r="BC231" i="19" s="1"/>
  <c r="AW231" i="19"/>
  <c r="AV231" i="19"/>
  <c r="L231" i="19" s="1"/>
  <c r="AU231" i="19"/>
  <c r="AT231" i="19"/>
  <c r="BH231" i="19" s="1"/>
  <c r="AS231" i="19"/>
  <c r="AR231" i="19"/>
  <c r="AP231" i="19"/>
  <c r="BF231" i="19" s="1"/>
  <c r="AO231" i="19"/>
  <c r="T231" i="19"/>
  <c r="N231" i="19"/>
  <c r="BG213" i="19"/>
  <c r="BB213" i="19"/>
  <c r="AZ213" i="19"/>
  <c r="AW213" i="19"/>
  <c r="AV213" i="19"/>
  <c r="L213" i="19" s="1"/>
  <c r="AU213" i="19"/>
  <c r="AT213" i="19"/>
  <c r="AS213" i="19"/>
  <c r="AR213" i="19"/>
  <c r="AP213" i="19"/>
  <c r="BF213" i="19" s="1"/>
  <c r="AO213" i="19"/>
  <c r="T213" i="19"/>
  <c r="N213" i="19"/>
  <c r="BG189" i="19"/>
  <c r="BB189" i="19"/>
  <c r="AZ189" i="19"/>
  <c r="BA189" i="19" s="1"/>
  <c r="BE189" i="19" s="1"/>
  <c r="AW189" i="19"/>
  <c r="AV189" i="19"/>
  <c r="L189" i="19" s="1"/>
  <c r="AU189" i="19"/>
  <c r="AT189" i="19"/>
  <c r="AS189" i="19"/>
  <c r="AR189" i="19"/>
  <c r="AP189" i="19"/>
  <c r="BF189" i="19" s="1"/>
  <c r="AO189" i="19"/>
  <c r="T189" i="19"/>
  <c r="N189" i="19"/>
  <c r="BG156" i="19"/>
  <c r="BB156" i="19"/>
  <c r="AZ156" i="19"/>
  <c r="AW156" i="19"/>
  <c r="AV156" i="19"/>
  <c r="AU156" i="19"/>
  <c r="AT156" i="19"/>
  <c r="AS156" i="19"/>
  <c r="AR156" i="19"/>
  <c r="AP156" i="19"/>
  <c r="BF156" i="19" s="1"/>
  <c r="AO156" i="19"/>
  <c r="T156" i="19"/>
  <c r="N156" i="19"/>
  <c r="L156" i="19"/>
  <c r="BG90" i="19"/>
  <c r="BB90" i="19"/>
  <c r="AZ90" i="19"/>
  <c r="AW90" i="19"/>
  <c r="BC90" i="19" s="1"/>
  <c r="AV90" i="19"/>
  <c r="L90" i="19" s="1"/>
  <c r="AU90" i="19"/>
  <c r="AT90" i="19"/>
  <c r="AS90" i="19"/>
  <c r="AR90" i="19"/>
  <c r="AP90" i="19"/>
  <c r="BF90" i="19" s="1"/>
  <c r="AO90" i="19"/>
  <c r="T90" i="19"/>
  <c r="N90" i="19"/>
  <c r="BG89" i="19"/>
  <c r="BB89" i="19"/>
  <c r="AZ89" i="19"/>
  <c r="BD89" i="19" s="1"/>
  <c r="AW89" i="19"/>
  <c r="AV89" i="19"/>
  <c r="AU89" i="19"/>
  <c r="AS89" i="19"/>
  <c r="AR89" i="19"/>
  <c r="AP89" i="19"/>
  <c r="BF89" i="19" s="1"/>
  <c r="AO89" i="19"/>
  <c r="T89" i="19"/>
  <c r="N89" i="19"/>
  <c r="L89" i="19"/>
  <c r="BG46" i="19"/>
  <c r="BB46" i="19"/>
  <c r="AZ46" i="19"/>
  <c r="AW46" i="19"/>
  <c r="AV46" i="19"/>
  <c r="L46" i="19" s="1"/>
  <c r="AU46" i="19"/>
  <c r="AT46" i="19"/>
  <c r="AS46" i="19"/>
  <c r="AR46" i="19"/>
  <c r="AP46" i="19"/>
  <c r="BF46" i="19" s="1"/>
  <c r="AO46" i="19"/>
  <c r="T46" i="19"/>
  <c r="N46" i="19"/>
  <c r="BG40" i="19"/>
  <c r="BB40" i="19"/>
  <c r="AZ40" i="19"/>
  <c r="AW40" i="19"/>
  <c r="AV40" i="19"/>
  <c r="L40" i="19" s="1"/>
  <c r="AU40" i="19"/>
  <c r="AT40" i="19"/>
  <c r="AS40" i="19"/>
  <c r="AR40" i="19"/>
  <c r="AP40" i="19"/>
  <c r="AO40" i="19"/>
  <c r="T40" i="19"/>
  <c r="N40" i="19"/>
  <c r="BG39" i="19"/>
  <c r="BB39" i="19"/>
  <c r="AZ39" i="19"/>
  <c r="AW39" i="19"/>
  <c r="AV39" i="19"/>
  <c r="L39" i="19" s="1"/>
  <c r="AU39" i="19"/>
  <c r="AT39" i="19"/>
  <c r="BH39" i="19" s="1"/>
  <c r="AS39" i="19"/>
  <c r="AR39" i="19"/>
  <c r="AP39" i="19"/>
  <c r="AO39" i="19"/>
  <c r="T39" i="19"/>
  <c r="N39" i="19"/>
  <c r="BG34" i="19"/>
  <c r="BB34" i="19"/>
  <c r="AZ34" i="19"/>
  <c r="BD34" i="19" s="1"/>
  <c r="AW34" i="19"/>
  <c r="AV34" i="19"/>
  <c r="L34" i="19" s="1"/>
  <c r="AU34" i="19"/>
  <c r="AT34" i="19"/>
  <c r="AS34" i="19"/>
  <c r="AR34" i="19"/>
  <c r="AP34" i="19"/>
  <c r="AO34" i="19"/>
  <c r="T34" i="19"/>
  <c r="N34" i="19"/>
  <c r="BG18" i="19"/>
  <c r="BB18" i="19"/>
  <c r="AZ18" i="19"/>
  <c r="AW18" i="19"/>
  <c r="AV18" i="19"/>
  <c r="L18" i="19" s="1"/>
  <c r="AU18" i="19"/>
  <c r="AT18" i="19"/>
  <c r="AS18" i="19"/>
  <c r="AR18" i="19"/>
  <c r="AP18" i="19"/>
  <c r="AO18" i="19"/>
  <c r="T18" i="19"/>
  <c r="N18" i="19"/>
  <c r="AO2" i="19"/>
  <c r="V541" i="3" l="1"/>
  <c r="W541" i="3"/>
  <c r="U529" i="3"/>
  <c r="V529" i="3"/>
  <c r="V602" i="3"/>
  <c r="W602" i="3"/>
  <c r="W139" i="3"/>
  <c r="U602" i="3"/>
  <c r="V825" i="3"/>
  <c r="W825" i="3"/>
  <c r="W106" i="3"/>
  <c r="U129" i="3"/>
  <c r="W129" i="3"/>
  <c r="U319" i="3"/>
  <c r="V319" i="3"/>
  <c r="V481" i="3"/>
  <c r="W481" i="3"/>
  <c r="U572" i="3"/>
  <c r="V592" i="3"/>
  <c r="W592" i="3"/>
  <c r="W639" i="3"/>
  <c r="V639" i="3"/>
  <c r="W784" i="3"/>
  <c r="BH592" i="19"/>
  <c r="W793" i="3"/>
  <c r="BA213" i="19"/>
  <c r="BE213" i="19" s="1"/>
  <c r="BA231" i="19"/>
  <c r="BE231" i="19" s="1"/>
  <c r="BA272" i="19"/>
  <c r="BE272" i="19" s="1"/>
  <c r="BA296" i="19"/>
  <c r="BE296" i="19" s="1"/>
  <c r="BD532" i="19"/>
  <c r="BD679" i="19"/>
  <c r="BA853" i="19"/>
  <c r="BE853" i="19" s="1"/>
  <c r="BF853" i="19" s="1"/>
  <c r="BH882" i="19"/>
  <c r="BD882" i="19"/>
  <c r="BA154" i="19"/>
  <c r="BE154" i="19" s="1"/>
  <c r="BH222" i="19"/>
  <c r="BH605" i="19"/>
  <c r="BC605" i="19"/>
  <c r="BC641" i="19"/>
  <c r="BA164" i="19"/>
  <c r="BE164" i="19" s="1"/>
  <c r="BC327" i="19"/>
  <c r="BH366" i="19"/>
  <c r="BC366" i="19"/>
  <c r="BA875" i="19"/>
  <c r="BE875" i="19" s="1"/>
  <c r="BF875" i="19" s="1"/>
  <c r="BA126" i="19"/>
  <c r="BE126" i="19" s="1"/>
  <c r="BC425" i="19"/>
  <c r="BA549" i="19"/>
  <c r="BE549" i="19" s="1"/>
  <c r="BA602" i="19"/>
  <c r="BE602" i="19" s="1"/>
  <c r="BH612" i="19"/>
  <c r="BC612" i="19"/>
  <c r="BA75" i="19"/>
  <c r="BE75" i="19" s="1"/>
  <c r="BA261" i="19"/>
  <c r="BE261" i="19" s="1"/>
  <c r="BA288" i="19"/>
  <c r="BE288" i="19" s="1"/>
  <c r="BA595" i="19"/>
  <c r="BE595" i="19" s="1"/>
  <c r="BA874" i="19"/>
  <c r="BE874" i="19" s="1"/>
  <c r="BF874" i="19" s="1"/>
  <c r="BA439" i="19"/>
  <c r="BE439" i="19" s="1"/>
  <c r="BA876" i="19"/>
  <c r="BE876" i="19" s="1"/>
  <c r="BF876" i="19" s="1"/>
  <c r="BA17" i="19"/>
  <c r="BE17" i="19" s="1"/>
  <c r="BA176" i="19"/>
  <c r="BE176" i="19" s="1"/>
  <c r="BA494" i="19"/>
  <c r="BE494" i="19" s="1"/>
  <c r="BA624" i="19"/>
  <c r="BE624" i="19" s="1"/>
  <c r="BF624" i="19" s="1"/>
  <c r="BA660" i="19"/>
  <c r="BE660" i="19" s="1"/>
  <c r="BF660" i="19" s="1"/>
  <c r="BC6" i="19"/>
  <c r="BA7" i="19"/>
  <c r="BE7" i="19" s="1"/>
  <c r="BA10" i="19"/>
  <c r="BE10" i="19" s="1"/>
  <c r="BA14" i="19"/>
  <c r="BE14" i="19" s="1"/>
  <c r="BC21" i="19"/>
  <c r="BD26" i="19"/>
  <c r="BC29" i="19"/>
  <c r="BA36" i="19"/>
  <c r="BE36" i="19" s="1"/>
  <c r="BD59" i="19"/>
  <c r="BD61" i="19"/>
  <c r="BA73" i="19"/>
  <c r="BE73" i="19" s="1"/>
  <c r="BA76" i="19"/>
  <c r="BE76" i="19" s="1"/>
  <c r="BA77" i="19"/>
  <c r="BE77" i="19" s="1"/>
  <c r="BA78" i="19"/>
  <c r="BE78" i="19" s="1"/>
  <c r="BD81" i="19"/>
  <c r="BC82" i="19"/>
  <c r="BH84" i="19"/>
  <c r="BD84" i="19"/>
  <c r="BH87" i="19"/>
  <c r="BD87" i="19"/>
  <c r="BC93" i="19"/>
  <c r="BD107" i="19"/>
  <c r="BA112" i="19"/>
  <c r="BE112" i="19" s="1"/>
  <c r="BA114" i="19"/>
  <c r="BE114" i="19" s="1"/>
  <c r="BA115" i="19"/>
  <c r="BE115" i="19" s="1"/>
  <c r="BA116" i="19"/>
  <c r="BE116" i="19" s="1"/>
  <c r="BH119" i="19"/>
  <c r="BC135" i="19"/>
  <c r="BC139" i="19"/>
  <c r="BA147" i="19"/>
  <c r="BE147" i="19" s="1"/>
  <c r="BA153" i="19"/>
  <c r="BE153" i="19" s="1"/>
  <c r="BA167" i="19"/>
  <c r="BE167" i="19" s="1"/>
  <c r="BD197" i="19"/>
  <c r="BD208" i="19"/>
  <c r="BD220" i="19"/>
  <c r="BC221" i="19"/>
  <c r="BD230" i="19"/>
  <c r="BA235" i="19"/>
  <c r="BE235" i="19" s="1"/>
  <c r="BD243" i="19"/>
  <c r="BD246" i="19"/>
  <c r="BC247" i="19"/>
  <c r="BA264" i="19"/>
  <c r="BE264" i="19" s="1"/>
  <c r="BC275" i="19"/>
  <c r="BC276" i="19"/>
  <c r="BD290" i="19"/>
  <c r="BD297" i="19"/>
  <c r="BD301" i="19"/>
  <c r="BA308" i="19"/>
  <c r="BE308" i="19" s="1"/>
  <c r="BH316" i="19"/>
  <c r="BC323" i="19"/>
  <c r="BA336" i="19"/>
  <c r="BE336" i="19" s="1"/>
  <c r="BD342" i="19"/>
  <c r="BA342" i="19"/>
  <c r="BE342" i="19" s="1"/>
  <c r="BD368" i="19"/>
  <c r="BA368" i="19"/>
  <c r="BE368" i="19" s="1"/>
  <c r="BH565" i="19"/>
  <c r="BH893" i="19"/>
  <c r="BH198" i="19"/>
  <c r="BH877" i="19"/>
  <c r="BH534" i="19"/>
  <c r="BH653" i="19"/>
  <c r="BH545" i="19"/>
  <c r="BH868" i="19"/>
  <c r="BH170" i="19"/>
  <c r="BH174" i="19"/>
  <c r="BH268" i="19"/>
  <c r="BH11" i="19"/>
  <c r="BH195" i="19"/>
  <c r="BH265" i="19"/>
  <c r="BH487" i="19"/>
  <c r="BH33" i="19"/>
  <c r="BH45" i="19"/>
  <c r="BH51" i="19"/>
  <c r="BH104" i="19"/>
  <c r="BA109" i="19"/>
  <c r="BE109" i="19" s="1"/>
  <c r="BH112" i="19"/>
  <c r="BH114" i="19"/>
  <c r="BA132" i="19"/>
  <c r="BE132" i="19" s="1"/>
  <c r="BH166" i="19"/>
  <c r="BH177" i="19"/>
  <c r="BA197" i="19"/>
  <c r="BE197" i="19" s="1"/>
  <c r="BD244" i="19"/>
  <c r="BH260" i="19"/>
  <c r="BH283" i="19"/>
  <c r="BH482" i="19"/>
  <c r="BD156" i="19"/>
  <c r="BC189" i="19"/>
  <c r="BD525" i="19"/>
  <c r="BH862" i="19"/>
  <c r="BA862" i="19"/>
  <c r="BE862" i="19" s="1"/>
  <c r="BF862" i="19" s="1"/>
  <c r="BC866" i="19"/>
  <c r="BH185" i="19"/>
  <c r="BA185" i="19"/>
  <c r="BE185" i="19" s="1"/>
  <c r="BA187" i="19"/>
  <c r="BE187" i="19" s="1"/>
  <c r="BA879" i="19"/>
  <c r="BE879" i="19" s="1"/>
  <c r="BF879" i="19" s="1"/>
  <c r="BA204" i="19"/>
  <c r="BE204" i="19" s="1"/>
  <c r="BA551" i="19"/>
  <c r="BE551" i="19" s="1"/>
  <c r="BA92" i="19"/>
  <c r="BE92" i="19" s="1"/>
  <c r="BA194" i="19"/>
  <c r="BE194" i="19" s="1"/>
  <c r="BA783" i="19"/>
  <c r="BE783" i="19" s="1"/>
  <c r="BF783" i="19" s="1"/>
  <c r="BH872" i="19"/>
  <c r="BC872" i="19"/>
  <c r="BH35" i="19"/>
  <c r="BC199" i="19"/>
  <c r="BA314" i="19"/>
  <c r="BE314" i="19" s="1"/>
  <c r="BA668" i="19"/>
  <c r="BE668" i="19" s="1"/>
  <c r="BF668" i="19" s="1"/>
  <c r="BH121" i="19"/>
  <c r="BA121" i="19"/>
  <c r="BE121" i="19" s="1"/>
  <c r="BH212" i="19"/>
  <c r="BH380" i="19"/>
  <c r="BC380" i="19"/>
  <c r="BH382" i="19"/>
  <c r="BC382" i="19"/>
  <c r="BH452" i="19"/>
  <c r="BC452" i="19"/>
  <c r="BA561" i="19"/>
  <c r="BE561" i="19" s="1"/>
  <c r="BH646" i="19"/>
  <c r="BA646" i="19"/>
  <c r="BE646" i="19" s="1"/>
  <c r="BF646" i="19" s="1"/>
  <c r="BA192" i="19"/>
  <c r="BE192" i="19" s="1"/>
  <c r="BH441" i="19"/>
  <c r="BA760" i="19"/>
  <c r="BE760" i="19" s="1"/>
  <c r="BF760" i="19" s="1"/>
  <c r="BA554" i="19"/>
  <c r="BE554" i="19" s="1"/>
  <c r="BC644" i="19"/>
  <c r="BD22" i="19"/>
  <c r="BH31" i="19"/>
  <c r="BC31" i="19"/>
  <c r="BH55" i="19"/>
  <c r="BD62" i="19"/>
  <c r="BH67" i="19"/>
  <c r="BC67" i="19"/>
  <c r="BH71" i="19"/>
  <c r="BC71" i="19"/>
  <c r="BD74" i="19"/>
  <c r="BH80" i="19"/>
  <c r="BD80" i="19"/>
  <c r="BD88" i="19"/>
  <c r="BC95" i="19"/>
  <c r="BH98" i="19"/>
  <c r="BD101" i="19"/>
  <c r="BC103" i="19"/>
  <c r="BD110" i="19"/>
  <c r="BC113" i="19"/>
  <c r="BA117" i="19"/>
  <c r="BE117" i="19" s="1"/>
  <c r="BA122" i="19"/>
  <c r="BE122" i="19" s="1"/>
  <c r="BA123" i="19"/>
  <c r="BE123" i="19" s="1"/>
  <c r="BA127" i="19"/>
  <c r="BE127" i="19" s="1"/>
  <c r="BA130" i="19"/>
  <c r="BE130" i="19" s="1"/>
  <c r="BH144" i="19"/>
  <c r="BD144" i="19"/>
  <c r="BC145" i="19"/>
  <c r="BA149" i="19"/>
  <c r="BE149" i="19" s="1"/>
  <c r="BD152" i="19"/>
  <c r="BD188" i="19"/>
  <c r="BD214" i="19"/>
  <c r="BH217" i="19"/>
  <c r="BA217" i="19"/>
  <c r="BE217" i="19" s="1"/>
  <c r="BA219" i="19"/>
  <c r="BE219" i="19" s="1"/>
  <c r="BA223" i="19"/>
  <c r="BE223" i="19" s="1"/>
  <c r="BA225" i="19"/>
  <c r="BE225" i="19" s="1"/>
  <c r="BA226" i="19"/>
  <c r="BE226" i="19" s="1"/>
  <c r="BD233" i="19"/>
  <c r="BC234" i="19"/>
  <c r="BC237" i="19"/>
  <c r="BH239" i="19"/>
  <c r="BD239" i="19"/>
  <c r="BD241" i="19"/>
  <c r="BA248" i="19"/>
  <c r="BE248" i="19" s="1"/>
  <c r="BA249" i="19"/>
  <c r="BE249" i="19" s="1"/>
  <c r="BA250" i="19"/>
  <c r="BE250" i="19" s="1"/>
  <c r="BH254" i="19"/>
  <c r="BA254" i="19"/>
  <c r="BE254" i="19" s="1"/>
  <c r="BC255" i="19"/>
  <c r="BH257" i="19"/>
  <c r="BD257" i="19"/>
  <c r="BC258" i="19"/>
  <c r="BA269" i="19"/>
  <c r="BE269" i="19" s="1"/>
  <c r="BH273" i="19"/>
  <c r="BH280" i="19"/>
  <c r="BC280" i="19"/>
  <c r="BD284" i="19"/>
  <c r="BA315" i="19"/>
  <c r="BE315" i="19" s="1"/>
  <c r="BA340" i="19"/>
  <c r="BE340" i="19" s="1"/>
  <c r="BC331" i="19"/>
  <c r="BH340" i="19"/>
  <c r="BA349" i="19"/>
  <c r="BE349" i="19" s="1"/>
  <c r="BC355" i="19"/>
  <c r="BD358" i="19"/>
  <c r="BC362" i="19"/>
  <c r="BC373" i="19"/>
  <c r="BD384" i="19"/>
  <c r="BC388" i="19"/>
  <c r="BC393" i="19"/>
  <c r="BD396" i="19"/>
  <c r="BD407" i="19"/>
  <c r="BD418" i="19"/>
  <c r="BA431" i="19"/>
  <c r="BE431" i="19" s="1"/>
  <c r="BA435" i="19"/>
  <c r="BE435" i="19" s="1"/>
  <c r="BA454" i="19"/>
  <c r="BE454" i="19" s="1"/>
  <c r="BA457" i="19"/>
  <c r="BE457" i="19" s="1"/>
  <c r="BA460" i="19"/>
  <c r="BE460" i="19" s="1"/>
  <c r="BH463" i="19"/>
  <c r="BC463" i="19"/>
  <c r="BC466" i="19"/>
  <c r="BA469" i="19"/>
  <c r="BE469" i="19" s="1"/>
  <c r="BD473" i="19"/>
  <c r="BD479" i="19"/>
  <c r="BA485" i="19"/>
  <c r="BE485" i="19" s="1"/>
  <c r="BA492" i="19"/>
  <c r="BE492" i="19" s="1"/>
  <c r="BA497" i="19"/>
  <c r="BE497" i="19" s="1"/>
  <c r="BA500" i="19"/>
  <c r="BE500" i="19" s="1"/>
  <c r="BC511" i="19"/>
  <c r="BA513" i="19"/>
  <c r="BE513" i="19" s="1"/>
  <c r="BC518" i="19"/>
  <c r="BD521" i="19"/>
  <c r="BD529" i="19"/>
  <c r="BA538" i="19"/>
  <c r="BE538" i="19" s="1"/>
  <c r="BD548" i="19"/>
  <c r="BA552" i="19"/>
  <c r="BE552" i="19" s="1"/>
  <c r="BA553" i="19"/>
  <c r="BE553" i="19" s="1"/>
  <c r="BD562" i="19"/>
  <c r="BD566" i="19"/>
  <c r="BA569" i="19"/>
  <c r="BE569" i="19" s="1"/>
  <c r="BD573" i="19"/>
  <c r="BD579" i="19"/>
  <c r="BD582" i="19"/>
  <c r="BD589" i="19"/>
  <c r="BC302" i="19"/>
  <c r="BH306" i="19"/>
  <c r="BC306" i="19"/>
  <c r="BC321" i="19"/>
  <c r="BH336" i="19"/>
  <c r="BD346" i="19"/>
  <c r="BH353" i="19"/>
  <c r="BC353" i="19"/>
  <c r="BD356" i="19"/>
  <c r="BD363" i="19"/>
  <c r="BA374" i="19"/>
  <c r="BE374" i="19" s="1"/>
  <c r="BH383" i="19"/>
  <c r="BH385" i="19"/>
  <c r="BD385" i="19"/>
  <c r="BA390" i="19"/>
  <c r="BE390" i="19" s="1"/>
  <c r="BC397" i="19"/>
  <c r="BA401" i="19"/>
  <c r="BE401" i="19" s="1"/>
  <c r="BC408" i="19"/>
  <c r="BD413" i="19"/>
  <c r="BA436" i="19"/>
  <c r="BE436" i="19" s="1"/>
  <c r="BA446" i="19"/>
  <c r="BE446" i="19" s="1"/>
  <c r="BA450" i="19"/>
  <c r="BE450" i="19" s="1"/>
  <c r="BD455" i="19"/>
  <c r="BH461" i="19"/>
  <c r="BC461" i="19"/>
  <c r="BA463" i="19"/>
  <c r="BE463" i="19" s="1"/>
  <c r="BA466" i="19"/>
  <c r="BE466" i="19" s="1"/>
  <c r="BD476" i="19"/>
  <c r="BH480" i="19"/>
  <c r="BA480" i="19"/>
  <c r="BE480" i="19" s="1"/>
  <c r="BA499" i="19"/>
  <c r="BE499" i="19" s="1"/>
  <c r="BD501" i="19"/>
  <c r="BC505" i="19"/>
  <c r="BC506" i="19"/>
  <c r="BC509" i="19"/>
  <c r="BA511" i="19"/>
  <c r="BE511" i="19" s="1"/>
  <c r="BD514" i="19"/>
  <c r="BA521" i="19"/>
  <c r="BE521" i="19" s="1"/>
  <c r="BD530" i="19"/>
  <c r="BH535" i="19"/>
  <c r="BA535" i="19"/>
  <c r="BE535" i="19" s="1"/>
  <c r="BA536" i="19"/>
  <c r="BE536" i="19" s="1"/>
  <c r="BA539" i="19"/>
  <c r="BE539" i="19" s="1"/>
  <c r="BD543" i="19"/>
  <c r="BH546" i="19"/>
  <c r="BD546" i="19"/>
  <c r="BH548" i="19"/>
  <c r="BA548" i="19"/>
  <c r="BE548" i="19" s="1"/>
  <c r="BH555" i="19"/>
  <c r="BA555" i="19"/>
  <c r="BE555" i="19" s="1"/>
  <c r="BH563" i="19"/>
  <c r="BD563" i="19"/>
  <c r="BD570" i="19"/>
  <c r="BA576" i="19"/>
  <c r="BE576" i="19" s="1"/>
  <c r="BD583" i="19"/>
  <c r="BD586" i="19"/>
  <c r="BA608" i="19"/>
  <c r="BE608" i="19" s="1"/>
  <c r="BF608" i="19" s="1"/>
  <c r="BD287" i="19"/>
  <c r="BH292" i="19"/>
  <c r="BD292" i="19"/>
  <c r="BH299" i="19"/>
  <c r="BD299" i="19"/>
  <c r="BA319" i="19"/>
  <c r="BE319" i="19" s="1"/>
  <c r="BC320" i="19"/>
  <c r="BD329" i="19"/>
  <c r="BH334" i="19"/>
  <c r="BC334" i="19"/>
  <c r="BC335" i="19"/>
  <c r="BD344" i="19"/>
  <c r="BA346" i="19"/>
  <c r="BE346" i="19" s="1"/>
  <c r="BA348" i="19"/>
  <c r="BE348" i="19" s="1"/>
  <c r="BA351" i="19"/>
  <c r="BE351" i="19" s="1"/>
  <c r="BD354" i="19"/>
  <c r="BH359" i="19"/>
  <c r="BC359" i="19"/>
  <c r="BH363" i="19"/>
  <c r="BC386" i="19"/>
  <c r="BH391" i="19"/>
  <c r="BC391" i="19"/>
  <c r="BC395" i="19"/>
  <c r="BH396" i="19"/>
  <c r="BD403" i="19"/>
  <c r="BC412" i="19"/>
  <c r="BH414" i="19"/>
  <c r="BD414" i="19"/>
  <c r="BD421" i="19"/>
  <c r="BA424" i="19"/>
  <c r="BE424" i="19" s="1"/>
  <c r="BC426" i="19"/>
  <c r="BA429" i="19"/>
  <c r="BE429" i="19" s="1"/>
  <c r="BA440" i="19"/>
  <c r="BE440" i="19" s="1"/>
  <c r="BA443" i="19"/>
  <c r="BE443" i="19" s="1"/>
  <c r="BC444" i="19"/>
  <c r="BH447" i="19"/>
  <c r="BH450" i="19"/>
  <c r="BD451" i="19"/>
  <c r="BA455" i="19"/>
  <c r="BE455" i="19" s="1"/>
  <c r="BA456" i="19"/>
  <c r="BE456" i="19" s="1"/>
  <c r="BA461" i="19"/>
  <c r="BE461" i="19" s="1"/>
  <c r="BA464" i="19"/>
  <c r="BE464" i="19" s="1"/>
  <c r="BH477" i="19"/>
  <c r="BA477" i="19"/>
  <c r="BE477" i="19" s="1"/>
  <c r="BC478" i="19"/>
  <c r="BD488" i="19"/>
  <c r="BD491" i="19"/>
  <c r="BA495" i="19"/>
  <c r="BE495" i="19" s="1"/>
  <c r="BA496" i="19"/>
  <c r="BE496" i="19" s="1"/>
  <c r="BA502" i="19"/>
  <c r="BE502" i="19" s="1"/>
  <c r="BH505" i="19"/>
  <c r="BA505" i="19"/>
  <c r="BE505" i="19" s="1"/>
  <c r="BA506" i="19"/>
  <c r="BE506" i="19" s="1"/>
  <c r="BA509" i="19"/>
  <c r="BE509" i="19" s="1"/>
  <c r="BH512" i="19"/>
  <c r="BA512" i="19"/>
  <c r="BE512" i="19" s="1"/>
  <c r="BA515" i="19"/>
  <c r="BE515" i="19" s="1"/>
  <c r="BD517" i="19"/>
  <c r="BH519" i="19"/>
  <c r="BA519" i="19"/>
  <c r="BE519" i="19" s="1"/>
  <c r="BD522" i="19"/>
  <c r="BH530" i="19"/>
  <c r="BA530" i="19"/>
  <c r="BE530" i="19" s="1"/>
  <c r="BH543" i="19"/>
  <c r="BA543" i="19"/>
  <c r="BE543" i="19" s="1"/>
  <c r="BC544" i="19"/>
  <c r="BA546" i="19"/>
  <c r="BE546" i="19" s="1"/>
  <c r="BC547" i="19"/>
  <c r="BH559" i="19"/>
  <c r="BA559" i="19"/>
  <c r="BE559" i="19" s="1"/>
  <c r="BH567" i="19"/>
  <c r="BA567" i="19"/>
  <c r="BE567" i="19" s="1"/>
  <c r="BA571" i="19"/>
  <c r="BE571" i="19" s="1"/>
  <c r="BA577" i="19"/>
  <c r="BE577" i="19" s="1"/>
  <c r="BH580" i="19"/>
  <c r="BD580" i="19"/>
  <c r="BC581" i="19"/>
  <c r="BA583" i="19"/>
  <c r="BE583" i="19" s="1"/>
  <c r="BC584" i="19"/>
  <c r="BA586" i="19"/>
  <c r="BE586" i="19" s="1"/>
  <c r="BC632" i="19"/>
  <c r="BA632" i="19"/>
  <c r="BE632" i="19" s="1"/>
  <c r="BF632" i="19" s="1"/>
  <c r="BA864" i="19"/>
  <c r="BE864" i="19" s="1"/>
  <c r="BF864" i="19" s="1"/>
  <c r="BH888" i="19"/>
  <c r="BD888" i="19"/>
  <c r="BD894" i="19"/>
  <c r="BD938" i="19"/>
  <c r="BD587" i="19"/>
  <c r="BD591" i="19"/>
  <c r="BH594" i="19"/>
  <c r="BH608" i="19"/>
  <c r="BC609" i="19"/>
  <c r="BH613" i="19"/>
  <c r="BA615" i="19"/>
  <c r="BE615" i="19" s="1"/>
  <c r="BF615" i="19" s="1"/>
  <c r="BD656" i="19"/>
  <c r="BD658" i="19"/>
  <c r="BH674" i="19"/>
  <c r="BH675" i="19"/>
  <c r="BD675" i="19"/>
  <c r="BC677" i="19"/>
  <c r="BA693" i="19"/>
  <c r="BE693" i="19" s="1"/>
  <c r="BF693" i="19" s="1"/>
  <c r="BD698" i="19"/>
  <c r="BC701" i="19"/>
  <c r="BA704" i="19"/>
  <c r="BE704" i="19" s="1"/>
  <c r="BF704" i="19" s="1"/>
  <c r="BA707" i="19"/>
  <c r="BE707" i="19" s="1"/>
  <c r="BF707" i="19" s="1"/>
  <c r="BD715" i="19"/>
  <c r="BC720" i="19"/>
  <c r="BD721" i="19"/>
  <c r="BD728" i="19"/>
  <c r="BD733" i="19"/>
  <c r="BH734" i="19"/>
  <c r="BD734" i="19"/>
  <c r="BA735" i="19"/>
  <c r="BE735" i="19" s="1"/>
  <c r="BF735" i="19" s="1"/>
  <c r="BC741" i="19"/>
  <c r="BA744" i="19"/>
  <c r="BE744" i="19" s="1"/>
  <c r="BF744" i="19" s="1"/>
  <c r="BH746" i="19"/>
  <c r="BC746" i="19"/>
  <c r="BC747" i="19"/>
  <c r="BD749" i="19"/>
  <c r="BH752" i="19"/>
  <c r="BC759" i="19"/>
  <c r="BC763" i="19"/>
  <c r="BH765" i="19"/>
  <c r="BC776" i="19"/>
  <c r="BA777" i="19"/>
  <c r="BE777" i="19" s="1"/>
  <c r="BF777" i="19" s="1"/>
  <c r="BC804" i="19"/>
  <c r="BH807" i="19"/>
  <c r="BC807" i="19"/>
  <c r="BH810" i="19"/>
  <c r="BC811" i="19"/>
  <c r="BH814" i="19"/>
  <c r="BA824" i="19"/>
  <c r="BE824" i="19" s="1"/>
  <c r="BF824" i="19" s="1"/>
  <c r="BC838" i="19"/>
  <c r="BH856" i="19"/>
  <c r="BA856" i="19"/>
  <c r="BE856" i="19" s="1"/>
  <c r="BF856" i="19" s="1"/>
  <c r="BD860" i="19"/>
  <c r="BD881" i="19"/>
  <c r="BD883" i="19"/>
  <c r="BD886" i="19"/>
  <c r="BA888" i="19"/>
  <c r="BE888" i="19" s="1"/>
  <c r="BF888" i="19" s="1"/>
  <c r="BD898" i="19"/>
  <c r="BD902" i="19"/>
  <c r="BH906" i="19"/>
  <c r="BD906" i="19"/>
  <c r="BA919" i="19"/>
  <c r="BE919" i="19" s="1"/>
  <c r="BF919" i="19" s="1"/>
  <c r="BD923" i="19"/>
  <c r="BD928" i="19"/>
  <c r="BD932" i="19"/>
  <c r="BA628" i="19"/>
  <c r="BE628" i="19" s="1"/>
  <c r="BF628" i="19" s="1"/>
  <c r="BH632" i="19"/>
  <c r="BH635" i="19"/>
  <c r="BC636" i="19"/>
  <c r="BA643" i="19"/>
  <c r="BE643" i="19" s="1"/>
  <c r="BF643" i="19" s="1"/>
  <c r="BA647" i="19"/>
  <c r="BE647" i="19" s="1"/>
  <c r="BF647" i="19" s="1"/>
  <c r="BA652" i="19"/>
  <c r="BE652" i="19" s="1"/>
  <c r="BF652" i="19" s="1"/>
  <c r="BH663" i="19"/>
  <c r="BH672" i="19"/>
  <c r="BA672" i="19"/>
  <c r="BE672" i="19" s="1"/>
  <c r="BF672" i="19" s="1"/>
  <c r="BC673" i="19"/>
  <c r="BD682" i="19"/>
  <c r="BA684" i="19"/>
  <c r="BE684" i="19" s="1"/>
  <c r="BF684" i="19" s="1"/>
  <c r="BA692" i="19"/>
  <c r="BE692" i="19" s="1"/>
  <c r="BF692" i="19" s="1"/>
  <c r="BD694" i="19"/>
  <c r="BH702" i="19"/>
  <c r="BA710" i="19"/>
  <c r="BE710" i="19" s="1"/>
  <c r="BF710" i="19" s="1"/>
  <c r="BH721" i="19"/>
  <c r="BC723" i="19"/>
  <c r="BC736" i="19"/>
  <c r="BC740" i="19"/>
  <c r="BH743" i="19"/>
  <c r="BC745" i="19"/>
  <c r="BC757" i="19"/>
  <c r="BC764" i="19"/>
  <c r="BH776" i="19"/>
  <c r="BA796" i="19"/>
  <c r="BE796" i="19" s="1"/>
  <c r="BF796" i="19" s="1"/>
  <c r="BA825" i="19"/>
  <c r="BE825" i="19" s="1"/>
  <c r="BF825" i="19" s="1"/>
  <c r="BH846" i="19"/>
  <c r="BC847" i="19"/>
  <c r="BH851" i="19"/>
  <c r="BC855" i="19"/>
  <c r="BH881" i="19"/>
  <c r="BA881" i="19"/>
  <c r="BE881" i="19" s="1"/>
  <c r="BF881" i="19" s="1"/>
  <c r="BA884" i="19"/>
  <c r="BE884" i="19" s="1"/>
  <c r="BF884" i="19" s="1"/>
  <c r="BA886" i="19"/>
  <c r="BE886" i="19" s="1"/>
  <c r="BF886" i="19" s="1"/>
  <c r="BA898" i="19"/>
  <c r="BE898" i="19" s="1"/>
  <c r="BF898" i="19" s="1"/>
  <c r="BH900" i="19"/>
  <c r="BA900" i="19"/>
  <c r="BE900" i="19" s="1"/>
  <c r="BF900" i="19" s="1"/>
  <c r="BH914" i="19"/>
  <c r="BD914" i="19"/>
  <c r="BH916" i="19"/>
  <c r="BA923" i="19"/>
  <c r="BE923" i="19" s="1"/>
  <c r="BF923" i="19" s="1"/>
  <c r="BH931" i="19"/>
  <c r="BC936" i="19"/>
  <c r="BA661" i="19"/>
  <c r="BE661" i="19" s="1"/>
  <c r="BF661" i="19" s="1"/>
  <c r="BA680" i="19"/>
  <c r="BE680" i="19" s="1"/>
  <c r="BF680" i="19" s="1"/>
  <c r="BH682" i="19"/>
  <c r="BA709" i="19"/>
  <c r="BE709" i="19" s="1"/>
  <c r="BF709" i="19" s="1"/>
  <c r="BC711" i="19"/>
  <c r="BA717" i="19"/>
  <c r="BE717" i="19" s="1"/>
  <c r="BF717" i="19" s="1"/>
  <c r="BH719" i="19"/>
  <c r="BC731" i="19"/>
  <c r="BH732" i="19"/>
  <c r="BC737" i="19"/>
  <c r="BC742" i="19"/>
  <c r="BC748" i="19"/>
  <c r="BC758" i="19"/>
  <c r="BC775" i="19"/>
  <c r="BA779" i="19"/>
  <c r="BE779" i="19" s="1"/>
  <c r="BF779" i="19" s="1"/>
  <c r="BC791" i="19"/>
  <c r="BA806" i="19"/>
  <c r="BE806" i="19" s="1"/>
  <c r="BF806" i="19" s="1"/>
  <c r="BH808" i="19"/>
  <c r="BA816" i="19"/>
  <c r="BE816" i="19" s="1"/>
  <c r="BF816" i="19" s="1"/>
  <c r="BA831" i="19"/>
  <c r="BE831" i="19" s="1"/>
  <c r="BF831" i="19" s="1"/>
  <c r="BA834" i="19"/>
  <c r="BE834" i="19" s="1"/>
  <c r="BF834" i="19" s="1"/>
  <c r="BC839" i="19"/>
  <c r="BC850" i="19"/>
  <c r="BC913" i="19"/>
  <c r="BC915" i="19"/>
  <c r="BA39" i="19"/>
  <c r="BE39" i="19" s="1"/>
  <c r="BA324" i="19"/>
  <c r="BE324" i="19" s="1"/>
  <c r="BA325" i="19"/>
  <c r="BE325" i="19" s="1"/>
  <c r="BD213" i="19"/>
  <c r="BD272" i="19"/>
  <c r="BA389" i="19"/>
  <c r="BE389" i="19" s="1"/>
  <c r="BD437" i="19"/>
  <c r="BA525" i="19"/>
  <c r="BE525" i="19" s="1"/>
  <c r="BD575" i="19"/>
  <c r="BH866" i="19"/>
  <c r="BD866" i="19"/>
  <c r="BD887" i="19"/>
  <c r="BA893" i="19"/>
  <c r="BE893" i="19" s="1"/>
  <c r="BF893" i="19" s="1"/>
  <c r="BH179" i="19"/>
  <c r="BA179" i="19"/>
  <c r="BE179" i="19" s="1"/>
  <c r="BA877" i="19"/>
  <c r="BE877" i="19" s="1"/>
  <c r="BF877" i="19" s="1"/>
  <c r="BA641" i="19"/>
  <c r="BE641" i="19" s="1"/>
  <c r="BF641" i="19" s="1"/>
  <c r="BH666" i="19"/>
  <c r="BA666" i="19"/>
  <c r="BE666" i="19" s="1"/>
  <c r="BF666" i="19" s="1"/>
  <c r="BD327" i="19"/>
  <c r="BH629" i="19"/>
  <c r="BA629" i="19"/>
  <c r="BE629" i="19" s="1"/>
  <c r="BF629" i="19" s="1"/>
  <c r="BH783" i="19"/>
  <c r="BA878" i="19"/>
  <c r="BE878" i="19" s="1"/>
  <c r="BF878" i="19" s="1"/>
  <c r="BH162" i="19"/>
  <c r="BA162" i="19"/>
  <c r="BE162" i="19" s="1"/>
  <c r="BH172" i="19"/>
  <c r="BA172" i="19"/>
  <c r="BE172" i="19" s="1"/>
  <c r="BC268" i="19"/>
  <c r="BA470" i="19"/>
  <c r="BE470" i="19" s="1"/>
  <c r="BH601" i="19"/>
  <c r="BA601" i="19"/>
  <c r="BE601" i="19" s="1"/>
  <c r="BD40" i="19"/>
  <c r="BH90" i="19"/>
  <c r="BD90" i="19"/>
  <c r="BH18" i="19"/>
  <c r="BA18" i="19"/>
  <c r="BE18" i="19" s="1"/>
  <c r="BH46" i="19"/>
  <c r="BA46" i="19"/>
  <c r="BE46" i="19" s="1"/>
  <c r="BA89" i="19"/>
  <c r="BE89" i="19" s="1"/>
  <c r="BA90" i="19"/>
  <c r="BE90" i="19" s="1"/>
  <c r="BH189" i="19"/>
  <c r="BD189" i="19"/>
  <c r="BD427" i="19"/>
  <c r="BA437" i="19"/>
  <c r="BE437" i="19" s="1"/>
  <c r="BH527" i="19"/>
  <c r="BA527" i="19"/>
  <c r="BE527" i="19" s="1"/>
  <c r="BH610" i="19"/>
  <c r="BA610" i="19"/>
  <c r="BE610" i="19" s="1"/>
  <c r="BF610" i="19" s="1"/>
  <c r="BD622" i="19"/>
  <c r="BD853" i="19"/>
  <c r="BA866" i="19"/>
  <c r="BE866" i="19" s="1"/>
  <c r="BF866" i="19" s="1"/>
  <c r="BH890" i="19"/>
  <c r="BA890" i="19"/>
  <c r="BE890" i="19" s="1"/>
  <c r="BF890" i="19" s="1"/>
  <c r="BH895" i="19"/>
  <c r="BD895" i="19"/>
  <c r="BH86" i="19"/>
  <c r="BC86" i="19"/>
  <c r="BH181" i="19"/>
  <c r="BC181" i="19"/>
  <c r="BH295" i="19"/>
  <c r="BC295" i="19"/>
  <c r="BH481" i="19"/>
  <c r="BC481" i="19"/>
  <c r="BH784" i="19"/>
  <c r="BC784" i="19"/>
  <c r="BH154" i="19"/>
  <c r="BH871" i="19"/>
  <c r="BA871" i="19"/>
  <c r="BE871" i="19" s="1"/>
  <c r="BF871" i="19" s="1"/>
  <c r="BH879" i="19"/>
  <c r="BC125" i="19"/>
  <c r="BH640" i="19"/>
  <c r="BH194" i="19"/>
  <c r="BH327" i="19"/>
  <c r="BA327" i="19"/>
  <c r="BE327" i="19" s="1"/>
  <c r="BA867" i="19"/>
  <c r="BE867" i="19" s="1"/>
  <c r="BF867" i="19" s="1"/>
  <c r="BH126" i="19"/>
  <c r="BH199" i="19"/>
  <c r="BA199" i="19"/>
  <c r="BE199" i="19" s="1"/>
  <c r="BD268" i="19"/>
  <c r="BA557" i="19"/>
  <c r="BE557" i="19" s="1"/>
  <c r="BH665" i="19"/>
  <c r="BA156" i="19"/>
  <c r="BE156" i="19" s="1"/>
  <c r="BC893" i="19"/>
  <c r="BA41" i="19"/>
  <c r="BE41" i="19" s="1"/>
  <c r="BA160" i="19"/>
  <c r="BE160" i="19" s="1"/>
  <c r="BA281" i="19"/>
  <c r="BE281" i="19" s="1"/>
  <c r="BA365" i="19"/>
  <c r="BE365" i="19" s="1"/>
  <c r="BA498" i="19"/>
  <c r="BE498" i="19" s="1"/>
  <c r="BC198" i="19"/>
  <c r="BC222" i="19"/>
  <c r="BA16" i="19"/>
  <c r="BE16" i="19" s="1"/>
  <c r="BA125" i="19"/>
  <c r="BE125" i="19" s="1"/>
  <c r="BA159" i="19"/>
  <c r="BE159" i="19" s="1"/>
  <c r="BH182" i="19"/>
  <c r="BA182" i="19"/>
  <c r="BE182" i="19" s="1"/>
  <c r="BA186" i="19"/>
  <c r="BE186" i="19" s="1"/>
  <c r="BA662" i="19"/>
  <c r="BE662" i="19" s="1"/>
  <c r="BF662" i="19" s="1"/>
  <c r="BC873" i="19"/>
  <c r="BA361" i="19"/>
  <c r="BE361" i="19" s="1"/>
  <c r="BA370" i="19"/>
  <c r="BE370" i="19" s="1"/>
  <c r="BA376" i="19"/>
  <c r="BE376" i="19" s="1"/>
  <c r="BA379" i="19"/>
  <c r="BE379" i="19" s="1"/>
  <c r="BA545" i="19"/>
  <c r="BE545" i="19" s="1"/>
  <c r="BA617" i="19"/>
  <c r="BE617" i="19" s="1"/>
  <c r="BF617" i="19" s="1"/>
  <c r="BH670" i="19"/>
  <c r="BC670" i="19"/>
  <c r="BA35" i="19"/>
  <c r="BE35" i="19" s="1"/>
  <c r="BA201" i="19"/>
  <c r="BE201" i="19" s="1"/>
  <c r="BA268" i="19"/>
  <c r="BE268" i="19" s="1"/>
  <c r="BC549" i="19"/>
  <c r="BH602" i="19"/>
  <c r="BC614" i="19"/>
  <c r="BA667" i="19"/>
  <c r="BE667" i="19" s="1"/>
  <c r="BF667" i="19" s="1"/>
  <c r="BH668" i="19"/>
  <c r="BH870" i="19"/>
  <c r="BC20" i="19"/>
  <c r="BC102" i="19"/>
  <c r="BH209" i="19"/>
  <c r="BA209" i="19"/>
  <c r="BE209" i="19" s="1"/>
  <c r="BA11" i="19"/>
  <c r="BE11" i="19" s="1"/>
  <c r="BA12" i="19"/>
  <c r="BE12" i="19" s="1"/>
  <c r="BA50" i="19"/>
  <c r="BE50" i="19" s="1"/>
  <c r="BA190" i="19"/>
  <c r="BE190" i="19" s="1"/>
  <c r="BA195" i="19"/>
  <c r="BE195" i="19" s="1"/>
  <c r="BA210" i="19"/>
  <c r="BE210" i="19" s="1"/>
  <c r="BA259" i="19"/>
  <c r="BE259" i="19" s="1"/>
  <c r="BA262" i="19"/>
  <c r="BE262" i="19" s="1"/>
  <c r="BD645" i="19"/>
  <c r="BH9" i="19"/>
  <c r="BA9" i="19"/>
  <c r="BE9" i="19" s="1"/>
  <c r="BC17" i="19"/>
  <c r="BD33" i="19"/>
  <c r="BC63" i="19"/>
  <c r="BH4" i="19"/>
  <c r="BC4" i="19"/>
  <c r="BD7" i="19"/>
  <c r="BD10" i="19"/>
  <c r="BD14" i="19"/>
  <c r="BA21" i="19"/>
  <c r="BE21" i="19" s="1"/>
  <c r="BC22" i="19"/>
  <c r="BH23" i="19"/>
  <c r="BC23" i="19"/>
  <c r="BC24" i="19"/>
  <c r="BH25" i="19"/>
  <c r="BC25" i="19"/>
  <c r="BH27" i="19"/>
  <c r="BC27" i="19"/>
  <c r="BA30" i="19"/>
  <c r="BE30" i="19" s="1"/>
  <c r="BH36" i="19"/>
  <c r="BA44" i="19"/>
  <c r="BE44" i="19" s="1"/>
  <c r="BA49" i="19"/>
  <c r="BE49" i="19" s="1"/>
  <c r="BA54" i="19"/>
  <c r="BE54" i="19" s="1"/>
  <c r="BC55" i="19"/>
  <c r="BA57" i="19"/>
  <c r="BE57" i="19" s="1"/>
  <c r="BC59" i="19"/>
  <c r="BD60" i="19"/>
  <c r="BA62" i="19"/>
  <c r="BE62" i="19" s="1"/>
  <c r="BA66" i="19"/>
  <c r="BE66" i="19" s="1"/>
  <c r="BA70" i="19"/>
  <c r="BE70" i="19" s="1"/>
  <c r="BH73" i="19"/>
  <c r="BC78" i="19"/>
  <c r="BA81" i="19"/>
  <c r="BE81" i="19" s="1"/>
  <c r="BC87" i="19"/>
  <c r="BH95" i="19"/>
  <c r="BA99" i="19"/>
  <c r="BE99" i="19" s="1"/>
  <c r="BA104" i="19"/>
  <c r="BE104" i="19" s="1"/>
  <c r="BA105" i="19"/>
  <c r="BE105" i="19" s="1"/>
  <c r="BA106" i="19"/>
  <c r="BE106" i="19" s="1"/>
  <c r="BA107" i="19"/>
  <c r="BE107" i="19" s="1"/>
  <c r="BH109" i="19"/>
  <c r="BD109" i="19"/>
  <c r="BH111" i="19"/>
  <c r="BD111" i="19"/>
  <c r="BA111" i="19"/>
  <c r="BE111" i="19" s="1"/>
  <c r="BC671" i="19"/>
  <c r="BA19" i="19"/>
  <c r="BE19" i="19" s="1"/>
  <c r="BH196" i="19"/>
  <c r="BC196" i="19"/>
  <c r="BC212" i="19"/>
  <c r="BH102" i="19"/>
  <c r="BH202" i="19"/>
  <c r="BH595" i="19"/>
  <c r="BH874" i="19"/>
  <c r="BA372" i="19"/>
  <c r="BE372" i="19" s="1"/>
  <c r="BA645" i="19"/>
  <c r="BE645" i="19" s="1"/>
  <c r="BF645" i="19" s="1"/>
  <c r="BH644" i="19"/>
  <c r="BC61" i="19"/>
  <c r="BA74" i="19"/>
  <c r="BE74" i="19" s="1"/>
  <c r="BC80" i="19"/>
  <c r="BA83" i="19"/>
  <c r="BE83" i="19" s="1"/>
  <c r="BA490" i="19"/>
  <c r="BE490" i="19" s="1"/>
  <c r="BA588" i="19"/>
  <c r="BE588" i="19" s="1"/>
  <c r="BC646" i="19"/>
  <c r="BH20" i="19"/>
  <c r="BA441" i="19"/>
  <c r="BE441" i="19" s="1"/>
  <c r="BH630" i="19"/>
  <c r="BC309" i="19"/>
  <c r="BA347" i="19"/>
  <c r="BE347" i="19" s="1"/>
  <c r="BC375" i="19"/>
  <c r="BC487" i="19"/>
  <c r="BA33" i="19"/>
  <c r="BE33" i="19" s="1"/>
  <c r="BH180" i="19"/>
  <c r="BA371" i="19"/>
  <c r="BE371" i="19" s="1"/>
  <c r="BH434" i="19"/>
  <c r="BH603" i="19"/>
  <c r="BA761" i="19"/>
  <c r="BE761" i="19" s="1"/>
  <c r="BF761" i="19" s="1"/>
  <c r="BA5" i="19"/>
  <c r="BE5" i="19" s="1"/>
  <c r="BH8" i="19"/>
  <c r="BD8" i="19"/>
  <c r="BH13" i="19"/>
  <c r="BD13" i="19"/>
  <c r="BH15" i="19"/>
  <c r="BD15" i="19"/>
  <c r="BA22" i="19"/>
  <c r="BE22" i="19" s="1"/>
  <c r="BA24" i="19"/>
  <c r="BE24" i="19" s="1"/>
  <c r="BA26" i="19"/>
  <c r="BE26" i="19" s="1"/>
  <c r="BA28" i="19"/>
  <c r="BE28" i="19" s="1"/>
  <c r="BA32" i="19"/>
  <c r="BE32" i="19" s="1"/>
  <c r="BA42" i="19"/>
  <c r="BE42" i="19" s="1"/>
  <c r="BA47" i="19"/>
  <c r="BE47" i="19" s="1"/>
  <c r="BA52" i="19"/>
  <c r="BE52" i="19" s="1"/>
  <c r="BA55" i="19"/>
  <c r="BE55" i="19" s="1"/>
  <c r="BD97" i="19"/>
  <c r="BD112" i="19"/>
  <c r="BD114" i="19"/>
  <c r="BA119" i="19"/>
  <c r="BE119" i="19" s="1"/>
  <c r="BC121" i="19"/>
  <c r="BD646" i="19"/>
  <c r="BD371" i="19"/>
  <c r="BD36" i="19"/>
  <c r="BH43" i="19"/>
  <c r="BH48" i="19"/>
  <c r="BC48" i="19"/>
  <c r="BH53" i="19"/>
  <c r="BC53" i="19"/>
  <c r="BC56" i="19"/>
  <c r="BA61" i="19"/>
  <c r="BE61" i="19" s="1"/>
  <c r="BH65" i="19"/>
  <c r="BC65" i="19"/>
  <c r="BH69" i="19"/>
  <c r="BC69" i="19"/>
  <c r="BD73" i="19"/>
  <c r="BC76" i="19"/>
  <c r="BD77" i="19"/>
  <c r="BA79" i="19"/>
  <c r="BE79" i="19" s="1"/>
  <c r="BA80" i="19"/>
  <c r="BE80" i="19" s="1"/>
  <c r="BH82" i="19"/>
  <c r="BD82" i="19"/>
  <c r="BC84" i="19"/>
  <c r="BD85" i="19"/>
  <c r="BA88" i="19"/>
  <c r="BE88" i="19" s="1"/>
  <c r="BA94" i="19"/>
  <c r="BE94" i="19" s="1"/>
  <c r="BH97" i="19"/>
  <c r="BA97" i="19"/>
  <c r="BE97" i="19" s="1"/>
  <c r="BD99" i="19"/>
  <c r="BH101" i="19"/>
  <c r="BH103" i="19"/>
  <c r="BD103" i="19"/>
  <c r="BA103" i="19"/>
  <c r="BE103" i="19" s="1"/>
  <c r="BH110" i="19"/>
  <c r="BC111" i="19"/>
  <c r="BD124" i="19"/>
  <c r="BA124" i="19"/>
  <c r="BE124" i="19" s="1"/>
  <c r="BC282" i="19"/>
  <c r="BC285" i="19"/>
  <c r="BA287" i="19"/>
  <c r="BE287" i="19" s="1"/>
  <c r="BA289" i="19"/>
  <c r="BE289" i="19" s="1"/>
  <c r="BA290" i="19"/>
  <c r="BE290" i="19" s="1"/>
  <c r="BA291" i="19"/>
  <c r="BE291" i="19" s="1"/>
  <c r="BA292" i="19"/>
  <c r="BE292" i="19" s="1"/>
  <c r="BA293" i="19"/>
  <c r="BE293" i="19" s="1"/>
  <c r="BA297" i="19"/>
  <c r="BE297" i="19" s="1"/>
  <c r="BC298" i="19"/>
  <c r="BA299" i="19"/>
  <c r="BE299" i="19" s="1"/>
  <c r="BC300" i="19"/>
  <c r="BA301" i="19"/>
  <c r="BE301" i="19" s="1"/>
  <c r="BH308" i="19"/>
  <c r="BD308" i="19"/>
  <c r="BH311" i="19"/>
  <c r="BD311" i="19"/>
  <c r="BH315" i="19"/>
  <c r="BD315" i="19"/>
  <c r="BA317" i="19"/>
  <c r="BE317" i="19" s="1"/>
  <c r="BD320" i="19"/>
  <c r="BD322" i="19"/>
  <c r="BA328" i="19"/>
  <c r="BE328" i="19" s="1"/>
  <c r="BC329" i="19"/>
  <c r="BA330" i="19"/>
  <c r="BE330" i="19" s="1"/>
  <c r="BD336" i="19"/>
  <c r="BH338" i="19"/>
  <c r="BD338" i="19"/>
  <c r="BD340" i="19"/>
  <c r="BC352" i="19"/>
  <c r="BC354" i="19"/>
  <c r="BC356" i="19"/>
  <c r="BC358" i="19"/>
  <c r="BA384" i="19"/>
  <c r="BE384" i="19" s="1"/>
  <c r="BA385" i="19"/>
  <c r="BE385" i="19" s="1"/>
  <c r="BD394" i="19"/>
  <c r="BA396" i="19"/>
  <c r="BE396" i="19" s="1"/>
  <c r="BA398" i="19"/>
  <c r="BE398" i="19" s="1"/>
  <c r="BD402" i="19"/>
  <c r="BC403" i="19"/>
  <c r="BD404" i="19"/>
  <c r="BA406" i="19"/>
  <c r="BE406" i="19" s="1"/>
  <c r="BA407" i="19"/>
  <c r="BE407" i="19" s="1"/>
  <c r="BA410" i="19"/>
  <c r="BE410" i="19" s="1"/>
  <c r="BD412" i="19"/>
  <c r="BC414" i="19"/>
  <c r="BD415" i="19"/>
  <c r="BA417" i="19"/>
  <c r="BE417" i="19" s="1"/>
  <c r="BA418" i="19"/>
  <c r="BE418" i="19" s="1"/>
  <c r="BH420" i="19"/>
  <c r="BD420" i="19"/>
  <c r="BD422" i="19"/>
  <c r="BA422" i="19"/>
  <c r="BE422" i="19" s="1"/>
  <c r="BH429" i="19"/>
  <c r="BA442" i="19"/>
  <c r="BE442" i="19" s="1"/>
  <c r="BC442" i="19"/>
  <c r="BC447" i="19"/>
  <c r="BA447" i="19"/>
  <c r="BE447" i="19" s="1"/>
  <c r="BD458" i="19"/>
  <c r="BA458" i="19"/>
  <c r="BE458" i="19" s="1"/>
  <c r="BC493" i="19"/>
  <c r="BA493" i="19"/>
  <c r="BE493" i="19" s="1"/>
  <c r="BA136" i="19"/>
  <c r="BE136" i="19" s="1"/>
  <c r="BA140" i="19"/>
  <c r="BE140" i="19" s="1"/>
  <c r="BD143" i="19"/>
  <c r="BH146" i="19"/>
  <c r="BD146" i="19"/>
  <c r="BH150" i="19"/>
  <c r="BC150" i="19"/>
  <c r="BA152" i="19"/>
  <c r="BE152" i="19" s="1"/>
  <c r="BD155" i="19"/>
  <c r="BA166" i="19"/>
  <c r="BE166" i="19" s="1"/>
  <c r="BA169" i="19"/>
  <c r="BE169" i="19" s="1"/>
  <c r="BA188" i="19"/>
  <c r="BE188" i="19" s="1"/>
  <c r="BC206" i="19"/>
  <c r="BA208" i="19"/>
  <c r="BE208" i="19" s="1"/>
  <c r="BA215" i="19"/>
  <c r="BE215" i="19" s="1"/>
  <c r="BH218" i="19"/>
  <c r="BC220" i="19"/>
  <c r="BD223" i="19"/>
  <c r="BA227" i="19"/>
  <c r="BE227" i="19" s="1"/>
  <c r="BA230" i="19"/>
  <c r="BE230" i="19" s="1"/>
  <c r="BD234" i="19"/>
  <c r="BD238" i="19"/>
  <c r="BA241" i="19"/>
  <c r="BE241" i="19" s="1"/>
  <c r="BD245" i="19"/>
  <c r="BH248" i="19"/>
  <c r="BD248" i="19"/>
  <c r="BA251" i="19"/>
  <c r="BE251" i="19" s="1"/>
  <c r="BD253" i="19"/>
  <c r="BD255" i="19"/>
  <c r="BA257" i="19"/>
  <c r="BE257" i="19" s="1"/>
  <c r="BA260" i="19"/>
  <c r="BE260" i="19" s="1"/>
  <c r="BD271" i="19"/>
  <c r="BD274" i="19"/>
  <c r="BD276" i="19"/>
  <c r="BD279" i="19"/>
  <c r="BA451" i="19"/>
  <c r="BE451" i="19" s="1"/>
  <c r="BC465" i="19"/>
  <c r="BA465" i="19"/>
  <c r="BE465" i="19" s="1"/>
  <c r="BD98" i="19"/>
  <c r="BC100" i="19"/>
  <c r="BA101" i="19"/>
  <c r="BE101" i="19" s="1"/>
  <c r="BH105" i="19"/>
  <c r="BD105" i="19"/>
  <c r="BC107" i="19"/>
  <c r="BH108" i="19"/>
  <c r="BD108" i="19"/>
  <c r="BA110" i="19"/>
  <c r="BE110" i="19" s="1"/>
  <c r="BH113" i="19"/>
  <c r="BD113" i="19"/>
  <c r="BC115" i="19"/>
  <c r="BD116" i="19"/>
  <c r="BA120" i="19"/>
  <c r="BE120" i="19" s="1"/>
  <c r="BH123" i="19"/>
  <c r="BD123" i="19"/>
  <c r="BH129" i="19"/>
  <c r="BC129" i="19"/>
  <c r="BH131" i="19"/>
  <c r="BC131" i="19"/>
  <c r="BH133" i="19"/>
  <c r="BC133" i="19"/>
  <c r="BH137" i="19"/>
  <c r="BC137" i="19"/>
  <c r="BH141" i="19"/>
  <c r="BC141" i="19"/>
  <c r="BA142" i="19"/>
  <c r="BE142" i="19" s="1"/>
  <c r="BA143" i="19"/>
  <c r="BE143" i="19" s="1"/>
  <c r="BD145" i="19"/>
  <c r="BC147" i="19"/>
  <c r="BH148" i="19"/>
  <c r="BD148" i="19"/>
  <c r="BC149" i="19"/>
  <c r="BD151" i="19"/>
  <c r="BC153" i="19"/>
  <c r="BA155" i="19"/>
  <c r="BE155" i="19" s="1"/>
  <c r="BD165" i="19"/>
  <c r="BC167" i="19"/>
  <c r="BH168" i="19"/>
  <c r="BA168" i="19"/>
  <c r="BE168" i="19" s="1"/>
  <c r="BH191" i="19"/>
  <c r="BA191" i="19"/>
  <c r="BE191" i="19" s="1"/>
  <c r="BH206" i="19"/>
  <c r="BA206" i="19"/>
  <c r="BE206" i="19" s="1"/>
  <c r="BH211" i="19"/>
  <c r="BA211" i="19"/>
  <c r="BE211" i="19" s="1"/>
  <c r="BD216" i="19"/>
  <c r="BC218" i="19"/>
  <c r="BC219" i="19"/>
  <c r="BA220" i="19"/>
  <c r="BE220" i="19" s="1"/>
  <c r="BH221" i="19"/>
  <c r="BD221" i="19"/>
  <c r="BD224" i="19"/>
  <c r="BC225" i="19"/>
  <c r="BH226" i="19"/>
  <c r="BD226" i="19"/>
  <c r="BA228" i="19"/>
  <c r="BE228" i="19" s="1"/>
  <c r="BA233" i="19"/>
  <c r="BE233" i="19" s="1"/>
  <c r="BA234" i="19"/>
  <c r="BE234" i="19" s="1"/>
  <c r="BD237" i="19"/>
  <c r="BC239" i="19"/>
  <c r="BH240" i="19"/>
  <c r="BD240" i="19"/>
  <c r="BA243" i="19"/>
  <c r="BE243" i="19" s="1"/>
  <c r="BA245" i="19"/>
  <c r="BE245" i="19" s="1"/>
  <c r="BD247" i="19"/>
  <c r="BC249" i="19"/>
  <c r="BH250" i="19"/>
  <c r="BD250" i="19"/>
  <c r="BC252" i="19"/>
  <c r="BA253" i="19"/>
  <c r="BE253" i="19" s="1"/>
  <c r="BD256" i="19"/>
  <c r="BD258" i="19"/>
  <c r="BC263" i="19"/>
  <c r="BC264" i="19"/>
  <c r="BD266" i="19"/>
  <c r="BC267" i="19"/>
  <c r="BD270" i="19"/>
  <c r="BA271" i="19"/>
  <c r="BE271" i="19" s="1"/>
  <c r="BA274" i="19"/>
  <c r="BE274" i="19" s="1"/>
  <c r="BA276" i="19"/>
  <c r="BE276" i="19" s="1"/>
  <c r="BA279" i="19"/>
  <c r="BE279" i="19" s="1"/>
  <c r="BA282" i="19"/>
  <c r="BE282" i="19" s="1"/>
  <c r="BA284" i="19"/>
  <c r="BE284" i="19" s="1"/>
  <c r="BA286" i="19"/>
  <c r="BE286" i="19" s="1"/>
  <c r="BD303" i="19"/>
  <c r="BD305" i="19"/>
  <c r="BA307" i="19"/>
  <c r="BE307" i="19" s="1"/>
  <c r="BA310" i="19"/>
  <c r="BE310" i="19" s="1"/>
  <c r="BA313" i="19"/>
  <c r="BE313" i="19" s="1"/>
  <c r="BC316" i="19"/>
  <c r="BC317" i="19"/>
  <c r="BH318" i="19"/>
  <c r="BC318" i="19"/>
  <c r="BC319" i="19"/>
  <c r="BA329" i="19"/>
  <c r="BE329" i="19" s="1"/>
  <c r="BH331" i="19"/>
  <c r="BD333" i="19"/>
  <c r="BD335" i="19"/>
  <c r="BD337" i="19"/>
  <c r="BA339" i="19"/>
  <c r="BE339" i="19" s="1"/>
  <c r="BA341" i="19"/>
  <c r="BE341" i="19" s="1"/>
  <c r="BC342" i="19"/>
  <c r="BH343" i="19"/>
  <c r="BC344" i="19"/>
  <c r="BD348" i="19"/>
  <c r="BH350" i="19"/>
  <c r="BD350" i="19"/>
  <c r="BA352" i="19"/>
  <c r="BE352" i="19" s="1"/>
  <c r="BA354" i="19"/>
  <c r="BE354" i="19" s="1"/>
  <c r="BA356" i="19"/>
  <c r="BE356" i="19" s="1"/>
  <c r="BA358" i="19"/>
  <c r="BE358" i="19" s="1"/>
  <c r="BA360" i="19"/>
  <c r="BE360" i="19" s="1"/>
  <c r="BH364" i="19"/>
  <c r="BC364" i="19"/>
  <c r="BC367" i="19"/>
  <c r="BH377" i="19"/>
  <c r="BC377" i="19"/>
  <c r="BC385" i="19"/>
  <c r="BA387" i="19"/>
  <c r="BE387" i="19" s="1"/>
  <c r="BA392" i="19"/>
  <c r="BE392" i="19" s="1"/>
  <c r="BH395" i="19"/>
  <c r="BD395" i="19"/>
  <c r="BD400" i="19"/>
  <c r="BA403" i="19"/>
  <c r="BE403" i="19" s="1"/>
  <c r="BH405" i="19"/>
  <c r="BD405" i="19"/>
  <c r="BC407" i="19"/>
  <c r="BA409" i="19"/>
  <c r="BE409" i="19" s="1"/>
  <c r="BC410" i="19"/>
  <c r="BD411" i="19"/>
  <c r="BA413" i="19"/>
  <c r="BE413" i="19" s="1"/>
  <c r="BA414" i="19"/>
  <c r="BE414" i="19" s="1"/>
  <c r="BH416" i="19"/>
  <c r="BD416" i="19"/>
  <c r="BC418" i="19"/>
  <c r="BD423" i="19"/>
  <c r="BH428" i="19"/>
  <c r="BD428" i="19"/>
  <c r="BA428" i="19"/>
  <c r="BE428" i="19" s="1"/>
  <c r="BH443" i="19"/>
  <c r="BH445" i="19"/>
  <c r="BC445" i="19"/>
  <c r="BA445" i="19"/>
  <c r="BE445" i="19" s="1"/>
  <c r="BH449" i="19"/>
  <c r="BC449" i="19"/>
  <c r="BA449" i="19"/>
  <c r="BE449" i="19" s="1"/>
  <c r="BC119" i="19"/>
  <c r="BH120" i="19"/>
  <c r="BC124" i="19"/>
  <c r="BH127" i="19"/>
  <c r="BC128" i="19"/>
  <c r="BC130" i="19"/>
  <c r="BC132" i="19"/>
  <c r="BA144" i="19"/>
  <c r="BE144" i="19" s="1"/>
  <c r="BC152" i="19"/>
  <c r="BH153" i="19"/>
  <c r="BC157" i="19"/>
  <c r="BA165" i="19"/>
  <c r="BE165" i="19" s="1"/>
  <c r="BA218" i="19"/>
  <c r="BE218" i="19" s="1"/>
  <c r="BC227" i="19"/>
  <c r="BC230" i="19"/>
  <c r="BH233" i="19"/>
  <c r="BA236" i="19"/>
  <c r="BE236" i="19" s="1"/>
  <c r="BH237" i="19"/>
  <c r="BA237" i="19"/>
  <c r="BE237" i="19" s="1"/>
  <c r="BC241" i="19"/>
  <c r="BH243" i="19"/>
  <c r="BA246" i="19"/>
  <c r="BE246" i="19" s="1"/>
  <c r="BC251" i="19"/>
  <c r="BH256" i="19"/>
  <c r="BH266" i="19"/>
  <c r="BA303" i="19"/>
  <c r="BE303" i="19" s="1"/>
  <c r="BA305" i="19"/>
  <c r="BE305" i="19" s="1"/>
  <c r="BH321" i="19"/>
  <c r="BH323" i="19"/>
  <c r="BA333" i="19"/>
  <c r="BE333" i="19" s="1"/>
  <c r="BA335" i="19"/>
  <c r="BE335" i="19" s="1"/>
  <c r="BH345" i="19"/>
  <c r="BC346" i="19"/>
  <c r="BC349" i="19"/>
  <c r="BC351" i="19"/>
  <c r="BH362" i="19"/>
  <c r="BA363" i="19"/>
  <c r="BE363" i="19" s="1"/>
  <c r="BH388" i="19"/>
  <c r="BH393" i="19"/>
  <c r="BA395" i="19"/>
  <c r="BE395" i="19" s="1"/>
  <c r="BH397" i="19"/>
  <c r="BA405" i="19"/>
  <c r="BE405" i="19" s="1"/>
  <c r="BA416" i="19"/>
  <c r="BE416" i="19" s="1"/>
  <c r="BC422" i="19"/>
  <c r="BC431" i="19"/>
  <c r="BH436" i="19"/>
  <c r="BA438" i="19"/>
  <c r="BE438" i="19" s="1"/>
  <c r="BC451" i="19"/>
  <c r="BH454" i="19"/>
  <c r="BC455" i="19"/>
  <c r="BH456" i="19"/>
  <c r="BC457" i="19"/>
  <c r="BC474" i="19"/>
  <c r="BC491" i="19"/>
  <c r="BH492" i="19"/>
  <c r="BH502" i="19"/>
  <c r="BC516" i="19"/>
  <c r="BC520" i="19"/>
  <c r="BC528" i="19"/>
  <c r="BA533" i="19"/>
  <c r="BE533" i="19" s="1"/>
  <c r="BA540" i="19"/>
  <c r="BE540" i="19" s="1"/>
  <c r="BH560" i="19"/>
  <c r="BC564" i="19"/>
  <c r="BH569" i="19"/>
  <c r="BC570" i="19"/>
  <c r="BH572" i="19"/>
  <c r="BC573" i="19"/>
  <c r="BH577" i="19"/>
  <c r="BC578" i="19"/>
  <c r="BC580" i="19"/>
  <c r="BA581" i="19"/>
  <c r="BE581" i="19" s="1"/>
  <c r="BA587" i="19"/>
  <c r="BE587" i="19" s="1"/>
  <c r="BH589" i="19"/>
  <c r="BH590" i="19"/>
  <c r="BC458" i="19"/>
  <c r="BC460" i="19"/>
  <c r="BC462" i="19"/>
  <c r="BC464" i="19"/>
  <c r="BC473" i="19"/>
  <c r="BC499" i="19"/>
  <c r="BC501" i="19"/>
  <c r="BC507" i="19"/>
  <c r="BC510" i="19"/>
  <c r="BC512" i="19"/>
  <c r="BA520" i="19"/>
  <c r="BE520" i="19" s="1"/>
  <c r="BD524" i="19"/>
  <c r="BC529" i="19"/>
  <c r="BC566" i="19"/>
  <c r="BC571" i="19"/>
  <c r="BC576" i="19"/>
  <c r="BC579" i="19"/>
  <c r="BC582" i="19"/>
  <c r="BA589" i="19"/>
  <c r="BE589" i="19" s="1"/>
  <c r="BD598" i="19"/>
  <c r="BA598" i="19"/>
  <c r="BE598" i="19" s="1"/>
  <c r="BD606" i="19"/>
  <c r="BA606" i="19"/>
  <c r="BE606" i="19" s="1"/>
  <c r="BD638" i="19"/>
  <c r="BA638" i="19"/>
  <c r="BE638" i="19" s="1"/>
  <c r="BF638" i="19" s="1"/>
  <c r="BD419" i="19"/>
  <c r="BA421" i="19"/>
  <c r="BE421" i="19" s="1"/>
  <c r="BD426" i="19"/>
  <c r="BH440" i="19"/>
  <c r="BC440" i="19"/>
  <c r="BA444" i="19"/>
  <c r="BE444" i="19" s="1"/>
  <c r="BC446" i="19"/>
  <c r="BC448" i="19"/>
  <c r="BC456" i="19"/>
  <c r="BD465" i="19"/>
  <c r="BH467" i="19"/>
  <c r="BA467" i="19"/>
  <c r="BE467" i="19" s="1"/>
  <c r="BC468" i="19"/>
  <c r="BD471" i="19"/>
  <c r="BH475" i="19"/>
  <c r="BA475" i="19"/>
  <c r="BE475" i="19" s="1"/>
  <c r="BC476" i="19"/>
  <c r="BA478" i="19"/>
  <c r="BE478" i="19" s="1"/>
  <c r="BC479" i="19"/>
  <c r="BA483" i="19"/>
  <c r="BE483" i="19" s="1"/>
  <c r="BC484" i="19"/>
  <c r="BD486" i="19"/>
  <c r="BC488" i="19"/>
  <c r="BH489" i="19"/>
  <c r="BA489" i="19"/>
  <c r="BE489" i="19" s="1"/>
  <c r="BC492" i="19"/>
  <c r="BC496" i="19"/>
  <c r="BC503" i="19"/>
  <c r="BD504" i="19"/>
  <c r="BD508" i="19"/>
  <c r="BH514" i="19"/>
  <c r="BA514" i="19"/>
  <c r="BE514" i="19" s="1"/>
  <c r="BC515" i="19"/>
  <c r="BA517" i="19"/>
  <c r="BE517" i="19" s="1"/>
  <c r="BA518" i="19"/>
  <c r="BE518" i="19" s="1"/>
  <c r="BC521" i="19"/>
  <c r="BH522" i="19"/>
  <c r="BA522" i="19"/>
  <c r="BE522" i="19" s="1"/>
  <c r="BC523" i="19"/>
  <c r="BD526" i="19"/>
  <c r="BA529" i="19"/>
  <c r="BE529" i="19" s="1"/>
  <c r="BD533" i="19"/>
  <c r="BD537" i="19"/>
  <c r="BC538" i="19"/>
  <c r="BH538" i="19"/>
  <c r="BH539" i="19"/>
  <c r="BD540" i="19"/>
  <c r="BC542" i="19"/>
  <c r="BD544" i="19"/>
  <c r="BD547" i="19"/>
  <c r="BC548" i="19"/>
  <c r="BH550" i="19"/>
  <c r="BA550" i="19"/>
  <c r="BE550" i="19" s="1"/>
  <c r="BC556" i="19"/>
  <c r="BC558" i="19"/>
  <c r="BC562" i="19"/>
  <c r="BA563" i="19"/>
  <c r="BE563" i="19" s="1"/>
  <c r="BA566" i="19"/>
  <c r="BE566" i="19" s="1"/>
  <c r="BA568" i="19"/>
  <c r="BE568" i="19" s="1"/>
  <c r="BA579" i="19"/>
  <c r="BE579" i="19" s="1"/>
  <c r="BD581" i="19"/>
  <c r="BD618" i="19"/>
  <c r="BA618" i="19"/>
  <c r="BE618" i="19" s="1"/>
  <c r="BF618" i="19" s="1"/>
  <c r="BC583" i="19"/>
  <c r="BH584" i="19"/>
  <c r="BD584" i="19"/>
  <c r="BC585" i="19"/>
  <c r="BC587" i="19"/>
  <c r="BD590" i="19"/>
  <c r="BA591" i="19"/>
  <c r="BE591" i="19" s="1"/>
  <c r="BD593" i="19"/>
  <c r="BH596" i="19"/>
  <c r="BH600" i="19"/>
  <c r="BD600" i="19"/>
  <c r="BD609" i="19"/>
  <c r="BA619" i="19"/>
  <c r="BE619" i="19" s="1"/>
  <c r="BF619" i="19" s="1"/>
  <c r="BH625" i="19"/>
  <c r="BD625" i="19"/>
  <c r="BD628" i="19"/>
  <c r="BC631" i="19"/>
  <c r="BH633" i="19"/>
  <c r="BA633" i="19"/>
  <c r="BE633" i="19" s="1"/>
  <c r="BF633" i="19" s="1"/>
  <c r="BA636" i="19"/>
  <c r="BE636" i="19" s="1"/>
  <c r="BF636" i="19" s="1"/>
  <c r="BH638" i="19"/>
  <c r="BC642" i="19"/>
  <c r="BD643" i="19"/>
  <c r="BH648" i="19"/>
  <c r="BA648" i="19"/>
  <c r="BE648" i="19" s="1"/>
  <c r="BF648" i="19" s="1"/>
  <c r="BD652" i="19"/>
  <c r="BH656" i="19"/>
  <c r="BA656" i="19"/>
  <c r="BE656" i="19" s="1"/>
  <c r="BF656" i="19" s="1"/>
  <c r="BC658" i="19"/>
  <c r="BD661" i="19"/>
  <c r="BH664" i="19"/>
  <c r="BA664" i="19"/>
  <c r="BE664" i="19" s="1"/>
  <c r="BF664" i="19" s="1"/>
  <c r="BA673" i="19"/>
  <c r="BE673" i="19" s="1"/>
  <c r="BF673" i="19" s="1"/>
  <c r="BA675" i="19"/>
  <c r="BE675" i="19" s="1"/>
  <c r="BF675" i="19" s="1"/>
  <c r="BD676" i="19"/>
  <c r="BD680" i="19"/>
  <c r="BA682" i="19"/>
  <c r="BE682" i="19" s="1"/>
  <c r="BF682" i="19" s="1"/>
  <c r="BC684" i="19"/>
  <c r="BD686" i="19"/>
  <c r="BD690" i="19"/>
  <c r="BD692" i="19"/>
  <c r="BH698" i="19"/>
  <c r="BA698" i="19"/>
  <c r="BE698" i="19" s="1"/>
  <c r="BF698" i="19" s="1"/>
  <c r="BD702" i="19"/>
  <c r="BD704" i="19"/>
  <c r="BH706" i="19"/>
  <c r="BD706" i="19"/>
  <c r="BH708" i="19"/>
  <c r="BD709" i="19"/>
  <c r="BD710" i="19"/>
  <c r="BA712" i="19"/>
  <c r="BE712" i="19" s="1"/>
  <c r="BF712" i="19" s="1"/>
  <c r="BA715" i="19"/>
  <c r="BE715" i="19" s="1"/>
  <c r="BF715" i="19" s="1"/>
  <c r="BH717" i="19"/>
  <c r="BD717" i="19"/>
  <c r="BA719" i="19"/>
  <c r="BE719" i="19" s="1"/>
  <c r="BF719" i="19" s="1"/>
  <c r="BA721" i="19"/>
  <c r="BE721" i="19" s="1"/>
  <c r="BF721" i="19" s="1"/>
  <c r="BC722" i="19"/>
  <c r="BA723" i="19"/>
  <c r="BE723" i="19" s="1"/>
  <c r="BF723" i="19" s="1"/>
  <c r="BA724" i="19"/>
  <c r="BE724" i="19" s="1"/>
  <c r="BF724" i="19" s="1"/>
  <c r="BD725" i="19"/>
  <c r="BD727" i="19"/>
  <c r="BC728" i="19"/>
  <c r="BA732" i="19"/>
  <c r="BE732" i="19" s="1"/>
  <c r="BF732" i="19" s="1"/>
  <c r="BA734" i="19"/>
  <c r="BE734" i="19" s="1"/>
  <c r="BF734" i="19" s="1"/>
  <c r="BC735" i="19"/>
  <c r="BA736" i="19"/>
  <c r="BE736" i="19" s="1"/>
  <c r="BF736" i="19" s="1"/>
  <c r="BA747" i="19"/>
  <c r="BE747" i="19" s="1"/>
  <c r="BF747" i="19" s="1"/>
  <c r="BA749" i="19"/>
  <c r="BE749" i="19" s="1"/>
  <c r="BF749" i="19" s="1"/>
  <c r="BC752" i="19"/>
  <c r="BD755" i="19"/>
  <c r="BA759" i="19"/>
  <c r="BE759" i="19" s="1"/>
  <c r="BF759" i="19" s="1"/>
  <c r="BD763" i="19"/>
  <c r="BD766" i="19"/>
  <c r="BA766" i="19"/>
  <c r="BE766" i="19" s="1"/>
  <c r="BF766" i="19" s="1"/>
  <c r="BA599" i="19"/>
  <c r="BE599" i="19" s="1"/>
  <c r="BH607" i="19"/>
  <c r="BH611" i="19"/>
  <c r="BH616" i="19"/>
  <c r="BH639" i="19"/>
  <c r="BH652" i="19"/>
  <c r="BH688" i="19"/>
  <c r="BC693" i="19"/>
  <c r="BC695" i="19"/>
  <c r="BH700" i="19"/>
  <c r="BH709" i="19"/>
  <c r="BH730" i="19"/>
  <c r="BD737" i="19"/>
  <c r="BH739" i="19"/>
  <c r="BD739" i="19"/>
  <c r="BA742" i="19"/>
  <c r="BE742" i="19" s="1"/>
  <c r="BF742" i="19" s="1"/>
  <c r="BA745" i="19"/>
  <c r="BE745" i="19" s="1"/>
  <c r="BF745" i="19" s="1"/>
  <c r="BA753" i="19"/>
  <c r="BE753" i="19" s="1"/>
  <c r="BF753" i="19" s="1"/>
  <c r="BH755" i="19"/>
  <c r="BA755" i="19"/>
  <c r="BE755" i="19" s="1"/>
  <c r="BF755" i="19" s="1"/>
  <c r="BC756" i="19"/>
  <c r="BA757" i="19"/>
  <c r="BE757" i="19" s="1"/>
  <c r="BF757" i="19" s="1"/>
  <c r="BA763" i="19"/>
  <c r="BE763" i="19" s="1"/>
  <c r="BF763" i="19" s="1"/>
  <c r="BC774" i="19"/>
  <c r="BA774" i="19"/>
  <c r="BE774" i="19" s="1"/>
  <c r="BF774" i="19" s="1"/>
  <c r="BD592" i="19"/>
  <c r="BD594" i="19"/>
  <c r="BA596" i="19"/>
  <c r="BE596" i="19" s="1"/>
  <c r="BA597" i="19"/>
  <c r="BE597" i="19" s="1"/>
  <c r="BD604" i="19"/>
  <c r="BD608" i="19"/>
  <c r="BD613" i="19"/>
  <c r="BC615" i="19"/>
  <c r="BA623" i="19"/>
  <c r="BE623" i="19" s="1"/>
  <c r="BF623" i="19" s="1"/>
  <c r="BH626" i="19"/>
  <c r="BD626" i="19"/>
  <c r="BD632" i="19"/>
  <c r="BD634" i="19"/>
  <c r="BD637" i="19"/>
  <c r="BC638" i="19"/>
  <c r="BA642" i="19"/>
  <c r="BE642" i="19" s="1"/>
  <c r="BF642" i="19" s="1"/>
  <c r="BD647" i="19"/>
  <c r="BA650" i="19"/>
  <c r="BE650" i="19" s="1"/>
  <c r="BF650" i="19" s="1"/>
  <c r="BD655" i="19"/>
  <c r="BD659" i="19"/>
  <c r="BD663" i="19"/>
  <c r="BC664" i="19"/>
  <c r="BD672" i="19"/>
  <c r="BA674" i="19"/>
  <c r="BE674" i="19" s="1"/>
  <c r="BF674" i="19" s="1"/>
  <c r="BD677" i="19"/>
  <c r="BD681" i="19"/>
  <c r="BC682" i="19"/>
  <c r="BD685" i="19"/>
  <c r="BC687" i="19"/>
  <c r="BD689" i="19"/>
  <c r="BH691" i="19"/>
  <c r="BD691" i="19"/>
  <c r="BH694" i="19"/>
  <c r="BA694" i="19"/>
  <c r="BE694" i="19" s="1"/>
  <c r="BF694" i="19" s="1"/>
  <c r="BH696" i="19"/>
  <c r="BA696" i="19"/>
  <c r="BE696" i="19" s="1"/>
  <c r="BF696" i="19" s="1"/>
  <c r="BD697" i="19"/>
  <c r="BC698" i="19"/>
  <c r="BA699" i="19"/>
  <c r="BE699" i="19" s="1"/>
  <c r="BF699" i="19" s="1"/>
  <c r="BH703" i="19"/>
  <c r="BD703" i="19"/>
  <c r="BC704" i="19"/>
  <c r="BD705" i="19"/>
  <c r="BD707" i="19"/>
  <c r="BC709" i="19"/>
  <c r="BD711" i="19"/>
  <c r="BC712" i="19"/>
  <c r="BA714" i="19"/>
  <c r="BE714" i="19" s="1"/>
  <c r="BF714" i="19" s="1"/>
  <c r="BC715" i="19"/>
  <c r="BD716" i="19"/>
  <c r="BA718" i="19"/>
  <c r="BE718" i="19" s="1"/>
  <c r="BF718" i="19" s="1"/>
  <c r="BA722" i="19"/>
  <c r="BE722" i="19" s="1"/>
  <c r="BF722" i="19" s="1"/>
  <c r="BC724" i="19"/>
  <c r="BH726" i="19"/>
  <c r="BD726" i="19"/>
  <c r="BH728" i="19"/>
  <c r="BA728" i="19"/>
  <c r="BE728" i="19" s="1"/>
  <c r="BF728" i="19" s="1"/>
  <c r="BC729" i="19"/>
  <c r="BD731" i="19"/>
  <c r="BH737" i="19"/>
  <c r="BA737" i="19"/>
  <c r="BE737" i="19" s="1"/>
  <c r="BF737" i="19" s="1"/>
  <c r="BC738" i="19"/>
  <c r="BA740" i="19"/>
  <c r="BE740" i="19" s="1"/>
  <c r="BF740" i="19" s="1"/>
  <c r="BD741" i="19"/>
  <c r="BD744" i="19"/>
  <c r="BA748" i="19"/>
  <c r="BE748" i="19" s="1"/>
  <c r="BF748" i="19" s="1"/>
  <c r="BC749" i="19"/>
  <c r="BA750" i="19"/>
  <c r="BE750" i="19" s="1"/>
  <c r="BF750" i="19" s="1"/>
  <c r="BA751" i="19"/>
  <c r="BE751" i="19" s="1"/>
  <c r="BF751" i="19" s="1"/>
  <c r="BC754" i="19"/>
  <c r="BD758" i="19"/>
  <c r="BH762" i="19"/>
  <c r="BC762" i="19"/>
  <c r="BA764" i="19"/>
  <c r="BE764" i="19" s="1"/>
  <c r="BF764" i="19" s="1"/>
  <c r="BD772" i="19"/>
  <c r="BA772" i="19"/>
  <c r="BE772" i="19" s="1"/>
  <c r="BF772" i="19" s="1"/>
  <c r="BC768" i="19"/>
  <c r="BA770" i="19"/>
  <c r="BE770" i="19" s="1"/>
  <c r="BF770" i="19" s="1"/>
  <c r="BC773" i="19"/>
  <c r="BD774" i="19"/>
  <c r="BD777" i="19"/>
  <c r="BD785" i="19"/>
  <c r="BC786" i="19"/>
  <c r="BA787" i="19"/>
  <c r="BE787" i="19" s="1"/>
  <c r="BF787" i="19" s="1"/>
  <c r="BD798" i="19"/>
  <c r="BH799" i="19"/>
  <c r="BA799" i="19"/>
  <c r="BE799" i="19" s="1"/>
  <c r="BF799" i="19" s="1"/>
  <c r="BA805" i="19"/>
  <c r="BE805" i="19" s="1"/>
  <c r="BF805" i="19" s="1"/>
  <c r="BA808" i="19"/>
  <c r="BE808" i="19" s="1"/>
  <c r="BF808" i="19" s="1"/>
  <c r="BD812" i="19"/>
  <c r="BA814" i="19"/>
  <c r="BE814" i="19" s="1"/>
  <c r="BF814" i="19" s="1"/>
  <c r="BD817" i="19"/>
  <c r="BC823" i="19"/>
  <c r="BD824" i="19"/>
  <c r="BA826" i="19"/>
  <c r="BE826" i="19" s="1"/>
  <c r="BF826" i="19" s="1"/>
  <c r="BA830" i="19"/>
  <c r="BE830" i="19" s="1"/>
  <c r="BF830" i="19" s="1"/>
  <c r="BD833" i="19"/>
  <c r="BD837" i="19"/>
  <c r="BD839" i="19"/>
  <c r="BD843" i="19"/>
  <c r="BD847" i="19"/>
  <c r="BA928" i="19"/>
  <c r="BE928" i="19" s="1"/>
  <c r="BF928" i="19" s="1"/>
  <c r="BD930" i="19"/>
  <c r="BC942" i="19"/>
  <c r="BA944" i="19"/>
  <c r="BE944" i="19" s="1"/>
  <c r="BF944" i="19" s="1"/>
  <c r="BD780" i="19"/>
  <c r="BA785" i="19"/>
  <c r="BE785" i="19" s="1"/>
  <c r="BF785" i="19" s="1"/>
  <c r="BH789" i="19"/>
  <c r="BH792" i="19"/>
  <c r="BH795" i="19"/>
  <c r="BA795" i="19"/>
  <c r="BE795" i="19" s="1"/>
  <c r="BF795" i="19" s="1"/>
  <c r="BA798" i="19"/>
  <c r="BE798" i="19" s="1"/>
  <c r="BF798" i="19" s="1"/>
  <c r="BC809" i="19"/>
  <c r="BA812" i="19"/>
  <c r="BE812" i="19" s="1"/>
  <c r="BF812" i="19" s="1"/>
  <c r="BC815" i="19"/>
  <c r="BD816" i="19"/>
  <c r="BA817" i="19"/>
  <c r="BE817" i="19" s="1"/>
  <c r="BF817" i="19" s="1"/>
  <c r="BD818" i="19"/>
  <c r="BA821" i="19"/>
  <c r="BE821" i="19" s="1"/>
  <c r="BF821" i="19" s="1"/>
  <c r="BD825" i="19"/>
  <c r="BC827" i="19"/>
  <c r="BD831" i="19"/>
  <c r="BA833" i="19"/>
  <c r="BE833" i="19" s="1"/>
  <c r="BF833" i="19" s="1"/>
  <c r="BD835" i="19"/>
  <c r="BA837" i="19"/>
  <c r="BE837" i="19" s="1"/>
  <c r="BF837" i="19" s="1"/>
  <c r="BA839" i="19"/>
  <c r="BE839" i="19" s="1"/>
  <c r="BF839" i="19" s="1"/>
  <c r="BA844" i="19"/>
  <c r="BE844" i="19" s="1"/>
  <c r="BF844" i="19" s="1"/>
  <c r="BD845" i="19"/>
  <c r="BA854" i="19"/>
  <c r="BE854" i="19" s="1"/>
  <c r="BF854" i="19" s="1"/>
  <c r="BD855" i="19"/>
  <c r="BC856" i="19"/>
  <c r="BD858" i="19"/>
  <c r="BH860" i="19"/>
  <c r="BA860" i="19"/>
  <c r="BE860" i="19" s="1"/>
  <c r="BF860" i="19" s="1"/>
  <c r="BC865" i="19"/>
  <c r="BD885" i="19"/>
  <c r="BA891" i="19"/>
  <c r="BE891" i="19" s="1"/>
  <c r="BF891" i="19" s="1"/>
  <c r="BD899" i="19"/>
  <c r="BA902" i="19"/>
  <c r="BE902" i="19" s="1"/>
  <c r="BF902" i="19" s="1"/>
  <c r="BD905" i="19"/>
  <c r="BC906" i="19"/>
  <c r="BH918" i="19"/>
  <c r="BA918" i="19"/>
  <c r="BE918" i="19" s="1"/>
  <c r="BF918" i="19" s="1"/>
  <c r="BA921" i="19"/>
  <c r="BE921" i="19" s="1"/>
  <c r="BF921" i="19" s="1"/>
  <c r="BC926" i="19"/>
  <c r="BA930" i="19"/>
  <c r="BE930" i="19" s="1"/>
  <c r="BF930" i="19" s="1"/>
  <c r="BC932" i="19"/>
  <c r="BC934" i="19"/>
  <c r="BD936" i="19"/>
  <c r="BA943" i="19"/>
  <c r="BE943" i="19" s="1"/>
  <c r="BF943" i="19" s="1"/>
  <c r="BH946" i="19"/>
  <c r="BC767" i="19"/>
  <c r="BH771" i="19"/>
  <c r="BC772" i="19"/>
  <c r="BA775" i="19"/>
  <c r="BE775" i="19" s="1"/>
  <c r="BF775" i="19" s="1"/>
  <c r="BH778" i="19"/>
  <c r="BD779" i="19"/>
  <c r="BA780" i="19"/>
  <c r="BE780" i="19" s="1"/>
  <c r="BF780" i="19" s="1"/>
  <c r="BA781" i="19"/>
  <c r="BE781" i="19" s="1"/>
  <c r="BF781" i="19" s="1"/>
  <c r="BD782" i="19"/>
  <c r="BH788" i="19"/>
  <c r="BA788" i="19"/>
  <c r="BE788" i="19" s="1"/>
  <c r="BF788" i="19" s="1"/>
  <c r="BH797" i="19"/>
  <c r="BA803" i="19"/>
  <c r="BE803" i="19" s="1"/>
  <c r="BF803" i="19" s="1"/>
  <c r="BD806" i="19"/>
  <c r="BA810" i="19"/>
  <c r="BE810" i="19" s="1"/>
  <c r="BF810" i="19" s="1"/>
  <c r="BC813" i="19"/>
  <c r="BA818" i="19"/>
  <c r="BE818" i="19" s="1"/>
  <c r="BF818" i="19" s="1"/>
  <c r="BC819" i="19"/>
  <c r="BH822" i="19"/>
  <c r="BD822" i="19"/>
  <c r="BH825" i="19"/>
  <c r="BD828" i="19"/>
  <c r="BH832" i="19"/>
  <c r="BD834" i="19"/>
  <c r="BA835" i="19"/>
  <c r="BE835" i="19" s="1"/>
  <c r="BF835" i="19" s="1"/>
  <c r="BD838" i="19"/>
  <c r="BD840" i="19"/>
  <c r="BA845" i="19"/>
  <c r="BE845" i="19" s="1"/>
  <c r="BF845" i="19" s="1"/>
  <c r="BD848" i="19"/>
  <c r="BD849" i="19"/>
  <c r="BD850" i="19"/>
  <c r="BH854" i="19"/>
  <c r="BA858" i="19"/>
  <c r="BE858" i="19" s="1"/>
  <c r="BF858" i="19" s="1"/>
  <c r="BC859" i="19"/>
  <c r="BA863" i="19"/>
  <c r="BE863" i="19" s="1"/>
  <c r="BF863" i="19" s="1"/>
  <c r="BH880" i="19"/>
  <c r="BC880" i="19"/>
  <c r="BC881" i="19"/>
  <c r="BC886" i="19"/>
  <c r="BD889" i="19"/>
  <c r="BA896" i="19"/>
  <c r="BE896" i="19" s="1"/>
  <c r="BF896" i="19" s="1"/>
  <c r="BD897" i="19"/>
  <c r="BH901" i="19"/>
  <c r="BD901" i="19"/>
  <c r="BA904" i="19"/>
  <c r="BE904" i="19" s="1"/>
  <c r="BC909" i="19"/>
  <c r="BH937" i="19"/>
  <c r="BA937" i="19"/>
  <c r="BE937" i="19" s="1"/>
  <c r="BF937" i="19" s="1"/>
  <c r="BC903" i="19"/>
  <c r="BD903" i="19" s="1"/>
  <c r="BA905" i="19"/>
  <c r="BE905" i="19" s="1"/>
  <c r="BD907" i="19"/>
  <c r="BD908" i="19"/>
  <c r="BD911" i="19"/>
  <c r="BD915" i="19"/>
  <c r="BD917" i="19"/>
  <c r="BC919" i="19"/>
  <c r="BH920" i="19"/>
  <c r="BC923" i="19"/>
  <c r="BH924" i="19"/>
  <c r="BA924" i="19"/>
  <c r="BE924" i="19" s="1"/>
  <c r="BF924" i="19" s="1"/>
  <c r="BA926" i="19"/>
  <c r="BE926" i="19" s="1"/>
  <c r="BF926" i="19" s="1"/>
  <c r="BC928" i="19"/>
  <c r="BH929" i="19"/>
  <c r="BA929" i="19"/>
  <c r="BE929" i="19" s="1"/>
  <c r="BF929" i="19" s="1"/>
  <c r="BA932" i="19"/>
  <c r="BE932" i="19" s="1"/>
  <c r="BF932" i="19" s="1"/>
  <c r="BA934" i="19"/>
  <c r="BE934" i="19" s="1"/>
  <c r="BF934" i="19" s="1"/>
  <c r="BA936" i="19"/>
  <c r="BE936" i="19" s="1"/>
  <c r="BF936" i="19" s="1"/>
  <c r="BA938" i="19"/>
  <c r="BE938" i="19" s="1"/>
  <c r="BF938" i="19" s="1"/>
  <c r="BA939" i="19"/>
  <c r="BE939" i="19" s="1"/>
  <c r="BF939" i="19" s="1"/>
  <c r="BD940" i="19"/>
  <c r="BD945" i="19"/>
  <c r="BA829" i="19"/>
  <c r="BE829" i="19" s="1"/>
  <c r="BF829" i="19" s="1"/>
  <c r="BC852" i="19"/>
  <c r="BC857" i="19"/>
  <c r="BC860" i="19"/>
  <c r="BC864" i="19"/>
  <c r="BC884" i="19"/>
  <c r="BC894" i="19"/>
  <c r="BC902" i="19"/>
  <c r="BC916" i="19"/>
  <c r="BC921" i="19"/>
  <c r="BD425" i="19"/>
  <c r="BD671" i="19"/>
  <c r="BD549" i="19"/>
  <c r="BD614" i="19"/>
  <c r="BD199" i="19"/>
  <c r="BD121" i="19"/>
  <c r="BD372" i="19"/>
  <c r="BC18" i="19"/>
  <c r="BD18" i="19" s="1"/>
  <c r="BA34" i="19"/>
  <c r="BE34" i="19" s="1"/>
  <c r="BF34" i="19" s="1"/>
  <c r="BC39" i="19"/>
  <c r="BA40" i="19"/>
  <c r="BE40" i="19" s="1"/>
  <c r="BF40" i="19" s="1"/>
  <c r="BC46" i="19"/>
  <c r="BD231" i="19"/>
  <c r="BD296" i="19"/>
  <c r="BD325" i="19"/>
  <c r="BC389" i="19"/>
  <c r="BC430" i="19"/>
  <c r="BC482" i="19"/>
  <c r="BC527" i="19"/>
  <c r="BA532" i="19"/>
  <c r="BE532" i="19" s="1"/>
  <c r="BC565" i="19"/>
  <c r="BA575" i="19"/>
  <c r="BE575" i="19" s="1"/>
  <c r="BC610" i="19"/>
  <c r="BA620" i="19"/>
  <c r="BE620" i="19" s="1"/>
  <c r="BF620" i="19" s="1"/>
  <c r="BC621" i="19"/>
  <c r="BH622" i="19"/>
  <c r="BA679" i="19"/>
  <c r="BE679" i="19" s="1"/>
  <c r="BF679" i="19" s="1"/>
  <c r="BC862" i="19"/>
  <c r="BC890" i="19"/>
  <c r="BA895" i="19"/>
  <c r="BE895" i="19" s="1"/>
  <c r="BF895" i="19" s="1"/>
  <c r="BD86" i="19"/>
  <c r="BD181" i="19"/>
  <c r="BD295" i="19"/>
  <c r="BD481" i="19"/>
  <c r="BD784" i="19"/>
  <c r="BC154" i="19"/>
  <c r="BC179" i="19"/>
  <c r="BC185" i="19"/>
  <c r="BD198" i="19"/>
  <c r="BD222" i="19"/>
  <c r="BD605" i="19"/>
  <c r="BC871" i="19"/>
  <c r="BD877" i="19"/>
  <c r="BD125" i="19"/>
  <c r="BC182" i="19"/>
  <c r="BD204" i="19"/>
  <c r="BC332" i="19"/>
  <c r="BD332" i="19" s="1"/>
  <c r="BC534" i="19"/>
  <c r="BC640" i="19"/>
  <c r="BD641" i="19"/>
  <c r="BC666" i="19"/>
  <c r="BD666" i="19" s="1"/>
  <c r="BD873" i="19"/>
  <c r="BC164" i="19"/>
  <c r="BC194" i="19"/>
  <c r="BD366" i="19"/>
  <c r="BD376" i="19"/>
  <c r="BD545" i="19"/>
  <c r="BC629" i="19"/>
  <c r="BD670" i="19"/>
  <c r="BC868" i="19"/>
  <c r="BD872" i="19"/>
  <c r="BC35" i="19"/>
  <c r="BC126" i="19"/>
  <c r="BD126" i="19" s="1"/>
  <c r="BC162" i="19"/>
  <c r="BA163" i="19"/>
  <c r="BE163" i="19" s="1"/>
  <c r="BC170" i="19"/>
  <c r="BA171" i="19"/>
  <c r="BE171" i="19" s="1"/>
  <c r="BC172" i="19"/>
  <c r="BA173" i="19"/>
  <c r="BE173" i="19" s="1"/>
  <c r="BC174" i="19"/>
  <c r="BA193" i="19"/>
  <c r="BE193" i="19" s="1"/>
  <c r="BH574" i="19"/>
  <c r="BA574" i="19"/>
  <c r="BE574" i="19" s="1"/>
  <c r="BC601" i="19"/>
  <c r="BH614" i="19"/>
  <c r="BA665" i="19"/>
  <c r="BE665" i="19" s="1"/>
  <c r="BF665" i="19" s="1"/>
  <c r="BC668" i="19"/>
  <c r="BH671" i="19"/>
  <c r="BA870" i="19"/>
  <c r="BE870" i="19" s="1"/>
  <c r="BF870" i="19" s="1"/>
  <c r="BD196" i="19"/>
  <c r="BD212" i="19"/>
  <c r="BD380" i="19"/>
  <c r="BD382" i="19"/>
  <c r="BD452" i="19"/>
  <c r="BD561" i="19"/>
  <c r="BD612" i="19"/>
  <c r="BC202" i="19"/>
  <c r="BC209" i="19"/>
  <c r="BC261" i="19"/>
  <c r="BC441" i="19"/>
  <c r="BC595" i="19"/>
  <c r="BC874" i="19"/>
  <c r="BD11" i="19"/>
  <c r="BD50" i="19"/>
  <c r="BD195" i="19"/>
  <c r="BD259" i="19"/>
  <c r="BD265" i="19"/>
  <c r="BD309" i="19"/>
  <c r="BC627" i="19"/>
  <c r="BD627" i="19" s="1"/>
  <c r="BC9" i="19"/>
  <c r="BF17" i="19"/>
  <c r="BC156" i="19"/>
  <c r="BC213" i="19"/>
  <c r="BC272" i="19"/>
  <c r="BC324" i="19"/>
  <c r="BD324" i="19" s="1"/>
  <c r="BD389" i="19"/>
  <c r="BD430" i="19"/>
  <c r="BD482" i="19"/>
  <c r="BD527" i="19"/>
  <c r="BD565" i="19"/>
  <c r="BD610" i="19"/>
  <c r="BD621" i="19"/>
  <c r="BC853" i="19"/>
  <c r="BD862" i="19"/>
  <c r="BC887" i="19"/>
  <c r="BD890" i="19"/>
  <c r="BC41" i="19"/>
  <c r="BD41" i="19" s="1"/>
  <c r="BC160" i="19"/>
  <c r="BD160" i="19" s="1"/>
  <c r="BC281" i="19"/>
  <c r="BD281" i="19" s="1"/>
  <c r="BC365" i="19"/>
  <c r="BD365" i="19" s="1"/>
  <c r="BC498" i="19"/>
  <c r="BD498" i="19" s="1"/>
  <c r="BD154" i="19"/>
  <c r="BD179" i="19"/>
  <c r="BD185" i="19"/>
  <c r="BC200" i="19"/>
  <c r="BD200" i="19" s="1"/>
  <c r="BC326" i="19"/>
  <c r="BD326" i="19" s="1"/>
  <c r="BC869" i="19"/>
  <c r="BD869" i="19" s="1"/>
  <c r="BD871" i="19"/>
  <c r="BC16" i="19"/>
  <c r="BD16" i="19" s="1"/>
  <c r="BC159" i="19"/>
  <c r="BD159" i="19" s="1"/>
  <c r="BD182" i="19"/>
  <c r="BC186" i="19"/>
  <c r="BD186" i="19" s="1"/>
  <c r="BD534" i="19"/>
  <c r="BD640" i="19"/>
  <c r="BC662" i="19"/>
  <c r="BD662" i="19" s="1"/>
  <c r="BD164" i="19"/>
  <c r="BD194" i="19"/>
  <c r="BC361" i="19"/>
  <c r="BD361" i="19" s="1"/>
  <c r="BC370" i="19"/>
  <c r="BD370" i="19" s="1"/>
  <c r="BC379" i="19"/>
  <c r="BD379" i="19" s="1"/>
  <c r="BC617" i="19"/>
  <c r="BD617" i="19" s="1"/>
  <c r="BD629" i="19"/>
  <c r="BC867" i="19"/>
  <c r="BD867" i="19" s="1"/>
  <c r="BD868" i="19"/>
  <c r="BC878" i="19"/>
  <c r="BD878" i="19" s="1"/>
  <c r="BD35" i="19"/>
  <c r="BD162" i="19"/>
  <c r="BD170" i="19"/>
  <c r="BD172" i="19"/>
  <c r="BD174" i="19"/>
  <c r="BC201" i="19"/>
  <c r="BD201" i="19" s="1"/>
  <c r="BC314" i="19"/>
  <c r="BD314" i="19" s="1"/>
  <c r="BC470" i="19"/>
  <c r="BD470" i="19" s="1"/>
  <c r="BC557" i="19"/>
  <c r="BD557" i="19" s="1"/>
  <c r="BD601" i="19"/>
  <c r="BC602" i="19"/>
  <c r="BD602" i="19" s="1"/>
  <c r="BC667" i="19"/>
  <c r="BD667" i="19" s="1"/>
  <c r="BD668" i="19"/>
  <c r="BC19" i="19"/>
  <c r="BD19" i="19" s="1"/>
  <c r="BC178" i="19"/>
  <c r="BD178" i="19" s="1"/>
  <c r="BC205" i="19"/>
  <c r="BD205" i="19" s="1"/>
  <c r="BC378" i="19"/>
  <c r="BD378" i="19" s="1"/>
  <c r="BC381" i="19"/>
  <c r="BD381" i="19" s="1"/>
  <c r="BC433" i="19"/>
  <c r="BD433" i="19" s="1"/>
  <c r="BC490" i="19"/>
  <c r="BD490" i="19" s="1"/>
  <c r="BC588" i="19"/>
  <c r="BD588" i="19" s="1"/>
  <c r="BD20" i="19"/>
  <c r="BD102" i="19"/>
  <c r="BD202" i="19"/>
  <c r="BD209" i="19"/>
  <c r="BD261" i="19"/>
  <c r="BD441" i="19"/>
  <c r="BD595" i="19"/>
  <c r="BC760" i="19"/>
  <c r="BD760" i="19" s="1"/>
  <c r="BD874" i="19"/>
  <c r="BF11" i="19"/>
  <c r="BC12" i="19"/>
  <c r="BD12" i="19" s="1"/>
  <c r="BC190" i="19"/>
  <c r="BD190" i="19" s="1"/>
  <c r="BC210" i="19"/>
  <c r="BD210" i="19" s="1"/>
  <c r="BC262" i="19"/>
  <c r="BD262" i="19" s="1"/>
  <c r="BA265" i="19"/>
  <c r="BE265" i="19" s="1"/>
  <c r="BC278" i="19"/>
  <c r="BD278" i="19" s="1"/>
  <c r="BA309" i="19"/>
  <c r="BE309" i="19" s="1"/>
  <c r="BC347" i="19"/>
  <c r="BD347" i="19" s="1"/>
  <c r="BD375" i="19"/>
  <c r="BD487" i="19"/>
  <c r="BC876" i="19"/>
  <c r="BD876" i="19" s="1"/>
  <c r="BD9" i="19"/>
  <c r="BF33" i="19"/>
  <c r="BD39" i="19"/>
  <c r="BD46" i="19"/>
  <c r="BC89" i="19"/>
  <c r="BF18" i="19"/>
  <c r="BC34" i="19"/>
  <c r="BF39" i="19"/>
  <c r="BC40" i="19"/>
  <c r="BH156" i="19"/>
  <c r="BH213" i="19"/>
  <c r="BH272" i="19"/>
  <c r="BH324" i="19"/>
  <c r="BC427" i="19"/>
  <c r="BC437" i="19"/>
  <c r="BC525" i="19"/>
  <c r="BC532" i="19"/>
  <c r="BC575" i="19"/>
  <c r="BC620" i="19"/>
  <c r="BD620" i="19" s="1"/>
  <c r="BC679" i="19"/>
  <c r="BH853" i="19"/>
  <c r="BC882" i="19"/>
  <c r="BH887" i="19"/>
  <c r="BC895" i="19"/>
  <c r="BH41" i="19"/>
  <c r="BH160" i="19"/>
  <c r="BH281" i="19"/>
  <c r="BH365" i="19"/>
  <c r="BH498" i="19"/>
  <c r="BC118" i="19"/>
  <c r="BD118" i="19" s="1"/>
  <c r="BC175" i="19"/>
  <c r="BD175" i="19" s="1"/>
  <c r="BC184" i="19"/>
  <c r="BD184" i="19" s="1"/>
  <c r="BC187" i="19"/>
  <c r="BD187" i="19" s="1"/>
  <c r="BH200" i="19"/>
  <c r="BH326" i="19"/>
  <c r="BH869" i="19"/>
  <c r="BC879" i="19"/>
  <c r="BD879" i="19" s="1"/>
  <c r="BH16" i="19"/>
  <c r="BH159" i="19"/>
  <c r="BC161" i="19"/>
  <c r="BD161" i="19" s="1"/>
  <c r="BC432" i="19"/>
  <c r="BD432" i="19" s="1"/>
  <c r="BC551" i="19"/>
  <c r="BD551" i="19" s="1"/>
  <c r="BC653" i="19"/>
  <c r="BD653" i="19" s="1"/>
  <c r="BH662" i="19"/>
  <c r="BC92" i="19"/>
  <c r="BD92" i="19" s="1"/>
  <c r="BC183" i="19"/>
  <c r="BD183" i="19" s="1"/>
  <c r="BC294" i="19"/>
  <c r="BD294" i="19" s="1"/>
  <c r="BH361" i="19"/>
  <c r="BH370" i="19"/>
  <c r="BH379" i="19"/>
  <c r="BH617" i="19"/>
  <c r="BC783" i="19"/>
  <c r="BD783" i="19" s="1"/>
  <c r="BH867" i="19"/>
  <c r="BC875" i="19"/>
  <c r="BD875" i="19" s="1"/>
  <c r="BH878" i="19"/>
  <c r="BF35" i="19"/>
  <c r="BC58" i="19"/>
  <c r="BD58" i="19" s="1"/>
  <c r="BC158" i="19"/>
  <c r="BD158" i="19" s="1"/>
  <c r="BC163" i="19"/>
  <c r="BD163" i="19" s="1"/>
  <c r="BC171" i="19"/>
  <c r="BD171" i="19" s="1"/>
  <c r="BC173" i="19"/>
  <c r="BD173" i="19" s="1"/>
  <c r="BC193" i="19"/>
  <c r="BD193" i="19" s="1"/>
  <c r="BH201" i="19"/>
  <c r="BH314" i="19"/>
  <c r="BH470" i="19"/>
  <c r="BH557" i="19"/>
  <c r="BC574" i="19"/>
  <c r="BD574" i="19" s="1"/>
  <c r="BC665" i="19"/>
  <c r="BD665" i="19" s="1"/>
  <c r="BH667" i="19"/>
  <c r="BC870" i="19"/>
  <c r="BD870" i="19" s="1"/>
  <c r="BH19" i="19"/>
  <c r="BH178" i="19"/>
  <c r="BH205" i="19"/>
  <c r="BH378" i="19"/>
  <c r="BH381" i="19"/>
  <c r="BH433" i="19"/>
  <c r="BH490" i="19"/>
  <c r="BH588" i="19"/>
  <c r="BC75" i="19"/>
  <c r="BD75" i="19" s="1"/>
  <c r="BC192" i="19"/>
  <c r="BD192" i="19" s="1"/>
  <c r="BC203" i="19"/>
  <c r="BD203" i="19" s="1"/>
  <c r="BC232" i="19"/>
  <c r="BD232" i="19" s="1"/>
  <c r="BC288" i="19"/>
  <c r="BD288" i="19" s="1"/>
  <c r="BC453" i="19"/>
  <c r="BD453" i="19" s="1"/>
  <c r="BC630" i="19"/>
  <c r="BD630" i="19" s="1"/>
  <c r="BH760" i="19"/>
  <c r="BH12" i="19"/>
  <c r="BH190" i="19"/>
  <c r="BH210" i="19"/>
  <c r="BH262" i="19"/>
  <c r="BH278" i="19"/>
  <c r="BH347" i="19"/>
  <c r="BC439" i="19"/>
  <c r="BD439" i="19" s="1"/>
  <c r="BC554" i="19"/>
  <c r="BD554" i="19" s="1"/>
  <c r="BH876" i="19"/>
  <c r="BF9" i="19"/>
  <c r="BC37" i="19"/>
  <c r="BD37" i="19" s="1"/>
  <c r="BD63" i="19"/>
  <c r="BH34" i="19"/>
  <c r="BH40" i="19"/>
  <c r="BH427" i="19"/>
  <c r="BH437" i="19"/>
  <c r="BH525" i="19"/>
  <c r="BH532" i="19"/>
  <c r="BH575" i="19"/>
  <c r="BF41" i="19"/>
  <c r="BH118" i="19"/>
  <c r="BH175" i="19"/>
  <c r="BH184" i="19"/>
  <c r="BH187" i="19"/>
  <c r="BF16" i="19"/>
  <c r="BH432" i="19"/>
  <c r="BH551" i="19"/>
  <c r="BH92" i="19"/>
  <c r="BH183" i="19"/>
  <c r="BH294" i="19"/>
  <c r="BH58" i="19"/>
  <c r="BH158" i="19"/>
  <c r="BH163" i="19"/>
  <c r="BH171" i="19"/>
  <c r="BH173" i="19"/>
  <c r="BH193" i="19"/>
  <c r="BF19" i="19"/>
  <c r="BF20" i="19"/>
  <c r="BH75" i="19"/>
  <c r="BH192" i="19"/>
  <c r="BH203" i="19"/>
  <c r="BH232" i="19"/>
  <c r="BH288" i="19"/>
  <c r="BH453" i="19"/>
  <c r="BF12" i="19"/>
  <c r="BH439" i="19"/>
  <c r="BH554" i="19"/>
  <c r="BD17" i="19"/>
  <c r="BC180" i="19"/>
  <c r="BD180" i="19" s="1"/>
  <c r="BA180" i="19"/>
  <c r="BE180" i="19" s="1"/>
  <c r="BC494" i="19"/>
  <c r="BD494" i="19" s="1"/>
  <c r="BC624" i="19"/>
  <c r="BD624" i="19" s="1"/>
  <c r="BD644" i="19"/>
  <c r="BC761" i="19"/>
  <c r="BD761" i="19" s="1"/>
  <c r="BD4" i="19"/>
  <c r="BD6" i="19"/>
  <c r="BC7" i="19"/>
  <c r="BF8" i="19"/>
  <c r="BC10" i="19"/>
  <c r="BF13" i="19"/>
  <c r="BC14" i="19"/>
  <c r="BF15" i="19"/>
  <c r="BF22" i="19"/>
  <c r="BD23" i="19"/>
  <c r="BD25" i="19"/>
  <c r="BD27" i="19"/>
  <c r="BD29" i="19"/>
  <c r="BD31" i="19"/>
  <c r="BD38" i="19"/>
  <c r="BD43" i="19"/>
  <c r="BD45" i="19"/>
  <c r="BD48" i="19"/>
  <c r="BD51" i="19"/>
  <c r="BD53" i="19"/>
  <c r="BD56" i="19"/>
  <c r="BC60" i="19"/>
  <c r="BC62" i="19"/>
  <c r="BD65" i="19"/>
  <c r="BD67" i="19"/>
  <c r="BD69" i="19"/>
  <c r="BD71" i="19"/>
  <c r="BC74" i="19"/>
  <c r="BC77" i="19"/>
  <c r="BC79" i="19"/>
  <c r="BC81" i="19"/>
  <c r="BC83" i="19"/>
  <c r="BC85" i="19"/>
  <c r="BC88" i="19"/>
  <c r="BD93" i="19"/>
  <c r="BD95" i="19"/>
  <c r="BC98" i="19"/>
  <c r="BD100" i="19"/>
  <c r="BC101" i="19"/>
  <c r="BC104" i="19"/>
  <c r="BC106" i="19"/>
  <c r="BC108" i="19"/>
  <c r="BC110" i="19"/>
  <c r="BC112" i="19"/>
  <c r="BC114" i="19"/>
  <c r="BC116" i="19"/>
  <c r="BC120" i="19"/>
  <c r="BC123" i="19"/>
  <c r="BC127" i="19"/>
  <c r="BD129" i="19"/>
  <c r="BD131" i="19"/>
  <c r="BD133" i="19"/>
  <c r="BD135" i="19"/>
  <c r="BD137" i="19"/>
  <c r="BD139" i="19"/>
  <c r="BD141" i="19"/>
  <c r="BC142" i="19"/>
  <c r="BC144" i="19"/>
  <c r="BC146" i="19"/>
  <c r="BC148" i="19"/>
  <c r="BD150" i="19"/>
  <c r="BC151" i="19"/>
  <c r="BC168" i="19"/>
  <c r="BC177" i="19"/>
  <c r="BC191" i="19"/>
  <c r="BD206" i="19"/>
  <c r="BC207" i="19"/>
  <c r="BC211" i="19"/>
  <c r="BC215" i="19"/>
  <c r="BA216" i="19"/>
  <c r="BE216" i="19" s="1"/>
  <c r="BC217" i="19"/>
  <c r="BH224" i="19"/>
  <c r="BA224" i="19"/>
  <c r="BE224" i="19" s="1"/>
  <c r="BH227" i="19"/>
  <c r="BC228" i="19"/>
  <c r="BA229" i="19"/>
  <c r="BE229" i="19" s="1"/>
  <c r="BH234" i="19"/>
  <c r="BC235" i="19"/>
  <c r="BH241" i="19"/>
  <c r="BA244" i="19"/>
  <c r="BE244" i="19" s="1"/>
  <c r="BH247" i="19"/>
  <c r="BH249" i="19"/>
  <c r="BH251" i="19"/>
  <c r="BH253" i="19"/>
  <c r="BC254" i="19"/>
  <c r="BA255" i="19"/>
  <c r="BE255" i="19" s="1"/>
  <c r="BH258" i="19"/>
  <c r="BA258" i="19"/>
  <c r="BE258" i="19" s="1"/>
  <c r="BC260" i="19"/>
  <c r="BC266" i="19"/>
  <c r="BH17" i="19"/>
  <c r="BH37" i="19"/>
  <c r="BC242" i="19"/>
  <c r="BD242" i="19" s="1"/>
  <c r="BH371" i="19"/>
  <c r="BH494" i="19"/>
  <c r="BH624" i="19"/>
  <c r="BA644" i="19"/>
  <c r="BE644" i="19" s="1"/>
  <c r="BF644" i="19" s="1"/>
  <c r="BC660" i="19"/>
  <c r="BD660" i="19" s="1"/>
  <c r="BH761" i="19"/>
  <c r="BA4" i="19"/>
  <c r="BC5" i="19"/>
  <c r="BF6" i="19"/>
  <c r="BA6" i="19"/>
  <c r="BE6" i="19" s="1"/>
  <c r="BH10" i="19"/>
  <c r="BH14" i="19"/>
  <c r="BH21" i="19"/>
  <c r="BD21" i="19"/>
  <c r="BA23" i="19"/>
  <c r="BE23" i="19" s="1"/>
  <c r="BF23" i="19" s="1"/>
  <c r="BA25" i="19"/>
  <c r="BE25" i="19" s="1"/>
  <c r="BF25" i="19" s="1"/>
  <c r="BC26" i="19"/>
  <c r="BA27" i="19"/>
  <c r="BE27" i="19" s="1"/>
  <c r="BF27" i="19" s="1"/>
  <c r="BC28" i="19"/>
  <c r="BA29" i="19"/>
  <c r="BE29" i="19" s="1"/>
  <c r="BF29" i="19" s="1"/>
  <c r="BC30" i="19"/>
  <c r="BA31" i="19"/>
  <c r="BE31" i="19" s="1"/>
  <c r="BF31" i="19" s="1"/>
  <c r="BC32" i="19"/>
  <c r="BF36" i="19"/>
  <c r="BH38" i="19"/>
  <c r="BA38" i="19"/>
  <c r="BE38" i="19" s="1"/>
  <c r="BF38" i="19" s="1"/>
  <c r="BC42" i="19"/>
  <c r="BA43" i="19"/>
  <c r="BE43" i="19" s="1"/>
  <c r="BF43" i="19" s="1"/>
  <c r="BC44" i="19"/>
  <c r="BA45" i="19"/>
  <c r="BE45" i="19" s="1"/>
  <c r="BC47" i="19"/>
  <c r="BA48" i="19"/>
  <c r="BE48" i="19" s="1"/>
  <c r="BC49" i="19"/>
  <c r="BA51" i="19"/>
  <c r="BE51" i="19" s="1"/>
  <c r="BC52" i="19"/>
  <c r="BA53" i="19"/>
  <c r="BE53" i="19" s="1"/>
  <c r="BC54" i="19"/>
  <c r="BH56" i="19"/>
  <c r="BA56" i="19"/>
  <c r="BE56" i="19" s="1"/>
  <c r="BC57" i="19"/>
  <c r="BH60" i="19"/>
  <c r="BH62" i="19"/>
  <c r="BC64" i="19"/>
  <c r="BA65" i="19"/>
  <c r="BE65" i="19" s="1"/>
  <c r="BC66" i="19"/>
  <c r="BA67" i="19"/>
  <c r="BE67" i="19" s="1"/>
  <c r="BC68" i="19"/>
  <c r="BA69" i="19"/>
  <c r="BE69" i="19" s="1"/>
  <c r="BC70" i="19"/>
  <c r="BA71" i="19"/>
  <c r="BE71" i="19" s="1"/>
  <c r="BC72" i="19"/>
  <c r="BH74" i="19"/>
  <c r="BH77" i="19"/>
  <c r="BH79" i="19"/>
  <c r="BH81" i="19"/>
  <c r="BH83" i="19"/>
  <c r="BH85" i="19"/>
  <c r="BH88" i="19"/>
  <c r="BC91" i="19"/>
  <c r="BA93" i="19"/>
  <c r="BE93" i="19" s="1"/>
  <c r="BC94" i="19"/>
  <c r="BA95" i="19"/>
  <c r="BE95" i="19" s="1"/>
  <c r="BC96" i="19"/>
  <c r="BA100" i="19"/>
  <c r="BE100" i="19" s="1"/>
  <c r="BH116" i="19"/>
  <c r="BC117" i="19"/>
  <c r="BC122" i="19"/>
  <c r="BD127" i="19"/>
  <c r="BA133" i="19"/>
  <c r="BE133" i="19" s="1"/>
  <c r="BC134" i="19"/>
  <c r="BA135" i="19"/>
  <c r="BE135" i="19" s="1"/>
  <c r="BC136" i="19"/>
  <c r="BA137" i="19"/>
  <c r="BE137" i="19" s="1"/>
  <c r="BC138" i="19"/>
  <c r="BA139" i="19"/>
  <c r="BE139" i="19" s="1"/>
  <c r="BC140" i="19"/>
  <c r="BA141" i="19"/>
  <c r="BE141" i="19" s="1"/>
  <c r="BA150" i="19"/>
  <c r="BE150" i="19" s="1"/>
  <c r="BD153" i="19"/>
  <c r="BD157" i="19"/>
  <c r="BD166" i="19"/>
  <c r="BD168" i="19"/>
  <c r="BD177" i="19"/>
  <c r="BD191" i="19"/>
  <c r="BD207" i="19"/>
  <c r="BD211" i="19"/>
  <c r="BD215" i="19"/>
  <c r="BD217" i="19"/>
  <c r="BC223" i="19"/>
  <c r="BC226" i="19"/>
  <c r="BD228" i="19"/>
  <c r="BC233" i="19"/>
  <c r="BD235" i="19"/>
  <c r="BC236" i="19"/>
  <c r="BC238" i="19"/>
  <c r="BC240" i="19"/>
  <c r="BC243" i="19"/>
  <c r="BC246" i="19"/>
  <c r="BC248" i="19"/>
  <c r="BC250" i="19"/>
  <c r="BA256" i="19"/>
  <c r="BE256" i="19" s="1"/>
  <c r="BC257" i="19"/>
  <c r="BF37" i="19"/>
  <c r="BC176" i="19"/>
  <c r="BD176" i="19" s="1"/>
  <c r="BH242" i="19"/>
  <c r="BC312" i="19"/>
  <c r="BD312" i="19" s="1"/>
  <c r="BC434" i="19"/>
  <c r="BD434" i="19" s="1"/>
  <c r="BC603" i="19"/>
  <c r="BD603" i="19" s="1"/>
  <c r="BC654" i="19"/>
  <c r="BD654" i="19" s="1"/>
  <c r="BH5" i="19"/>
  <c r="BC8" i="19"/>
  <c r="BF10" i="19"/>
  <c r="BC13" i="19"/>
  <c r="BF14" i="19"/>
  <c r="BC15" i="19"/>
  <c r="BF21" i="19"/>
  <c r="BH24" i="19"/>
  <c r="BH26" i="19"/>
  <c r="BH28" i="19"/>
  <c r="BH30" i="19"/>
  <c r="BD30" i="19"/>
  <c r="BH32" i="19"/>
  <c r="BD32" i="19"/>
  <c r="BH42" i="19"/>
  <c r="BD42" i="19"/>
  <c r="BH44" i="19"/>
  <c r="BD44" i="19"/>
  <c r="BH47" i="19"/>
  <c r="BD47" i="19"/>
  <c r="BH49" i="19"/>
  <c r="BD49" i="19"/>
  <c r="BH52" i="19"/>
  <c r="BD52" i="19"/>
  <c r="BH54" i="19"/>
  <c r="BD54" i="19"/>
  <c r="BH57" i="19"/>
  <c r="BD57" i="19"/>
  <c r="BD64" i="19"/>
  <c r="BH66" i="19"/>
  <c r="BD66" i="19"/>
  <c r="BH68" i="19"/>
  <c r="BD68" i="19"/>
  <c r="BH70" i="19"/>
  <c r="BD70" i="19"/>
  <c r="BH72" i="19"/>
  <c r="BD72" i="19"/>
  <c r="BD91" i="19"/>
  <c r="BH94" i="19"/>
  <c r="BD94" i="19"/>
  <c r="BH96" i="19"/>
  <c r="BD96" i="19"/>
  <c r="BD117" i="19"/>
  <c r="BD122" i="19"/>
  <c r="BD128" i="19"/>
  <c r="BH130" i="19"/>
  <c r="BD130" i="19"/>
  <c r="BH132" i="19"/>
  <c r="BD132" i="19"/>
  <c r="BH134" i="19"/>
  <c r="BD134" i="19"/>
  <c r="BH136" i="19"/>
  <c r="BD136" i="19"/>
  <c r="BH138" i="19"/>
  <c r="BD138" i="19"/>
  <c r="BH140" i="19"/>
  <c r="BD140" i="19"/>
  <c r="BD149" i="19"/>
  <c r="BC169" i="19"/>
  <c r="BC188" i="19"/>
  <c r="BC197" i="19"/>
  <c r="BC208" i="19"/>
  <c r="BC214" i="19"/>
  <c r="BC216" i="19"/>
  <c r="BH220" i="19"/>
  <c r="BH223" i="19"/>
  <c r="BC224" i="19"/>
  <c r="BH228" i="19"/>
  <c r="BC229" i="19"/>
  <c r="BC244" i="19"/>
  <c r="BD252" i="19"/>
  <c r="BA263" i="19"/>
  <c r="BE263" i="19" s="1"/>
  <c r="BA266" i="19"/>
  <c r="BE266" i="19" s="1"/>
  <c r="BF5" i="19"/>
  <c r="BF7" i="19"/>
  <c r="BH22" i="19"/>
  <c r="BF24" i="19"/>
  <c r="BF26" i="19"/>
  <c r="BF28" i="19"/>
  <c r="BF30" i="19"/>
  <c r="BF32" i="19"/>
  <c r="BF42" i="19"/>
  <c r="BH64" i="19"/>
  <c r="BH99" i="19"/>
  <c r="BH117" i="19"/>
  <c r="BH124" i="19"/>
  <c r="BH128" i="19"/>
  <c r="BH143" i="19"/>
  <c r="BH145" i="19"/>
  <c r="BH147" i="19"/>
  <c r="BH149" i="19"/>
  <c r="BH152" i="19"/>
  <c r="BH155" i="19"/>
  <c r="BH165" i="19"/>
  <c r="BH167" i="19"/>
  <c r="BH169" i="19"/>
  <c r="BH188" i="19"/>
  <c r="BH197" i="19"/>
  <c r="BH208" i="19"/>
  <c r="BH214" i="19"/>
  <c r="BH216" i="19"/>
  <c r="BH229" i="19"/>
  <c r="BH255" i="19"/>
  <c r="BC270" i="19"/>
  <c r="BA270" i="19"/>
  <c r="BE270" i="19" s="1"/>
  <c r="BD273" i="19"/>
  <c r="BD275" i="19"/>
  <c r="BD277" i="19"/>
  <c r="BD280" i="19"/>
  <c r="BD283" i="19"/>
  <c r="BD285" i="19"/>
  <c r="BC289" i="19"/>
  <c r="BC291" i="19"/>
  <c r="BC293" i="19"/>
  <c r="BD302" i="19"/>
  <c r="BD304" i="19"/>
  <c r="BD306" i="19"/>
  <c r="BD316" i="19"/>
  <c r="BD318" i="19"/>
  <c r="BD321" i="19"/>
  <c r="BD323" i="19"/>
  <c r="BD331" i="19"/>
  <c r="BD334" i="19"/>
  <c r="BC337" i="19"/>
  <c r="BD343" i="19"/>
  <c r="BD345" i="19"/>
  <c r="BD353" i="19"/>
  <c r="BD355" i="19"/>
  <c r="BD357" i="19"/>
  <c r="BD359" i="19"/>
  <c r="BD362" i="19"/>
  <c r="BC363" i="19"/>
  <c r="BD364" i="19"/>
  <c r="BD367" i="19"/>
  <c r="BD373" i="19"/>
  <c r="BD377" i="19"/>
  <c r="BC384" i="19"/>
  <c r="BD386" i="19"/>
  <c r="BD388" i="19"/>
  <c r="BD391" i="19"/>
  <c r="BD393" i="19"/>
  <c r="BC394" i="19"/>
  <c r="BC396" i="19"/>
  <c r="BD397" i="19"/>
  <c r="BD399" i="19"/>
  <c r="BC400" i="19"/>
  <c r="BC404" i="19"/>
  <c r="BC406" i="19"/>
  <c r="BD408" i="19"/>
  <c r="BC411" i="19"/>
  <c r="BC413" i="19"/>
  <c r="BC415" i="19"/>
  <c r="BC417" i="19"/>
  <c r="BC419" i="19"/>
  <c r="BC421" i="19"/>
  <c r="BC423" i="19"/>
  <c r="BC428" i="19"/>
  <c r="BH431" i="19"/>
  <c r="BD435" i="19"/>
  <c r="BD267" i="19"/>
  <c r="BA273" i="19"/>
  <c r="BE273" i="19" s="1"/>
  <c r="BA275" i="19"/>
  <c r="BE275" i="19" s="1"/>
  <c r="BA277" i="19"/>
  <c r="BE277" i="19" s="1"/>
  <c r="BA280" i="19"/>
  <c r="BE280" i="19" s="1"/>
  <c r="BA283" i="19"/>
  <c r="BE283" i="19" s="1"/>
  <c r="BC284" i="19"/>
  <c r="BA285" i="19"/>
  <c r="BE285" i="19" s="1"/>
  <c r="BC286" i="19"/>
  <c r="BH289" i="19"/>
  <c r="BH291" i="19"/>
  <c r="BH293" i="19"/>
  <c r="BH298" i="19"/>
  <c r="BD298" i="19"/>
  <c r="BH300" i="19"/>
  <c r="BD300" i="19"/>
  <c r="BA302" i="19"/>
  <c r="BE302" i="19" s="1"/>
  <c r="BA304" i="19"/>
  <c r="BE304" i="19" s="1"/>
  <c r="BA306" i="19"/>
  <c r="BE306" i="19" s="1"/>
  <c r="BD307" i="19"/>
  <c r="BH310" i="19"/>
  <c r="BD310" i="19"/>
  <c r="BH313" i="19"/>
  <c r="BD313" i="19"/>
  <c r="BA316" i="19"/>
  <c r="BE316" i="19" s="1"/>
  <c r="BA318" i="19"/>
  <c r="BE318" i="19" s="1"/>
  <c r="BD319" i="19"/>
  <c r="BA321" i="19"/>
  <c r="BE321" i="19" s="1"/>
  <c r="BA323" i="19"/>
  <c r="BE323" i="19" s="1"/>
  <c r="BD328" i="19"/>
  <c r="BA331" i="19"/>
  <c r="BE331" i="19" s="1"/>
  <c r="BA334" i="19"/>
  <c r="BE334" i="19" s="1"/>
  <c r="BH337" i="19"/>
  <c r="BH339" i="19"/>
  <c r="BD339" i="19"/>
  <c r="BH341" i="19"/>
  <c r="BD341" i="19"/>
  <c r="BA343" i="19"/>
  <c r="BE343" i="19" s="1"/>
  <c r="BA345" i="19"/>
  <c r="BE345" i="19" s="1"/>
  <c r="BH349" i="19"/>
  <c r="BD349" i="19"/>
  <c r="BH351" i="19"/>
  <c r="BD351" i="19"/>
  <c r="BA353" i="19"/>
  <c r="BE353" i="19" s="1"/>
  <c r="BA355" i="19"/>
  <c r="BE355" i="19" s="1"/>
  <c r="BA357" i="19"/>
  <c r="BE357" i="19" s="1"/>
  <c r="BA359" i="19"/>
  <c r="BE359" i="19" s="1"/>
  <c r="BC360" i="19"/>
  <c r="BA362" i="19"/>
  <c r="BE362" i="19" s="1"/>
  <c r="BA364" i="19"/>
  <c r="BE364" i="19" s="1"/>
  <c r="BA367" i="19"/>
  <c r="BE367" i="19" s="1"/>
  <c r="BC368" i="19"/>
  <c r="BC369" i="19"/>
  <c r="BA373" i="19"/>
  <c r="BE373" i="19" s="1"/>
  <c r="BC374" i="19"/>
  <c r="BA377" i="19"/>
  <c r="BE377" i="19" s="1"/>
  <c r="BC383" i="19"/>
  <c r="BH386" i="19"/>
  <c r="BA386" i="19"/>
  <c r="BE386" i="19" s="1"/>
  <c r="BC387" i="19"/>
  <c r="BA388" i="19"/>
  <c r="BE388" i="19" s="1"/>
  <c r="BC390" i="19"/>
  <c r="BA391" i="19"/>
  <c r="BE391" i="19" s="1"/>
  <c r="BC392" i="19"/>
  <c r="BA393" i="19"/>
  <c r="BE393" i="19" s="1"/>
  <c r="BA397" i="19"/>
  <c r="BE397" i="19" s="1"/>
  <c r="BC398" i="19"/>
  <c r="BA399" i="19"/>
  <c r="BE399" i="19" s="1"/>
  <c r="BC401" i="19"/>
  <c r="BH404" i="19"/>
  <c r="BH406" i="19"/>
  <c r="BH408" i="19"/>
  <c r="BA408" i="19"/>
  <c r="BE408" i="19" s="1"/>
  <c r="BC409" i="19"/>
  <c r="BH411" i="19"/>
  <c r="BH413" i="19"/>
  <c r="BH415" i="19"/>
  <c r="BH417" i="19"/>
  <c r="BH419" i="19"/>
  <c r="BH421" i="19"/>
  <c r="BH423" i="19"/>
  <c r="BC424" i="19"/>
  <c r="BC429" i="19"/>
  <c r="BC436" i="19"/>
  <c r="BC438" i="19"/>
  <c r="BH263" i="19"/>
  <c r="BH267" i="19"/>
  <c r="BC269" i="19"/>
  <c r="BC271" i="19"/>
  <c r="BH274" i="19"/>
  <c r="BH276" i="19"/>
  <c r="BH279" i="19"/>
  <c r="BH282" i="19"/>
  <c r="BH284" i="19"/>
  <c r="BH286" i="19"/>
  <c r="BC287" i="19"/>
  <c r="BC290" i="19"/>
  <c r="BC292" i="19"/>
  <c r="BC297" i="19"/>
  <c r="BC299" i="19"/>
  <c r="BC301" i="19"/>
  <c r="BH303" i="19"/>
  <c r="BH305" i="19"/>
  <c r="BC308" i="19"/>
  <c r="BC311" i="19"/>
  <c r="BC315" i="19"/>
  <c r="BH317" i="19"/>
  <c r="BH322" i="19"/>
  <c r="BH328" i="19"/>
  <c r="BC330" i="19"/>
  <c r="BH333" i="19"/>
  <c r="BH335" i="19"/>
  <c r="BC336" i="19"/>
  <c r="BC338" i="19"/>
  <c r="BC340" i="19"/>
  <c r="BH344" i="19"/>
  <c r="BH346" i="19"/>
  <c r="BC348" i="19"/>
  <c r="BC350" i="19"/>
  <c r="BH354" i="19"/>
  <c r="BH356" i="19"/>
  <c r="BH358" i="19"/>
  <c r="BH360" i="19"/>
  <c r="BH368" i="19"/>
  <c r="BD369" i="19"/>
  <c r="BH374" i="19"/>
  <c r="BD374" i="19"/>
  <c r="BD383" i="19"/>
  <c r="BH387" i="19"/>
  <c r="BD387" i="19"/>
  <c r="BH390" i="19"/>
  <c r="BD390" i="19"/>
  <c r="BH392" i="19"/>
  <c r="BD392" i="19"/>
  <c r="BH398" i="19"/>
  <c r="BD398" i="19"/>
  <c r="BD401" i="19"/>
  <c r="BH409" i="19"/>
  <c r="BD409" i="19"/>
  <c r="BD424" i="19"/>
  <c r="BD429" i="19"/>
  <c r="BD436" i="19"/>
  <c r="BH329" i="19"/>
  <c r="BH401" i="19"/>
  <c r="BH424" i="19"/>
  <c r="BD438" i="19"/>
  <c r="BD440" i="19"/>
  <c r="BD443" i="19"/>
  <c r="BD445" i="19"/>
  <c r="BD447" i="19"/>
  <c r="BD449" i="19"/>
  <c r="BC450" i="19"/>
  <c r="BC454" i="19"/>
  <c r="BD456" i="19"/>
  <c r="BH458" i="19"/>
  <c r="BC459" i="19"/>
  <c r="BD461" i="19"/>
  <c r="BD463" i="19"/>
  <c r="BH465" i="19"/>
  <c r="BD466" i="19"/>
  <c r="BH468" i="19"/>
  <c r="BA468" i="19"/>
  <c r="BE468" i="19" s="1"/>
  <c r="BC469" i="19"/>
  <c r="BA471" i="19"/>
  <c r="BE471" i="19" s="1"/>
  <c r="BC472" i="19"/>
  <c r="BA473" i="19"/>
  <c r="BE473" i="19" s="1"/>
  <c r="BA474" i="19"/>
  <c r="BE474" i="19" s="1"/>
  <c r="BC475" i="19"/>
  <c r="BA476" i="19"/>
  <c r="BE476" i="19" s="1"/>
  <c r="BC477" i="19"/>
  <c r="BH479" i="19"/>
  <c r="BA479" i="19"/>
  <c r="BE479" i="19" s="1"/>
  <c r="BC480" i="19"/>
  <c r="BH484" i="19"/>
  <c r="BA484" i="19"/>
  <c r="BE484" i="19" s="1"/>
  <c r="BC485" i="19"/>
  <c r="BA486" i="19"/>
  <c r="BE486" i="19" s="1"/>
  <c r="BH491" i="19"/>
  <c r="BH493" i="19"/>
  <c r="BD493" i="19"/>
  <c r="BC495" i="19"/>
  <c r="BH496" i="19"/>
  <c r="BD496" i="19"/>
  <c r="BC497" i="19"/>
  <c r="BC500" i="19"/>
  <c r="BA501" i="19"/>
  <c r="BE501" i="19" s="1"/>
  <c r="BC502" i="19"/>
  <c r="BH504" i="19"/>
  <c r="BA504" i="19"/>
  <c r="BE504" i="19" s="1"/>
  <c r="BD505" i="19"/>
  <c r="BD506" i="19"/>
  <c r="BA508" i="19"/>
  <c r="BE508" i="19" s="1"/>
  <c r="BD509" i="19"/>
  <c r="BH511" i="19"/>
  <c r="BD511" i="19"/>
  <c r="BH513" i="19"/>
  <c r="BD513" i="19"/>
  <c r="BC514" i="19"/>
  <c r="BA516" i="19"/>
  <c r="BE516" i="19" s="1"/>
  <c r="BD518" i="19"/>
  <c r="BC522" i="19"/>
  <c r="BA523" i="19"/>
  <c r="BE523" i="19" s="1"/>
  <c r="BC526" i="19"/>
  <c r="BA528" i="19"/>
  <c r="BE528" i="19" s="1"/>
  <c r="BC530" i="19"/>
  <c r="BH533" i="19"/>
  <c r="BH537" i="19"/>
  <c r="BA537" i="19"/>
  <c r="BE537" i="19" s="1"/>
  <c r="BH540" i="19"/>
  <c r="BH542" i="19"/>
  <c r="BD542" i="19"/>
  <c r="BC543" i="19"/>
  <c r="BA544" i="19"/>
  <c r="BE544" i="19" s="1"/>
  <c r="BC546" i="19"/>
  <c r="BA547" i="19"/>
  <c r="BE547" i="19" s="1"/>
  <c r="BH552" i="19"/>
  <c r="BD552" i="19"/>
  <c r="BD553" i="19"/>
  <c r="BH556" i="19"/>
  <c r="BD556" i="19"/>
  <c r="BD558" i="19"/>
  <c r="BD560" i="19"/>
  <c r="BA562" i="19"/>
  <c r="BE562" i="19" s="1"/>
  <c r="BC563" i="19"/>
  <c r="BA564" i="19"/>
  <c r="BE564" i="19" s="1"/>
  <c r="BH568" i="19"/>
  <c r="BD568" i="19"/>
  <c r="BA570" i="19"/>
  <c r="BE570" i="19" s="1"/>
  <c r="BD571" i="19"/>
  <c r="BA573" i="19"/>
  <c r="BE573" i="19" s="1"/>
  <c r="BD576" i="19"/>
  <c r="BH578" i="19"/>
  <c r="BD578" i="19"/>
  <c r="BA580" i="19"/>
  <c r="BE580" i="19" s="1"/>
  <c r="BA582" i="19"/>
  <c r="BE582" i="19" s="1"/>
  <c r="BA584" i="19"/>
  <c r="BE584" i="19" s="1"/>
  <c r="BA585" i="19"/>
  <c r="BE585" i="19" s="1"/>
  <c r="BD596" i="19"/>
  <c r="BD450" i="19"/>
  <c r="BD454" i="19"/>
  <c r="BD459" i="19"/>
  <c r="BD469" i="19"/>
  <c r="BD472" i="19"/>
  <c r="BD475" i="19"/>
  <c r="BD477" i="19"/>
  <c r="BD480" i="19"/>
  <c r="BD485" i="19"/>
  <c r="BD495" i="19"/>
  <c r="BD497" i="19"/>
  <c r="BD500" i="19"/>
  <c r="BD502" i="19"/>
  <c r="BH518" i="19"/>
  <c r="BC519" i="19"/>
  <c r="BH521" i="19"/>
  <c r="BH524" i="19"/>
  <c r="BC531" i="19"/>
  <c r="BC535" i="19"/>
  <c r="BC536" i="19"/>
  <c r="BC539" i="19"/>
  <c r="BC541" i="19"/>
  <c r="BC550" i="19"/>
  <c r="BC555" i="19"/>
  <c r="BC559" i="19"/>
  <c r="BA560" i="19"/>
  <c r="BE560" i="19" s="1"/>
  <c r="BH566" i="19"/>
  <c r="BC567" i="19"/>
  <c r="BC569" i="19"/>
  <c r="BH571" i="19"/>
  <c r="BC572" i="19"/>
  <c r="BH576" i="19"/>
  <c r="BC577" i="19"/>
  <c r="BH581" i="19"/>
  <c r="BH583" i="19"/>
  <c r="BH438" i="19"/>
  <c r="BH442" i="19"/>
  <c r="BD442" i="19"/>
  <c r="BH444" i="19"/>
  <c r="BD444" i="19"/>
  <c r="BH446" i="19"/>
  <c r="BD446" i="19"/>
  <c r="BH448" i="19"/>
  <c r="BD448" i="19"/>
  <c r="BH457" i="19"/>
  <c r="BD457" i="19"/>
  <c r="BD460" i="19"/>
  <c r="BH462" i="19"/>
  <c r="BD462" i="19"/>
  <c r="BH464" i="19"/>
  <c r="BD464" i="19"/>
  <c r="BD467" i="19"/>
  <c r="BD478" i="19"/>
  <c r="BD483" i="19"/>
  <c r="BD489" i="19"/>
  <c r="BD492" i="19"/>
  <c r="BD499" i="19"/>
  <c r="BD503" i="19"/>
  <c r="BD507" i="19"/>
  <c r="BD510" i="19"/>
  <c r="BD512" i="19"/>
  <c r="BD515" i="19"/>
  <c r="BD519" i="19"/>
  <c r="BD531" i="19"/>
  <c r="BD535" i="19"/>
  <c r="BD536" i="19"/>
  <c r="BD539" i="19"/>
  <c r="BD541" i="19"/>
  <c r="BD550" i="19"/>
  <c r="BD555" i="19"/>
  <c r="BD559" i="19"/>
  <c r="BD567" i="19"/>
  <c r="BD569" i="19"/>
  <c r="BD572" i="19"/>
  <c r="BD577" i="19"/>
  <c r="BC590" i="19"/>
  <c r="BA590" i="19"/>
  <c r="BE590" i="19" s="1"/>
  <c r="BC594" i="19"/>
  <c r="BA594" i="19"/>
  <c r="BE594" i="19" s="1"/>
  <c r="BC596" i="19"/>
  <c r="BC599" i="19"/>
  <c r="BH451" i="19"/>
  <c r="BH455" i="19"/>
  <c r="BH471" i="19"/>
  <c r="BH473" i="19"/>
  <c r="BH476" i="19"/>
  <c r="BH478" i="19"/>
  <c r="BH486" i="19"/>
  <c r="BH501" i="19"/>
  <c r="BH503" i="19"/>
  <c r="BH515" i="19"/>
  <c r="BH523" i="19"/>
  <c r="BH528" i="19"/>
  <c r="BH544" i="19"/>
  <c r="BH547" i="19"/>
  <c r="BH562" i="19"/>
  <c r="BH564" i="19"/>
  <c r="BD585" i="19"/>
  <c r="BC589" i="19"/>
  <c r="BC591" i="19"/>
  <c r="BC593" i="19"/>
  <c r="BH599" i="19"/>
  <c r="BH604" i="19"/>
  <c r="BA604" i="19"/>
  <c r="BE604" i="19" s="1"/>
  <c r="BC606" i="19"/>
  <c r="BA607" i="19"/>
  <c r="BE607" i="19" s="1"/>
  <c r="BF607" i="19" s="1"/>
  <c r="BH609" i="19"/>
  <c r="BA611" i="19"/>
  <c r="BE611" i="19" s="1"/>
  <c r="BF611" i="19" s="1"/>
  <c r="BC613" i="19"/>
  <c r="BH615" i="19"/>
  <c r="BD615" i="19"/>
  <c r="BA616" i="19"/>
  <c r="BE616" i="19" s="1"/>
  <c r="BF616" i="19" s="1"/>
  <c r="BC619" i="19"/>
  <c r="BH623" i="19"/>
  <c r="BD623" i="19"/>
  <c r="BA625" i="19"/>
  <c r="BE625" i="19" s="1"/>
  <c r="BF625" i="19" s="1"/>
  <c r="BC628" i="19"/>
  <c r="BH631" i="19"/>
  <c r="BD631" i="19"/>
  <c r="BC633" i="19"/>
  <c r="BH634" i="19"/>
  <c r="BA635" i="19"/>
  <c r="BE635" i="19" s="1"/>
  <c r="BF635" i="19" s="1"/>
  <c r="BH637" i="19"/>
  <c r="BC639" i="19"/>
  <c r="BC648" i="19"/>
  <c r="BH649" i="19"/>
  <c r="BA649" i="19"/>
  <c r="BE649" i="19" s="1"/>
  <c r="BF649" i="19" s="1"/>
  <c r="BC650" i="19"/>
  <c r="BH651" i="19"/>
  <c r="BA651" i="19"/>
  <c r="BE651" i="19" s="1"/>
  <c r="BF651" i="19" s="1"/>
  <c r="BC652" i="19"/>
  <c r="BA655" i="19"/>
  <c r="BE655" i="19" s="1"/>
  <c r="BF655" i="19" s="1"/>
  <c r="BC656" i="19"/>
  <c r="BH657" i="19"/>
  <c r="BA657" i="19"/>
  <c r="BE657" i="19" s="1"/>
  <c r="BF657" i="19" s="1"/>
  <c r="BA663" i="19"/>
  <c r="BE663" i="19" s="1"/>
  <c r="BF663" i="19" s="1"/>
  <c r="BH669" i="19"/>
  <c r="BA669" i="19"/>
  <c r="BE669" i="19" s="1"/>
  <c r="BF669" i="19" s="1"/>
  <c r="BH673" i="19"/>
  <c r="BD673" i="19"/>
  <c r="BC675" i="19"/>
  <c r="BA678" i="19"/>
  <c r="BE678" i="19" s="1"/>
  <c r="BF678" i="19" s="1"/>
  <c r="BC680" i="19"/>
  <c r="BH681" i="19"/>
  <c r="BA681" i="19"/>
  <c r="BE681" i="19" s="1"/>
  <c r="BF681" i="19" s="1"/>
  <c r="BA683" i="19"/>
  <c r="BE683" i="19" s="1"/>
  <c r="BF683" i="19" s="1"/>
  <c r="BD684" i="19"/>
  <c r="BH687" i="19"/>
  <c r="BD687" i="19"/>
  <c r="BA688" i="19"/>
  <c r="BE688" i="19" s="1"/>
  <c r="BF688" i="19" s="1"/>
  <c r="BA690" i="19"/>
  <c r="BE690" i="19" s="1"/>
  <c r="BF690" i="19" s="1"/>
  <c r="BH693" i="19"/>
  <c r="BD693" i="19"/>
  <c r="BD695" i="19"/>
  <c r="BA697" i="19"/>
  <c r="BE697" i="19" s="1"/>
  <c r="BF697" i="19" s="1"/>
  <c r="BH699" i="19"/>
  <c r="BD699" i="19"/>
  <c r="BA700" i="19"/>
  <c r="BE700" i="19" s="1"/>
  <c r="BF700" i="19" s="1"/>
  <c r="BD701" i="19"/>
  <c r="BA702" i="19"/>
  <c r="BE702" i="19" s="1"/>
  <c r="BF702" i="19" s="1"/>
  <c r="BA705" i="19"/>
  <c r="BE705" i="19" s="1"/>
  <c r="BF705" i="19" s="1"/>
  <c r="BC707" i="19"/>
  <c r="BA708" i="19"/>
  <c r="BE708" i="19" s="1"/>
  <c r="BF708" i="19" s="1"/>
  <c r="BH712" i="19"/>
  <c r="BD712" i="19"/>
  <c r="BA713" i="19"/>
  <c r="BE713" i="19" s="1"/>
  <c r="BF713" i="19" s="1"/>
  <c r="BH716" i="19"/>
  <c r="BA716" i="19"/>
  <c r="BE716" i="19" s="1"/>
  <c r="BF716" i="19" s="1"/>
  <c r="BD718" i="19"/>
  <c r="BD720" i="19"/>
  <c r="BH723" i="19"/>
  <c r="BD723" i="19"/>
  <c r="BC726" i="19"/>
  <c r="BA727" i="19"/>
  <c r="BE727" i="19" s="1"/>
  <c r="BF727" i="19" s="1"/>
  <c r="BH729" i="19"/>
  <c r="BD729" i="19"/>
  <c r="BA730" i="19"/>
  <c r="BE730" i="19" s="1"/>
  <c r="BF730" i="19" s="1"/>
  <c r="BA733" i="19"/>
  <c r="BE733" i="19" s="1"/>
  <c r="BF733" i="19" s="1"/>
  <c r="BD735" i="19"/>
  <c r="BA738" i="19"/>
  <c r="BE738" i="19" s="1"/>
  <c r="BF738" i="19" s="1"/>
  <c r="BC586" i="19"/>
  <c r="BH591" i="19"/>
  <c r="BC592" i="19"/>
  <c r="BH593" i="19"/>
  <c r="BC597" i="19"/>
  <c r="BC598" i="19"/>
  <c r="BC600" i="19"/>
  <c r="BH606" i="19"/>
  <c r="BA609" i="19"/>
  <c r="BE609" i="19" s="1"/>
  <c r="BF609" i="19" s="1"/>
  <c r="BC618" i="19"/>
  <c r="BH619" i="19"/>
  <c r="BC626" i="19"/>
  <c r="BH628" i="19"/>
  <c r="BD633" i="19"/>
  <c r="BA634" i="19"/>
  <c r="BE634" i="19" s="1"/>
  <c r="BF634" i="19" s="1"/>
  <c r="BD636" i="19"/>
  <c r="BA637" i="19"/>
  <c r="BE637" i="19" s="1"/>
  <c r="BF637" i="19" s="1"/>
  <c r="BD639" i="19"/>
  <c r="BH643" i="19"/>
  <c r="BD648" i="19"/>
  <c r="BD650" i="19"/>
  <c r="BA658" i="19"/>
  <c r="BE658" i="19" s="1"/>
  <c r="BF658" i="19" s="1"/>
  <c r="BC659" i="19"/>
  <c r="BH661" i="19"/>
  <c r="BC674" i="19"/>
  <c r="BC676" i="19"/>
  <c r="BH677" i="19"/>
  <c r="BA677" i="19"/>
  <c r="BE677" i="19" s="1"/>
  <c r="BF677" i="19" s="1"/>
  <c r="BC685" i="19"/>
  <c r="BH686" i="19"/>
  <c r="BC691" i="19"/>
  <c r="BH692" i="19"/>
  <c r="BC694" i="19"/>
  <c r="BH695" i="19"/>
  <c r="BC696" i="19"/>
  <c r="BC703" i="19"/>
  <c r="BH704" i="19"/>
  <c r="BC706" i="19"/>
  <c r="BH707" i="19"/>
  <c r="BC710" i="19"/>
  <c r="BH711" i="19"/>
  <c r="BC714" i="19"/>
  <c r="BH715" i="19"/>
  <c r="BC717" i="19"/>
  <c r="BC719" i="19"/>
  <c r="BH720" i="19"/>
  <c r="BC721" i="19"/>
  <c r="BH722" i="19"/>
  <c r="BC725" i="19"/>
  <c r="BC732" i="19"/>
  <c r="BC604" i="19"/>
  <c r="BC607" i="19"/>
  <c r="BC611" i="19"/>
  <c r="BC616" i="19"/>
  <c r="BC625" i="19"/>
  <c r="BC635" i="19"/>
  <c r="BH636" i="19"/>
  <c r="BC649" i="19"/>
  <c r="BC651" i="19"/>
  <c r="BC655" i="19"/>
  <c r="BC657" i="19"/>
  <c r="BC663" i="19"/>
  <c r="BC669" i="19"/>
  <c r="BC678" i="19"/>
  <c r="BC681" i="19"/>
  <c r="BC683" i="19"/>
  <c r="BC688" i="19"/>
  <c r="BH689" i="19"/>
  <c r="BC690" i="19"/>
  <c r="BC697" i="19"/>
  <c r="BC700" i="19"/>
  <c r="BC702" i="19"/>
  <c r="BC705" i="19"/>
  <c r="BC708" i="19"/>
  <c r="BC713" i="19"/>
  <c r="BC716" i="19"/>
  <c r="BC727" i="19"/>
  <c r="BC730" i="19"/>
  <c r="BD732" i="19"/>
  <c r="BC739" i="19"/>
  <c r="BA739" i="19"/>
  <c r="BE739" i="19" s="1"/>
  <c r="BF739" i="19" s="1"/>
  <c r="BC743" i="19"/>
  <c r="BA743" i="19"/>
  <c r="BE743" i="19" s="1"/>
  <c r="BF743" i="19" s="1"/>
  <c r="BD746" i="19"/>
  <c r="BD752" i="19"/>
  <c r="BD756" i="19"/>
  <c r="BD762" i="19"/>
  <c r="BD765" i="19"/>
  <c r="BD769" i="19"/>
  <c r="BD771" i="19"/>
  <c r="BD776" i="19"/>
  <c r="BD778" i="19"/>
  <c r="BD786" i="19"/>
  <c r="BC800" i="19"/>
  <c r="BA800" i="19"/>
  <c r="BE800" i="19" s="1"/>
  <c r="BF800" i="19" s="1"/>
  <c r="BC802" i="19"/>
  <c r="BA802" i="19"/>
  <c r="BE802" i="19" s="1"/>
  <c r="BF802" i="19" s="1"/>
  <c r="BH736" i="19"/>
  <c r="BD736" i="19"/>
  <c r="BD738" i="19"/>
  <c r="BD742" i="19"/>
  <c r="BD745" i="19"/>
  <c r="BA746" i="19"/>
  <c r="BE746" i="19" s="1"/>
  <c r="BF746" i="19" s="1"/>
  <c r="BH748" i="19"/>
  <c r="BD748" i="19"/>
  <c r="BD750" i="19"/>
  <c r="BA752" i="19"/>
  <c r="BE752" i="19" s="1"/>
  <c r="BF752" i="19" s="1"/>
  <c r="BH754" i="19"/>
  <c r="BD754" i="19"/>
  <c r="BA756" i="19"/>
  <c r="BE756" i="19" s="1"/>
  <c r="BF756" i="19" s="1"/>
  <c r="BD757" i="19"/>
  <c r="BD759" i="19"/>
  <c r="BA762" i="19"/>
  <c r="BE762" i="19" s="1"/>
  <c r="BF762" i="19" s="1"/>
  <c r="BA765" i="19"/>
  <c r="BE765" i="19" s="1"/>
  <c r="BF765" i="19" s="1"/>
  <c r="BH768" i="19"/>
  <c r="BD768" i="19"/>
  <c r="BA769" i="19"/>
  <c r="BE769" i="19" s="1"/>
  <c r="BF769" i="19" s="1"/>
  <c r="BA771" i="19"/>
  <c r="BE771" i="19" s="1"/>
  <c r="BF771" i="19" s="1"/>
  <c r="BA776" i="19"/>
  <c r="BE776" i="19" s="1"/>
  <c r="BF776" i="19" s="1"/>
  <c r="BC777" i="19"/>
  <c r="BA778" i="19"/>
  <c r="BE778" i="19" s="1"/>
  <c r="BF778" i="19" s="1"/>
  <c r="BC779" i="19"/>
  <c r="BC781" i="19"/>
  <c r="BA786" i="19"/>
  <c r="BE786" i="19" s="1"/>
  <c r="BF786" i="19" s="1"/>
  <c r="BD788" i="19"/>
  <c r="BD796" i="19"/>
  <c r="BC734" i="19"/>
  <c r="BH735" i="19"/>
  <c r="BH738" i="19"/>
  <c r="BD740" i="19"/>
  <c r="BH742" i="19"/>
  <c r="BH745" i="19"/>
  <c r="BD747" i="19"/>
  <c r="BH750" i="19"/>
  <c r="BD751" i="19"/>
  <c r="BD753" i="19"/>
  <c r="BH764" i="19"/>
  <c r="BD764" i="19"/>
  <c r="BH767" i="19"/>
  <c r="BD767" i="19"/>
  <c r="BD770" i="19"/>
  <c r="BH773" i="19"/>
  <c r="BD773" i="19"/>
  <c r="BH775" i="19"/>
  <c r="BD775" i="19"/>
  <c r="BC780" i="19"/>
  <c r="BH781" i="19"/>
  <c r="BC782" i="19"/>
  <c r="BH785" i="19"/>
  <c r="BC787" i="19"/>
  <c r="BC790" i="19"/>
  <c r="BA790" i="19"/>
  <c r="BE790" i="19" s="1"/>
  <c r="BF790" i="19" s="1"/>
  <c r="BD791" i="19"/>
  <c r="BD792" i="19"/>
  <c r="BC793" i="19"/>
  <c r="BA793" i="19"/>
  <c r="BE793" i="19" s="1"/>
  <c r="BF793" i="19" s="1"/>
  <c r="BD794" i="19"/>
  <c r="BD800" i="19"/>
  <c r="BD802" i="19"/>
  <c r="BH744" i="19"/>
  <c r="BH747" i="19"/>
  <c r="BH753" i="19"/>
  <c r="BH763" i="19"/>
  <c r="BH766" i="19"/>
  <c r="BH770" i="19"/>
  <c r="BH772" i="19"/>
  <c r="BH777" i="19"/>
  <c r="BH779" i="19"/>
  <c r="BD787" i="19"/>
  <c r="BA789" i="19"/>
  <c r="BE789" i="19" s="1"/>
  <c r="BF789" i="19" s="1"/>
  <c r="BC789" i="19"/>
  <c r="BC797" i="19"/>
  <c r="BA797" i="19"/>
  <c r="BE797" i="19" s="1"/>
  <c r="BF797" i="19" s="1"/>
  <c r="BD804" i="19"/>
  <c r="BC806" i="19"/>
  <c r="BD807" i="19"/>
  <c r="BD809" i="19"/>
  <c r="BD811" i="19"/>
  <c r="BD813" i="19"/>
  <c r="BD815" i="19"/>
  <c r="BC816" i="19"/>
  <c r="BD819" i="19"/>
  <c r="BD823" i="19"/>
  <c r="BC824" i="19"/>
  <c r="BD827" i="19"/>
  <c r="BC829" i="19"/>
  <c r="BC831" i="19"/>
  <c r="BD832" i="19"/>
  <c r="BC834" i="19"/>
  <c r="BD836" i="19"/>
  <c r="BA842" i="19"/>
  <c r="BE842" i="19" s="1"/>
  <c r="BF842" i="19" s="1"/>
  <c r="BC842" i="19"/>
  <c r="BC795" i="19"/>
  <c r="BH796" i="19"/>
  <c r="BC799" i="19"/>
  <c r="BC801" i="19"/>
  <c r="BH802" i="19"/>
  <c r="BC803" i="19"/>
  <c r="BA804" i="19"/>
  <c r="BE804" i="19" s="1"/>
  <c r="BF804" i="19" s="1"/>
  <c r="BC805" i="19"/>
  <c r="BH806" i="19"/>
  <c r="BA807" i="19"/>
  <c r="BE807" i="19" s="1"/>
  <c r="BF807" i="19" s="1"/>
  <c r="BC808" i="19"/>
  <c r="BH809" i="19"/>
  <c r="BA809" i="19"/>
  <c r="BE809" i="19" s="1"/>
  <c r="BF809" i="19" s="1"/>
  <c r="BC810" i="19"/>
  <c r="BA811" i="19"/>
  <c r="BE811" i="19" s="1"/>
  <c r="BF811" i="19" s="1"/>
  <c r="BC812" i="19"/>
  <c r="BA813" i="19"/>
  <c r="BE813" i="19" s="1"/>
  <c r="BF813" i="19" s="1"/>
  <c r="BC814" i="19"/>
  <c r="BA815" i="19"/>
  <c r="BE815" i="19" s="1"/>
  <c r="BF815" i="19" s="1"/>
  <c r="BC817" i="19"/>
  <c r="BA819" i="19"/>
  <c r="BE819" i="19" s="1"/>
  <c r="BF819" i="19" s="1"/>
  <c r="BC820" i="19"/>
  <c r="BC822" i="19"/>
  <c r="BA823" i="19"/>
  <c r="BE823" i="19" s="1"/>
  <c r="BF823" i="19" s="1"/>
  <c r="BC826" i="19"/>
  <c r="BA827" i="19"/>
  <c r="BE827" i="19" s="1"/>
  <c r="BF827" i="19" s="1"/>
  <c r="BC828" i="19"/>
  <c r="BH829" i="19"/>
  <c r="BC830" i="19"/>
  <c r="BH831" i="19"/>
  <c r="BA832" i="19"/>
  <c r="BE832" i="19" s="1"/>
  <c r="BF832" i="19" s="1"/>
  <c r="BC835" i="19"/>
  <c r="BH836" i="19"/>
  <c r="BA836" i="19"/>
  <c r="BE836" i="19" s="1"/>
  <c r="BF836" i="19" s="1"/>
  <c r="BC837" i="19"/>
  <c r="BC841" i="19"/>
  <c r="BA841" i="19"/>
  <c r="BE841" i="19" s="1"/>
  <c r="BF841" i="19" s="1"/>
  <c r="BD795" i="19"/>
  <c r="BD799" i="19"/>
  <c r="BD801" i="19"/>
  <c r="BD803" i="19"/>
  <c r="BD805" i="19"/>
  <c r="BD808" i="19"/>
  <c r="BD810" i="19"/>
  <c r="BC818" i="19"/>
  <c r="BC821" i="19"/>
  <c r="BC825" i="19"/>
  <c r="BC833" i="19"/>
  <c r="BH834" i="19"/>
  <c r="BH791" i="19"/>
  <c r="BH794" i="19"/>
  <c r="BH798" i="19"/>
  <c r="BC843" i="19"/>
  <c r="BA843" i="19"/>
  <c r="BE843" i="19" s="1"/>
  <c r="BF843" i="19" s="1"/>
  <c r="BD909" i="19"/>
  <c r="BC844" i="19"/>
  <c r="BC846" i="19"/>
  <c r="BH847" i="19"/>
  <c r="BA847" i="19"/>
  <c r="BE847" i="19" s="1"/>
  <c r="BF847" i="19" s="1"/>
  <c r="BA849" i="19"/>
  <c r="BE849" i="19" s="1"/>
  <c r="BF849" i="19" s="1"/>
  <c r="BA851" i="19"/>
  <c r="BE851" i="19" s="1"/>
  <c r="BF851" i="19" s="1"/>
  <c r="BA855" i="19"/>
  <c r="BE855" i="19" s="1"/>
  <c r="BF855" i="19" s="1"/>
  <c r="BA857" i="19"/>
  <c r="BE857" i="19" s="1"/>
  <c r="BF857" i="19" s="1"/>
  <c r="BA859" i="19"/>
  <c r="BE859" i="19" s="1"/>
  <c r="BF859" i="19" s="1"/>
  <c r="BA861" i="19"/>
  <c r="BE861" i="19" s="1"/>
  <c r="BF861" i="19" s="1"/>
  <c r="BC863" i="19"/>
  <c r="BH864" i="19"/>
  <c r="BD864" i="19"/>
  <c r="BD880" i="19"/>
  <c r="BA883" i="19"/>
  <c r="BE883" i="19" s="1"/>
  <c r="BF883" i="19" s="1"/>
  <c r="BA885" i="19"/>
  <c r="BE885" i="19" s="1"/>
  <c r="BF885" i="19" s="1"/>
  <c r="BC888" i="19"/>
  <c r="BH889" i="19"/>
  <c r="BC892" i="19"/>
  <c r="BH894" i="19"/>
  <c r="BA894" i="19"/>
  <c r="BE894" i="19" s="1"/>
  <c r="BF894" i="19" s="1"/>
  <c r="BA897" i="19"/>
  <c r="BE897" i="19" s="1"/>
  <c r="BF897" i="19" s="1"/>
  <c r="BC898" i="19"/>
  <c r="BH899" i="19"/>
  <c r="BA899" i="19"/>
  <c r="BE899" i="19" s="1"/>
  <c r="BF899" i="19" s="1"/>
  <c r="BC901" i="19"/>
  <c r="BH902" i="19"/>
  <c r="BH909" i="19"/>
  <c r="BC905" i="19"/>
  <c r="BA906" i="19"/>
  <c r="BE906" i="19" s="1"/>
  <c r="BC907" i="19"/>
  <c r="BC908" i="19"/>
  <c r="BH911" i="19"/>
  <c r="BD912" i="19"/>
  <c r="BD913" i="19"/>
  <c r="BC914" i="19"/>
  <c r="BA915" i="19"/>
  <c r="BE915" i="19" s="1"/>
  <c r="BD916" i="19"/>
  <c r="BD844" i="19"/>
  <c r="BD846" i="19"/>
  <c r="BA852" i="19"/>
  <c r="BE852" i="19" s="1"/>
  <c r="BF852" i="19" s="1"/>
  <c r="BC854" i="19"/>
  <c r="BD865" i="19"/>
  <c r="BA880" i="19"/>
  <c r="BE880" i="19" s="1"/>
  <c r="BF880" i="19" s="1"/>
  <c r="BD884" i="19"/>
  <c r="BD892" i="19"/>
  <c r="BC900" i="19"/>
  <c r="BC904" i="19"/>
  <c r="BD904" i="19" s="1"/>
  <c r="BC937" i="19"/>
  <c r="BD937" i="19" s="1"/>
  <c r="BH903" i="19"/>
  <c r="BC910" i="19"/>
  <c r="BA913" i="19"/>
  <c r="BE913" i="19" s="1"/>
  <c r="BA916" i="19"/>
  <c r="BE916" i="19" s="1"/>
  <c r="BH842" i="19"/>
  <c r="BH848" i="19"/>
  <c r="BC849" i="19"/>
  <c r="BC851" i="19"/>
  <c r="BD854" i="19"/>
  <c r="BC861" i="19"/>
  <c r="BH863" i="19"/>
  <c r="BC883" i="19"/>
  <c r="BH884" i="19"/>
  <c r="BC885" i="19"/>
  <c r="BH886" i="19"/>
  <c r="BD891" i="19"/>
  <c r="BH896" i="19"/>
  <c r="BD896" i="19"/>
  <c r="BD900" i="19"/>
  <c r="BF903" i="19"/>
  <c r="BD910" i="19"/>
  <c r="BC912" i="19"/>
  <c r="BD920" i="19"/>
  <c r="BD922" i="19"/>
  <c r="BD925" i="19"/>
  <c r="BD931" i="19"/>
  <c r="BD935" i="19"/>
  <c r="BC938" i="19"/>
  <c r="BA940" i="19"/>
  <c r="BE940" i="19" s="1"/>
  <c r="BF940" i="19" s="1"/>
  <c r="BD942" i="19"/>
  <c r="BD946" i="19"/>
  <c r="BH757" i="19"/>
  <c r="BH151" i="19"/>
  <c r="BH536" i="19"/>
  <c r="BH684" i="19"/>
  <c r="BH342" i="19"/>
  <c r="BH835" i="19"/>
  <c r="BH813" i="19"/>
  <c r="BH647" i="19"/>
  <c r="BH91" i="19"/>
  <c r="BH403" i="19"/>
  <c r="BH7" i="19"/>
  <c r="BH573" i="19"/>
  <c r="BH787" i="19"/>
  <c r="BH782" i="19"/>
  <c r="BH579" i="19"/>
  <c r="BH859" i="19"/>
  <c r="BH857" i="19"/>
  <c r="BH908" i="19"/>
  <c r="BH724" i="19"/>
  <c r="BH655" i="19"/>
  <c r="BH348" i="19"/>
  <c r="BH645" i="19"/>
  <c r="BH904" i="19"/>
  <c r="BH740" i="19"/>
  <c r="BH731" i="19"/>
  <c r="BH780" i="19"/>
  <c r="BH925" i="19"/>
  <c r="BH885" i="19"/>
  <c r="BH620" i="19"/>
  <c r="BH621" i="19"/>
  <c r="BH850" i="19"/>
  <c r="BH817" i="19"/>
  <c r="BH230" i="19"/>
  <c r="BH352" i="19"/>
  <c r="BH733" i="19"/>
  <c r="BH898" i="19"/>
  <c r="BH749" i="19"/>
  <c r="BH852" i="19"/>
  <c r="BC918" i="19"/>
  <c r="BH919" i="19"/>
  <c r="BA920" i="19"/>
  <c r="BE920" i="19" s="1"/>
  <c r="BF920" i="19" s="1"/>
  <c r="BA922" i="19"/>
  <c r="BE922" i="19" s="1"/>
  <c r="BF922" i="19" s="1"/>
  <c r="BC924" i="19"/>
  <c r="BA925" i="19"/>
  <c r="BE925" i="19" s="1"/>
  <c r="BF925" i="19" s="1"/>
  <c r="BC927" i="19"/>
  <c r="BC929" i="19"/>
  <c r="BH930" i="19"/>
  <c r="BA931" i="19"/>
  <c r="BE931" i="19" s="1"/>
  <c r="BF931" i="19" s="1"/>
  <c r="BC933" i="19"/>
  <c r="BA935" i="19"/>
  <c r="BE935" i="19" s="1"/>
  <c r="BF935" i="19" s="1"/>
  <c r="BC939" i="19"/>
  <c r="BC941" i="19"/>
  <c r="BA942" i="19"/>
  <c r="BE942" i="19" s="1"/>
  <c r="BF942" i="19" s="1"/>
  <c r="BC944" i="19"/>
  <c r="BH945" i="19"/>
  <c r="BA946" i="19"/>
  <c r="BE946" i="19" s="1"/>
  <c r="BF946" i="19" s="1"/>
  <c r="BH812" i="19"/>
  <c r="BH400" i="19"/>
  <c r="BH855" i="19"/>
  <c r="BH891" i="19"/>
  <c r="BH389" i="19"/>
  <c r="BH598" i="19"/>
  <c r="BH811" i="19"/>
  <c r="BH483" i="19"/>
  <c r="BH264" i="19"/>
  <c r="BH466" i="19"/>
  <c r="BH913" i="19"/>
  <c r="BH372" i="19"/>
  <c r="BH725" i="19"/>
  <c r="BH940" i="19"/>
  <c r="BH367" i="19"/>
  <c r="BH435" i="19"/>
  <c r="BH774" i="19"/>
  <c r="BH186" i="19"/>
  <c r="BH843" i="19"/>
  <c r="BH844" i="19"/>
  <c r="BH838" i="19"/>
  <c r="BH805" i="19"/>
  <c r="BH839" i="19"/>
  <c r="BH803" i="19"/>
  <c r="BH800" i="19"/>
  <c r="BH801" i="19"/>
  <c r="BH804" i="19"/>
  <c r="BH244" i="19"/>
  <c r="BH861" i="19"/>
  <c r="BH823" i="19"/>
  <c r="BH245" i="19"/>
  <c r="BH320" i="19"/>
  <c r="BH89" i="19"/>
  <c r="BD918" i="19"/>
  <c r="BD924" i="19"/>
  <c r="BD927" i="19"/>
  <c r="BD929" i="19"/>
  <c r="BD933" i="19"/>
  <c r="BH938" i="19"/>
  <c r="BD939" i="19"/>
  <c r="BD941" i="19"/>
  <c r="BD944" i="19"/>
  <c r="BH756" i="19"/>
  <c r="BH837" i="19"/>
  <c r="BH815" i="19"/>
  <c r="BH932" i="19"/>
  <c r="BH933" i="19"/>
  <c r="BH934" i="19"/>
  <c r="BH935" i="19"/>
  <c r="BH926" i="19"/>
  <c r="BH927" i="19"/>
  <c r="BH928" i="19"/>
  <c r="BH697" i="19"/>
  <c r="BH531" i="19"/>
  <c r="BH506" i="19"/>
  <c r="BH517" i="19"/>
  <c r="BH520" i="19"/>
  <c r="BH508" i="19"/>
  <c r="BH509" i="19"/>
  <c r="BH642" i="19"/>
  <c r="BH790" i="19"/>
  <c r="BH410" i="19"/>
  <c r="BH586" i="19"/>
  <c r="BH307" i="19"/>
  <c r="BH570" i="19"/>
  <c r="BH922" i="19"/>
  <c r="BH905" i="19"/>
  <c r="BH658" i="19"/>
  <c r="BH369" i="19"/>
  <c r="BH650" i="19"/>
  <c r="BH849" i="19"/>
  <c r="BH865" i="19"/>
  <c r="BH939" i="19"/>
  <c r="BH585" i="19"/>
  <c r="BH727" i="19"/>
  <c r="BH758" i="19"/>
  <c r="BH701" i="19"/>
  <c r="BH161" i="19"/>
  <c r="BH207" i="19"/>
  <c r="BH235" i="19"/>
  <c r="BH718" i="19"/>
  <c r="BH818" i="19"/>
  <c r="BH821" i="19"/>
  <c r="BH827" i="19"/>
  <c r="BH830" i="19"/>
  <c r="BH394" i="19"/>
  <c r="BH100" i="19"/>
  <c r="BH460" i="19"/>
  <c r="BH319" i="19"/>
  <c r="BH912" i="19"/>
  <c r="BH915" i="19"/>
  <c r="BH917" i="19"/>
  <c r="BH921" i="19"/>
  <c r="BH923" i="19"/>
  <c r="BH936" i="19"/>
  <c r="BH943" i="19"/>
  <c r="BH558" i="19"/>
  <c r="BH897" i="19"/>
  <c r="BH529" i="19"/>
  <c r="BH526" i="19"/>
  <c r="BH497" i="19"/>
  <c r="BH516" i="19"/>
  <c r="BH332" i="19"/>
  <c r="BH63" i="19"/>
  <c r="BH858" i="19"/>
  <c r="BH680" i="19"/>
  <c r="BH488" i="19"/>
  <c r="BH59" i="19"/>
  <c r="BH741" i="19"/>
  <c r="BH759" i="19"/>
  <c r="BH302" i="19"/>
  <c r="BH176" i="19"/>
  <c r="BH845" i="19"/>
  <c r="BH841" i="19"/>
  <c r="BH683" i="19"/>
  <c r="BH553" i="19"/>
  <c r="BH819" i="19"/>
  <c r="BH816" i="19"/>
  <c r="BH824" i="19"/>
  <c r="BH710" i="19"/>
  <c r="BH828" i="19"/>
  <c r="BH676" i="19"/>
  <c r="BH883" i="19"/>
  <c r="BH751" i="19"/>
  <c r="BH225" i="19"/>
  <c r="BH474" i="19"/>
  <c r="W7" i="3"/>
  <c r="V7" i="3"/>
  <c r="U300" i="3"/>
  <c r="W300" i="3"/>
  <c r="V488" i="3"/>
  <c r="W488" i="3"/>
  <c r="V561" i="3"/>
  <c r="W561" i="3"/>
  <c r="V96" i="3"/>
  <c r="W96" i="3"/>
  <c r="U96" i="3"/>
  <c r="U220" i="3"/>
  <c r="W223" i="3"/>
  <c r="V223" i="3"/>
  <c r="U223" i="3"/>
  <c r="U287" i="3"/>
  <c r="V287" i="3"/>
  <c r="V436" i="3"/>
  <c r="U436" i="3"/>
  <c r="V438" i="3"/>
  <c r="U438" i="3"/>
  <c r="V440" i="3"/>
  <c r="U440" i="3"/>
  <c r="V442" i="3"/>
  <c r="U442" i="3"/>
  <c r="V444" i="3"/>
  <c r="U444" i="3"/>
  <c r="V446" i="3"/>
  <c r="U446" i="3"/>
  <c r="V448" i="3"/>
  <c r="U448" i="3"/>
  <c r="V450" i="3"/>
  <c r="U450" i="3"/>
  <c r="V478" i="3"/>
  <c r="U478" i="3"/>
  <c r="V527" i="3"/>
  <c r="U530" i="3"/>
  <c r="W530" i="3"/>
  <c r="V530" i="3"/>
  <c r="U561" i="3"/>
  <c r="V622" i="3"/>
  <c r="W637" i="3"/>
  <c r="V637" i="3"/>
  <c r="U637" i="3"/>
  <c r="U641" i="3"/>
  <c r="V641" i="3"/>
  <c r="V752" i="3"/>
  <c r="U752" i="3"/>
  <c r="U789" i="3"/>
  <c r="V789" i="3"/>
  <c r="U149" i="3"/>
  <c r="W149" i="3"/>
  <c r="V190" i="3"/>
  <c r="U190" i="3"/>
  <c r="W269" i="3"/>
  <c r="U269" i="3"/>
  <c r="U387" i="3"/>
  <c r="W436" i="3"/>
  <c r="W438" i="3"/>
  <c r="W440" i="3"/>
  <c r="W442" i="3"/>
  <c r="W444" i="3"/>
  <c r="W446" i="3"/>
  <c r="W448" i="3"/>
  <c r="W450" i="3"/>
  <c r="U467" i="3"/>
  <c r="W471" i="3"/>
  <c r="V471" i="3"/>
  <c r="U522" i="3"/>
  <c r="V522" i="3"/>
  <c r="W614" i="3"/>
  <c r="V614" i="3"/>
  <c r="W638" i="3"/>
  <c r="V638" i="3"/>
  <c r="W10" i="3"/>
  <c r="V10" i="3"/>
  <c r="U10" i="3"/>
  <c r="W248" i="3"/>
  <c r="V248" i="3"/>
  <c r="V359" i="3"/>
  <c r="U359" i="3"/>
  <c r="V435" i="3"/>
  <c r="U435" i="3"/>
  <c r="V437" i="3"/>
  <c r="U437" i="3"/>
  <c r="V439" i="3"/>
  <c r="U439" i="3"/>
  <c r="V441" i="3"/>
  <c r="U441" i="3"/>
  <c r="V443" i="3"/>
  <c r="U443" i="3"/>
  <c r="V445" i="3"/>
  <c r="U445" i="3"/>
  <c r="V447" i="3"/>
  <c r="U447" i="3"/>
  <c r="V449" i="3"/>
  <c r="U449" i="3"/>
  <c r="V460" i="3"/>
  <c r="U460" i="3"/>
  <c r="U518" i="3"/>
  <c r="W518" i="3"/>
  <c r="U661" i="3"/>
  <c r="W661" i="3"/>
  <c r="U784" i="3"/>
  <c r="W794" i="3"/>
  <c r="U640" i="3"/>
  <c r="U666" i="3"/>
  <c r="V674" i="3"/>
  <c r="U725" i="3"/>
  <c r="U761" i="3"/>
  <c r="V793" i="3"/>
  <c r="U832" i="3"/>
  <c r="V112" i="3"/>
  <c r="W112" i="3"/>
  <c r="V185" i="3"/>
  <c r="W185" i="3"/>
  <c r="U185" i="3"/>
  <c r="W237" i="3"/>
  <c r="V237" i="3"/>
  <c r="U299" i="3"/>
  <c r="W299" i="3"/>
  <c r="V299" i="3"/>
  <c r="V364" i="3"/>
  <c r="U364" i="3"/>
  <c r="W394" i="3"/>
  <c r="V394" i="3"/>
  <c r="W420" i="3"/>
  <c r="V420" i="3"/>
  <c r="U420" i="3"/>
  <c r="U517" i="3"/>
  <c r="V517" i="3"/>
  <c r="W585" i="3"/>
  <c r="V585" i="3"/>
  <c r="U585" i="3"/>
  <c r="W632" i="3"/>
  <c r="V632" i="3"/>
  <c r="U705" i="3"/>
  <c r="V705" i="3"/>
  <c r="V719" i="3"/>
  <c r="W719" i="3"/>
  <c r="W774" i="3"/>
  <c r="U774" i="3"/>
  <c r="V829" i="3"/>
  <c r="W829" i="3"/>
  <c r="U17" i="3"/>
  <c r="W17" i="3"/>
  <c r="V17" i="3"/>
  <c r="W88" i="3"/>
  <c r="V88" i="3"/>
  <c r="U88" i="3"/>
  <c r="W194" i="3"/>
  <c r="V194" i="3"/>
  <c r="V281" i="3"/>
  <c r="W281" i="3"/>
  <c r="U281" i="3"/>
  <c r="U325" i="3"/>
  <c r="W325" i="3"/>
  <c r="W428" i="3"/>
  <c r="V428" i="3"/>
  <c r="V501" i="3"/>
  <c r="W501" i="3"/>
  <c r="V574" i="3"/>
  <c r="W574" i="3"/>
  <c r="U574" i="3"/>
  <c r="V687" i="3"/>
  <c r="W687" i="3"/>
  <c r="U687" i="3"/>
  <c r="U792" i="3"/>
  <c r="W792" i="3"/>
  <c r="V792" i="3"/>
  <c r="U42" i="3"/>
  <c r="W42" i="3"/>
  <c r="W147" i="3"/>
  <c r="V147" i="3"/>
  <c r="U169" i="3"/>
  <c r="W169" i="3"/>
  <c r="V346" i="3"/>
  <c r="U346" i="3"/>
  <c r="U380" i="3"/>
  <c r="W380" i="3"/>
  <c r="U515" i="3"/>
  <c r="W515" i="3"/>
  <c r="V515" i="3"/>
  <c r="V563" i="3"/>
  <c r="W563" i="3"/>
  <c r="W590" i="3"/>
  <c r="U590" i="3"/>
  <c r="V800" i="3"/>
  <c r="W800" i="3"/>
  <c r="U846" i="3"/>
  <c r="W846" i="3"/>
  <c r="V846" i="3"/>
  <c r="W862" i="3"/>
  <c r="V862" i="3"/>
  <c r="U862" i="3"/>
  <c r="V3" i="3"/>
  <c r="W3" i="3"/>
  <c r="V125" i="3"/>
  <c r="W125" i="3"/>
  <c r="W210" i="3"/>
  <c r="V210" i="3"/>
  <c r="U210" i="3"/>
  <c r="V343" i="3"/>
  <c r="W343" i="3"/>
  <c r="U398" i="3"/>
  <c r="V398" i="3"/>
  <c r="U526" i="3"/>
  <c r="W526" i="3"/>
  <c r="V526" i="3"/>
  <c r="W580" i="3"/>
  <c r="V580" i="3"/>
  <c r="U580" i="3"/>
  <c r="U616" i="3"/>
  <c r="W616" i="3"/>
  <c r="V616" i="3"/>
  <c r="U727" i="3"/>
  <c r="W727" i="3"/>
  <c r="W819" i="3"/>
  <c r="V819" i="3"/>
  <c r="U819" i="3"/>
  <c r="W163" i="3"/>
  <c r="W190" i="3"/>
  <c r="V197" i="3"/>
  <c r="V220" i="3"/>
  <c r="V269" i="3"/>
  <c r="W287" i="3"/>
  <c r="V357" i="3"/>
  <c r="W387" i="3"/>
  <c r="W460" i="3"/>
  <c r="V467" i="3"/>
  <c r="W478" i="3"/>
  <c r="W522" i="3"/>
  <c r="W527" i="3"/>
  <c r="W641" i="3"/>
  <c r="W674" i="3"/>
  <c r="V14" i="3"/>
  <c r="W30" i="3"/>
  <c r="V716" i="3"/>
  <c r="U765" i="3"/>
  <c r="V802" i="3"/>
  <c r="W841" i="3"/>
  <c r="U861" i="3"/>
  <c r="W37" i="3"/>
  <c r="W60" i="3"/>
  <c r="W83" i="3"/>
  <c r="W100" i="3"/>
  <c r="V129" i="3"/>
  <c r="V139" i="3"/>
  <c r="U248" i="3"/>
  <c r="U294" i="3"/>
  <c r="W306" i="3"/>
  <c r="W334" i="3"/>
  <c r="U376" i="3"/>
  <c r="W415" i="3"/>
  <c r="U458" i="3"/>
  <c r="V468" i="3"/>
  <c r="U471" i="3"/>
  <c r="U481" i="3"/>
  <c r="U488" i="3"/>
  <c r="V518" i="3"/>
  <c r="V523" i="3"/>
  <c r="V525" i="3"/>
  <c r="V540" i="3"/>
  <c r="U642" i="3"/>
  <c r="V646" i="3"/>
  <c r="V656" i="3"/>
  <c r="V666" i="3"/>
  <c r="V694" i="3"/>
  <c r="W708" i="3"/>
  <c r="W716" i="3"/>
  <c r="W762" i="3"/>
  <c r="V765" i="3"/>
  <c r="V794" i="3"/>
  <c r="W806" i="3"/>
  <c r="V861" i="3"/>
  <c r="V418" i="3"/>
  <c r="U418" i="3"/>
  <c r="V477" i="3"/>
  <c r="W477" i="3"/>
  <c r="V494" i="3"/>
  <c r="U494" i="3"/>
  <c r="V532" i="3"/>
  <c r="W532" i="3"/>
  <c r="W583" i="3"/>
  <c r="U583" i="3"/>
  <c r="U6" i="3"/>
  <c r="W34" i="3"/>
  <c r="W54" i="3"/>
  <c r="W62" i="3"/>
  <c r="U79" i="3"/>
  <c r="U104" i="3"/>
  <c r="W109" i="3"/>
  <c r="U128" i="3"/>
  <c r="U156" i="3"/>
  <c r="U173" i="3"/>
  <c r="W188" i="3"/>
  <c r="U209" i="3"/>
  <c r="U235" i="3"/>
  <c r="U247" i="3"/>
  <c r="U253" i="3"/>
  <c r="U254" i="3"/>
  <c r="U255" i="3"/>
  <c r="U256" i="3"/>
  <c r="U257" i="3"/>
  <c r="U258" i="3"/>
  <c r="U259" i="3"/>
  <c r="U260" i="3"/>
  <c r="U261" i="3"/>
  <c r="U262" i="3"/>
  <c r="W310" i="3"/>
  <c r="W319" i="3"/>
  <c r="W346" i="3"/>
  <c r="V349" i="3"/>
  <c r="V353" i="3"/>
  <c r="U362" i="3"/>
  <c r="W369" i="3"/>
  <c r="W374" i="3"/>
  <c r="V377" i="3"/>
  <c r="W384" i="3"/>
  <c r="U384" i="3"/>
  <c r="W401" i="3"/>
  <c r="W407" i="3"/>
  <c r="U427" i="3"/>
  <c r="V458" i="3"/>
  <c r="U477" i="3"/>
  <c r="W494" i="3"/>
  <c r="V508" i="3"/>
  <c r="W508" i="3"/>
  <c r="V516" i="3"/>
  <c r="W517" i="3"/>
  <c r="V520" i="3"/>
  <c r="W521" i="3"/>
  <c r="V524" i="3"/>
  <c r="W525" i="3"/>
  <c r="V528" i="3"/>
  <c r="W529" i="3"/>
  <c r="U532" i="3"/>
  <c r="U566" i="3"/>
  <c r="V572" i="3"/>
  <c r="U586" i="3"/>
  <c r="V590" i="3"/>
  <c r="W613" i="3"/>
  <c r="U613" i="3"/>
  <c r="W619" i="3"/>
  <c r="W631" i="3"/>
  <c r="V631" i="3"/>
  <c r="U634" i="3"/>
  <c r="V645" i="3"/>
  <c r="V649" i="3"/>
  <c r="U649" i="3"/>
  <c r="W649" i="3"/>
  <c r="U657" i="3"/>
  <c r="V657" i="3"/>
  <c r="W657" i="3"/>
  <c r="W670" i="3"/>
  <c r="U670" i="3"/>
  <c r="V670" i="3"/>
  <c r="V6" i="3"/>
  <c r="V15" i="3"/>
  <c r="V29" i="3"/>
  <c r="W32" i="3"/>
  <c r="W38" i="3"/>
  <c r="W49" i="3"/>
  <c r="V57" i="3"/>
  <c r="V79" i="3"/>
  <c r="V85" i="3"/>
  <c r="V104" i="3"/>
  <c r="U112" i="3"/>
  <c r="V117" i="3"/>
  <c r="V128" i="3"/>
  <c r="W144" i="3"/>
  <c r="U152" i="3"/>
  <c r="V156" i="3"/>
  <c r="V173" i="3"/>
  <c r="V200" i="3"/>
  <c r="V209" i="3"/>
  <c r="V235" i="3"/>
  <c r="V247" i="3"/>
  <c r="V253" i="3"/>
  <c r="V254" i="3"/>
  <c r="V255" i="3"/>
  <c r="V256" i="3"/>
  <c r="V257" i="3"/>
  <c r="V258" i="3"/>
  <c r="V259" i="3"/>
  <c r="V260" i="3"/>
  <c r="V261" i="3"/>
  <c r="V262" i="3"/>
  <c r="U278" i="3"/>
  <c r="U295" i="3"/>
  <c r="V317" i="3"/>
  <c r="W326" i="3"/>
  <c r="W331" i="3"/>
  <c r="W342" i="3"/>
  <c r="W353" i="3"/>
  <c r="V362" i="3"/>
  <c r="V368" i="3"/>
  <c r="W368" i="3"/>
  <c r="V372" i="3"/>
  <c r="U372" i="3"/>
  <c r="U406" i="3"/>
  <c r="V406" i="3"/>
  <c r="V430" i="3"/>
  <c r="U430" i="3"/>
  <c r="W516" i="3"/>
  <c r="W520" i="3"/>
  <c r="W524" i="3"/>
  <c r="W528" i="3"/>
  <c r="W566" i="3"/>
  <c r="V586" i="3"/>
  <c r="V606" i="3"/>
  <c r="W606" i="3"/>
  <c r="U622" i="3"/>
  <c r="V652" i="3"/>
  <c r="W652" i="3"/>
  <c r="V685" i="3"/>
  <c r="W685" i="3"/>
  <c r="W691" i="3"/>
  <c r="U691" i="3"/>
  <c r="V691" i="3"/>
  <c r="V702" i="3"/>
  <c r="W702" i="3"/>
  <c r="V11" i="3"/>
  <c r="U14" i="3"/>
  <c r="W19" i="3"/>
  <c r="V30" i="3"/>
  <c r="V37" i="3"/>
  <c r="V42" i="3"/>
  <c r="W47" i="3"/>
  <c r="W57" i="3"/>
  <c r="W85" i="3"/>
  <c r="W92" i="3"/>
  <c r="U100" i="3"/>
  <c r="W117" i="3"/>
  <c r="V278" i="3"/>
  <c r="W295" i="3"/>
  <c r="V391" i="3"/>
  <c r="W391" i="3"/>
  <c r="W472" i="3"/>
  <c r="V472" i="3"/>
  <c r="W499" i="3"/>
  <c r="U499" i="3"/>
  <c r="W539" i="3"/>
  <c r="V539" i="3"/>
  <c r="U564" i="3"/>
  <c r="V564" i="3"/>
  <c r="U652" i="3"/>
  <c r="U685" i="3"/>
  <c r="W692" i="3"/>
  <c r="V692" i="3"/>
  <c r="U702" i="3"/>
  <c r="V845" i="3"/>
  <c r="V849" i="3"/>
  <c r="W705" i="3"/>
  <c r="U720" i="3"/>
  <c r="W725" i="3"/>
  <c r="W752" i="3"/>
  <c r="V774" i="3"/>
  <c r="V780" i="3"/>
  <c r="W789" i="3"/>
  <c r="V797" i="3"/>
  <c r="W802" i="3"/>
  <c r="V844" i="3"/>
  <c r="W845" i="3"/>
  <c r="V848" i="3"/>
  <c r="W849" i="3"/>
  <c r="V857" i="3"/>
  <c r="U719" i="3"/>
  <c r="W720" i="3"/>
  <c r="V727" i="3"/>
  <c r="U762" i="3"/>
  <c r="W768" i="3"/>
  <c r="W780" i="3"/>
  <c r="U800" i="3"/>
  <c r="V806" i="3"/>
  <c r="W810" i="3"/>
  <c r="W821" i="3"/>
  <c r="W844" i="3"/>
  <c r="W848" i="3"/>
  <c r="W857" i="3"/>
  <c r="V46" i="3"/>
  <c r="W46" i="3"/>
  <c r="V191" i="3"/>
  <c r="W191" i="3"/>
  <c r="W414" i="3"/>
  <c r="V414" i="3"/>
  <c r="V557" i="3"/>
  <c r="W557" i="3"/>
  <c r="U557" i="3"/>
  <c r="U620" i="3"/>
  <c r="W620" i="3"/>
  <c r="W722" i="3"/>
  <c r="U722" i="3"/>
  <c r="V722" i="3"/>
  <c r="W9" i="3"/>
  <c r="V9" i="3"/>
  <c r="U9" i="3"/>
  <c r="U89" i="3"/>
  <c r="V89" i="3"/>
  <c r="W89" i="3"/>
  <c r="U123" i="3"/>
  <c r="W123" i="3"/>
  <c r="V123" i="3"/>
  <c r="W138" i="3"/>
  <c r="V138" i="3"/>
  <c r="U138" i="3"/>
  <c r="V181" i="3"/>
  <c r="W181" i="3"/>
  <c r="U201" i="3"/>
  <c r="W201" i="3"/>
  <c r="V201" i="3"/>
  <c r="V271" i="3"/>
  <c r="U271" i="3"/>
  <c r="W271" i="3"/>
  <c r="W290" i="3"/>
  <c r="V290" i="3"/>
  <c r="U290" i="3"/>
  <c r="U318" i="3"/>
  <c r="W318" i="3"/>
  <c r="V318" i="3"/>
  <c r="W337" i="3"/>
  <c r="V337" i="3"/>
  <c r="U370" i="3"/>
  <c r="W370" i="3"/>
  <c r="V370" i="3"/>
  <c r="V403" i="3"/>
  <c r="U403" i="3"/>
  <c r="W403" i="3"/>
  <c r="V454" i="3"/>
  <c r="U454" i="3"/>
  <c r="W454" i="3"/>
  <c r="W498" i="3"/>
  <c r="V498" i="3"/>
  <c r="U498" i="3"/>
  <c r="U543" i="3"/>
  <c r="W543" i="3"/>
  <c r="V543" i="3"/>
  <c r="U604" i="3"/>
  <c r="W604" i="3"/>
  <c r="V604" i="3"/>
  <c r="W609" i="3"/>
  <c r="V609" i="3"/>
  <c r="U609" i="3"/>
  <c r="U717" i="3"/>
  <c r="W717" i="3"/>
  <c r="V717" i="3"/>
  <c r="U766" i="3"/>
  <c r="V766" i="3"/>
  <c r="W766" i="3"/>
  <c r="V826" i="3"/>
  <c r="W826" i="3"/>
  <c r="W836" i="3"/>
  <c r="V836" i="3"/>
  <c r="U836" i="3"/>
  <c r="W843" i="3"/>
  <c r="V843" i="3"/>
  <c r="U130" i="3"/>
  <c r="V130" i="3"/>
  <c r="W130" i="3"/>
  <c r="W151" i="3"/>
  <c r="V151" i="3"/>
  <c r="U151" i="3"/>
  <c r="V225" i="3"/>
  <c r="W225" i="3"/>
  <c r="U225" i="3"/>
  <c r="V340" i="3"/>
  <c r="W340" i="3"/>
  <c r="U340" i="3"/>
  <c r="V373" i="3"/>
  <c r="W373" i="3"/>
  <c r="U373" i="3"/>
  <c r="V381" i="3"/>
  <c r="U381" i="3"/>
  <c r="V390" i="3"/>
  <c r="U390" i="3"/>
  <c r="W5" i="3"/>
  <c r="V5" i="3"/>
  <c r="U5" i="3"/>
  <c r="W21" i="3"/>
  <c r="V21" i="3"/>
  <c r="U21" i="3"/>
  <c r="V50" i="3"/>
  <c r="W50" i="3"/>
  <c r="U80" i="3"/>
  <c r="V80" i="3"/>
  <c r="W80" i="3"/>
  <c r="U93" i="3"/>
  <c r="W93" i="3"/>
  <c r="V93" i="3"/>
  <c r="W127" i="3"/>
  <c r="V127" i="3"/>
  <c r="U127" i="3"/>
  <c r="V133" i="3"/>
  <c r="W133" i="3"/>
  <c r="W148" i="3"/>
  <c r="V148" i="3"/>
  <c r="U148" i="3"/>
  <c r="U174" i="3"/>
  <c r="W174" i="3"/>
  <c r="W205" i="3"/>
  <c r="V205" i="3"/>
  <c r="U205" i="3"/>
  <c r="U263" i="3"/>
  <c r="V263" i="3"/>
  <c r="W263" i="3"/>
  <c r="V399" i="3"/>
  <c r="W399" i="3"/>
  <c r="W470" i="3"/>
  <c r="V470" i="3"/>
  <c r="U470" i="3"/>
  <c r="U581" i="3"/>
  <c r="W581" i="3"/>
  <c r="W696" i="3"/>
  <c r="V696" i="3"/>
  <c r="U696" i="3"/>
  <c r="U706" i="3"/>
  <c r="W706" i="3"/>
  <c r="V706" i="3"/>
  <c r="W13" i="3"/>
  <c r="V13" i="3"/>
  <c r="U13" i="3"/>
  <c r="V110" i="3"/>
  <c r="W110" i="3"/>
  <c r="V114" i="3"/>
  <c r="W114" i="3"/>
  <c r="W196" i="3"/>
  <c r="V196" i="3"/>
  <c r="U196" i="3"/>
  <c r="V48" i="3"/>
  <c r="W48" i="3"/>
  <c r="U61" i="3"/>
  <c r="W61" i="3"/>
  <c r="V61" i="3"/>
  <c r="V108" i="3"/>
  <c r="W108" i="3"/>
  <c r="U108" i="3"/>
  <c r="V140" i="3"/>
  <c r="W140" i="3"/>
  <c r="V154" i="3"/>
  <c r="W154" i="3"/>
  <c r="V171" i="3"/>
  <c r="W171" i="3"/>
  <c r="U171" i="3"/>
  <c r="U301" i="3"/>
  <c r="W301" i="3"/>
  <c r="V301" i="3"/>
  <c r="W365" i="3"/>
  <c r="V365" i="3"/>
  <c r="W395" i="3"/>
  <c r="V395" i="3"/>
  <c r="U395" i="3"/>
  <c r="W419" i="3"/>
  <c r="V419" i="3"/>
  <c r="W423" i="3"/>
  <c r="V423" i="3"/>
  <c r="U423" i="3"/>
  <c r="W466" i="3"/>
  <c r="V466" i="3"/>
  <c r="U466" i="3"/>
  <c r="W579" i="3"/>
  <c r="V579" i="3"/>
  <c r="U579" i="3"/>
  <c r="V677" i="3"/>
  <c r="W677" i="3"/>
  <c r="U677" i="3"/>
  <c r="U23" i="3"/>
  <c r="V23" i="3"/>
  <c r="U44" i="3"/>
  <c r="W44" i="3"/>
  <c r="V86" i="3"/>
  <c r="W86" i="3"/>
  <c r="U97" i="3"/>
  <c r="V97" i="3"/>
  <c r="V118" i="3"/>
  <c r="W118" i="3"/>
  <c r="W211" i="3"/>
  <c r="U211" i="3"/>
  <c r="W219" i="3"/>
  <c r="V219" i="3"/>
  <c r="U219" i="3"/>
  <c r="V249" i="3"/>
  <c r="W249" i="3"/>
  <c r="W268" i="3"/>
  <c r="V268" i="3"/>
  <c r="U268" i="3"/>
  <c r="V279" i="3"/>
  <c r="W279" i="3"/>
  <c r="U279" i="3"/>
  <c r="U314" i="3"/>
  <c r="W314" i="3"/>
  <c r="U358" i="3"/>
  <c r="W358" i="3"/>
  <c r="V366" i="3"/>
  <c r="W366" i="3"/>
  <c r="U366" i="3"/>
  <c r="V382" i="3"/>
  <c r="W382" i="3"/>
  <c r="U382" i="3"/>
  <c r="V392" i="3"/>
  <c r="W392" i="3"/>
  <c r="W396" i="3"/>
  <c r="V396" i="3"/>
  <c r="W400" i="3"/>
  <c r="U400" i="3"/>
  <c r="W412" i="3"/>
  <c r="U412" i="3"/>
  <c r="U416" i="3"/>
  <c r="W416" i="3"/>
  <c r="V507" i="3"/>
  <c r="W507" i="3"/>
  <c r="W618" i="3"/>
  <c r="V618" i="3"/>
  <c r="U618" i="3"/>
  <c r="W679" i="3"/>
  <c r="V679" i="3"/>
  <c r="U679" i="3"/>
  <c r="W697" i="3"/>
  <c r="V697" i="3"/>
  <c r="U697" i="3"/>
  <c r="U704" i="3"/>
  <c r="W704" i="3"/>
  <c r="V704" i="3"/>
  <c r="W723" i="3"/>
  <c r="U723" i="3"/>
  <c r="V723" i="3"/>
  <c r="W750" i="3"/>
  <c r="V750" i="3"/>
  <c r="U754" i="3"/>
  <c r="W754" i="3"/>
  <c r="V754" i="3"/>
  <c r="W791" i="3"/>
  <c r="V791" i="3"/>
  <c r="U791" i="3"/>
  <c r="W798" i="3"/>
  <c r="V798" i="3"/>
  <c r="U798" i="3"/>
  <c r="U850" i="3"/>
  <c r="W850" i="3"/>
  <c r="V850" i="3"/>
  <c r="V855" i="3"/>
  <c r="W855" i="3"/>
  <c r="U8" i="3"/>
  <c r="U12" i="3"/>
  <c r="U16" i="3"/>
  <c r="W18" i="3"/>
  <c r="W23" i="3"/>
  <c r="V39" i="3"/>
  <c r="V41" i="3"/>
  <c r="V44" i="3"/>
  <c r="V52" i="3"/>
  <c r="U56" i="3"/>
  <c r="W58" i="3"/>
  <c r="W81" i="3"/>
  <c r="U84" i="3"/>
  <c r="W90" i="3"/>
  <c r="V94" i="3"/>
  <c r="W94" i="3"/>
  <c r="W97" i="3"/>
  <c r="V101" i="3"/>
  <c r="U105" i="3"/>
  <c r="V105" i="3"/>
  <c r="U116" i="3"/>
  <c r="U124" i="3"/>
  <c r="W124" i="3"/>
  <c r="W131" i="3"/>
  <c r="V142" i="3"/>
  <c r="U146" i="3"/>
  <c r="V159" i="3"/>
  <c r="W167" i="3"/>
  <c r="W178" i="3"/>
  <c r="U183" i="3"/>
  <c r="V187" i="3"/>
  <c r="U193" i="3"/>
  <c r="U195" i="3"/>
  <c r="V211" i="3"/>
  <c r="W212" i="3"/>
  <c r="V212" i="3"/>
  <c r="V224" i="3"/>
  <c r="U224" i="3"/>
  <c r="W236" i="3"/>
  <c r="U236" i="3"/>
  <c r="V236" i="3"/>
  <c r="W243" i="3"/>
  <c r="V243" i="3"/>
  <c r="U249" i="3"/>
  <c r="U292" i="3"/>
  <c r="W292" i="3"/>
  <c r="V304" i="3"/>
  <c r="W304" i="3"/>
  <c r="W311" i="3"/>
  <c r="V314" i="3"/>
  <c r="U321" i="3"/>
  <c r="W321" i="3"/>
  <c r="V333" i="3"/>
  <c r="W333" i="3"/>
  <c r="W350" i="3"/>
  <c r="V350" i="3"/>
  <c r="V355" i="3"/>
  <c r="W355" i="3"/>
  <c r="U355" i="3"/>
  <c r="V367" i="3"/>
  <c r="W367" i="3"/>
  <c r="U396" i="3"/>
  <c r="V416" i="3"/>
  <c r="V433" i="3"/>
  <c r="U433" i="3"/>
  <c r="U462" i="3"/>
  <c r="W462" i="3"/>
  <c r="V479" i="3"/>
  <c r="U479" i="3"/>
  <c r="W479" i="3"/>
  <c r="V486" i="3"/>
  <c r="W486" i="3"/>
  <c r="U486" i="3"/>
  <c r="U503" i="3"/>
  <c r="W503" i="3"/>
  <c r="U507" i="3"/>
  <c r="V576" i="3"/>
  <c r="W576" i="3"/>
  <c r="U576" i="3"/>
  <c r="U594" i="3"/>
  <c r="W594" i="3"/>
  <c r="W647" i="3"/>
  <c r="U647" i="3"/>
  <c r="W671" i="3"/>
  <c r="U671" i="3"/>
  <c r="V671" i="3"/>
  <c r="V682" i="3"/>
  <c r="W682" i="3"/>
  <c r="W693" i="3"/>
  <c r="U693" i="3"/>
  <c r="V693" i="3"/>
  <c r="U710" i="3"/>
  <c r="V710" i="3"/>
  <c r="V714" i="3"/>
  <c r="W714" i="3"/>
  <c r="U714" i="3"/>
  <c r="V735" i="3"/>
  <c r="W735" i="3"/>
  <c r="U750" i="3"/>
  <c r="W773" i="3"/>
  <c r="V773" i="3"/>
  <c r="W840" i="3"/>
  <c r="V840" i="3"/>
  <c r="U840" i="3"/>
  <c r="U7" i="3"/>
  <c r="V8" i="3"/>
  <c r="U11" i="3"/>
  <c r="V12" i="3"/>
  <c r="U15" i="3"/>
  <c r="V16" i="3"/>
  <c r="W24" i="3"/>
  <c r="U29" i="3"/>
  <c r="W31" i="3"/>
  <c r="W33" i="3"/>
  <c r="W35" i="3"/>
  <c r="V38" i="3"/>
  <c r="W39" i="3"/>
  <c r="U40" i="3"/>
  <c r="W40" i="3"/>
  <c r="W41" i="3"/>
  <c r="U43" i="3"/>
  <c r="V43" i="3"/>
  <c r="W52" i="3"/>
  <c r="U53" i="3"/>
  <c r="W53" i="3"/>
  <c r="V56" i="3"/>
  <c r="V60" i="3"/>
  <c r="U83" i="3"/>
  <c r="W84" i="3"/>
  <c r="U92" i="3"/>
  <c r="W98" i="3"/>
  <c r="W101" i="3"/>
  <c r="V102" i="3"/>
  <c r="W102" i="3"/>
  <c r="W105" i="3"/>
  <c r="V109" i="3"/>
  <c r="U113" i="3"/>
  <c r="V113" i="3"/>
  <c r="W116" i="3"/>
  <c r="V124" i="3"/>
  <c r="V132" i="3"/>
  <c r="W132" i="3"/>
  <c r="W142" i="3"/>
  <c r="U143" i="3"/>
  <c r="W143" i="3"/>
  <c r="V146" i="3"/>
  <c r="W159" i="3"/>
  <c r="U164" i="3"/>
  <c r="W164" i="3"/>
  <c r="V169" i="3"/>
  <c r="U177" i="3"/>
  <c r="V177" i="3"/>
  <c r="W183" i="3"/>
  <c r="W187" i="3"/>
  <c r="V193" i="3"/>
  <c r="V195" i="3"/>
  <c r="U200" i="3"/>
  <c r="W204" i="3"/>
  <c r="U204" i="3"/>
  <c r="U212" i="3"/>
  <c r="W224" i="3"/>
  <c r="U243" i="3"/>
  <c r="U283" i="3"/>
  <c r="W283" i="3"/>
  <c r="V283" i="3"/>
  <c r="V292" i="3"/>
  <c r="V297" i="3"/>
  <c r="W297" i="3"/>
  <c r="U297" i="3"/>
  <c r="V308" i="3"/>
  <c r="W308" i="3"/>
  <c r="V321" i="3"/>
  <c r="U333" i="3"/>
  <c r="U367" i="3"/>
  <c r="U379" i="3"/>
  <c r="W379" i="3"/>
  <c r="V379" i="3"/>
  <c r="W385" i="3"/>
  <c r="V385" i="3"/>
  <c r="U385" i="3"/>
  <c r="U408" i="3"/>
  <c r="W408" i="3"/>
  <c r="V408" i="3"/>
  <c r="V425" i="3"/>
  <c r="V426" i="3"/>
  <c r="W426" i="3"/>
  <c r="V456" i="3"/>
  <c r="W456" i="3"/>
  <c r="V462" i="3"/>
  <c r="W469" i="3"/>
  <c r="V469" i="3"/>
  <c r="U469" i="3"/>
  <c r="V476" i="3"/>
  <c r="W476" i="3"/>
  <c r="U476" i="3"/>
  <c r="V503" i="3"/>
  <c r="V535" i="3"/>
  <c r="V536" i="3"/>
  <c r="W536" i="3"/>
  <c r="U536" i="3"/>
  <c r="V556" i="3"/>
  <c r="W556" i="3"/>
  <c r="U556" i="3"/>
  <c r="V560" i="3"/>
  <c r="W560" i="3"/>
  <c r="U560" i="3"/>
  <c r="V568" i="3"/>
  <c r="W568" i="3"/>
  <c r="V594" i="3"/>
  <c r="W601" i="3"/>
  <c r="V601" i="3"/>
  <c r="U603" i="3"/>
  <c r="V603" i="3"/>
  <c r="W615" i="3"/>
  <c r="V615" i="3"/>
  <c r="U615" i="3"/>
  <c r="W623" i="3"/>
  <c r="U623" i="3"/>
  <c r="W626" i="3"/>
  <c r="V626" i="3"/>
  <c r="U626" i="3"/>
  <c r="W644" i="3"/>
  <c r="V644" i="3"/>
  <c r="V647" i="3"/>
  <c r="U682" i="3"/>
  <c r="U688" i="3"/>
  <c r="W688" i="3"/>
  <c r="V688" i="3"/>
  <c r="W710" i="3"/>
  <c r="V730" i="3"/>
  <c r="W730" i="3"/>
  <c r="U735" i="3"/>
  <c r="W838" i="3"/>
  <c r="V838" i="3"/>
  <c r="U838" i="3"/>
  <c r="U276" i="3"/>
  <c r="W276" i="3"/>
  <c r="W336" i="3"/>
  <c r="U336" i="3"/>
  <c r="V388" i="3"/>
  <c r="W388" i="3"/>
  <c r="W434" i="3"/>
  <c r="V434" i="3"/>
  <c r="V455" i="3"/>
  <c r="W455" i="3"/>
  <c r="V483" i="3"/>
  <c r="W483" i="3"/>
  <c r="V496" i="3"/>
  <c r="W496" i="3"/>
  <c r="V509" i="3"/>
  <c r="U509" i="3"/>
  <c r="U565" i="3"/>
  <c r="V565" i="3"/>
  <c r="W584" i="3"/>
  <c r="V584" i="3"/>
  <c r="U587" i="3"/>
  <c r="V587" i="3"/>
  <c r="U599" i="3"/>
  <c r="V599" i="3"/>
  <c r="V607" i="3"/>
  <c r="W607" i="3"/>
  <c r="V629" i="3"/>
  <c r="U629" i="3"/>
  <c r="V635" i="3"/>
  <c r="W635" i="3"/>
  <c r="W643" i="3"/>
  <c r="U643" i="3"/>
  <c r="U660" i="3"/>
  <c r="V660" i="3"/>
  <c r="V676" i="3"/>
  <c r="U676" i="3"/>
  <c r="V700" i="3"/>
  <c r="W700" i="3"/>
  <c r="U711" i="3"/>
  <c r="W711" i="3"/>
  <c r="V731" i="3"/>
  <c r="U731" i="3"/>
  <c r="U807" i="3"/>
  <c r="W807" i="3"/>
  <c r="V807" i="3"/>
  <c r="V813" i="3"/>
  <c r="U813" i="3"/>
  <c r="V830" i="3"/>
  <c r="W830" i="3"/>
  <c r="U237" i="3"/>
  <c r="W242" i="3"/>
  <c r="U242" i="3"/>
  <c r="V266" i="3"/>
  <c r="U266" i="3"/>
  <c r="U273" i="3"/>
  <c r="V276" i="3"/>
  <c r="V285" i="3"/>
  <c r="W285" i="3"/>
  <c r="U288" i="3"/>
  <c r="V288" i="3"/>
  <c r="V291" i="3"/>
  <c r="V300" i="3"/>
  <c r="V303" i="3"/>
  <c r="W303" i="3"/>
  <c r="U306" i="3"/>
  <c r="V310" i="3"/>
  <c r="W315" i="3"/>
  <c r="V320" i="3"/>
  <c r="W322" i="3"/>
  <c r="V325" i="3"/>
  <c r="V328" i="3"/>
  <c r="W328" i="3"/>
  <c r="U331" i="3"/>
  <c r="V336" i="3"/>
  <c r="U342" i="3"/>
  <c r="U352" i="3"/>
  <c r="V360" i="3"/>
  <c r="W360" i="3"/>
  <c r="U363" i="3"/>
  <c r="W363" i="3"/>
  <c r="U369" i="3"/>
  <c r="U394" i="3"/>
  <c r="U405" i="3"/>
  <c r="V407" i="3"/>
  <c r="V410" i="3"/>
  <c r="W410" i="3"/>
  <c r="W413" i="3"/>
  <c r="U413" i="3"/>
  <c r="V415" i="3"/>
  <c r="W417" i="3"/>
  <c r="U421" i="3"/>
  <c r="V421" i="3"/>
  <c r="V424" i="3"/>
  <c r="U428" i="3"/>
  <c r="V431" i="3"/>
  <c r="W431" i="3"/>
  <c r="U455" i="3"/>
  <c r="V464" i="3"/>
  <c r="U464" i="3"/>
  <c r="U468" i="3"/>
  <c r="U472" i="3"/>
  <c r="V475" i="3"/>
  <c r="U475" i="3"/>
  <c r="U483" i="3"/>
  <c r="U496" i="3"/>
  <c r="U501" i="3"/>
  <c r="W509" i="3"/>
  <c r="U534" i="3"/>
  <c r="U541" i="3"/>
  <c r="V544" i="3"/>
  <c r="V545" i="3"/>
  <c r="U545" i="3"/>
  <c r="V558" i="3"/>
  <c r="V559" i="3"/>
  <c r="W559" i="3"/>
  <c r="U563" i="3"/>
  <c r="V569" i="3"/>
  <c r="V570" i="3"/>
  <c r="W570" i="3"/>
  <c r="U573" i="3"/>
  <c r="V573" i="3"/>
  <c r="U584" i="3"/>
  <c r="U592" i="3"/>
  <c r="U596" i="3"/>
  <c r="W599" i="3"/>
  <c r="U607" i="3"/>
  <c r="U614" i="3"/>
  <c r="W629" i="3"/>
  <c r="U632" i="3"/>
  <c r="U635" i="3"/>
  <c r="V643" i="3"/>
  <c r="U645" i="3"/>
  <c r="V654" i="3"/>
  <c r="U654" i="3"/>
  <c r="W654" i="3"/>
  <c r="W660" i="3"/>
  <c r="W676" i="3"/>
  <c r="U680" i="3"/>
  <c r="V680" i="3"/>
  <c r="U700" i="3"/>
  <c r="U708" i="3"/>
  <c r="V711" i="3"/>
  <c r="U728" i="3"/>
  <c r="V728" i="3"/>
  <c r="W731" i="3"/>
  <c r="V739" i="3"/>
  <c r="W739" i="3"/>
  <c r="V742" i="3"/>
  <c r="U742" i="3"/>
  <c r="U745" i="3"/>
  <c r="W745" i="3"/>
  <c r="V748" i="3"/>
  <c r="W748" i="3"/>
  <c r="U748" i="3"/>
  <c r="V775" i="3"/>
  <c r="U775" i="3"/>
  <c r="W777" i="3"/>
  <c r="W813" i="3"/>
  <c r="V822" i="3"/>
  <c r="W822" i="3"/>
  <c r="U664" i="3"/>
  <c r="W664" i="3"/>
  <c r="W667" i="3"/>
  <c r="U667" i="3"/>
  <c r="W690" i="3"/>
  <c r="U690" i="3"/>
  <c r="U712" i="3"/>
  <c r="W712" i="3"/>
  <c r="V734" i="3"/>
  <c r="W734" i="3"/>
  <c r="V738" i="3"/>
  <c r="U738" i="3"/>
  <c r="V743" i="3"/>
  <c r="W743" i="3"/>
  <c r="U755" i="3"/>
  <c r="W755" i="3"/>
  <c r="V758" i="3"/>
  <c r="U758" i="3"/>
  <c r="V776" i="3"/>
  <c r="U776" i="3"/>
  <c r="V782" i="3"/>
  <c r="W782" i="3"/>
  <c r="U782" i="3"/>
  <c r="W788" i="3"/>
  <c r="V788" i="3"/>
  <c r="V814" i="3"/>
  <c r="U814" i="3"/>
  <c r="W835" i="3"/>
  <c r="V835" i="3"/>
  <c r="W837" i="3"/>
  <c r="V837" i="3"/>
  <c r="W839" i="3"/>
  <c r="V839" i="3"/>
  <c r="V853" i="3"/>
  <c r="U853" i="3"/>
  <c r="V859" i="3"/>
  <c r="W859" i="3"/>
  <c r="U859" i="3"/>
  <c r="V768" i="3"/>
  <c r="W786" i="3"/>
  <c r="U797" i="3"/>
  <c r="U810" i="3"/>
  <c r="W817" i="3"/>
  <c r="U821" i="3"/>
  <c r="U825" i="3"/>
  <c r="U829" i="3"/>
  <c r="V833" i="3"/>
  <c r="W199" i="3"/>
  <c r="V199" i="3"/>
  <c r="W208" i="3"/>
  <c r="V208" i="3"/>
  <c r="V213" i="3"/>
  <c r="U213" i="3"/>
  <c r="W222" i="3"/>
  <c r="V222" i="3"/>
  <c r="V227" i="3"/>
  <c r="U227" i="3"/>
  <c r="V229" i="3"/>
  <c r="U229" i="3"/>
  <c r="V231" i="3"/>
  <c r="U231" i="3"/>
  <c r="V233" i="3"/>
  <c r="U233" i="3"/>
  <c r="V239" i="3"/>
  <c r="U239" i="3"/>
  <c r="W246" i="3"/>
  <c r="V246" i="3"/>
  <c r="U265" i="3"/>
  <c r="W265" i="3"/>
  <c r="V267" i="3"/>
  <c r="W267" i="3"/>
  <c r="U267" i="3"/>
  <c r="W272" i="3"/>
  <c r="V272" i="3"/>
  <c r="U274" i="3"/>
  <c r="W274" i="3"/>
  <c r="V274" i="3"/>
  <c r="V289" i="3"/>
  <c r="W289" i="3"/>
  <c r="V293" i="3"/>
  <c r="W293" i="3"/>
  <c r="U293" i="3"/>
  <c r="W298" i="3"/>
  <c r="V298" i="3"/>
  <c r="U302" i="3"/>
  <c r="W302" i="3"/>
  <c r="V302" i="3"/>
  <c r="W305" i="3"/>
  <c r="V305" i="3"/>
  <c r="U307" i="3"/>
  <c r="W307" i="3"/>
  <c r="V307" i="3"/>
  <c r="U313" i="3"/>
  <c r="W313" i="3"/>
  <c r="U323" i="3"/>
  <c r="W323" i="3"/>
  <c r="V323" i="3"/>
  <c r="U327" i="3"/>
  <c r="W327" i="3"/>
  <c r="V327" i="3"/>
  <c r="V344" i="3"/>
  <c r="W344" i="3"/>
  <c r="U344" i="3"/>
  <c r="W356" i="3"/>
  <c r="V356" i="3"/>
  <c r="U356" i="3"/>
  <c r="W361" i="3"/>
  <c r="V361" i="3"/>
  <c r="U361" i="3"/>
  <c r="U386" i="3"/>
  <c r="W386" i="3"/>
  <c r="V386" i="3"/>
  <c r="U397" i="3"/>
  <c r="W397" i="3"/>
  <c r="V397" i="3"/>
  <c r="W411" i="3"/>
  <c r="V411" i="3"/>
  <c r="U411" i="3"/>
  <c r="U429" i="3"/>
  <c r="W429" i="3"/>
  <c r="V429" i="3"/>
  <c r="W537" i="3"/>
  <c r="V537" i="3"/>
  <c r="U537" i="3"/>
  <c r="W549" i="3"/>
  <c r="V549" i="3"/>
  <c r="U549" i="3"/>
  <c r="W553" i="3"/>
  <c r="V553" i="3"/>
  <c r="U553" i="3"/>
  <c r="W571" i="3"/>
  <c r="V571" i="3"/>
  <c r="U571" i="3"/>
  <c r="V582" i="3"/>
  <c r="U582" i="3"/>
  <c r="W582" i="3"/>
  <c r="V621" i="3"/>
  <c r="U621" i="3"/>
  <c r="W621" i="3"/>
  <c r="W636" i="3"/>
  <c r="V636" i="3"/>
  <c r="U636" i="3"/>
  <c r="V683" i="3"/>
  <c r="W683" i="3"/>
  <c r="U683" i="3"/>
  <c r="U815" i="3"/>
  <c r="W815" i="3"/>
  <c r="V815" i="3"/>
  <c r="U4" i="3"/>
  <c r="U20" i="3"/>
  <c r="U25" i="3"/>
  <c r="U26" i="3"/>
  <c r="U27" i="3"/>
  <c r="U28" i="3"/>
  <c r="U36" i="3"/>
  <c r="U51" i="3"/>
  <c r="U55" i="3"/>
  <c r="U59" i="3"/>
  <c r="U63" i="3"/>
  <c r="U64" i="3"/>
  <c r="U65" i="3"/>
  <c r="U66" i="3"/>
  <c r="U67" i="3"/>
  <c r="U68" i="3"/>
  <c r="U69" i="3"/>
  <c r="U70" i="3"/>
  <c r="U71" i="3"/>
  <c r="U72" i="3"/>
  <c r="U73" i="3"/>
  <c r="U74" i="3"/>
  <c r="U75" i="3"/>
  <c r="U76" i="3"/>
  <c r="U77" i="3"/>
  <c r="U78" i="3"/>
  <c r="U82" i="3"/>
  <c r="U87" i="3"/>
  <c r="U91" i="3"/>
  <c r="U95" i="3"/>
  <c r="U99" i="3"/>
  <c r="U103" i="3"/>
  <c r="U107" i="3"/>
  <c r="U111" i="3"/>
  <c r="U115" i="3"/>
  <c r="U119" i="3"/>
  <c r="U120" i="3"/>
  <c r="U121" i="3"/>
  <c r="U122" i="3"/>
  <c r="U126" i="3"/>
  <c r="U134" i="3"/>
  <c r="U135" i="3"/>
  <c r="U136" i="3"/>
  <c r="U137" i="3"/>
  <c r="U141" i="3"/>
  <c r="U145" i="3"/>
  <c r="V153" i="3"/>
  <c r="U155" i="3"/>
  <c r="V158" i="3"/>
  <c r="V162" i="3"/>
  <c r="V166" i="3"/>
  <c r="U168" i="3"/>
  <c r="V176" i="3"/>
  <c r="V180" i="3"/>
  <c r="U182" i="3"/>
  <c r="U199" i="3"/>
  <c r="V206" i="3"/>
  <c r="U206" i="3"/>
  <c r="U208" i="3"/>
  <c r="W213" i="3"/>
  <c r="W214" i="3"/>
  <c r="V214" i="3"/>
  <c r="W216" i="3"/>
  <c r="V216" i="3"/>
  <c r="W218" i="3"/>
  <c r="V218" i="3"/>
  <c r="U222" i="3"/>
  <c r="W227" i="3"/>
  <c r="W229" i="3"/>
  <c r="W231" i="3"/>
  <c r="W233" i="3"/>
  <c r="W234" i="3"/>
  <c r="V234" i="3"/>
  <c r="W239" i="3"/>
  <c r="V244" i="3"/>
  <c r="U244" i="3"/>
  <c r="U246" i="3"/>
  <c r="V250" i="3"/>
  <c r="U250" i="3"/>
  <c r="W252" i="3"/>
  <c r="V252" i="3"/>
  <c r="U252" i="3"/>
  <c r="V265" i="3"/>
  <c r="U270" i="3"/>
  <c r="W270" i="3"/>
  <c r="U272" i="3"/>
  <c r="U275" i="3"/>
  <c r="W275" i="3"/>
  <c r="V277" i="3"/>
  <c r="W277" i="3"/>
  <c r="U277" i="3"/>
  <c r="W282" i="3"/>
  <c r="V282" i="3"/>
  <c r="U284" i="3"/>
  <c r="W284" i="3"/>
  <c r="V284" i="3"/>
  <c r="U289" i="3"/>
  <c r="U296" i="3"/>
  <c r="W296" i="3"/>
  <c r="U298" i="3"/>
  <c r="U305" i="3"/>
  <c r="V313" i="3"/>
  <c r="U324" i="3"/>
  <c r="W324" i="3"/>
  <c r="V345" i="3"/>
  <c r="W345" i="3"/>
  <c r="W347" i="3"/>
  <c r="V347" i="3"/>
  <c r="U347" i="3"/>
  <c r="W351" i="3"/>
  <c r="V351" i="3"/>
  <c r="U351" i="3"/>
  <c r="V389" i="3"/>
  <c r="W389" i="3"/>
  <c r="U389" i="3"/>
  <c r="W404" i="3"/>
  <c r="V404" i="3"/>
  <c r="U404" i="3"/>
  <c r="V422" i="3"/>
  <c r="W422" i="3"/>
  <c r="U422" i="3"/>
  <c r="V432" i="3"/>
  <c r="W432" i="3"/>
  <c r="U432" i="3"/>
  <c r="U452" i="3"/>
  <c r="W452" i="3"/>
  <c r="V452" i="3"/>
  <c r="U487" i="3"/>
  <c r="W487" i="3"/>
  <c r="V487" i="3"/>
  <c r="U3" i="3"/>
  <c r="V4" i="3"/>
  <c r="U19" i="3"/>
  <c r="V20" i="3"/>
  <c r="V26" i="3"/>
  <c r="V27" i="3"/>
  <c r="V28" i="3"/>
  <c r="U31" i="3"/>
  <c r="U32" i="3"/>
  <c r="U33" i="3"/>
  <c r="U34" i="3"/>
  <c r="U35" i="3"/>
  <c r="V36" i="3"/>
  <c r="U45" i="3"/>
  <c r="U46" i="3"/>
  <c r="U47" i="3"/>
  <c r="U48" i="3"/>
  <c r="U49" i="3"/>
  <c r="U50" i="3"/>
  <c r="V51" i="3"/>
  <c r="U54" i="3"/>
  <c r="V55" i="3"/>
  <c r="U58" i="3"/>
  <c r="V59" i="3"/>
  <c r="U62" i="3"/>
  <c r="V63" i="3"/>
  <c r="V64" i="3"/>
  <c r="V65" i="3"/>
  <c r="V66" i="3"/>
  <c r="V68" i="3"/>
  <c r="V69" i="3"/>
  <c r="V70" i="3"/>
  <c r="V71" i="3"/>
  <c r="V72" i="3"/>
  <c r="V73" i="3"/>
  <c r="V74" i="3"/>
  <c r="V75" i="3"/>
  <c r="V76" i="3"/>
  <c r="V77" i="3"/>
  <c r="V78" i="3"/>
  <c r="U81" i="3"/>
  <c r="V82" i="3"/>
  <c r="U86" i="3"/>
  <c r="V87" i="3"/>
  <c r="U90" i="3"/>
  <c r="V91" i="3"/>
  <c r="U94" i="3"/>
  <c r="V95" i="3"/>
  <c r="U98" i="3"/>
  <c r="V99" i="3"/>
  <c r="U102" i="3"/>
  <c r="V103" i="3"/>
  <c r="U106" i="3"/>
  <c r="V107" i="3"/>
  <c r="U110" i="3"/>
  <c r="V111" i="3"/>
  <c r="U114" i="3"/>
  <c r="V115" i="3"/>
  <c r="U118" i="3"/>
  <c r="V119" i="3"/>
  <c r="V120" i="3"/>
  <c r="V121" i="3"/>
  <c r="V122" i="3"/>
  <c r="U125" i="3"/>
  <c r="V126" i="3"/>
  <c r="U131" i="3"/>
  <c r="U132" i="3"/>
  <c r="U133" i="3"/>
  <c r="V134" i="3"/>
  <c r="V135" i="3"/>
  <c r="V136" i="3"/>
  <c r="V137" i="3"/>
  <c r="U140" i="3"/>
  <c r="V141" i="3"/>
  <c r="U144" i="3"/>
  <c r="V145" i="3"/>
  <c r="U150" i="3"/>
  <c r="W153" i="3"/>
  <c r="V155" i="3"/>
  <c r="V157" i="3"/>
  <c r="W158" i="3"/>
  <c r="V161" i="3"/>
  <c r="W162" i="3"/>
  <c r="V165" i="3"/>
  <c r="W166" i="3"/>
  <c r="V168" i="3"/>
  <c r="V170" i="3"/>
  <c r="U172" i="3"/>
  <c r="V175" i="3"/>
  <c r="W176" i="3"/>
  <c r="V179" i="3"/>
  <c r="W180" i="3"/>
  <c r="V182" i="3"/>
  <c r="V184" i="3"/>
  <c r="U186" i="3"/>
  <c r="V189" i="3"/>
  <c r="U192" i="3"/>
  <c r="V202" i="3"/>
  <c r="U202" i="3"/>
  <c r="W206" i="3"/>
  <c r="W207" i="3"/>
  <c r="V207" i="3"/>
  <c r="U214" i="3"/>
  <c r="U216" i="3"/>
  <c r="U218" i="3"/>
  <c r="V226" i="3"/>
  <c r="U226" i="3"/>
  <c r="V228" i="3"/>
  <c r="U228" i="3"/>
  <c r="V230" i="3"/>
  <c r="U230" i="3"/>
  <c r="V232" i="3"/>
  <c r="U232" i="3"/>
  <c r="U234" i="3"/>
  <c r="V238" i="3"/>
  <c r="U238" i="3"/>
  <c r="V240" i="3"/>
  <c r="U240" i="3"/>
  <c r="W244" i="3"/>
  <c r="W245" i="3"/>
  <c r="V245" i="3"/>
  <c r="W250" i="3"/>
  <c r="V270" i="3"/>
  <c r="V275" i="3"/>
  <c r="U280" i="3"/>
  <c r="W280" i="3"/>
  <c r="U282" i="3"/>
  <c r="V296" i="3"/>
  <c r="W309" i="3"/>
  <c r="V309" i="3"/>
  <c r="U309" i="3"/>
  <c r="V316" i="3"/>
  <c r="W316" i="3"/>
  <c r="V324" i="3"/>
  <c r="W329" i="3"/>
  <c r="V329" i="3"/>
  <c r="U329" i="3"/>
  <c r="W338" i="3"/>
  <c r="V338" i="3"/>
  <c r="U338" i="3"/>
  <c r="U345" i="3"/>
  <c r="W348" i="3"/>
  <c r="V348" i="3"/>
  <c r="U354" i="3"/>
  <c r="W354" i="3"/>
  <c r="V354" i="3"/>
  <c r="U409" i="3"/>
  <c r="W409" i="3"/>
  <c r="V409" i="3"/>
  <c r="W485" i="3"/>
  <c r="U485" i="3"/>
  <c r="V485" i="3"/>
  <c r="W513" i="3"/>
  <c r="U513" i="3"/>
  <c r="V513" i="3"/>
  <c r="U18" i="3"/>
  <c r="U24" i="3"/>
  <c r="V25" i="3"/>
  <c r="V67" i="3"/>
  <c r="U147" i="3"/>
  <c r="W150" i="3"/>
  <c r="U154" i="3"/>
  <c r="W157" i="3"/>
  <c r="V160" i="3"/>
  <c r="W161" i="3"/>
  <c r="V164" i="3"/>
  <c r="W165" i="3"/>
  <c r="U167" i="3"/>
  <c r="W170" i="3"/>
  <c r="V172" i="3"/>
  <c r="V174" i="3"/>
  <c r="W175" i="3"/>
  <c r="V178" i="3"/>
  <c r="W179" i="3"/>
  <c r="U181" i="3"/>
  <c r="W184" i="3"/>
  <c r="V186" i="3"/>
  <c r="V188" i="3"/>
  <c r="W189" i="3"/>
  <c r="U191" i="3"/>
  <c r="W192" i="3"/>
  <c r="U194" i="3"/>
  <c r="V198" i="3"/>
  <c r="U198" i="3"/>
  <c r="W202" i="3"/>
  <c r="W203" i="3"/>
  <c r="V203" i="3"/>
  <c r="U207" i="3"/>
  <c r="W215" i="3"/>
  <c r="V215" i="3"/>
  <c r="W217" i="3"/>
  <c r="V217" i="3"/>
  <c r="V221" i="3"/>
  <c r="U221" i="3"/>
  <c r="W226" i="3"/>
  <c r="W228" i="3"/>
  <c r="W230" i="3"/>
  <c r="W232" i="3"/>
  <c r="W238" i="3"/>
  <c r="W240" i="3"/>
  <c r="W241" i="3"/>
  <c r="V241" i="3"/>
  <c r="U245" i="3"/>
  <c r="V251" i="3"/>
  <c r="U251" i="3"/>
  <c r="U264" i="3"/>
  <c r="W264" i="3"/>
  <c r="V264" i="3"/>
  <c r="V280" i="3"/>
  <c r="W286" i="3"/>
  <c r="V286" i="3"/>
  <c r="U286" i="3"/>
  <c r="U312" i="3"/>
  <c r="W312" i="3"/>
  <c r="V312" i="3"/>
  <c r="U316" i="3"/>
  <c r="W330" i="3"/>
  <c r="V330" i="3"/>
  <c r="U332" i="3"/>
  <c r="W332" i="3"/>
  <c r="V332" i="3"/>
  <c r="W335" i="3"/>
  <c r="V335" i="3"/>
  <c r="W339" i="3"/>
  <c r="V339" i="3"/>
  <c r="U341" i="3"/>
  <c r="W341" i="3"/>
  <c r="V341" i="3"/>
  <c r="U348" i="3"/>
  <c r="V371" i="3"/>
  <c r="W371" i="3"/>
  <c r="U371" i="3"/>
  <c r="V375" i="3"/>
  <c r="W375" i="3"/>
  <c r="U375" i="3"/>
  <c r="W378" i="3"/>
  <c r="V378" i="3"/>
  <c r="U378" i="3"/>
  <c r="W383" i="3"/>
  <c r="V383" i="3"/>
  <c r="U383" i="3"/>
  <c r="U402" i="3"/>
  <c r="W402" i="3"/>
  <c r="V402" i="3"/>
  <c r="W511" i="3"/>
  <c r="U511" i="3"/>
  <c r="V511" i="3"/>
  <c r="V352" i="3"/>
  <c r="W359" i="3"/>
  <c r="W364" i="3"/>
  <c r="W372" i="3"/>
  <c r="W376" i="3"/>
  <c r="W381" i="3"/>
  <c r="V384" i="3"/>
  <c r="W390" i="3"/>
  <c r="V393" i="3"/>
  <c r="W398" i="3"/>
  <c r="V400" i="3"/>
  <c r="V405" i="3"/>
  <c r="V412" i="3"/>
  <c r="W418" i="3"/>
  <c r="W425" i="3"/>
  <c r="V427" i="3"/>
  <c r="W433" i="3"/>
  <c r="W465" i="3"/>
  <c r="U465" i="3"/>
  <c r="U473" i="3"/>
  <c r="W473" i="3"/>
  <c r="W490" i="3"/>
  <c r="U490" i="3"/>
  <c r="W492" i="3"/>
  <c r="U492" i="3"/>
  <c r="W502" i="3"/>
  <c r="U502" i="3"/>
  <c r="U504" i="3"/>
  <c r="W504" i="3"/>
  <c r="U506" i="3"/>
  <c r="W506" i="3"/>
  <c r="W533" i="3"/>
  <c r="U533" i="3"/>
  <c r="W538" i="3"/>
  <c r="V538" i="3"/>
  <c r="U538" i="3"/>
  <c r="W546" i="3"/>
  <c r="V546" i="3"/>
  <c r="U546" i="3"/>
  <c r="W550" i="3"/>
  <c r="V550" i="3"/>
  <c r="U550" i="3"/>
  <c r="W554" i="3"/>
  <c r="V554" i="3"/>
  <c r="U554" i="3"/>
  <c r="W589" i="3"/>
  <c r="V589" i="3"/>
  <c r="U589" i="3"/>
  <c r="V611" i="3"/>
  <c r="W611" i="3"/>
  <c r="U611" i="3"/>
  <c r="W672" i="3"/>
  <c r="V672" i="3"/>
  <c r="U672" i="3"/>
  <c r="U681" i="3"/>
  <c r="W681" i="3"/>
  <c r="V681" i="3"/>
  <c r="V741" i="3"/>
  <c r="W741" i="3"/>
  <c r="U741" i="3"/>
  <c r="W812" i="3"/>
  <c r="V812" i="3"/>
  <c r="U812" i="3"/>
  <c r="U304" i="3"/>
  <c r="V311" i="3"/>
  <c r="V315" i="3"/>
  <c r="U317" i="3"/>
  <c r="V322" i="3"/>
  <c r="V326" i="3"/>
  <c r="U334" i="3"/>
  <c r="U337" i="3"/>
  <c r="U343" i="3"/>
  <c r="U350" i="3"/>
  <c r="V358" i="3"/>
  <c r="V363" i="3"/>
  <c r="U365" i="3"/>
  <c r="U374" i="3"/>
  <c r="U377" i="3"/>
  <c r="V380" i="3"/>
  <c r="U388" i="3"/>
  <c r="U392" i="3"/>
  <c r="U399" i="3"/>
  <c r="U414" i="3"/>
  <c r="V417" i="3"/>
  <c r="U419" i="3"/>
  <c r="U426" i="3"/>
  <c r="U431" i="3"/>
  <c r="U434" i="3"/>
  <c r="U451" i="3"/>
  <c r="W451" i="3"/>
  <c r="U453" i="3"/>
  <c r="W453" i="3"/>
  <c r="W461" i="3"/>
  <c r="U461" i="3"/>
  <c r="U463" i="3"/>
  <c r="W463" i="3"/>
  <c r="V465" i="3"/>
  <c r="V473" i="3"/>
  <c r="W484" i="3"/>
  <c r="U484" i="3"/>
  <c r="V490" i="3"/>
  <c r="V492" i="3"/>
  <c r="W497" i="3"/>
  <c r="U497" i="3"/>
  <c r="U500" i="3"/>
  <c r="W500" i="3"/>
  <c r="V502" i="3"/>
  <c r="V504" i="3"/>
  <c r="V506" i="3"/>
  <c r="W510" i="3"/>
  <c r="U510" i="3"/>
  <c r="W512" i="3"/>
  <c r="U512" i="3"/>
  <c r="W514" i="3"/>
  <c r="U514" i="3"/>
  <c r="U531" i="3"/>
  <c r="W531" i="3"/>
  <c r="V533" i="3"/>
  <c r="W547" i="3"/>
  <c r="V547" i="3"/>
  <c r="U547" i="3"/>
  <c r="W551" i="3"/>
  <c r="V551" i="3"/>
  <c r="U551" i="3"/>
  <c r="W555" i="3"/>
  <c r="V555" i="3"/>
  <c r="U555" i="3"/>
  <c r="W562" i="3"/>
  <c r="V562" i="3"/>
  <c r="U562" i="3"/>
  <c r="W567" i="3"/>
  <c r="V567" i="3"/>
  <c r="U567" i="3"/>
  <c r="W575" i="3"/>
  <c r="V575" i="3"/>
  <c r="U575" i="3"/>
  <c r="V578" i="3"/>
  <c r="W578" i="3"/>
  <c r="U578" i="3"/>
  <c r="U595" i="3"/>
  <c r="V595" i="3"/>
  <c r="W595" i="3"/>
  <c r="V617" i="3"/>
  <c r="W617" i="3"/>
  <c r="U617" i="3"/>
  <c r="U662" i="3"/>
  <c r="W662" i="3"/>
  <c r="V662" i="3"/>
  <c r="W669" i="3"/>
  <c r="V669" i="3"/>
  <c r="U669" i="3"/>
  <c r="V804" i="3"/>
  <c r="W804" i="3"/>
  <c r="U804" i="3"/>
  <c r="W457" i="3"/>
  <c r="U457" i="3"/>
  <c r="U459" i="3"/>
  <c r="W459" i="3"/>
  <c r="W480" i="3"/>
  <c r="U480" i="3"/>
  <c r="U482" i="3"/>
  <c r="W482" i="3"/>
  <c r="W489" i="3"/>
  <c r="U489" i="3"/>
  <c r="W491" i="3"/>
  <c r="U491" i="3"/>
  <c r="W493" i="3"/>
  <c r="U493" i="3"/>
  <c r="U495" i="3"/>
  <c r="W495" i="3"/>
  <c r="U505" i="3"/>
  <c r="W505" i="3"/>
  <c r="W542" i="3"/>
  <c r="V542" i="3"/>
  <c r="U542" i="3"/>
  <c r="W548" i="3"/>
  <c r="V548" i="3"/>
  <c r="U548" i="3"/>
  <c r="W552" i="3"/>
  <c r="V552" i="3"/>
  <c r="U552" i="3"/>
  <c r="W593" i="3"/>
  <c r="V593" i="3"/>
  <c r="U593" i="3"/>
  <c r="V605" i="3"/>
  <c r="W605" i="3"/>
  <c r="U605" i="3"/>
  <c r="U648" i="3"/>
  <c r="W648" i="3"/>
  <c r="V648" i="3"/>
  <c r="U659" i="3"/>
  <c r="W659" i="3"/>
  <c r="V659" i="3"/>
  <c r="W698" i="3"/>
  <c r="V698" i="3"/>
  <c r="U698" i="3"/>
  <c r="U724" i="3"/>
  <c r="W724" i="3"/>
  <c r="V724" i="3"/>
  <c r="U799" i="3"/>
  <c r="W799" i="3"/>
  <c r="V799" i="3"/>
  <c r="W535" i="3"/>
  <c r="W540" i="3"/>
  <c r="W544" i="3"/>
  <c r="W558" i="3"/>
  <c r="W564" i="3"/>
  <c r="W565" i="3"/>
  <c r="W569" i="3"/>
  <c r="W573" i="3"/>
  <c r="U591" i="3"/>
  <c r="W591" i="3"/>
  <c r="V600" i="3"/>
  <c r="W600" i="3"/>
  <c r="W603" i="3"/>
  <c r="W625" i="3"/>
  <c r="V625" i="3"/>
  <c r="U627" i="3"/>
  <c r="V627" i="3"/>
  <c r="W634" i="3"/>
  <c r="W655" i="3"/>
  <c r="V655" i="3"/>
  <c r="U655" i="3"/>
  <c r="U663" i="3"/>
  <c r="W663" i="3"/>
  <c r="V665" i="3"/>
  <c r="W665" i="3"/>
  <c r="U665" i="3"/>
  <c r="W673" i="3"/>
  <c r="V673" i="3"/>
  <c r="U675" i="3"/>
  <c r="W675" i="3"/>
  <c r="V675" i="3"/>
  <c r="V684" i="3"/>
  <c r="W684" i="3"/>
  <c r="W686" i="3"/>
  <c r="V686" i="3"/>
  <c r="U686" i="3"/>
  <c r="W699" i="3"/>
  <c r="V699" i="3"/>
  <c r="U701" i="3"/>
  <c r="W701" i="3"/>
  <c r="V701" i="3"/>
  <c r="U707" i="3"/>
  <c r="W707" i="3"/>
  <c r="V707" i="3"/>
  <c r="U713" i="3"/>
  <c r="W713" i="3"/>
  <c r="V713" i="3"/>
  <c r="U718" i="3"/>
  <c r="W718" i="3"/>
  <c r="V718" i="3"/>
  <c r="V732" i="3"/>
  <c r="W732" i="3"/>
  <c r="U732" i="3"/>
  <c r="V757" i="3"/>
  <c r="W757" i="3"/>
  <c r="U757" i="3"/>
  <c r="U767" i="3"/>
  <c r="W767" i="3"/>
  <c r="V767" i="3"/>
  <c r="V770" i="3"/>
  <c r="W770" i="3"/>
  <c r="V778" i="3"/>
  <c r="U778" i="3"/>
  <c r="U858" i="3"/>
  <c r="W858" i="3"/>
  <c r="V858" i="3"/>
  <c r="V577" i="3"/>
  <c r="U577" i="3"/>
  <c r="W612" i="3"/>
  <c r="U612" i="3"/>
  <c r="W630" i="3"/>
  <c r="V630" i="3"/>
  <c r="U633" i="3"/>
  <c r="V633" i="3"/>
  <c r="W650" i="3"/>
  <c r="V650" i="3"/>
  <c r="U650" i="3"/>
  <c r="V689" i="3"/>
  <c r="W689" i="3"/>
  <c r="V695" i="3"/>
  <c r="W695" i="3"/>
  <c r="U695" i="3"/>
  <c r="V733" i="3"/>
  <c r="W733" i="3"/>
  <c r="V736" i="3"/>
  <c r="W736" i="3"/>
  <c r="U736" i="3"/>
  <c r="W753" i="3"/>
  <c r="U753" i="3"/>
  <c r="V753" i="3"/>
  <c r="V763" i="3"/>
  <c r="U763" i="3"/>
  <c r="W763" i="3"/>
  <c r="W779" i="3"/>
  <c r="V779" i="3"/>
  <c r="U779" i="3"/>
  <c r="U785" i="3"/>
  <c r="V785" i="3"/>
  <c r="W785" i="3"/>
  <c r="U795" i="3"/>
  <c r="W795" i="3"/>
  <c r="U820" i="3"/>
  <c r="W820" i="3"/>
  <c r="V820" i="3"/>
  <c r="W856" i="3"/>
  <c r="V856" i="3"/>
  <c r="U856" i="3"/>
  <c r="W577" i="3"/>
  <c r="V581" i="3"/>
  <c r="V583" i="3"/>
  <c r="W587" i="3"/>
  <c r="V588" i="3"/>
  <c r="U588" i="3"/>
  <c r="W596" i="3"/>
  <c r="W597" i="3"/>
  <c r="U597" i="3"/>
  <c r="U606" i="3"/>
  <c r="W608" i="3"/>
  <c r="V608" i="3"/>
  <c r="U610" i="3"/>
  <c r="V610" i="3"/>
  <c r="V612" i="3"/>
  <c r="V620" i="3"/>
  <c r="W624" i="3"/>
  <c r="U624" i="3"/>
  <c r="U628" i="3"/>
  <c r="W628" i="3"/>
  <c r="U630" i="3"/>
  <c r="W633" i="3"/>
  <c r="W651" i="3"/>
  <c r="V651" i="3"/>
  <c r="U653" i="3"/>
  <c r="W653" i="3"/>
  <c r="V653" i="3"/>
  <c r="U658" i="3"/>
  <c r="W658" i="3"/>
  <c r="V658" i="3"/>
  <c r="W668" i="3"/>
  <c r="V668" i="3"/>
  <c r="U668" i="3"/>
  <c r="V678" i="3"/>
  <c r="W678" i="3"/>
  <c r="U678" i="3"/>
  <c r="U689" i="3"/>
  <c r="W703" i="3"/>
  <c r="V703" i="3"/>
  <c r="U703" i="3"/>
  <c r="W709" i="3"/>
  <c r="V709" i="3"/>
  <c r="U709" i="3"/>
  <c r="W715" i="3"/>
  <c r="V715" i="3"/>
  <c r="U715" i="3"/>
  <c r="V721" i="3"/>
  <c r="W721" i="3"/>
  <c r="U721" i="3"/>
  <c r="W726" i="3"/>
  <c r="V726" i="3"/>
  <c r="U729" i="3"/>
  <c r="W729" i="3"/>
  <c r="V729" i="3"/>
  <c r="U733" i="3"/>
  <c r="V737" i="3"/>
  <c r="W737" i="3"/>
  <c r="V740" i="3"/>
  <c r="W740" i="3"/>
  <c r="U740" i="3"/>
  <c r="W744" i="3"/>
  <c r="V744" i="3"/>
  <c r="U746" i="3"/>
  <c r="V746" i="3"/>
  <c r="W746" i="3"/>
  <c r="V760" i="3"/>
  <c r="W760" i="3"/>
  <c r="U760" i="3"/>
  <c r="W772" i="3"/>
  <c r="V772" i="3"/>
  <c r="W783" i="3"/>
  <c r="V783" i="3"/>
  <c r="U783" i="3"/>
  <c r="W787" i="3"/>
  <c r="U787" i="3"/>
  <c r="V795" i="3"/>
  <c r="U808" i="3"/>
  <c r="V808" i="3"/>
  <c r="W808" i="3"/>
  <c r="W818" i="3"/>
  <c r="V818" i="3"/>
  <c r="U818" i="3"/>
  <c r="W749" i="3"/>
  <c r="V749" i="3"/>
  <c r="U751" i="3"/>
  <c r="V751" i="3"/>
  <c r="V769" i="3"/>
  <c r="W769" i="3"/>
  <c r="W771" i="3"/>
  <c r="U771" i="3"/>
  <c r="U781" i="3"/>
  <c r="W781" i="3"/>
  <c r="V790" i="3"/>
  <c r="W790" i="3"/>
  <c r="V796" i="3"/>
  <c r="U796" i="3"/>
  <c r="W805" i="3"/>
  <c r="U805" i="3"/>
  <c r="W811" i="3"/>
  <c r="V811" i="3"/>
  <c r="V823" i="3"/>
  <c r="W823" i="3"/>
  <c r="U823" i="3"/>
  <c r="V827" i="3"/>
  <c r="W827" i="3"/>
  <c r="U827" i="3"/>
  <c r="V831" i="3"/>
  <c r="W831" i="3"/>
  <c r="U831" i="3"/>
  <c r="V851" i="3"/>
  <c r="W851" i="3"/>
  <c r="U851" i="3"/>
  <c r="U747" i="3"/>
  <c r="W747" i="3"/>
  <c r="V756" i="3"/>
  <c r="W756" i="3"/>
  <c r="V759" i="3"/>
  <c r="U759" i="3"/>
  <c r="V764" i="3"/>
  <c r="W764" i="3"/>
  <c r="U769" i="3"/>
  <c r="V771" i="3"/>
  <c r="U773" i="3"/>
  <c r="V777" i="3"/>
  <c r="V781" i="3"/>
  <c r="U786" i="3"/>
  <c r="U790" i="3"/>
  <c r="W796" i="3"/>
  <c r="W801" i="3"/>
  <c r="V801" i="3"/>
  <c r="U803" i="3"/>
  <c r="V803" i="3"/>
  <c r="V805" i="3"/>
  <c r="U809" i="3"/>
  <c r="W809" i="3"/>
  <c r="U811" i="3"/>
  <c r="U816" i="3"/>
  <c r="W816" i="3"/>
  <c r="V824" i="3"/>
  <c r="W824" i="3"/>
  <c r="V828" i="3"/>
  <c r="W828" i="3"/>
  <c r="W834" i="3"/>
  <c r="V834" i="3"/>
  <c r="U834" i="3"/>
  <c r="V842" i="3"/>
  <c r="W842" i="3"/>
  <c r="U854" i="3"/>
  <c r="W854" i="3"/>
  <c r="W860" i="3"/>
  <c r="V860" i="3"/>
  <c r="U860" i="3"/>
  <c r="U817" i="3"/>
  <c r="U822" i="3"/>
  <c r="U826" i="3"/>
  <c r="U830" i="3"/>
  <c r="U833" i="3"/>
  <c r="V841" i="3"/>
  <c r="U843" i="3"/>
  <c r="U855" i="3"/>
  <c r="BE4" i="19" l="1"/>
  <c r="BF4" i="19" l="1"/>
  <c r="A2" i="36" a="1"/>
  <c r="A2" i="36" l="1"/>
  <c r="B2" i="36" a="1"/>
  <c r="B2" i="36" l="1"/>
  <c r="C2" i="36" a="1"/>
  <c r="C2" i="36" l="1"/>
  <c r="A5" i="36" a="1"/>
  <c r="A5" i="36" l="1"/>
  <c r="B5" i="36" a="1"/>
  <c r="B5" i="36" l="1"/>
  <c r="C5" i="36" a="1"/>
  <c r="C5" i="36" l="1"/>
  <c r="A8" i="36" a="1"/>
  <c r="A8" i="36" l="1"/>
  <c r="C33" i="39" a="1"/>
  <c r="C33" i="39" l="1"/>
  <c r="E33" i="39" a="1"/>
  <c r="E33" i="39" l="1"/>
  <c r="H33" i="39" a="1"/>
  <c r="H33" i="39" l="1"/>
  <c r="I33" i="39" a="1"/>
  <c r="I33" i="3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E5786EB1-3C09-4167-B62B-471FE12074D2}">
      <text>
        <r>
          <rPr>
            <sz val="10"/>
            <color indexed="81"/>
            <rFont val="Lucida Console"/>
            <family val="3"/>
          </rPr>
          <t>Data e hora do arquivo de RC´s que foi importado_x000D_
26/11/2023 17:25:50</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DB922298-4A03-4EE4-8D8D-A3444551292D}">
      <text>
        <r>
          <rPr>
            <sz val="10"/>
            <color indexed="81"/>
            <rFont val="Lucida Console"/>
            <family val="3"/>
          </rPr>
          <t xml:space="preserve">Ordenado por: Excluir?, ATA DT.VALID., ATA Nº/ANO, GRUPO, SUBGRUPO, FORNECEDOR, CÓDIGO_x000D_
_x000D_
          1ª Coluna  ==  Excluir?_x000D_
          2ª Coluna  ==  ATA DT.VALID._x000D_
          3ª Coluna  ==  ATA Nº/ANO_x000D_
          4ª Coluna  ==  GRUPO_x000D_
          5ª Coluna  ==  SUBGRUPO_x000D_
          6ª Coluna  ==  FORNECEDOR_x000D_
          7ª Coluna  ==  CÓDIGO_x000D_
</t>
        </r>
      </text>
    </comment>
    <comment ref="B3" authorId="0" shapeId="0" xr:uid="{D908C546-B106-4B1D-9B98-47AB00FDA21B}">
      <text>
        <r>
          <rPr>
            <sz val="10"/>
            <color indexed="81"/>
            <rFont val="Lucida Console"/>
            <family val="3"/>
          </rPr>
          <t xml:space="preserve">     DESCRIÇÃO</t>
        </r>
      </text>
    </comment>
    <comment ref="C3" authorId="0" shapeId="0" xr:uid="{97CCDD3E-CA6E-4A01-92D2-5B48427266F6}">
      <text>
        <r>
          <rPr>
            <sz val="10"/>
            <color indexed="81"/>
            <rFont val="Lucida Console"/>
            <family val="3"/>
          </rPr>
          <t xml:space="preserve">     UNIDADE</t>
        </r>
      </text>
    </comment>
    <comment ref="D3" authorId="0" shapeId="0" xr:uid="{0C3776DA-1211-4210-9123-5BC0F2CD5D8B}">
      <text>
        <r>
          <rPr>
            <sz val="10"/>
            <color indexed="81"/>
            <rFont val="Lucida Console"/>
            <family val="3"/>
          </rPr>
          <t xml:space="preserve">     VALOR UNIT.</t>
        </r>
      </text>
    </comment>
    <comment ref="E3" authorId="0" shapeId="0" xr:uid="{C5F9F2EE-C8F7-4294-803E-9600F0ADFE1D}">
      <text>
        <r>
          <rPr>
            <sz val="10"/>
            <color indexed="81"/>
            <rFont val="Lucida Console"/>
            <family val="3"/>
          </rPr>
          <t xml:space="preserve">     MARCA</t>
        </r>
      </text>
    </comment>
    <comment ref="F3" authorId="0" shapeId="0" xr:uid="{571682D6-715E-412C-B145-06FABD36733E}">
      <text>
        <r>
          <rPr>
            <sz val="10"/>
            <color indexed="81"/>
            <rFont val="Lucida Console"/>
            <family val="3"/>
          </rPr>
          <t xml:space="preserve">     FORNECEDOR</t>
        </r>
      </text>
    </comment>
    <comment ref="G3" authorId="0" shapeId="0" xr:uid="{95707878-A835-4BE2-BF4D-6C7B276ED3B7}">
      <text>
        <r>
          <rPr>
            <sz val="10"/>
            <color indexed="81"/>
            <rFont val="Lucida Console"/>
            <family val="3"/>
          </rPr>
          <t xml:space="preserve">     LICITACAO</t>
        </r>
      </text>
    </comment>
    <comment ref="H3" authorId="0" shapeId="0" xr:uid="{18751447-2104-4DAA-A8C2-C548F8BC9139}">
      <text>
        <r>
          <rPr>
            <sz val="10"/>
            <color indexed="81"/>
            <rFont val="Lucida Console"/>
            <family val="3"/>
          </rPr>
          <t xml:space="preserve">     QTDE ATUAL</t>
        </r>
      </text>
    </comment>
    <comment ref="I3" authorId="0" shapeId="0" xr:uid="{94598226-73D0-4683-9E02-C3EAA73335CE}">
      <text>
        <r>
          <rPr>
            <sz val="10"/>
            <color indexed="81"/>
            <rFont val="Lucida Console"/>
            <family val="3"/>
          </rPr>
          <t xml:space="preserve">     COD. ALMOX</t>
        </r>
      </text>
    </comment>
    <comment ref="J3" authorId="0" shapeId="0" xr:uid="{C01C52E2-D891-4825-AEAD-02CEF678100B}">
      <text>
        <r>
          <rPr>
            <sz val="10"/>
            <color indexed="81"/>
            <rFont val="Lucida Console"/>
            <family val="3"/>
          </rPr>
          <t xml:space="preserve">     PREÇO MÉDIO</t>
        </r>
      </text>
    </comment>
    <comment ref="K3" authorId="0" shapeId="0" xr:uid="{EE77D96D-5C18-4387-9BEE-CBA8B1C42CDE}">
      <text>
        <r>
          <rPr>
            <sz val="10"/>
            <color indexed="81"/>
            <rFont val="Lucida Console"/>
            <family val="3"/>
          </rPr>
          <t xml:space="preserve">     L.C. 6 MESES</t>
        </r>
      </text>
    </comment>
    <comment ref="L3" authorId="0" shapeId="0" xr:uid="{5155EC1D-378D-46DF-B34A-10F82CC1B6D0}">
      <text>
        <r>
          <rPr>
            <sz val="10"/>
            <color indexed="81"/>
            <rFont val="Lucida Console"/>
            <family val="3"/>
          </rPr>
          <t xml:space="preserve">     TEMPO ESTOQUE</t>
        </r>
      </text>
    </comment>
    <comment ref="M3" authorId="0" shapeId="0" xr:uid="{380A166E-ABE7-41F5-9C28-C9DDAEAFA5B4}">
      <text>
        <r>
          <rPr>
            <sz val="10"/>
            <color indexed="81"/>
            <rFont val="Lucida Console"/>
            <family val="3"/>
          </rPr>
          <t xml:space="preserve">     LC</t>
        </r>
      </text>
    </comment>
    <comment ref="N3" authorId="0" shapeId="0" xr:uid="{1A7DE8AB-3735-44C3-AA4B-6F93B218C7D4}">
      <text>
        <r>
          <rPr>
            <sz val="10"/>
            <color indexed="81"/>
            <rFont val="Lucida Console"/>
            <family val="3"/>
          </rPr>
          <t xml:space="preserve">     TOTAL</t>
        </r>
      </text>
    </comment>
    <comment ref="O3" authorId="0" shapeId="0" xr:uid="{EBA160EA-96BE-4ED6-9E47-A74BBE203238}">
      <text>
        <r>
          <rPr>
            <sz val="10"/>
            <color indexed="81"/>
            <rFont val="Lucida Console"/>
            <family val="3"/>
          </rPr>
          <t xml:space="preserve">     ATA Nº/ANO</t>
        </r>
      </text>
    </comment>
    <comment ref="P3" authorId="0" shapeId="0" xr:uid="{D5CD58EE-8F1A-4FC3-ABD1-DC4C85C84EA1}">
      <text>
        <r>
          <rPr>
            <sz val="10"/>
            <color indexed="81"/>
            <rFont val="Lucida Console"/>
            <family val="3"/>
          </rPr>
          <t xml:space="preserve">     ATA SALDO</t>
        </r>
      </text>
    </comment>
    <comment ref="Q3" authorId="0" shapeId="0" xr:uid="{498945D3-6CFA-4A73-967C-3158C0030CA5}">
      <text>
        <r>
          <rPr>
            <sz val="10"/>
            <color indexed="81"/>
            <rFont val="Lucida Console"/>
            <family val="3"/>
          </rPr>
          <t xml:space="preserve">     ATA QTDE</t>
        </r>
      </text>
    </comment>
    <comment ref="R3" authorId="0" shapeId="0" xr:uid="{1290B725-EE1C-439D-A1DA-170A6A7D15F1}">
      <text>
        <r>
          <rPr>
            <sz val="10"/>
            <color indexed="81"/>
            <rFont val="Lucida Console"/>
            <family val="3"/>
          </rPr>
          <t xml:space="preserve">     ATA VALOR</t>
        </r>
      </text>
    </comment>
    <comment ref="S3" authorId="0" shapeId="0" xr:uid="{B47BA086-7F4F-4F01-9ECE-2FE3BEF3D4B4}">
      <text>
        <r>
          <rPr>
            <sz val="10"/>
            <color indexed="81"/>
            <rFont val="Lucida Console"/>
            <family val="3"/>
          </rPr>
          <t xml:space="preserve">     ATA DT.VALID.</t>
        </r>
      </text>
    </comment>
    <comment ref="T3" authorId="0" shapeId="0" xr:uid="{D015554B-000F-48BC-8B2E-B6E0205E798A}">
      <text>
        <r>
          <rPr>
            <sz val="10"/>
            <color indexed="81"/>
            <rFont val="Lucida Console"/>
            <family val="3"/>
          </rPr>
          <t xml:space="preserve">     ATA MESES</t>
        </r>
      </text>
    </comment>
    <comment ref="U3" authorId="0" shapeId="0" xr:uid="{7BC8F0C7-CDE2-4EB8-A9A2-101898358593}">
      <text>
        <r>
          <rPr>
            <sz val="10"/>
            <color indexed="81"/>
            <rFont val="Lucida Console"/>
            <family val="3"/>
          </rPr>
          <t xml:space="preserve">     DESCRIÇÃO DA ESTRUTURA</t>
        </r>
      </text>
    </comment>
    <comment ref="V3" authorId="0" shapeId="0" xr:uid="{7CA66FA4-78B7-4572-898F-D2D3A5C8629E}">
      <text>
        <r>
          <rPr>
            <sz val="10"/>
            <color indexed="81"/>
            <rFont val="Lucida Console"/>
            <family val="3"/>
          </rPr>
          <t xml:space="preserve">     ESTRUTURA</t>
        </r>
      </text>
    </comment>
    <comment ref="W3" authorId="0" shapeId="0" xr:uid="{8D9529B5-B247-473F-9BA0-35A5EF6079C0}">
      <text>
        <r>
          <rPr>
            <sz val="10"/>
            <color indexed="81"/>
            <rFont val="Lucida Console"/>
            <family val="3"/>
          </rPr>
          <t xml:space="preserve">     SETOR</t>
        </r>
      </text>
    </comment>
    <comment ref="X3" authorId="0" shapeId="0" xr:uid="{37D7567D-8D8F-48A8-BDEC-050019FA422E}">
      <text>
        <r>
          <rPr>
            <sz val="10"/>
            <color indexed="81"/>
            <rFont val="Lucida Console"/>
            <family val="3"/>
          </rPr>
          <t xml:space="preserve">     GRUPO</t>
        </r>
      </text>
    </comment>
    <comment ref="Y3" authorId="0" shapeId="0" xr:uid="{28F52415-D2CA-4A40-9627-224F5A900229}">
      <text>
        <r>
          <rPr>
            <sz val="10"/>
            <color indexed="81"/>
            <rFont val="Lucida Console"/>
            <family val="3"/>
          </rPr>
          <t xml:space="preserve">     SUBGRUPO</t>
        </r>
      </text>
    </comment>
    <comment ref="Z3" authorId="0" shapeId="0" xr:uid="{BA34267C-CFA2-4B6A-ADDE-84FFA163CEB8}">
      <text>
        <r>
          <rPr>
            <sz val="10"/>
            <color indexed="81"/>
            <rFont val="Lucida Console"/>
            <family val="3"/>
          </rPr>
          <t xml:space="preserve">     RC Nº</t>
        </r>
      </text>
    </comment>
    <comment ref="AA3" authorId="0" shapeId="0" xr:uid="{A1073776-13FF-4C54-A40D-30275589258B}">
      <text>
        <r>
          <rPr>
            <sz val="10"/>
            <color indexed="81"/>
            <rFont val="Lucida Console"/>
            <family val="3"/>
          </rPr>
          <t xml:space="preserve">     RC ANO</t>
        </r>
      </text>
    </comment>
    <comment ref="AB3" authorId="0" shapeId="0" xr:uid="{DD90AD24-9F55-4DED-B7FF-BB0FED7C0963}">
      <text>
        <r>
          <rPr>
            <sz val="10"/>
            <color indexed="81"/>
            <rFont val="Lucida Console"/>
            <family val="3"/>
          </rPr>
          <t xml:space="preserve">     RC QTDE</t>
        </r>
      </text>
    </comment>
    <comment ref="AC3" authorId="0" shapeId="0" xr:uid="{0DE0882F-B602-4C07-A10F-B7724725084F}">
      <text>
        <r>
          <rPr>
            <sz val="10"/>
            <color indexed="81"/>
            <rFont val="Lucida Console"/>
            <family val="3"/>
          </rPr>
          <t xml:space="preserve">     AF Nº</t>
        </r>
      </text>
    </comment>
    <comment ref="AD3" authorId="0" shapeId="0" xr:uid="{EE402D46-C798-4F15-BF68-65A630953B02}">
      <text>
        <r>
          <rPr>
            <sz val="10"/>
            <color indexed="81"/>
            <rFont val="Lucida Console"/>
            <family val="3"/>
          </rPr>
          <t xml:space="preserve">     AF ANO</t>
        </r>
      </text>
    </comment>
    <comment ref="AE3" authorId="0" shapeId="0" xr:uid="{2C14FAF7-A7F3-4A23-8D0F-FCF74BB61513}">
      <text>
        <r>
          <rPr>
            <sz val="10"/>
            <color indexed="81"/>
            <rFont val="Lucida Console"/>
            <family val="3"/>
          </rPr>
          <t xml:space="preserve">     AF SALDO</t>
        </r>
      </text>
    </comment>
    <comment ref="AF3" authorId="0" shapeId="0" xr:uid="{32488EDC-7301-4AAB-B1A4-361063D65FE6}">
      <text>
        <r>
          <rPr>
            <sz val="10"/>
            <color indexed="81"/>
            <rFont val="Lucida Console"/>
            <family val="3"/>
          </rPr>
          <t xml:space="preserve">     AF QTDE</t>
        </r>
      </text>
    </comment>
    <comment ref="AG3" authorId="0" shapeId="0" xr:uid="{9065BEF7-E8E0-4605-ABDF-5855E7E931D3}">
      <text>
        <r>
          <rPr>
            <sz val="10"/>
            <color indexed="81"/>
            <rFont val="Lucida Console"/>
            <family val="3"/>
          </rPr>
          <t xml:space="preserve">     AF FORN</t>
        </r>
      </text>
    </comment>
    <comment ref="AH3" authorId="0" shapeId="0" xr:uid="{A3108928-C5DE-4D64-AD2F-519A2A225664}">
      <text>
        <r>
          <rPr>
            <sz val="10"/>
            <color indexed="81"/>
            <rFont val="Lucida Console"/>
            <family val="3"/>
          </rPr>
          <t xml:space="preserve">     AF VENC</t>
        </r>
      </text>
    </comment>
    <comment ref="AI3" authorId="0" shapeId="0" xr:uid="{3FCABB61-E709-4CD1-AEFB-5DEEDE3BF85F}">
      <text>
        <r>
          <rPr>
            <sz val="10"/>
            <color indexed="81"/>
            <rFont val="Lucida Console"/>
            <family val="3"/>
          </rPr>
          <t xml:space="preserve">     PONTO PEDIDO</t>
        </r>
      </text>
    </comment>
    <comment ref="AJ3" authorId="0" shapeId="0" xr:uid="{A418977C-83C2-433F-822E-1EB8C8C25DA7}">
      <text>
        <r>
          <rPr>
            <sz val="10"/>
            <color indexed="81"/>
            <rFont val="Lucida Console"/>
            <family val="3"/>
          </rPr>
          <t xml:space="preserve">     DATA ENTREGA</t>
        </r>
      </text>
    </comment>
    <comment ref="AK3" authorId="0" shapeId="0" xr:uid="{0B982681-D0EF-4DA3-AC5E-28F9A253A131}">
      <text>
        <r>
          <rPr>
            <sz val="10"/>
            <color indexed="81"/>
            <rFont val="Lucida Console"/>
            <family val="3"/>
          </rPr>
          <t xml:space="preserve">     DATA INCLUSÃO</t>
        </r>
      </text>
    </comment>
    <comment ref="AL3" authorId="0" shapeId="0" xr:uid="{BFF245C6-8320-4795-ABF4-DB10015155A4}">
      <text>
        <r>
          <rPr>
            <sz val="10"/>
            <color indexed="81"/>
            <rFont val="Lucida Console"/>
            <family val="3"/>
          </rPr>
          <t xml:space="preserve">     DATA ALTERAÇÃO</t>
        </r>
      </text>
    </comment>
    <comment ref="AM3" authorId="0" shapeId="0" xr:uid="{4A679C5D-F9AE-4727-AA1D-C365A24D57BD}">
      <text>
        <r>
          <rPr>
            <sz val="10"/>
            <color indexed="81"/>
            <rFont val="Lucida Console"/>
            <family val="3"/>
          </rPr>
          <t xml:space="preserve">     DATA DESATIVAÇÃO</t>
        </r>
      </text>
    </comment>
    <comment ref="AN3" authorId="0" shapeId="0" xr:uid="{195A1C9C-46B1-4AA1-8E65-3E73A7A2482A}">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7DF11632-B709-453B-A3E5-B66C96A2C305}">
      <text>
        <r>
          <rPr>
            <sz val="10"/>
            <color indexed="81"/>
            <rFont val="Lucida Console"/>
            <family val="3"/>
          </rPr>
          <t>_x000D_
14662</t>
        </r>
      </text>
    </comment>
    <comment ref="B4" authorId="0" shapeId="0" xr:uid="{9C4AFFA5-0446-42E6-B5BB-FE88A40C3FB4}">
      <text>
        <r>
          <rPr>
            <sz val="10"/>
            <color indexed="81"/>
            <rFont val="Lucida Console"/>
            <family val="3"/>
          </rPr>
          <t>DESCRIÇÃO DETALHADA_x000D_
CIMENTO COMUM CPII-32 - SACO C/ 50KG - O MATERIAL DEVERA SER ENTREGUE EM LOTE PALETIZADO PROTEGIDO COM FILME PLASTICO.</t>
        </r>
      </text>
    </comment>
    <comment ref="G4" authorId="0" shapeId="0" xr:uid="{15A0AEC5-E568-4F51-AF4D-18E614D2A7FE}">
      <text>
        <r>
          <rPr>
            <sz val="10"/>
            <color indexed="81"/>
            <rFont val="Lucida Console"/>
            <family val="3"/>
          </rPr>
          <t>_x000D_
Últ estimativa : 6.000_x000D_
Enviada em     : 17.06.2021_x000D_
Ata - Venc     : 54/20 - 12.03.2021</t>
        </r>
      </text>
    </comment>
    <comment ref="M4" authorId="0" shapeId="0" xr:uid="{9A35A97C-AE4F-4025-B37B-DF2020E5F654}">
      <text>
        <r>
          <rPr>
            <sz val="10"/>
            <color indexed="81"/>
            <rFont val="Lucida Console"/>
            <family val="3"/>
          </rPr>
          <t>_x000D_
Validade necessária em meses =&gt; 2,_x000D_
A partir desta planilha limitado até 26.01.2024</t>
        </r>
      </text>
    </comment>
    <comment ref="W4" authorId="0" shapeId="0" xr:uid="{BEF81BBF-F0EE-445E-AE66-359B35470A22}">
      <text>
        <r>
          <rPr>
            <sz val="10"/>
            <color indexed="81"/>
            <rFont val="Lucida Console"/>
            <family val="3"/>
          </rPr>
          <t>_x000D_
DM-Construção</t>
        </r>
      </text>
    </comment>
    <comment ref="X4" authorId="0" shapeId="0" xr:uid="{B63E71B4-3EFB-4BC1-B800-47383CD5BFEE}">
      <text>
        <r>
          <rPr>
            <sz val="10"/>
            <color indexed="81"/>
            <rFont val="Lucida Console"/>
            <family val="3"/>
          </rPr>
          <t>_x000D_
MAT.E EQUIP. P/ CONSTR.CIVIL E CONSERV. DE VIAS PUBL.</t>
        </r>
      </text>
    </comment>
    <comment ref="Y4" authorId="0" shapeId="0" xr:uid="{8BDE19D3-C6A8-466D-B3D6-289F98C31877}">
      <text>
        <r>
          <rPr>
            <sz val="10"/>
            <color indexed="81"/>
            <rFont val="Lucida Console"/>
            <family val="3"/>
          </rPr>
          <t>_x000D_
CIMENTO, CAL E GESSO</t>
        </r>
      </text>
    </comment>
    <comment ref="AC4" authorId="0" shapeId="0" xr:uid="{8A312B1F-B8CF-4A4E-B035-53810F606004}">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G4" authorId="0" shapeId="0" xr:uid="{4D0D121E-8634-4C80-8F79-4DFB1A86FA54}">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W4" authorId="0" shapeId="0" xr:uid="{75F344C0-7FBC-4493-842C-A720952E90D1}">
      <text>
        <r>
          <rPr>
            <sz val="10"/>
            <color indexed="81"/>
            <rFont val="Lucida Console"/>
            <family val="3"/>
          </rPr>
          <t>Tempo de Estoque (Meses)_x000D_
_x000D_
2.067,0</t>
        </r>
      </text>
    </comment>
    <comment ref="A5" authorId="0" shapeId="0" xr:uid="{29B5E792-5A0B-44CB-BE2B-079F671A74C6}">
      <text>
        <r>
          <rPr>
            <sz val="10"/>
            <color indexed="81"/>
            <rFont val="Lucida Console"/>
            <family val="3"/>
          </rPr>
          <t>_x000D_
10867</t>
        </r>
      </text>
    </comment>
    <comment ref="B5" authorId="0" shapeId="0" xr:uid="{A5BD81C9-ADB5-4D66-8F8F-A32918DEF4D5}">
      <text>
        <r>
          <rPr>
            <sz val="10"/>
            <color indexed="81"/>
            <rFont val="Lucida Console"/>
            <family val="3"/>
          </rPr>
          <t>DESCRIÇÃO DETALHADA_x000D_
ACUCAR REFINADO AMORFO/MICROCRISTALINO PT C/ 1KG</t>
        </r>
      </text>
    </comment>
    <comment ref="G5" authorId="0" shapeId="0" xr:uid="{446E7AF8-8EE3-44E1-8DF5-BBD86A9E2EC9}">
      <text>
        <r>
          <rPr>
            <sz val="10"/>
            <color indexed="81"/>
            <rFont val="Lucida Console"/>
            <family val="3"/>
          </rPr>
          <t>_x000D_
Últ estimativa : 35.000_x000D_
Enviada em     : 11.11.2020_x000D_
Ata - Venc     : 16/21 - 19.01.2022</t>
        </r>
      </text>
    </comment>
    <comment ref="W5" authorId="0" shapeId="0" xr:uid="{D0C96CA4-42FB-4A6C-8189-906F371051DE}">
      <text>
        <r>
          <rPr>
            <sz val="10"/>
            <color indexed="81"/>
            <rFont val="Lucida Console"/>
            <family val="3"/>
          </rPr>
          <t>_x000D_
Administrativo</t>
        </r>
      </text>
    </comment>
    <comment ref="X5" authorId="0" shapeId="0" xr:uid="{6697942E-0610-4CFC-8600-E32B1D4C4044}">
      <text>
        <r>
          <rPr>
            <sz val="10"/>
            <color indexed="81"/>
            <rFont val="Lucida Console"/>
            <family val="3"/>
          </rPr>
          <t>_x000D_
GENEROS ALIMENTICIOS E BEBIDAS</t>
        </r>
      </text>
    </comment>
    <comment ref="Y5" authorId="0" shapeId="0" xr:uid="{2666C594-C8CB-468E-9401-5FB981C2C6B7}">
      <text>
        <r>
          <rPr>
            <sz val="10"/>
            <color indexed="81"/>
            <rFont val="Lucida Console"/>
            <family val="3"/>
          </rPr>
          <t>_x000D_
ACUCARES</t>
        </r>
      </text>
    </comment>
    <comment ref="AW5" authorId="0" shapeId="0" xr:uid="{D20E205B-A4AA-439B-95BD-CEEEBCFC83C9}">
      <text>
        <r>
          <rPr>
            <sz val="10"/>
            <color indexed="81"/>
            <rFont val="Lucida Console"/>
            <family val="3"/>
          </rPr>
          <t>Tempo de Estoque (Meses)_x000D_
_x000D_
12.771,0</t>
        </r>
      </text>
    </comment>
    <comment ref="A6" authorId="0" shapeId="0" xr:uid="{87A8E3CA-F11D-4F2E-B0E4-C83460E53436}">
      <text>
        <r>
          <rPr>
            <sz val="10"/>
            <color indexed="81"/>
            <rFont val="Lucida Console"/>
            <family val="3"/>
          </rPr>
          <t>_x000D_
24371</t>
        </r>
      </text>
    </comment>
    <comment ref="B6" authorId="0" shapeId="0" xr:uid="{46D88B36-5072-4B8C-8D34-81498D74E18E}">
      <text>
        <r>
          <rPr>
            <sz val="10"/>
            <color indexed="81"/>
            <rFont val="Lucida Console"/>
            <family val="3"/>
          </rPr>
          <t>DESCRIÇÃO DETALHADA_x000D_
BLOCO DE CONCRETO - 15 X 20 X 40 CM</t>
        </r>
      </text>
    </comment>
    <comment ref="G6" authorId="0" shapeId="0" xr:uid="{63DA8413-E47C-4D77-B5C1-25CCAC5A342C}">
      <text>
        <r>
          <rPr>
            <sz val="10"/>
            <color indexed="81"/>
            <rFont val="Lucida Console"/>
            <family val="3"/>
          </rPr>
          <t>_x000D_
Últ estimativa : 35.000_x000D_
Enviada em     : 17.06.2021_x000D_
Ata - Venc     : 224/20 - 01.10.2021</t>
        </r>
      </text>
    </comment>
    <comment ref="W6" authorId="0" shapeId="0" xr:uid="{1F719B98-182C-4ADD-8D80-A876F868D540}">
      <text>
        <r>
          <rPr>
            <sz val="10"/>
            <color indexed="81"/>
            <rFont val="Lucida Console"/>
            <family val="3"/>
          </rPr>
          <t>_x000D_
DM-Construção</t>
        </r>
      </text>
    </comment>
    <comment ref="X6" authorId="0" shapeId="0" xr:uid="{3079BE3C-A433-4B0A-8F1B-191E00F51A4B}">
      <text>
        <r>
          <rPr>
            <sz val="10"/>
            <color indexed="81"/>
            <rFont val="Lucida Console"/>
            <family val="3"/>
          </rPr>
          <t>_x000D_
MAT.E EQUIP. P/ CONSTR.CIVIL E CONSERV. DE VIAS PUBL.</t>
        </r>
      </text>
    </comment>
    <comment ref="Y6" authorId="0" shapeId="0" xr:uid="{C8B5207E-4D1D-4E21-838D-CAAE1966D6CE}">
      <text>
        <r>
          <rPr>
            <sz val="10"/>
            <color indexed="81"/>
            <rFont val="Lucida Console"/>
            <family val="3"/>
          </rPr>
          <t>_x000D_
BLOCOS, CANALETAS E ELEMENTOS VAZADOS EM CONCRETO</t>
        </r>
      </text>
    </comment>
    <comment ref="AW6" authorId="0" shapeId="0" xr:uid="{7A5007CB-F729-4CB4-930A-E021963F13E0}">
      <text>
        <r>
          <rPr>
            <sz val="10"/>
            <color indexed="81"/>
            <rFont val="Lucida Console"/>
            <family val="3"/>
          </rPr>
          <t>Tempo de Estoque (Meses)_x000D_
_x000D_
19.274,0</t>
        </r>
      </text>
    </comment>
    <comment ref="A7" authorId="0" shapeId="0" xr:uid="{152D0834-74B1-4741-8BCB-35ECE948D40D}">
      <text>
        <r>
          <rPr>
            <sz val="10"/>
            <color indexed="81"/>
            <rFont val="Lucida Console"/>
            <family val="3"/>
          </rPr>
          <t>_x000D_
32534</t>
        </r>
      </text>
    </comment>
    <comment ref="B7" authorId="0" shapeId="0" xr:uid="{3E2A2797-82DA-44CD-93E6-E0103C5DAD46}">
      <text>
        <r>
          <rPr>
            <sz val="10"/>
            <color indexed="81"/>
            <rFont val="Lucida Console"/>
            <family val="3"/>
          </rPr>
          <t>DESCRIÇÃO DETALHADA_x000D_
BLOCO DE CONCRETO - 20 X 20 X 40 CM</t>
        </r>
      </text>
    </comment>
    <comment ref="G7" authorId="0" shapeId="0" xr:uid="{40184F7F-1B2F-48FE-8F90-A07A9B70450C}">
      <text>
        <r>
          <rPr>
            <sz val="10"/>
            <color indexed="81"/>
            <rFont val="Lucida Console"/>
            <family val="3"/>
          </rPr>
          <t>_x000D_
Últ estimativa : 5.000_x000D_
Enviada em     : 17.06.2021_x000D_
Ata - Venc     : 224/20 - 01.10.2021</t>
        </r>
      </text>
    </comment>
    <comment ref="W7" authorId="0" shapeId="0" xr:uid="{10163ACA-0E86-44A9-8621-1EAB21DED974}">
      <text>
        <r>
          <rPr>
            <sz val="10"/>
            <color indexed="81"/>
            <rFont val="Lucida Console"/>
            <family val="3"/>
          </rPr>
          <t>_x000D_
DM-Construção</t>
        </r>
      </text>
    </comment>
    <comment ref="X7" authorId="0" shapeId="0" xr:uid="{E6178AC9-0B66-40ED-974F-D2BD29534EED}">
      <text>
        <r>
          <rPr>
            <sz val="10"/>
            <color indexed="81"/>
            <rFont val="Lucida Console"/>
            <family val="3"/>
          </rPr>
          <t>_x000D_
MAT.E EQUIP. P/ CONSTR.CIVIL E CONSERV. DE VIAS PUBL.</t>
        </r>
      </text>
    </comment>
    <comment ref="Y7" authorId="0" shapeId="0" xr:uid="{10F0FE1A-6D13-42C8-91D3-5E48B6ACE0CD}">
      <text>
        <r>
          <rPr>
            <sz val="10"/>
            <color indexed="81"/>
            <rFont val="Lucida Console"/>
            <family val="3"/>
          </rPr>
          <t>_x000D_
BLOCOS, CANALETAS E ELEMENTOS VAZADOS EM CONCRETO</t>
        </r>
      </text>
    </comment>
    <comment ref="AW7" authorId="0" shapeId="0" xr:uid="{9F66CDCA-D171-407A-9483-B4EF8C5AA37D}">
      <text>
        <r>
          <rPr>
            <sz val="10"/>
            <color indexed="81"/>
            <rFont val="Lucida Console"/>
            <family val="3"/>
          </rPr>
          <t>Tempo de Estoque (Meses)_x000D_
_x000D_
4.399,0</t>
        </r>
      </text>
    </comment>
    <comment ref="A8" authorId="0" shapeId="0" xr:uid="{801473D7-DDB2-4022-A7D8-0084CD939414}">
      <text>
        <r>
          <rPr>
            <sz val="10"/>
            <color indexed="81"/>
            <rFont val="Lucida Console"/>
            <family val="3"/>
          </rPr>
          <t>_x000D_
34801</t>
        </r>
      </text>
    </comment>
    <comment ref="B8" authorId="0" shapeId="0" xr:uid="{7E45DFCB-FCFF-4931-A670-15BA0E9E096B}">
      <text>
        <r>
          <rPr>
            <sz val="10"/>
            <color indexed="81"/>
            <rFont val="Lucida Console"/>
            <family val="3"/>
          </rPr>
          <t>DESCRIÇÃO DETALHADA_x000D_
BLOCO DE CONCRETO - 10 X 20 X 40 CM</t>
        </r>
      </text>
    </comment>
    <comment ref="G8" authorId="0" shapeId="0" xr:uid="{398F7472-440F-4055-815E-C1A551FAB1A1}">
      <text>
        <r>
          <rPr>
            <sz val="10"/>
            <color indexed="81"/>
            <rFont val="Lucida Console"/>
            <family val="3"/>
          </rPr>
          <t>_x000D_
Últ estimativa : 7.000_x000D_
Enviada em     : 17.06.2021_x000D_
Ata - Venc     : 224/20 - 01.10.2021</t>
        </r>
      </text>
    </comment>
    <comment ref="W8" authorId="0" shapeId="0" xr:uid="{DA74C9AD-BADC-43A7-9D62-4F85779B380C}">
      <text>
        <r>
          <rPr>
            <sz val="10"/>
            <color indexed="81"/>
            <rFont val="Lucida Console"/>
            <family val="3"/>
          </rPr>
          <t>_x000D_
DM-Construção</t>
        </r>
      </text>
    </comment>
    <comment ref="X8" authorId="0" shapeId="0" xr:uid="{7337FEB9-98AC-4DCF-A476-28060C022A1F}">
      <text>
        <r>
          <rPr>
            <sz val="10"/>
            <color indexed="81"/>
            <rFont val="Lucida Console"/>
            <family val="3"/>
          </rPr>
          <t>_x000D_
MAT.E EQUIP. P/ CONSTR.CIVIL E CONSERV. DE VIAS PUBL.</t>
        </r>
      </text>
    </comment>
    <comment ref="Y8" authorId="0" shapeId="0" xr:uid="{A80F7FC5-E1B0-46B8-89CC-7CE2EAC3D8A4}">
      <text>
        <r>
          <rPr>
            <sz val="10"/>
            <color indexed="81"/>
            <rFont val="Lucida Console"/>
            <family val="3"/>
          </rPr>
          <t>_x000D_
BLOCOS, CANALETAS E ELEMENTOS VAZADOS EM CONCRETO</t>
        </r>
      </text>
    </comment>
    <comment ref="AW8" authorId="0" shapeId="0" xr:uid="{16C749F6-FEE5-44D6-B6AD-4CC80C0A9AD2}">
      <text>
        <r>
          <rPr>
            <sz val="10"/>
            <color indexed="81"/>
            <rFont val="Lucida Console"/>
            <family val="3"/>
          </rPr>
          <t>Tempo de Estoque (Meses)_x000D_
_x000D_
2.439,0</t>
        </r>
      </text>
    </comment>
    <comment ref="A9" authorId="0" shapeId="0" xr:uid="{9CE848E3-6F3B-40C7-99DF-FEA668124889}">
      <text>
        <r>
          <rPr>
            <sz val="10"/>
            <color indexed="81"/>
            <rFont val="Lucida Console"/>
            <family val="3"/>
          </rPr>
          <t>_x000D_
54680</t>
        </r>
      </text>
    </comment>
    <comment ref="B9" authorId="0" shapeId="0" xr:uid="{56F6D590-E0C2-4CA1-895A-E7AA74C0D624}">
      <text>
        <r>
          <rPr>
            <sz val="10"/>
            <color indexed="81"/>
            <rFont val="Lucida Console"/>
            <family val="3"/>
          </rPr>
          <t>DESCRIÇÃO DETALHADA_x000D_
TELA DE ARAME GALVANIZADO - FIO 10 - MALHA 2.1/2" X 4 METROS DE ALTURA</t>
        </r>
      </text>
    </comment>
    <comment ref="G9" authorId="0" shapeId="0" xr:uid="{BCC78E5F-0B19-474E-A3C1-39D5F57EA275}">
      <text>
        <r>
          <rPr>
            <sz val="10"/>
            <color indexed="81"/>
            <rFont val="Lucida Console"/>
            <family val="3"/>
          </rPr>
          <t>_x000D_
Últ estimativa : 400_x000D_
Enviada em     : 14.02.2020_x000D_
Ata - Venc     : 147/20 - 06.07.2021</t>
        </r>
      </text>
    </comment>
    <comment ref="W9" authorId="0" shapeId="0" xr:uid="{3541411F-9F08-4C7D-B7DE-79BC0DC66E27}">
      <text>
        <r>
          <rPr>
            <sz val="10"/>
            <color indexed="81"/>
            <rFont val="Lucida Console"/>
            <family val="3"/>
          </rPr>
          <t>_x000D_
DM-Construção</t>
        </r>
      </text>
    </comment>
    <comment ref="X9" authorId="0" shapeId="0" xr:uid="{F8656317-E860-4725-B1CF-BBEFA6A9239A}">
      <text>
        <r>
          <rPr>
            <sz val="10"/>
            <color indexed="81"/>
            <rFont val="Lucida Console"/>
            <family val="3"/>
          </rPr>
          <t>_x000D_
MAT.E EQUIP. P/ CONSTR.CIVIL E CONSERV. DE VIAS PUBL.</t>
        </r>
      </text>
    </comment>
    <comment ref="Y9" authorId="0" shapeId="0" xr:uid="{778F3E19-EDCD-48FD-BD09-E22A5353F5AE}">
      <text>
        <r>
          <rPr>
            <sz val="10"/>
            <color indexed="81"/>
            <rFont val="Lucida Console"/>
            <family val="3"/>
          </rPr>
          <t>_x000D_
TELAS DE MALHA FINA, GROSSA, DE ALAMBRADO E MOUROES</t>
        </r>
      </text>
    </comment>
    <comment ref="AW9" authorId="0" shapeId="0" xr:uid="{19EB52F6-8E7D-4545-BFBE-800F4FD06C6E}">
      <text>
        <r>
          <rPr>
            <sz val="10"/>
            <color indexed="81"/>
            <rFont val="Lucida Console"/>
            <family val="3"/>
          </rPr>
          <t>Tempo de Estoque (Meses)_x000D_
_x000D_
130,0</t>
        </r>
      </text>
    </comment>
    <comment ref="A10" authorId="0" shapeId="0" xr:uid="{6604837B-FD9F-442A-B365-465CE429960B}">
      <text>
        <r>
          <rPr>
            <sz val="10"/>
            <color indexed="81"/>
            <rFont val="Lucida Console"/>
            <family val="3"/>
          </rPr>
          <t>_x000D_
64044</t>
        </r>
      </text>
    </comment>
    <comment ref="B10" authorId="0" shapeId="0" xr:uid="{98FD9EC5-1F2A-4F7F-9A2B-CC3E98731E5F}">
      <text>
        <r>
          <rPr>
            <sz val="10"/>
            <color indexed="81"/>
            <rFont val="Lucida Console"/>
            <family val="3"/>
          </rPr>
          <t>DESCRIÇÃO DETALHADA_x000D_
TELA DE ARAME GALVANIZADO - FIO 10 - MALHA 2.1/2" X 2 M DE ALTURA</t>
        </r>
      </text>
    </comment>
    <comment ref="G10" authorId="0" shapeId="0" xr:uid="{BAA6351E-A4F5-4581-B452-2C955EDB006E}">
      <text>
        <r>
          <rPr>
            <sz val="10"/>
            <color indexed="81"/>
            <rFont val="Lucida Console"/>
            <family val="3"/>
          </rPr>
          <t>_x000D_
Últ estimativa : 400_x000D_
Enviada em     : 14.02.2020_x000D_
Ata - Venc     : 147/20 - 06.07.2021</t>
        </r>
      </text>
    </comment>
    <comment ref="W10" authorId="0" shapeId="0" xr:uid="{6742917F-C944-4711-816C-5B61C2CA71FE}">
      <text>
        <r>
          <rPr>
            <sz val="10"/>
            <color indexed="81"/>
            <rFont val="Lucida Console"/>
            <family val="3"/>
          </rPr>
          <t>_x000D_
DM-Construção</t>
        </r>
      </text>
    </comment>
    <comment ref="X10" authorId="0" shapeId="0" xr:uid="{75C3A68E-FD93-4500-835F-E99529EBC7FA}">
      <text>
        <r>
          <rPr>
            <sz val="10"/>
            <color indexed="81"/>
            <rFont val="Lucida Console"/>
            <family val="3"/>
          </rPr>
          <t>_x000D_
MAT.E EQUIP. P/ CONSTR.CIVIL E CONSERV. DE VIAS PUBL.</t>
        </r>
      </text>
    </comment>
    <comment ref="Y10" authorId="0" shapeId="0" xr:uid="{A6EDF20D-79CE-425F-86A6-A61A3E12BD48}">
      <text>
        <r>
          <rPr>
            <sz val="10"/>
            <color indexed="81"/>
            <rFont val="Lucida Console"/>
            <family val="3"/>
          </rPr>
          <t>_x000D_
TELAS DE MALHA FINA, GROSSA, DE ALAMBRADO E MOUROES</t>
        </r>
      </text>
    </comment>
    <comment ref="AW10" authorId="0" shapeId="0" xr:uid="{63B32B40-D49B-4054-97A0-29EF2D107C18}">
      <text>
        <r>
          <rPr>
            <sz val="10"/>
            <color indexed="81"/>
            <rFont val="Lucida Console"/>
            <family val="3"/>
          </rPr>
          <t>Tempo de Estoque (Meses)_x000D_
_x000D_
320,0</t>
        </r>
      </text>
    </comment>
    <comment ref="A11" authorId="0" shapeId="0" xr:uid="{D97117B4-CE10-4A1E-B312-DBCF83AA1A08}">
      <text>
        <r>
          <rPr>
            <sz val="10"/>
            <color indexed="81"/>
            <rFont val="Lucida Console"/>
            <family val="3"/>
          </rPr>
          <t>_x000D_
27136</t>
        </r>
      </text>
    </comment>
    <comment ref="B11" authorId="0" shapeId="0" xr:uid="{90F8D7C5-091D-4B45-955C-461052C1033B}">
      <text>
        <r>
          <rPr>
            <sz val="10"/>
            <color indexed="81"/>
            <rFont val="Lucida Console"/>
            <family val="3"/>
          </rPr>
          <t>DESCRIÇÃO DETALHADA_x000D_
TOUCA DE PROTECAO PARA CABELOS, TIPO COZINHEIRA, EM MATERIAL DESCARTAVEL (TNT) SANFONADA - COR BRANCA</t>
        </r>
      </text>
    </comment>
    <comment ref="G11" authorId="0" shapeId="0" xr:uid="{BF07DE39-8686-41CF-ADBC-6DEF43D4BD55}">
      <text>
        <r>
          <rPr>
            <sz val="10"/>
            <color indexed="81"/>
            <rFont val="Lucida Console"/>
            <family val="3"/>
          </rPr>
          <t>_x000D_
Últ estimativa : 120.000_x000D_
Enviada em     : 10.09.2021_x000D_
Ata - Venc     : 275/20 - 15.11.2021</t>
        </r>
      </text>
    </comment>
    <comment ref="W11" authorId="0" shapeId="0" xr:uid="{B51FCF41-A7A1-4BCF-B1D9-591A00843562}">
      <text>
        <r>
          <rPr>
            <sz val="10"/>
            <color indexed="81"/>
            <rFont val="Lucida Console"/>
            <family val="3"/>
          </rPr>
          <t>_x000D_
SegMedTra</t>
        </r>
      </text>
    </comment>
    <comment ref="X11" authorId="0" shapeId="0" xr:uid="{CD78358A-69C4-4559-8855-A802064362FA}">
      <text>
        <r>
          <rPr>
            <sz val="10"/>
            <color indexed="81"/>
            <rFont val="Lucida Console"/>
            <family val="3"/>
          </rPr>
          <t>_x000D_
VEST., ART.P/ TOUC.E HIG. PES. MAQ., EQUIP., MAT.E ACES.</t>
        </r>
      </text>
    </comment>
    <comment ref="Y11" authorId="0" shapeId="0" xr:uid="{C13B7DCF-93F2-4895-A0E9-761C950DEE80}">
      <text>
        <r>
          <rPr>
            <sz val="10"/>
            <color indexed="81"/>
            <rFont val="Lucida Console"/>
            <family val="3"/>
          </rPr>
          <t>_x000D_
VESTUARIO MEDICO-HOSPITALAR</t>
        </r>
      </text>
    </comment>
    <comment ref="AW11" authorId="0" shapeId="0" xr:uid="{9D7B59A9-62A0-4F1C-A088-A55FB2D425C9}">
      <text>
        <r>
          <rPr>
            <sz val="10"/>
            <color indexed="81"/>
            <rFont val="Lucida Console"/>
            <family val="3"/>
          </rPr>
          <t>Tempo de Estoque (Meses)_x000D_
_x000D_
34.248,0</t>
        </r>
      </text>
    </comment>
    <comment ref="A12" authorId="0" shapeId="0" xr:uid="{9D1F0CBE-C9B0-4AE1-9A17-A20061E14C37}">
      <text>
        <r>
          <rPr>
            <sz val="10"/>
            <color indexed="81"/>
            <rFont val="Lucida Console"/>
            <family val="3"/>
          </rPr>
          <t>_x000D_
87698</t>
        </r>
      </text>
    </comment>
    <comment ref="B12" authorId="0" shapeId="0" xr:uid="{2B4F485B-0268-41FB-9C18-F83AAE10DCEF}">
      <text>
        <r>
          <rPr>
            <sz val="10"/>
            <color indexed="81"/>
            <rFont val="Lucida Console"/>
            <family val="3"/>
          </rPr>
          <t>DESCRIÇÃO DETALHADA_x000D_
REFIL DE BORRACHA PARA RODO DE ALUMINIO DE 60 CM</t>
        </r>
      </text>
    </comment>
    <comment ref="G12" authorId="0" shapeId="0" xr:uid="{544785A8-6CE8-49F7-8BE4-EEFD2DBDE5E6}">
      <text>
        <r>
          <rPr>
            <sz val="10"/>
            <color indexed="81"/>
            <rFont val="Lucida Console"/>
            <family val="3"/>
          </rPr>
          <t>_x000D_
Últ estimativa : 10_x000D_
Enviada em     : 19.12.2019_x000D_
Ata - Venc     : 275/20 - 15.11.2021</t>
        </r>
      </text>
    </comment>
    <comment ref="W12" authorId="0" shapeId="0" xr:uid="{303F6197-48CF-4C66-907D-88236B8AC950}">
      <text>
        <r>
          <rPr>
            <sz val="10"/>
            <color indexed="81"/>
            <rFont val="Lucida Console"/>
            <family val="3"/>
          </rPr>
          <t>_x000D_
Administrativo</t>
        </r>
      </text>
    </comment>
    <comment ref="X12" authorId="0" shapeId="0" xr:uid="{0862F0AF-6D90-4DEA-9D89-5CA3DE523659}">
      <text>
        <r>
          <rPr>
            <sz val="10"/>
            <color indexed="81"/>
            <rFont val="Lucida Console"/>
            <family val="3"/>
          </rPr>
          <t>_x000D_
MAQ.EQUIP.E MATERIAIS P/ HIGIEN.LIMP.POLIM.E LUBR.</t>
        </r>
      </text>
    </comment>
    <comment ref="Y12" authorId="0" shapeId="0" xr:uid="{FE5769AC-9A00-46B5-963D-05B5CFAA9DD8}">
      <text>
        <r>
          <rPr>
            <sz val="10"/>
            <color indexed="81"/>
            <rFont val="Lucida Console"/>
            <family val="3"/>
          </rPr>
          <t>_x000D_
VASSOURAS,ESCOVAS,ESFREGOES,RODOS,DESEMTUP.E ESPAN</t>
        </r>
      </text>
    </comment>
    <comment ref="AW12" authorId="0" shapeId="0" xr:uid="{B4E51116-82C2-4E48-9B3D-06C03E1D5A22}">
      <text>
        <r>
          <rPr>
            <sz val="10"/>
            <color indexed="81"/>
            <rFont val="Lucida Console"/>
            <family val="3"/>
          </rPr>
          <t>Tempo de Estoque (Meses)_x000D_
_x000D_
10,0</t>
        </r>
      </text>
    </comment>
    <comment ref="A13" authorId="0" shapeId="0" xr:uid="{1A74F952-52F6-4970-AC22-293EFB578343}">
      <text>
        <r>
          <rPr>
            <sz val="10"/>
            <color indexed="81"/>
            <rFont val="Lucida Console"/>
            <family val="3"/>
          </rPr>
          <t>_x000D_
87699</t>
        </r>
      </text>
    </comment>
    <comment ref="B13" authorId="0" shapeId="0" xr:uid="{9A0B608F-4DCC-4C58-B61F-49D8BC255BD3}">
      <text>
        <r>
          <rPr>
            <sz val="10"/>
            <color indexed="81"/>
            <rFont val="Lucida Console"/>
            <family val="3"/>
          </rPr>
          <t>DESCRIÇÃO DETALHADA_x000D_
REFIL DE BORRACHA PARA RODO DE ALUMINIO DE 40 CM</t>
        </r>
      </text>
    </comment>
    <comment ref="G13" authorId="0" shapeId="0" xr:uid="{9330D592-A245-4AD1-8436-FA271D0B77FE}">
      <text>
        <r>
          <rPr>
            <sz val="10"/>
            <color indexed="81"/>
            <rFont val="Lucida Console"/>
            <family val="3"/>
          </rPr>
          <t>_x000D_
Últ estimativa : 50_x000D_
Enviada em     : 19.12.2019_x000D_
Ata - Venc     : 275/20 - 15.11.2021</t>
        </r>
      </text>
    </comment>
    <comment ref="W13" authorId="0" shapeId="0" xr:uid="{7A296E99-47C6-41F1-8AC6-B65D5A1CA606}">
      <text>
        <r>
          <rPr>
            <sz val="10"/>
            <color indexed="81"/>
            <rFont val="Lucida Console"/>
            <family val="3"/>
          </rPr>
          <t>_x000D_
Administrativo</t>
        </r>
      </text>
    </comment>
    <comment ref="X13" authorId="0" shapeId="0" xr:uid="{01747A28-A263-4958-94D8-DA1313E84C9B}">
      <text>
        <r>
          <rPr>
            <sz val="10"/>
            <color indexed="81"/>
            <rFont val="Lucida Console"/>
            <family val="3"/>
          </rPr>
          <t>_x000D_
MAQ.EQUIP.E MATERIAIS P/ HIGIEN.LIMP.POLIM.E LUBR.</t>
        </r>
      </text>
    </comment>
    <comment ref="Y13" authorId="0" shapeId="0" xr:uid="{E5FF274C-82A9-4EAA-98EE-1F1D2013DAAC}">
      <text>
        <r>
          <rPr>
            <sz val="10"/>
            <color indexed="81"/>
            <rFont val="Lucida Console"/>
            <family val="3"/>
          </rPr>
          <t>_x000D_
VASSOURAS,ESCOVAS,ESFREGOES,RODOS,DESEMTUP.E ESPAN</t>
        </r>
      </text>
    </comment>
    <comment ref="AW13" authorId="0" shapeId="0" xr:uid="{DF60B196-8C76-480B-92AD-FF60E618895D}">
      <text>
        <r>
          <rPr>
            <sz val="10"/>
            <color indexed="81"/>
            <rFont val="Lucida Console"/>
            <family val="3"/>
          </rPr>
          <t>Tempo de Estoque (Meses)_x000D_
_x000D_
86,0</t>
        </r>
      </text>
    </comment>
    <comment ref="A14" authorId="0" shapeId="0" xr:uid="{3DAD8FAB-3D2F-4561-BA02-BC863942B29E}">
      <text>
        <r>
          <rPr>
            <sz val="10"/>
            <color indexed="81"/>
            <rFont val="Lucida Console"/>
            <family val="3"/>
          </rPr>
          <t>_x000D_
9413</t>
        </r>
      </text>
    </comment>
    <comment ref="B14" authorId="0" shapeId="0" xr:uid="{1B6F4749-76AC-4396-8F16-7C3F58D8470B}">
      <text>
        <r>
          <rPr>
            <sz val="10"/>
            <color indexed="81"/>
            <rFont val="Lucida Console"/>
            <family val="3"/>
          </rPr>
          <t>DESCRIÇÃO DETALHADA_x000D_
SACO PLASTICO P/ LIXO  CAP. 100 LITROS, COR PRETA - 75 X 105 CM X 0,14 MM OU 140 MICRAS DE ESPESSURA (0,07 MM POR PAREDE)</t>
        </r>
      </text>
    </comment>
    <comment ref="G14" authorId="0" shapeId="0" xr:uid="{ADCC84F0-BC19-4BA9-935C-6B50C16EA1A2}">
      <text>
        <r>
          <rPr>
            <sz val="10"/>
            <color indexed="81"/>
            <rFont val="Lucida Console"/>
            <family val="3"/>
          </rPr>
          <t>_x000D_
Últ estimativa : 20.000_x000D_
Enviada em     : 11.05.2020_x000D_
Ata - Venc     : 159/20 - 02.08.2021</t>
        </r>
      </text>
    </comment>
    <comment ref="W14" authorId="0" shapeId="0" xr:uid="{A06695E0-3D37-4FFC-9F4A-F96AD45F2AAD}">
      <text>
        <r>
          <rPr>
            <sz val="10"/>
            <color indexed="81"/>
            <rFont val="Lucida Console"/>
            <family val="3"/>
          </rPr>
          <t>_x000D_
Administrativo</t>
        </r>
      </text>
    </comment>
    <comment ref="X14" authorId="0" shapeId="0" xr:uid="{FB851D6A-FDB7-4C45-8AF6-ACB17F95CD75}">
      <text>
        <r>
          <rPr>
            <sz val="10"/>
            <color indexed="81"/>
            <rFont val="Lucida Console"/>
            <family val="3"/>
          </rPr>
          <t>_x000D_
MAQ.EQUIP.E MATERIAIS P/ HIGIEN.LIMP.POLIM.E LUBR.</t>
        </r>
      </text>
    </comment>
    <comment ref="Y14" authorId="0" shapeId="0" xr:uid="{2F10C5BB-3528-487F-B328-427316F0CE35}">
      <text>
        <r>
          <rPr>
            <sz val="10"/>
            <color indexed="81"/>
            <rFont val="Lucida Console"/>
            <family val="3"/>
          </rPr>
          <t>_x000D_
ESPONJAS,BALDES,SACOS E CESTOS DE LIXO, ETC</t>
        </r>
      </text>
    </comment>
    <comment ref="AC14" authorId="0" shapeId="0" xr:uid="{95830793-74B5-4257-A373-78DF84C3449B}">
      <text>
        <r>
          <rPr>
            <sz val="10"/>
            <color indexed="81"/>
            <rFont val="Lucida Console"/>
            <family val="3"/>
          </rPr>
          <t>_x000D_
AF 12.192/23 | Vc 30.10.2023 | Saldo  2.700 | GM PLASTICOS INDUSTRIA E COMERCIO LTDA ( 226361 )</t>
        </r>
      </text>
    </comment>
    <comment ref="AG14" authorId="0" shapeId="0" xr:uid="{C30AA452-0A9B-4ECE-90A2-0D1CFCFE16A7}">
      <text>
        <r>
          <rPr>
            <sz val="10"/>
            <color indexed="81"/>
            <rFont val="Lucida Console"/>
            <family val="3"/>
          </rPr>
          <t>_x000D_
AF 12.192/23 | Vc 30.10.2023 | Saldo  2.700 | GM PLASTICOS INDUSTRIA E COMERCIO LTDA ( 226361 )</t>
        </r>
      </text>
    </comment>
    <comment ref="AW14" authorId="0" shapeId="0" xr:uid="{142A2749-548D-4DAE-93C3-11D81899F956}">
      <text>
        <r>
          <rPr>
            <sz val="10"/>
            <color indexed="81"/>
            <rFont val="Lucida Console"/>
            <family val="3"/>
          </rPr>
          <t>Tempo de Estoque (Meses)_x000D_
_x000D_
8.016,0</t>
        </r>
      </text>
    </comment>
    <comment ref="A15" authorId="0" shapeId="0" xr:uid="{469713A8-EEBB-4A40-843C-DB85021CD52E}">
      <text>
        <r>
          <rPr>
            <sz val="10"/>
            <color indexed="81"/>
            <rFont val="Lucida Console"/>
            <family val="3"/>
          </rPr>
          <t>_x000D_
14154</t>
        </r>
      </text>
    </comment>
    <comment ref="B15" authorId="0" shapeId="0" xr:uid="{2966E182-A073-4739-B91A-3AFDC5ECE187}">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15" authorId="0" shapeId="0" xr:uid="{69E75883-232F-4701-8C63-2B7BD8E778C8}">
      <text>
        <r>
          <rPr>
            <sz val="10"/>
            <color indexed="81"/>
            <rFont val="Lucida Console"/>
            <family val="3"/>
          </rPr>
          <t>_x000D_
Últ estimativa : 12.000_x000D_
Enviada em     : 10.09.2021_x000D_
Ata - Venc     : 275/20 - 15.11.2021</t>
        </r>
      </text>
    </comment>
    <comment ref="W15" authorId="0" shapeId="0" xr:uid="{124C85E6-A56F-44F6-AEA1-F06915488B40}">
      <text>
        <r>
          <rPr>
            <sz val="10"/>
            <color indexed="81"/>
            <rFont val="Lucida Console"/>
            <family val="3"/>
          </rPr>
          <t>_x000D_
Administrativo</t>
        </r>
      </text>
    </comment>
    <comment ref="X15" authorId="0" shapeId="0" xr:uid="{52E38653-D92C-4294-BE6E-898299061404}">
      <text>
        <r>
          <rPr>
            <sz val="10"/>
            <color indexed="81"/>
            <rFont val="Lucida Console"/>
            <family val="3"/>
          </rPr>
          <t>_x000D_
MAQ.EQUIP.E MATERIAIS P/ HIGIEN.LIMP.POLIM.E LUBR.</t>
        </r>
      </text>
    </comment>
    <comment ref="Y15" authorId="0" shapeId="0" xr:uid="{269F3B13-B6B6-42F4-8A60-8D37FA793193}">
      <text>
        <r>
          <rPr>
            <sz val="10"/>
            <color indexed="81"/>
            <rFont val="Lucida Console"/>
            <family val="3"/>
          </rPr>
          <t>_x000D_
ESPONJAS,BALDES,SACOS E CESTOS DE LIXO, ETC</t>
        </r>
      </text>
    </comment>
    <comment ref="AW15" authorId="0" shapeId="0" xr:uid="{34B4DE59-72DC-40F4-AC9A-F9DE42280776}">
      <text>
        <r>
          <rPr>
            <sz val="10"/>
            <color indexed="81"/>
            <rFont val="Lucida Console"/>
            <family val="3"/>
          </rPr>
          <t>Tempo de Estoque (Meses)_x000D_
_x000D_
3.297,0</t>
        </r>
      </text>
    </comment>
    <comment ref="A16" authorId="0" shapeId="0" xr:uid="{17E49610-386C-4651-82E7-4F5DE6178FC8}">
      <text>
        <r>
          <rPr>
            <sz val="10"/>
            <color indexed="81"/>
            <rFont val="Lucida Console"/>
            <family val="3"/>
          </rPr>
          <t>_x000D_
133021</t>
        </r>
      </text>
    </comment>
    <comment ref="B16" authorId="0" shapeId="0" xr:uid="{980ED4C7-08BA-498F-9D44-909159013106}">
      <text>
        <r>
          <rPr>
            <sz val="10"/>
            <color indexed="81"/>
            <rFont val="Lucida Console"/>
            <family val="3"/>
          </rPr>
          <t>DESCRIÇÃO DETALHADA_x000D_
PANO DE CHAO, MEDIDAS: 45 X 75 CM (VARIACAO +/- 5 CM), 100% ALGODAO, ALVEJADO, PESO MINIMO DE 130 GRAMAS.</t>
        </r>
      </text>
    </comment>
    <comment ref="G16" authorId="0" shapeId="0" xr:uid="{77E1DBAB-FB51-4004-B9EA-E8F4363E74C7}">
      <text>
        <r>
          <rPr>
            <sz val="10"/>
            <color indexed="81"/>
            <rFont val="Lucida Console"/>
            <family val="3"/>
          </rPr>
          <t>_x000D_
Últ estimativa : 1.000_x000D_
Enviada em     : 10.09.2021_x000D_
Ata - Venc     : 308/20 - 28.12.2021</t>
        </r>
      </text>
    </comment>
    <comment ref="W16" authorId="0" shapeId="0" xr:uid="{7647E38F-0DCF-471C-9229-DBBDFB833748}">
      <text>
        <r>
          <rPr>
            <sz val="10"/>
            <color indexed="81"/>
            <rFont val="Lucida Console"/>
            <family val="3"/>
          </rPr>
          <t>_x000D_
Administrativo</t>
        </r>
      </text>
    </comment>
    <comment ref="X16" authorId="0" shapeId="0" xr:uid="{A69247D5-3DBE-4C39-A891-6887C321C4CC}">
      <text>
        <r>
          <rPr>
            <sz val="10"/>
            <color indexed="81"/>
            <rFont val="Lucida Console"/>
            <family val="3"/>
          </rPr>
          <t>_x000D_
MAQ.EQUIP.E MATERIAIS P/ HIGIEN.LIMP.POLIM.E LUBR.</t>
        </r>
      </text>
    </comment>
    <comment ref="Y16" authorId="0" shapeId="0" xr:uid="{7BF119E7-6B3B-4F22-AEC6-9872B84E4C0D}">
      <text>
        <r>
          <rPr>
            <sz val="10"/>
            <color indexed="81"/>
            <rFont val="Lucida Console"/>
            <family val="3"/>
          </rPr>
          <t>_x000D_
PANO PARA CHAO, COPA E FLANELA</t>
        </r>
      </text>
    </comment>
    <comment ref="AW16" authorId="0" shapeId="0" xr:uid="{41A4AAA8-AE88-4DCF-9374-2B8385CA9AD6}">
      <text>
        <r>
          <rPr>
            <sz val="10"/>
            <color indexed="81"/>
            <rFont val="Lucida Console"/>
            <family val="3"/>
          </rPr>
          <t>Tempo de Estoque (Meses)_x000D_
_x000D_
85,0</t>
        </r>
      </text>
    </comment>
    <comment ref="A17" authorId="0" shapeId="0" xr:uid="{39FE8A87-66E0-4360-B335-4E88093A6140}">
      <text>
        <r>
          <rPr>
            <sz val="10"/>
            <color indexed="81"/>
            <rFont val="Lucida Console"/>
            <family val="3"/>
          </rPr>
          <t>_x000D_
91669</t>
        </r>
      </text>
    </comment>
    <comment ref="B17" authorId="0" shapeId="0" xr:uid="{83BD7EDE-1BF9-4585-B127-56CD6C65804D}">
      <text>
        <r>
          <rPr>
            <sz val="10"/>
            <color indexed="81"/>
            <rFont val="Lucida Console"/>
            <family val="3"/>
          </rPr>
          <t>DESCRIÇÃO DETALHADA_x000D_
SABAO EM PO, EMBALAGEM C/ 01 KG - CARACTERISTICAS: COM AMACIANTE, QUE REMOVA A GORDURA E SUJEIRA COM FACILIDADE.</t>
        </r>
      </text>
    </comment>
    <comment ref="G17" authorId="0" shapeId="0" xr:uid="{16CFD690-A552-4BD4-88BD-94B6363E5BD5}">
      <text>
        <r>
          <rPr>
            <sz val="10"/>
            <color indexed="81"/>
            <rFont val="Lucida Console"/>
            <family val="3"/>
          </rPr>
          <t>_x000D_
Últ estimativa : 4.500_x000D_
Enviada em     : 10.09.2021_x000D_
Ata - Venc     : 308/20 - 28.12.2021</t>
        </r>
      </text>
    </comment>
    <comment ref="W17" authorId="0" shapeId="0" xr:uid="{5A9870B5-7A84-4E17-A43D-760E4404506D}">
      <text>
        <r>
          <rPr>
            <sz val="10"/>
            <color indexed="81"/>
            <rFont val="Lucida Console"/>
            <family val="3"/>
          </rPr>
          <t>_x000D_
Administrativo</t>
        </r>
      </text>
    </comment>
    <comment ref="X17" authorId="0" shapeId="0" xr:uid="{848C6629-A2F9-456E-A0CE-81F2A0E88AB1}">
      <text>
        <r>
          <rPr>
            <sz val="10"/>
            <color indexed="81"/>
            <rFont val="Lucida Console"/>
            <family val="3"/>
          </rPr>
          <t>_x000D_
MAQ.EQUIP.E MATERIAIS P/ HIGIEN.LIMP.POLIM.E LUBR.</t>
        </r>
      </text>
    </comment>
    <comment ref="Y17" authorId="0" shapeId="0" xr:uid="{5D84A9A8-A877-4A59-A798-838B25C252B8}">
      <text>
        <r>
          <rPr>
            <sz val="10"/>
            <color indexed="81"/>
            <rFont val="Lucida Console"/>
            <family val="3"/>
          </rPr>
          <t>_x000D_
SABOES E SAPONACEOS</t>
        </r>
      </text>
    </comment>
    <comment ref="AC17" authorId="0" shapeId="0" xr:uid="{E9572B80-944F-4E05-97A4-D06D94BD6BEC}">
      <text>
        <r>
          <rPr>
            <sz val="10"/>
            <color indexed="81"/>
            <rFont val="Lucida Console"/>
            <family val="3"/>
          </rPr>
          <t>_x000D_
AF 12.191/23 | Vc 30.10.2023 | Saldo    800 | P.P. QUIMICA INDUSTRIAL LTDA ( 207252 )</t>
        </r>
      </text>
    </comment>
    <comment ref="AG17" authorId="0" shapeId="0" xr:uid="{B4CAACDC-BEF2-419C-A230-46563142CFAB}">
      <text>
        <r>
          <rPr>
            <sz val="10"/>
            <color indexed="81"/>
            <rFont val="Lucida Console"/>
            <family val="3"/>
          </rPr>
          <t>_x000D_
AF 12.191/23 | Vc 30.10.2023 | Saldo    800 | P.P. QUIMICA INDUSTRIAL LTDA ( 207252 )</t>
        </r>
      </text>
    </comment>
    <comment ref="AW17" authorId="0" shapeId="0" xr:uid="{745F414B-9A93-4CC8-AC6D-22D9F08C851A}">
      <text>
        <r>
          <rPr>
            <sz val="10"/>
            <color indexed="81"/>
            <rFont val="Lucida Console"/>
            <family val="3"/>
          </rPr>
          <t>Tempo de Estoque (Meses)_x000D_
_x000D_
1.468,0</t>
        </r>
      </text>
    </comment>
    <comment ref="A18" authorId="0" shapeId="0" xr:uid="{E1BE5821-7A64-4B07-8487-4870FC88AA53}">
      <text>
        <r>
          <rPr>
            <sz val="10"/>
            <color indexed="81"/>
            <rFont val="Lucida Console"/>
            <family val="3"/>
          </rPr>
          <t>_x000D_
12685</t>
        </r>
      </text>
    </comment>
    <comment ref="B18" authorId="0" shapeId="0" xr:uid="{AEF03CA5-43FE-47AC-ADC9-2ACCC28921C8}">
      <text>
        <r>
          <rPr>
            <sz val="10"/>
            <color indexed="81"/>
            <rFont val="Lucida Console"/>
            <family val="3"/>
          </rPr>
          <t>DESCRIÇÃO DETALHADA_x000D_
AGUA SANITARIA - FRASCO C/ 1 L.</t>
        </r>
      </text>
    </comment>
    <comment ref="G18" authorId="0" shapeId="0" xr:uid="{ABB38542-F034-40BE-9028-EB2693E2C915}">
      <text>
        <r>
          <rPr>
            <sz val="10"/>
            <color indexed="81"/>
            <rFont val="Lucida Console"/>
            <family val="3"/>
          </rPr>
          <t>_x000D_
Últ estimativa : 200_x000D_
Enviada em     : 10.09.2021_x000D_
Ata - Venc     : 308/20 - 28.12.2021</t>
        </r>
      </text>
    </comment>
    <comment ref="W18" authorId="0" shapeId="0" xr:uid="{2C7C1C6E-FED8-4F4E-9677-64955733822D}">
      <text>
        <r>
          <rPr>
            <sz val="10"/>
            <color indexed="81"/>
            <rFont val="Lucida Console"/>
            <family val="3"/>
          </rPr>
          <t>_x000D_
Administrativo</t>
        </r>
      </text>
    </comment>
    <comment ref="X18" authorId="0" shapeId="0" xr:uid="{D1791899-9F72-4EAC-A075-B9A348594B6B}">
      <text>
        <r>
          <rPr>
            <sz val="10"/>
            <color indexed="81"/>
            <rFont val="Lucida Console"/>
            <family val="3"/>
          </rPr>
          <t>_x000D_
MAQ.EQUIP.E MATERIAIS P/ HIGIEN.LIMP.POLIM.E LUBR.</t>
        </r>
      </text>
    </comment>
    <comment ref="Y18" authorId="0" shapeId="0" xr:uid="{D081A253-8AB4-4147-AD94-70D8D694A52B}">
      <text>
        <r>
          <rPr>
            <sz val="10"/>
            <color indexed="81"/>
            <rFont val="Lucida Console"/>
            <family val="3"/>
          </rPr>
          <t>_x000D_
DETERGENTES,DESINF.,GERMICIDAS,REMOVEDORES E AFINS</t>
        </r>
      </text>
    </comment>
    <comment ref="AC18" authorId="0" shapeId="0" xr:uid="{09E34382-3AEC-4033-B686-E1AA55E4A25A}">
      <text>
        <r>
          <rPr>
            <sz val="10"/>
            <color indexed="81"/>
            <rFont val="Lucida Console"/>
            <family val="3"/>
          </rPr>
          <t>_x000D_
AF 12.193/23 | Vc 30.10.2023 | Saldo    100 | ART SUPRIMENTOS LTDA ( 237679 )</t>
        </r>
      </text>
    </comment>
    <comment ref="AG18" authorId="0" shapeId="0" xr:uid="{FE4D87DB-2826-45BD-94B2-B53C01201C8C}">
      <text>
        <r>
          <rPr>
            <sz val="10"/>
            <color indexed="81"/>
            <rFont val="Lucida Console"/>
            <family val="3"/>
          </rPr>
          <t>_x000D_
AF 12.193/23 | Vc 30.10.2023 | Saldo    100 | ART SUPRIMENTOS LTDA ( 237679 )</t>
        </r>
      </text>
    </comment>
    <comment ref="AW18" authorId="0" shapeId="0" xr:uid="{D8418444-B675-46FC-843A-1BDF479654F2}">
      <text>
        <r>
          <rPr>
            <sz val="10"/>
            <color indexed="81"/>
            <rFont val="Lucida Console"/>
            <family val="3"/>
          </rPr>
          <t>Tempo de Estoque (Meses)_x000D_
_x000D_
100,0</t>
        </r>
      </text>
    </comment>
    <comment ref="A19" authorId="0" shapeId="0" xr:uid="{CD6BE85A-56C2-4304-B61B-61F63730BBC0}">
      <text>
        <r>
          <rPr>
            <sz val="10"/>
            <color indexed="81"/>
            <rFont val="Lucida Console"/>
            <family val="3"/>
          </rPr>
          <t>_x000D_
102922</t>
        </r>
      </text>
    </comment>
    <comment ref="B19" authorId="0" shapeId="0" xr:uid="{326D9BB3-E936-4336-B274-49CBA1F4BA55}">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19" authorId="0" shapeId="0" xr:uid="{890C43BA-6CE3-4473-BA8D-365D8286A54A}">
      <text>
        <r>
          <rPr>
            <sz val="10"/>
            <color indexed="81"/>
            <rFont val="Lucida Console"/>
            <family val="3"/>
          </rPr>
          <t>_x000D_
Últ estimativa : 20.000_x000D_
Enviada em     : 10.09.2021_x000D_
Ata - Venc     : 308/20 - 28.12.2021</t>
        </r>
      </text>
    </comment>
    <comment ref="W19" authorId="0" shapeId="0" xr:uid="{557FEB02-61BE-48B1-AA88-05272E5BC7A8}">
      <text>
        <r>
          <rPr>
            <sz val="10"/>
            <color indexed="81"/>
            <rFont val="Lucida Console"/>
            <family val="3"/>
          </rPr>
          <t>_x000D_
Administrativo</t>
        </r>
      </text>
    </comment>
    <comment ref="X19" authorId="0" shapeId="0" xr:uid="{DBD6EBDC-61D7-4AD1-8644-D7E9822F573E}">
      <text>
        <r>
          <rPr>
            <sz val="10"/>
            <color indexed="81"/>
            <rFont val="Lucida Console"/>
            <family val="3"/>
          </rPr>
          <t>_x000D_
MAQ.EQUIP.E MATERIAIS P/ HIGIEN.LIMP.POLIM.E LUBR.</t>
        </r>
      </text>
    </comment>
    <comment ref="Y19" authorId="0" shapeId="0" xr:uid="{49BC4EF1-EB7A-4D6C-B7F2-A7358932F402}">
      <text>
        <r>
          <rPr>
            <sz val="10"/>
            <color indexed="81"/>
            <rFont val="Lucida Console"/>
            <family val="3"/>
          </rPr>
          <t>_x000D_
DETERGENTES,DESINF.,GERMICIDAS,REMOVEDORES E AFINS</t>
        </r>
      </text>
    </comment>
    <comment ref="AC19" authorId="0" shapeId="0" xr:uid="{E7D509E7-AFA6-44F9-850D-174969A6971A}">
      <text>
        <r>
          <rPr>
            <sz val="10"/>
            <color indexed="81"/>
            <rFont val="Lucida Console"/>
            <family val="3"/>
          </rPr>
          <t>_x000D_
AF 12.190/23 | Vc 30.10.2023 | Saldo  4.000 | P.P. QUIMICA INDUSTRIAL LTDA ( 207252 )</t>
        </r>
      </text>
    </comment>
    <comment ref="AG19" authorId="0" shapeId="0" xr:uid="{D75EC599-C46F-4EFD-940A-E37D8F12236E}">
      <text>
        <r>
          <rPr>
            <sz val="10"/>
            <color indexed="81"/>
            <rFont val="Lucida Console"/>
            <family val="3"/>
          </rPr>
          <t>_x000D_
AF 12.190/23 | Vc 30.10.2023 | Saldo  4.000 | P.P. QUIMICA INDUSTRIAL LTDA ( 207252 )</t>
        </r>
      </text>
    </comment>
    <comment ref="AW19" authorId="0" shapeId="0" xr:uid="{53345889-9348-418A-A67E-0C8C6A0EC944}">
      <text>
        <r>
          <rPr>
            <sz val="10"/>
            <color indexed="81"/>
            <rFont val="Lucida Console"/>
            <family val="3"/>
          </rPr>
          <t>Tempo de Estoque (Meses)_x000D_
_x000D_
4.826,0</t>
        </r>
      </text>
    </comment>
    <comment ref="A20" authorId="0" shapeId="0" xr:uid="{7D7699BA-6849-4AAC-BC5E-D280B489252C}">
      <text>
        <r>
          <rPr>
            <sz val="10"/>
            <color indexed="81"/>
            <rFont val="Lucida Console"/>
            <family val="3"/>
          </rPr>
          <t>_x000D_
10719</t>
        </r>
      </text>
    </comment>
    <comment ref="B20" authorId="0" shapeId="0" xr:uid="{43834AA2-56D0-4EE8-9BCF-7604A9F0E845}">
      <text>
        <r>
          <rPr>
            <sz val="10"/>
            <color indexed="81"/>
            <rFont val="Lucida Console"/>
            <family val="3"/>
          </rPr>
          <t>DESCRIÇÃO DETALHADA_x000D_
CAFE TORRADO E MOIDO - PT C/ 500 G - EMBALAGEM TIJOLINHO</t>
        </r>
      </text>
    </comment>
    <comment ref="G20" authorId="0" shapeId="0" xr:uid="{A11052CF-CBC4-4EB3-A0E7-5910C2F4C97F}">
      <text>
        <r>
          <rPr>
            <sz val="10"/>
            <color indexed="81"/>
            <rFont val="Lucida Console"/>
            <family val="3"/>
          </rPr>
          <t>_x000D_
Últ estimativa : 60.000_x000D_
Enviada em     : 04.12.2020_x000D_
Ata - Venc     : 85/21 - 23.03.2022</t>
        </r>
      </text>
    </comment>
    <comment ref="W20" authorId="0" shapeId="0" xr:uid="{FA251661-3497-42FB-ACCA-CC757F3E91DD}">
      <text>
        <r>
          <rPr>
            <sz val="10"/>
            <color indexed="81"/>
            <rFont val="Lucida Console"/>
            <family val="3"/>
          </rPr>
          <t>_x000D_
Administrativo</t>
        </r>
      </text>
    </comment>
    <comment ref="X20" authorId="0" shapeId="0" xr:uid="{5C27FA26-0D59-4F71-B2FC-666B53386057}">
      <text>
        <r>
          <rPr>
            <sz val="10"/>
            <color indexed="81"/>
            <rFont val="Lucida Console"/>
            <family val="3"/>
          </rPr>
          <t>_x000D_
GENEROS ALIMENTICIOS E BEBIDAS</t>
        </r>
      </text>
    </comment>
    <comment ref="Y20" authorId="0" shapeId="0" xr:uid="{EF40A2F5-952A-4418-BC0A-44FED05520D9}">
      <text>
        <r>
          <rPr>
            <sz val="10"/>
            <color indexed="81"/>
            <rFont val="Lucida Console"/>
            <family val="3"/>
          </rPr>
          <t>_x000D_
CONCENTRADOS</t>
        </r>
      </text>
    </comment>
    <comment ref="AC20" authorId="0" shapeId="0" xr:uid="{00600FA2-97F8-41D4-BEA7-B800FAD59D48}">
      <text>
        <r>
          <rPr>
            <sz val="10"/>
            <color indexed="81"/>
            <rFont val="Lucida Console"/>
            <family val="3"/>
          </rPr>
          <t>_x000D_
AF 12.171/23 | Vc 09.10.2023 | Saldo  5.331 | FINO SABOR INDUSTRIA E COMERCIO LTDA ( 20351 )</t>
        </r>
      </text>
    </comment>
    <comment ref="AG20" authorId="0" shapeId="0" xr:uid="{BC7E30D8-6990-4D84-AFCA-4DAE5B2AD737}">
      <text>
        <r>
          <rPr>
            <sz val="10"/>
            <color indexed="81"/>
            <rFont val="Lucida Console"/>
            <family val="3"/>
          </rPr>
          <t>_x000D_
AF 12.171/23 | Vc 09.10.2023 | Saldo  5.331 | FINO SABOR INDUSTRIA E COMERCIO LTDA ( 20351 )</t>
        </r>
      </text>
    </comment>
    <comment ref="AW20" authorId="0" shapeId="0" xr:uid="{152F3E14-7E28-4FDA-A22A-A4433AD220DA}">
      <text>
        <r>
          <rPr>
            <sz val="10"/>
            <color indexed="81"/>
            <rFont val="Lucida Console"/>
            <family val="3"/>
          </rPr>
          <t>Tempo de Estoque (Meses)_x000D_
_x000D_
8.315,0</t>
        </r>
      </text>
    </comment>
    <comment ref="A21" authorId="0" shapeId="0" xr:uid="{98147CFD-E12F-4990-9325-B4C5C319FC06}">
      <text>
        <r>
          <rPr>
            <sz val="10"/>
            <color indexed="81"/>
            <rFont val="Lucida Console"/>
            <family val="3"/>
          </rPr>
          <t>_x000D_
14121</t>
        </r>
      </text>
    </comment>
    <comment ref="B21" authorId="0" shapeId="0" xr:uid="{0BE54237-203E-44E1-89B4-81D25BEBF1A7}">
      <text>
        <r>
          <rPr>
            <sz val="10"/>
            <color indexed="81"/>
            <rFont val="Lucida Console"/>
            <family val="3"/>
          </rPr>
          <t>DESCRIÇÃO DETALHADA_x000D_
SACO PLASTICO P/ LIXO - 50 L, COR PRETA - 63 X 80 CM X 0,12 MM OU 120 MICRAS DE ESPESSURA (0,06 MM POR PAREDE)</t>
        </r>
      </text>
    </comment>
    <comment ref="G21" authorId="0" shapeId="0" xr:uid="{5E77DD69-8AEA-43B5-A85B-8065EE9DBF82}">
      <text>
        <r>
          <rPr>
            <sz val="10"/>
            <color indexed="81"/>
            <rFont val="Lucida Console"/>
            <family val="3"/>
          </rPr>
          <t>_x000D_
Últ estimativa : 14.000_x000D_
Enviada em     : 14.10.2019_x000D_
Ata - Venc     : 93/21 - 29.03.2022</t>
        </r>
      </text>
    </comment>
    <comment ref="W21" authorId="0" shapeId="0" xr:uid="{A53382E4-C92F-4FCE-A99C-4B01C4F02814}">
      <text>
        <r>
          <rPr>
            <sz val="10"/>
            <color indexed="81"/>
            <rFont val="Lucida Console"/>
            <family val="3"/>
          </rPr>
          <t>_x000D_
Administrativo</t>
        </r>
      </text>
    </comment>
    <comment ref="X21" authorId="0" shapeId="0" xr:uid="{1C430402-942D-4327-827D-A967DEFF0DC1}">
      <text>
        <r>
          <rPr>
            <sz val="10"/>
            <color indexed="81"/>
            <rFont val="Lucida Console"/>
            <family val="3"/>
          </rPr>
          <t>_x000D_
MAQ.EQUIP.E MATERIAIS P/ HIGIEN.LIMP.POLIM.E LUBR.</t>
        </r>
      </text>
    </comment>
    <comment ref="Y21" authorId="0" shapeId="0" xr:uid="{F105CF25-F5E5-4874-A14B-A69D5693B74D}">
      <text>
        <r>
          <rPr>
            <sz val="10"/>
            <color indexed="81"/>
            <rFont val="Lucida Console"/>
            <family val="3"/>
          </rPr>
          <t>_x000D_
ESPONJAS,BALDES,SACOS E CESTOS DE LIXO, ETC</t>
        </r>
      </text>
    </comment>
    <comment ref="AW21" authorId="0" shapeId="0" xr:uid="{44B69671-57D3-4107-8DD0-2FBB34394EF1}">
      <text>
        <r>
          <rPr>
            <sz val="10"/>
            <color indexed="81"/>
            <rFont val="Lucida Console"/>
            <family val="3"/>
          </rPr>
          <t>Tempo de Estoque (Meses)_x000D_
_x000D_
4.343,0</t>
        </r>
      </text>
    </comment>
    <comment ref="A22" authorId="0" shapeId="0" xr:uid="{71E040E8-F690-4483-9BE6-543A95F85BE7}">
      <text>
        <r>
          <rPr>
            <sz val="10"/>
            <color indexed="81"/>
            <rFont val="Lucida Console"/>
            <family val="3"/>
          </rPr>
          <t>_x000D_
12652</t>
        </r>
      </text>
    </comment>
    <comment ref="B22" authorId="0" shapeId="0" xr:uid="{58D633A4-688C-487D-B38C-C77446D1CCEB}">
      <text>
        <r>
          <rPr>
            <sz val="10"/>
            <color indexed="81"/>
            <rFont val="Lucida Console"/>
            <family val="3"/>
          </rPr>
          <t>DESCRIÇÃO DETALHADA_x000D_
COPO PLASTICO DESCARTAVEL - 50 ML - PT C/ 100 UNID (CAFE) - DE ACORDO COM A NORMA DA ABNT NBR 14.865</t>
        </r>
      </text>
    </comment>
    <comment ref="G22" authorId="0" shapeId="0" xr:uid="{2512E1A6-2F1E-415C-86B4-8ABB7C9491C4}">
      <text>
        <r>
          <rPr>
            <sz val="10"/>
            <color indexed="81"/>
            <rFont val="Lucida Console"/>
            <family val="3"/>
          </rPr>
          <t>_x000D_
Últ estimativa : 3.000_x000D_
Enviada em     : 22.04.2021_x000D_
Ata - Venc     : 178/20 - 20.08.2021</t>
        </r>
      </text>
    </comment>
    <comment ref="W22" authorId="0" shapeId="0" xr:uid="{C3302E4D-FC67-4BB2-B4C3-4A3512D01C0F}">
      <text>
        <r>
          <rPr>
            <sz val="10"/>
            <color indexed="81"/>
            <rFont val="Lucida Console"/>
            <family val="3"/>
          </rPr>
          <t>_x000D_
Administrativo</t>
        </r>
      </text>
    </comment>
    <comment ref="X22" authorId="0" shapeId="0" xr:uid="{665ED162-BA19-4035-B367-C28838AB2ADA}">
      <text>
        <r>
          <rPr>
            <sz val="10"/>
            <color indexed="81"/>
            <rFont val="Lucida Console"/>
            <family val="3"/>
          </rPr>
          <t>_x000D_
EQUIP.E MAT. P/REFEITORIO, COPA E COZINHA</t>
        </r>
      </text>
    </comment>
    <comment ref="Y22" authorId="0" shapeId="0" xr:uid="{490D2929-6B48-4B67-9B71-CA551AC15227}">
      <text>
        <r>
          <rPr>
            <sz val="10"/>
            <color indexed="81"/>
            <rFont val="Lucida Console"/>
            <family val="3"/>
          </rPr>
          <t>_x000D_
CANECAS, XICARAS, COPOS E TACAS</t>
        </r>
      </text>
    </comment>
    <comment ref="AW22" authorId="0" shapeId="0" xr:uid="{EEA32D43-56F8-42C0-90A6-CC1EE64D6E37}">
      <text>
        <r>
          <rPr>
            <sz val="10"/>
            <color indexed="81"/>
            <rFont val="Lucida Console"/>
            <family val="3"/>
          </rPr>
          <t>Tempo de Estoque (Meses)_x000D_
_x000D_
2.640,0</t>
        </r>
      </text>
    </comment>
    <comment ref="A23" authorId="0" shapeId="0" xr:uid="{2AA59EED-1B7C-485E-98D4-B5181F154F43}">
      <text>
        <r>
          <rPr>
            <sz val="10"/>
            <color indexed="81"/>
            <rFont val="Lucida Console"/>
            <family val="3"/>
          </rPr>
          <t>_x000D_
96516</t>
        </r>
      </text>
    </comment>
    <comment ref="B23" authorId="0" shapeId="0" xr:uid="{F21B4055-937E-4C5B-BE81-999B7D18DBCD}">
      <text>
        <r>
          <rPr>
            <sz val="10"/>
            <color indexed="81"/>
            <rFont val="Lucida Console"/>
            <family val="3"/>
          </rPr>
          <t>DESCRIÇÃO DETALHADA_x000D_
LUVA DE PROTECAO, CONFECCIONADO EM LATEX, TAMANHO M.</t>
        </r>
      </text>
    </comment>
    <comment ref="G23" authorId="0" shapeId="0" xr:uid="{A048229E-0846-487C-96C8-4C66C71164FC}">
      <text>
        <r>
          <rPr>
            <sz val="10"/>
            <color indexed="81"/>
            <rFont val="Lucida Console"/>
            <family val="3"/>
          </rPr>
          <t>_x000D_
Últ estimativa : 2.100_x000D_
Enviada em     : 19.05.2020_x000D_
Ata - Venc     : 289/20 - 22.11.2021</t>
        </r>
      </text>
    </comment>
    <comment ref="W23" authorId="0" shapeId="0" xr:uid="{11D573C5-E173-43EF-BEF3-65C1AE75D56A}">
      <text>
        <r>
          <rPr>
            <sz val="10"/>
            <color indexed="81"/>
            <rFont val="Lucida Console"/>
            <family val="3"/>
          </rPr>
          <t>_x000D_
SegMedTra</t>
        </r>
      </text>
    </comment>
    <comment ref="X23" authorId="0" shapeId="0" xr:uid="{4E6BFDEA-A9CB-4116-96F8-F3AD2B3BF8F9}">
      <text>
        <r>
          <rPr>
            <sz val="10"/>
            <color indexed="81"/>
            <rFont val="Lucida Console"/>
            <family val="3"/>
          </rPr>
          <t>_x000D_
EQUIP PROT IND, INST MAT P/ SINAL, CONTR, COMB ...</t>
        </r>
      </text>
    </comment>
    <comment ref="Y23" authorId="0" shapeId="0" xr:uid="{6C16CFCE-6297-41EC-9E65-C5D7C4067B3E}">
      <text>
        <r>
          <rPr>
            <sz val="10"/>
            <color indexed="81"/>
            <rFont val="Lucida Console"/>
            <family val="3"/>
          </rPr>
          <t>_x000D_
CALCADOS, LUVAS, OCULOS, MASCARAS, CAPACETES, CASSETETE</t>
        </r>
      </text>
    </comment>
    <comment ref="AW23" authorId="0" shapeId="0" xr:uid="{6BC1DD62-CAC2-445C-A781-F7C551A2D142}">
      <text>
        <r>
          <rPr>
            <sz val="10"/>
            <color indexed="81"/>
            <rFont val="Lucida Console"/>
            <family val="3"/>
          </rPr>
          <t>Tempo de Estoque (Meses)_x000D_
_x000D_
2.989,0</t>
        </r>
      </text>
    </comment>
    <comment ref="A24" authorId="0" shapeId="0" xr:uid="{C298D061-4825-47D9-A133-3FA00CC7705C}">
      <text>
        <r>
          <rPr>
            <sz val="10"/>
            <color indexed="81"/>
            <rFont val="Lucida Console"/>
            <family val="3"/>
          </rPr>
          <t>_x000D_
98080</t>
        </r>
      </text>
    </comment>
    <comment ref="B24" authorId="0" shapeId="0" xr:uid="{285651FC-7C31-44C2-BBDA-BE992AD5226B}">
      <text>
        <r>
          <rPr>
            <sz val="10"/>
            <color indexed="81"/>
            <rFont val="Lucida Console"/>
            <family val="3"/>
          </rPr>
          <t>DESCRIÇÃO DETALHADA_x000D_
LUVA DE PROTECAO, CONFECCIONADA EM LATEX, TAMANHO G.</t>
        </r>
      </text>
    </comment>
    <comment ref="G24" authorId="0" shapeId="0" xr:uid="{700E964C-061A-43BE-928E-511CD8B5FB40}">
      <text>
        <r>
          <rPr>
            <sz val="10"/>
            <color indexed="81"/>
            <rFont val="Lucida Console"/>
            <family val="3"/>
          </rPr>
          <t>_x000D_
Últ estimativa : 1.600_x000D_
Enviada em     : 19.05.2020_x000D_
Ata - Venc     : 289/20 - 22.11.2021</t>
        </r>
      </text>
    </comment>
    <comment ref="W24" authorId="0" shapeId="0" xr:uid="{C983E492-69A6-4347-A278-1C42E291E526}">
      <text>
        <r>
          <rPr>
            <sz val="10"/>
            <color indexed="81"/>
            <rFont val="Lucida Console"/>
            <family val="3"/>
          </rPr>
          <t>_x000D_
SegMedTra</t>
        </r>
      </text>
    </comment>
    <comment ref="X24" authorId="0" shapeId="0" xr:uid="{FE4129B3-906B-4890-879F-9B6CCA201DDD}">
      <text>
        <r>
          <rPr>
            <sz val="10"/>
            <color indexed="81"/>
            <rFont val="Lucida Console"/>
            <family val="3"/>
          </rPr>
          <t>_x000D_
EQUIP PROT IND, INST MAT P/ SINAL, CONTR, COMB ...</t>
        </r>
      </text>
    </comment>
    <comment ref="Y24" authorId="0" shapeId="0" xr:uid="{51D19036-25AA-4E3A-9AB1-174037B6F9AA}">
      <text>
        <r>
          <rPr>
            <sz val="10"/>
            <color indexed="81"/>
            <rFont val="Lucida Console"/>
            <family val="3"/>
          </rPr>
          <t>_x000D_
ATA DE REGISTRO DE PRECOS</t>
        </r>
      </text>
    </comment>
    <comment ref="AW24" authorId="0" shapeId="0" xr:uid="{69389C88-C7F3-4143-A805-9050A40AC599}">
      <text>
        <r>
          <rPr>
            <sz val="10"/>
            <color indexed="81"/>
            <rFont val="Lucida Console"/>
            <family val="3"/>
          </rPr>
          <t>Tempo de Estoque (Meses)_x000D_
_x000D_
2.328,0</t>
        </r>
      </text>
    </comment>
    <comment ref="A25" authorId="0" shapeId="0" xr:uid="{A67A721B-2B04-4C2A-BBDF-87C1AE40B70C}">
      <text>
        <r>
          <rPr>
            <sz val="10"/>
            <color indexed="81"/>
            <rFont val="Lucida Console"/>
            <family val="3"/>
          </rPr>
          <t>_x000D_
10412</t>
        </r>
      </text>
    </comment>
    <comment ref="B25" authorId="0" shapeId="0" xr:uid="{BEDAE6C8-9EFB-4EB7-AD82-E2705AE59878}">
      <text>
        <r>
          <rPr>
            <sz val="10"/>
            <color indexed="81"/>
            <rFont val="Lucida Console"/>
            <family val="3"/>
          </rPr>
          <t xml:space="preserve">DESCRIÇÃO DETALHADA_x000D_
MARGARINA VEGETAL COM SAL -  LIPIDEOS TOTAIS: MINIMO 75% E MAXIMO 85% </t>
        </r>
      </text>
    </comment>
    <comment ref="G25" authorId="0" shapeId="0" xr:uid="{0C3B3BFA-89BE-4DC4-AF52-D993D82F2494}">
      <text>
        <r>
          <rPr>
            <sz val="10"/>
            <color indexed="81"/>
            <rFont val="Lucida Console"/>
            <family val="3"/>
          </rPr>
          <t>_x000D_
Últ estimativa : 1.500_x000D_
Enviada em     : 04.10.2019_x000D_
Ata - Venc     : 137/21 - 12.05.2022</t>
        </r>
      </text>
    </comment>
    <comment ref="W25" authorId="0" shapeId="0" xr:uid="{5ADCE2F2-BF43-4B5F-90CA-F47680287C85}">
      <text>
        <r>
          <rPr>
            <sz val="10"/>
            <color indexed="81"/>
            <rFont val="Lucida Console"/>
            <family val="3"/>
          </rPr>
          <t>_x000D_
Administrativo</t>
        </r>
      </text>
    </comment>
    <comment ref="X25" authorId="0" shapeId="0" xr:uid="{8ED06207-44DC-4A76-80A0-0C9E4362AA33}">
      <text>
        <r>
          <rPr>
            <sz val="10"/>
            <color indexed="81"/>
            <rFont val="Lucida Console"/>
            <family val="3"/>
          </rPr>
          <t>_x000D_
GENEROS ALIMENTICIOS E BEBIDAS</t>
        </r>
      </text>
    </comment>
    <comment ref="Y25" authorId="0" shapeId="0" xr:uid="{9E82019E-BA91-47B5-B410-3DD229769317}">
      <text>
        <r>
          <rPr>
            <sz val="10"/>
            <color indexed="81"/>
            <rFont val="Lucida Console"/>
            <family val="3"/>
          </rPr>
          <t>_x000D_
GORDURAS E DERIVADOS</t>
        </r>
      </text>
    </comment>
    <comment ref="AC25" authorId="0" shapeId="0" xr:uid="{DE2F9521-3394-4736-BFA1-E144F7DA4494}">
      <text>
        <r>
          <rPr>
            <sz val="10"/>
            <color indexed="81"/>
            <rFont val="Lucida Console"/>
            <family val="3"/>
          </rPr>
          <t>_x000D_
AF 12.177/23 | Vc 09.10.2023 | Saldo    300 | NUTRICIONALE COMERCIO DE ALIMENTOS LTDA ( 29315 )</t>
        </r>
      </text>
    </comment>
    <comment ref="AG25" authorId="0" shapeId="0" xr:uid="{9FDC2E94-1EDD-4B56-BE89-913F33264C11}">
      <text>
        <r>
          <rPr>
            <sz val="10"/>
            <color indexed="81"/>
            <rFont val="Lucida Console"/>
            <family val="3"/>
          </rPr>
          <t>_x000D_
AF 12.177/23 | Vc 09.10.2023 | Saldo    300 | NUTRICIONALE COMERCIO DE ALIMENTOS LTDA ( 29315 )</t>
        </r>
      </text>
    </comment>
    <comment ref="AW25" authorId="0" shapeId="0" xr:uid="{7E0ABCBE-A547-4373-BED3-CA0E48BD4C4C}">
      <text>
        <r>
          <rPr>
            <sz val="10"/>
            <color indexed="81"/>
            <rFont val="Lucida Console"/>
            <family val="3"/>
          </rPr>
          <t>Tempo de Estoque (Meses)_x000D_
_x000D_
284,0</t>
        </r>
      </text>
    </comment>
    <comment ref="A26" authorId="0" shapeId="0" xr:uid="{7598D613-9F3C-4095-B8A9-8740A2972E83}">
      <text>
        <r>
          <rPr>
            <sz val="10"/>
            <color indexed="81"/>
            <rFont val="Lucida Console"/>
            <family val="3"/>
          </rPr>
          <t>_x000D_
78307</t>
        </r>
      </text>
    </comment>
    <comment ref="B26" authorId="0" shapeId="0" xr:uid="{2CFD660D-0118-48B4-BB36-2CB38D3677D3}">
      <text>
        <r>
          <rPr>
            <sz val="10"/>
            <color indexed="81"/>
            <rFont val="Lucida Console"/>
            <family val="3"/>
          </rPr>
          <t>DESCRIÇÃO DETALHADA_x000D_
FOLHA DE PORTA DE IMBUIA - MED. 1,02 X 2,10 M</t>
        </r>
      </text>
    </comment>
    <comment ref="G26" authorId="0" shapeId="0" xr:uid="{0DCF3BC9-D158-49DF-AA93-D433B75C40FE}">
      <text>
        <r>
          <rPr>
            <sz val="10"/>
            <color indexed="81"/>
            <rFont val="Lucida Console"/>
            <family val="3"/>
          </rPr>
          <t>_x000D_
Últ estimativa : 0_x000D_
Enviada em     : 24.11.2020_x000D_
Ata - Venc     : 145/21 - 26.05.2022</t>
        </r>
      </text>
    </comment>
    <comment ref="W26" authorId="0" shapeId="0" xr:uid="{AE28F1BC-375B-40BA-B35F-E9A5EF1C4AD0}">
      <text>
        <r>
          <rPr>
            <sz val="10"/>
            <color indexed="81"/>
            <rFont val="Lucida Console"/>
            <family val="3"/>
          </rPr>
          <t>_x000D_
DM-Construção</t>
        </r>
      </text>
    </comment>
    <comment ref="X26" authorId="0" shapeId="0" xr:uid="{F8B5C113-F630-4744-88AA-B7E6D5D54BB5}">
      <text>
        <r>
          <rPr>
            <sz val="10"/>
            <color indexed="81"/>
            <rFont val="Lucida Console"/>
            <family val="3"/>
          </rPr>
          <t>_x000D_
MAT.E EQUIP. P/ CONSTR.CIVIL E CONSERV. DE VIAS PUBL.</t>
        </r>
      </text>
    </comment>
    <comment ref="Y26" authorId="0" shapeId="0" xr:uid="{5A8D7215-8CF7-4032-8302-C425ED6D24C6}">
      <text>
        <r>
          <rPr>
            <sz val="10"/>
            <color indexed="81"/>
            <rFont val="Lucida Console"/>
            <family val="3"/>
          </rPr>
          <t>_x000D_
PORTAS, BATENTES E GUARNICOES DE MADEIRA, FERRO, METAL</t>
        </r>
      </text>
    </comment>
    <comment ref="AW26" authorId="0" shapeId="0" xr:uid="{3AA4BB92-50C6-47AA-952F-BD0477C3B429}">
      <text>
        <r>
          <rPr>
            <sz val="10"/>
            <color indexed="81"/>
            <rFont val="Lucida Console"/>
            <family val="3"/>
          </rPr>
          <t>Tempo de Estoque (Meses)_x000D_
_x000D_
34,0</t>
        </r>
      </text>
    </comment>
    <comment ref="A27" authorId="0" shapeId="0" xr:uid="{9719CD3B-C665-4A38-84C7-9710156F0ABC}">
      <text>
        <r>
          <rPr>
            <sz val="10"/>
            <color indexed="81"/>
            <rFont val="Lucida Console"/>
            <family val="3"/>
          </rPr>
          <t>_x000D_
56519</t>
        </r>
      </text>
    </comment>
    <comment ref="B27" authorId="0" shapeId="0" xr:uid="{94882471-18D3-4925-8163-5480B8AC355F}">
      <text>
        <r>
          <rPr>
            <sz val="10"/>
            <color indexed="81"/>
            <rFont val="Lucida Console"/>
            <family val="3"/>
          </rPr>
          <t>DESCRIÇÃO DETALHADA_x000D_
FOLHA DE PORTA TIPO MEXICANA - MED.: 0,82 X 2,10 M</t>
        </r>
      </text>
    </comment>
    <comment ref="G27" authorId="0" shapeId="0" xr:uid="{63E0DD5D-66D8-42FA-B418-ABB39E3B03C4}">
      <text>
        <r>
          <rPr>
            <sz val="10"/>
            <color indexed="81"/>
            <rFont val="Lucida Console"/>
            <family val="3"/>
          </rPr>
          <t>_x000D_
Últ estimativa : 30_x000D_
Enviada em     : 24.11.2020_x000D_
Ata - Venc     : 145/21 - 26.05.2022</t>
        </r>
      </text>
    </comment>
    <comment ref="W27" authorId="0" shapeId="0" xr:uid="{6B8AA372-0C17-4576-BF05-00B528252F75}">
      <text>
        <r>
          <rPr>
            <sz val="10"/>
            <color indexed="81"/>
            <rFont val="Lucida Console"/>
            <family val="3"/>
          </rPr>
          <t>_x000D_
DM-Construção</t>
        </r>
      </text>
    </comment>
    <comment ref="X27" authorId="0" shapeId="0" xr:uid="{193EB5A5-3B67-4DC2-987B-8D3ED95D4CB7}">
      <text>
        <r>
          <rPr>
            <sz val="10"/>
            <color indexed="81"/>
            <rFont val="Lucida Console"/>
            <family val="3"/>
          </rPr>
          <t>_x000D_
MAT.E EQUIP. P/ CONSTR.CIVIL E CONSERV. DE VIAS PUBL.</t>
        </r>
      </text>
    </comment>
    <comment ref="Y27" authorId="0" shapeId="0" xr:uid="{4F570C51-B8BE-440F-96E0-C2246A79FDAB}">
      <text>
        <r>
          <rPr>
            <sz val="10"/>
            <color indexed="81"/>
            <rFont val="Lucida Console"/>
            <family val="3"/>
          </rPr>
          <t>_x000D_
PORTAS, BATENTES E GUARNICOES DE MADEIRA, FERRO, METAL</t>
        </r>
      </text>
    </comment>
    <comment ref="AW27" authorId="0" shapeId="0" xr:uid="{91AFF2BD-4894-4593-AD73-AC0B362085DA}">
      <text>
        <r>
          <rPr>
            <sz val="10"/>
            <color indexed="81"/>
            <rFont val="Lucida Console"/>
            <family val="3"/>
          </rPr>
          <t>Tempo de Estoque (Meses)_x000D_
_x000D_
38,0</t>
        </r>
      </text>
    </comment>
    <comment ref="A28" authorId="0" shapeId="0" xr:uid="{9ECDE99F-BD09-4DA2-B08B-4FE35183F2A5}">
      <text>
        <r>
          <rPr>
            <sz val="10"/>
            <color indexed="81"/>
            <rFont val="Lucida Console"/>
            <family val="3"/>
          </rPr>
          <t>_x000D_
42566</t>
        </r>
      </text>
    </comment>
    <comment ref="B28" authorId="0" shapeId="0" xr:uid="{FA1CCB03-9CC1-4AC3-A33E-3CAC125A54E9}">
      <text>
        <r>
          <rPr>
            <sz val="10"/>
            <color indexed="81"/>
            <rFont val="Lucida Console"/>
            <family val="3"/>
          </rPr>
          <t>DESCRIÇÃO DETALHADA_x000D_
FOLHA DE PORTA - EM IMBUIA - 0,92 X 2,10 M</t>
        </r>
      </text>
    </comment>
    <comment ref="G28" authorId="0" shapeId="0" xr:uid="{F64C57BC-363D-4951-83E8-3FCF5D26BF02}">
      <text>
        <r>
          <rPr>
            <sz val="10"/>
            <color indexed="81"/>
            <rFont val="Lucida Console"/>
            <family val="3"/>
          </rPr>
          <t>_x000D_
Últ estimativa : 30_x000D_
Enviada em     : 24.11.2020_x000D_
Ata - Venc     : 145/21 - 26.05.2022</t>
        </r>
      </text>
    </comment>
    <comment ref="W28" authorId="0" shapeId="0" xr:uid="{FCBF9565-F385-4C75-BEEA-49EBDA53CCC8}">
      <text>
        <r>
          <rPr>
            <sz val="10"/>
            <color indexed="81"/>
            <rFont val="Lucida Console"/>
            <family val="3"/>
          </rPr>
          <t>_x000D_
DM-Construção</t>
        </r>
      </text>
    </comment>
    <comment ref="X28" authorId="0" shapeId="0" xr:uid="{B13409DB-FE04-44EF-832C-E8B59FD10E37}">
      <text>
        <r>
          <rPr>
            <sz val="10"/>
            <color indexed="81"/>
            <rFont val="Lucida Console"/>
            <family val="3"/>
          </rPr>
          <t>_x000D_
MAT.E EQUIP. P/ CONSTR.CIVIL E CONSERV. DE VIAS PUBL.</t>
        </r>
      </text>
    </comment>
    <comment ref="Y28" authorId="0" shapeId="0" xr:uid="{0AB00B4A-72BE-403E-9921-6C7874B93907}">
      <text>
        <r>
          <rPr>
            <sz val="10"/>
            <color indexed="81"/>
            <rFont val="Lucida Console"/>
            <family val="3"/>
          </rPr>
          <t>_x000D_
PORTAS, BATENTES E GUARNICOES DE MADEIRA, FERRO, METAL</t>
        </r>
      </text>
    </comment>
    <comment ref="AW28" authorId="0" shapeId="0" xr:uid="{64EBE904-4E5C-403E-A180-A6948958465B}">
      <text>
        <r>
          <rPr>
            <sz val="10"/>
            <color indexed="81"/>
            <rFont val="Lucida Console"/>
            <family val="3"/>
          </rPr>
          <t>Tempo de Estoque (Meses)_x000D_
_x000D_
47,0</t>
        </r>
      </text>
    </comment>
    <comment ref="A29" authorId="0" shapeId="0" xr:uid="{FFDCDA18-177F-4143-B55F-75ADC569459E}">
      <text>
        <r>
          <rPr>
            <sz val="10"/>
            <color indexed="81"/>
            <rFont val="Lucida Console"/>
            <family val="3"/>
          </rPr>
          <t>_x000D_
49033</t>
        </r>
      </text>
    </comment>
    <comment ref="B29" authorId="0" shapeId="0" xr:uid="{2D5263F7-904C-4960-B98B-1034B17DE325}">
      <text>
        <r>
          <rPr>
            <sz val="10"/>
            <color indexed="81"/>
            <rFont val="Lucida Console"/>
            <family val="3"/>
          </rPr>
          <t>DESCRIÇÃO DETALHADA_x000D_
FOLHA DE PORTA EM IMBUIA - MED: 0,82 X 2,10 M</t>
        </r>
      </text>
    </comment>
    <comment ref="G29" authorId="0" shapeId="0" xr:uid="{EF3E4898-EDE6-45E4-B1D8-E4D272F133CC}">
      <text>
        <r>
          <rPr>
            <sz val="10"/>
            <color indexed="81"/>
            <rFont val="Lucida Console"/>
            <family val="3"/>
          </rPr>
          <t>_x000D_
Últ estimativa : 40_x000D_
Enviada em     : 24.11.2020_x000D_
Ata - Venc     : 145/21 - 26.05.2022</t>
        </r>
      </text>
    </comment>
    <comment ref="W29" authorId="0" shapeId="0" xr:uid="{B64902E5-458A-43B0-85EB-30EDBBF18122}">
      <text>
        <r>
          <rPr>
            <sz val="10"/>
            <color indexed="81"/>
            <rFont val="Lucida Console"/>
            <family val="3"/>
          </rPr>
          <t>_x000D_
DM-Construção</t>
        </r>
      </text>
    </comment>
    <comment ref="X29" authorId="0" shapeId="0" xr:uid="{A80128FA-5814-409F-BF50-D558AA889404}">
      <text>
        <r>
          <rPr>
            <sz val="10"/>
            <color indexed="81"/>
            <rFont val="Lucida Console"/>
            <family val="3"/>
          </rPr>
          <t>_x000D_
MAT.E EQUIP. P/ CONSTR.CIVIL E CONSERV. DE VIAS PUBL.</t>
        </r>
      </text>
    </comment>
    <comment ref="Y29" authorId="0" shapeId="0" xr:uid="{E644DDB2-EEC7-43DF-A367-4CBBDDCCD9C3}">
      <text>
        <r>
          <rPr>
            <sz val="10"/>
            <color indexed="81"/>
            <rFont val="Lucida Console"/>
            <family val="3"/>
          </rPr>
          <t>_x000D_
PORTAS, BATENTES E GUARNICOES DE MADEIRA, FERRO, METAL</t>
        </r>
      </text>
    </comment>
    <comment ref="AW29" authorId="0" shapeId="0" xr:uid="{9FC9B205-3971-4AA7-B3C8-B8933677523B}">
      <text>
        <r>
          <rPr>
            <sz val="10"/>
            <color indexed="81"/>
            <rFont val="Lucida Console"/>
            <family val="3"/>
          </rPr>
          <t>Tempo de Estoque (Meses)_x000D_
_x000D_
30,0</t>
        </r>
      </text>
    </comment>
    <comment ref="A30" authorId="0" shapeId="0" xr:uid="{3A36BC89-531A-4B7F-96C9-C101E9201BF4}">
      <text>
        <r>
          <rPr>
            <sz val="10"/>
            <color indexed="81"/>
            <rFont val="Lucida Console"/>
            <family val="3"/>
          </rPr>
          <t>_x000D_
50591</t>
        </r>
      </text>
    </comment>
    <comment ref="B30" authorId="0" shapeId="0" xr:uid="{184D9016-1691-4CAB-B485-20420710B4F0}">
      <text>
        <r>
          <rPr>
            <sz val="10"/>
            <color indexed="81"/>
            <rFont val="Lucida Console"/>
            <family val="3"/>
          </rPr>
          <t>DESCRIÇÃO DETALHADA_x000D_
FOLHA DE PORTA EM IMBUIA - MED: 0,72 X 2,10 M</t>
        </r>
      </text>
    </comment>
    <comment ref="G30" authorId="0" shapeId="0" xr:uid="{913357E5-6B32-4104-A44A-35F521A4B83F}">
      <text>
        <r>
          <rPr>
            <sz val="10"/>
            <color indexed="81"/>
            <rFont val="Lucida Console"/>
            <family val="3"/>
          </rPr>
          <t>_x000D_
Últ estimativa : 0_x000D_
Enviada em     : 24.11.2020_x000D_
Ata - Venc     : 145/21 - 26.05.2022</t>
        </r>
      </text>
    </comment>
    <comment ref="W30" authorId="0" shapeId="0" xr:uid="{35856E23-009E-4AA9-BC43-5016AD60C146}">
      <text>
        <r>
          <rPr>
            <sz val="10"/>
            <color indexed="81"/>
            <rFont val="Lucida Console"/>
            <family val="3"/>
          </rPr>
          <t>_x000D_
DM-Construção</t>
        </r>
      </text>
    </comment>
    <comment ref="X30" authorId="0" shapeId="0" xr:uid="{08D86E17-C32F-4313-BB67-FF54ECD2399F}">
      <text>
        <r>
          <rPr>
            <sz val="10"/>
            <color indexed="81"/>
            <rFont val="Lucida Console"/>
            <family val="3"/>
          </rPr>
          <t>_x000D_
MAT.E EQUIP. P/ CONSTR.CIVIL E CONSERV. DE VIAS PUBL.</t>
        </r>
      </text>
    </comment>
    <comment ref="Y30" authorId="0" shapeId="0" xr:uid="{47AF06F2-2625-4EF2-96ED-795A9D727458}">
      <text>
        <r>
          <rPr>
            <sz val="10"/>
            <color indexed="81"/>
            <rFont val="Lucida Console"/>
            <family val="3"/>
          </rPr>
          <t>_x000D_
PORTAS, BATENTES E GUARNICOES DE MADEIRA, FERRO, METAL</t>
        </r>
      </text>
    </comment>
    <comment ref="AW30" authorId="0" shapeId="0" xr:uid="{98136725-6894-4F35-986C-2803269D8703}">
      <text>
        <r>
          <rPr>
            <sz val="10"/>
            <color indexed="81"/>
            <rFont val="Lucida Console"/>
            <family val="3"/>
          </rPr>
          <t>Tempo de Estoque (Meses)_x000D_
_x000D_
30,0</t>
        </r>
      </text>
    </comment>
    <comment ref="A31" authorId="0" shapeId="0" xr:uid="{E2A346E0-9664-4B05-8EA5-2C4A4A3DF4D6}">
      <text>
        <r>
          <rPr>
            <sz val="10"/>
            <color indexed="81"/>
            <rFont val="Lucida Console"/>
            <family val="3"/>
          </rPr>
          <t>_x000D_
56520</t>
        </r>
      </text>
    </comment>
    <comment ref="B31" authorId="0" shapeId="0" xr:uid="{381EDFAE-453C-48B7-98BC-18F5C62D5DBD}">
      <text>
        <r>
          <rPr>
            <sz val="10"/>
            <color indexed="81"/>
            <rFont val="Lucida Console"/>
            <family val="3"/>
          </rPr>
          <t>DESCRIÇÃO DETALHADA_x000D_
FOLHA DE PORTA TIPO MEXICANA - MED.: 0,92 X 2,10 M</t>
        </r>
      </text>
    </comment>
    <comment ref="G31" authorId="0" shapeId="0" xr:uid="{912B1521-5434-41DB-ABFF-A39049A8D4B6}">
      <text>
        <r>
          <rPr>
            <sz val="10"/>
            <color indexed="81"/>
            <rFont val="Lucida Console"/>
            <family val="3"/>
          </rPr>
          <t>_x000D_
Últ estimativa : 50_x000D_
Enviada em     : 24.11.2020_x000D_
Ata - Venc     : 145/21 - 26.05.2022</t>
        </r>
      </text>
    </comment>
    <comment ref="W31" authorId="0" shapeId="0" xr:uid="{9F34D318-383B-4621-BCF1-72E2EC8F42D5}">
      <text>
        <r>
          <rPr>
            <sz val="10"/>
            <color indexed="81"/>
            <rFont val="Lucida Console"/>
            <family val="3"/>
          </rPr>
          <t>_x000D_
DM-Construção</t>
        </r>
      </text>
    </comment>
    <comment ref="X31" authorId="0" shapeId="0" xr:uid="{E917E1F1-EC09-4186-BCFF-11D114932F98}">
      <text>
        <r>
          <rPr>
            <sz val="10"/>
            <color indexed="81"/>
            <rFont val="Lucida Console"/>
            <family val="3"/>
          </rPr>
          <t>_x000D_
MAT.E EQUIP. P/ CONSTR.CIVIL E CONSERV. DE VIAS PUBL.</t>
        </r>
      </text>
    </comment>
    <comment ref="Y31" authorId="0" shapeId="0" xr:uid="{8A944C24-DCF7-4583-84F9-BCED7AABC528}">
      <text>
        <r>
          <rPr>
            <sz val="10"/>
            <color indexed="81"/>
            <rFont val="Lucida Console"/>
            <family val="3"/>
          </rPr>
          <t>_x000D_
PORTAS, BATENTES E GUARNICOES DE MADEIRA, FERRO, METAL</t>
        </r>
      </text>
    </comment>
    <comment ref="AC31" authorId="0" shapeId="0" xr:uid="{42C6054A-3570-4FB6-9A9D-C128F3645EC9}">
      <text>
        <r>
          <rPr>
            <sz val="10"/>
            <color indexed="81"/>
            <rFont val="Lucida Console"/>
            <family val="3"/>
          </rPr>
          <t>_x000D_
AF 11.685/23 | Vc 16.10.2023 | Saldo     40 | RCL COMERCIO DE MATERIAIS DE CONSTRUCAO E SERVICOS LTDA ( 186610 )</t>
        </r>
      </text>
    </comment>
    <comment ref="AG31" authorId="0" shapeId="0" xr:uid="{84E87C46-4460-448E-9C9A-474F06A26271}">
      <text>
        <r>
          <rPr>
            <sz val="10"/>
            <color indexed="81"/>
            <rFont val="Lucida Console"/>
            <family val="3"/>
          </rPr>
          <t>_x000D_
AF 11.685/23 | Vc 16.10.2023 | Saldo     40 | RCL COMERCIO DE MATERIAIS DE CONSTRUCAO E SERVICOS LTDA ( 186610 )</t>
        </r>
      </text>
    </comment>
    <comment ref="AW31" authorId="0" shapeId="0" xr:uid="{4F798E2C-25B7-4A5F-97DE-796360D433DF}">
      <text>
        <r>
          <rPr>
            <sz val="10"/>
            <color indexed="81"/>
            <rFont val="Lucida Console"/>
            <family val="3"/>
          </rPr>
          <t>Tempo de Estoque (Meses)_x000D_
_x000D_
40,0</t>
        </r>
      </text>
    </comment>
    <comment ref="A32" authorId="0" shapeId="0" xr:uid="{2A651806-E714-42A1-9277-975F98304C9D}">
      <text>
        <r>
          <rPr>
            <sz val="10"/>
            <color indexed="81"/>
            <rFont val="Lucida Console"/>
            <family val="3"/>
          </rPr>
          <t>_x000D_
134556</t>
        </r>
      </text>
    </comment>
    <comment ref="B32" authorId="0" shapeId="0" xr:uid="{A3741925-4801-4295-B4AE-F6AB871735E3}">
      <text>
        <r>
          <rPr>
            <sz val="10"/>
            <color indexed="81"/>
            <rFont val="Lucida Console"/>
            <family val="3"/>
          </rPr>
          <t>DESCRIÇÃO DETALHADA_x000D_
FITA DE BORDA CARVALHO MALVA OU SIMILAR, MEDINDO: 22 MM X 0,45 MM X 20 M.</t>
        </r>
      </text>
    </comment>
    <comment ref="G32" authorId="0" shapeId="0" xr:uid="{8E9A059F-68B3-4E13-9A1D-8451CA4ED976}">
      <text>
        <r>
          <rPr>
            <sz val="10"/>
            <color indexed="81"/>
            <rFont val="Lucida Console"/>
            <family val="3"/>
          </rPr>
          <t>_x000D_
Últ estimativa : 40_x000D_
Enviada em     : 24.11.2020_x000D_
Ata - Venc     : 145/21 - 26.05.2022</t>
        </r>
      </text>
    </comment>
    <comment ref="W32" authorId="0" shapeId="0" xr:uid="{D7E0BC03-484F-4723-AA80-6A1EFC94E09B}">
      <text>
        <r>
          <rPr>
            <sz val="10"/>
            <color indexed="81"/>
            <rFont val="Lucida Console"/>
            <family val="3"/>
          </rPr>
          <t>_x000D_
DM-Construção</t>
        </r>
      </text>
    </comment>
    <comment ref="X32" authorId="0" shapeId="0" xr:uid="{16BE8D4B-FFAD-4E61-9518-EE3AD0934459}">
      <text>
        <r>
          <rPr>
            <sz val="10"/>
            <color indexed="81"/>
            <rFont val="Lucida Console"/>
            <family val="3"/>
          </rPr>
          <t>_x000D_
MADEIRAS,LAMINADOS,COMPENSADOS E AGLOMERADOS</t>
        </r>
      </text>
    </comment>
    <comment ref="Y32" authorId="0" shapeId="0" xr:uid="{FD87DEC2-67AC-4FB0-B6D0-6B62FC40A02F}">
      <text>
        <r>
          <rPr>
            <sz val="10"/>
            <color indexed="81"/>
            <rFont val="Lucida Console"/>
            <family val="3"/>
          </rPr>
          <t>_x000D_
TABUAS,RIPAS , SARRAFOS , PRANCHINHAS E REFORCOS</t>
        </r>
      </text>
    </comment>
    <comment ref="AW32" authorId="0" shapeId="0" xr:uid="{B338291F-9BCB-4FB9-870E-7E31A8BB5719}">
      <text>
        <r>
          <rPr>
            <sz val="10"/>
            <color indexed="81"/>
            <rFont val="Lucida Console"/>
            <family val="3"/>
          </rPr>
          <t>Tempo de Estoque (Meses)_x000D_
_x000D_
580,0</t>
        </r>
      </text>
    </comment>
    <comment ref="A33" authorId="0" shapeId="0" xr:uid="{085DDC44-9F5E-46DF-B159-6FE65E86D2C5}">
      <text>
        <r>
          <rPr>
            <sz val="10"/>
            <color indexed="81"/>
            <rFont val="Lucida Console"/>
            <family val="3"/>
          </rPr>
          <t>_x000D_
77562</t>
        </r>
      </text>
    </comment>
    <comment ref="B33" authorId="0" shapeId="0" xr:uid="{65C31E5F-E6E0-4A12-8F66-DB2BD58C0D99}">
      <text>
        <r>
          <rPr>
            <sz val="10"/>
            <color indexed="81"/>
            <rFont val="Lucida Console"/>
            <family val="3"/>
          </rPr>
          <t>DESCRIÇÃO DETALHADA_x000D_
SARRAFO DE CEDRINHO DE 1ª, 25 X 100 M/M, BRUTO DE 4,00 M COMPRIMENTO</t>
        </r>
      </text>
    </comment>
    <comment ref="G33" authorId="0" shapeId="0" xr:uid="{9BACDAE6-433F-42B1-A303-F0601624124F}">
      <text>
        <r>
          <rPr>
            <sz val="10"/>
            <color indexed="81"/>
            <rFont val="Lucida Console"/>
            <family val="3"/>
          </rPr>
          <t>_x000D_
Últ estimativa : 5.000_x000D_
Enviada em     : 24.11.2020_x000D_
Ata - Venc     : 145/21 - 26.05.2022</t>
        </r>
      </text>
    </comment>
    <comment ref="W33" authorId="0" shapeId="0" xr:uid="{66363316-CF13-4A72-B61B-20966D83CBB4}">
      <text>
        <r>
          <rPr>
            <sz val="10"/>
            <color indexed="81"/>
            <rFont val="Lucida Console"/>
            <family val="3"/>
          </rPr>
          <t>_x000D_
DM-Construção</t>
        </r>
      </text>
    </comment>
    <comment ref="X33" authorId="0" shapeId="0" xr:uid="{72EA9846-38F2-48BA-B3CA-5CCFD2F267BF}">
      <text>
        <r>
          <rPr>
            <sz val="10"/>
            <color indexed="81"/>
            <rFont val="Lucida Console"/>
            <family val="3"/>
          </rPr>
          <t>_x000D_
MADEIRAS,LAMINADOS,COMPENSADOS E AGLOMERADOS</t>
        </r>
      </text>
    </comment>
    <comment ref="Y33" authorId="0" shapeId="0" xr:uid="{DE33AF8E-B7A6-48E4-A52A-3EE50702212C}">
      <text>
        <r>
          <rPr>
            <sz val="10"/>
            <color indexed="81"/>
            <rFont val="Lucida Console"/>
            <family val="3"/>
          </rPr>
          <t>_x000D_
TABUAS,RIPAS , SARRAFOS , PRANCHINHAS E REFORCOS</t>
        </r>
      </text>
    </comment>
    <comment ref="AC33" authorId="0" shapeId="0" xr:uid="{D6DF9690-24B9-4FC8-A562-1DD296A3248D}">
      <text>
        <r>
          <rPr>
            <sz val="10"/>
            <color indexed="81"/>
            <rFont val="Lucida Console"/>
            <family val="3"/>
          </rPr>
          <t>_x000D_
AF 11.692/23 | Vc 16.10.2023 | Saldo  2.300 | MADEIREIRA ARRUDA LTDA ( 119856 )</t>
        </r>
      </text>
    </comment>
    <comment ref="AG33" authorId="0" shapeId="0" xr:uid="{5FA858D3-25C4-4012-B821-9B13F2A89FB1}">
      <text>
        <r>
          <rPr>
            <sz val="10"/>
            <color indexed="81"/>
            <rFont val="Lucida Console"/>
            <family val="3"/>
          </rPr>
          <t>_x000D_
AF 11.692/23 | Vc 16.10.2023 | Saldo  2.300 | MADEIREIRA ARRUDA LTDA ( 119856 )</t>
        </r>
      </text>
    </comment>
    <comment ref="AW33" authorId="0" shapeId="0" xr:uid="{0B908A68-F051-4D34-BC9F-0D756211A13C}">
      <text>
        <r>
          <rPr>
            <sz val="10"/>
            <color indexed="81"/>
            <rFont val="Lucida Console"/>
            <family val="3"/>
          </rPr>
          <t>Tempo de Estoque (Meses)_x000D_
_x000D_
2.300,0</t>
        </r>
      </text>
    </comment>
    <comment ref="A34" authorId="0" shapeId="0" xr:uid="{53DBA85E-6B81-4449-AC45-62229D6FCC65}">
      <text>
        <r>
          <rPr>
            <sz val="10"/>
            <color indexed="81"/>
            <rFont val="Lucida Console"/>
            <family val="3"/>
          </rPr>
          <t>_x000D_
118427</t>
        </r>
      </text>
    </comment>
    <comment ref="B34" authorId="0" shapeId="0" xr:uid="{43BDB656-76EC-460D-9F1F-7BA26BF37CBA}">
      <text>
        <r>
          <rPr>
            <sz val="10"/>
            <color indexed="81"/>
            <rFont val="Lucida Console"/>
            <family val="3"/>
          </rPr>
          <t>DESCRIÇÃO DETALHADA_x000D_
TABUA DE CAMBARA DE 1ª, 25 X 300 MM, BRUTA, PECAS ENTRE 4,00 E 5,00 METROS COMPRIMENTO.</t>
        </r>
      </text>
    </comment>
    <comment ref="G34" authorId="0" shapeId="0" xr:uid="{7AC4074D-05A5-48BD-BFDF-C4243B428FF8}">
      <text>
        <r>
          <rPr>
            <sz val="10"/>
            <color indexed="81"/>
            <rFont val="Lucida Console"/>
            <family val="3"/>
          </rPr>
          <t>_x000D_
Últ estimativa : 3.000_x000D_
Enviada em     : 24.11.2020_x000D_
Ata - Venc     : 145/21 - 26.05.2022</t>
        </r>
      </text>
    </comment>
    <comment ref="W34" authorId="0" shapeId="0" xr:uid="{6E0A1558-536E-4CC8-A530-E4AFCE828502}">
      <text>
        <r>
          <rPr>
            <sz val="10"/>
            <color indexed="81"/>
            <rFont val="Lucida Console"/>
            <family val="3"/>
          </rPr>
          <t>_x000D_
DM-Construção</t>
        </r>
      </text>
    </comment>
    <comment ref="X34" authorId="0" shapeId="0" xr:uid="{3447D313-DF82-4849-9789-A92FAE0B26AC}">
      <text>
        <r>
          <rPr>
            <sz val="10"/>
            <color indexed="81"/>
            <rFont val="Lucida Console"/>
            <family val="3"/>
          </rPr>
          <t>_x000D_
MADEIRAS,LAMINADOS,COMPENSADOS E AGLOMERADOS</t>
        </r>
      </text>
    </comment>
    <comment ref="Y34" authorId="0" shapeId="0" xr:uid="{31792A28-AEE3-407B-A020-E1ED5BBB0514}">
      <text>
        <r>
          <rPr>
            <sz val="10"/>
            <color indexed="81"/>
            <rFont val="Lucida Console"/>
            <family val="3"/>
          </rPr>
          <t>_x000D_
TABUAS,RIPAS , SARRAFOS , PRANCHINHAS E REFORCOS</t>
        </r>
      </text>
    </comment>
    <comment ref="AW34" authorId="0" shapeId="0" xr:uid="{7684E403-7E98-4A2B-87E6-89339C23A18E}">
      <text>
        <r>
          <rPr>
            <sz val="10"/>
            <color indexed="81"/>
            <rFont val="Lucida Console"/>
            <family val="3"/>
          </rPr>
          <t>Tempo de Estoque (Meses)_x000D_
_x000D_
0,0</t>
        </r>
      </text>
    </comment>
    <comment ref="A35" authorId="0" shapeId="0" xr:uid="{246DB3F7-DB7B-4062-861F-082534CCAB07}">
      <text>
        <r>
          <rPr>
            <sz val="10"/>
            <color indexed="81"/>
            <rFont val="Lucida Console"/>
            <family val="3"/>
          </rPr>
          <t>_x000D_
74907</t>
        </r>
      </text>
    </comment>
    <comment ref="B35" authorId="0" shapeId="0" xr:uid="{6C23C812-F464-4029-A96C-3851921C0761}">
      <text>
        <r>
          <rPr>
            <sz val="10"/>
            <color indexed="81"/>
            <rFont val="Lucida Console"/>
            <family val="3"/>
          </rPr>
          <t>DESCRIÇÃO DETALHADA_x000D_
VIGA DE GARAPEIRA BRUTA - MEDIDAS: 06 CM X 16 CM X 5,50 M</t>
        </r>
      </text>
    </comment>
    <comment ref="G35" authorId="0" shapeId="0" xr:uid="{0BCD52DD-C38C-4BD0-87B6-89B76778E575}">
      <text>
        <r>
          <rPr>
            <sz val="10"/>
            <color indexed="81"/>
            <rFont val="Lucida Console"/>
            <family val="3"/>
          </rPr>
          <t>_x000D_
Últ estimativa : 200_x000D_
Enviada em     : 24.11.2020_x000D_
Ata - Venc     : 145/21 - 26.05.2022</t>
        </r>
      </text>
    </comment>
    <comment ref="W35" authorId="0" shapeId="0" xr:uid="{611AE204-0E91-41CA-982E-2804276F9EFC}">
      <text>
        <r>
          <rPr>
            <sz val="10"/>
            <color indexed="81"/>
            <rFont val="Lucida Console"/>
            <family val="3"/>
          </rPr>
          <t>_x000D_
DM-Construção</t>
        </r>
      </text>
    </comment>
    <comment ref="X35" authorId="0" shapeId="0" xr:uid="{15BD2B42-0A66-48D4-84C3-C633117F6BBA}">
      <text>
        <r>
          <rPr>
            <sz val="10"/>
            <color indexed="81"/>
            <rFont val="Lucida Console"/>
            <family val="3"/>
          </rPr>
          <t>_x000D_
MADEIRAS,LAMINADOS,COMPENSADOS E AGLOMERADOS</t>
        </r>
      </text>
    </comment>
    <comment ref="Y35" authorId="0" shapeId="0" xr:uid="{9E9552BC-330D-4189-9EFF-E00F4652C995}">
      <text>
        <r>
          <rPr>
            <sz val="10"/>
            <color indexed="81"/>
            <rFont val="Lucida Console"/>
            <family val="3"/>
          </rPr>
          <t>_x000D_
PONTALETES, CAIBROS, PRANCHAS E VIGAS</t>
        </r>
      </text>
    </comment>
    <comment ref="AW35" authorId="0" shapeId="0" xr:uid="{D1F474AB-8498-476A-852D-45E613F12203}">
      <text>
        <r>
          <rPr>
            <sz val="10"/>
            <color indexed="81"/>
            <rFont val="Lucida Console"/>
            <family val="3"/>
          </rPr>
          <t>Tempo de Estoque (Meses)_x000D_
_x000D_
11,0</t>
        </r>
      </text>
    </comment>
    <comment ref="A36" authorId="0" shapeId="0" xr:uid="{DBCF22F6-29B1-4D60-BDCF-BD115DE783EF}">
      <text>
        <r>
          <rPr>
            <sz val="10"/>
            <color indexed="81"/>
            <rFont val="Lucida Console"/>
            <family val="3"/>
          </rPr>
          <t>_x000D_
77556</t>
        </r>
      </text>
    </comment>
    <comment ref="B36" authorId="0" shapeId="0" xr:uid="{C77294BE-8E81-4AD0-A34C-D1B23F64C766}">
      <text>
        <r>
          <rPr>
            <sz val="10"/>
            <color indexed="81"/>
            <rFont val="Lucida Console"/>
            <family val="3"/>
          </rPr>
          <t>DESCRIÇÃO DETALHADA_x000D_
VIGA DE GARAPEIRA BRUTA - MEDIDAS: 06 CM X 16 CM X 4,50 M</t>
        </r>
      </text>
    </comment>
    <comment ref="G36" authorId="0" shapeId="0" xr:uid="{9ED6E51A-FB39-480B-9965-C893B219BCEF}">
      <text>
        <r>
          <rPr>
            <sz val="10"/>
            <color indexed="81"/>
            <rFont val="Lucida Console"/>
            <family val="3"/>
          </rPr>
          <t>_x000D_
Últ estimativa : 100_x000D_
Enviada em     : 24.11.2020_x000D_
Ata - Venc     : 145/21 - 26.05.2022</t>
        </r>
      </text>
    </comment>
    <comment ref="W36" authorId="0" shapeId="0" xr:uid="{45293935-8FA4-4A58-BDC8-C9A64C5D262E}">
      <text>
        <r>
          <rPr>
            <sz val="10"/>
            <color indexed="81"/>
            <rFont val="Lucida Console"/>
            <family val="3"/>
          </rPr>
          <t>_x000D_
DM-Construção</t>
        </r>
      </text>
    </comment>
    <comment ref="X36" authorId="0" shapeId="0" xr:uid="{7968F2E8-B42B-4372-99A0-131250EB53BE}">
      <text>
        <r>
          <rPr>
            <sz val="10"/>
            <color indexed="81"/>
            <rFont val="Lucida Console"/>
            <family val="3"/>
          </rPr>
          <t>_x000D_
MADEIRAS,LAMINADOS,COMPENSADOS E AGLOMERADOS</t>
        </r>
      </text>
    </comment>
    <comment ref="Y36" authorId="0" shapeId="0" xr:uid="{C8CA1BF5-59AE-4065-9204-4A90BB480BF2}">
      <text>
        <r>
          <rPr>
            <sz val="10"/>
            <color indexed="81"/>
            <rFont val="Lucida Console"/>
            <family val="3"/>
          </rPr>
          <t>_x000D_
PONTALETES, CAIBROS, PRANCHAS E VIGAS</t>
        </r>
      </text>
    </comment>
    <comment ref="AW36" authorId="0" shapeId="0" xr:uid="{78E0D9DA-671F-48B7-B2AF-888FA949B2A6}">
      <text>
        <r>
          <rPr>
            <sz val="10"/>
            <color indexed="81"/>
            <rFont val="Lucida Console"/>
            <family val="3"/>
          </rPr>
          <t>Tempo de Estoque (Meses)_x000D_
_x000D_
87,0</t>
        </r>
      </text>
    </comment>
    <comment ref="A37" authorId="0" shapeId="0" xr:uid="{542E18C2-E18A-4E40-B3D1-BC6BA7C5D34A}">
      <text>
        <r>
          <rPr>
            <sz val="10"/>
            <color indexed="81"/>
            <rFont val="Lucida Console"/>
            <family val="3"/>
          </rPr>
          <t>_x000D_
75334</t>
        </r>
      </text>
    </comment>
    <comment ref="B37" authorId="0" shapeId="0" xr:uid="{DBB5F8B2-62A3-4316-AD2E-6EAD6E61D6A0}">
      <text>
        <r>
          <rPr>
            <sz val="10"/>
            <color indexed="81"/>
            <rFont val="Lucida Console"/>
            <family val="3"/>
          </rPr>
          <t>DESCRIÇÃO DETALHADA_x000D_
CHAPA EM MDF, BRANCO, 02 FACES - MED. 2,75 M X 1,83 M X 15 MM</t>
        </r>
      </text>
    </comment>
    <comment ref="G37" authorId="0" shapeId="0" xr:uid="{881D5FA9-492A-4371-991C-91977231C17F}">
      <text>
        <r>
          <rPr>
            <sz val="10"/>
            <color indexed="81"/>
            <rFont val="Lucida Console"/>
            <family val="3"/>
          </rPr>
          <t>_x000D_
Últ estimativa : 1.500_x000D_
Enviada em     : 28.01.2021_x000D_
Ata - Venc     : 131/21 - 06.05.2022</t>
        </r>
      </text>
    </comment>
    <comment ref="W37" authorId="0" shapeId="0" xr:uid="{5396A73F-0340-411B-A583-2E88CC0AAA0A}">
      <text>
        <r>
          <rPr>
            <sz val="10"/>
            <color indexed="81"/>
            <rFont val="Lucida Console"/>
            <family val="3"/>
          </rPr>
          <t>_x000D_
DM-Marcenaria</t>
        </r>
      </text>
    </comment>
    <comment ref="X37" authorId="0" shapeId="0" xr:uid="{05DC818F-76BC-47F8-A99C-BF9E62C600B1}">
      <text>
        <r>
          <rPr>
            <sz val="10"/>
            <color indexed="81"/>
            <rFont val="Lucida Console"/>
            <family val="3"/>
          </rPr>
          <t>_x000D_
MADEIRAS,LAMINADOS,COMPENSADOS E AGLOMERADOS</t>
        </r>
      </text>
    </comment>
    <comment ref="Y37" authorId="0" shapeId="0" xr:uid="{0BB48C7A-2B70-499A-9521-B610DAF58401}">
      <text>
        <r>
          <rPr>
            <sz val="10"/>
            <color indexed="81"/>
            <rFont val="Lucida Console"/>
            <family val="3"/>
          </rPr>
          <t>_x000D_
CHAPAS COMPENSADAS RESINADAS/PLASTIFICADAS</t>
        </r>
      </text>
    </comment>
    <comment ref="AW37" authorId="0" shapeId="0" xr:uid="{4C6A17A6-5672-4034-B81D-0FEC4FD8E6CB}">
      <text>
        <r>
          <rPr>
            <sz val="10"/>
            <color indexed="81"/>
            <rFont val="Lucida Console"/>
            <family val="3"/>
          </rPr>
          <t>Tempo de Estoque (Meses)_x000D_
_x000D_
383,0</t>
        </r>
      </text>
    </comment>
    <comment ref="A38" authorId="0" shapeId="0" xr:uid="{A32B928B-581D-42DF-AEA8-EBD1D832A3B2}">
      <text>
        <r>
          <rPr>
            <sz val="10"/>
            <color indexed="81"/>
            <rFont val="Lucida Console"/>
            <family val="3"/>
          </rPr>
          <t>_x000D_
76583</t>
        </r>
      </text>
    </comment>
    <comment ref="B38" authorId="0" shapeId="0" xr:uid="{43842206-630E-46EC-AD40-B5E120353F25}">
      <text>
        <r>
          <rPr>
            <sz val="10"/>
            <color indexed="81"/>
            <rFont val="Lucida Console"/>
            <family val="3"/>
          </rPr>
          <t>DESCRIÇÃO DETALHADA_x000D_
CHAPA DE MADEIRA COMPENSADO LAMINADO DE VIROLA - MEDIDAS: 2,20 M X 1,60 M X 15 MM</t>
        </r>
      </text>
    </comment>
    <comment ref="G38" authorId="0" shapeId="0" xr:uid="{B4390D81-49F4-48B3-BBEC-1E3160EC04DB}">
      <text>
        <r>
          <rPr>
            <sz val="10"/>
            <color indexed="81"/>
            <rFont val="Lucida Console"/>
            <family val="3"/>
          </rPr>
          <t>_x000D_
Últ estimativa : 0_x000D_
Enviada em     : 24.11.2020_x000D_
Ata - Venc     : 90/21 - 27.03.2022</t>
        </r>
      </text>
    </comment>
    <comment ref="W38" authorId="0" shapeId="0" xr:uid="{57F05BEE-2EBD-460D-B77D-BC40FEA0516F}">
      <text>
        <r>
          <rPr>
            <sz val="10"/>
            <color indexed="81"/>
            <rFont val="Lucida Console"/>
            <family val="3"/>
          </rPr>
          <t>_x000D_
DM-Marcenaria</t>
        </r>
      </text>
    </comment>
    <comment ref="X38" authorId="0" shapeId="0" xr:uid="{118A000B-7B73-4571-A3C2-F8A97960C0BA}">
      <text>
        <r>
          <rPr>
            <sz val="10"/>
            <color indexed="81"/>
            <rFont val="Lucida Console"/>
            <family val="3"/>
          </rPr>
          <t>_x000D_
MADEIRAS,LAMINADOS,COMPENSADOS E AGLOMERADOS</t>
        </r>
      </text>
    </comment>
    <comment ref="Y38" authorId="0" shapeId="0" xr:uid="{D13B9308-D9CB-48E5-A54F-856A43A8A8FA}">
      <text>
        <r>
          <rPr>
            <sz val="10"/>
            <color indexed="81"/>
            <rFont val="Lucida Console"/>
            <family val="3"/>
          </rPr>
          <t>_x000D_
CHAPAS DE MADEIRA AGLOMERADA E COMPENSADAS</t>
        </r>
      </text>
    </comment>
    <comment ref="AW38" authorId="0" shapeId="0" xr:uid="{17CBA626-92B0-449D-8DA9-965136C05213}">
      <text>
        <r>
          <rPr>
            <sz val="10"/>
            <color indexed="81"/>
            <rFont val="Lucida Console"/>
            <family val="3"/>
          </rPr>
          <t>Tempo de Estoque (Meses)_x000D_
_x000D_
190,0</t>
        </r>
      </text>
    </comment>
    <comment ref="A39" authorId="0" shapeId="0" xr:uid="{743115C9-98A9-474B-97A5-FCF3E6513337}">
      <text>
        <r>
          <rPr>
            <sz val="10"/>
            <color indexed="81"/>
            <rFont val="Lucida Console"/>
            <family val="3"/>
          </rPr>
          <t>_x000D_
139957</t>
        </r>
      </text>
    </comment>
    <comment ref="B39" authorId="0" shapeId="0" xr:uid="{500B71E6-41FC-4054-8D77-B477BDC98103}">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39" authorId="0" shapeId="0" xr:uid="{F8685E20-ECFA-4DFA-93FD-289A50A9377B}">
      <text>
        <r>
          <rPr>
            <sz val="10"/>
            <color indexed="81"/>
            <rFont val="Lucida Console"/>
            <family val="3"/>
          </rPr>
          <t>_x000D_
Últ estimativa : 5.000_x000D_
Enviada em     : 08.09.2020_x000D_
Ata - Venc     : 105/21 - 07.04.2022</t>
        </r>
      </text>
    </comment>
    <comment ref="W39" authorId="0" shapeId="0" xr:uid="{F0005F63-3747-4847-8D27-EDE38456A276}">
      <text>
        <r>
          <rPr>
            <sz val="10"/>
            <color indexed="81"/>
            <rFont val="Lucida Console"/>
            <family val="3"/>
          </rPr>
          <t>_x000D_
DM-Construção</t>
        </r>
      </text>
    </comment>
    <comment ref="X39" authorId="0" shapeId="0" xr:uid="{D661F314-96C1-4B65-AADA-7D3E7D1FC7C2}">
      <text>
        <r>
          <rPr>
            <sz val="10"/>
            <color indexed="81"/>
            <rFont val="Lucida Console"/>
            <family val="3"/>
          </rPr>
          <t>_x000D_
MAT.E EQUIP. P/ CONSTR.CIVIL E CONSERV. DE VIAS PUBL.</t>
        </r>
      </text>
    </comment>
    <comment ref="Y39" authorId="0" shapeId="0" xr:uid="{8CBF6C6C-8A7F-441D-B5FA-41055988D43E}">
      <text>
        <r>
          <rPr>
            <sz val="10"/>
            <color indexed="81"/>
            <rFont val="Lucida Console"/>
            <family val="3"/>
          </rPr>
          <t>_x000D_
PISOS DE BORRACHA, PVC E OUTROS COLAVEIS</t>
        </r>
      </text>
    </comment>
    <comment ref="AW39" authorId="0" shapeId="0" xr:uid="{1F1D3B69-561C-4691-BED3-94D138FE5BBF}">
      <text>
        <r>
          <rPr>
            <sz val="10"/>
            <color indexed="81"/>
            <rFont val="Lucida Console"/>
            <family val="3"/>
          </rPr>
          <t>Tempo de Estoque (Meses)_x000D_
_x000D_
0,0</t>
        </r>
      </text>
    </comment>
    <comment ref="A40" authorId="0" shapeId="0" xr:uid="{4D05227E-974E-45B9-AD88-90E347110759}">
      <text>
        <r>
          <rPr>
            <sz val="10"/>
            <color indexed="81"/>
            <rFont val="Lucida Console"/>
            <family val="3"/>
          </rPr>
          <t>_x000D_
139958</t>
        </r>
      </text>
    </comment>
    <comment ref="B40" authorId="0" shapeId="0" xr:uid="{D92BD0B3-C372-4C40-93FB-DA2B159C9025}">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40" authorId="0" shapeId="0" xr:uid="{044354D9-94BD-4830-93D9-95AF9E7375DA}">
      <text>
        <r>
          <rPr>
            <sz val="10"/>
            <color indexed="81"/>
            <rFont val="Lucida Console"/>
            <family val="3"/>
          </rPr>
          <t>_x000D_
Últ estimativa : 4.500_x000D_
Enviada em     : 08.09.2020_x000D_
Ata - Venc     : 105/21 - 07.04.2022</t>
        </r>
      </text>
    </comment>
    <comment ref="W40" authorId="0" shapeId="0" xr:uid="{1DF0D8C8-F896-4BAC-913D-3EF484B86743}">
      <text>
        <r>
          <rPr>
            <sz val="10"/>
            <color indexed="81"/>
            <rFont val="Lucida Console"/>
            <family val="3"/>
          </rPr>
          <t>_x000D_
DM-Construção</t>
        </r>
      </text>
    </comment>
    <comment ref="X40" authorId="0" shapeId="0" xr:uid="{9864A7F9-E90D-40A9-9593-AC86904CAB79}">
      <text>
        <r>
          <rPr>
            <sz val="10"/>
            <color indexed="81"/>
            <rFont val="Lucida Console"/>
            <family val="3"/>
          </rPr>
          <t>_x000D_
MAT.E EQUIP. P/ CONSTR.CIVIL E CONSERV. DE VIAS PUBL.</t>
        </r>
      </text>
    </comment>
    <comment ref="Y40" authorId="0" shapeId="0" xr:uid="{A7E752E0-6505-4F75-9FBD-2BA768583E72}">
      <text>
        <r>
          <rPr>
            <sz val="10"/>
            <color indexed="81"/>
            <rFont val="Lucida Console"/>
            <family val="3"/>
          </rPr>
          <t>_x000D_
PISOS DE BORRACHA, PVC E OUTROS COLAVEIS</t>
        </r>
      </text>
    </comment>
    <comment ref="AW40" authorId="0" shapeId="0" xr:uid="{5C9AAE93-518E-46DC-9BE1-574388DE729B}">
      <text>
        <r>
          <rPr>
            <sz val="10"/>
            <color indexed="81"/>
            <rFont val="Lucida Console"/>
            <family val="3"/>
          </rPr>
          <t>Tempo de Estoque (Meses)_x000D_
_x000D_
0,0</t>
        </r>
      </text>
    </comment>
    <comment ref="A41" authorId="0" shapeId="0" xr:uid="{2ABE7CFB-F18A-447D-9577-BC212CD6042E}">
      <text>
        <r>
          <rPr>
            <sz val="10"/>
            <color indexed="81"/>
            <rFont val="Lucida Console"/>
            <family val="3"/>
          </rPr>
          <t>_x000D_
134246</t>
        </r>
      </text>
    </comment>
    <comment ref="B41" authorId="0" shapeId="0" xr:uid="{F06497FE-0AE0-4EB0-B4D0-0ED3274B592C}">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41" authorId="0" shapeId="0" xr:uid="{74C17F51-A4A6-4DFD-A3C1-7FF45F9BBC52}">
      <text>
        <r>
          <rPr>
            <sz val="10"/>
            <color indexed="81"/>
            <rFont val="Lucida Console"/>
            <family val="3"/>
          </rPr>
          <t>_x000D_
Últ estimativa : 1.100_x000D_
Enviada em     : 19.11.2021_x000D_
Ata - Venc     : 78/21 - 16.03.2022</t>
        </r>
      </text>
    </comment>
    <comment ref="S41" authorId="0" shapeId="0" xr:uid="{4D2F3A2F-6E12-4FD5-AA9C-F311EBF386B2}">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41" authorId="0" shapeId="0" xr:uid="{768C64A5-0FBC-4128-88C0-C1CA1FE818DC}">
      <text>
        <r>
          <rPr>
            <sz val="10"/>
            <color indexed="81"/>
            <rFont val="Lucida Console"/>
            <family val="3"/>
          </rPr>
          <t>_x000D_
DM-Construção</t>
        </r>
      </text>
    </comment>
    <comment ref="X41" authorId="0" shapeId="0" xr:uid="{CA2D6038-5B7C-4FD0-B8E6-0A4777673A6B}">
      <text>
        <r>
          <rPr>
            <sz val="10"/>
            <color indexed="81"/>
            <rFont val="Lucida Console"/>
            <family val="3"/>
          </rPr>
          <t>_x000D_
MAT.E EQUIP. P/ CONSTR.CIVIL E CONSERV. DE VIAS PUBL.</t>
        </r>
      </text>
    </comment>
    <comment ref="Y41" authorId="0" shapeId="0" xr:uid="{C2270525-0A6D-4103-BBDB-EDE2060B9D6C}">
      <text>
        <r>
          <rPr>
            <sz val="10"/>
            <color indexed="81"/>
            <rFont val="Lucida Console"/>
            <family val="3"/>
          </rPr>
          <t>_x000D_
PEDRA,PEDRISCO E AREIA</t>
        </r>
      </text>
    </comment>
    <comment ref="AW41" authorId="0" shapeId="0" xr:uid="{76F06548-C6CA-4027-A1B2-1572BFB328CB}">
      <text>
        <r>
          <rPr>
            <sz val="10"/>
            <color indexed="81"/>
            <rFont val="Lucida Console"/>
            <family val="3"/>
          </rPr>
          <t>Tempo de Estoque (Meses)_x000D_
_x000D_
35,5</t>
        </r>
      </text>
    </comment>
    <comment ref="A42" authorId="0" shapeId="0" xr:uid="{7B4C76C1-FAC8-4BCD-8887-0D5A47D51BE5}">
      <text>
        <r>
          <rPr>
            <sz val="10"/>
            <color indexed="81"/>
            <rFont val="Lucida Console"/>
            <family val="3"/>
          </rPr>
          <t>_x000D_
134247</t>
        </r>
      </text>
    </comment>
    <comment ref="B42" authorId="0" shapeId="0" xr:uid="{AB25970E-CD91-4EC6-AFEF-CCAD636115BA}">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42" authorId="0" shapeId="0" xr:uid="{B58D95F0-B46B-49CF-98CD-11D30365FFBD}">
      <text>
        <r>
          <rPr>
            <sz val="10"/>
            <color indexed="81"/>
            <rFont val="Lucida Console"/>
            <family val="3"/>
          </rPr>
          <t>_x000D_
Últ estimativa : 200_x000D_
Enviada em     : 19.05.2021_x000D_
Ata - Venc     : 202/20 - 10.09.2021</t>
        </r>
      </text>
    </comment>
    <comment ref="S42" authorId="0" shapeId="0" xr:uid="{1527B90A-C85E-4339-9E94-76C3D9FB061C}">
      <text>
        <r>
          <rPr>
            <sz val="10"/>
            <color indexed="81"/>
            <rFont val="Lucida Console"/>
            <family val="3"/>
          </rPr>
          <t>_x000D_
ATA  168/23 | Venc: 04.10.2024 | Saldo:   3.728 | Fornec: TRANSNECO MATERIAIS DE CONSTRUCAO EM GERAL LTDA_x000D_
ATA  168/23 | Venc:   | Saldo:   3.728 | Fornec: TRANSNECO MATERIAIS DE CONSTRUCAO EM GERAL LTDA</t>
        </r>
      </text>
    </comment>
    <comment ref="W42" authorId="0" shapeId="0" xr:uid="{13FF6112-1D24-4F9C-A2A2-471E25D578D3}">
      <text>
        <r>
          <rPr>
            <sz val="10"/>
            <color indexed="81"/>
            <rFont val="Lucida Console"/>
            <family val="3"/>
          </rPr>
          <t>_x000D_
DM-Construção</t>
        </r>
      </text>
    </comment>
    <comment ref="X42" authorId="0" shapeId="0" xr:uid="{3CD7E852-7AF2-4221-A4EA-43690618FB56}">
      <text>
        <r>
          <rPr>
            <sz val="10"/>
            <color indexed="81"/>
            <rFont val="Lucida Console"/>
            <family val="3"/>
          </rPr>
          <t>_x000D_
MAT.E EQUIP. P/ CONSTR.CIVIL E CONSERV. DE VIAS PUBL.</t>
        </r>
      </text>
    </comment>
    <comment ref="Y42" authorId="0" shapeId="0" xr:uid="{09448CF8-730D-429B-A733-C63EA19ABACF}">
      <text>
        <r>
          <rPr>
            <sz val="10"/>
            <color indexed="81"/>
            <rFont val="Lucida Console"/>
            <family val="3"/>
          </rPr>
          <t>_x000D_
PEDRA,PEDRISCO E AREIA</t>
        </r>
      </text>
    </comment>
    <comment ref="AC42" authorId="0" shapeId="0" xr:uid="{620720AE-7B53-48B1-AB41-668F806A7599}">
      <text>
        <r>
          <rPr>
            <sz val="10"/>
            <color indexed="81"/>
            <rFont val="Lucida Console"/>
            <family val="3"/>
          </rPr>
          <t>_x000D_
AF  4.827/23 | Vc 26.05.2023 | Saldo    200 | TRANSNECO MATERIAIS DE CONSTRUCAO EM GERAL LTDA ( 226566 )</t>
        </r>
      </text>
    </comment>
    <comment ref="AG42" authorId="0" shapeId="0" xr:uid="{6B82CBD1-46CF-4A2C-B4CA-504C684E77D7}">
      <text>
        <r>
          <rPr>
            <sz val="10"/>
            <color indexed="81"/>
            <rFont val="Lucida Console"/>
            <family val="3"/>
          </rPr>
          <t>_x000D_
AF  4.827/23 | Vc 26.05.2023 | Saldo    200 | TRANSNECO MATERIAIS DE CONSTRUCAO EM GERAL LTDA ( 226566 )</t>
        </r>
      </text>
    </comment>
    <comment ref="AW42" authorId="0" shapeId="0" xr:uid="{B31CCF1A-E656-48B9-B22C-73C321226068}">
      <text>
        <r>
          <rPr>
            <sz val="10"/>
            <color indexed="81"/>
            <rFont val="Lucida Console"/>
            <family val="3"/>
          </rPr>
          <t>Tempo de Estoque (Meses)_x000D_
_x000D_
137,1</t>
        </r>
      </text>
    </comment>
    <comment ref="A43" authorId="0" shapeId="0" xr:uid="{68E7CC4D-C6B3-4A58-AF19-BC260966C1D5}">
      <text>
        <r>
          <rPr>
            <sz val="10"/>
            <color indexed="81"/>
            <rFont val="Lucida Console"/>
            <family val="3"/>
          </rPr>
          <t>_x000D_
127664</t>
        </r>
      </text>
    </comment>
    <comment ref="B43" authorId="0" shapeId="0" xr:uid="{B9A277DC-8DE8-4A7B-8379-0A4B00451A81}">
      <text>
        <r>
          <rPr>
            <sz val="10"/>
            <color indexed="81"/>
            <rFont val="Lucida Console"/>
            <family val="3"/>
          </rPr>
          <t>DESCRIÇÃO DETALHADA_x000D_
CHA DE ERVA MATE TOSTADO - CAIXA COM 250 GR</t>
        </r>
      </text>
    </comment>
    <comment ref="G43" authorId="0" shapeId="0" xr:uid="{B156C05B-0820-4845-8A6B-C8D453D2A8B4}">
      <text>
        <r>
          <rPr>
            <sz val="10"/>
            <color indexed="81"/>
            <rFont val="Lucida Console"/>
            <family val="3"/>
          </rPr>
          <t>_x000D_
Últ estimativa : 8.000_x000D_
Enviada em     : 26.08.2021_x000D_
Ata - Venc     : 33/20 - 15.02.2021</t>
        </r>
      </text>
    </comment>
    <comment ref="S43" authorId="0" shapeId="0" xr:uid="{8EED2AD2-558B-4305-87FC-95054CA9FD3B}">
      <text>
        <r>
          <rPr>
            <sz val="10"/>
            <color indexed="81"/>
            <rFont val="Lucida Console"/>
            <family val="3"/>
          </rPr>
          <t>_x000D_
ATA  167/23 | Venc: 05.10.2024 | Saldo:   7.000 | Fornec: NUTRITE COMERCIO DE ALIMENTOS LTDA_x000D_
ATA  167/23 | Venc:   | Saldo:   7.000 | Fornec: NUTRITE COMERCIO DE ALIMENTOS LTDA</t>
        </r>
      </text>
    </comment>
    <comment ref="W43" authorId="0" shapeId="0" xr:uid="{DD7BC233-7FAA-4AEA-B06C-9869D44B3A42}">
      <text>
        <r>
          <rPr>
            <sz val="10"/>
            <color indexed="81"/>
            <rFont val="Lucida Console"/>
            <family val="3"/>
          </rPr>
          <t>_x000D_
Administrativo</t>
        </r>
      </text>
    </comment>
    <comment ref="X43" authorId="0" shapeId="0" xr:uid="{A3A34B3D-7117-4FB3-82A2-5D14FCF5FF09}">
      <text>
        <r>
          <rPr>
            <sz val="10"/>
            <color indexed="81"/>
            <rFont val="Lucida Console"/>
            <family val="3"/>
          </rPr>
          <t>_x000D_
GENEROS ALIMENTICIOS E BEBIDAS</t>
        </r>
      </text>
    </comment>
    <comment ref="Y43" authorId="0" shapeId="0" xr:uid="{F070318D-E3D8-43F2-9898-BB280BD77877}">
      <text>
        <r>
          <rPr>
            <sz val="10"/>
            <color indexed="81"/>
            <rFont val="Lucida Console"/>
            <family val="3"/>
          </rPr>
          <t>_x000D_
CHAS E FERMENTOS</t>
        </r>
      </text>
    </comment>
    <comment ref="AW43" authorId="0" shapeId="0" xr:uid="{08C4C549-8B8F-4AAA-B237-7E5733FA8B3E}">
      <text>
        <r>
          <rPr>
            <sz val="10"/>
            <color indexed="81"/>
            <rFont val="Lucida Console"/>
            <family val="3"/>
          </rPr>
          <t>Tempo de Estoque (Meses)_x000D_
_x000D_
3.053,0</t>
        </r>
      </text>
    </comment>
    <comment ref="A44" authorId="0" shapeId="0" xr:uid="{8EBADD2F-1203-4F34-87D1-0E5C2CC386CE}">
      <text>
        <r>
          <rPr>
            <sz val="10"/>
            <color indexed="81"/>
            <rFont val="Lucida Console"/>
            <family val="3"/>
          </rPr>
          <t>_x000D_
39378</t>
        </r>
      </text>
    </comment>
    <comment ref="B44" authorId="0" shapeId="0" xr:uid="{3543D274-EBC5-419A-B342-1A3EFB9B3881}">
      <text>
        <r>
          <rPr>
            <sz val="10"/>
            <color indexed="81"/>
            <rFont val="Lucida Console"/>
            <family val="3"/>
          </rPr>
          <t>DESCRIÇÃO DETALHADA_x000D_
HASTE GALVANIZADA - 1/4" X 350 MM - P/ FIXACAO DE TELHA DE FIBROCIMENTO - C/ PORCA, ARRUELA DE ALUMINIO E PLASTICA</t>
        </r>
      </text>
    </comment>
    <comment ref="G44" authorId="0" shapeId="0" xr:uid="{FC1307AE-BE04-434E-BC6D-91BE4EBB4FEB}">
      <text>
        <r>
          <rPr>
            <sz val="10"/>
            <color indexed="81"/>
            <rFont val="Lucida Console"/>
            <family val="3"/>
          </rPr>
          <t xml:space="preserve">_x000D_
Últ estimativa : 3.000_x000D_
Enviada em     : 22.04.2021_x000D_
Ata - Venc     : /-2000 - </t>
        </r>
      </text>
    </comment>
    <comment ref="O44" authorId="0" shapeId="0" xr:uid="{40E1E697-4342-453C-9ECC-B6B44EC1F622}">
      <text>
        <r>
          <rPr>
            <sz val="10"/>
            <color indexed="81"/>
            <rFont val="Lucida Console"/>
            <family val="3"/>
          </rPr>
          <t>_x000D_
Ata anterior não identificada.</t>
        </r>
      </text>
    </comment>
    <comment ref="W44" authorId="0" shapeId="0" xr:uid="{D30371B9-5643-44B2-AA1D-56AEA33D5AC6}">
      <text>
        <r>
          <rPr>
            <sz val="10"/>
            <color indexed="81"/>
            <rFont val="Lucida Console"/>
            <family val="3"/>
          </rPr>
          <t>_x000D_
DM-Construção</t>
        </r>
      </text>
    </comment>
    <comment ref="X44" authorId="0" shapeId="0" xr:uid="{B7795A3C-EAB2-4CD8-91C9-7BA90ACF9238}">
      <text>
        <r>
          <rPr>
            <sz val="10"/>
            <color indexed="81"/>
            <rFont val="Lucida Console"/>
            <family val="3"/>
          </rPr>
          <t>_x000D_
PARAFUSOS ELEM. VEDACAO UNIAO CONEX . FIXACAO</t>
        </r>
      </text>
    </comment>
    <comment ref="Y44" authorId="0" shapeId="0" xr:uid="{0C28825F-4ED9-4BC8-90C0-79E7650F0B63}">
      <text>
        <r>
          <rPr>
            <sz val="10"/>
            <color indexed="81"/>
            <rFont val="Lucida Console"/>
            <family val="3"/>
          </rPr>
          <t>_x000D_
HASTES</t>
        </r>
      </text>
    </comment>
    <comment ref="AW44" authorId="0" shapeId="0" xr:uid="{135D2C35-989C-48C3-8053-51F1C7671844}">
      <text>
        <r>
          <rPr>
            <sz val="10"/>
            <color indexed="81"/>
            <rFont val="Lucida Console"/>
            <family val="3"/>
          </rPr>
          <t>Tempo de Estoque (Meses)_x000D_
_x000D_
3.962,0</t>
        </r>
      </text>
    </comment>
    <comment ref="A45" authorId="0" shapeId="0" xr:uid="{AF75C195-78C8-425E-87BF-6FD317B6DFBC}">
      <text>
        <r>
          <rPr>
            <sz val="10"/>
            <color indexed="81"/>
            <rFont val="Lucida Console"/>
            <family val="3"/>
          </rPr>
          <t>_x000D_
11116</t>
        </r>
      </text>
    </comment>
    <comment ref="B45" authorId="0" shapeId="0" xr:uid="{027B4527-45C2-4340-9CCE-14E575BEF276}">
      <text>
        <r>
          <rPr>
            <sz val="10"/>
            <color indexed="81"/>
            <rFont val="Lucida Console"/>
            <family val="3"/>
          </rPr>
          <t>DESCRIÇÃO DETALHADA_x000D_
GRAMPO P/ PAPEL N°1 TIPO TRANCADO - CX COM 12 UNID</t>
        </r>
      </text>
    </comment>
    <comment ref="G45" authorId="0" shapeId="0" xr:uid="{D805B954-2313-4286-A829-3891FC3E8F81}">
      <text>
        <r>
          <rPr>
            <sz val="10"/>
            <color indexed="81"/>
            <rFont val="Lucida Console"/>
            <family val="3"/>
          </rPr>
          <t xml:space="preserve">_x000D_
Últ estimativa : 0_x000D_
Enviada em     : 02.03.2020_x000D_
Ata - Venc     : /-2000 - </t>
        </r>
      </text>
    </comment>
    <comment ref="O45" authorId="0" shapeId="0" xr:uid="{14EE8CE2-E0F4-484C-BA66-79EE915EB139}">
      <text>
        <r>
          <rPr>
            <sz val="10"/>
            <color indexed="81"/>
            <rFont val="Lucida Console"/>
            <family val="3"/>
          </rPr>
          <t>_x000D_
Ata anterior não identificada.</t>
        </r>
      </text>
    </comment>
    <comment ref="W45" authorId="0" shapeId="0" xr:uid="{9EDE8750-E800-4961-BF2F-B7024B6150A1}">
      <text>
        <r>
          <rPr>
            <sz val="10"/>
            <color indexed="81"/>
            <rFont val="Lucida Console"/>
            <family val="3"/>
          </rPr>
          <t>_x000D_
Administrativo</t>
        </r>
      </text>
    </comment>
    <comment ref="X45" authorId="0" shapeId="0" xr:uid="{9F02825B-3C50-40B3-8012-EC8AB8DF5BFA}">
      <text>
        <r>
          <rPr>
            <sz val="10"/>
            <color indexed="81"/>
            <rFont val="Lucida Console"/>
            <family val="3"/>
          </rPr>
          <t>_x000D_
MAQ., EQUIP., COMP., ACES., MAT. PARA ESCRIT.E ESCOLAR</t>
        </r>
      </text>
    </comment>
    <comment ref="Y45" authorId="0" shapeId="0" xr:uid="{DFB64381-942E-44EB-9DBC-351A44DAD114}">
      <text>
        <r>
          <rPr>
            <sz val="10"/>
            <color indexed="81"/>
            <rFont val="Lucida Console"/>
            <family val="3"/>
          </rPr>
          <t>_x000D_
FURAD.GRAMP.COLCHETE,GRAMPOS,CLIPS,ELAST.BARB.FIT.</t>
        </r>
      </text>
    </comment>
    <comment ref="AW45" authorId="0" shapeId="0" xr:uid="{04A41630-64C4-49C5-BD0A-29C9F8AB7E78}">
      <text>
        <r>
          <rPr>
            <sz val="10"/>
            <color indexed="81"/>
            <rFont val="Lucida Console"/>
            <family val="3"/>
          </rPr>
          <t>Tempo de Estoque (Meses)_x000D_
_x000D_
1.315,0</t>
        </r>
      </text>
    </comment>
    <comment ref="A46" authorId="0" shapeId="0" xr:uid="{E1558480-996D-44DA-952F-B9D8A6A4D505}">
      <text>
        <r>
          <rPr>
            <sz val="10"/>
            <color indexed="81"/>
            <rFont val="Lucida Console"/>
            <family val="3"/>
          </rPr>
          <t>_x000D_
140283</t>
        </r>
      </text>
    </comment>
    <comment ref="B46" authorId="0" shapeId="0" xr:uid="{447AE883-7A09-4181-8521-FDCBADAED7DD}">
      <text>
        <r>
          <rPr>
            <sz val="10"/>
            <color indexed="81"/>
            <rFont val="Lucida Console"/>
            <family val="3"/>
          </rPr>
          <t>DESCRIÇÃO DETALHADA_x000D_
LAVATORIO DE LOUCA COM COLUNA, NA COR BRANCA, DIMENSOES MINIMAS: 41 X 34 CM.</t>
        </r>
      </text>
    </comment>
    <comment ref="G46" authorId="0" shapeId="0" xr:uid="{0E6C98A5-18D8-472B-B358-A3BABE771C39}">
      <text>
        <r>
          <rPr>
            <sz val="10"/>
            <color indexed="81"/>
            <rFont val="Lucida Console"/>
            <family val="3"/>
          </rPr>
          <t xml:space="preserve">_x000D_
Últ estimativa : 30_x000D_
Enviada em     : 24.11.2020_x000D_
Ata - Venc     : /-2000 - </t>
        </r>
      </text>
    </comment>
    <comment ref="O46" authorId="0" shapeId="0" xr:uid="{B85BE985-49D5-41DC-AB51-6C42E2B37DFD}">
      <text>
        <r>
          <rPr>
            <sz val="10"/>
            <color indexed="81"/>
            <rFont val="Lucida Console"/>
            <family val="3"/>
          </rPr>
          <t>_x000D_
Ata anterior não identificada.</t>
        </r>
      </text>
    </comment>
    <comment ref="W46" authorId="0" shapeId="0" xr:uid="{8F1A7CE7-0E19-467B-BB43-E4A53CD1AA0B}">
      <text>
        <r>
          <rPr>
            <sz val="10"/>
            <color indexed="81"/>
            <rFont val="Lucida Console"/>
            <family val="3"/>
          </rPr>
          <t>_x000D_
DM-Construção</t>
        </r>
      </text>
    </comment>
    <comment ref="X46" authorId="0" shapeId="0" xr:uid="{E4B50E53-52BE-4BFD-B51F-7F8040465662}">
      <text>
        <r>
          <rPr>
            <sz val="10"/>
            <color indexed="81"/>
            <rFont val="Lucida Console"/>
            <family val="3"/>
          </rPr>
          <t>_x000D_
MAT.E EQUIP. P/ CONSTR.CIVIL E CONSERV. DE VIAS PUBL.</t>
        </r>
      </text>
    </comment>
    <comment ref="Y46" authorId="0" shapeId="0" xr:uid="{76E31652-1398-4BBF-AD04-66619E17B6A8}">
      <text>
        <r>
          <rPr>
            <sz val="10"/>
            <color indexed="81"/>
            <rFont val="Lucida Console"/>
            <family val="3"/>
          </rPr>
          <t>_x000D_
TANQUES, LAVATORIOS E PIAS</t>
        </r>
      </text>
    </comment>
    <comment ref="AW46" authorId="0" shapeId="0" xr:uid="{88780B47-29D4-41E5-A934-849E75ABB625}">
      <text>
        <r>
          <rPr>
            <sz val="10"/>
            <color indexed="81"/>
            <rFont val="Lucida Console"/>
            <family val="3"/>
          </rPr>
          <t>Tempo de Estoque (Meses)_x000D_
_x000D_
0,0</t>
        </r>
      </text>
    </comment>
    <comment ref="A47" authorId="0" shapeId="0" xr:uid="{52184EB3-9018-4413-856E-0B0AC804E98A}">
      <text>
        <r>
          <rPr>
            <sz val="10"/>
            <color indexed="81"/>
            <rFont val="Lucida Console"/>
            <family val="3"/>
          </rPr>
          <t>_x000D_
105709</t>
        </r>
      </text>
    </comment>
    <comment ref="B47" authorId="0" shapeId="0" xr:uid="{22300350-010B-45A3-9FE9-1135674AFC59}">
      <text>
        <r>
          <rPr>
            <sz val="10"/>
            <color indexed="81"/>
            <rFont val="Lucida Console"/>
            <family val="3"/>
          </rPr>
          <t>DESCRIÇÃO DETALHADA_x000D_
CAMISA DE BRIM, N° 7, CONFECCIONADA EM TECIDO 100% ALGODAO, NA COR AZUL MARINHO.</t>
        </r>
      </text>
    </comment>
    <comment ref="O47" authorId="0" shapeId="0" xr:uid="{E32BE715-1921-4ED3-BFF5-79A3DCCBE04D}">
      <text>
        <r>
          <rPr>
            <sz val="10"/>
            <color indexed="81"/>
            <rFont val="Lucida Console"/>
            <family val="3"/>
          </rPr>
          <t>_x000D_
Ata anterior não identificada.</t>
        </r>
      </text>
    </comment>
    <comment ref="W47" authorId="0" shapeId="0" xr:uid="{C177C182-9E9C-4CD1-BCE6-8F8AE25FD151}">
      <text>
        <r>
          <rPr>
            <sz val="10"/>
            <color indexed="81"/>
            <rFont val="Lucida Console"/>
            <family val="3"/>
          </rPr>
          <t>_x000D_
SegMedTra</t>
        </r>
      </text>
    </comment>
    <comment ref="X47" authorId="0" shapeId="0" xr:uid="{4AC60686-96EC-41FD-8DC3-21E81C41F122}">
      <text>
        <r>
          <rPr>
            <sz val="10"/>
            <color indexed="81"/>
            <rFont val="Lucida Console"/>
            <family val="3"/>
          </rPr>
          <t>_x000D_
EQUIP PROT IND, INST MAT P/ SINAL, CONTR, COMB ...</t>
        </r>
      </text>
    </comment>
    <comment ref="Y47" authorId="0" shapeId="0" xr:uid="{3E478FFF-1E83-430D-BC14-3629633BD625}">
      <text>
        <r>
          <rPr>
            <sz val="10"/>
            <color indexed="81"/>
            <rFont val="Lucida Console"/>
            <family val="3"/>
          </rPr>
          <t>_x000D_
ATA DE REGISTRO DE PRECOS</t>
        </r>
      </text>
    </comment>
    <comment ref="AW47" authorId="0" shapeId="0" xr:uid="{496F167D-EE03-47A0-9C57-6C58EEE3BBBF}">
      <text>
        <r>
          <rPr>
            <sz val="10"/>
            <color indexed="81"/>
            <rFont val="Lucida Console"/>
            <family val="3"/>
          </rPr>
          <t>Tempo de Estoque (Meses)_x000D_
_x000D_
12,0</t>
        </r>
      </text>
    </comment>
    <comment ref="A48" authorId="0" shapeId="0" xr:uid="{A41A7BF1-7FB6-429D-AE29-3D7019C2EE9D}">
      <text>
        <r>
          <rPr>
            <sz val="10"/>
            <color indexed="81"/>
            <rFont val="Lucida Console"/>
            <family val="3"/>
          </rPr>
          <t>_x000D_
45607</t>
        </r>
      </text>
    </comment>
    <comment ref="B48" authorId="0" shapeId="0" xr:uid="{D3378307-830C-49EB-9348-C3E4EDF76893}">
      <text>
        <r>
          <rPr>
            <sz val="10"/>
            <color indexed="81"/>
            <rFont val="Lucida Console"/>
            <family val="3"/>
          </rPr>
          <t xml:space="preserve">DESCRIÇÃO DETALHADA_x000D_
UNIAO DE PVC COLA MARROM -  25 MM, DE ACORDO COM A NBR 5648 E A MARCA, MEDIDA E NBR DEVERAO VIR LITOGRAFADA NA PECA  </t>
        </r>
      </text>
    </comment>
    <comment ref="G48" authorId="0" shapeId="0" xr:uid="{4C12C6FD-F7D3-4C5E-B46E-5979476B050D}">
      <text>
        <r>
          <rPr>
            <sz val="10"/>
            <color indexed="81"/>
            <rFont val="Lucida Console"/>
            <family val="3"/>
          </rPr>
          <t xml:space="preserve">_x000D_
Últ estimativa : 1.000_x000D_
Enviada em     : 24.11.2020_x000D_
Ata - Venc     : /-2000 - </t>
        </r>
      </text>
    </comment>
    <comment ref="O48" authorId="0" shapeId="0" xr:uid="{51C528BF-43EA-40FD-B17C-78A78F8CA3A3}">
      <text>
        <r>
          <rPr>
            <sz val="10"/>
            <color indexed="81"/>
            <rFont val="Lucida Console"/>
            <family val="3"/>
          </rPr>
          <t>_x000D_
Ata anterior não identificada.</t>
        </r>
      </text>
    </comment>
    <comment ref="W48" authorId="0" shapeId="0" xr:uid="{0CDCB677-2523-41C7-B7EF-86AA25A65AC9}">
      <text>
        <r>
          <rPr>
            <sz val="10"/>
            <color indexed="81"/>
            <rFont val="Lucida Console"/>
            <family val="3"/>
          </rPr>
          <t>_x000D_
DM-Hidráulica</t>
        </r>
      </text>
    </comment>
    <comment ref="X48" authorId="0" shapeId="0" xr:uid="{4CCA9F62-CA20-4E68-A9E0-14D7E7C50668}">
      <text>
        <r>
          <rPr>
            <sz val="10"/>
            <color indexed="81"/>
            <rFont val="Lucida Console"/>
            <family val="3"/>
          </rPr>
          <t>_x000D_
MATERIAL HIDRAULICO, CANOS, TUBOS, MANGUEIRAS, CONEXOES E ACESS.</t>
        </r>
      </text>
    </comment>
    <comment ref="Y48" authorId="0" shapeId="0" xr:uid="{41D07678-DD40-459E-9834-3A7DBBCEF865}">
      <text>
        <r>
          <rPr>
            <sz val="10"/>
            <color indexed="81"/>
            <rFont val="Lucida Console"/>
            <family val="3"/>
          </rPr>
          <t>_x000D_
ADAP. LUVAS.TES CURVAS COTOVELOS PLUGS FLANGES.....</t>
        </r>
      </text>
    </comment>
    <comment ref="AW48" authorId="0" shapeId="0" xr:uid="{308F1CE0-C531-4F38-811E-691DE34286A7}">
      <text>
        <r>
          <rPr>
            <sz val="10"/>
            <color indexed="81"/>
            <rFont val="Lucida Console"/>
            <family val="3"/>
          </rPr>
          <t>Tempo de Estoque (Meses)_x000D_
_x000D_
692,0</t>
        </r>
      </text>
    </comment>
    <comment ref="A49" authorId="0" shapeId="0" xr:uid="{B1402528-9B92-49C1-A26B-FE49FCDC8D61}">
      <text>
        <r>
          <rPr>
            <sz val="10"/>
            <color indexed="81"/>
            <rFont val="Lucida Console"/>
            <family val="3"/>
          </rPr>
          <t>_x000D_
131138</t>
        </r>
      </text>
    </comment>
    <comment ref="B49" authorId="0" shapeId="0" xr:uid="{1EE8E573-7A20-4376-BAE8-1000C8846A3B}">
      <text>
        <r>
          <rPr>
            <sz val="10"/>
            <color indexed="81"/>
            <rFont val="Lucida Console"/>
            <family val="3"/>
          </rPr>
          <t>DESCRIÇÃO DETALHADA_x000D_
PARAFUSO AUTOBROCANTE, 1/4" X 1", COM CABECA SEXTAVADA FLANGEADA E ARRUELA DE EPDM - CAIXA COM 500 UNIDADES</t>
        </r>
      </text>
    </comment>
    <comment ref="O49" authorId="0" shapeId="0" xr:uid="{961C3BDB-1AFE-4283-86B9-7C9955B80930}">
      <text>
        <r>
          <rPr>
            <sz val="10"/>
            <color indexed="81"/>
            <rFont val="Lucida Console"/>
            <family val="3"/>
          </rPr>
          <t>_x000D_
Ata anterior não identificada.</t>
        </r>
      </text>
    </comment>
    <comment ref="W49" authorId="0" shapeId="0" xr:uid="{E6898EAD-ED25-431B-A17B-DBC9FDDA53BC}">
      <text>
        <r>
          <rPr>
            <sz val="10"/>
            <color indexed="81"/>
            <rFont val="Lucida Console"/>
            <family val="3"/>
          </rPr>
          <t>_x000D_
DM-Serralheria</t>
        </r>
      </text>
    </comment>
    <comment ref="X49" authorId="0" shapeId="0" xr:uid="{AD90C4D3-231A-47E5-B9CC-42BBD950A855}">
      <text>
        <r>
          <rPr>
            <sz val="10"/>
            <color indexed="81"/>
            <rFont val="Lucida Console"/>
            <family val="3"/>
          </rPr>
          <t>_x000D_
PARAFUSOS ELEM. VEDACAO UNIAO CONEX . FIXACAO</t>
        </r>
      </text>
    </comment>
    <comment ref="Y49" authorId="0" shapeId="0" xr:uid="{77BE16C8-E965-40F4-9FFE-EED17363BA67}">
      <text>
        <r>
          <rPr>
            <sz val="10"/>
            <color indexed="81"/>
            <rFont val="Lucida Console"/>
            <family val="3"/>
          </rPr>
          <t>_x000D_
PARAFUSO SEXTAVADO</t>
        </r>
      </text>
    </comment>
    <comment ref="AW49" authorId="0" shapeId="0" xr:uid="{FF65F4E9-1607-4978-8373-3EFC2FB27405}">
      <text>
        <r>
          <rPr>
            <sz val="10"/>
            <color indexed="81"/>
            <rFont val="Lucida Console"/>
            <family val="3"/>
          </rPr>
          <t>Tempo de Estoque (Meses)_x000D_
_x000D_
396,0</t>
        </r>
      </text>
    </comment>
    <comment ref="A50" authorId="0" shapeId="0" xr:uid="{285DA748-4BF1-4734-9193-A0FE290AB3DE}">
      <text>
        <r>
          <rPr>
            <sz val="10"/>
            <color indexed="81"/>
            <rFont val="Lucida Console"/>
            <family val="3"/>
          </rPr>
          <t>_x000D_
138352</t>
        </r>
      </text>
    </comment>
    <comment ref="B50" authorId="0" shapeId="0" xr:uid="{F1704DE6-EF98-4ED1-8490-CAE60FC751AE}">
      <text>
        <r>
          <rPr>
            <sz val="10"/>
            <color indexed="81"/>
            <rFont val="Lucida Console"/>
            <family val="3"/>
          </rPr>
          <t>DESCRIÇÃO DETALHADA_x000D_
SABAO DESENGRAXANTE, INDICADO PARA DESENGORDURAR E DESENGRAXAR, COM COMPONENTES ABRASIVOS PARA FACILITAR A LIMPEZA - POTE COM 1 KG.</t>
        </r>
      </text>
    </comment>
    <comment ref="G50" authorId="0" shapeId="0" xr:uid="{E03BBD8F-CB14-426A-8A51-1A4721A6822F}">
      <text>
        <r>
          <rPr>
            <sz val="10"/>
            <color indexed="81"/>
            <rFont val="Lucida Console"/>
            <family val="3"/>
          </rPr>
          <t xml:space="preserve">_x000D_
Últ estimativa : 150_x000D_
Enviada em     : 19.12.2019_x000D_
Ata - Venc     : /-2000 - </t>
        </r>
      </text>
    </comment>
    <comment ref="O50" authorId="0" shapeId="0" xr:uid="{1599731A-9F7C-4FEE-A836-499EC9BC2030}">
      <text>
        <r>
          <rPr>
            <sz val="10"/>
            <color indexed="81"/>
            <rFont val="Lucida Console"/>
            <family val="3"/>
          </rPr>
          <t>_x000D_
Ata anterior não identificada.</t>
        </r>
      </text>
    </comment>
    <comment ref="W50" authorId="0" shapeId="0" xr:uid="{B8DA4CC4-F3B7-4F3C-8C1E-FDA3B622ABE9}">
      <text>
        <r>
          <rPr>
            <sz val="10"/>
            <color indexed="81"/>
            <rFont val="Lucida Console"/>
            <family val="3"/>
          </rPr>
          <t>_x000D_
Administrativo</t>
        </r>
      </text>
    </comment>
    <comment ref="X50" authorId="0" shapeId="0" xr:uid="{CB2293CA-E1E1-4B6D-ABD7-24BF0503C19D}">
      <text>
        <r>
          <rPr>
            <sz val="10"/>
            <color indexed="81"/>
            <rFont val="Lucida Console"/>
            <family val="3"/>
          </rPr>
          <t>_x000D_
MAQ.EQUIP.E MATERIAIS P/ HIGIEN.LIMP.POLIM.E LUBR.</t>
        </r>
      </text>
    </comment>
    <comment ref="Y50" authorId="0" shapeId="0" xr:uid="{CB9861F6-AE27-4AAC-9EBA-6C9A217BE2F8}">
      <text>
        <r>
          <rPr>
            <sz val="10"/>
            <color indexed="81"/>
            <rFont val="Lucida Console"/>
            <family val="3"/>
          </rPr>
          <t>_x000D_
SABOES E SAPONACEOS</t>
        </r>
      </text>
    </comment>
    <comment ref="AW50" authorId="0" shapeId="0" xr:uid="{690AA9B0-A9A3-42D4-8820-478CC07DB414}">
      <text>
        <r>
          <rPr>
            <sz val="10"/>
            <color indexed="81"/>
            <rFont val="Lucida Console"/>
            <family val="3"/>
          </rPr>
          <t>Tempo de Estoque (Meses)_x000D_
_x000D_
81,0</t>
        </r>
      </text>
    </comment>
    <comment ref="A51" authorId="0" shapeId="0" xr:uid="{2A23DE1B-C71E-4065-B446-CCDB73CCC924}">
      <text>
        <r>
          <rPr>
            <sz val="10"/>
            <color indexed="81"/>
            <rFont val="Lucida Console"/>
            <family val="3"/>
          </rPr>
          <t>_x000D_
136881</t>
        </r>
      </text>
    </comment>
    <comment ref="B51" authorId="0" shapeId="0" xr:uid="{01DBE02C-2992-4EF9-BFA7-2691F85087E8}">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51" authorId="0" shapeId="0" xr:uid="{A49338A5-427D-4816-9E5F-262401820ECE}">
      <text>
        <r>
          <rPr>
            <sz val="10"/>
            <color indexed="81"/>
            <rFont val="Lucida Console"/>
            <family val="3"/>
          </rPr>
          <t>_x000D_
Ata anterior não identificada.</t>
        </r>
      </text>
    </comment>
    <comment ref="W51" authorId="0" shapeId="0" xr:uid="{37D668D0-8A2F-446F-8820-8876B8D51A7A}">
      <text>
        <r>
          <rPr>
            <sz val="10"/>
            <color indexed="81"/>
            <rFont val="Lucida Console"/>
            <family val="3"/>
          </rPr>
          <t>_x000D_
SegMedTra</t>
        </r>
      </text>
    </comment>
    <comment ref="X51" authorId="0" shapeId="0" xr:uid="{0CA78BF4-EBEC-4974-8F0C-5620A385003C}">
      <text>
        <r>
          <rPr>
            <sz val="10"/>
            <color indexed="81"/>
            <rFont val="Lucida Console"/>
            <family val="3"/>
          </rPr>
          <t>_x000D_
EQUIP PROT IND, INST MAT P/ SINAL, CONTR, COMB ...</t>
        </r>
      </text>
    </comment>
    <comment ref="Y51" authorId="0" shapeId="0" xr:uid="{50240734-0770-4651-8B20-1D7088E7826B}">
      <text>
        <r>
          <rPr>
            <sz val="10"/>
            <color indexed="81"/>
            <rFont val="Lucida Console"/>
            <family val="3"/>
          </rPr>
          <t>_x000D_
CALCADOS, LUVAS, OCULOS, MASCARAS, CAPACETES, CASSETETE</t>
        </r>
      </text>
    </comment>
    <comment ref="AW51" authorId="0" shapeId="0" xr:uid="{718470AD-6E2A-4116-8811-EA8CF81A21E4}">
      <text>
        <r>
          <rPr>
            <sz val="10"/>
            <color indexed="81"/>
            <rFont val="Lucida Console"/>
            <family val="3"/>
          </rPr>
          <t>Tempo de Estoque (Meses)_x000D_
_x000D_
200,0</t>
        </r>
      </text>
    </comment>
    <comment ref="A52" authorId="0" shapeId="0" xr:uid="{BC167664-9B64-4AEB-B38B-18CFE3F39BDA}">
      <text>
        <r>
          <rPr>
            <sz val="10"/>
            <color indexed="81"/>
            <rFont val="Lucida Console"/>
            <family val="3"/>
          </rPr>
          <t>_x000D_
106544</t>
        </r>
      </text>
    </comment>
    <comment ref="B52" authorId="0" shapeId="0" xr:uid="{4AD387E1-EE20-4283-959E-7BB1BCDAFF11}">
      <text>
        <r>
          <rPr>
            <sz val="10"/>
            <color indexed="81"/>
            <rFont val="Lucida Console"/>
            <family val="3"/>
          </rPr>
          <t>DESCRIÇÃO DETALHADA_x000D_
CHUMBADOR GALVANIZADO CBA  5/16"  X  2.1/4"</t>
        </r>
      </text>
    </comment>
    <comment ref="G52" authorId="0" shapeId="0" xr:uid="{DC2C27AA-C0C2-4261-8F98-6372FAD96594}">
      <text>
        <r>
          <rPr>
            <sz val="10"/>
            <color indexed="81"/>
            <rFont val="Lucida Console"/>
            <family val="3"/>
          </rPr>
          <t xml:space="preserve">_x000D_
Últ estimativa : 200_x000D_
Enviada em     : 25.09.2019_x000D_
Ata - Venc     : /-2000 - </t>
        </r>
      </text>
    </comment>
    <comment ref="O52" authorId="0" shapeId="0" xr:uid="{57B46189-1601-4877-835F-EA1EC8E73E04}">
      <text>
        <r>
          <rPr>
            <sz val="10"/>
            <color indexed="81"/>
            <rFont val="Lucida Console"/>
            <family val="3"/>
          </rPr>
          <t>_x000D_
Ata anterior não identificada.</t>
        </r>
      </text>
    </comment>
    <comment ref="W52" authorId="0" shapeId="0" xr:uid="{27BA9703-9800-40E4-9F28-8AC3FE6B2842}">
      <text>
        <r>
          <rPr>
            <sz val="10"/>
            <color indexed="81"/>
            <rFont val="Lucida Console"/>
            <family val="3"/>
          </rPr>
          <t>_x000D_
DM-Construção</t>
        </r>
      </text>
    </comment>
    <comment ref="X52" authorId="0" shapeId="0" xr:uid="{085B4446-A7AF-41C4-BA6A-26D9E89F0E5E}">
      <text>
        <r>
          <rPr>
            <sz val="10"/>
            <color indexed="81"/>
            <rFont val="Lucida Console"/>
            <family val="3"/>
          </rPr>
          <t>_x000D_
PARAFUSOS ELEM. VEDACAO UNIAO CONEX . FIXACAO</t>
        </r>
      </text>
    </comment>
    <comment ref="Y52" authorId="0" shapeId="0" xr:uid="{93F3E630-3134-4C53-93DD-700B7B2D1C13}">
      <text>
        <r>
          <rPr>
            <sz val="10"/>
            <color indexed="81"/>
            <rFont val="Lucida Console"/>
            <family val="3"/>
          </rPr>
          <t>_x000D_
BUCHAS CHUMBADORES E GANCHOS</t>
        </r>
      </text>
    </comment>
    <comment ref="AW52" authorId="0" shapeId="0" xr:uid="{5B85BE72-2F99-4C8B-A6F1-593A3D3371A0}">
      <text>
        <r>
          <rPr>
            <sz val="10"/>
            <color indexed="81"/>
            <rFont val="Lucida Console"/>
            <family val="3"/>
          </rPr>
          <t>Tempo de Estoque (Meses)_x000D_
_x000D_
2.000,0</t>
        </r>
      </text>
    </comment>
    <comment ref="A53" authorId="0" shapeId="0" xr:uid="{CC82C4E7-28E6-4A6D-826C-96E7EB29F413}">
      <text>
        <r>
          <rPr>
            <sz val="10"/>
            <color indexed="81"/>
            <rFont val="Lucida Console"/>
            <family val="3"/>
          </rPr>
          <t>_x000D_
109986</t>
        </r>
      </text>
    </comment>
    <comment ref="B53" authorId="0" shapeId="0" xr:uid="{B00204A2-AEB9-452C-B9DB-4F2CDA35ECED}">
      <text>
        <r>
          <rPr>
            <sz val="10"/>
            <color indexed="81"/>
            <rFont val="Lucida Console"/>
            <family val="3"/>
          </rPr>
          <t>DESCRIÇÃO DETALHADA_x000D_
DISCO DE CORTE 14" X 3/16" X 1" DE ACORDO COM AS NORMAS DA ABNT</t>
        </r>
      </text>
    </comment>
    <comment ref="G53" authorId="0" shapeId="0" xr:uid="{6D79C986-DCF4-470A-BAB0-B5405A4AA9FC}">
      <text>
        <r>
          <rPr>
            <sz val="10"/>
            <color indexed="81"/>
            <rFont val="Lucida Console"/>
            <family val="3"/>
          </rPr>
          <t xml:space="preserve">_x000D_
Últ estimativa : 0_x000D_
Enviada em     : 25.09.2019_x000D_
Ata - Venc     : /-2000 - </t>
        </r>
      </text>
    </comment>
    <comment ref="O53" authorId="0" shapeId="0" xr:uid="{CC95EA3F-A0D6-4C11-847F-20A330191120}">
      <text>
        <r>
          <rPr>
            <sz val="10"/>
            <color indexed="81"/>
            <rFont val="Lucida Console"/>
            <family val="3"/>
          </rPr>
          <t>_x000D_
Ata anterior não identificada.</t>
        </r>
      </text>
    </comment>
    <comment ref="W53" authorId="0" shapeId="0" xr:uid="{0E48AA71-08F3-45CB-A405-69C4BC98BB5C}">
      <text>
        <r>
          <rPr>
            <sz val="10"/>
            <color indexed="81"/>
            <rFont val="Lucida Console"/>
            <family val="3"/>
          </rPr>
          <t>_x000D_
DM-Serralheria</t>
        </r>
      </text>
    </comment>
    <comment ref="X53" authorId="0" shapeId="0" xr:uid="{147BE1DB-407E-4690-8AA1-4E448891B05B}">
      <text>
        <r>
          <rPr>
            <sz val="10"/>
            <color indexed="81"/>
            <rFont val="Lucida Console"/>
            <family val="3"/>
          </rPr>
          <t>_x000D_
ABRASIVOS</t>
        </r>
      </text>
    </comment>
    <comment ref="Y53" authorId="0" shapeId="0" xr:uid="{38F16A31-4416-468C-B38E-95FA6C3F16FE}">
      <text>
        <r>
          <rPr>
            <sz val="10"/>
            <color indexed="81"/>
            <rFont val="Lucida Console"/>
            <family val="3"/>
          </rPr>
          <t>_x000D_
DISCO DE FIBRA</t>
        </r>
      </text>
    </comment>
    <comment ref="AW53" authorId="0" shapeId="0" xr:uid="{241AB52A-C7DB-47D1-86EE-E1B939E4C7FC}">
      <text>
        <r>
          <rPr>
            <sz val="10"/>
            <color indexed="81"/>
            <rFont val="Lucida Console"/>
            <family val="3"/>
          </rPr>
          <t>Tempo de Estoque (Meses)_x000D_
_x000D_
98,0</t>
        </r>
      </text>
    </comment>
    <comment ref="A54" authorId="0" shapeId="0" xr:uid="{0CAB3B7E-F065-4FDB-9ADE-774B897AB353}">
      <text>
        <r>
          <rPr>
            <sz val="10"/>
            <color indexed="81"/>
            <rFont val="Lucida Console"/>
            <family val="3"/>
          </rPr>
          <t>_x000D_
138475</t>
        </r>
      </text>
    </comment>
    <comment ref="B54" authorId="0" shapeId="0" xr:uid="{FDFB8AB3-CF96-40E0-862B-25F357FCACBC}">
      <text>
        <r>
          <rPr>
            <sz val="10"/>
            <color indexed="81"/>
            <rFont val="Lucida Console"/>
            <family val="3"/>
          </rPr>
          <t>DESCRIÇÃO DETALHADA_x000D_
DISCO DE CORTE 14" X 1/8" X 1" DE ACORDO COM AS NORMAS DA ABNT</t>
        </r>
      </text>
    </comment>
    <comment ref="G54" authorId="0" shapeId="0" xr:uid="{6A3BA7D3-5CA5-487D-B717-C2BE13666B1A}">
      <text>
        <r>
          <rPr>
            <sz val="10"/>
            <color indexed="81"/>
            <rFont val="Lucida Console"/>
            <family val="3"/>
          </rPr>
          <t xml:space="preserve">_x000D_
Últ estimativa : 200_x000D_
Enviada em     : 24.10.2019_x000D_
Ata - Venc     : /-2000 - </t>
        </r>
      </text>
    </comment>
    <comment ref="O54" authorId="0" shapeId="0" xr:uid="{6EE50C94-53DA-4F9F-9721-387E72F96CD3}">
      <text>
        <r>
          <rPr>
            <sz val="10"/>
            <color indexed="81"/>
            <rFont val="Lucida Console"/>
            <family val="3"/>
          </rPr>
          <t>_x000D_
Ata anterior não identificada.</t>
        </r>
      </text>
    </comment>
    <comment ref="W54" authorId="0" shapeId="0" xr:uid="{53671BEE-AC9A-4E22-B8C4-8A34230B6601}">
      <text>
        <r>
          <rPr>
            <sz val="10"/>
            <color indexed="81"/>
            <rFont val="Lucida Console"/>
            <family val="3"/>
          </rPr>
          <t>_x000D_
DM-Serralheria</t>
        </r>
      </text>
    </comment>
    <comment ref="X54" authorId="0" shapeId="0" xr:uid="{A52A4FBD-EA65-4BA7-A012-8CD495C9DE56}">
      <text>
        <r>
          <rPr>
            <sz val="10"/>
            <color indexed="81"/>
            <rFont val="Lucida Console"/>
            <family val="3"/>
          </rPr>
          <t>_x000D_
ABRASIVOS</t>
        </r>
      </text>
    </comment>
    <comment ref="Y54" authorId="0" shapeId="0" xr:uid="{AE373894-C48B-4CD0-A28D-555E466F95CC}">
      <text>
        <r>
          <rPr>
            <sz val="10"/>
            <color indexed="81"/>
            <rFont val="Lucida Console"/>
            <family val="3"/>
          </rPr>
          <t>_x000D_
DISCO DE FIBRA</t>
        </r>
      </text>
    </comment>
    <comment ref="AW54" authorId="0" shapeId="0" xr:uid="{7AB5903F-FB5F-476B-AD1E-3932C9D83879}">
      <text>
        <r>
          <rPr>
            <sz val="10"/>
            <color indexed="81"/>
            <rFont val="Lucida Console"/>
            <family val="3"/>
          </rPr>
          <t>Tempo de Estoque (Meses)_x000D_
_x000D_
155,0</t>
        </r>
      </text>
    </comment>
    <comment ref="A55" authorId="0" shapeId="0" xr:uid="{DD451D30-D74F-43ED-AC25-315DFE3E3D1D}">
      <text>
        <r>
          <rPr>
            <sz val="10"/>
            <color indexed="81"/>
            <rFont val="Lucida Console"/>
            <family val="3"/>
          </rPr>
          <t>_x000D_
140326</t>
        </r>
      </text>
    </comment>
    <comment ref="B55" authorId="0" shapeId="0" xr:uid="{DC8058C7-34B3-48CE-9E90-30A981AF1590}">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55" authorId="0" shapeId="0" xr:uid="{A0AA4FC9-7695-41DF-849B-9534494AAAED}">
      <text>
        <r>
          <rPr>
            <sz val="10"/>
            <color indexed="81"/>
            <rFont val="Lucida Console"/>
            <family val="3"/>
          </rPr>
          <t xml:space="preserve">_x000D_
Últ estimativa : 500_x000D_
Enviada em     : 17.12.2020_x000D_
Ata - Venc     : /-2000 - </t>
        </r>
      </text>
    </comment>
    <comment ref="O55" authorId="0" shapeId="0" xr:uid="{47775A59-679D-4971-A3CD-A69CCEBFF139}">
      <text>
        <r>
          <rPr>
            <sz val="10"/>
            <color indexed="81"/>
            <rFont val="Lucida Console"/>
            <family val="3"/>
          </rPr>
          <t>_x000D_
Ata anterior não identificada.</t>
        </r>
      </text>
    </comment>
    <comment ref="W55" authorId="0" shapeId="0" xr:uid="{7EAD9177-E3BE-4FD3-A1E7-0247CC7031A0}">
      <text>
        <r>
          <rPr>
            <sz val="10"/>
            <color indexed="81"/>
            <rFont val="Lucida Console"/>
            <family val="3"/>
          </rPr>
          <t>_x000D_
DM-Construção</t>
        </r>
      </text>
    </comment>
    <comment ref="X55" authorId="0" shapeId="0" xr:uid="{890A31D7-861C-4761-AEAA-27B3F4EBC467}">
      <text>
        <r>
          <rPr>
            <sz val="10"/>
            <color indexed="81"/>
            <rFont val="Lucida Console"/>
            <family val="3"/>
          </rPr>
          <t>_x000D_
MAT.E EQUIP. P/ CONSTR.CIVIL E CONSERV. DE VIAS PUBL.</t>
        </r>
      </text>
    </comment>
    <comment ref="Y55" authorId="0" shapeId="0" xr:uid="{601A3916-75D9-4620-84F8-B36C6F04E404}">
      <text>
        <r>
          <rPr>
            <sz val="10"/>
            <color indexed="81"/>
            <rFont val="Lucida Console"/>
            <family val="3"/>
          </rPr>
          <t>_x000D_
IMPERMEABILIZANTES, ADITIVOS E ADESIVOS</t>
        </r>
      </text>
    </comment>
    <comment ref="AW55" authorId="0" shapeId="0" xr:uid="{949BB13A-424E-4885-A8ED-57B1871C632A}">
      <text>
        <r>
          <rPr>
            <sz val="10"/>
            <color indexed="81"/>
            <rFont val="Lucida Console"/>
            <family val="3"/>
          </rPr>
          <t>Tempo de Estoque (Meses)_x000D_
_x000D_
1.176,0</t>
        </r>
      </text>
    </comment>
    <comment ref="A56" authorId="0" shapeId="0" xr:uid="{55EA30DC-ACF6-4E73-8FAA-2070FA34B594}">
      <text>
        <r>
          <rPr>
            <sz val="10"/>
            <color indexed="81"/>
            <rFont val="Lucida Console"/>
            <family val="3"/>
          </rPr>
          <t>_x000D_
58436</t>
        </r>
      </text>
    </comment>
    <comment ref="B56" authorId="0" shapeId="0" xr:uid="{D8A0D391-49E1-4CF7-9EC7-3BA954B4EAF9}">
      <text>
        <r>
          <rPr>
            <sz val="10"/>
            <color indexed="81"/>
            <rFont val="Lucida Console"/>
            <family val="3"/>
          </rPr>
          <t>DESCRIÇÃO DETALHADA_x000D_
ROLDANA 2.1/2" COM CAIXA EM "V"</t>
        </r>
      </text>
    </comment>
    <comment ref="G56" authorId="0" shapeId="0" xr:uid="{77D8C18E-A1A0-4003-8DC4-1D19D05477E4}">
      <text>
        <r>
          <rPr>
            <sz val="10"/>
            <color indexed="81"/>
            <rFont val="Lucida Console"/>
            <family val="3"/>
          </rPr>
          <t xml:space="preserve">_x000D_
Últ estimativa : 0_x000D_
Enviada em     : 25.09.2019_x000D_
Ata - Venc     : /-2000 - </t>
        </r>
      </text>
    </comment>
    <comment ref="O56" authorId="0" shapeId="0" xr:uid="{DD2800B1-5307-4C92-928B-2AD12BC739A8}">
      <text>
        <r>
          <rPr>
            <sz val="10"/>
            <color indexed="81"/>
            <rFont val="Lucida Console"/>
            <family val="3"/>
          </rPr>
          <t>_x000D_
Ata anterior não identificada.</t>
        </r>
      </text>
    </comment>
    <comment ref="W56" authorId="0" shapeId="0" xr:uid="{70C6ED4A-427B-4F73-B321-94D2962D0DFC}">
      <text>
        <r>
          <rPr>
            <sz val="10"/>
            <color indexed="81"/>
            <rFont val="Lucida Console"/>
            <family val="3"/>
          </rPr>
          <t>_x000D_
DM-Serralheria</t>
        </r>
      </text>
    </comment>
    <comment ref="X56" authorId="0" shapeId="0" xr:uid="{97F16146-696E-493D-8D4B-CD5F9AB44188}">
      <text>
        <r>
          <rPr>
            <sz val="10"/>
            <color indexed="81"/>
            <rFont val="Lucida Console"/>
            <family val="3"/>
          </rPr>
          <t>_x000D_
METAIS,LAMINAD.,PERFILADOS E ARTEFATOS METALICOS</t>
        </r>
      </text>
    </comment>
    <comment ref="Y56" authorId="0" shapeId="0" xr:uid="{30513E14-BBE6-4752-9674-472BA0D9EF9A}">
      <text>
        <r>
          <rPr>
            <sz val="10"/>
            <color indexed="81"/>
            <rFont val="Lucida Console"/>
            <family val="3"/>
          </rPr>
          <t>_x000D_
PERFIS E BARRA</t>
        </r>
      </text>
    </comment>
    <comment ref="AW56" authorId="0" shapeId="0" xr:uid="{9E561EDB-5B3B-461D-AE7B-9C9DACA5079F}">
      <text>
        <r>
          <rPr>
            <sz val="10"/>
            <color indexed="81"/>
            <rFont val="Lucida Console"/>
            <family val="3"/>
          </rPr>
          <t>Tempo de Estoque (Meses)_x000D_
_x000D_
427,0</t>
        </r>
      </text>
    </comment>
    <comment ref="A57" authorId="0" shapeId="0" xr:uid="{C290C059-66BC-4322-BD1B-CD71E32D91AB}">
      <text>
        <r>
          <rPr>
            <sz val="10"/>
            <color indexed="81"/>
            <rFont val="Lucida Console"/>
            <family val="3"/>
          </rPr>
          <t>_x000D_
123618</t>
        </r>
      </text>
    </comment>
    <comment ref="B57" authorId="0" shapeId="0" xr:uid="{5444C7BA-2E80-4479-9CB7-474151729462}">
      <text>
        <r>
          <rPr>
            <sz val="10"/>
            <color indexed="81"/>
            <rFont val="Lucida Console"/>
            <family val="3"/>
          </rPr>
          <t>DESCRIÇÃO DETALHADA_x000D_
BARRA CHATA DE ALUMINIO 3/4" X 1/8" - BARRA COM 06 METROS</t>
        </r>
      </text>
    </comment>
    <comment ref="G57" authorId="0" shapeId="0" xr:uid="{B3EC2E9E-F156-43F5-84C6-97A41AFDF485}">
      <text>
        <r>
          <rPr>
            <sz val="10"/>
            <color indexed="81"/>
            <rFont val="Lucida Console"/>
            <family val="3"/>
          </rPr>
          <t xml:space="preserve">_x000D_
Últ estimativa : 0_x000D_
Enviada em     : 25.09.2019_x000D_
Ata - Venc     : /-2000 - </t>
        </r>
      </text>
    </comment>
    <comment ref="O57" authorId="0" shapeId="0" xr:uid="{52AC4F3C-E2E6-41F6-B9A9-BE220D0EE244}">
      <text>
        <r>
          <rPr>
            <sz val="10"/>
            <color indexed="81"/>
            <rFont val="Lucida Console"/>
            <family val="3"/>
          </rPr>
          <t>_x000D_
Ata anterior não identificada.</t>
        </r>
      </text>
    </comment>
    <comment ref="W57" authorId="0" shapeId="0" xr:uid="{2B1E4B6F-8899-42B9-8495-228D9B3BDBDC}">
      <text>
        <r>
          <rPr>
            <sz val="10"/>
            <color indexed="81"/>
            <rFont val="Lucida Console"/>
            <family val="3"/>
          </rPr>
          <t>_x000D_
DM-Serralheria</t>
        </r>
      </text>
    </comment>
    <comment ref="X57" authorId="0" shapeId="0" xr:uid="{69DCDECE-ABAE-431E-A57D-97B3F6D51278}">
      <text>
        <r>
          <rPr>
            <sz val="10"/>
            <color indexed="81"/>
            <rFont val="Lucida Console"/>
            <family val="3"/>
          </rPr>
          <t>_x000D_
METAIS,LAMINAD.,PERFILADOS E ARTEFATOS METALICOS</t>
        </r>
      </text>
    </comment>
    <comment ref="Y57" authorId="0" shapeId="0" xr:uid="{F3C2D7F2-D01A-48E1-977B-109A7A113A32}">
      <text>
        <r>
          <rPr>
            <sz val="10"/>
            <color indexed="81"/>
            <rFont val="Lucida Console"/>
            <family val="3"/>
          </rPr>
          <t>_x000D_
PERFIS E BARRA</t>
        </r>
      </text>
    </comment>
    <comment ref="AW57" authorId="0" shapeId="0" xr:uid="{8F4408C5-6B00-40B8-8232-D9AA7A0907DF}">
      <text>
        <r>
          <rPr>
            <sz val="10"/>
            <color indexed="81"/>
            <rFont val="Lucida Console"/>
            <family val="3"/>
          </rPr>
          <t>Tempo de Estoque (Meses)_x000D_
_x000D_
999,0</t>
        </r>
      </text>
    </comment>
    <comment ref="A58" authorId="0" shapeId="0" xr:uid="{41E801EF-DDEF-4253-9760-D9B7B5793563}">
      <text>
        <r>
          <rPr>
            <sz val="10"/>
            <color indexed="81"/>
            <rFont val="Lucida Console"/>
            <family val="3"/>
          </rPr>
          <t>_x000D_
80387</t>
        </r>
      </text>
    </comment>
    <comment ref="B58" authorId="0" shapeId="0" xr:uid="{C693BDD3-5E3E-4B49-BDC5-CA5D62FBC2F0}">
      <text>
        <r>
          <rPr>
            <sz val="10"/>
            <color indexed="81"/>
            <rFont val="Lucida Console"/>
            <family val="3"/>
          </rPr>
          <t>DESCRIÇÃO DETALHADA_x000D_
DISCO DE CORTE 9" X 1/8" X 7/8"</t>
        </r>
      </text>
    </comment>
    <comment ref="G58" authorId="0" shapeId="0" xr:uid="{E77ED270-95F0-494F-8E35-D9D4923B8593}">
      <text>
        <r>
          <rPr>
            <sz val="10"/>
            <color indexed="81"/>
            <rFont val="Lucida Console"/>
            <family val="3"/>
          </rPr>
          <t xml:space="preserve">_x000D_
Últ estimativa : 400_x000D_
Enviada em     : 25.09.2019_x000D_
Ata - Venc     : /-2000 - </t>
        </r>
      </text>
    </comment>
    <comment ref="O58" authorId="0" shapeId="0" xr:uid="{4C356DBF-142F-4B98-8C3D-D59676946243}">
      <text>
        <r>
          <rPr>
            <sz val="10"/>
            <color indexed="81"/>
            <rFont val="Lucida Console"/>
            <family val="3"/>
          </rPr>
          <t>_x000D_
Ata anterior não identificada.</t>
        </r>
      </text>
    </comment>
    <comment ref="W58" authorId="0" shapeId="0" xr:uid="{14F9B160-F72E-4E2F-A578-69FE5DC90C42}">
      <text>
        <r>
          <rPr>
            <sz val="10"/>
            <color indexed="81"/>
            <rFont val="Lucida Console"/>
            <family val="3"/>
          </rPr>
          <t>_x000D_
DM-Serralheria</t>
        </r>
      </text>
    </comment>
    <comment ref="X58" authorId="0" shapeId="0" xr:uid="{39F964EC-03D1-4180-92ED-9DB1ECCC707D}">
      <text>
        <r>
          <rPr>
            <sz val="10"/>
            <color indexed="81"/>
            <rFont val="Lucida Console"/>
            <family val="3"/>
          </rPr>
          <t>_x000D_
ABRASIVOS</t>
        </r>
      </text>
    </comment>
    <comment ref="Y58" authorId="0" shapeId="0" xr:uid="{B0497258-F428-406E-AC21-34DA9A79EFA8}">
      <text>
        <r>
          <rPr>
            <sz val="10"/>
            <color indexed="81"/>
            <rFont val="Lucida Console"/>
            <family val="3"/>
          </rPr>
          <t>_x000D_
DISCO DE FIBRA</t>
        </r>
      </text>
    </comment>
    <comment ref="AW58" authorId="0" shapeId="0" xr:uid="{8691670F-F208-47C6-9C81-D1F0E97FE9AB}">
      <text>
        <r>
          <rPr>
            <sz val="10"/>
            <color indexed="81"/>
            <rFont val="Lucida Console"/>
            <family val="3"/>
          </rPr>
          <t>Tempo de Estoque (Meses)_x000D_
_x000D_
130,0</t>
        </r>
      </text>
    </comment>
    <comment ref="A59" authorId="0" shapeId="0" xr:uid="{0785450A-9539-4A9A-AAAC-AD4DF48937CC}">
      <text>
        <r>
          <rPr>
            <sz val="10"/>
            <color indexed="81"/>
            <rFont val="Lucida Console"/>
            <family val="3"/>
          </rPr>
          <t>_x000D_
12989</t>
        </r>
      </text>
    </comment>
    <comment ref="B59" authorId="0" shapeId="0" xr:uid="{E0057588-1B32-4B45-BA3B-A686A5183A10}">
      <text>
        <r>
          <rPr>
            <sz val="10"/>
            <color indexed="81"/>
            <rFont val="Lucida Console"/>
            <family val="3"/>
          </rPr>
          <t>DESCRIÇÃO DETALHADA_x000D_
INTERRUPTOR 10A X 250V INTERNO C/ 02 TECLAS C/ PLACA</t>
        </r>
      </text>
    </comment>
    <comment ref="G59" authorId="0" shapeId="0" xr:uid="{924B335D-6DC0-44B2-96D1-15337BE8DEB6}">
      <text>
        <r>
          <rPr>
            <sz val="10"/>
            <color indexed="81"/>
            <rFont val="Lucida Console"/>
            <family val="3"/>
          </rPr>
          <t>_x000D_
Últ estimativa : 600_x000D_
Enviada em     : 30.11.2017_x000D_
Ata - Venc     : 10/17 - 06.02.2018</t>
        </r>
      </text>
    </comment>
    <comment ref="O59" authorId="0" shapeId="0" xr:uid="{AAB1C1A9-8012-4222-B2FA-448BA9B9A3B6}">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59" authorId="0" shapeId="0" xr:uid="{621E118D-96AB-4BDC-B95E-C165A3075B0D}">
      <text>
        <r>
          <rPr>
            <sz val="10"/>
            <color indexed="81"/>
            <rFont val="Lucida Console"/>
            <family val="3"/>
          </rPr>
          <t>_x000D_
DM-Elétrica</t>
        </r>
      </text>
    </comment>
    <comment ref="X59" authorId="0" shapeId="0" xr:uid="{C56E3AEE-E386-46B2-9A3B-ED0E6BCA65B4}">
      <text>
        <r>
          <rPr>
            <sz val="10"/>
            <color indexed="81"/>
            <rFont val="Lucida Console"/>
            <family val="3"/>
          </rPr>
          <t>_x000D_
EQUIP. MAT. P/ GERACAO, TRANSM. DISTR. RETIF...</t>
        </r>
      </text>
    </comment>
    <comment ref="Y59" authorId="0" shapeId="0" xr:uid="{9F0FB283-F52A-4B0E-83A5-5FC38317E72F}">
      <text>
        <r>
          <rPr>
            <sz val="10"/>
            <color indexed="81"/>
            <rFont val="Lucida Console"/>
            <family val="3"/>
          </rPr>
          <t>_x000D_
INTERRUPTORES DE USO DOMESTICO E INDUSTRIAL</t>
        </r>
      </text>
    </comment>
    <comment ref="AW59" authorId="0" shapeId="0" xr:uid="{E74AE731-83C5-4993-BF15-6EB51F36C239}">
      <text>
        <r>
          <rPr>
            <sz val="10"/>
            <color indexed="81"/>
            <rFont val="Lucida Console"/>
            <family val="3"/>
          </rPr>
          <t>Tempo de Estoque (Meses)_x000D_
_x000D_
300,0</t>
        </r>
      </text>
    </comment>
    <comment ref="A60" authorId="0" shapeId="0" xr:uid="{CE0E84D6-967E-44C7-82DF-F77E8C8054A8}">
      <text>
        <r>
          <rPr>
            <sz val="10"/>
            <color indexed="81"/>
            <rFont val="Lucida Console"/>
            <family val="3"/>
          </rPr>
          <t>_x000D_
15271</t>
        </r>
      </text>
    </comment>
    <comment ref="B60" authorId="0" shapeId="0" xr:uid="{9C2FE17D-C9EE-4ABC-A856-E4E91FE2D288}">
      <text>
        <r>
          <rPr>
            <sz val="10"/>
            <color indexed="81"/>
            <rFont val="Lucida Console"/>
            <family val="3"/>
          </rPr>
          <t>DESCRIÇÃO DETALHADA_x000D_
CONECTOR A PRESSAO TIPO SPLIT BOLT-SIMPLES/SIMPLES P/ 2CABOS DE COBRE DE 150MM2</t>
        </r>
      </text>
    </comment>
    <comment ref="G60" authorId="0" shapeId="0" xr:uid="{0FA34C81-2487-4AA4-9906-5EA9AB05F8DC}">
      <text>
        <r>
          <rPr>
            <sz val="10"/>
            <color indexed="81"/>
            <rFont val="Lucida Console"/>
            <family val="3"/>
          </rPr>
          <t>_x000D_
Últ estimativa : 60_x000D_
Enviada em     : 30.11.2017_x000D_
Ata - Venc     : 10/17 - 06.02.2018</t>
        </r>
      </text>
    </comment>
    <comment ref="O60" authorId="0" shapeId="0" xr:uid="{22A0BC20-D91B-4540-873F-FA96141F0642}">
      <text>
        <r>
          <rPr>
            <sz val="10"/>
            <color indexed="81"/>
            <rFont val="Lucida Console"/>
            <family val="3"/>
          </rPr>
          <t>_x000D_
Pertencia a ATA nº 10/17_x000D_
Estimativa de Renovação enviada em 30.11.2017 - Qtd 60_x000D_
PP  11/18 lote 10_x000D_
09.04.18 = Processo finalizado. Ata 78/18.</t>
        </r>
      </text>
    </comment>
    <comment ref="W60" authorId="0" shapeId="0" xr:uid="{877A5AF8-9751-4F02-B2EB-06C5EC1E9298}">
      <text>
        <r>
          <rPr>
            <sz val="10"/>
            <color indexed="81"/>
            <rFont val="Lucida Console"/>
            <family val="3"/>
          </rPr>
          <t>_x000D_
DM-Elétrica</t>
        </r>
      </text>
    </comment>
    <comment ref="X60" authorId="0" shapeId="0" xr:uid="{284C0D57-4ABF-4D7A-B6C7-48C6AB2265B2}">
      <text>
        <r>
          <rPr>
            <sz val="10"/>
            <color indexed="81"/>
            <rFont val="Lucida Console"/>
            <family val="3"/>
          </rPr>
          <t>_x000D_
EQUIP. MAT. P/ GERACAO, TRANSM. DISTR. RETIF...</t>
        </r>
      </text>
    </comment>
    <comment ref="Y60" authorId="0" shapeId="0" xr:uid="{1F69995E-0386-459E-95E7-8DFFB775CC20}">
      <text>
        <r>
          <rPr>
            <sz val="10"/>
            <color indexed="81"/>
            <rFont val="Lucida Console"/>
            <family val="3"/>
          </rPr>
          <t>_x000D_
CONECTORES</t>
        </r>
      </text>
    </comment>
    <comment ref="AW60" authorId="0" shapeId="0" xr:uid="{2756EC62-1F16-4A2A-9017-8A29826B3BF3}">
      <text>
        <r>
          <rPr>
            <sz val="10"/>
            <color indexed="81"/>
            <rFont val="Lucida Console"/>
            <family val="3"/>
          </rPr>
          <t>Tempo de Estoque (Meses)_x000D_
_x000D_
263,0</t>
        </r>
      </text>
    </comment>
    <comment ref="A61" authorId="0" shapeId="0" xr:uid="{FC46EFEB-9077-4DB5-8518-1A6F6E778741}">
      <text>
        <r>
          <rPr>
            <sz val="10"/>
            <color indexed="81"/>
            <rFont val="Lucida Console"/>
            <family val="3"/>
          </rPr>
          <t>_x000D_
15465</t>
        </r>
      </text>
    </comment>
    <comment ref="B61" authorId="0" shapeId="0" xr:uid="{BEF1BFE2-B5A3-491B-8130-1C25C125A469}">
      <text>
        <r>
          <rPr>
            <sz val="10"/>
            <color indexed="81"/>
            <rFont val="Lucida Console"/>
            <family val="3"/>
          </rPr>
          <t>DESCRIÇÃO DETALHADA_x000D_
CONECTOR TIPO SPLIT BOLT-SIMPLES/SIMPLES P/ 2 CABOS DE COBRE DE 240MM2</t>
        </r>
      </text>
    </comment>
    <comment ref="G61" authorId="0" shapeId="0" xr:uid="{E15B7886-AF84-4FB7-B77E-916A68C84634}">
      <text>
        <r>
          <rPr>
            <sz val="10"/>
            <color indexed="81"/>
            <rFont val="Lucida Console"/>
            <family val="3"/>
          </rPr>
          <t>_x000D_
Últ estimativa : 60_x000D_
Enviada em     : 30.11.2017_x000D_
Ata - Venc     : 10/17 - 06.02.2018</t>
        </r>
      </text>
    </comment>
    <comment ref="O61" authorId="0" shapeId="0" xr:uid="{2B9425A4-E5D2-4988-A913-64B9AE5AB38C}">
      <text>
        <r>
          <rPr>
            <sz val="10"/>
            <color indexed="81"/>
            <rFont val="Lucida Console"/>
            <family val="3"/>
          </rPr>
          <t>_x000D_
Pertencia a ATA nº 10/17_x000D_
Estimativa de Renovação enviada em 30.11.2017 - Qtd 60_x000D_
PP  11/18 lote 14_x000D_
09.04.18 = Processo finalizado. Ata 78/18.</t>
        </r>
      </text>
    </comment>
    <comment ref="W61" authorId="0" shapeId="0" xr:uid="{3648E901-D341-42AF-8BA8-0F7C44376BF3}">
      <text>
        <r>
          <rPr>
            <sz val="10"/>
            <color indexed="81"/>
            <rFont val="Lucida Console"/>
            <family val="3"/>
          </rPr>
          <t>_x000D_
DM-Elétrica</t>
        </r>
      </text>
    </comment>
    <comment ref="X61" authorId="0" shapeId="0" xr:uid="{25990BA8-FC10-42F0-A81E-1C1C2CD860DA}">
      <text>
        <r>
          <rPr>
            <sz val="10"/>
            <color indexed="81"/>
            <rFont val="Lucida Console"/>
            <family val="3"/>
          </rPr>
          <t>_x000D_
EQUIP. MAT. P/ GERACAO, TRANSM. DISTR. RETIF...</t>
        </r>
      </text>
    </comment>
    <comment ref="Y61" authorId="0" shapeId="0" xr:uid="{19791E10-62F4-47E6-9A2E-1AABE72BEAE1}">
      <text>
        <r>
          <rPr>
            <sz val="10"/>
            <color indexed="81"/>
            <rFont val="Lucida Console"/>
            <family val="3"/>
          </rPr>
          <t>_x000D_
CONECTORES</t>
        </r>
      </text>
    </comment>
    <comment ref="AW61" authorId="0" shapeId="0" xr:uid="{C4E19C58-9460-4246-85AD-5FCA0D65A22F}">
      <text>
        <r>
          <rPr>
            <sz val="10"/>
            <color indexed="81"/>
            <rFont val="Lucida Console"/>
            <family val="3"/>
          </rPr>
          <t>Tempo de Estoque (Meses)_x000D_
_x000D_
135,0</t>
        </r>
      </text>
    </comment>
    <comment ref="A62" authorId="0" shapeId="0" xr:uid="{F2C1BFB9-4724-45E4-AAAD-52AD16BDE2F7}">
      <text>
        <r>
          <rPr>
            <sz val="10"/>
            <color indexed="81"/>
            <rFont val="Lucida Console"/>
            <family val="3"/>
          </rPr>
          <t>_x000D_
15466</t>
        </r>
      </text>
    </comment>
    <comment ref="B62" authorId="0" shapeId="0" xr:uid="{8DDDAA71-5D26-4936-BFF8-DD46B6E9AC18}">
      <text>
        <r>
          <rPr>
            <sz val="10"/>
            <color indexed="81"/>
            <rFont val="Lucida Console"/>
            <family val="3"/>
          </rPr>
          <t>DESCRIÇÃO DETALHADA_x000D_
CONECTOR TIPO SPLIT BOLT-SIMPLES/SIMPLES P/ 2 CABOS DE COBRE DE 25MM2</t>
        </r>
      </text>
    </comment>
    <comment ref="G62" authorId="0" shapeId="0" xr:uid="{5483A77B-5F94-4358-AB87-80E933EF3A2B}">
      <text>
        <r>
          <rPr>
            <sz val="10"/>
            <color indexed="81"/>
            <rFont val="Lucida Console"/>
            <family val="3"/>
          </rPr>
          <t>_x000D_
Últ estimativa : 90_x000D_
Enviada em     : 30.11.2017_x000D_
Ata - Venc     : 10/17 - 06.02.2018</t>
        </r>
      </text>
    </comment>
    <comment ref="O62" authorId="0" shapeId="0" xr:uid="{53F8915D-E0C0-466C-9539-D6C6F199AEEA}">
      <text>
        <r>
          <rPr>
            <sz val="10"/>
            <color indexed="81"/>
            <rFont val="Lucida Console"/>
            <family val="3"/>
          </rPr>
          <t>_x000D_
Pertencia a ATA nº 10/17_x000D_
Estimativa de Renovação enviada em 30.11.2017 - Qtd 90_x000D_
PP  11/18 lote 12_x000D_
09.04.18 = Processo finalizado. Ata 78/18.</t>
        </r>
      </text>
    </comment>
    <comment ref="W62" authorId="0" shapeId="0" xr:uid="{E1F495B0-DDA5-4B89-9FA4-D04BD0043901}">
      <text>
        <r>
          <rPr>
            <sz val="10"/>
            <color indexed="81"/>
            <rFont val="Lucida Console"/>
            <family val="3"/>
          </rPr>
          <t>_x000D_
DM-Elétrica</t>
        </r>
      </text>
    </comment>
    <comment ref="X62" authorId="0" shapeId="0" xr:uid="{48618060-8EE3-44A4-98B4-0E23ED58D2EB}">
      <text>
        <r>
          <rPr>
            <sz val="10"/>
            <color indexed="81"/>
            <rFont val="Lucida Console"/>
            <family val="3"/>
          </rPr>
          <t>_x000D_
EQUIP. MAT. P/ GERACAO, TRANSM. DISTR. RETIF...</t>
        </r>
      </text>
    </comment>
    <comment ref="Y62" authorId="0" shapeId="0" xr:uid="{913D1593-A32B-400D-BB5E-F8450B7C5828}">
      <text>
        <r>
          <rPr>
            <sz val="10"/>
            <color indexed="81"/>
            <rFont val="Lucida Console"/>
            <family val="3"/>
          </rPr>
          <t>_x000D_
CONECTORES</t>
        </r>
      </text>
    </comment>
    <comment ref="AW62" authorId="0" shapeId="0" xr:uid="{233548CE-F1FF-49D3-82FD-251FA8850862}">
      <text>
        <r>
          <rPr>
            <sz val="10"/>
            <color indexed="81"/>
            <rFont val="Lucida Console"/>
            <family val="3"/>
          </rPr>
          <t>Tempo de Estoque (Meses)_x000D_
_x000D_
192,0</t>
        </r>
      </text>
    </comment>
    <comment ref="A63" authorId="0" shapeId="0" xr:uid="{8D336EE9-CD2E-4444-A863-589AD26A6F54}">
      <text>
        <r>
          <rPr>
            <sz val="10"/>
            <color indexed="81"/>
            <rFont val="Lucida Console"/>
            <family val="3"/>
          </rPr>
          <t>_x000D_
15467</t>
        </r>
      </text>
    </comment>
    <comment ref="B63" authorId="0" shapeId="0" xr:uid="{81648984-E8A3-487C-AF11-B392A62C21EF}">
      <text>
        <r>
          <rPr>
            <sz val="10"/>
            <color indexed="81"/>
            <rFont val="Lucida Console"/>
            <family val="3"/>
          </rPr>
          <t>DESCRIÇÃO DETALHADA_x000D_
CONECTOR TIPO SPLIT BOLT-SIMPLES/SIMPLES P/ 2 CABOS DE COBRE DE 35MM2</t>
        </r>
      </text>
    </comment>
    <comment ref="G63" authorId="0" shapeId="0" xr:uid="{526E3AD8-C3E8-4128-8F89-7BC744B747F8}">
      <text>
        <r>
          <rPr>
            <sz val="10"/>
            <color indexed="81"/>
            <rFont val="Lucida Console"/>
            <family val="3"/>
          </rPr>
          <t>_x000D_
Últ estimativa : 200_x000D_
Enviada em     : 30.11.2017_x000D_
Ata - Venc     : 10/17 - 06.02.2018</t>
        </r>
      </text>
    </comment>
    <comment ref="O63" authorId="0" shapeId="0" xr:uid="{2E188C00-4E13-40F0-948A-EB09632951A6}">
      <text>
        <r>
          <rPr>
            <sz val="10"/>
            <color indexed="81"/>
            <rFont val="Lucida Console"/>
            <family val="3"/>
          </rPr>
          <t>_x000D_
Pertencia a ATA nº 10/17_x000D_
Estimativa de Renovação enviada em 30.11.2017 - Qtd 200_x000D_
PP  11/18 lote 13_x000D_
09.04.18 = Processo finalizado. Ata 78/18.</t>
        </r>
      </text>
    </comment>
    <comment ref="W63" authorId="0" shapeId="0" xr:uid="{9DDC94E9-7FC6-42F0-A959-431CEE6BD09C}">
      <text>
        <r>
          <rPr>
            <sz val="10"/>
            <color indexed="81"/>
            <rFont val="Lucida Console"/>
            <family val="3"/>
          </rPr>
          <t>_x000D_
DM-Elétrica</t>
        </r>
      </text>
    </comment>
    <comment ref="X63" authorId="0" shapeId="0" xr:uid="{FAEF6ACD-A5FF-4170-B91B-95124A9C8BC7}">
      <text>
        <r>
          <rPr>
            <sz val="10"/>
            <color indexed="81"/>
            <rFont val="Lucida Console"/>
            <family val="3"/>
          </rPr>
          <t>_x000D_
EQUIP. MAT. P/ GERACAO, TRANSM. DISTR. RETIF...</t>
        </r>
      </text>
    </comment>
    <comment ref="Y63" authorId="0" shapeId="0" xr:uid="{5C00AA85-A8AC-4087-8C66-6F4036447CBA}">
      <text>
        <r>
          <rPr>
            <sz val="10"/>
            <color indexed="81"/>
            <rFont val="Lucida Console"/>
            <family val="3"/>
          </rPr>
          <t>_x000D_
CONECTORES</t>
        </r>
      </text>
    </comment>
    <comment ref="AW63" authorId="0" shapeId="0" xr:uid="{A2269668-2ADC-41C7-8E1D-EF50B5CB0C61}">
      <text>
        <r>
          <rPr>
            <sz val="10"/>
            <color indexed="81"/>
            <rFont val="Lucida Console"/>
            <family val="3"/>
          </rPr>
          <t>Tempo de Estoque (Meses)_x000D_
_x000D_
37,0</t>
        </r>
      </text>
    </comment>
    <comment ref="A64" authorId="0" shapeId="0" xr:uid="{DDB8AF50-CE19-47B9-A205-655683915973}">
      <text>
        <r>
          <rPr>
            <sz val="10"/>
            <color indexed="81"/>
            <rFont val="Lucida Console"/>
            <family val="3"/>
          </rPr>
          <t>_x000D_
15473</t>
        </r>
      </text>
    </comment>
    <comment ref="B64" authorId="0" shapeId="0" xr:uid="{6E057873-B70B-4D6E-94ED-1CB09409A784}">
      <text>
        <r>
          <rPr>
            <sz val="10"/>
            <color indexed="81"/>
            <rFont val="Lucida Console"/>
            <family val="3"/>
          </rPr>
          <t>DESCRIÇÃO DETALHADA_x000D_
CONECTOR TIPO SPLIT BOLT-SIMPLES/SIMPLES P/ 2 CABOS DE COBRE DE 70MM2</t>
        </r>
      </text>
    </comment>
    <comment ref="G64" authorId="0" shapeId="0" xr:uid="{DB860800-3EFE-4BD0-BB97-1C241AF5A355}">
      <text>
        <r>
          <rPr>
            <sz val="10"/>
            <color indexed="81"/>
            <rFont val="Lucida Console"/>
            <family val="3"/>
          </rPr>
          <t>_x000D_
Últ estimativa : 60_x000D_
Enviada em     : 30.11.2017_x000D_
Ata - Venc     : 10/17 - 06.02.2018</t>
        </r>
      </text>
    </comment>
    <comment ref="O64" authorId="0" shapeId="0" xr:uid="{5930DE1E-47A6-4843-B289-92C58B74745A}">
      <text>
        <r>
          <rPr>
            <sz val="10"/>
            <color indexed="81"/>
            <rFont val="Lucida Console"/>
            <family val="3"/>
          </rPr>
          <t>_x000D_
Pertencia a ATA nº 10/17_x000D_
Estimativa de Renovação enviada em 30.11.2017 - Qtd 60_x000D_
PP  11/18 lote 17_x000D_
09.04.18 = Processo finalizado. Ata 78/18.</t>
        </r>
      </text>
    </comment>
    <comment ref="W64" authorId="0" shapeId="0" xr:uid="{33085539-5423-4C1F-B168-6FB355F9D20E}">
      <text>
        <r>
          <rPr>
            <sz val="10"/>
            <color indexed="81"/>
            <rFont val="Lucida Console"/>
            <family val="3"/>
          </rPr>
          <t>_x000D_
DM-Elétrica</t>
        </r>
      </text>
    </comment>
    <comment ref="X64" authorId="0" shapeId="0" xr:uid="{E782F3F3-B9D5-4DEA-A05B-E68FC58C2F00}">
      <text>
        <r>
          <rPr>
            <sz val="10"/>
            <color indexed="81"/>
            <rFont val="Lucida Console"/>
            <family val="3"/>
          </rPr>
          <t>_x000D_
EQUIP. MAT. P/ GERACAO, TRANSM. DISTR. RETIF...</t>
        </r>
      </text>
    </comment>
    <comment ref="Y64" authorId="0" shapeId="0" xr:uid="{8305B586-A80B-4F45-A1C3-F4820BD4B00B}">
      <text>
        <r>
          <rPr>
            <sz val="10"/>
            <color indexed="81"/>
            <rFont val="Lucida Console"/>
            <family val="3"/>
          </rPr>
          <t>_x000D_
CONECTORES</t>
        </r>
      </text>
    </comment>
    <comment ref="AW64" authorId="0" shapeId="0" xr:uid="{E229727A-37F8-48DE-B662-F297B576FA50}">
      <text>
        <r>
          <rPr>
            <sz val="10"/>
            <color indexed="81"/>
            <rFont val="Lucida Console"/>
            <family val="3"/>
          </rPr>
          <t>Tempo de Estoque (Meses)_x000D_
_x000D_
74,0</t>
        </r>
      </text>
    </comment>
    <comment ref="A65" authorId="0" shapeId="0" xr:uid="{1772F7BE-56C9-48F4-AA74-57D6A00FBE41}">
      <text>
        <r>
          <rPr>
            <sz val="10"/>
            <color indexed="81"/>
            <rFont val="Lucida Console"/>
            <family val="3"/>
          </rPr>
          <t>_x000D_
77493</t>
        </r>
      </text>
    </comment>
    <comment ref="B65" authorId="0" shapeId="0" xr:uid="{83619EE9-EE7B-4B2B-9C1C-1472CD7DA186}">
      <text>
        <r>
          <rPr>
            <sz val="10"/>
            <color indexed="81"/>
            <rFont val="Lucida Console"/>
            <family val="3"/>
          </rPr>
          <t>DESCRIÇÃO DETALHADA_x000D_
CONECTOR TIPO SPLIT BOLT-SIMPLES/SIMPLES P/ 2 CABOS DE COBRE DE 120 MM2</t>
        </r>
      </text>
    </comment>
    <comment ref="G65" authorId="0" shapeId="0" xr:uid="{E7CE12C0-7D0D-4B32-B387-84FC5F78993D}">
      <text>
        <r>
          <rPr>
            <sz val="10"/>
            <color indexed="81"/>
            <rFont val="Lucida Console"/>
            <family val="3"/>
          </rPr>
          <t>_x000D_
Últ estimativa : 60_x000D_
Enviada em     : 30.11.2017_x000D_
Ata - Venc     : 10/17 - 06.02.2018</t>
        </r>
      </text>
    </comment>
    <comment ref="O65" authorId="0" shapeId="0" xr:uid="{5916B319-91FC-404C-8CCD-F2E25ACE6072}">
      <text>
        <r>
          <rPr>
            <sz val="10"/>
            <color indexed="81"/>
            <rFont val="Lucida Console"/>
            <family val="3"/>
          </rPr>
          <t>_x000D_
Pertencia a ATA nº 10/17_x000D_
Estimativa de Renovação enviada em 30.11.2017 - Qtd 60_x000D_
PP  11/18 lote 42_x000D_
09.04.18 = Processo finalizado. Ata 78/18.</t>
        </r>
      </text>
    </comment>
    <comment ref="W65" authorId="0" shapeId="0" xr:uid="{3E65E888-DEF9-4D3C-997E-D99AFF8EA67A}">
      <text>
        <r>
          <rPr>
            <sz val="10"/>
            <color indexed="81"/>
            <rFont val="Lucida Console"/>
            <family val="3"/>
          </rPr>
          <t>_x000D_
DM-Elétrica</t>
        </r>
      </text>
    </comment>
    <comment ref="X65" authorId="0" shapeId="0" xr:uid="{6561C5E5-8689-4078-90A1-06615572A235}">
      <text>
        <r>
          <rPr>
            <sz val="10"/>
            <color indexed="81"/>
            <rFont val="Lucida Console"/>
            <family val="3"/>
          </rPr>
          <t>_x000D_
EQUIP. MAT. P/ GERACAO, TRANSM. DISTR. RETIF...</t>
        </r>
      </text>
    </comment>
    <comment ref="Y65" authorId="0" shapeId="0" xr:uid="{D908FB85-EF7A-4F3B-B64C-B2267C2439CA}">
      <text>
        <r>
          <rPr>
            <sz val="10"/>
            <color indexed="81"/>
            <rFont val="Lucida Console"/>
            <family val="3"/>
          </rPr>
          <t>_x000D_
CONECTORES</t>
        </r>
      </text>
    </comment>
    <comment ref="AW65" authorId="0" shapeId="0" xr:uid="{64711D89-FC4D-4CF1-8667-ECC61B8E8B16}">
      <text>
        <r>
          <rPr>
            <sz val="10"/>
            <color indexed="81"/>
            <rFont val="Lucida Console"/>
            <family val="3"/>
          </rPr>
          <t>Tempo de Estoque (Meses)_x000D_
_x000D_
131,0</t>
        </r>
      </text>
    </comment>
    <comment ref="A66" authorId="0" shapeId="0" xr:uid="{440880FD-BAB0-4BE9-966F-CBBD27E42432}">
      <text>
        <r>
          <rPr>
            <sz val="10"/>
            <color indexed="81"/>
            <rFont val="Lucida Console"/>
            <family val="3"/>
          </rPr>
          <t>_x000D_
15475</t>
        </r>
      </text>
    </comment>
    <comment ref="B66" authorId="0" shapeId="0" xr:uid="{E9A12F51-300F-4A5A-BE92-8704B265920F}">
      <text>
        <r>
          <rPr>
            <sz val="10"/>
            <color indexed="81"/>
            <rFont val="Lucida Console"/>
            <family val="3"/>
          </rPr>
          <t>DESCRIÇÃO DETALHADA_x000D_
CONECTOR TIPO SPLIT BOLT-SIMPLES/SIMPLES P/ 2 CABOS DE COBRE DE 95 MM2</t>
        </r>
      </text>
    </comment>
    <comment ref="G66" authorId="0" shapeId="0" xr:uid="{D6694B10-BC55-4CE0-BD50-0673261B4629}">
      <text>
        <r>
          <rPr>
            <sz val="10"/>
            <color indexed="81"/>
            <rFont val="Lucida Console"/>
            <family val="3"/>
          </rPr>
          <t>_x000D_
Últ estimativa : 60_x000D_
Enviada em     : 30.11.2017_x000D_
Ata - Venc     : 10/17 - 06.02.2018</t>
        </r>
      </text>
    </comment>
    <comment ref="O66" authorId="0" shapeId="0" xr:uid="{3F928FE5-3BF0-4FA6-A81A-EC5DC93BC635}">
      <text>
        <r>
          <rPr>
            <sz val="10"/>
            <color indexed="81"/>
            <rFont val="Lucida Console"/>
            <family val="3"/>
          </rPr>
          <t>_x000D_
Pertencia a ATA nº 10/17_x000D_
Estimativa de Renovação enviada em 30.11.2017 - Qtd 60_x000D_
PP  11/18 lote 18_x000D_
09.04.18 = Processo finalizado. Ata 78/18.</t>
        </r>
      </text>
    </comment>
    <comment ref="W66" authorId="0" shapeId="0" xr:uid="{65302C4B-5729-45BA-B2CC-44E8924B64AF}">
      <text>
        <r>
          <rPr>
            <sz val="10"/>
            <color indexed="81"/>
            <rFont val="Lucida Console"/>
            <family val="3"/>
          </rPr>
          <t>_x000D_
DM-Elétrica</t>
        </r>
      </text>
    </comment>
    <comment ref="X66" authorId="0" shapeId="0" xr:uid="{2D22E2C1-21E4-4B3C-A78A-0E3CB749F6AA}">
      <text>
        <r>
          <rPr>
            <sz val="10"/>
            <color indexed="81"/>
            <rFont val="Lucida Console"/>
            <family val="3"/>
          </rPr>
          <t>_x000D_
EQUIP. MAT. P/ GERACAO, TRANSM. DISTR. RETIF...</t>
        </r>
      </text>
    </comment>
    <comment ref="Y66" authorId="0" shapeId="0" xr:uid="{451EF78C-F39F-42AF-8EB7-B234AF2B9285}">
      <text>
        <r>
          <rPr>
            <sz val="10"/>
            <color indexed="81"/>
            <rFont val="Lucida Console"/>
            <family val="3"/>
          </rPr>
          <t>_x000D_
CONECTORES</t>
        </r>
      </text>
    </comment>
    <comment ref="AW66" authorId="0" shapeId="0" xr:uid="{EF565E33-E53B-43B0-B614-BACB5672CC13}">
      <text>
        <r>
          <rPr>
            <sz val="10"/>
            <color indexed="81"/>
            <rFont val="Lucida Console"/>
            <family val="3"/>
          </rPr>
          <t>Tempo de Estoque (Meses)_x000D_
_x000D_
132,0</t>
        </r>
      </text>
    </comment>
    <comment ref="A67" authorId="0" shapeId="0" xr:uid="{86871C6B-99E3-4614-B4E5-60AEA181DA8E}">
      <text>
        <r>
          <rPr>
            <sz val="10"/>
            <color indexed="81"/>
            <rFont val="Lucida Console"/>
            <family val="3"/>
          </rPr>
          <t>_x000D_
76806</t>
        </r>
      </text>
    </comment>
    <comment ref="B67" authorId="0" shapeId="0" xr:uid="{2A5A902C-FBE1-4C12-9280-409FD4552158}">
      <text>
        <r>
          <rPr>
            <sz val="10"/>
            <color indexed="81"/>
            <rFont val="Lucida Console"/>
            <family val="3"/>
          </rPr>
          <t>DESCRIÇÃO DETALHADA_x000D_
PERFILADO - 38 X 38 MM, PERFURADO,  C/ 6M DE COMPRIMENTO</t>
        </r>
      </text>
    </comment>
    <comment ref="G67" authorId="0" shapeId="0" xr:uid="{748EB739-6C0A-49C5-95A2-BCFC02086BF0}">
      <text>
        <r>
          <rPr>
            <sz val="10"/>
            <color indexed="81"/>
            <rFont val="Lucida Console"/>
            <family val="3"/>
          </rPr>
          <t>_x000D_
Últ estimativa : 250_x000D_
Enviada em     : 25.09.2019_x000D_
Ata - Venc     : 10/17 - 06.02.2018</t>
        </r>
      </text>
    </comment>
    <comment ref="O67" authorId="0" shapeId="0" xr:uid="{E6C039E6-2ABB-40D0-BE46-4963E5BED921}">
      <text>
        <r>
          <rPr>
            <sz val="10"/>
            <color indexed="81"/>
            <rFont val="Lucida Console"/>
            <family val="3"/>
          </rPr>
          <t>_x000D_
Pertencia a ATA nº 10/17_x000D_
Estimativa de Renovação enviada em 25.09.2019 - Qtd 250_x000D_
PE  17/20 lote 25 (Impróspero)_x000D_
19.05.20 = Finalizar, contrato assinado.</t>
        </r>
      </text>
    </comment>
    <comment ref="W67" authorId="0" shapeId="0" xr:uid="{FB135363-C14C-4077-A6A3-90CC415C0C32}">
      <text>
        <r>
          <rPr>
            <sz val="10"/>
            <color indexed="81"/>
            <rFont val="Lucida Console"/>
            <family val="3"/>
          </rPr>
          <t>_x000D_
DM-Elétrica</t>
        </r>
      </text>
    </comment>
    <comment ref="X67" authorId="0" shapeId="0" xr:uid="{C2B84244-C55F-45B2-AAE1-A4283AB7739B}">
      <text>
        <r>
          <rPr>
            <sz val="10"/>
            <color indexed="81"/>
            <rFont val="Lucida Console"/>
            <family val="3"/>
          </rPr>
          <t>_x000D_
METAIS,LAMINAD.,PERFILADOS E ARTEFATOS METALICOS</t>
        </r>
      </text>
    </comment>
    <comment ref="Y67" authorId="0" shapeId="0" xr:uid="{0D7DE446-6A5D-4562-9CFA-CAF3497E479A}">
      <text>
        <r>
          <rPr>
            <sz val="10"/>
            <color indexed="81"/>
            <rFont val="Lucida Console"/>
            <family val="3"/>
          </rPr>
          <t>_x000D_
PERFIS E BARRA</t>
        </r>
      </text>
    </comment>
    <comment ref="AW67" authorId="0" shapeId="0" xr:uid="{C3C98CDC-19CD-49DA-BDD3-BBAEC80E4D99}">
      <text>
        <r>
          <rPr>
            <sz val="10"/>
            <color indexed="81"/>
            <rFont val="Lucida Console"/>
            <family val="3"/>
          </rPr>
          <t>Tempo de Estoque (Meses)_x000D_
_x000D_
153,0</t>
        </r>
      </text>
    </comment>
    <comment ref="A68" authorId="0" shapeId="0" xr:uid="{5D4A9873-3D2E-4C48-9412-4DF08D426B60}">
      <text>
        <r>
          <rPr>
            <sz val="10"/>
            <color indexed="81"/>
            <rFont val="Lucida Console"/>
            <family val="3"/>
          </rPr>
          <t>_x000D_
15464</t>
        </r>
      </text>
    </comment>
    <comment ref="B68" authorId="0" shapeId="0" xr:uid="{FC760729-9A92-4A93-BC07-BE08D178F07C}">
      <text>
        <r>
          <rPr>
            <sz val="10"/>
            <color indexed="81"/>
            <rFont val="Lucida Console"/>
            <family val="3"/>
          </rPr>
          <t>DESCRIÇÃO DETALHADA_x000D_
CONECTOR A PRESSAO TIPO SPLIT BOLT-SIMPLES/SIMPLES P/ 2CABOS DE COBRE DE 185MM2</t>
        </r>
      </text>
    </comment>
    <comment ref="G68" authorId="0" shapeId="0" xr:uid="{9F240FCB-EDE0-4563-BB1B-6618FFEC7570}">
      <text>
        <r>
          <rPr>
            <sz val="10"/>
            <color indexed="81"/>
            <rFont val="Lucida Console"/>
            <family val="3"/>
          </rPr>
          <t>_x000D_
Últ estimativa : 0_x000D_
Enviada em     : 30.11.2017_x000D_
Ata - Venc     : 10/17 - 06.02.2018</t>
        </r>
      </text>
    </comment>
    <comment ref="O68" authorId="0" shapeId="0" xr:uid="{B1798151-9B7E-480C-8F3D-CEBD43DD1F9D}">
      <text>
        <r>
          <rPr>
            <sz val="10"/>
            <color indexed="81"/>
            <rFont val="Lucida Console"/>
            <family val="3"/>
          </rPr>
          <t>_x000D_
Pertencia a ATA nº 10/17_x000D_
Estimativa de Renovação enviada em 30.11.2017 - Qtd _x000D_
PP  11/18 lote _x000D_
09.04.18 = Processo finalizado. Ata 78/18.</t>
        </r>
      </text>
    </comment>
    <comment ref="W68" authorId="0" shapeId="0" xr:uid="{B851BFD3-1759-4479-B290-EC1EE16C3842}">
      <text>
        <r>
          <rPr>
            <sz val="10"/>
            <color indexed="81"/>
            <rFont val="Lucida Console"/>
            <family val="3"/>
          </rPr>
          <t>_x000D_
DM-Elétrica</t>
        </r>
      </text>
    </comment>
    <comment ref="X68" authorId="0" shapeId="0" xr:uid="{19200D98-0CAB-40A3-91D3-DD31099D7C81}">
      <text>
        <r>
          <rPr>
            <sz val="10"/>
            <color indexed="81"/>
            <rFont val="Lucida Console"/>
            <family val="3"/>
          </rPr>
          <t>_x000D_
EQUIP. MAT. P/ GERACAO, TRANSM. DISTR. RETIF...</t>
        </r>
      </text>
    </comment>
    <comment ref="Y68" authorId="0" shapeId="0" xr:uid="{C1837E4D-93E3-4A9F-88BC-BB4ADADA060E}">
      <text>
        <r>
          <rPr>
            <sz val="10"/>
            <color indexed="81"/>
            <rFont val="Lucida Console"/>
            <family val="3"/>
          </rPr>
          <t>_x000D_
CONECTORES</t>
        </r>
      </text>
    </comment>
    <comment ref="AW68" authorId="0" shapeId="0" xr:uid="{1806E29B-B280-4306-8674-9DD728FC2D6F}">
      <text>
        <r>
          <rPr>
            <sz val="10"/>
            <color indexed="81"/>
            <rFont val="Lucida Console"/>
            <family val="3"/>
          </rPr>
          <t>Tempo de Estoque (Meses)_x000D_
_x000D_
185,0</t>
        </r>
      </text>
    </comment>
    <comment ref="A69" authorId="0" shapeId="0" xr:uid="{08F406B8-0031-4543-85BE-A5D3830C174B}">
      <text>
        <r>
          <rPr>
            <sz val="10"/>
            <color indexed="81"/>
            <rFont val="Lucida Console"/>
            <family val="3"/>
          </rPr>
          <t>_x000D_
12881</t>
        </r>
      </text>
    </comment>
    <comment ref="B69" authorId="0" shapeId="0" xr:uid="{53A16C0B-A859-4CBE-8647-5AF960126FA2}">
      <text>
        <r>
          <rPr>
            <sz val="10"/>
            <color indexed="81"/>
            <rFont val="Lucida Console"/>
            <family val="3"/>
          </rPr>
          <t>DESCRIÇÃO DETALHADA_x000D_
COTOVELO 90° GRAUS EM PVC RIGIDO SOLDAVEL DE 2" (ESGOTO)</t>
        </r>
      </text>
    </comment>
    <comment ref="G69" authorId="0" shapeId="0" xr:uid="{7DE76FB6-D825-4BA2-814E-ABFDE3DF735A}">
      <text>
        <r>
          <rPr>
            <sz val="10"/>
            <color indexed="81"/>
            <rFont val="Lucida Console"/>
            <family val="3"/>
          </rPr>
          <t>_x000D_
Últ estimativa : 600_x000D_
Enviada em     : 17.12.2020_x000D_
Ata - Venc     : 101/20 - 27.04.2021</t>
        </r>
      </text>
    </comment>
    <comment ref="O69" authorId="0" shapeId="0" xr:uid="{E31E543A-0853-42BF-BB6D-C1F9C86C1663}">
      <text>
        <r>
          <rPr>
            <sz val="10"/>
            <color indexed="81"/>
            <rFont val="Lucida Console"/>
            <family val="3"/>
          </rPr>
          <t>_x000D_
Pertencia a ATA nº 101/20_x000D_
Estimativa de Renovação enviada em 17.12.2020 - Qtd 600_x000D_
PE  16/20 lote 3_x000D_
18.05.20 = Processo conferido, finalizado.</t>
        </r>
      </text>
    </comment>
    <comment ref="W69" authorId="0" shapeId="0" xr:uid="{FB5516E8-1013-4BB7-A8BE-8C5F249BB9F3}">
      <text>
        <r>
          <rPr>
            <sz val="10"/>
            <color indexed="81"/>
            <rFont val="Lucida Console"/>
            <family val="3"/>
          </rPr>
          <t>_x000D_
DM-Hidráulica</t>
        </r>
      </text>
    </comment>
    <comment ref="X69" authorId="0" shapeId="0" xr:uid="{802BAE12-A613-4D42-9D4E-0A2FA49579E4}">
      <text>
        <r>
          <rPr>
            <sz val="10"/>
            <color indexed="81"/>
            <rFont val="Lucida Console"/>
            <family val="3"/>
          </rPr>
          <t>_x000D_
MATERIAL HIDRAULICO, CANOS, TUBOS, MANGUEIRAS, CONEXOES E ACESS.</t>
        </r>
      </text>
    </comment>
    <comment ref="Y69" authorId="0" shapeId="0" xr:uid="{8DEE609B-25BA-4232-AC08-1BCAF2826F63}">
      <text>
        <r>
          <rPr>
            <sz val="10"/>
            <color indexed="81"/>
            <rFont val="Lucida Console"/>
            <family val="3"/>
          </rPr>
          <t>_x000D_
ADAP. LUVAS.TES CURVAS COTOVELOS PLUGS FLANGES.....</t>
        </r>
      </text>
    </comment>
    <comment ref="AW69" authorId="0" shapeId="0" xr:uid="{FBA9CD27-8C1F-4C64-B5E4-8FCB9A2108A9}">
      <text>
        <r>
          <rPr>
            <sz val="10"/>
            <color indexed="81"/>
            <rFont val="Lucida Console"/>
            <family val="3"/>
          </rPr>
          <t>Tempo de Estoque (Meses)_x000D_
_x000D_
466,0</t>
        </r>
      </text>
    </comment>
    <comment ref="A70" authorId="0" shapeId="0" xr:uid="{69982F57-2CBB-4381-B7F0-945242428CED}">
      <text>
        <r>
          <rPr>
            <sz val="10"/>
            <color indexed="81"/>
            <rFont val="Lucida Console"/>
            <family val="3"/>
          </rPr>
          <t>_x000D_
12886</t>
        </r>
      </text>
    </comment>
    <comment ref="B70" authorId="0" shapeId="0" xr:uid="{0F03EBC9-9255-4B28-B6A9-0D9A0DD573C0}">
      <text>
        <r>
          <rPr>
            <sz val="10"/>
            <color indexed="81"/>
            <rFont val="Lucida Console"/>
            <family val="3"/>
          </rPr>
          <t>DESCRIÇÃO DETALHADA_x000D_
COTOVELO 90 GRAUS EM PVC RIGIDO SOLDAVEL MARROM- 1.1/2". A MARCA DEVERA VIR LITOGRAFADA NA PECA.</t>
        </r>
      </text>
    </comment>
    <comment ref="G70" authorId="0" shapeId="0" xr:uid="{8E58F880-694D-4573-8910-AB63FC07C811}">
      <text>
        <r>
          <rPr>
            <sz val="10"/>
            <color indexed="81"/>
            <rFont val="Lucida Console"/>
            <family val="3"/>
          </rPr>
          <t>_x000D_
Últ estimativa : 500_x000D_
Enviada em     : 17.12.2020_x000D_
Ata - Venc     : 101/20 - 27.04.2021</t>
        </r>
      </text>
    </comment>
    <comment ref="O70" authorId="0" shapeId="0" xr:uid="{57D118B2-7555-4355-8A2A-460883E4B3A8}">
      <text>
        <r>
          <rPr>
            <sz val="10"/>
            <color indexed="81"/>
            <rFont val="Lucida Console"/>
            <family val="3"/>
          </rPr>
          <t>_x000D_
Pertencia a ATA nº 101/20_x000D_
Estimativa de Renovação enviada em 17.12.2020 - Qtd 500_x000D_
PE  16/20 lote 4_x000D_
18.05.20 = Processo conferido, finalizado.</t>
        </r>
      </text>
    </comment>
    <comment ref="W70" authorId="0" shapeId="0" xr:uid="{A16AA5D4-8D78-4ACB-BA7A-8C301B6F0ED0}">
      <text>
        <r>
          <rPr>
            <sz val="10"/>
            <color indexed="81"/>
            <rFont val="Lucida Console"/>
            <family val="3"/>
          </rPr>
          <t>_x000D_
DM-Hidráulica</t>
        </r>
      </text>
    </comment>
    <comment ref="X70" authorId="0" shapeId="0" xr:uid="{7C76B596-A8D5-4017-8687-FE61EDEE3AF3}">
      <text>
        <r>
          <rPr>
            <sz val="10"/>
            <color indexed="81"/>
            <rFont val="Lucida Console"/>
            <family val="3"/>
          </rPr>
          <t>_x000D_
MATERIAL HIDRAULICO, CANOS, TUBOS, MANGUEIRAS, CONEXOES E ACESS.</t>
        </r>
      </text>
    </comment>
    <comment ref="Y70" authorId="0" shapeId="0" xr:uid="{A25732FC-96AF-452F-8015-8EEC0839C2DE}">
      <text>
        <r>
          <rPr>
            <sz val="10"/>
            <color indexed="81"/>
            <rFont val="Lucida Console"/>
            <family val="3"/>
          </rPr>
          <t>_x000D_
ADAP. LUVAS.TES CURVAS COTOVELOS PLUGS FLANGES.....</t>
        </r>
      </text>
    </comment>
    <comment ref="AW70" authorId="0" shapeId="0" xr:uid="{F273DA40-1D86-4799-BCD9-891933F0DC0F}">
      <text>
        <r>
          <rPr>
            <sz val="10"/>
            <color indexed="81"/>
            <rFont val="Lucida Console"/>
            <family val="3"/>
          </rPr>
          <t>Tempo de Estoque (Meses)_x000D_
_x000D_
405,0</t>
        </r>
      </text>
    </comment>
    <comment ref="A71" authorId="0" shapeId="0" xr:uid="{98030A83-DD71-437A-8521-E9E912121A72}">
      <text>
        <r>
          <rPr>
            <sz val="10"/>
            <color indexed="81"/>
            <rFont val="Lucida Console"/>
            <family val="3"/>
          </rPr>
          <t>_x000D_
12894</t>
        </r>
      </text>
    </comment>
    <comment ref="B71" authorId="0" shapeId="0" xr:uid="{38844C99-C182-433C-824C-B1DF5E6A8000}">
      <text>
        <r>
          <rPr>
            <sz val="10"/>
            <color indexed="81"/>
            <rFont val="Lucida Console"/>
            <family val="3"/>
          </rPr>
          <t>DESCRIÇÃO DETALHADA_x000D_
COTOVELO 90 GRAUS EM PVC RIGIDO SOLDAVEL MARROM DE 3/4". A MARCA DEVERA VIR LITOGRAFADA NA PECA.</t>
        </r>
      </text>
    </comment>
    <comment ref="G71" authorId="0" shapeId="0" xr:uid="{54F4844F-992D-4C1C-94F0-7FE11504BF96}">
      <text>
        <r>
          <rPr>
            <sz val="10"/>
            <color indexed="81"/>
            <rFont val="Lucida Console"/>
            <family val="3"/>
          </rPr>
          <t>_x000D_
Últ estimativa : 3.000_x000D_
Enviada em     : 17.12.2020_x000D_
Ata - Venc     : 101/20 - 27.04.2021</t>
        </r>
      </text>
    </comment>
    <comment ref="O71" authorId="0" shapeId="0" xr:uid="{C1E56A1D-6372-4CF1-AB6F-C5BA9490D4FA}">
      <text>
        <r>
          <rPr>
            <sz val="10"/>
            <color indexed="81"/>
            <rFont val="Lucida Console"/>
            <family val="3"/>
          </rPr>
          <t>_x000D_
Pertencia a ATA nº 101/20_x000D_
Estimativa de Renovação enviada em 17.12.2020 - Qtd 3.000_x000D_
PE  16/20 lote 5_x000D_
18.05.20 = Processo conferido, finalizado.</t>
        </r>
      </text>
    </comment>
    <comment ref="W71" authorId="0" shapeId="0" xr:uid="{0A9381E3-0F19-4B34-88CF-7490534FD610}">
      <text>
        <r>
          <rPr>
            <sz val="10"/>
            <color indexed="81"/>
            <rFont val="Lucida Console"/>
            <family val="3"/>
          </rPr>
          <t>_x000D_
DM-Hidráulica</t>
        </r>
      </text>
    </comment>
    <comment ref="X71" authorId="0" shapeId="0" xr:uid="{D720D809-F293-4D46-AF99-56DBD2F69F87}">
      <text>
        <r>
          <rPr>
            <sz val="10"/>
            <color indexed="81"/>
            <rFont val="Lucida Console"/>
            <family val="3"/>
          </rPr>
          <t>_x000D_
MATERIAL HIDRAULICO, CANOS, TUBOS, MANGUEIRAS, CONEXOES E ACESS.</t>
        </r>
      </text>
    </comment>
    <comment ref="Y71" authorId="0" shapeId="0" xr:uid="{BCC3E525-0A76-49AB-BC59-439090200D63}">
      <text>
        <r>
          <rPr>
            <sz val="10"/>
            <color indexed="81"/>
            <rFont val="Lucida Console"/>
            <family val="3"/>
          </rPr>
          <t>_x000D_
ADAP. LUVAS.TES CURVAS COTOVELOS PLUGS FLANGES.....</t>
        </r>
      </text>
    </comment>
    <comment ref="AW71" authorId="0" shapeId="0" xr:uid="{7DA4A395-FC1A-47E2-A93B-CF2A3CDB83D2}">
      <text>
        <r>
          <rPr>
            <sz val="10"/>
            <color indexed="81"/>
            <rFont val="Lucida Console"/>
            <family val="3"/>
          </rPr>
          <t>Tempo de Estoque (Meses)_x000D_
_x000D_
3.801,0</t>
        </r>
      </text>
    </comment>
    <comment ref="A72" authorId="0" shapeId="0" xr:uid="{97917EF5-C9FE-4F35-A702-F3507EB602A2}">
      <text>
        <r>
          <rPr>
            <sz val="10"/>
            <color indexed="81"/>
            <rFont val="Lucida Console"/>
            <family val="3"/>
          </rPr>
          <t>_x000D_
12948</t>
        </r>
      </text>
    </comment>
    <comment ref="B72" authorId="0" shapeId="0" xr:uid="{1454C6E9-5879-4C69-80B1-F56D48D0931B}">
      <text>
        <r>
          <rPr>
            <sz val="10"/>
            <color indexed="81"/>
            <rFont val="Lucida Console"/>
            <family val="3"/>
          </rPr>
          <t xml:space="preserve">DESCRIÇÃO DETALHADA_x000D_
LUVA DE PVC RIGIDO SOLDAVEL MARROM DE 2", DE ACORDO COM A NBR 5648 E A MARCA, MEDIDA E NBR DEVERAO VIR LITOGRAFADA NA PECA   </t>
        </r>
      </text>
    </comment>
    <comment ref="G72" authorId="0" shapeId="0" xr:uid="{71CE7315-4B1E-4785-BED6-EDDBB901A169}">
      <text>
        <r>
          <rPr>
            <sz val="10"/>
            <color indexed="81"/>
            <rFont val="Lucida Console"/>
            <family val="3"/>
          </rPr>
          <t>_x000D_
Últ estimativa : 30_x000D_
Enviada em     : 17.12.2020_x000D_
Ata - Venc     : 101/20 - 27.04.2021</t>
        </r>
      </text>
    </comment>
    <comment ref="O72" authorId="0" shapeId="0" xr:uid="{154B9E3B-CEFE-43B9-B2D8-1C7D7845F1F3}">
      <text>
        <r>
          <rPr>
            <sz val="10"/>
            <color indexed="81"/>
            <rFont val="Lucida Console"/>
            <family val="3"/>
          </rPr>
          <t>_x000D_
Pertencia a ATA nº 101/20_x000D_
Estimativa de Renovação enviada em 17.12.2020 - Qtd 30_x000D_
PE  16/20 lote 7_x000D_
18.05.20 = Processo conferido, finalizado.</t>
        </r>
      </text>
    </comment>
    <comment ref="W72" authorId="0" shapeId="0" xr:uid="{C6BF7D0C-C699-45EA-B35C-36FA93826029}">
      <text>
        <r>
          <rPr>
            <sz val="10"/>
            <color indexed="81"/>
            <rFont val="Lucida Console"/>
            <family val="3"/>
          </rPr>
          <t>_x000D_
DM-Hidráulica</t>
        </r>
      </text>
    </comment>
    <comment ref="X72" authorId="0" shapeId="0" xr:uid="{6432DAE4-CFF6-429D-9CC4-855BDFE2DED9}">
      <text>
        <r>
          <rPr>
            <sz val="10"/>
            <color indexed="81"/>
            <rFont val="Lucida Console"/>
            <family val="3"/>
          </rPr>
          <t>_x000D_
MATERIAL HIDRAULICO, CANOS, TUBOS, MANGUEIRAS, CONEXOES E ACESS.</t>
        </r>
      </text>
    </comment>
    <comment ref="Y72" authorId="0" shapeId="0" xr:uid="{DAB66CB4-0A86-4C08-A5B1-84A0D709546B}">
      <text>
        <r>
          <rPr>
            <sz val="10"/>
            <color indexed="81"/>
            <rFont val="Lucida Console"/>
            <family val="3"/>
          </rPr>
          <t>_x000D_
ADAP. LUVAS.TES CURVAS COTOVELOS PLUGS FLANGES.....</t>
        </r>
      </text>
    </comment>
    <comment ref="AW72" authorId="0" shapeId="0" xr:uid="{0A7DA96A-FCA3-4884-8951-CFAF4CEC5BED}">
      <text>
        <r>
          <rPr>
            <sz val="10"/>
            <color indexed="81"/>
            <rFont val="Lucida Console"/>
            <family val="3"/>
          </rPr>
          <t>Tempo de Estoque (Meses)_x000D_
_x000D_
40,0</t>
        </r>
      </text>
    </comment>
    <comment ref="A73" authorId="0" shapeId="0" xr:uid="{4025D778-723E-4EB5-BBC0-378EF703A482}">
      <text>
        <r>
          <rPr>
            <sz val="10"/>
            <color indexed="81"/>
            <rFont val="Lucida Console"/>
            <family val="3"/>
          </rPr>
          <t>_x000D_
12950</t>
        </r>
      </text>
    </comment>
    <comment ref="B73" authorId="0" shapeId="0" xr:uid="{CEE94928-85AC-4E11-9746-4C7F85292B04}">
      <text>
        <r>
          <rPr>
            <sz val="10"/>
            <color indexed="81"/>
            <rFont val="Lucida Console"/>
            <family val="3"/>
          </rPr>
          <t xml:space="preserve">DESCRIÇÃO DETALHADA_x000D_
LUVA DE PVC RIGIDO SOLDAVEL MARROM DE 1.1/2", DE ACORDO COM A NBR 5648 E A MARCA, MEDIDA E NBR DEVERAO VIR LITOGRAFADA NA PECA   </t>
        </r>
      </text>
    </comment>
    <comment ref="G73" authorId="0" shapeId="0" xr:uid="{1B463DD7-399D-4882-BC35-42850B5F36C8}">
      <text>
        <r>
          <rPr>
            <sz val="10"/>
            <color indexed="81"/>
            <rFont val="Lucida Console"/>
            <family val="3"/>
          </rPr>
          <t>_x000D_
Últ estimativa : 130_x000D_
Enviada em     : 17.12.2020_x000D_
Ata - Venc     : 101/20 - 27.04.2021</t>
        </r>
      </text>
    </comment>
    <comment ref="O73" authorId="0" shapeId="0" xr:uid="{2D7FF8C0-8005-4164-817F-E192457E918D}">
      <text>
        <r>
          <rPr>
            <sz val="10"/>
            <color indexed="81"/>
            <rFont val="Lucida Console"/>
            <family val="3"/>
          </rPr>
          <t>_x000D_
Pertencia a ATA nº 101/20_x000D_
Estimativa de Renovação enviada em 17.12.2020 - Qtd 130_x000D_
PE  16/20 lote 8_x000D_
18.05.20 = Processo conferido, finalizado.</t>
        </r>
      </text>
    </comment>
    <comment ref="W73" authorId="0" shapeId="0" xr:uid="{7EF14A3B-FE3B-41B5-84CC-00FC20B0F187}">
      <text>
        <r>
          <rPr>
            <sz val="10"/>
            <color indexed="81"/>
            <rFont val="Lucida Console"/>
            <family val="3"/>
          </rPr>
          <t>_x000D_
DM-Hidráulica</t>
        </r>
      </text>
    </comment>
    <comment ref="X73" authorId="0" shapeId="0" xr:uid="{3F0B78C1-6110-4206-BED8-F6AC81B29C82}">
      <text>
        <r>
          <rPr>
            <sz val="10"/>
            <color indexed="81"/>
            <rFont val="Lucida Console"/>
            <family val="3"/>
          </rPr>
          <t>_x000D_
MATERIAL HIDRAULICO, CANOS, TUBOS, MANGUEIRAS, CONEXOES E ACESS.</t>
        </r>
      </text>
    </comment>
    <comment ref="Y73" authorId="0" shapeId="0" xr:uid="{0ABA92CC-4D42-463E-982B-A6C5A3AB522F}">
      <text>
        <r>
          <rPr>
            <sz val="10"/>
            <color indexed="81"/>
            <rFont val="Lucida Console"/>
            <family val="3"/>
          </rPr>
          <t>_x000D_
ADAP. LUVAS.TES CURVAS COTOVELOS PLUGS FLANGES.....</t>
        </r>
      </text>
    </comment>
    <comment ref="AW73" authorId="0" shapeId="0" xr:uid="{FE8F0CE8-9502-46E5-931B-7BF28E794276}">
      <text>
        <r>
          <rPr>
            <sz val="10"/>
            <color indexed="81"/>
            <rFont val="Lucida Console"/>
            <family val="3"/>
          </rPr>
          <t>Tempo de Estoque (Meses)_x000D_
_x000D_
221,0</t>
        </r>
      </text>
    </comment>
    <comment ref="A74" authorId="0" shapeId="0" xr:uid="{81350938-31A2-4E1D-91A1-20E170FBBA43}">
      <text>
        <r>
          <rPr>
            <sz val="10"/>
            <color indexed="81"/>
            <rFont val="Lucida Console"/>
            <family val="3"/>
          </rPr>
          <t>_x000D_
12956</t>
        </r>
      </text>
    </comment>
    <comment ref="B74" authorId="0" shapeId="0" xr:uid="{41BC65A6-B163-4433-87C7-87A900E4209D}">
      <text>
        <r>
          <rPr>
            <sz val="10"/>
            <color indexed="81"/>
            <rFont val="Lucida Console"/>
            <family val="3"/>
          </rPr>
          <t>DESCRIÇÃO DETALHADA_x000D_
LUVA DE PVC RIGIDO SOLDAVEL MARROM DE 3/4". A MARCA DEVERA VIR LITOGRAFADA NA PECA.</t>
        </r>
      </text>
    </comment>
    <comment ref="G74" authorId="0" shapeId="0" xr:uid="{23D1F841-59C9-4F24-A2B0-97266F287ACE}">
      <text>
        <r>
          <rPr>
            <sz val="10"/>
            <color indexed="81"/>
            <rFont val="Lucida Console"/>
            <family val="3"/>
          </rPr>
          <t>_x000D_
Últ estimativa : 1.000_x000D_
Enviada em     : 17.12.2020_x000D_
Ata - Venc     : 101/20 - 27.04.2021</t>
        </r>
      </text>
    </comment>
    <comment ref="O74" authorId="0" shapeId="0" xr:uid="{6FABD6E1-3166-454D-A6C7-9DD7F1B8C20D}">
      <text>
        <r>
          <rPr>
            <sz val="10"/>
            <color indexed="81"/>
            <rFont val="Lucida Console"/>
            <family val="3"/>
          </rPr>
          <t>_x000D_
Pertencia a ATA nº 101/20_x000D_
Estimativa de Renovação enviada em 17.12.2020 - Qtd 1.000_x000D_
PE  16/20 lote 9_x000D_
18.05.20 = Processo conferido, finalizado.</t>
        </r>
      </text>
    </comment>
    <comment ref="W74" authorId="0" shapeId="0" xr:uid="{12A83703-6DEF-4A5C-8A3C-421315D4F072}">
      <text>
        <r>
          <rPr>
            <sz val="10"/>
            <color indexed="81"/>
            <rFont val="Lucida Console"/>
            <family val="3"/>
          </rPr>
          <t>_x000D_
DM-Hidráulica</t>
        </r>
      </text>
    </comment>
    <comment ref="X74" authorId="0" shapeId="0" xr:uid="{9CAC2484-55AD-4A47-B79B-A18439066E46}">
      <text>
        <r>
          <rPr>
            <sz val="10"/>
            <color indexed="81"/>
            <rFont val="Lucida Console"/>
            <family val="3"/>
          </rPr>
          <t>_x000D_
MATERIAL HIDRAULICO, CANOS, TUBOS, MANGUEIRAS, CONEXOES E ACESS.</t>
        </r>
      </text>
    </comment>
    <comment ref="Y74" authorId="0" shapeId="0" xr:uid="{C926179A-4598-4BDE-81EC-C8F2C27C68B4}">
      <text>
        <r>
          <rPr>
            <sz val="10"/>
            <color indexed="81"/>
            <rFont val="Lucida Console"/>
            <family val="3"/>
          </rPr>
          <t>_x000D_
ADAP. LUVAS.TES CURVAS COTOVELOS PLUGS FLANGES.....</t>
        </r>
      </text>
    </comment>
    <comment ref="AW74" authorId="0" shapeId="0" xr:uid="{BA1DDA50-5FE9-4DB1-91BE-06C8A20F2328}">
      <text>
        <r>
          <rPr>
            <sz val="10"/>
            <color indexed="81"/>
            <rFont val="Lucida Console"/>
            <family val="3"/>
          </rPr>
          <t>Tempo de Estoque (Meses)_x000D_
_x000D_
868,0</t>
        </r>
      </text>
    </comment>
    <comment ref="A75" authorId="0" shapeId="0" xr:uid="{B3AA315C-AD59-4717-8C30-B2363D331E6B}">
      <text>
        <r>
          <rPr>
            <sz val="10"/>
            <color indexed="81"/>
            <rFont val="Lucida Console"/>
            <family val="3"/>
          </rPr>
          <t>_x000D_
13072</t>
        </r>
      </text>
    </comment>
    <comment ref="B75" authorId="0" shapeId="0" xr:uid="{13CA0C28-B091-4473-86CE-D70778C4C631}">
      <text>
        <r>
          <rPr>
            <sz val="10"/>
            <color indexed="81"/>
            <rFont val="Lucida Console"/>
            <family val="3"/>
          </rPr>
          <t>DESCRIÇÃO DETALHADA_x000D_
TE EM PVC RIGIDO SOLDAVEL MARROM 3/4". A MARCA DEVERA VIR LITOGRAFADA NA PECA.</t>
        </r>
      </text>
    </comment>
    <comment ref="G75" authorId="0" shapeId="0" xr:uid="{2C90246D-39C6-4150-AE05-272D757EFF35}">
      <text>
        <r>
          <rPr>
            <sz val="10"/>
            <color indexed="81"/>
            <rFont val="Lucida Console"/>
            <family val="3"/>
          </rPr>
          <t>_x000D_
Últ estimativa : 1.000_x000D_
Enviada em     : 17.12.2020_x000D_
Ata - Venc     : 101/20 - 27.04.2021</t>
        </r>
      </text>
    </comment>
    <comment ref="O75" authorId="0" shapeId="0" xr:uid="{7BEAE89F-CC5B-4333-9C4A-D89FBAD8AD5A}">
      <text>
        <r>
          <rPr>
            <sz val="10"/>
            <color indexed="81"/>
            <rFont val="Lucida Console"/>
            <family val="3"/>
          </rPr>
          <t>_x000D_
Pertencia a ATA nº 101/20_x000D_
Estimativa de Renovação enviada em 17.12.2020 - Qtd 1.000_x000D_
PE  16/20 lote 12_x000D_
18.05.20 = Processo conferido, finalizado.</t>
        </r>
      </text>
    </comment>
    <comment ref="W75" authorId="0" shapeId="0" xr:uid="{969F2BF4-3E50-4F31-9DCD-A86E2289889A}">
      <text>
        <r>
          <rPr>
            <sz val="10"/>
            <color indexed="81"/>
            <rFont val="Lucida Console"/>
            <family val="3"/>
          </rPr>
          <t>_x000D_
DM-Hidráulica</t>
        </r>
      </text>
    </comment>
    <comment ref="X75" authorId="0" shapeId="0" xr:uid="{F0DCB44C-24B1-4358-B1B0-9E85AE3F40E3}">
      <text>
        <r>
          <rPr>
            <sz val="10"/>
            <color indexed="81"/>
            <rFont val="Lucida Console"/>
            <family val="3"/>
          </rPr>
          <t>_x000D_
MATERIAL HIDRAULICO, CANOS, TUBOS, MANGUEIRAS, CONEXOES E ACESS.</t>
        </r>
      </text>
    </comment>
    <comment ref="Y75" authorId="0" shapeId="0" xr:uid="{9861B294-1E8C-465E-96FB-15C8136A8538}">
      <text>
        <r>
          <rPr>
            <sz val="10"/>
            <color indexed="81"/>
            <rFont val="Lucida Console"/>
            <family val="3"/>
          </rPr>
          <t>_x000D_
ADAP. LUVAS.TES CURVAS COTOVELOS PLUGS FLANGES.....</t>
        </r>
      </text>
    </comment>
    <comment ref="AW75" authorId="0" shapeId="0" xr:uid="{E3223050-F722-4350-AFEB-012FC8E4434D}">
      <text>
        <r>
          <rPr>
            <sz val="10"/>
            <color indexed="81"/>
            <rFont val="Lucida Console"/>
            <family val="3"/>
          </rPr>
          <t>Tempo de Estoque (Meses)_x000D_
_x000D_
275,0</t>
        </r>
      </text>
    </comment>
    <comment ref="A76" authorId="0" shapeId="0" xr:uid="{DCDC14CD-8BFE-47C7-8AE4-7533B3A907FF}">
      <text>
        <r>
          <rPr>
            <sz val="10"/>
            <color indexed="81"/>
            <rFont val="Lucida Console"/>
            <family val="3"/>
          </rPr>
          <t>_x000D_
13095</t>
        </r>
      </text>
    </comment>
    <comment ref="B76" authorId="0" shapeId="0" xr:uid="{3D9C3CC2-47DA-49AF-BA54-26AFB9C98275}">
      <text>
        <r>
          <rPr>
            <sz val="10"/>
            <color indexed="81"/>
            <rFont val="Lucida Console"/>
            <family val="3"/>
          </rPr>
          <t>DESCRIÇÃO DETALHADA_x000D_
TE DE PVC SOLDAVEL - 1.1/2" - MARROM</t>
        </r>
      </text>
    </comment>
    <comment ref="G76" authorId="0" shapeId="0" xr:uid="{7AB41812-9ACC-4A1A-A145-57B52B942BBB}">
      <text>
        <r>
          <rPr>
            <sz val="10"/>
            <color indexed="81"/>
            <rFont val="Lucida Console"/>
            <family val="3"/>
          </rPr>
          <t>_x000D_
Últ estimativa : 150_x000D_
Enviada em     : 17.12.2020_x000D_
Ata - Venc     : 101/20 - 27.04.2021</t>
        </r>
      </text>
    </comment>
    <comment ref="O76" authorId="0" shapeId="0" xr:uid="{46A8556A-25F0-473A-93E9-B03EE3AF9D9F}">
      <text>
        <r>
          <rPr>
            <sz val="10"/>
            <color indexed="81"/>
            <rFont val="Lucida Console"/>
            <family val="3"/>
          </rPr>
          <t>_x000D_
Pertencia a ATA nº 101/20_x000D_
Estimativa de Renovação enviada em 17.12.2020 - Qtd 150_x000D_
PE  16/20 lote 14_x000D_
18.05.20 = Processo conferido, finalizado.</t>
        </r>
      </text>
    </comment>
    <comment ref="W76" authorId="0" shapeId="0" xr:uid="{DAA8A8CC-91F2-4503-A882-543EE940B314}">
      <text>
        <r>
          <rPr>
            <sz val="10"/>
            <color indexed="81"/>
            <rFont val="Lucida Console"/>
            <family val="3"/>
          </rPr>
          <t>_x000D_
DM-Hidráulica</t>
        </r>
      </text>
    </comment>
    <comment ref="X76" authorId="0" shapeId="0" xr:uid="{DD7AA88B-57B4-4A77-8E54-04D6D2357236}">
      <text>
        <r>
          <rPr>
            <sz val="10"/>
            <color indexed="81"/>
            <rFont val="Lucida Console"/>
            <family val="3"/>
          </rPr>
          <t>_x000D_
MATERIAL HIDRAULICO, CANOS, TUBOS, MANGUEIRAS, CONEXOES E ACESS.</t>
        </r>
      </text>
    </comment>
    <comment ref="Y76" authorId="0" shapeId="0" xr:uid="{4706D63D-E151-4315-88ED-01E9957324B7}">
      <text>
        <r>
          <rPr>
            <sz val="10"/>
            <color indexed="81"/>
            <rFont val="Lucida Console"/>
            <family val="3"/>
          </rPr>
          <t>_x000D_
ADAP. LUVAS.TES CURVAS COTOVELOS PLUGS FLANGES.....</t>
        </r>
      </text>
    </comment>
    <comment ref="AW76" authorId="0" shapeId="0" xr:uid="{C70B2C8E-C1F0-4D7F-8514-93F3BCFC8195}">
      <text>
        <r>
          <rPr>
            <sz val="10"/>
            <color indexed="81"/>
            <rFont val="Lucida Console"/>
            <family val="3"/>
          </rPr>
          <t>Tempo de Estoque (Meses)_x000D_
_x000D_
232,0</t>
        </r>
      </text>
    </comment>
    <comment ref="A77" authorId="0" shapeId="0" xr:uid="{1A56E150-F1DE-4203-BBFE-ECE131FD4A93}">
      <text>
        <r>
          <rPr>
            <sz val="10"/>
            <color indexed="81"/>
            <rFont val="Lucida Console"/>
            <family val="3"/>
          </rPr>
          <t>_x000D_
13517</t>
        </r>
      </text>
    </comment>
    <comment ref="B77" authorId="0" shapeId="0" xr:uid="{271B1918-6F08-445D-997F-16F818F63AE6}">
      <text>
        <r>
          <rPr>
            <sz val="10"/>
            <color indexed="81"/>
            <rFont val="Lucida Console"/>
            <family val="3"/>
          </rPr>
          <t>DESCRIÇÃO DETALHADA_x000D_
TE DE PVC RIGIDO SOLDAVEL P/ ESGOTO DE 2"</t>
        </r>
      </text>
    </comment>
    <comment ref="G77" authorId="0" shapeId="0" xr:uid="{56A9B5DF-77B8-4CBE-87E4-83A17775B6F9}">
      <text>
        <r>
          <rPr>
            <sz val="10"/>
            <color indexed="81"/>
            <rFont val="Lucida Console"/>
            <family val="3"/>
          </rPr>
          <t>_x000D_
Últ estimativa : 150_x000D_
Enviada em     : 17.12.2020_x000D_
Ata - Venc     : 101/20 - 27.04.2021</t>
        </r>
      </text>
    </comment>
    <comment ref="O77" authorId="0" shapeId="0" xr:uid="{F3F57DE3-EA0C-42B5-B574-65BB2EC0BAE6}">
      <text>
        <r>
          <rPr>
            <sz val="10"/>
            <color indexed="81"/>
            <rFont val="Lucida Console"/>
            <family val="3"/>
          </rPr>
          <t>_x000D_
Pertencia a ATA nº 101/20_x000D_
Estimativa de Renovação enviada em 17.12.2020 - Qtd 150_x000D_
PE  16/20 lote 22_x000D_
18.05.20 = Processo conferido, finalizado.</t>
        </r>
      </text>
    </comment>
    <comment ref="W77" authorId="0" shapeId="0" xr:uid="{83DE241E-1226-4A16-A970-2E298F56EF8A}">
      <text>
        <r>
          <rPr>
            <sz val="10"/>
            <color indexed="81"/>
            <rFont val="Lucida Console"/>
            <family val="3"/>
          </rPr>
          <t>_x000D_
DM-Hidráulica</t>
        </r>
      </text>
    </comment>
    <comment ref="X77" authorId="0" shapeId="0" xr:uid="{2EB533F2-5E2A-4751-95EC-B020F26EC347}">
      <text>
        <r>
          <rPr>
            <sz val="10"/>
            <color indexed="81"/>
            <rFont val="Lucida Console"/>
            <family val="3"/>
          </rPr>
          <t>_x000D_
MATERIAL HIDRAULICO, CANOS, TUBOS, MANGUEIRAS, CONEXOES E ACESS.</t>
        </r>
      </text>
    </comment>
    <comment ref="Y77" authorId="0" shapeId="0" xr:uid="{250F2F83-EABD-4562-8BFC-C3F5E57F91BD}">
      <text>
        <r>
          <rPr>
            <sz val="10"/>
            <color indexed="81"/>
            <rFont val="Lucida Console"/>
            <family val="3"/>
          </rPr>
          <t>_x000D_
ADAP. LUVAS.TES CURVAS COTOVELOS PLUGS FLANGES.....</t>
        </r>
      </text>
    </comment>
    <comment ref="AW77" authorId="0" shapeId="0" xr:uid="{F30232FB-3156-4C8C-AAB3-51846C45C648}">
      <text>
        <r>
          <rPr>
            <sz val="10"/>
            <color indexed="81"/>
            <rFont val="Lucida Console"/>
            <family val="3"/>
          </rPr>
          <t>Tempo de Estoque (Meses)_x000D_
_x000D_
362,0</t>
        </r>
      </text>
    </comment>
    <comment ref="A78" authorId="0" shapeId="0" xr:uid="{EFA32629-288C-40D9-8209-A45707E99202}">
      <text>
        <r>
          <rPr>
            <sz val="10"/>
            <color indexed="81"/>
            <rFont val="Lucida Console"/>
            <family val="3"/>
          </rPr>
          <t>_x000D_
13518</t>
        </r>
      </text>
    </comment>
    <comment ref="B78" authorId="0" shapeId="0" xr:uid="{14F9045E-CE10-41D4-9CD3-A1C7D35C913C}">
      <text>
        <r>
          <rPr>
            <sz val="10"/>
            <color indexed="81"/>
            <rFont val="Lucida Console"/>
            <family val="3"/>
          </rPr>
          <t>DESCRIÇÃO DETALHADA_x000D_
TE DE PVC RIGIDO SOLDAVEL P/ ESGOTO DE 4"</t>
        </r>
      </text>
    </comment>
    <comment ref="G78" authorId="0" shapeId="0" xr:uid="{9CC8D2B7-0440-48CD-99DF-CFF9338BC4E8}">
      <text>
        <r>
          <rPr>
            <sz val="10"/>
            <color indexed="81"/>
            <rFont val="Lucida Console"/>
            <family val="3"/>
          </rPr>
          <t>_x000D_
Últ estimativa : 300_x000D_
Enviada em     : 17.12.2020_x000D_
Ata - Venc     : 101/20 - 27.04.2021</t>
        </r>
      </text>
    </comment>
    <comment ref="O78" authorId="0" shapeId="0" xr:uid="{89423C11-6A6B-4CE0-BAA8-2FA231BB1A0B}">
      <text>
        <r>
          <rPr>
            <sz val="10"/>
            <color indexed="81"/>
            <rFont val="Lucida Console"/>
            <family val="3"/>
          </rPr>
          <t>_x000D_
Pertencia a ATA nº 101/20_x000D_
Estimativa de Renovação enviada em 17.12.2020 - Qtd 300_x000D_
PE  16/20 lote 23_x000D_
18.05.20 = Processo conferido, finalizado.</t>
        </r>
      </text>
    </comment>
    <comment ref="W78" authorId="0" shapeId="0" xr:uid="{5B3400DC-1168-4EC4-95CB-280179434EB3}">
      <text>
        <r>
          <rPr>
            <sz val="10"/>
            <color indexed="81"/>
            <rFont val="Lucida Console"/>
            <family val="3"/>
          </rPr>
          <t>_x000D_
DM-Hidráulica</t>
        </r>
      </text>
    </comment>
    <comment ref="X78" authorId="0" shapeId="0" xr:uid="{1A82C0D1-CC9E-466A-8C66-9D27F23AD826}">
      <text>
        <r>
          <rPr>
            <sz val="10"/>
            <color indexed="81"/>
            <rFont val="Lucida Console"/>
            <family val="3"/>
          </rPr>
          <t>_x000D_
MATERIAL HIDRAULICO, CANOS, TUBOS, MANGUEIRAS, CONEXOES E ACESS.</t>
        </r>
      </text>
    </comment>
    <comment ref="Y78" authorId="0" shapeId="0" xr:uid="{DFD762BF-6709-42B5-9E08-FCD4B1CC76A8}">
      <text>
        <r>
          <rPr>
            <sz val="10"/>
            <color indexed="81"/>
            <rFont val="Lucida Console"/>
            <family val="3"/>
          </rPr>
          <t>_x000D_
ADAP. LUVAS.TES CURVAS COTOVELOS PLUGS FLANGES.....</t>
        </r>
      </text>
    </comment>
    <comment ref="AW78" authorId="0" shapeId="0" xr:uid="{0A901C16-24DE-4FDE-8EE1-1F18A27696C4}">
      <text>
        <r>
          <rPr>
            <sz val="10"/>
            <color indexed="81"/>
            <rFont val="Lucida Console"/>
            <family val="3"/>
          </rPr>
          <t>Tempo de Estoque (Meses)_x000D_
_x000D_
175,0</t>
        </r>
      </text>
    </comment>
    <comment ref="A79" authorId="0" shapeId="0" xr:uid="{48ECC6CE-869F-49BE-A276-7DE8305E5E0A}">
      <text>
        <r>
          <rPr>
            <sz val="10"/>
            <color indexed="81"/>
            <rFont val="Lucida Console"/>
            <family val="3"/>
          </rPr>
          <t>_x000D_
16956</t>
        </r>
      </text>
    </comment>
    <comment ref="B79" authorId="0" shapeId="0" xr:uid="{1F0B8B19-7A0C-4FAF-BECE-30969B003CE5}">
      <text>
        <r>
          <rPr>
            <sz val="10"/>
            <color indexed="81"/>
            <rFont val="Lucida Console"/>
            <family val="3"/>
          </rPr>
          <t>DESCRIÇÃO DETALHADA_x000D_
PLUG EM PVC RIGIDO ROSCAVEL DE 3/4"</t>
        </r>
      </text>
    </comment>
    <comment ref="G79" authorId="0" shapeId="0" xr:uid="{B3BC2CF9-CF9B-482D-AFCA-1FC2C804AAA8}">
      <text>
        <r>
          <rPr>
            <sz val="10"/>
            <color indexed="81"/>
            <rFont val="Lucida Console"/>
            <family val="3"/>
          </rPr>
          <t>_x000D_
Últ estimativa : 150_x000D_
Enviada em     : 17.12.2020_x000D_
Ata - Venc     : 101/20 - 27.04.2021</t>
        </r>
      </text>
    </comment>
    <comment ref="O79" authorId="0" shapeId="0" xr:uid="{B52785B4-3A9D-4D2B-B319-856E9BD2AA22}">
      <text>
        <r>
          <rPr>
            <sz val="10"/>
            <color indexed="81"/>
            <rFont val="Lucida Console"/>
            <family val="3"/>
          </rPr>
          <t>_x000D_
Pertencia a ATA nº 101/20_x000D_
Estimativa de Renovação enviada em 17.12.2020 - Qtd 150_x000D_
PE  16/20 lote 28_x000D_
18.05.20 = Processo conferido, finalizado.</t>
        </r>
      </text>
    </comment>
    <comment ref="W79" authorId="0" shapeId="0" xr:uid="{D8D646B0-D411-4ECD-A462-15E1306813B1}">
      <text>
        <r>
          <rPr>
            <sz val="10"/>
            <color indexed="81"/>
            <rFont val="Lucida Console"/>
            <family val="3"/>
          </rPr>
          <t>_x000D_
DM-Hidráulica</t>
        </r>
      </text>
    </comment>
    <comment ref="X79" authorId="0" shapeId="0" xr:uid="{D004C578-1959-4085-BFBE-EF9C4133D909}">
      <text>
        <r>
          <rPr>
            <sz val="10"/>
            <color indexed="81"/>
            <rFont val="Lucida Console"/>
            <family val="3"/>
          </rPr>
          <t>_x000D_
MATERIAL HIDRAULICO, CANOS, TUBOS, MANGUEIRAS, CONEXOES E ACESS.</t>
        </r>
      </text>
    </comment>
    <comment ref="Y79" authorId="0" shapeId="0" xr:uid="{9E83BD72-0CCC-4C38-AC46-A929529C721F}">
      <text>
        <r>
          <rPr>
            <sz val="10"/>
            <color indexed="81"/>
            <rFont val="Lucida Console"/>
            <family val="3"/>
          </rPr>
          <t>_x000D_
ADAP. LUVAS.TES CURVAS COTOVELOS PLUGS FLANGES.....</t>
        </r>
      </text>
    </comment>
    <comment ref="AW79" authorId="0" shapeId="0" xr:uid="{D4AED2CC-A1AF-49E0-BD8E-A9BC69D94AEE}">
      <text>
        <r>
          <rPr>
            <sz val="10"/>
            <color indexed="81"/>
            <rFont val="Lucida Console"/>
            <family val="3"/>
          </rPr>
          <t>Tempo de Estoque (Meses)_x000D_
_x000D_
143,0</t>
        </r>
      </text>
    </comment>
    <comment ref="A80" authorId="0" shapeId="0" xr:uid="{C2DB9871-C7B5-4D02-9BA2-C2222BCEF72F}">
      <text>
        <r>
          <rPr>
            <sz val="10"/>
            <color indexed="81"/>
            <rFont val="Lucida Console"/>
            <family val="3"/>
          </rPr>
          <t>_x000D_
16978</t>
        </r>
      </text>
    </comment>
    <comment ref="B80" authorId="0" shapeId="0" xr:uid="{5E191836-A757-4487-BAD5-CE4DE53A22A4}">
      <text>
        <r>
          <rPr>
            <sz val="10"/>
            <color indexed="81"/>
            <rFont val="Lucida Console"/>
            <family val="3"/>
          </rPr>
          <t>DESCRIÇÃO DETALHADA_x000D_
PLUG EM PVC RIGIDO ROSCAVEL DE 1/2"</t>
        </r>
      </text>
    </comment>
    <comment ref="G80" authorId="0" shapeId="0" xr:uid="{17D5FAD4-49DB-4B68-AF5E-7EDC3A9CFBCE}">
      <text>
        <r>
          <rPr>
            <sz val="10"/>
            <color indexed="81"/>
            <rFont val="Lucida Console"/>
            <family val="3"/>
          </rPr>
          <t>_x000D_
Últ estimativa : 500_x000D_
Enviada em     : 17.12.2020_x000D_
Ata - Venc     : 101/20 - 27.04.2021</t>
        </r>
      </text>
    </comment>
    <comment ref="O80" authorId="0" shapeId="0" xr:uid="{F852E5E3-3EB8-41BC-BB13-293830ADE818}">
      <text>
        <r>
          <rPr>
            <sz val="10"/>
            <color indexed="81"/>
            <rFont val="Lucida Console"/>
            <family val="3"/>
          </rPr>
          <t>_x000D_
Pertencia a ATA nº 101/20_x000D_
Estimativa de Renovação enviada em 17.12.2020 - Qtd 500_x000D_
PE  16/20 lote 29_x000D_
18.05.20 = Processo conferido, finalizado.</t>
        </r>
      </text>
    </comment>
    <comment ref="W80" authorId="0" shapeId="0" xr:uid="{49BB3559-668D-45B4-83C6-C9776E01F3E7}">
      <text>
        <r>
          <rPr>
            <sz val="10"/>
            <color indexed="81"/>
            <rFont val="Lucida Console"/>
            <family val="3"/>
          </rPr>
          <t>_x000D_
DM-Hidráulica</t>
        </r>
      </text>
    </comment>
    <comment ref="X80" authorId="0" shapeId="0" xr:uid="{48557CE3-B913-4030-AA49-8D7BBD6D4E8D}">
      <text>
        <r>
          <rPr>
            <sz val="10"/>
            <color indexed="81"/>
            <rFont val="Lucida Console"/>
            <family val="3"/>
          </rPr>
          <t>_x000D_
MATERIAL HIDRAULICO, CANOS, TUBOS, MANGUEIRAS, CONEXOES E ACESS.</t>
        </r>
      </text>
    </comment>
    <comment ref="Y80" authorId="0" shapeId="0" xr:uid="{928AEB52-2174-436A-A654-A07A0B38C198}">
      <text>
        <r>
          <rPr>
            <sz val="10"/>
            <color indexed="81"/>
            <rFont val="Lucida Console"/>
            <family val="3"/>
          </rPr>
          <t>_x000D_
ADAP. LUVAS.TES CURVAS COTOVELOS PLUGS FLANGES.....</t>
        </r>
      </text>
    </comment>
    <comment ref="AW80" authorId="0" shapeId="0" xr:uid="{A25E75B2-CDBE-448F-AA52-2F6E9227BCAE}">
      <text>
        <r>
          <rPr>
            <sz val="10"/>
            <color indexed="81"/>
            <rFont val="Lucida Console"/>
            <family val="3"/>
          </rPr>
          <t>Tempo de Estoque (Meses)_x000D_
_x000D_
868,0</t>
        </r>
      </text>
    </comment>
    <comment ref="A81" authorId="0" shapeId="0" xr:uid="{A1DEDF5F-A7A1-42F1-8BD5-877935D67B7C}">
      <text>
        <r>
          <rPr>
            <sz val="10"/>
            <color indexed="81"/>
            <rFont val="Lucida Console"/>
            <family val="3"/>
          </rPr>
          <t>_x000D_
28306</t>
        </r>
      </text>
    </comment>
    <comment ref="B81" authorId="0" shapeId="0" xr:uid="{B1C438F6-F9B4-4D78-AA04-6CFED0661017}">
      <text>
        <r>
          <rPr>
            <sz val="10"/>
            <color indexed="81"/>
            <rFont val="Lucida Console"/>
            <family val="3"/>
          </rPr>
          <t xml:space="preserve">DESCRIÇÃO DETALHADA_x000D_
UNIAO PVC COLA MARROM DE 1.1/2", DE ACORDO COM A NORMA NBR 5648 E A MARCA DEVERA VIR LITOGRAFADA NA PECA </t>
        </r>
      </text>
    </comment>
    <comment ref="G81" authorId="0" shapeId="0" xr:uid="{4A0689C0-2FCC-453C-8442-01C287B5AD62}">
      <text>
        <r>
          <rPr>
            <sz val="10"/>
            <color indexed="81"/>
            <rFont val="Lucida Console"/>
            <family val="3"/>
          </rPr>
          <t>_x000D_
Últ estimativa : 80_x000D_
Enviada em     : 17.12.2020_x000D_
Ata - Venc     : 101/20 - 27.04.2021</t>
        </r>
      </text>
    </comment>
    <comment ref="O81" authorId="0" shapeId="0" xr:uid="{EB37ED2B-011C-4470-880F-FC5A5B6A0A7C}">
      <text>
        <r>
          <rPr>
            <sz val="10"/>
            <color indexed="81"/>
            <rFont val="Lucida Console"/>
            <family val="3"/>
          </rPr>
          <t>_x000D_
Pertencia a ATA nº 101/20_x000D_
Estimativa de Renovação enviada em 17.12.2020 - Qtd 80_x000D_
PE  16/20 lote 32_x000D_
18.05.20 = Processo conferido, finalizado.</t>
        </r>
      </text>
    </comment>
    <comment ref="W81" authorId="0" shapeId="0" xr:uid="{1F3BC213-BD0C-4E96-A962-BF301A206CD4}">
      <text>
        <r>
          <rPr>
            <sz val="10"/>
            <color indexed="81"/>
            <rFont val="Lucida Console"/>
            <family val="3"/>
          </rPr>
          <t>_x000D_
DM-Hidráulica</t>
        </r>
      </text>
    </comment>
    <comment ref="X81" authorId="0" shapeId="0" xr:uid="{F32FC73D-5B06-4A4B-B8DD-625EB34D8C14}">
      <text>
        <r>
          <rPr>
            <sz val="10"/>
            <color indexed="81"/>
            <rFont val="Lucida Console"/>
            <family val="3"/>
          </rPr>
          <t>_x000D_
MATERIAL HIDRAULICO, CANOS, TUBOS, MANGUEIRAS, CONEXOES E ACESS.</t>
        </r>
      </text>
    </comment>
    <comment ref="Y81" authorId="0" shapeId="0" xr:uid="{D6B01DD6-29D5-4E8E-BD57-D39B056293B3}">
      <text>
        <r>
          <rPr>
            <sz val="10"/>
            <color indexed="81"/>
            <rFont val="Lucida Console"/>
            <family val="3"/>
          </rPr>
          <t>_x000D_
ADAP. LUVAS.TES CURVAS COTOVELOS PLUGS FLANGES.....</t>
        </r>
      </text>
    </comment>
    <comment ref="AW81" authorId="0" shapeId="0" xr:uid="{BA2174BB-12C8-4261-8B78-C07DC38EF19C}">
      <text>
        <r>
          <rPr>
            <sz val="10"/>
            <color indexed="81"/>
            <rFont val="Lucida Console"/>
            <family val="3"/>
          </rPr>
          <t>Tempo de Estoque (Meses)_x000D_
_x000D_
133,0</t>
        </r>
      </text>
    </comment>
    <comment ref="A82" authorId="0" shapeId="0" xr:uid="{1FDD1FEE-B949-4766-AD6F-12E5777B2607}">
      <text>
        <r>
          <rPr>
            <sz val="10"/>
            <color indexed="81"/>
            <rFont val="Lucida Console"/>
            <family val="3"/>
          </rPr>
          <t>_x000D_
28308</t>
        </r>
      </text>
    </comment>
    <comment ref="B82" authorId="0" shapeId="0" xr:uid="{346D4847-7655-4263-9E8A-97AB324B6F7D}">
      <text>
        <r>
          <rPr>
            <sz val="10"/>
            <color indexed="81"/>
            <rFont val="Lucida Console"/>
            <family val="3"/>
          </rPr>
          <t>DESCRIÇÃO DETALHADA_x000D_
UNIAO PVC COLA MARROM DE 1", DE ACORDO COM A NORMA NBR 5648 E A MARCA DEVERA VIR LITOGRAFADA NA PECA</t>
        </r>
      </text>
    </comment>
    <comment ref="G82" authorId="0" shapeId="0" xr:uid="{CF8C50B2-8708-4A17-A6EC-F6D866BBE21B}">
      <text>
        <r>
          <rPr>
            <sz val="10"/>
            <color indexed="81"/>
            <rFont val="Lucida Console"/>
            <family val="3"/>
          </rPr>
          <t>_x000D_
Últ estimativa : 50_x000D_
Enviada em     : 17.12.2020_x000D_
Ata - Venc     : 101/20 - 27.04.2021</t>
        </r>
      </text>
    </comment>
    <comment ref="O82" authorId="0" shapeId="0" xr:uid="{6BA67CAB-2866-4CA0-95F2-192B1631C25C}">
      <text>
        <r>
          <rPr>
            <sz val="10"/>
            <color indexed="81"/>
            <rFont val="Lucida Console"/>
            <family val="3"/>
          </rPr>
          <t>_x000D_
Pertencia a ATA nº 101/20_x000D_
Estimativa de Renovação enviada em 17.12.2020 - Qtd 50_x000D_
PE  16/20 lote 33_x000D_
18.05.20 = Processo conferido, finalizado.</t>
        </r>
      </text>
    </comment>
    <comment ref="W82" authorId="0" shapeId="0" xr:uid="{B300E983-D2EF-4976-BF1F-D25FD5BF4043}">
      <text>
        <r>
          <rPr>
            <sz val="10"/>
            <color indexed="81"/>
            <rFont val="Lucida Console"/>
            <family val="3"/>
          </rPr>
          <t>_x000D_
DM-Hidráulica</t>
        </r>
      </text>
    </comment>
    <comment ref="X82" authorId="0" shapeId="0" xr:uid="{DB53D696-3BDB-49BA-864F-4384A9506392}">
      <text>
        <r>
          <rPr>
            <sz val="10"/>
            <color indexed="81"/>
            <rFont val="Lucida Console"/>
            <family val="3"/>
          </rPr>
          <t>_x000D_
MATERIAL HIDRAULICO, CANOS, TUBOS, MANGUEIRAS, CONEXOES E ACESS.</t>
        </r>
      </text>
    </comment>
    <comment ref="Y82" authorId="0" shapeId="0" xr:uid="{7B903CAE-A59E-45BB-B0E5-F3E75F66498A}">
      <text>
        <r>
          <rPr>
            <sz val="10"/>
            <color indexed="81"/>
            <rFont val="Lucida Console"/>
            <family val="3"/>
          </rPr>
          <t>_x000D_
ADAP. LUVAS.TES CURVAS COTOVELOS PLUGS FLANGES.....</t>
        </r>
      </text>
    </comment>
    <comment ref="AW82" authorId="0" shapeId="0" xr:uid="{07A1CBBC-76DF-43A0-BE7E-C30E5D27D1B0}">
      <text>
        <r>
          <rPr>
            <sz val="10"/>
            <color indexed="81"/>
            <rFont val="Lucida Console"/>
            <family val="3"/>
          </rPr>
          <t>Tempo de Estoque (Meses)_x000D_
_x000D_
74,0</t>
        </r>
      </text>
    </comment>
    <comment ref="A83" authorId="0" shapeId="0" xr:uid="{F9F144B0-F256-419D-BC9F-F40557626D9A}">
      <text>
        <r>
          <rPr>
            <sz val="10"/>
            <color indexed="81"/>
            <rFont val="Lucida Console"/>
            <family val="3"/>
          </rPr>
          <t>_x000D_
52994</t>
        </r>
      </text>
    </comment>
    <comment ref="B83" authorId="0" shapeId="0" xr:uid="{64D1B220-8804-4499-A5C2-93C0CC999C42}">
      <text>
        <r>
          <rPr>
            <sz val="10"/>
            <color indexed="81"/>
            <rFont val="Lucida Console"/>
            <family val="3"/>
          </rPr>
          <t>DESCRIÇÃO DETALHADA_x000D_
LUVA DE REDUCAO EM PVC MARROM DE 1.1/2" X 1.1/4". A MARCA DEVERA VIR LITOGRAFADA NA PECA.</t>
        </r>
      </text>
    </comment>
    <comment ref="G83" authorId="0" shapeId="0" xr:uid="{64C5E91B-80FC-46C7-944C-5C5160BEF1D6}">
      <text>
        <r>
          <rPr>
            <sz val="10"/>
            <color indexed="81"/>
            <rFont val="Lucida Console"/>
            <family val="3"/>
          </rPr>
          <t>_x000D_
Últ estimativa : 100_x000D_
Enviada em     : 17.12.2020_x000D_
Ata - Venc     : 101/20 - 27.04.2021</t>
        </r>
      </text>
    </comment>
    <comment ref="O83" authorId="0" shapeId="0" xr:uid="{2FA3F4D3-2837-4CC9-B530-B7A04CBFB6E0}">
      <text>
        <r>
          <rPr>
            <sz val="10"/>
            <color indexed="81"/>
            <rFont val="Lucida Console"/>
            <family val="3"/>
          </rPr>
          <t>_x000D_
Pertencia a ATA nº 101/20_x000D_
Estimativa de Renovação enviada em 17.12.2020 - Qtd 100_x000D_
PE  16/20 lote 39_x000D_
18.05.20 = Processo conferido, finalizado.</t>
        </r>
      </text>
    </comment>
    <comment ref="W83" authorId="0" shapeId="0" xr:uid="{A626E8F0-F061-4CA1-99D6-6CEC33182E3B}">
      <text>
        <r>
          <rPr>
            <sz val="10"/>
            <color indexed="81"/>
            <rFont val="Lucida Console"/>
            <family val="3"/>
          </rPr>
          <t>_x000D_
DM-Hidráulica</t>
        </r>
      </text>
    </comment>
    <comment ref="X83" authorId="0" shapeId="0" xr:uid="{633E628D-CEB7-4F3F-B38C-C911F66B7981}">
      <text>
        <r>
          <rPr>
            <sz val="10"/>
            <color indexed="81"/>
            <rFont val="Lucida Console"/>
            <family val="3"/>
          </rPr>
          <t>_x000D_
MATERIAL HIDRAULICO, CANOS, TUBOS, MANGUEIRAS, CONEXOES E ACESS.</t>
        </r>
      </text>
    </comment>
    <comment ref="Y83" authorId="0" shapeId="0" xr:uid="{477A74D8-94BD-4742-9719-638E5930D065}">
      <text>
        <r>
          <rPr>
            <sz val="10"/>
            <color indexed="81"/>
            <rFont val="Lucida Console"/>
            <family val="3"/>
          </rPr>
          <t>_x000D_
ADAP. LUVAS.TES CURVAS COTOVELOS PLUGS FLANGES.....</t>
        </r>
      </text>
    </comment>
    <comment ref="AW83" authorId="0" shapeId="0" xr:uid="{54E312A6-CAD9-44F4-B3BF-9AA1518FBFA7}">
      <text>
        <r>
          <rPr>
            <sz val="10"/>
            <color indexed="81"/>
            <rFont val="Lucida Console"/>
            <family val="3"/>
          </rPr>
          <t>Tempo de Estoque (Meses)_x000D_
_x000D_
164,0</t>
        </r>
      </text>
    </comment>
    <comment ref="A84" authorId="0" shapeId="0" xr:uid="{A0C33FF0-6F81-4299-BFEE-FEFE83B5C65D}">
      <text>
        <r>
          <rPr>
            <sz val="10"/>
            <color indexed="81"/>
            <rFont val="Lucida Console"/>
            <family val="3"/>
          </rPr>
          <t>_x000D_
61201</t>
        </r>
      </text>
    </comment>
    <comment ref="B84" authorId="0" shapeId="0" xr:uid="{2CF5401E-8F46-4F88-B401-FD1BF06DB461}">
      <text>
        <r>
          <rPr>
            <sz val="10"/>
            <color indexed="81"/>
            <rFont val="Lucida Console"/>
            <family val="3"/>
          </rPr>
          <t xml:space="preserve">DESCRIÇÃO DETALHADA_x000D_
LUVA DE PVC SOLDAVEL / ROSQUEAVEL AZUL - 3/4", DE ACORDO COM A NORMA NBR 5648 E A MARCA DEVERA VIR LITOGRAFADA NA PECA   </t>
        </r>
      </text>
    </comment>
    <comment ref="G84" authorId="0" shapeId="0" xr:uid="{D1A1B864-BFAD-4493-AF5B-62E090061C51}">
      <text>
        <r>
          <rPr>
            <sz val="10"/>
            <color indexed="81"/>
            <rFont val="Lucida Console"/>
            <family val="3"/>
          </rPr>
          <t>_x000D_
Últ estimativa : 200_x000D_
Enviada em     : 17.12.2020_x000D_
Ata - Venc     : 101/20 - 27.04.2021</t>
        </r>
      </text>
    </comment>
    <comment ref="O84" authorId="0" shapeId="0" xr:uid="{23330A5B-11F5-4EEB-88C4-CE3DCAED9007}">
      <text>
        <r>
          <rPr>
            <sz val="10"/>
            <color indexed="81"/>
            <rFont val="Lucida Console"/>
            <family val="3"/>
          </rPr>
          <t>_x000D_
Pertencia a ATA nº 101/20_x000D_
Estimativa de Renovação enviada em 17.12.2020 - Qtd 200_x000D_
PE  16/20 lote 63_x000D_
18.05.20 = Processo conferido, finalizado.</t>
        </r>
      </text>
    </comment>
    <comment ref="W84" authorId="0" shapeId="0" xr:uid="{AC320823-8F4F-4D86-964E-19D0880E2187}">
      <text>
        <r>
          <rPr>
            <sz val="10"/>
            <color indexed="81"/>
            <rFont val="Lucida Console"/>
            <family val="3"/>
          </rPr>
          <t>_x000D_
DM-Hidráulica</t>
        </r>
      </text>
    </comment>
    <comment ref="X84" authorId="0" shapeId="0" xr:uid="{9840F84A-F993-4AA6-8034-37F27F98FD06}">
      <text>
        <r>
          <rPr>
            <sz val="10"/>
            <color indexed="81"/>
            <rFont val="Lucida Console"/>
            <family val="3"/>
          </rPr>
          <t>_x000D_
MATERIAL HIDRAULICO, CANOS, TUBOS, MANGUEIRAS, CONEXOES E ACESS.</t>
        </r>
      </text>
    </comment>
    <comment ref="Y84" authorId="0" shapeId="0" xr:uid="{062F20B6-E38F-403B-89A5-AF714F503646}">
      <text>
        <r>
          <rPr>
            <sz val="10"/>
            <color indexed="81"/>
            <rFont val="Lucida Console"/>
            <family val="3"/>
          </rPr>
          <t>_x000D_
ADAP. LUVAS.TES CURVAS COTOVELOS PLUGS FLANGES.....</t>
        </r>
      </text>
    </comment>
    <comment ref="AW84" authorId="0" shapeId="0" xr:uid="{A5816402-67EC-4BD7-9FD2-1BB466C01BB6}">
      <text>
        <r>
          <rPr>
            <sz val="10"/>
            <color indexed="81"/>
            <rFont val="Lucida Console"/>
            <family val="3"/>
          </rPr>
          <t>Tempo de Estoque (Meses)_x000D_
_x000D_
1.240,0</t>
        </r>
      </text>
    </comment>
    <comment ref="A85" authorId="0" shapeId="0" xr:uid="{BD9C55E6-7BEB-4306-B81C-2CED85A30716}">
      <text>
        <r>
          <rPr>
            <sz val="10"/>
            <color indexed="81"/>
            <rFont val="Lucida Console"/>
            <family val="3"/>
          </rPr>
          <t>_x000D_
77109</t>
        </r>
      </text>
    </comment>
    <comment ref="B85" authorId="0" shapeId="0" xr:uid="{BBB7DF68-F598-4428-AA51-A799ECB2F042}">
      <text>
        <r>
          <rPr>
            <sz val="10"/>
            <color indexed="81"/>
            <rFont val="Lucida Console"/>
            <family val="3"/>
          </rPr>
          <t>DESCRIÇÃO DETALHADA_x000D_
CAP EM PVC DE 3/4 PARA AGUA MARROM - 25MM - DE ACORDO COM A NBR 5648, SENDO QUE A MARCA, MEDIDA E NBR DEVERAO VIR LITOGRAFADA NA PECA</t>
        </r>
      </text>
    </comment>
    <comment ref="G85" authorId="0" shapeId="0" xr:uid="{2B4CA198-348F-4913-937F-2E3793B0FED3}">
      <text>
        <r>
          <rPr>
            <sz val="10"/>
            <color indexed="81"/>
            <rFont val="Lucida Console"/>
            <family val="3"/>
          </rPr>
          <t>_x000D_
Últ estimativa : 200_x000D_
Enviada em     : 17.12.2020_x000D_
Ata - Venc     : 101/20 - 27.04.2021</t>
        </r>
      </text>
    </comment>
    <comment ref="O85" authorId="0" shapeId="0" xr:uid="{2CEE3DFB-D509-4539-9A37-91B4591794CE}">
      <text>
        <r>
          <rPr>
            <sz val="10"/>
            <color indexed="81"/>
            <rFont val="Lucida Console"/>
            <family val="3"/>
          </rPr>
          <t>_x000D_
Pertencia a ATA nº 101/20_x000D_
Estimativa de Renovação enviada em 17.12.2020 - Qtd 200_x000D_
PE  16/20 lote 71_x000D_
18.05.20 = Processo conferido, finalizado.</t>
        </r>
      </text>
    </comment>
    <comment ref="W85" authorId="0" shapeId="0" xr:uid="{7DFD389D-BFE0-454E-A5C7-35B853411AAD}">
      <text>
        <r>
          <rPr>
            <sz val="10"/>
            <color indexed="81"/>
            <rFont val="Lucida Console"/>
            <family val="3"/>
          </rPr>
          <t>_x000D_
DM-Hidráulica</t>
        </r>
      </text>
    </comment>
    <comment ref="X85" authorId="0" shapeId="0" xr:uid="{2EF6D8C0-8DDA-4D07-B2F0-048D9249FE53}">
      <text>
        <r>
          <rPr>
            <sz val="10"/>
            <color indexed="81"/>
            <rFont val="Lucida Console"/>
            <family val="3"/>
          </rPr>
          <t>_x000D_
MATERIAL HIDRAULICO, CANOS, TUBOS, MANGUEIRAS, CONEXOES E ACESS.</t>
        </r>
      </text>
    </comment>
    <comment ref="Y85" authorId="0" shapeId="0" xr:uid="{B89B3DCA-5AB8-4F94-970E-A3B2FCDA3114}">
      <text>
        <r>
          <rPr>
            <sz val="10"/>
            <color indexed="81"/>
            <rFont val="Lucida Console"/>
            <family val="3"/>
          </rPr>
          <t>_x000D_
ADAP. LUVAS.TES CURVAS COTOVELOS PLUGS FLANGES.....</t>
        </r>
      </text>
    </comment>
    <comment ref="AW85" authorId="0" shapeId="0" xr:uid="{1BC74D6B-0028-4492-835F-B2F62257C2F6}">
      <text>
        <r>
          <rPr>
            <sz val="10"/>
            <color indexed="81"/>
            <rFont val="Lucida Console"/>
            <family val="3"/>
          </rPr>
          <t>Tempo de Estoque (Meses)_x000D_
_x000D_
181,0</t>
        </r>
      </text>
    </comment>
    <comment ref="A86" authorId="0" shapeId="0" xr:uid="{76158F4B-9980-4870-A8C5-2E305F39ED9D}">
      <text>
        <r>
          <rPr>
            <sz val="10"/>
            <color indexed="81"/>
            <rFont val="Lucida Console"/>
            <family val="3"/>
          </rPr>
          <t>_x000D_
82452</t>
        </r>
      </text>
    </comment>
    <comment ref="B86" authorId="0" shapeId="0" xr:uid="{0A796560-86DA-40DA-A1B2-6A4E28195FDC}">
      <text>
        <r>
          <rPr>
            <sz val="10"/>
            <color indexed="81"/>
            <rFont val="Lucida Console"/>
            <family val="3"/>
          </rPr>
          <t>DESCRIÇÃO DETALHADA_x000D_
BUCHA DE REDUCAO EM LATAO 3/4 X 1/2</t>
        </r>
      </text>
    </comment>
    <comment ref="G86" authorId="0" shapeId="0" xr:uid="{362F750E-8BC3-489D-837F-9229A9F92F30}">
      <text>
        <r>
          <rPr>
            <sz val="10"/>
            <color indexed="81"/>
            <rFont val="Lucida Console"/>
            <family val="3"/>
          </rPr>
          <t>_x000D_
Últ estimativa : 50_x000D_
Enviada em     : 17.12.2020_x000D_
Ata - Venc     : 101/20 - 27.04.2021</t>
        </r>
      </text>
    </comment>
    <comment ref="O86" authorId="0" shapeId="0" xr:uid="{BFBB7578-152C-4E4B-8CAF-76A19F8C366F}">
      <text>
        <r>
          <rPr>
            <sz val="10"/>
            <color indexed="81"/>
            <rFont val="Lucida Console"/>
            <family val="3"/>
          </rPr>
          <t>_x000D_
Pertencia a ATA nº 101/20_x000D_
Estimativa de Renovação enviada em 17.12.2020 - Qtd 50_x000D_
PE  16/20 lote 76_x000D_
18.05.20 = Processo conferido, finalizado.</t>
        </r>
      </text>
    </comment>
    <comment ref="W86" authorId="0" shapeId="0" xr:uid="{946EE0F3-5214-4371-A82F-CE2259F5ECB5}">
      <text>
        <r>
          <rPr>
            <sz val="10"/>
            <color indexed="81"/>
            <rFont val="Lucida Console"/>
            <family val="3"/>
          </rPr>
          <t>_x000D_
DM-Hidráulica</t>
        </r>
      </text>
    </comment>
    <comment ref="X86" authorId="0" shapeId="0" xr:uid="{F96AD818-630E-49C9-81EA-837DF796F23E}">
      <text>
        <r>
          <rPr>
            <sz val="10"/>
            <color indexed="81"/>
            <rFont val="Lucida Console"/>
            <family val="3"/>
          </rPr>
          <t>_x000D_
MATERIAL HIDRAULICO, CANOS, TUBOS, MANGUEIRAS, CONEXOES E ACESS.</t>
        </r>
      </text>
    </comment>
    <comment ref="Y86" authorId="0" shapeId="0" xr:uid="{886F66FB-F322-479C-BAB5-3C302433CAEC}">
      <text>
        <r>
          <rPr>
            <sz val="10"/>
            <color indexed="81"/>
            <rFont val="Lucida Console"/>
            <family val="3"/>
          </rPr>
          <t>_x000D_
ADAP. LUVAS.TES CURVAS COTOVELOS PLUGS FLANGES.....</t>
        </r>
      </text>
    </comment>
    <comment ref="AW86" authorId="0" shapeId="0" xr:uid="{CBB68BA6-4C62-4257-884D-E00933DF3041}">
      <text>
        <r>
          <rPr>
            <sz val="10"/>
            <color indexed="81"/>
            <rFont val="Lucida Console"/>
            <family val="3"/>
          </rPr>
          <t>Tempo de Estoque (Meses)_x000D_
_x000D_
10,0</t>
        </r>
      </text>
    </comment>
    <comment ref="A87" authorId="0" shapeId="0" xr:uid="{6E27442F-EF98-432A-896F-0B06CEF13720}">
      <text>
        <r>
          <rPr>
            <sz val="10"/>
            <color indexed="81"/>
            <rFont val="Lucida Console"/>
            <family val="3"/>
          </rPr>
          <t>_x000D_
95121</t>
        </r>
      </text>
    </comment>
    <comment ref="B87" authorId="0" shapeId="0" xr:uid="{2BB7D484-FC30-48B2-B535-CC4519743B00}">
      <text>
        <r>
          <rPr>
            <sz val="10"/>
            <color indexed="81"/>
            <rFont val="Lucida Console"/>
            <family val="3"/>
          </rPr>
          <t xml:space="preserve">DESCRIÇÃO DETALHADA_x000D_
JOELHO 45° DE PVC SOLDAVEL PARA AGUA, MARROM, 25 MM, DE ACORDO COM A NORMA NBR 5648 E A MARCA DEVERA VIR LITOGRAFADA NA PECA </t>
        </r>
      </text>
    </comment>
    <comment ref="G87" authorId="0" shapeId="0" xr:uid="{2DDFB443-EB58-4809-8DE7-208124006077}">
      <text>
        <r>
          <rPr>
            <sz val="10"/>
            <color indexed="81"/>
            <rFont val="Lucida Console"/>
            <family val="3"/>
          </rPr>
          <t>_x000D_
Últ estimativa : 300_x000D_
Enviada em     : 17.12.2020_x000D_
Ata - Venc     : 101/20 - 27.04.2021</t>
        </r>
      </text>
    </comment>
    <comment ref="O87" authorId="0" shapeId="0" xr:uid="{83428BA7-ECD8-4309-ABBC-7618B120D2C8}">
      <text>
        <r>
          <rPr>
            <sz val="10"/>
            <color indexed="81"/>
            <rFont val="Lucida Console"/>
            <family val="3"/>
          </rPr>
          <t>_x000D_
Pertencia a ATA nº 101/20_x000D_
Estimativa de Renovação enviada em 17.12.2020 - Qtd 300_x000D_
PE  16/20 lote 83_x000D_
18.05.20 = Processo conferido, finalizado.</t>
        </r>
      </text>
    </comment>
    <comment ref="W87" authorId="0" shapeId="0" xr:uid="{08B3F5A4-FD25-49E3-89E1-133B973173F6}">
      <text>
        <r>
          <rPr>
            <sz val="10"/>
            <color indexed="81"/>
            <rFont val="Lucida Console"/>
            <family val="3"/>
          </rPr>
          <t>_x000D_
DM-Hidráulica</t>
        </r>
      </text>
    </comment>
    <comment ref="X87" authorId="0" shapeId="0" xr:uid="{EE87E81C-A9A2-42B8-B828-D1A793CFE86A}">
      <text>
        <r>
          <rPr>
            <sz val="10"/>
            <color indexed="81"/>
            <rFont val="Lucida Console"/>
            <family val="3"/>
          </rPr>
          <t>_x000D_
MATERIAL HIDRAULICO, CANOS, TUBOS, MANGUEIRAS, CONEXOES E ACESS.</t>
        </r>
      </text>
    </comment>
    <comment ref="Y87" authorId="0" shapeId="0" xr:uid="{3780D5D9-B0A5-458B-BF03-74EE692D05C6}">
      <text>
        <r>
          <rPr>
            <sz val="10"/>
            <color indexed="81"/>
            <rFont val="Lucida Console"/>
            <family val="3"/>
          </rPr>
          <t>_x000D_
ADAP. LUVAS.TES CURVAS COTOVELOS PLUGS FLANGES.....</t>
        </r>
      </text>
    </comment>
    <comment ref="AW87" authorId="0" shapeId="0" xr:uid="{2EE1B4AC-48D8-496E-B918-C3043CB98E89}">
      <text>
        <r>
          <rPr>
            <sz val="10"/>
            <color indexed="81"/>
            <rFont val="Lucida Console"/>
            <family val="3"/>
          </rPr>
          <t>Tempo de Estoque (Meses)_x000D_
_x000D_
0,0</t>
        </r>
      </text>
    </comment>
    <comment ref="A88" authorId="0" shapeId="0" xr:uid="{A40F99F7-9764-443F-8868-3E88F0349A27}">
      <text>
        <r>
          <rPr>
            <sz val="10"/>
            <color indexed="81"/>
            <rFont val="Lucida Console"/>
            <family val="3"/>
          </rPr>
          <t>_x000D_
15051</t>
        </r>
      </text>
    </comment>
    <comment ref="B88" authorId="0" shapeId="0" xr:uid="{0BD4922A-C28E-4B89-AE04-AD47D7ACFE07}">
      <text>
        <r>
          <rPr>
            <sz val="10"/>
            <color indexed="81"/>
            <rFont val="Lucida Console"/>
            <family val="3"/>
          </rPr>
          <t>DESCRIÇÃO DETALHADA_x000D_
RALO SIFONADO EM PVC DE 100 X 40 MM (1 1/2")</t>
        </r>
      </text>
    </comment>
    <comment ref="G88" authorId="0" shapeId="0" xr:uid="{DE3E13EB-3D3A-4302-B394-ABFEC44EA1B1}">
      <text>
        <r>
          <rPr>
            <sz val="10"/>
            <color indexed="81"/>
            <rFont val="Lucida Console"/>
            <family val="3"/>
          </rPr>
          <t>_x000D_
Últ estimativa : 100_x000D_
Enviada em     : 17.12.2020_x000D_
Ata - Venc     : 101/20 - 27.04.2021</t>
        </r>
      </text>
    </comment>
    <comment ref="O88" authorId="0" shapeId="0" xr:uid="{5569E559-6AB4-4475-9C7C-9F8F7BCC6B4E}">
      <text>
        <r>
          <rPr>
            <sz val="10"/>
            <color indexed="81"/>
            <rFont val="Lucida Console"/>
            <family val="3"/>
          </rPr>
          <t>_x000D_
Pertencia a ATA nº 101/20_x000D_
Estimativa de Renovação enviada em 17.12.2020 - Qtd 100_x000D_
PE  16/20 lote _x000D_
18.05.20 = Processo conferido, finalizado.</t>
        </r>
      </text>
    </comment>
    <comment ref="W88" authorId="0" shapeId="0" xr:uid="{12B11D6A-190D-4D7D-8849-CD68B4F92C26}">
      <text>
        <r>
          <rPr>
            <sz val="10"/>
            <color indexed="81"/>
            <rFont val="Lucida Console"/>
            <family val="3"/>
          </rPr>
          <t>_x000D_
DM-Hidráulica</t>
        </r>
      </text>
    </comment>
    <comment ref="X88" authorId="0" shapeId="0" xr:uid="{9DADEBF8-92DA-4430-921C-829F4A208EC3}">
      <text>
        <r>
          <rPr>
            <sz val="10"/>
            <color indexed="81"/>
            <rFont val="Lucida Console"/>
            <family val="3"/>
          </rPr>
          <t>_x000D_
MATERIAL HIDRAULICO, CANOS, TUBOS, MANGUEIRAS, CONEXOES E ACESS.</t>
        </r>
      </text>
    </comment>
    <comment ref="Y88" authorId="0" shapeId="0" xr:uid="{62081D94-48F9-4686-B3A4-6D5FA1ADFF72}">
      <text>
        <r>
          <rPr>
            <sz val="10"/>
            <color indexed="81"/>
            <rFont val="Lucida Console"/>
            <family val="3"/>
          </rPr>
          <t>_x000D_
RALOS SIFOES E CAIXAS</t>
        </r>
      </text>
    </comment>
    <comment ref="AW88" authorId="0" shapeId="0" xr:uid="{86683931-35D4-4D30-B7EE-D132F8D442EA}">
      <text>
        <r>
          <rPr>
            <sz val="10"/>
            <color indexed="81"/>
            <rFont val="Lucida Console"/>
            <family val="3"/>
          </rPr>
          <t>Tempo de Estoque (Meses)_x000D_
_x000D_
47,0</t>
        </r>
      </text>
    </comment>
    <comment ref="A89" authorId="0" shapeId="0" xr:uid="{BBEC2F35-E7C7-4AF4-B421-D10A6F5E87DD}">
      <text>
        <r>
          <rPr>
            <sz val="10"/>
            <color indexed="81"/>
            <rFont val="Lucida Console"/>
            <family val="3"/>
          </rPr>
          <t>_x000D_
63031</t>
        </r>
      </text>
    </comment>
    <comment ref="B89" authorId="0" shapeId="0" xr:uid="{8DD78016-F4B8-48B1-B83E-7F0C6B457F6F}">
      <text>
        <r>
          <rPr>
            <sz val="10"/>
            <color indexed="81"/>
            <rFont val="Lucida Console"/>
            <family val="3"/>
          </rPr>
          <t xml:space="preserve">DESCRIÇÃO DETALHADA_x000D_
SIFAO SANFONADO UNIVERSAL </t>
        </r>
      </text>
    </comment>
    <comment ref="G89" authorId="0" shapeId="0" xr:uid="{82B6FA56-13DF-4D4F-91D8-FFEA7B560C4C}">
      <text>
        <r>
          <rPr>
            <sz val="10"/>
            <color indexed="81"/>
            <rFont val="Lucida Console"/>
            <family val="3"/>
          </rPr>
          <t>_x000D_
Últ estimativa : 1.000_x000D_
Enviada em     : 17.12.2020_x000D_
Ata - Venc     : 101/20 - 27.04.2021</t>
        </r>
      </text>
    </comment>
    <comment ref="O89" authorId="0" shapeId="0" xr:uid="{EFC85E61-9019-4832-B0E3-F83F88E5D8FD}">
      <text>
        <r>
          <rPr>
            <sz val="10"/>
            <color indexed="81"/>
            <rFont val="Lucida Console"/>
            <family val="3"/>
          </rPr>
          <t xml:space="preserve">_x000D_
Pertencia a ATA nº 101/20_x000D_
Estimativa de Renovação enviada em 17.12.2020 - Qtd 1.000_x000D_
PE 182/21 lote _x000D_
 = </t>
        </r>
      </text>
    </comment>
    <comment ref="W89" authorId="0" shapeId="0" xr:uid="{D01BF3A9-D4FC-467E-AC3E-265D49425E30}">
      <text>
        <r>
          <rPr>
            <sz val="10"/>
            <color indexed="81"/>
            <rFont val="Lucida Console"/>
            <family val="3"/>
          </rPr>
          <t>_x000D_
DM-Hidráulica</t>
        </r>
      </text>
    </comment>
    <comment ref="X89" authorId="0" shapeId="0" xr:uid="{CD4E2797-84B1-4EBC-8A55-BBE0AF139E8F}">
      <text>
        <r>
          <rPr>
            <sz val="10"/>
            <color indexed="81"/>
            <rFont val="Lucida Console"/>
            <family val="3"/>
          </rPr>
          <t>_x000D_
MATERIAL HIDRAULICO, CANOS, TUBOS, MANGUEIRAS, CONEXOES E ACESS.</t>
        </r>
      </text>
    </comment>
    <comment ref="Y89" authorId="0" shapeId="0" xr:uid="{44FFE7AF-74B3-4398-822B-2529FA984141}">
      <text>
        <r>
          <rPr>
            <sz val="10"/>
            <color indexed="81"/>
            <rFont val="Lucida Console"/>
            <family val="3"/>
          </rPr>
          <t>_x000D_
RALOS SIFOES E CAIXAS</t>
        </r>
      </text>
    </comment>
    <comment ref="AW89" authorId="0" shapeId="0" xr:uid="{3C78B459-8E76-41FE-BD61-5E675EFEFC76}">
      <text>
        <r>
          <rPr>
            <sz val="10"/>
            <color indexed="81"/>
            <rFont val="Lucida Console"/>
            <family val="3"/>
          </rPr>
          <t>Tempo de Estoque (Meses)_x000D_
_x000D_
0,0</t>
        </r>
      </text>
    </comment>
    <comment ref="A90" authorId="0" shapeId="0" xr:uid="{B1CE9614-4257-4596-B8E6-77CED40763D1}">
      <text>
        <r>
          <rPr>
            <sz val="10"/>
            <color indexed="81"/>
            <rFont val="Lucida Console"/>
            <family val="3"/>
          </rPr>
          <t>_x000D_
13161</t>
        </r>
      </text>
    </comment>
    <comment ref="B90" authorId="0" shapeId="0" xr:uid="{E1436378-B23B-4A7F-9C84-C4FC7DF29E7F}">
      <text>
        <r>
          <rPr>
            <sz val="10"/>
            <color indexed="81"/>
            <rFont val="Lucida Console"/>
            <family val="3"/>
          </rPr>
          <t>DESCRIÇÃO DETALHADA_x000D_
TORNEIRA DE MESA, EM LATAO CROMADO, 1/2", P/ LAVATORIO</t>
        </r>
      </text>
    </comment>
    <comment ref="G90" authorId="0" shapeId="0" xr:uid="{4F5DA01D-2DB1-483E-B4B7-73CEDFC511F2}">
      <text>
        <r>
          <rPr>
            <sz val="10"/>
            <color indexed="81"/>
            <rFont val="Lucida Console"/>
            <family val="3"/>
          </rPr>
          <t>_x000D_
Últ estimativa : 250_x000D_
Enviada em     : 17.12.2020_x000D_
Ata - Venc     : 101/20 - 27.04.2021</t>
        </r>
      </text>
    </comment>
    <comment ref="O90" authorId="0" shapeId="0" xr:uid="{534DF163-A75F-446F-A33B-6865FFAA6246}">
      <text>
        <r>
          <rPr>
            <sz val="10"/>
            <color indexed="81"/>
            <rFont val="Lucida Console"/>
            <family val="3"/>
          </rPr>
          <t>_x000D_
Pertencia a ATA nº 101/20_x000D_
Estimativa de Renovação enviada em 17.12.2020 - Qtd 250_x000D_
PE  16/20 lote 18_x000D_
18.05.20 = Processo conferido, finalizado.</t>
        </r>
      </text>
    </comment>
    <comment ref="W90" authorId="0" shapeId="0" xr:uid="{33C0EF8E-5C78-4850-AC2F-CF2F989ACB97}">
      <text>
        <r>
          <rPr>
            <sz val="10"/>
            <color indexed="81"/>
            <rFont val="Lucida Console"/>
            <family val="3"/>
          </rPr>
          <t>_x000D_
DM-Hidráulica</t>
        </r>
      </text>
    </comment>
    <comment ref="X90" authorId="0" shapeId="0" xr:uid="{E7E50DFC-9F90-4BA3-8BC9-E844A2602A41}">
      <text>
        <r>
          <rPr>
            <sz val="10"/>
            <color indexed="81"/>
            <rFont val="Lucida Console"/>
            <family val="3"/>
          </rPr>
          <t>_x000D_
MATERIAL HIDRAULICO, CANOS, TUBOS, MANGUEIRAS, CONEXOES E ACESS.</t>
        </r>
      </text>
    </comment>
    <comment ref="Y90" authorId="0" shapeId="0" xr:uid="{D00A1477-FA2F-4C49-9541-8F73AE2629C2}">
      <text>
        <r>
          <rPr>
            <sz val="10"/>
            <color indexed="81"/>
            <rFont val="Lucida Console"/>
            <family val="3"/>
          </rPr>
          <t>_x000D_
TORNEIRAS VOLANTES CANOPLAS E ACESS. P/ MANGUEIRA</t>
        </r>
      </text>
    </comment>
    <comment ref="AW90" authorId="0" shapeId="0" xr:uid="{B5333055-F628-456F-BDC3-6CAE7011EA57}">
      <text>
        <r>
          <rPr>
            <sz val="10"/>
            <color indexed="81"/>
            <rFont val="Lucida Console"/>
            <family val="3"/>
          </rPr>
          <t>Tempo de Estoque (Meses)_x000D_
_x000D_
0,0</t>
        </r>
      </text>
    </comment>
    <comment ref="A91" authorId="0" shapeId="0" xr:uid="{07E17412-B524-446E-8B35-42A9626A5971}">
      <text>
        <r>
          <rPr>
            <sz val="10"/>
            <color indexed="81"/>
            <rFont val="Lucida Console"/>
            <family val="3"/>
          </rPr>
          <t>_x000D_
88856</t>
        </r>
      </text>
    </comment>
    <comment ref="B91" authorId="0" shapeId="0" xr:uid="{CAD21210-40FE-4E81-B005-2426512D9492}">
      <text>
        <r>
          <rPr>
            <sz val="10"/>
            <color indexed="81"/>
            <rFont val="Lucida Console"/>
            <family val="3"/>
          </rPr>
          <t>DESCRIÇÃO DETALHADA_x000D_
BARRA DE FERRO TEE 1 X 1/8 - BARRA COM 06 METROS</t>
        </r>
      </text>
    </comment>
    <comment ref="G91" authorId="0" shapeId="0" xr:uid="{EEFB67BF-FECB-4EFA-8219-DC39B8AE6C96}">
      <text>
        <r>
          <rPr>
            <sz val="10"/>
            <color indexed="81"/>
            <rFont val="Lucida Console"/>
            <family val="3"/>
          </rPr>
          <t>_x000D_
Últ estimativa : 400_x000D_
Enviada em     : 19.05.2021_x000D_
Ata - Venc     : 104/20 - 03.05.2021</t>
        </r>
      </text>
    </comment>
    <comment ref="O91" authorId="0" shapeId="0" xr:uid="{2ED71464-360B-4737-9373-FC223BFDEF3F}">
      <text>
        <r>
          <rPr>
            <sz val="10"/>
            <color indexed="81"/>
            <rFont val="Lucida Console"/>
            <family val="3"/>
          </rPr>
          <t>_x000D_
Pertencia a ATA nº 104/20_x000D_
Estimativa de Renovação enviada em 19.05.2021 - Qtd 400_x000D_
PE  17/20 lote _x000D_
19.05.20 = Finalizar, contrato assinado.</t>
        </r>
      </text>
    </comment>
    <comment ref="W91" authorId="0" shapeId="0" xr:uid="{B21E1CDD-DF7B-4761-9416-60679A91CAE9}">
      <text>
        <r>
          <rPr>
            <sz val="10"/>
            <color indexed="81"/>
            <rFont val="Lucida Console"/>
            <family val="3"/>
          </rPr>
          <t>_x000D_
DM-Serralheria</t>
        </r>
      </text>
    </comment>
    <comment ref="X91" authorId="0" shapeId="0" xr:uid="{200D9F5A-46BC-4255-BFA4-A2F19C8A2480}">
      <text>
        <r>
          <rPr>
            <sz val="10"/>
            <color indexed="81"/>
            <rFont val="Lucida Console"/>
            <family val="3"/>
          </rPr>
          <t>_x000D_
METAIS,LAMINAD.,PERFILADOS E ARTEFATOS METALICOS</t>
        </r>
      </text>
    </comment>
    <comment ref="Y91" authorId="0" shapeId="0" xr:uid="{997CB15E-7638-4597-B05E-EC166F09527C}">
      <text>
        <r>
          <rPr>
            <sz val="10"/>
            <color indexed="81"/>
            <rFont val="Lucida Console"/>
            <family val="3"/>
          </rPr>
          <t>_x000D_
PERFIS E BARRA</t>
        </r>
      </text>
    </comment>
    <comment ref="AW91" authorId="0" shapeId="0" xr:uid="{C7FEE6C9-10CD-4522-84C2-705828EB5FF2}">
      <text>
        <r>
          <rPr>
            <sz val="10"/>
            <color indexed="81"/>
            <rFont val="Lucida Console"/>
            <family val="3"/>
          </rPr>
          <t>Tempo de Estoque (Meses)_x000D_
_x000D_
450,0</t>
        </r>
      </text>
    </comment>
    <comment ref="A92" authorId="0" shapeId="0" xr:uid="{4E21E343-EF47-45E8-8C10-C8A9649538E4}">
      <text>
        <r>
          <rPr>
            <sz val="10"/>
            <color indexed="81"/>
            <rFont val="Lucida Console"/>
            <family val="3"/>
          </rPr>
          <t>_x000D_
66168</t>
        </r>
      </text>
    </comment>
    <comment ref="B92" authorId="0" shapeId="0" xr:uid="{519B6E7E-524D-4C4E-8DB9-0ACB8FC6545B}">
      <text>
        <r>
          <rPr>
            <sz val="10"/>
            <color indexed="81"/>
            <rFont val="Lucida Console"/>
            <family val="3"/>
          </rPr>
          <t>DESCRIÇÃO DETALHADA_x000D_
TUBO QUADRADO DE METALON 20MM X 20MM X 1,5MM - BARRA COM 06 METROS</t>
        </r>
      </text>
    </comment>
    <comment ref="G92" authorId="0" shapeId="0" xr:uid="{E59F2BE0-326A-419D-A104-13DBB3BDCD63}">
      <text>
        <r>
          <rPr>
            <sz val="10"/>
            <color indexed="81"/>
            <rFont val="Lucida Console"/>
            <family val="3"/>
          </rPr>
          <t>_x000D_
Últ estimativa : 500_x000D_
Enviada em     : 19.05.2021_x000D_
Ata - Venc     : 104/20 - 03.05.2021</t>
        </r>
      </text>
    </comment>
    <comment ref="O92" authorId="0" shapeId="0" xr:uid="{C779B949-BB53-48A0-BE16-71495E890159}">
      <text>
        <r>
          <rPr>
            <sz val="10"/>
            <color indexed="81"/>
            <rFont val="Lucida Console"/>
            <family val="3"/>
          </rPr>
          <t>_x000D_
Pertencia a ATA nº 104/20_x000D_
Estimativa de Renovação enviada em 19.05.2021 - Qtd 500_x000D_
PE  17/20 lote _x000D_
19.05.20 = Finalizar, contrato assinado.</t>
        </r>
      </text>
    </comment>
    <comment ref="W92" authorId="0" shapeId="0" xr:uid="{03BC82D7-6B90-4327-BCC5-59E75D35167E}">
      <text>
        <r>
          <rPr>
            <sz val="10"/>
            <color indexed="81"/>
            <rFont val="Lucida Console"/>
            <family val="3"/>
          </rPr>
          <t>_x000D_
DM-Serralheria</t>
        </r>
      </text>
    </comment>
    <comment ref="X92" authorId="0" shapeId="0" xr:uid="{0054AB43-6058-4527-B1CD-43646EB9EB24}">
      <text>
        <r>
          <rPr>
            <sz val="10"/>
            <color indexed="81"/>
            <rFont val="Lucida Console"/>
            <family val="3"/>
          </rPr>
          <t>_x000D_
METAIS,LAMINAD.,PERFILADOS E ARTEFATOS METALICOS</t>
        </r>
      </text>
    </comment>
    <comment ref="Y92" authorId="0" shapeId="0" xr:uid="{45017BA2-24C9-44D7-901C-94DA97512578}">
      <text>
        <r>
          <rPr>
            <sz val="10"/>
            <color indexed="81"/>
            <rFont val="Lucida Console"/>
            <family val="3"/>
          </rPr>
          <t>_x000D_
TUBOS MECANICOS</t>
        </r>
      </text>
    </comment>
    <comment ref="AW92" authorId="0" shapeId="0" xr:uid="{75169938-E06D-4A87-9E37-B29D036F33C6}">
      <text>
        <r>
          <rPr>
            <sz val="10"/>
            <color indexed="81"/>
            <rFont val="Lucida Console"/>
            <family val="3"/>
          </rPr>
          <t>Tempo de Estoque (Meses)_x000D_
_x000D_
139,0</t>
        </r>
      </text>
    </comment>
    <comment ref="A93" authorId="0" shapeId="0" xr:uid="{C1D8B89A-B2DF-4E0B-A23E-4189A88A928F}">
      <text>
        <r>
          <rPr>
            <sz val="10"/>
            <color indexed="81"/>
            <rFont val="Lucida Console"/>
            <family val="3"/>
          </rPr>
          <t>_x000D_
60517</t>
        </r>
      </text>
    </comment>
    <comment ref="B93" authorId="0" shapeId="0" xr:uid="{AD4292F7-8E1E-4B6A-BFEC-9A6CF80F7B8E}">
      <text>
        <r>
          <rPr>
            <sz val="10"/>
            <color indexed="81"/>
            <rFont val="Lucida Console"/>
            <family val="3"/>
          </rPr>
          <t>DESCRIÇÃO DETALHADA_x000D_
FERRO REDONDO DE 5/8" - BARRA COM 06 METROS (FERRO MECANICO)</t>
        </r>
      </text>
    </comment>
    <comment ref="G93" authorId="0" shapeId="0" xr:uid="{73C2F097-9E86-4F14-AD4B-00B9D24532E1}">
      <text>
        <r>
          <rPr>
            <sz val="10"/>
            <color indexed="81"/>
            <rFont val="Lucida Console"/>
            <family val="3"/>
          </rPr>
          <t>_x000D_
Últ estimativa : 200_x000D_
Enviada em     : 28.01.2021_x000D_
Ata - Venc     : 104/20 - 03.05.2021</t>
        </r>
      </text>
    </comment>
    <comment ref="O93" authorId="0" shapeId="0" xr:uid="{3563ABEF-AE4B-4163-A8F1-68EBA739445F}">
      <text>
        <r>
          <rPr>
            <sz val="10"/>
            <color indexed="81"/>
            <rFont val="Lucida Console"/>
            <family val="3"/>
          </rPr>
          <t>_x000D_
Pertencia a ATA nº 104/20_x000D_
Estimativa de Renovação enviada em 28.01.2021 - Qtd 200_x000D_
PE  17/20 lote _x000D_
19.05.20 = Finalizar, contrato assinado.</t>
        </r>
      </text>
    </comment>
    <comment ref="W93" authorId="0" shapeId="0" xr:uid="{6957F196-D280-47B6-8176-ED54A5002F87}">
      <text>
        <r>
          <rPr>
            <sz val="10"/>
            <color indexed="81"/>
            <rFont val="Lucida Console"/>
            <family val="3"/>
          </rPr>
          <t>_x000D_
DM-Construção</t>
        </r>
      </text>
    </comment>
    <comment ref="X93" authorId="0" shapeId="0" xr:uid="{BCE75A10-D044-4D3C-806C-C57533BCEB20}">
      <text>
        <r>
          <rPr>
            <sz val="10"/>
            <color indexed="81"/>
            <rFont val="Lucida Console"/>
            <family val="3"/>
          </rPr>
          <t>_x000D_
MAT.E EQUIP. P/ CONSTR.CIVIL E CONSERV. DE VIAS PUBL.</t>
        </r>
      </text>
    </comment>
    <comment ref="Y93" authorId="0" shapeId="0" xr:uid="{05B38AAD-0002-4A1C-BB13-FF6C5F4DA5EC}">
      <text>
        <r>
          <rPr>
            <sz val="10"/>
            <color indexed="81"/>
            <rFont val="Lucida Console"/>
            <family val="3"/>
          </rPr>
          <t>_x000D_
FERRAGENS E AFINS</t>
        </r>
      </text>
    </comment>
    <comment ref="AW93" authorId="0" shapeId="0" xr:uid="{08080FCB-3238-4B7D-A676-04A100E3A882}">
      <text>
        <r>
          <rPr>
            <sz val="10"/>
            <color indexed="81"/>
            <rFont val="Lucida Console"/>
            <family val="3"/>
          </rPr>
          <t>Tempo de Estoque (Meses)_x000D_
_x000D_
1.781,0</t>
        </r>
      </text>
    </comment>
    <comment ref="A94" authorId="0" shapeId="0" xr:uid="{DD84880A-405B-4331-B9E5-C6DA03285B26}">
      <text>
        <r>
          <rPr>
            <sz val="10"/>
            <color indexed="81"/>
            <rFont val="Lucida Console"/>
            <family val="3"/>
          </rPr>
          <t>_x000D_
87348</t>
        </r>
      </text>
    </comment>
    <comment ref="B94" authorId="0" shapeId="0" xr:uid="{B174C033-384F-461A-AE49-2A26178561CA}">
      <text>
        <r>
          <rPr>
            <sz val="10"/>
            <color indexed="81"/>
            <rFont val="Lucida Console"/>
            <family val="3"/>
          </rPr>
          <t>DESCRIÇÃO DETALHADA_x000D_
FERRO CHATO 1/2" X 1/4" - BARRA C/ 06 METROS</t>
        </r>
      </text>
    </comment>
    <comment ref="G94" authorId="0" shapeId="0" xr:uid="{015FC1DA-E171-44C4-9419-402E2CC4B258}">
      <text>
        <r>
          <rPr>
            <sz val="10"/>
            <color indexed="81"/>
            <rFont val="Lucida Console"/>
            <family val="3"/>
          </rPr>
          <t>_x000D_
Últ estimativa : 0_x000D_
Enviada em     : 28.01.2021_x000D_
Ata - Venc     : 104/20 - 03.05.2021</t>
        </r>
      </text>
    </comment>
    <comment ref="O94" authorId="0" shapeId="0" xr:uid="{9A97D3D0-0892-41AB-9230-661F047B9F2F}">
      <text>
        <r>
          <rPr>
            <sz val="10"/>
            <color indexed="81"/>
            <rFont val="Lucida Console"/>
            <family val="3"/>
          </rPr>
          <t>_x000D_
Pertencia a ATA nº 104/20_x000D_
Estimativa de Renovação enviada em 28.01.2021 - Qtd _x000D_
PE  17/20 lote _x000D_
19.05.20 = Finalizar, contrato assinado.</t>
        </r>
      </text>
    </comment>
    <comment ref="W94" authorId="0" shapeId="0" xr:uid="{091175E4-2AE4-454E-928F-D3EFE13AEAC0}">
      <text>
        <r>
          <rPr>
            <sz val="10"/>
            <color indexed="81"/>
            <rFont val="Lucida Console"/>
            <family val="3"/>
          </rPr>
          <t>_x000D_
DM-Construção</t>
        </r>
      </text>
    </comment>
    <comment ref="X94" authorId="0" shapeId="0" xr:uid="{926F90B3-3E9A-48FD-86B2-AD5382D4A27D}">
      <text>
        <r>
          <rPr>
            <sz val="10"/>
            <color indexed="81"/>
            <rFont val="Lucida Console"/>
            <family val="3"/>
          </rPr>
          <t>_x000D_
MAT.E EQUIP. P/ CONSTR.CIVIL E CONSERV. DE VIAS PUBL.</t>
        </r>
      </text>
    </comment>
    <comment ref="Y94" authorId="0" shapeId="0" xr:uid="{F95CCBAD-55C8-40F1-99FD-5DEA528DAA26}">
      <text>
        <r>
          <rPr>
            <sz val="10"/>
            <color indexed="81"/>
            <rFont val="Lucida Console"/>
            <family val="3"/>
          </rPr>
          <t>_x000D_
FERRAGENS E AFINS</t>
        </r>
      </text>
    </comment>
    <comment ref="AW94" authorId="0" shapeId="0" xr:uid="{C8E67150-3833-43F0-9F13-5048B3B36B69}">
      <text>
        <r>
          <rPr>
            <sz val="10"/>
            <color indexed="81"/>
            <rFont val="Lucida Console"/>
            <family val="3"/>
          </rPr>
          <t>Tempo de Estoque (Meses)_x000D_
_x000D_
832,0</t>
        </r>
      </text>
    </comment>
    <comment ref="A95" authorId="0" shapeId="0" xr:uid="{93339A20-069E-4052-A47A-19D607AD9401}">
      <text>
        <r>
          <rPr>
            <sz val="10"/>
            <color indexed="81"/>
            <rFont val="Lucida Console"/>
            <family val="3"/>
          </rPr>
          <t>_x000D_
13221</t>
        </r>
      </text>
    </comment>
    <comment ref="B95" authorId="0" shapeId="0" xr:uid="{0A5C81C6-8D78-4BB9-B78B-2AF4C4926CB5}">
      <text>
        <r>
          <rPr>
            <sz val="10"/>
            <color indexed="81"/>
            <rFont val="Lucida Console"/>
            <family val="3"/>
          </rPr>
          <t>DESCRIÇÃO DETALHADA_x000D_
PARAFUSO GALVANIZADO P/ FIXACAO DE TELHAS MODULADAS - 5/16 X 110 MM</t>
        </r>
      </text>
    </comment>
    <comment ref="G95" authorId="0" shapeId="0" xr:uid="{E97EBE03-C225-43FB-97DE-244C050EDC3F}">
      <text>
        <r>
          <rPr>
            <sz val="10"/>
            <color indexed="81"/>
            <rFont val="Lucida Console"/>
            <family val="3"/>
          </rPr>
          <t>_x000D_
Últ estimativa : 0_x000D_
Enviada em     : 28.01.2021_x000D_
Ata - Venc     : 104/20 - 03.05.2021</t>
        </r>
      </text>
    </comment>
    <comment ref="O95" authorId="0" shapeId="0" xr:uid="{0E267A3B-D802-47E1-981F-92CC1B7711CE}">
      <text>
        <r>
          <rPr>
            <sz val="10"/>
            <color indexed="81"/>
            <rFont val="Lucida Console"/>
            <family val="3"/>
          </rPr>
          <t>_x000D_
Pertencia a ATA nº 104/20_x000D_
Estimativa de Renovação enviada em 28.01.2021 - Qtd _x000D_
PE  17/20 lote 1_x000D_
19.05.20 = Finalizar, contrato assinado.</t>
        </r>
      </text>
    </comment>
    <comment ref="W95" authorId="0" shapeId="0" xr:uid="{45E5D9BD-1FF4-43DC-894F-8E2FE7FF0D7D}">
      <text>
        <r>
          <rPr>
            <sz val="10"/>
            <color indexed="81"/>
            <rFont val="Lucida Console"/>
            <family val="3"/>
          </rPr>
          <t>_x000D_
DM-Construção</t>
        </r>
      </text>
    </comment>
    <comment ref="X95" authorId="0" shapeId="0" xr:uid="{1CF75DB0-48D7-4401-B3B1-B93B2658FF61}">
      <text>
        <r>
          <rPr>
            <sz val="10"/>
            <color indexed="81"/>
            <rFont val="Lucida Console"/>
            <family val="3"/>
          </rPr>
          <t>_x000D_
PARAFUSOS ELEM. VEDACAO UNIAO CONEX . FIXACAO</t>
        </r>
      </text>
    </comment>
    <comment ref="Y95" authorId="0" shapeId="0" xr:uid="{0096BB91-46C1-45B7-8104-4816F13BCA67}">
      <text>
        <r>
          <rPr>
            <sz val="10"/>
            <color indexed="81"/>
            <rFont val="Lucida Console"/>
            <family val="3"/>
          </rPr>
          <t>_x000D_
HASTES</t>
        </r>
      </text>
    </comment>
    <comment ref="AW95" authorId="0" shapeId="0" xr:uid="{600C6AAB-9FC3-4678-839C-3EAF48FEB60A}">
      <text>
        <r>
          <rPr>
            <sz val="10"/>
            <color indexed="81"/>
            <rFont val="Lucida Console"/>
            <family val="3"/>
          </rPr>
          <t>Tempo de Estoque (Meses)_x000D_
_x000D_
1.794,0</t>
        </r>
      </text>
    </comment>
    <comment ref="A96" authorId="0" shapeId="0" xr:uid="{9912FD63-5BCE-42E1-B395-51DFD45ED612}">
      <text>
        <r>
          <rPr>
            <sz val="10"/>
            <color indexed="81"/>
            <rFont val="Lucida Console"/>
            <family val="3"/>
          </rPr>
          <t>_x000D_
13222</t>
        </r>
      </text>
    </comment>
    <comment ref="B96" authorId="0" shapeId="0" xr:uid="{706826D7-9983-458E-85CD-481A0DF4D4C8}">
      <text>
        <r>
          <rPr>
            <sz val="10"/>
            <color indexed="81"/>
            <rFont val="Lucida Console"/>
            <family val="3"/>
          </rPr>
          <t>DESCRIÇÃO DETALHADA_x000D_
PARAFUSO GALVANIZADO P/ FIXACAO DE TELHAS MODULADAS - 8 X 150 MM</t>
        </r>
      </text>
    </comment>
    <comment ref="G96" authorId="0" shapeId="0" xr:uid="{348AB5EF-6583-4A04-ABFD-488B8F7A01BD}">
      <text>
        <r>
          <rPr>
            <sz val="10"/>
            <color indexed="81"/>
            <rFont val="Lucida Console"/>
            <family val="3"/>
          </rPr>
          <t>_x000D_
Últ estimativa : 0_x000D_
Enviada em     : 28.01.2021_x000D_
Ata - Venc     : 104/20 - 03.05.2021</t>
        </r>
      </text>
    </comment>
    <comment ref="O96" authorId="0" shapeId="0" xr:uid="{B686656D-5CB8-42C9-9507-CA7BC754073D}">
      <text>
        <r>
          <rPr>
            <sz val="10"/>
            <color indexed="81"/>
            <rFont val="Lucida Console"/>
            <family val="3"/>
          </rPr>
          <t>_x000D_
Pertencia a ATA nº 104/20_x000D_
Estimativa de Renovação enviada em 28.01.2021 - Qtd _x000D_
PE  17/20 lote 2_x000D_
19.05.20 = Finalizar, contrato assinado.</t>
        </r>
      </text>
    </comment>
    <comment ref="W96" authorId="0" shapeId="0" xr:uid="{BB48270A-B5AD-4EAC-B11C-4CBBC80D507E}">
      <text>
        <r>
          <rPr>
            <sz val="10"/>
            <color indexed="81"/>
            <rFont val="Lucida Console"/>
            <family val="3"/>
          </rPr>
          <t>_x000D_
DM-Construção</t>
        </r>
      </text>
    </comment>
    <comment ref="X96" authorId="0" shapeId="0" xr:uid="{83CDE0FB-E247-4C54-B71A-EF7750DC4CBA}">
      <text>
        <r>
          <rPr>
            <sz val="10"/>
            <color indexed="81"/>
            <rFont val="Lucida Console"/>
            <family val="3"/>
          </rPr>
          <t>_x000D_
PARAFUSOS ELEM. VEDACAO UNIAO CONEX . FIXACAO</t>
        </r>
      </text>
    </comment>
    <comment ref="Y96" authorId="0" shapeId="0" xr:uid="{B317C020-2F67-4695-B4F8-0DE5192FB45B}">
      <text>
        <r>
          <rPr>
            <sz val="10"/>
            <color indexed="81"/>
            <rFont val="Lucida Console"/>
            <family val="3"/>
          </rPr>
          <t>_x000D_
HASTES</t>
        </r>
      </text>
    </comment>
    <comment ref="AW96" authorId="0" shapeId="0" xr:uid="{B2D7DDE7-AC49-46B6-B022-EC6974C4F027}">
      <text>
        <r>
          <rPr>
            <sz val="10"/>
            <color indexed="81"/>
            <rFont val="Lucida Console"/>
            <family val="3"/>
          </rPr>
          <t>Tempo de Estoque (Meses)_x000D_
_x000D_
1.141,0</t>
        </r>
      </text>
    </comment>
    <comment ref="A97" authorId="0" shapeId="0" xr:uid="{2EE9359A-D0D4-4846-8773-947E41BA81FE}">
      <text>
        <r>
          <rPr>
            <sz val="10"/>
            <color indexed="81"/>
            <rFont val="Lucida Console"/>
            <family val="3"/>
          </rPr>
          <t>_x000D_
37528</t>
        </r>
      </text>
    </comment>
    <comment ref="B97" authorId="0" shapeId="0" xr:uid="{6F204FD2-D29F-4C93-83CE-09F14B404EC9}">
      <text>
        <r>
          <rPr>
            <sz val="10"/>
            <color indexed="81"/>
            <rFont val="Lucida Console"/>
            <family val="3"/>
          </rPr>
          <t>DESCRIÇÃO DETALHADA_x000D_
PARAFUSO CABECA REDONDA P/ FIXACAO DE VASO SANITARIO - 4,5MM X 3" - C/ BUCHA E ARRUELA</t>
        </r>
      </text>
    </comment>
    <comment ref="G97" authorId="0" shapeId="0" xr:uid="{7BB54960-BD8B-49DF-A13D-EC899F222BDF}">
      <text>
        <r>
          <rPr>
            <sz val="10"/>
            <color indexed="81"/>
            <rFont val="Lucida Console"/>
            <family val="3"/>
          </rPr>
          <t>_x000D_
Últ estimativa : 0_x000D_
Enviada em     : 28.01.2021_x000D_
Ata - Venc     : 104/20 - 03.05.2021</t>
        </r>
      </text>
    </comment>
    <comment ref="O97" authorId="0" shapeId="0" xr:uid="{9C5A683D-2DDE-4EE0-A396-EAFFC6DF8484}">
      <text>
        <r>
          <rPr>
            <sz val="10"/>
            <color indexed="81"/>
            <rFont val="Lucida Console"/>
            <family val="3"/>
          </rPr>
          <t>_x000D_
Pertencia a ATA nº 104/20_x000D_
Estimativa de Renovação enviada em 28.01.2021 - Qtd _x000D_
PE  17/20 lote _x000D_
19.05.20 = Finalizar, contrato assinado.</t>
        </r>
      </text>
    </comment>
    <comment ref="W97" authorId="0" shapeId="0" xr:uid="{EB7B6353-393D-45D6-9CF1-52B08C9931B6}">
      <text>
        <r>
          <rPr>
            <sz val="10"/>
            <color indexed="81"/>
            <rFont val="Lucida Console"/>
            <family val="3"/>
          </rPr>
          <t>_x000D_
DM-Construção</t>
        </r>
      </text>
    </comment>
    <comment ref="X97" authorId="0" shapeId="0" xr:uid="{1F11E1F8-E9F4-4668-B8EB-1E4F21653B3E}">
      <text>
        <r>
          <rPr>
            <sz val="10"/>
            <color indexed="81"/>
            <rFont val="Lucida Console"/>
            <family val="3"/>
          </rPr>
          <t>_x000D_
PARAFUSOS ELEM. VEDACAO UNIAO CONEX . FIXACAO</t>
        </r>
      </text>
    </comment>
    <comment ref="Y97" authorId="0" shapeId="0" xr:uid="{7A3995FE-D446-4268-B2B8-EA7EF145D036}">
      <text>
        <r>
          <rPr>
            <sz val="10"/>
            <color indexed="81"/>
            <rFont val="Lucida Console"/>
            <family val="3"/>
          </rPr>
          <t>_x000D_
HASTES</t>
        </r>
      </text>
    </comment>
    <comment ref="AW97" authorId="0" shapeId="0" xr:uid="{3F936C33-BB5D-4B6F-8A44-7235C865B75B}">
      <text>
        <r>
          <rPr>
            <sz val="10"/>
            <color indexed="81"/>
            <rFont val="Lucida Console"/>
            <family val="3"/>
          </rPr>
          <t>Tempo de Estoque (Meses)_x000D_
_x000D_
823,0</t>
        </r>
      </text>
    </comment>
    <comment ref="A98" authorId="0" shapeId="0" xr:uid="{9DF4309C-58CB-4692-BBF9-C270190CFEEF}">
      <text>
        <r>
          <rPr>
            <sz val="10"/>
            <color indexed="81"/>
            <rFont val="Lucida Console"/>
            <family val="3"/>
          </rPr>
          <t>_x000D_
64626</t>
        </r>
      </text>
    </comment>
    <comment ref="B98" authorId="0" shapeId="0" xr:uid="{4AA41108-7FA7-42B3-91E0-BB23E6F6A003}">
      <text>
        <r>
          <rPr>
            <sz val="10"/>
            <color indexed="81"/>
            <rFont val="Lucida Console"/>
            <family val="3"/>
          </rPr>
          <t>DESCRIÇÃO DETALHADA_x000D_
FERRO CHATO - 1.1/2" X 1/4" - BARRA COM 06 METROS</t>
        </r>
      </text>
    </comment>
    <comment ref="G98" authorId="0" shapeId="0" xr:uid="{240234DE-099B-4A7E-A932-2E3EDD359B5D}">
      <text>
        <r>
          <rPr>
            <sz val="10"/>
            <color indexed="81"/>
            <rFont val="Lucida Console"/>
            <family val="3"/>
          </rPr>
          <t>_x000D_
Últ estimativa : 700_x000D_
Enviada em     : 28.01.2021_x000D_
Ata - Venc     : 104/20 - 03.05.2021</t>
        </r>
      </text>
    </comment>
    <comment ref="O98" authorId="0" shapeId="0" xr:uid="{8CCE0D6F-30A5-42F0-82B0-9871DCBD32AB}">
      <text>
        <r>
          <rPr>
            <sz val="10"/>
            <color indexed="81"/>
            <rFont val="Lucida Console"/>
            <family val="3"/>
          </rPr>
          <t>_x000D_
Pertencia a ATA nº 104/20_x000D_
Estimativa de Renovação enviada em 28.01.2021 - Qtd 700_x000D_
PE  17/20 lote _x000D_
19.05.20 = Finalizar, contrato assinado.</t>
        </r>
      </text>
    </comment>
    <comment ref="W98" authorId="0" shapeId="0" xr:uid="{888AFC49-B0E3-427E-B700-8DEA642DD4BD}">
      <text>
        <r>
          <rPr>
            <sz val="10"/>
            <color indexed="81"/>
            <rFont val="Lucida Console"/>
            <family val="3"/>
          </rPr>
          <t>_x000D_
DM-Construção</t>
        </r>
      </text>
    </comment>
    <comment ref="X98" authorId="0" shapeId="0" xr:uid="{FEE10B80-54EF-4527-ACD5-50745551AE1B}">
      <text>
        <r>
          <rPr>
            <sz val="10"/>
            <color indexed="81"/>
            <rFont val="Lucida Console"/>
            <family val="3"/>
          </rPr>
          <t>_x000D_
METAIS,LAMINAD.,PERFILADOS E ARTEFATOS METALICOS</t>
        </r>
      </text>
    </comment>
    <comment ref="Y98" authorId="0" shapeId="0" xr:uid="{17C9D604-487C-4CA2-A00F-CA990F612377}">
      <text>
        <r>
          <rPr>
            <sz val="10"/>
            <color indexed="81"/>
            <rFont val="Lucida Console"/>
            <family val="3"/>
          </rPr>
          <t>_x000D_
FERROS E ACOS AVULSOS</t>
        </r>
      </text>
    </comment>
    <comment ref="AW98" authorId="0" shapeId="0" xr:uid="{E642FE49-EB05-49C2-B3C4-5776F077846E}">
      <text>
        <r>
          <rPr>
            <sz val="10"/>
            <color indexed="81"/>
            <rFont val="Lucida Console"/>
            <family val="3"/>
          </rPr>
          <t>Tempo de Estoque (Meses)_x000D_
_x000D_
2.397,0</t>
        </r>
      </text>
    </comment>
    <comment ref="A99" authorId="0" shapeId="0" xr:uid="{8A5B0A42-91D3-4975-8C42-FFBC9BCBDED6}">
      <text>
        <r>
          <rPr>
            <sz val="10"/>
            <color indexed="81"/>
            <rFont val="Lucida Console"/>
            <family val="3"/>
          </rPr>
          <t>_x000D_
13556</t>
        </r>
      </text>
    </comment>
    <comment ref="B99" authorId="0" shapeId="0" xr:uid="{1E89E1F4-9484-4B6D-9700-58C8C29CC496}">
      <text>
        <r>
          <rPr>
            <sz val="10"/>
            <color indexed="81"/>
            <rFont val="Lucida Console"/>
            <family val="3"/>
          </rPr>
          <t>DESCRIÇÃO DETALHADA_x000D_
TUBO DE FERRO GALVANIZADO 4" BR C/ 6 M</t>
        </r>
      </text>
    </comment>
    <comment ref="G99" authorId="0" shapeId="0" xr:uid="{BCEB4B83-588A-4A27-B250-FE7A7F23E6CD}">
      <text>
        <r>
          <rPr>
            <sz val="10"/>
            <color indexed="81"/>
            <rFont val="Lucida Console"/>
            <family val="3"/>
          </rPr>
          <t>_x000D_
Últ estimativa : 0_x000D_
Enviada em     : 28.01.2021_x000D_
Ata - Venc     : 104/20 - 03.05.2021</t>
        </r>
      </text>
    </comment>
    <comment ref="O99" authorId="0" shapeId="0" xr:uid="{8F5F06F7-184B-4166-BB55-E9E3A0BE1D21}">
      <text>
        <r>
          <rPr>
            <sz val="10"/>
            <color indexed="81"/>
            <rFont val="Lucida Console"/>
            <family val="3"/>
          </rPr>
          <t>_x000D_
Pertencia a ATA nº 104/20_x000D_
Estimativa de Renovação enviada em 28.01.2021 - Qtd _x000D_
PE  17/20 lote _x000D_
19.05.20 = Finalizar, contrato assinado.</t>
        </r>
      </text>
    </comment>
    <comment ref="W99" authorId="0" shapeId="0" xr:uid="{2C0E7F37-CCD4-4FA3-8C7E-AA27A07AFA5A}">
      <text>
        <r>
          <rPr>
            <sz val="10"/>
            <color indexed="81"/>
            <rFont val="Lucida Console"/>
            <family val="3"/>
          </rPr>
          <t>_x000D_
DM-Serralheria</t>
        </r>
      </text>
    </comment>
    <comment ref="X99" authorId="0" shapeId="0" xr:uid="{2D00F8EE-EF90-488A-BDD5-6FA0708BEEFC}">
      <text>
        <r>
          <rPr>
            <sz val="10"/>
            <color indexed="81"/>
            <rFont val="Lucida Console"/>
            <family val="3"/>
          </rPr>
          <t>_x000D_
METAIS,LAMINAD.,PERFILADOS E ARTEFATOS METALICOS</t>
        </r>
      </text>
    </comment>
    <comment ref="Y99" authorId="0" shapeId="0" xr:uid="{AACE1257-26BF-41EA-B740-A2F3BDD35E19}">
      <text>
        <r>
          <rPr>
            <sz val="10"/>
            <color indexed="81"/>
            <rFont val="Lucida Console"/>
            <family val="3"/>
          </rPr>
          <t>_x000D_
BARRAS DE ACO ESPECIFICOS P/ USOS VARIADOS</t>
        </r>
      </text>
    </comment>
    <comment ref="AW99" authorId="0" shapeId="0" xr:uid="{CC8D6AC5-B39B-49E3-94CB-081B902102AA}">
      <text>
        <r>
          <rPr>
            <sz val="10"/>
            <color indexed="81"/>
            <rFont val="Lucida Console"/>
            <family val="3"/>
          </rPr>
          <t>Tempo de Estoque (Meses)_x000D_
_x000D_
44,0</t>
        </r>
      </text>
    </comment>
    <comment ref="A100" authorId="0" shapeId="0" xr:uid="{ED6145A2-52A9-46CC-BA96-677AB6BB6AF1}">
      <text>
        <r>
          <rPr>
            <sz val="10"/>
            <color indexed="81"/>
            <rFont val="Lucida Console"/>
            <family val="3"/>
          </rPr>
          <t>_x000D_
44398</t>
        </r>
      </text>
    </comment>
    <comment ref="B100" authorId="0" shapeId="0" xr:uid="{AD2E0EB0-8745-4277-9E8D-4C7AA0CF23B4}">
      <text>
        <r>
          <rPr>
            <sz val="10"/>
            <color indexed="81"/>
            <rFont val="Lucida Console"/>
            <family val="3"/>
          </rPr>
          <t>DESCRIÇÃO DETALHADA_x000D_
TUBO DE FERRO TIPO METALON, 40 X 20 X 1,5 MM, BARRA COM 6 M</t>
        </r>
      </text>
    </comment>
    <comment ref="G100" authorId="0" shapeId="0" xr:uid="{CF0C4782-ED0F-444D-A862-53ED025087C7}">
      <text>
        <r>
          <rPr>
            <sz val="10"/>
            <color indexed="81"/>
            <rFont val="Lucida Console"/>
            <family val="3"/>
          </rPr>
          <t>_x000D_
Últ estimativa : 600_x000D_
Enviada em     : 28.01.2021_x000D_
Ata - Venc     : 104/20 - 03.05.2021</t>
        </r>
      </text>
    </comment>
    <comment ref="O100" authorId="0" shapeId="0" xr:uid="{0D69EE6D-3BB8-4F13-89E0-41E92324255F}">
      <text>
        <r>
          <rPr>
            <sz val="10"/>
            <color indexed="81"/>
            <rFont val="Lucida Console"/>
            <family val="3"/>
          </rPr>
          <t>_x000D_
Pertencia a ATA nº 104/20_x000D_
Estimativa de Renovação enviada em 28.01.2021 - Qtd 600_x000D_
PE  17/20 lote _x000D_
19.05.20 = Finalizar, contrato assinado.</t>
        </r>
      </text>
    </comment>
    <comment ref="W100" authorId="0" shapeId="0" xr:uid="{281D850F-38C6-4C0C-84CF-40671BCE7799}">
      <text>
        <r>
          <rPr>
            <sz val="10"/>
            <color indexed="81"/>
            <rFont val="Lucida Console"/>
            <family val="3"/>
          </rPr>
          <t>_x000D_
DM-Serralheria</t>
        </r>
      </text>
    </comment>
    <comment ref="X100" authorId="0" shapeId="0" xr:uid="{B6E6227D-F61D-426A-8FFA-A88DCE6887C2}">
      <text>
        <r>
          <rPr>
            <sz val="10"/>
            <color indexed="81"/>
            <rFont val="Lucida Console"/>
            <family val="3"/>
          </rPr>
          <t>_x000D_
METAIS,LAMINAD.,PERFILADOS E ARTEFATOS METALICOS</t>
        </r>
      </text>
    </comment>
    <comment ref="Y100" authorId="0" shapeId="0" xr:uid="{FFD1D9DC-32E4-4B26-8F67-759D24C91134}">
      <text>
        <r>
          <rPr>
            <sz val="10"/>
            <color indexed="81"/>
            <rFont val="Lucida Console"/>
            <family val="3"/>
          </rPr>
          <t>_x000D_
BARRAS DE ACO ESPECIFICOS P/ USOS VARIADOS</t>
        </r>
      </text>
    </comment>
    <comment ref="AW100" authorId="0" shapeId="0" xr:uid="{933B39BE-95BE-4832-8BA0-2482A20DA100}">
      <text>
        <r>
          <rPr>
            <sz val="10"/>
            <color indexed="81"/>
            <rFont val="Lucida Console"/>
            <family val="3"/>
          </rPr>
          <t>Tempo de Estoque (Meses)_x000D_
_x000D_
1.070,0</t>
        </r>
      </text>
    </comment>
    <comment ref="A101" authorId="0" shapeId="0" xr:uid="{7F646C90-527C-4F87-900C-4BE582964EB7}">
      <text>
        <r>
          <rPr>
            <sz val="10"/>
            <color indexed="81"/>
            <rFont val="Lucida Console"/>
            <family val="3"/>
          </rPr>
          <t>_x000D_
54552</t>
        </r>
      </text>
    </comment>
    <comment ref="B101" authorId="0" shapeId="0" xr:uid="{1539500B-D819-41CA-8540-B567CDF5B6BE}">
      <text>
        <r>
          <rPr>
            <sz val="10"/>
            <color indexed="81"/>
            <rFont val="Lucida Console"/>
            <family val="3"/>
          </rPr>
          <t>DESCRIÇÃO DETALHADA_x000D_
TUBO DE FERRO METALON - 50 X 50 X 1,5MM - BARRA COM 6 METROS</t>
        </r>
      </text>
    </comment>
    <comment ref="G101" authorId="0" shapeId="0" xr:uid="{6CE5424A-B573-4E51-BE4E-245D310E23B4}">
      <text>
        <r>
          <rPr>
            <sz val="10"/>
            <color indexed="81"/>
            <rFont val="Lucida Console"/>
            <family val="3"/>
          </rPr>
          <t>_x000D_
Últ estimativa : 300_x000D_
Enviada em     : 28.01.2021_x000D_
Ata - Venc     : 104/20 - 03.05.2021</t>
        </r>
      </text>
    </comment>
    <comment ref="O101" authorId="0" shapeId="0" xr:uid="{7CC47688-8579-4D0A-9ADA-8E63EF429E71}">
      <text>
        <r>
          <rPr>
            <sz val="10"/>
            <color indexed="81"/>
            <rFont val="Lucida Console"/>
            <family val="3"/>
          </rPr>
          <t>_x000D_
Pertencia a ATA nº 104/20_x000D_
Estimativa de Renovação enviada em 28.01.2021 - Qtd 300_x000D_
PE  17/20 lote _x000D_
19.05.20 = Finalizar, contrato assinado.</t>
        </r>
      </text>
    </comment>
    <comment ref="W101" authorId="0" shapeId="0" xr:uid="{FFE0CFDB-BEB2-4438-8D9F-79A1675F08DC}">
      <text>
        <r>
          <rPr>
            <sz val="10"/>
            <color indexed="81"/>
            <rFont val="Lucida Console"/>
            <family val="3"/>
          </rPr>
          <t>_x000D_
DM-Serralheria</t>
        </r>
      </text>
    </comment>
    <comment ref="X101" authorId="0" shapeId="0" xr:uid="{B380E544-E823-4087-BDA9-6E4832ABEA94}">
      <text>
        <r>
          <rPr>
            <sz val="10"/>
            <color indexed="81"/>
            <rFont val="Lucida Console"/>
            <family val="3"/>
          </rPr>
          <t>_x000D_
METAIS,LAMINAD.,PERFILADOS E ARTEFATOS METALICOS</t>
        </r>
      </text>
    </comment>
    <comment ref="Y101" authorId="0" shapeId="0" xr:uid="{FE6E1861-3152-4EE0-8711-FDE6AA65E7CD}">
      <text>
        <r>
          <rPr>
            <sz val="10"/>
            <color indexed="81"/>
            <rFont val="Lucida Console"/>
            <family val="3"/>
          </rPr>
          <t>_x000D_
BARRAS DE ACO ESPECIFICOS P/ USOS VARIADOS</t>
        </r>
      </text>
    </comment>
    <comment ref="AW101" authorId="0" shapeId="0" xr:uid="{DA4B2788-4A90-4EC0-BF40-8DBE7805E1CC}">
      <text>
        <r>
          <rPr>
            <sz val="10"/>
            <color indexed="81"/>
            <rFont val="Lucida Console"/>
            <family val="3"/>
          </rPr>
          <t>Tempo de Estoque (Meses)_x000D_
_x000D_
805,0</t>
        </r>
      </text>
    </comment>
    <comment ref="A102" authorId="0" shapeId="0" xr:uid="{F315DAB0-2074-4BA3-9721-23C1A2966B13}">
      <text>
        <r>
          <rPr>
            <sz val="10"/>
            <color indexed="81"/>
            <rFont val="Lucida Console"/>
            <family val="3"/>
          </rPr>
          <t>_x000D_
101867</t>
        </r>
      </text>
    </comment>
    <comment ref="B102" authorId="0" shapeId="0" xr:uid="{E079BBA1-0350-499E-94A3-E76CE168404C}">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102" authorId="0" shapeId="0" xr:uid="{1A11D73D-87D9-4720-AF68-C90B1CF0FAB5}">
      <text>
        <r>
          <rPr>
            <sz val="10"/>
            <color indexed="81"/>
            <rFont val="Lucida Console"/>
            <family val="3"/>
          </rPr>
          <t>_x000D_
Últ estimativa : 50_x000D_
Enviada em     : 28.01.2021_x000D_
Ata - Venc     : 104/20 - 03.05.2021</t>
        </r>
      </text>
    </comment>
    <comment ref="O102" authorId="0" shapeId="0" xr:uid="{7C4FCD14-2A3F-4E53-92AB-CF4D5688D14D}">
      <text>
        <r>
          <rPr>
            <sz val="10"/>
            <color indexed="81"/>
            <rFont val="Lucida Console"/>
            <family val="3"/>
          </rPr>
          <t>_x000D_
Pertencia a ATA nº 104/20_x000D_
Estimativa de Renovação enviada em 28.01.2021 - Qtd 50_x000D_
PE  17/20 lote _x000D_
19.05.20 = Finalizar, contrato assinado.</t>
        </r>
      </text>
    </comment>
    <comment ref="W102" authorId="0" shapeId="0" xr:uid="{A813348A-7621-4750-9BC5-B4490AFAF3B9}">
      <text>
        <r>
          <rPr>
            <sz val="10"/>
            <color indexed="81"/>
            <rFont val="Lucida Console"/>
            <family val="3"/>
          </rPr>
          <t>_x000D_
DM-Serralheria</t>
        </r>
      </text>
    </comment>
    <comment ref="X102" authorId="0" shapeId="0" xr:uid="{FE8F78CD-6EBF-49AF-9E1F-21F1FDC58E73}">
      <text>
        <r>
          <rPr>
            <sz val="10"/>
            <color indexed="81"/>
            <rFont val="Lucida Console"/>
            <family val="3"/>
          </rPr>
          <t>_x000D_
METAIS,LAMINAD.,PERFILADOS E ARTEFATOS METALICOS</t>
        </r>
      </text>
    </comment>
    <comment ref="Y102" authorId="0" shapeId="0" xr:uid="{4A3C344D-FBEF-4EC7-9A64-DC7722696024}">
      <text>
        <r>
          <rPr>
            <sz val="10"/>
            <color indexed="81"/>
            <rFont val="Lucida Console"/>
            <family val="3"/>
          </rPr>
          <t>_x000D_
BARRAS DE ACO ESPECIFICOS P/ USOS VARIADOS</t>
        </r>
      </text>
    </comment>
    <comment ref="AW102" authorId="0" shapeId="0" xr:uid="{DABBC86D-F38A-4957-AE2C-74122F12F12C}">
      <text>
        <r>
          <rPr>
            <sz val="10"/>
            <color indexed="81"/>
            <rFont val="Lucida Console"/>
            <family val="3"/>
          </rPr>
          <t>Tempo de Estoque (Meses)_x000D_
_x000D_
37,0</t>
        </r>
      </text>
    </comment>
    <comment ref="A103" authorId="0" shapeId="0" xr:uid="{50FDD89B-143F-4F57-8E9E-7A5C0E909056}">
      <text>
        <r>
          <rPr>
            <sz val="10"/>
            <color indexed="81"/>
            <rFont val="Lucida Console"/>
            <family val="3"/>
          </rPr>
          <t>_x000D_
101868</t>
        </r>
      </text>
    </comment>
    <comment ref="B103" authorId="0" shapeId="0" xr:uid="{9D3D731C-A7C7-46EF-84B4-332B53811855}">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103" authorId="0" shapeId="0" xr:uid="{6E95985F-750C-4D75-A3D8-F5A65AC1B76D}">
      <text>
        <r>
          <rPr>
            <sz val="10"/>
            <color indexed="81"/>
            <rFont val="Lucida Console"/>
            <family val="3"/>
          </rPr>
          <t>_x000D_
Últ estimativa : 0_x000D_
Enviada em     : 28.01.2021_x000D_
Ata - Venc     : 104/20 - 03.05.2021</t>
        </r>
      </text>
    </comment>
    <comment ref="O103" authorId="0" shapeId="0" xr:uid="{FA37462B-4C2E-49E5-AB14-51105A99DAE2}">
      <text>
        <r>
          <rPr>
            <sz val="10"/>
            <color indexed="81"/>
            <rFont val="Lucida Console"/>
            <family val="3"/>
          </rPr>
          <t>_x000D_
Pertencia a ATA nº 104/20_x000D_
Estimativa de Renovação enviada em 28.01.2021 - Qtd _x000D_
PE  17/20 lote _x000D_
19.05.20 = Finalizar, contrato assinado.</t>
        </r>
      </text>
    </comment>
    <comment ref="W103" authorId="0" shapeId="0" xr:uid="{E6764EC3-8B63-48B1-96A6-F4F7DADD159C}">
      <text>
        <r>
          <rPr>
            <sz val="10"/>
            <color indexed="81"/>
            <rFont val="Lucida Console"/>
            <family val="3"/>
          </rPr>
          <t>_x000D_
DM-Serralheria</t>
        </r>
      </text>
    </comment>
    <comment ref="X103" authorId="0" shapeId="0" xr:uid="{9E18811F-8908-4E0E-82A7-C351E063F400}">
      <text>
        <r>
          <rPr>
            <sz val="10"/>
            <color indexed="81"/>
            <rFont val="Lucida Console"/>
            <family val="3"/>
          </rPr>
          <t>_x000D_
METAIS,LAMINAD.,PERFILADOS E ARTEFATOS METALICOS</t>
        </r>
      </text>
    </comment>
    <comment ref="Y103" authorId="0" shapeId="0" xr:uid="{56B0123F-B4CD-498F-B197-14B3D4AD0AAA}">
      <text>
        <r>
          <rPr>
            <sz val="10"/>
            <color indexed="81"/>
            <rFont val="Lucida Console"/>
            <family val="3"/>
          </rPr>
          <t>_x000D_
BARRAS DE ACO ESPECIFICOS P/ USOS VARIADOS</t>
        </r>
      </text>
    </comment>
    <comment ref="AW103" authorId="0" shapeId="0" xr:uid="{4E2EB51A-D40F-481D-B76F-A24A24FE1AF3}">
      <text>
        <r>
          <rPr>
            <sz val="10"/>
            <color indexed="81"/>
            <rFont val="Lucida Console"/>
            <family val="3"/>
          </rPr>
          <t>Tempo de Estoque (Meses)_x000D_
_x000D_
1.232,0</t>
        </r>
      </text>
    </comment>
    <comment ref="A104" authorId="0" shapeId="0" xr:uid="{7750A7EA-A842-4902-B1CA-37A70B12DDAD}">
      <text>
        <r>
          <rPr>
            <sz val="10"/>
            <color indexed="81"/>
            <rFont val="Lucida Console"/>
            <family val="3"/>
          </rPr>
          <t>_x000D_
102276</t>
        </r>
      </text>
    </comment>
    <comment ref="B104" authorId="0" shapeId="0" xr:uid="{0B585D8D-748A-4549-99C1-99D65621A421}">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104" authorId="0" shapeId="0" xr:uid="{87D89D43-9D71-48B1-AC8F-88F4AC91B06A}">
      <text>
        <r>
          <rPr>
            <sz val="10"/>
            <color indexed="81"/>
            <rFont val="Lucida Console"/>
            <family val="3"/>
          </rPr>
          <t>_x000D_
Últ estimativa : 100_x000D_
Enviada em     : 28.01.2021_x000D_
Ata - Venc     : 104/20 - 03.05.2021</t>
        </r>
      </text>
    </comment>
    <comment ref="O104" authorId="0" shapeId="0" xr:uid="{9AC1FB15-A2B6-4802-9347-587578EE8E59}">
      <text>
        <r>
          <rPr>
            <sz val="10"/>
            <color indexed="81"/>
            <rFont val="Lucida Console"/>
            <family val="3"/>
          </rPr>
          <t>_x000D_
Pertencia a ATA nº 104/20_x000D_
Estimativa de Renovação enviada em 28.01.2021 - Qtd 100_x000D_
PE  17/20 lote _x000D_
19.05.20 = Finalizar, contrato assinado.</t>
        </r>
      </text>
    </comment>
    <comment ref="W104" authorId="0" shapeId="0" xr:uid="{A8484EEB-B579-4262-8F55-BD28D3729898}">
      <text>
        <r>
          <rPr>
            <sz val="10"/>
            <color indexed="81"/>
            <rFont val="Lucida Console"/>
            <family val="3"/>
          </rPr>
          <t>_x000D_
DM-Serralheria</t>
        </r>
      </text>
    </comment>
    <comment ref="X104" authorId="0" shapeId="0" xr:uid="{96940C1F-7DE1-4A31-B3E1-89FE32584574}">
      <text>
        <r>
          <rPr>
            <sz val="10"/>
            <color indexed="81"/>
            <rFont val="Lucida Console"/>
            <family val="3"/>
          </rPr>
          <t>_x000D_
METAIS,LAMINAD.,PERFILADOS E ARTEFATOS METALICOS</t>
        </r>
      </text>
    </comment>
    <comment ref="Y104" authorId="0" shapeId="0" xr:uid="{9BB8AFE9-C847-4071-AE13-3F8F488B5A7A}">
      <text>
        <r>
          <rPr>
            <sz val="10"/>
            <color indexed="81"/>
            <rFont val="Lucida Console"/>
            <family val="3"/>
          </rPr>
          <t>_x000D_
BARRAS DE ACO ESPECIFICOS P/ USOS VARIADOS</t>
        </r>
      </text>
    </comment>
    <comment ref="AW104" authorId="0" shapeId="0" xr:uid="{FBC2BDE3-119C-4741-ABFA-915C4507E2BC}">
      <text>
        <r>
          <rPr>
            <sz val="10"/>
            <color indexed="81"/>
            <rFont val="Lucida Console"/>
            <family val="3"/>
          </rPr>
          <t>Tempo de Estoque (Meses)_x000D_
_x000D_
232,0</t>
        </r>
      </text>
    </comment>
    <comment ref="A105" authorId="0" shapeId="0" xr:uid="{539DD8C4-F037-4E04-85A4-DE9D416CCB91}">
      <text>
        <r>
          <rPr>
            <sz val="10"/>
            <color indexed="81"/>
            <rFont val="Lucida Console"/>
            <family val="3"/>
          </rPr>
          <t>_x000D_
102279</t>
        </r>
      </text>
    </comment>
    <comment ref="B105" authorId="0" shapeId="0" xr:uid="{6BF2920A-7304-4DD6-B936-D5D955438210}">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105" authorId="0" shapeId="0" xr:uid="{BAE8A097-4236-4AE9-996C-4206E8595BC8}">
      <text>
        <r>
          <rPr>
            <sz val="10"/>
            <color indexed="81"/>
            <rFont val="Lucida Console"/>
            <family val="3"/>
          </rPr>
          <t>_x000D_
Últ estimativa : 0_x000D_
Enviada em     : 28.01.2021_x000D_
Ata - Venc     : 104/20 - 03.05.2021</t>
        </r>
      </text>
    </comment>
    <comment ref="O105" authorId="0" shapeId="0" xr:uid="{49856273-3D2B-44E3-A1B2-744AB2E6D5C7}">
      <text>
        <r>
          <rPr>
            <sz val="10"/>
            <color indexed="81"/>
            <rFont val="Lucida Console"/>
            <family val="3"/>
          </rPr>
          <t>_x000D_
Pertencia a ATA nº 104/20_x000D_
Estimativa de Renovação enviada em 28.01.2021 - Qtd _x000D_
PE  17/20 lote _x000D_
19.05.20 = Finalizar, contrato assinado.</t>
        </r>
      </text>
    </comment>
    <comment ref="W105" authorId="0" shapeId="0" xr:uid="{C3892DDF-5954-42F2-960E-58F4A05BED5E}">
      <text>
        <r>
          <rPr>
            <sz val="10"/>
            <color indexed="81"/>
            <rFont val="Lucida Console"/>
            <family val="3"/>
          </rPr>
          <t>_x000D_
DM-Serralheria</t>
        </r>
      </text>
    </comment>
    <comment ref="X105" authorId="0" shapeId="0" xr:uid="{6010F438-C2EC-4B6A-9F97-7EDD5BE0411A}">
      <text>
        <r>
          <rPr>
            <sz val="10"/>
            <color indexed="81"/>
            <rFont val="Lucida Console"/>
            <family val="3"/>
          </rPr>
          <t>_x000D_
METAIS,LAMINAD.,PERFILADOS E ARTEFATOS METALICOS</t>
        </r>
      </text>
    </comment>
    <comment ref="Y105" authorId="0" shapeId="0" xr:uid="{3FE9C133-E73E-444C-B5FB-7960635E0DB7}">
      <text>
        <r>
          <rPr>
            <sz val="10"/>
            <color indexed="81"/>
            <rFont val="Lucida Console"/>
            <family val="3"/>
          </rPr>
          <t>_x000D_
BARRAS DE ACO ESPECIFICOS P/ USOS VARIADOS</t>
        </r>
      </text>
    </comment>
    <comment ref="AW105" authorId="0" shapeId="0" xr:uid="{6114CBF1-2D54-4B4F-9258-88513E58BA6F}">
      <text>
        <r>
          <rPr>
            <sz val="10"/>
            <color indexed="81"/>
            <rFont val="Lucida Console"/>
            <family val="3"/>
          </rPr>
          <t>Tempo de Estoque (Meses)_x000D_
_x000D_
314,0</t>
        </r>
      </text>
    </comment>
    <comment ref="A106" authorId="0" shapeId="0" xr:uid="{4A2AAA2F-FAC8-45E1-B85B-6460E4A40CB2}">
      <text>
        <r>
          <rPr>
            <sz val="10"/>
            <color indexed="81"/>
            <rFont val="Lucida Console"/>
            <family val="3"/>
          </rPr>
          <t>_x000D_
110578</t>
        </r>
      </text>
    </comment>
    <comment ref="B106" authorId="0" shapeId="0" xr:uid="{A4E0EA1B-0EA8-4AD4-9CD0-DF5536899BCF}">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106" authorId="0" shapeId="0" xr:uid="{BB321927-878D-469F-8AC0-19E9D58FE584}">
      <text>
        <r>
          <rPr>
            <sz val="10"/>
            <color indexed="81"/>
            <rFont val="Lucida Console"/>
            <family val="3"/>
          </rPr>
          <t>_x000D_
Últ estimativa : 1.000_x000D_
Enviada em     : 14.05.2021_x000D_
Ata - Venc     : 105/20 - 04.05.2021</t>
        </r>
      </text>
    </comment>
    <comment ref="O106" authorId="0" shapeId="0" xr:uid="{597E76F7-2AB4-4163-A321-71EC112CB33D}">
      <text>
        <r>
          <rPr>
            <sz val="10"/>
            <color indexed="81"/>
            <rFont val="Lucida Console"/>
            <family val="3"/>
          </rPr>
          <t xml:space="preserve">_x000D_
Pertencia a ATA nº 105/20_x000D_
Estimativa de Renovação enviada em 14.05.2021 - Qtd 1.000_x000D_
PE 122/21 lote _x000D_
 = </t>
        </r>
      </text>
    </comment>
    <comment ref="W106" authorId="0" shapeId="0" xr:uid="{1BE176BD-F43F-4997-9690-DE312A09F79A}">
      <text>
        <r>
          <rPr>
            <sz val="10"/>
            <color indexed="81"/>
            <rFont val="Lucida Console"/>
            <family val="3"/>
          </rPr>
          <t>_x000D_
Administrativo</t>
        </r>
      </text>
    </comment>
    <comment ref="X106" authorId="0" shapeId="0" xr:uid="{FF0C40EA-9644-43BC-963A-95842C1C7BC9}">
      <text>
        <r>
          <rPr>
            <sz val="10"/>
            <color indexed="81"/>
            <rFont val="Lucida Console"/>
            <family val="3"/>
          </rPr>
          <t>_x000D_
MAQ.EQUIP.E MATERIAIS P/ HIGIEN.LIMP.POLIM.E LUBR.</t>
        </r>
      </text>
    </comment>
    <comment ref="Y106" authorId="0" shapeId="0" xr:uid="{9B6C047A-6EE2-4A53-988E-BCFBE6283F37}">
      <text>
        <r>
          <rPr>
            <sz val="10"/>
            <color indexed="81"/>
            <rFont val="Lucida Console"/>
            <family val="3"/>
          </rPr>
          <t>_x000D_
SABOES E SAPONACEOS</t>
        </r>
      </text>
    </comment>
    <comment ref="AW106" authorId="0" shapeId="0" xr:uid="{9E0FE8C8-7858-4915-8696-30F85DE40609}">
      <text>
        <r>
          <rPr>
            <sz val="10"/>
            <color indexed="81"/>
            <rFont val="Lucida Console"/>
            <family val="3"/>
          </rPr>
          <t>Tempo de Estoque (Meses)_x000D_
_x000D_
140,0</t>
        </r>
      </text>
    </comment>
    <comment ref="A107" authorId="0" shapeId="0" xr:uid="{85DB5328-50EE-41F4-A579-3E461610432C}">
      <text>
        <r>
          <rPr>
            <sz val="10"/>
            <color indexed="81"/>
            <rFont val="Lucida Console"/>
            <family val="3"/>
          </rPr>
          <t>_x000D_
12763</t>
        </r>
      </text>
    </comment>
    <comment ref="B107" authorId="0" shapeId="0" xr:uid="{74AA478B-1654-47D5-B83E-0EA207C83C4F}">
      <text>
        <r>
          <rPr>
            <sz val="10"/>
            <color indexed="81"/>
            <rFont val="Lucida Console"/>
            <family val="3"/>
          </rPr>
          <t>DESCRIÇÃO DETALHADA_x000D_
CAL HIDRATADA - SACO COM 20 KG</t>
        </r>
      </text>
    </comment>
    <comment ref="G107" authorId="0" shapeId="0" xr:uid="{BE107758-653B-427B-A87D-F2EC56FD6852}">
      <text>
        <r>
          <rPr>
            <sz val="10"/>
            <color indexed="81"/>
            <rFont val="Lucida Console"/>
            <family val="3"/>
          </rPr>
          <t>_x000D_
Últ estimativa : 700_x000D_
Enviada em     : 08.09.2020_x000D_
Ata - Venc     : 105/21 - 07.04.2022</t>
        </r>
      </text>
    </comment>
    <comment ref="O107" authorId="0" shapeId="0" xr:uid="{D31B59F2-8B76-4543-818F-591643FF2915}">
      <text>
        <r>
          <rPr>
            <sz val="10"/>
            <color indexed="81"/>
            <rFont val="Lucida Console"/>
            <family val="3"/>
          </rPr>
          <t>_x000D_
Pertencia a ATA nº 105/21_x000D_
Estimativa de Renovação enviada em 08.09.2020 - Qtd 700_x000D_
PE  26/21 lote _x000D_
16.03.21 = Processo finalizado. Ata 105/21.</t>
        </r>
      </text>
    </comment>
    <comment ref="W107" authorId="0" shapeId="0" xr:uid="{14FB0FCD-700F-44AF-A84A-D9D2A5AEAEEC}">
      <text>
        <r>
          <rPr>
            <sz val="10"/>
            <color indexed="81"/>
            <rFont val="Lucida Console"/>
            <family val="3"/>
          </rPr>
          <t>_x000D_
DM-Construção</t>
        </r>
      </text>
    </comment>
    <comment ref="X107" authorId="0" shapeId="0" xr:uid="{E8EE214E-44C1-4B01-9C21-4D2F1E25ACDC}">
      <text>
        <r>
          <rPr>
            <sz val="10"/>
            <color indexed="81"/>
            <rFont val="Lucida Console"/>
            <family val="3"/>
          </rPr>
          <t>_x000D_
MAT.E EQUIP. P/ CONSTR.CIVIL E CONSERV. DE VIAS PUBL.</t>
        </r>
      </text>
    </comment>
    <comment ref="Y107" authorId="0" shapeId="0" xr:uid="{67BBC1FD-C87F-4561-A09D-E760D66227DA}">
      <text>
        <r>
          <rPr>
            <sz val="10"/>
            <color indexed="81"/>
            <rFont val="Lucida Console"/>
            <family val="3"/>
          </rPr>
          <t>_x000D_
CIMENTO, CAL E GESSO</t>
        </r>
      </text>
    </comment>
    <comment ref="AW107" authorId="0" shapeId="0" xr:uid="{80574FC1-B1C5-41B5-9720-D03180049E04}">
      <text>
        <r>
          <rPr>
            <sz val="10"/>
            <color indexed="81"/>
            <rFont val="Lucida Console"/>
            <family val="3"/>
          </rPr>
          <t>Tempo de Estoque (Meses)_x000D_
_x000D_
988,0</t>
        </r>
      </text>
    </comment>
    <comment ref="A108" authorId="0" shapeId="0" xr:uid="{76AA0E60-1BBF-4664-850B-E3AA51423E42}">
      <text>
        <r>
          <rPr>
            <sz val="10"/>
            <color indexed="81"/>
            <rFont val="Lucida Console"/>
            <family val="3"/>
          </rPr>
          <t>_x000D_
26282</t>
        </r>
      </text>
    </comment>
    <comment ref="B108" authorId="0" shapeId="0" xr:uid="{BD0CC10A-ED46-4AD9-B632-42DFD0A1D6D8}">
      <text>
        <r>
          <rPr>
            <sz val="10"/>
            <color indexed="81"/>
            <rFont val="Lucida Console"/>
            <family val="3"/>
          </rPr>
          <t>DESCRIÇÃO DETALHADA_x000D_
CAIXILHO DE FERRO PERFILADO - DE CORRER - 1,20 X 2,00 M</t>
        </r>
      </text>
    </comment>
    <comment ref="G108" authorId="0" shapeId="0" xr:uid="{80B5E3A0-FCBC-4B02-AF7F-071AEFD13FE9}">
      <text>
        <r>
          <rPr>
            <sz val="10"/>
            <color indexed="81"/>
            <rFont val="Lucida Console"/>
            <family val="3"/>
          </rPr>
          <t>_x000D_
Últ estimativa : 0_x000D_
Enviada em     : 08.09.2020_x000D_
Ata - Venc     : 105/21 - 07.04.2022</t>
        </r>
      </text>
    </comment>
    <comment ref="O108" authorId="0" shapeId="0" xr:uid="{6DC78BEF-18D8-441B-AAEB-375997743CD3}">
      <text>
        <r>
          <rPr>
            <sz val="10"/>
            <color indexed="81"/>
            <rFont val="Lucida Console"/>
            <family val="3"/>
          </rPr>
          <t>_x000D_
Pertencia a ATA nº 105/21_x000D_
Estimativa de Renovação enviada em 08.09.2020 - Qtd _x000D_
PE  26/21 lote _x000D_
16.03.21 = Processo finalizado. Ata 105/21.</t>
        </r>
      </text>
    </comment>
    <comment ref="W108" authorId="0" shapeId="0" xr:uid="{C26CE3BE-AA65-4F5E-AE72-E94FCA9F656C}">
      <text>
        <r>
          <rPr>
            <sz val="10"/>
            <color indexed="81"/>
            <rFont val="Lucida Console"/>
            <family val="3"/>
          </rPr>
          <t>_x000D_
DM-Construção</t>
        </r>
      </text>
    </comment>
    <comment ref="X108" authorId="0" shapeId="0" xr:uid="{D8D51762-9FBE-46FB-BE01-0DA21F792A04}">
      <text>
        <r>
          <rPr>
            <sz val="10"/>
            <color indexed="81"/>
            <rFont val="Lucida Console"/>
            <family val="3"/>
          </rPr>
          <t>_x000D_
MAT.E EQUIP. P/ CONSTR.CIVIL E CONSERV. DE VIAS PUBL.</t>
        </r>
      </text>
    </comment>
    <comment ref="Y108" authorId="0" shapeId="0" xr:uid="{2890CAC1-8CB5-4181-99FD-A55FD2EF1BF6}">
      <text>
        <r>
          <rPr>
            <sz val="10"/>
            <color indexed="81"/>
            <rFont val="Lucida Console"/>
            <family val="3"/>
          </rPr>
          <t>_x000D_
CAIXILHOS, JANELAS E VITROS</t>
        </r>
      </text>
    </comment>
    <comment ref="AW108" authorId="0" shapeId="0" xr:uid="{BB5A194F-4BC0-4E73-85A6-4CCF00C25838}">
      <text>
        <r>
          <rPr>
            <sz val="10"/>
            <color indexed="81"/>
            <rFont val="Lucida Console"/>
            <family val="3"/>
          </rPr>
          <t>Tempo de Estoque (Meses)_x000D_
_x000D_
19,0</t>
        </r>
      </text>
    </comment>
    <comment ref="A109" authorId="0" shapeId="0" xr:uid="{F78BEFE8-66FA-4526-B5A5-C48D44D4215A}">
      <text>
        <r>
          <rPr>
            <sz val="10"/>
            <color indexed="81"/>
            <rFont val="Lucida Console"/>
            <family val="3"/>
          </rPr>
          <t>_x000D_
34214</t>
        </r>
      </text>
    </comment>
    <comment ref="B109" authorId="0" shapeId="0" xr:uid="{75D27365-CA17-4473-8B1F-F7F6F01B5D46}">
      <text>
        <r>
          <rPr>
            <sz val="10"/>
            <color indexed="81"/>
            <rFont val="Lucida Console"/>
            <family val="3"/>
          </rPr>
          <t>DESCRIÇÃO DETALHADA_x000D_
CAIXILHO DE FERRO PERFILADO DE CORRER, S/ GRADE - MEDIDAS:1,20 X 1,50M</t>
        </r>
      </text>
    </comment>
    <comment ref="G109" authorId="0" shapeId="0" xr:uid="{705D01C8-51E5-4B12-83A6-DF7085978924}">
      <text>
        <r>
          <rPr>
            <sz val="10"/>
            <color indexed="81"/>
            <rFont val="Lucida Console"/>
            <family val="3"/>
          </rPr>
          <t>_x000D_
Últ estimativa : 0_x000D_
Enviada em     : 08.09.2020_x000D_
Ata - Venc     : 105/21 - 07.04.2022</t>
        </r>
      </text>
    </comment>
    <comment ref="O109" authorId="0" shapeId="0" xr:uid="{44888B7E-2F2B-4704-95BE-788E8BC09915}">
      <text>
        <r>
          <rPr>
            <sz val="10"/>
            <color indexed="81"/>
            <rFont val="Lucida Console"/>
            <family val="3"/>
          </rPr>
          <t>_x000D_
Pertencia a ATA nº 105/21_x000D_
Estimativa de Renovação enviada em 08.09.2020 - Qtd _x000D_
PE  26/21 lote _x000D_
16.03.21 = Processo finalizado. Ata 105/21.</t>
        </r>
      </text>
    </comment>
    <comment ref="W109" authorId="0" shapeId="0" xr:uid="{A08D0147-0811-4F46-97F1-0F7042A56005}">
      <text>
        <r>
          <rPr>
            <sz val="10"/>
            <color indexed="81"/>
            <rFont val="Lucida Console"/>
            <family val="3"/>
          </rPr>
          <t>_x000D_
DM-Construção</t>
        </r>
      </text>
    </comment>
    <comment ref="X109" authorId="0" shapeId="0" xr:uid="{FF8391FA-BA20-473B-B965-A87CD9856EEB}">
      <text>
        <r>
          <rPr>
            <sz val="10"/>
            <color indexed="81"/>
            <rFont val="Lucida Console"/>
            <family val="3"/>
          </rPr>
          <t>_x000D_
MAT.E EQUIP. P/ CONSTR.CIVIL E CONSERV. DE VIAS PUBL.</t>
        </r>
      </text>
    </comment>
    <comment ref="Y109" authorId="0" shapeId="0" xr:uid="{AC6B4D70-048F-4340-B622-32D0ED5BE185}">
      <text>
        <r>
          <rPr>
            <sz val="10"/>
            <color indexed="81"/>
            <rFont val="Lucida Console"/>
            <family val="3"/>
          </rPr>
          <t>_x000D_
CAIXILHOS, JANELAS E VITROS</t>
        </r>
      </text>
    </comment>
    <comment ref="AW109" authorId="0" shapeId="0" xr:uid="{968B0F82-7172-4B18-B061-E1164EC8CF42}">
      <text>
        <r>
          <rPr>
            <sz val="10"/>
            <color indexed="81"/>
            <rFont val="Lucida Console"/>
            <family val="3"/>
          </rPr>
          <t>Tempo de Estoque (Meses)_x000D_
_x000D_
21,0</t>
        </r>
      </text>
    </comment>
    <comment ref="A110" authorId="0" shapeId="0" xr:uid="{3D4347DC-7011-4555-9F7C-05A22835DD5B}">
      <text>
        <r>
          <rPr>
            <sz val="10"/>
            <color indexed="81"/>
            <rFont val="Lucida Console"/>
            <family val="3"/>
          </rPr>
          <t>_x000D_
115841</t>
        </r>
      </text>
    </comment>
    <comment ref="B110" authorId="0" shapeId="0" xr:uid="{6BAFFCB5-4784-44BE-8A05-5F728161E421}">
      <text>
        <r>
          <rPr>
            <sz val="10"/>
            <color indexed="81"/>
            <rFont val="Lucida Console"/>
            <family val="3"/>
          </rPr>
          <t>DESCRIÇÃO DETALHADA_x000D_
VITRO DE CORRER EM ALUMINIO COM VIDROS E GRADE EM ALUMINIO FOSCO MEDINDO: 1,50 X 1,20M</t>
        </r>
      </text>
    </comment>
    <comment ref="G110" authorId="0" shapeId="0" xr:uid="{18770E69-1EBA-4196-B5CF-781AD4F7354B}">
      <text>
        <r>
          <rPr>
            <sz val="10"/>
            <color indexed="81"/>
            <rFont val="Lucida Console"/>
            <family val="3"/>
          </rPr>
          <t>_x000D_
Últ estimativa : 30_x000D_
Enviada em     : 14.02.2020_x000D_
Ata - Venc     : 105/21 - 07.04.2022</t>
        </r>
      </text>
    </comment>
    <comment ref="O110" authorId="0" shapeId="0" xr:uid="{5BE83A0A-9D7A-42E6-9ED3-2F596B71E0E2}">
      <text>
        <r>
          <rPr>
            <sz val="10"/>
            <color indexed="81"/>
            <rFont val="Lucida Console"/>
            <family val="3"/>
          </rPr>
          <t>_x000D_
Pertencia a ATA nº 105/21_x000D_
Estimativa de Renovação enviada em 14.02.2020 - Qtd 30_x000D_
PE  26/21 lote _x000D_
16.03.21 = Processo finalizado. Ata 105/21.</t>
        </r>
      </text>
    </comment>
    <comment ref="W110" authorId="0" shapeId="0" xr:uid="{E6860D32-1E45-48C7-8E90-1EF448FCD4A5}">
      <text>
        <r>
          <rPr>
            <sz val="10"/>
            <color indexed="81"/>
            <rFont val="Lucida Console"/>
            <family val="3"/>
          </rPr>
          <t>_x000D_
DM-Construção</t>
        </r>
      </text>
    </comment>
    <comment ref="X110" authorId="0" shapeId="0" xr:uid="{81696BD8-BB88-4CAE-A806-20B6388C982B}">
      <text>
        <r>
          <rPr>
            <sz val="10"/>
            <color indexed="81"/>
            <rFont val="Lucida Console"/>
            <family val="3"/>
          </rPr>
          <t>_x000D_
MAT.E EQUIP. P/ CONSTR.CIVIL E CONSERV. DE VIAS PUBL.</t>
        </r>
      </text>
    </comment>
    <comment ref="Y110" authorId="0" shapeId="0" xr:uid="{071C0B95-46B3-4461-BA67-17782274D6BF}">
      <text>
        <r>
          <rPr>
            <sz val="10"/>
            <color indexed="81"/>
            <rFont val="Lucida Console"/>
            <family val="3"/>
          </rPr>
          <t>_x000D_
CAIXILHOS, JANELAS E VITROS</t>
        </r>
      </text>
    </comment>
    <comment ref="AW110" authorId="0" shapeId="0" xr:uid="{1F5BAF0D-C3CF-4D48-88D6-D0D8DFF58CD2}">
      <text>
        <r>
          <rPr>
            <sz val="10"/>
            <color indexed="81"/>
            <rFont val="Lucida Console"/>
            <family val="3"/>
          </rPr>
          <t>Tempo de Estoque (Meses)_x000D_
_x000D_
14,0</t>
        </r>
      </text>
    </comment>
    <comment ref="A111" authorId="0" shapeId="0" xr:uid="{724CC0C7-8AC3-472C-8975-5E70B900C667}">
      <text>
        <r>
          <rPr>
            <sz val="10"/>
            <color indexed="81"/>
            <rFont val="Lucida Console"/>
            <family val="3"/>
          </rPr>
          <t>_x000D_
133433</t>
        </r>
      </text>
    </comment>
    <comment ref="B111" authorId="0" shapeId="0" xr:uid="{548F4B81-42C7-497B-ABFE-9E03FA70FB6A}">
      <text>
        <r>
          <rPr>
            <sz val="10"/>
            <color indexed="81"/>
            <rFont val="Lucida Console"/>
            <family val="3"/>
          </rPr>
          <t>DESCRIÇÃO DETALHADA_x000D_
TELA EM ACO INOX 304, MALHA 14, DIAMETRO DO FIO 0,25 MM, LARGURA 1.200 MM (PODENDO VARIAR +/- 50 MM) - ROLO COM 30 METROS.</t>
        </r>
      </text>
    </comment>
    <comment ref="G111" authorId="0" shapeId="0" xr:uid="{8E869BD1-E519-48D4-B1DD-E38FAC6A8D2B}">
      <text>
        <r>
          <rPr>
            <sz val="10"/>
            <color indexed="81"/>
            <rFont val="Lucida Console"/>
            <family val="3"/>
          </rPr>
          <t>_x000D_
Últ estimativa : 40_x000D_
Enviada em     : 19.05.2021_x000D_
Ata - Venc     : 109/17 - 01.07.2018</t>
        </r>
      </text>
    </comment>
    <comment ref="O111" authorId="0" shapeId="0" xr:uid="{9B2D900B-3D46-410B-84DA-E67E19E87066}">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111" authorId="0" shapeId="0" xr:uid="{EAE06DF2-5E64-4126-8E68-EB1BDF1127BA}">
      <text>
        <r>
          <rPr>
            <sz val="10"/>
            <color indexed="81"/>
            <rFont val="Lucida Console"/>
            <family val="3"/>
          </rPr>
          <t>_x000D_
DM-Construção</t>
        </r>
      </text>
    </comment>
    <comment ref="X111" authorId="0" shapeId="0" xr:uid="{04B3B10D-1789-4D00-90D5-BB6830CDD7EC}">
      <text>
        <r>
          <rPr>
            <sz val="10"/>
            <color indexed="81"/>
            <rFont val="Lucida Console"/>
            <family val="3"/>
          </rPr>
          <t>_x000D_
MAT.E EQUIP. P/ CONSTR.CIVIL E CONSERV. DE VIAS PUBL.</t>
        </r>
      </text>
    </comment>
    <comment ref="Y111" authorId="0" shapeId="0" xr:uid="{04CEEC3F-032F-4C19-84F9-365A5A99DD9A}">
      <text>
        <r>
          <rPr>
            <sz val="10"/>
            <color indexed="81"/>
            <rFont val="Lucida Console"/>
            <family val="3"/>
          </rPr>
          <t>_x000D_
TELAS DE MALHA FINA, GROSSA, DE ALAMBRADO E MOUROES</t>
        </r>
      </text>
    </comment>
    <comment ref="AW111" authorId="0" shapeId="0" xr:uid="{88C76A5E-FED9-485D-BE34-CAA4153AED07}">
      <text>
        <r>
          <rPr>
            <sz val="10"/>
            <color indexed="81"/>
            <rFont val="Lucida Console"/>
            <family val="3"/>
          </rPr>
          <t>Tempo de Estoque (Meses)_x000D_
_x000D_
153,0</t>
        </r>
      </text>
    </comment>
    <comment ref="A112" authorId="0" shapeId="0" xr:uid="{8D159E82-5689-4234-93D7-2744A7BD24A7}">
      <text>
        <r>
          <rPr>
            <sz val="10"/>
            <color indexed="81"/>
            <rFont val="Lucida Console"/>
            <family val="3"/>
          </rPr>
          <t>_x000D_
121126</t>
        </r>
      </text>
    </comment>
    <comment ref="B112" authorId="0" shapeId="0" xr:uid="{CA920F28-32EA-4173-AE90-BAAF2642830C}">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112" authorId="0" shapeId="0" xr:uid="{8F10D872-C3D2-43BC-A47E-778909663703}">
      <text>
        <r>
          <rPr>
            <sz val="10"/>
            <color indexed="81"/>
            <rFont val="Lucida Console"/>
            <family val="3"/>
          </rPr>
          <t>_x000D_
Últ estimativa : 100.000_x000D_
Enviada em     : 28.01.2021_x000D_
Ata - Venc     : 111/20 - 20.05.2021</t>
        </r>
      </text>
    </comment>
    <comment ref="O112" authorId="0" shapeId="0" xr:uid="{7EF467C2-95EA-4DE9-9CF7-EE7B3217003D}">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112" authorId="0" shapeId="0" xr:uid="{7BF868F4-7A2C-4F86-B452-E9B82A570D74}">
      <text>
        <r>
          <rPr>
            <sz val="10"/>
            <color indexed="81"/>
            <rFont val="Lucida Console"/>
            <family val="3"/>
          </rPr>
          <t>_x000D_
SegMedTra</t>
        </r>
      </text>
    </comment>
    <comment ref="X112" authorId="0" shapeId="0" xr:uid="{1B94A10D-D184-48A9-B535-407CA4D11FA5}">
      <text>
        <r>
          <rPr>
            <sz val="10"/>
            <color indexed="81"/>
            <rFont val="Lucida Console"/>
            <family val="3"/>
          </rPr>
          <t>_x000D_
VEST., ART.P/ TOUC.E HIG. PES. MAQ., EQUIP., MAT.E ACES.</t>
        </r>
      </text>
    </comment>
    <comment ref="Y112" authorId="0" shapeId="0" xr:uid="{394ACD1C-5724-44CB-977D-547EAE5D8B76}">
      <text>
        <r>
          <rPr>
            <sz val="10"/>
            <color indexed="81"/>
            <rFont val="Lucida Console"/>
            <family val="3"/>
          </rPr>
          <t>_x000D_
VESTUARIO MEDICO-HOSPITALAR</t>
        </r>
      </text>
    </comment>
    <comment ref="AW112" authorId="0" shapeId="0" xr:uid="{0110BF94-6B6D-42B7-B0E9-8A92AD90BCC2}">
      <text>
        <r>
          <rPr>
            <sz val="10"/>
            <color indexed="81"/>
            <rFont val="Lucida Console"/>
            <family val="3"/>
          </rPr>
          <t>Tempo de Estoque (Meses)_x000D_
_x000D_
200.000,0</t>
        </r>
      </text>
    </comment>
    <comment ref="A113" authorId="0" shapeId="0" xr:uid="{7349853E-189A-432D-B2C0-6FE7F8B82D50}">
      <text>
        <r>
          <rPr>
            <sz val="10"/>
            <color indexed="81"/>
            <rFont val="Lucida Console"/>
            <family val="3"/>
          </rPr>
          <t>_x000D_
19842</t>
        </r>
      </text>
    </comment>
    <comment ref="B113" authorId="0" shapeId="0" xr:uid="{55E40F0F-0C51-407F-976D-509EB7A6A1EE}">
      <text>
        <r>
          <rPr>
            <sz val="10"/>
            <color indexed="81"/>
            <rFont val="Lucida Console"/>
            <family val="3"/>
          </rPr>
          <t>DESCRIÇÃO DETALHADA_x000D_
PROTETOR DE CABELO TIPO REDE EM NYLON PRETA</t>
        </r>
      </text>
    </comment>
    <comment ref="G113" authorId="0" shapeId="0" xr:uid="{61D4572F-E7E0-4628-A605-149FAAF0EB02}">
      <text>
        <r>
          <rPr>
            <sz val="10"/>
            <color indexed="81"/>
            <rFont val="Lucida Console"/>
            <family val="3"/>
          </rPr>
          <t>_x000D_
Últ estimativa : 10.000_x000D_
Enviada em     : 28.01.2021_x000D_
Ata - Venc     : 111/20 - 20.05.2021</t>
        </r>
      </text>
    </comment>
    <comment ref="O113" authorId="0" shapeId="0" xr:uid="{5C96ECE3-26C1-43EF-95E1-0A7429DC43CC}">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113" authorId="0" shapeId="0" xr:uid="{D662F891-7BAB-4DAB-907B-B4363EB507A3}">
      <text>
        <r>
          <rPr>
            <sz val="10"/>
            <color indexed="81"/>
            <rFont val="Lucida Console"/>
            <family val="3"/>
          </rPr>
          <t>_x000D_
SegMedTra</t>
        </r>
      </text>
    </comment>
    <comment ref="X113" authorId="0" shapeId="0" xr:uid="{D21E6167-6A51-4B86-B600-BA3EA2E24C1A}">
      <text>
        <r>
          <rPr>
            <sz val="10"/>
            <color indexed="81"/>
            <rFont val="Lucida Console"/>
            <family val="3"/>
          </rPr>
          <t>_x000D_
VEST., ART.P/ TOUC.E HIG. PES. MAQ., EQUIP., MAT.E ACES.</t>
        </r>
      </text>
    </comment>
    <comment ref="Y113" authorId="0" shapeId="0" xr:uid="{70515B0B-9278-4A70-B949-FE70C1FD57C1}">
      <text>
        <r>
          <rPr>
            <sz val="10"/>
            <color indexed="81"/>
            <rFont val="Lucida Console"/>
            <family val="3"/>
          </rPr>
          <t>_x000D_
VESTUARIO DE USO EM FUNCIONARIOS</t>
        </r>
      </text>
    </comment>
    <comment ref="AW113" authorId="0" shapeId="0" xr:uid="{BB32DE31-6833-4AF4-A9E4-1A768F176516}">
      <text>
        <r>
          <rPr>
            <sz val="10"/>
            <color indexed="81"/>
            <rFont val="Lucida Console"/>
            <family val="3"/>
          </rPr>
          <t>Tempo de Estoque (Meses)_x000D_
_x000D_
2.800,0</t>
        </r>
      </text>
    </comment>
    <comment ref="A114" authorId="0" shapeId="0" xr:uid="{784F1D1E-337B-47A6-BA48-0849532FB62A}">
      <text>
        <r>
          <rPr>
            <sz val="10"/>
            <color indexed="81"/>
            <rFont val="Lucida Console"/>
            <family val="3"/>
          </rPr>
          <t>_x000D_
77823</t>
        </r>
      </text>
    </comment>
    <comment ref="B114" authorId="0" shapeId="0" xr:uid="{5FDA4296-805D-4A5F-B7C3-101166B5D8AA}">
      <text>
        <r>
          <rPr>
            <sz val="10"/>
            <color indexed="81"/>
            <rFont val="Lucida Console"/>
            <family val="3"/>
          </rPr>
          <t>DESCRIÇÃO DETALHADA_x000D_
RODO DE ALUMINIO DE 60 CM C/ CABO DE ALUMINIO MEDINDO APROXIMADAMENTE 1,30 M  - BORRACHA UNICA E SUBSTITUIVEL (VARIACAO +/- 05 CM DO CABO)</t>
        </r>
      </text>
    </comment>
    <comment ref="G114" authorId="0" shapeId="0" xr:uid="{280F96A1-3EA9-4A20-99D6-E73D0207CE42}">
      <text>
        <r>
          <rPr>
            <sz val="10"/>
            <color indexed="81"/>
            <rFont val="Lucida Console"/>
            <family val="3"/>
          </rPr>
          <t>_x000D_
Últ estimativa : 0_x000D_
Enviada em     : 28.01.2021_x000D_
Ata - Venc     : 111/20 - 20.05.2021</t>
        </r>
      </text>
    </comment>
    <comment ref="O114" authorId="0" shapeId="0" xr:uid="{B71F5097-C71A-4F6E-9303-D5210384FBAF}">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114" authorId="0" shapeId="0" xr:uid="{3D56E9EC-2381-4B20-8262-781724766D70}">
      <text>
        <r>
          <rPr>
            <sz val="10"/>
            <color indexed="81"/>
            <rFont val="Lucida Console"/>
            <family val="3"/>
          </rPr>
          <t>_x000D_
Administrativo</t>
        </r>
      </text>
    </comment>
    <comment ref="X114" authorId="0" shapeId="0" xr:uid="{D3B38DAA-1A23-4DCB-9673-56904AF60979}">
      <text>
        <r>
          <rPr>
            <sz val="10"/>
            <color indexed="81"/>
            <rFont val="Lucida Console"/>
            <family val="3"/>
          </rPr>
          <t>_x000D_
MAQ.EQUIP.E MATERIAIS P/ HIGIEN.LIMP.POLIM.E LUBR.</t>
        </r>
      </text>
    </comment>
    <comment ref="Y114" authorId="0" shapeId="0" xr:uid="{E9640F6A-1A4C-433B-9B96-E7032BD75AE5}">
      <text>
        <r>
          <rPr>
            <sz val="10"/>
            <color indexed="81"/>
            <rFont val="Lucida Console"/>
            <family val="3"/>
          </rPr>
          <t>_x000D_
VASSOURAS,ESCOVAS,ESFREGOES,RODOS,DESEMTUP.E ESPAN</t>
        </r>
      </text>
    </comment>
    <comment ref="AW114" authorId="0" shapeId="0" xr:uid="{98FFFE81-8E2A-497D-AF6A-8D0E814805BC}">
      <text>
        <r>
          <rPr>
            <sz val="10"/>
            <color indexed="81"/>
            <rFont val="Lucida Console"/>
            <family val="3"/>
          </rPr>
          <t>Tempo de Estoque (Meses)_x000D_
_x000D_
37,0</t>
        </r>
      </text>
    </comment>
    <comment ref="A115" authorId="0" shapeId="0" xr:uid="{04E854B3-7266-45A6-AF6F-E4DAFA1162B2}">
      <text>
        <r>
          <rPr>
            <sz val="10"/>
            <color indexed="81"/>
            <rFont val="Lucida Console"/>
            <family val="3"/>
          </rPr>
          <t>_x000D_
122304</t>
        </r>
      </text>
    </comment>
    <comment ref="B115" authorId="0" shapeId="0" xr:uid="{944A96E0-E05B-4F68-BDB6-50193CA1D957}">
      <text>
        <r>
          <rPr>
            <sz val="10"/>
            <color indexed="81"/>
            <rFont val="Lucida Console"/>
            <family val="3"/>
          </rPr>
          <t>DESCRIÇÃO DETALHADA_x000D_
DISCO DE CORTE 4 1/2" DE DIAMETRO EXTERNO, 01 MM DE ESPESSURA E 7/8" DE DIAMETRO DE FURO</t>
        </r>
      </text>
    </comment>
    <comment ref="G115" authorId="0" shapeId="0" xr:uid="{C3065704-528A-4EAC-A7BE-1E8880EC77CF}">
      <text>
        <r>
          <rPr>
            <sz val="10"/>
            <color indexed="81"/>
            <rFont val="Lucida Console"/>
            <family val="3"/>
          </rPr>
          <t>_x000D_
Últ estimativa : 1.100_x000D_
Enviada em     : 25.09.2019_x000D_
Ata - Venc     : 114/18 - 07.06.2019</t>
        </r>
      </text>
    </comment>
    <comment ref="O115" authorId="0" shapeId="0" xr:uid="{0F2A8C38-D7B5-46B5-A362-19546973FC4D}">
      <text>
        <r>
          <rPr>
            <sz val="10"/>
            <color indexed="81"/>
            <rFont val="Lucida Console"/>
            <family val="3"/>
          </rPr>
          <t>_x000D_
Pertencia a ATA nº 114/18_x000D_
Estimativa de Renovação enviada em 25.09.2019 - Qtd 1.100_x000D_
PE  17/20 lote 55_x000D_
19.05.20 = Finalizar, contrato assinado.</t>
        </r>
      </text>
    </comment>
    <comment ref="W115" authorId="0" shapeId="0" xr:uid="{D1285BA0-87D9-4A22-AC3A-1AAA3B28AB28}">
      <text>
        <r>
          <rPr>
            <sz val="10"/>
            <color indexed="81"/>
            <rFont val="Lucida Console"/>
            <family val="3"/>
          </rPr>
          <t>_x000D_
DM-Serralheria</t>
        </r>
      </text>
    </comment>
    <comment ref="X115" authorId="0" shapeId="0" xr:uid="{A575793E-306F-4E08-A05A-72DFD66D2C7D}">
      <text>
        <r>
          <rPr>
            <sz val="10"/>
            <color indexed="81"/>
            <rFont val="Lucida Console"/>
            <family val="3"/>
          </rPr>
          <t>_x000D_
ABRASIVOS</t>
        </r>
      </text>
    </comment>
    <comment ref="Y115" authorId="0" shapeId="0" xr:uid="{CAE86DAB-52CC-44A2-9CE2-6DA0924B5F14}">
      <text>
        <r>
          <rPr>
            <sz val="10"/>
            <color indexed="81"/>
            <rFont val="Lucida Console"/>
            <family val="3"/>
          </rPr>
          <t>_x000D_
DISCO DE FIBRA</t>
        </r>
      </text>
    </comment>
    <comment ref="AW115" authorId="0" shapeId="0" xr:uid="{87CEA3FC-6BC2-424A-A37E-71DDEA380635}">
      <text>
        <r>
          <rPr>
            <sz val="10"/>
            <color indexed="81"/>
            <rFont val="Lucida Console"/>
            <family val="3"/>
          </rPr>
          <t>Tempo de Estoque (Meses)_x000D_
_x000D_
3.000,0</t>
        </r>
      </text>
    </comment>
    <comment ref="A116" authorId="0" shapeId="0" xr:uid="{4AB7E480-08FF-4936-8694-0EF76CBA9690}">
      <text>
        <r>
          <rPr>
            <sz val="10"/>
            <color indexed="81"/>
            <rFont val="Lucida Console"/>
            <family val="3"/>
          </rPr>
          <t>_x000D_
115807</t>
        </r>
      </text>
    </comment>
    <comment ref="B116" authorId="0" shapeId="0" xr:uid="{F17912B8-7090-46F4-8950-D3A76CFB79B2}">
      <text>
        <r>
          <rPr>
            <sz val="10"/>
            <color indexed="81"/>
            <rFont val="Lucida Console"/>
            <family val="3"/>
          </rPr>
          <t>DESCRIÇÃO DETALHADA_x000D_
CHAPA EM MDF CARVALHO 2 FACES, MEDINDO 2,75 X 1,83 M X 15 MM DE ESPESSURA</t>
        </r>
      </text>
    </comment>
    <comment ref="G116" authorId="0" shapeId="0" xr:uid="{9DEB13C2-8F6D-4E76-9305-138C913E51F3}">
      <text>
        <r>
          <rPr>
            <sz val="10"/>
            <color indexed="81"/>
            <rFont val="Lucida Console"/>
            <family val="3"/>
          </rPr>
          <t>_x000D_
Últ estimativa : 0_x000D_
Enviada em     : 28.01.2021_x000D_
Ata - Venc     : 115/20 - 26.05.2021</t>
        </r>
      </text>
    </comment>
    <comment ref="O116" authorId="0" shapeId="0" xr:uid="{57BE787F-33B6-4431-80D2-6B22B1AA0015}">
      <text>
        <r>
          <rPr>
            <sz val="10"/>
            <color indexed="81"/>
            <rFont val="Lucida Console"/>
            <family val="3"/>
          </rPr>
          <t>_x000D_
Pertencia a ATA nº 115/20_x000D_
Estimativa de Renovação enviada em 28.01.2021 - Qtd _x000D_
PE  56/21 lote _x000D_
22.04.21 = Processo finalizado. Ata 131/21.</t>
        </r>
      </text>
    </comment>
    <comment ref="W116" authorId="0" shapeId="0" xr:uid="{7665C1A8-95F3-4010-AD1E-D26FF24EA0C9}">
      <text>
        <r>
          <rPr>
            <sz val="10"/>
            <color indexed="81"/>
            <rFont val="Lucida Console"/>
            <family val="3"/>
          </rPr>
          <t>_x000D_
DM-Marcenaria</t>
        </r>
      </text>
    </comment>
    <comment ref="X116" authorId="0" shapeId="0" xr:uid="{C8F897F8-9391-4D42-87E9-AD8443EA0116}">
      <text>
        <r>
          <rPr>
            <sz val="10"/>
            <color indexed="81"/>
            <rFont val="Lucida Console"/>
            <family val="3"/>
          </rPr>
          <t>_x000D_
MADEIRAS,LAMINADOS,COMPENSADOS E AGLOMERADOS</t>
        </r>
      </text>
    </comment>
    <comment ref="Y116" authorId="0" shapeId="0" xr:uid="{26DBD97E-523F-4C2C-9F0A-70DA8F5175FE}">
      <text>
        <r>
          <rPr>
            <sz val="10"/>
            <color indexed="81"/>
            <rFont val="Lucida Console"/>
            <family val="3"/>
          </rPr>
          <t>_x000D_
CHAPAS COMPENSADAS RESINADAS/PLASTIFICADAS</t>
        </r>
      </text>
    </comment>
    <comment ref="AW116" authorId="0" shapeId="0" xr:uid="{D7C7ADFD-BE68-4ED9-A9BE-CD8239F21A88}">
      <text>
        <r>
          <rPr>
            <sz val="10"/>
            <color indexed="81"/>
            <rFont val="Lucida Console"/>
            <family val="3"/>
          </rPr>
          <t>Tempo de Estoque (Meses)_x000D_
_x000D_
170,0</t>
        </r>
      </text>
    </comment>
    <comment ref="A117" authorId="0" shapeId="0" xr:uid="{76E842A3-BB60-42EE-8070-9DF88FDBCA9B}">
      <text>
        <r>
          <rPr>
            <sz val="10"/>
            <color indexed="81"/>
            <rFont val="Lucida Console"/>
            <family val="3"/>
          </rPr>
          <t>_x000D_
126044</t>
        </r>
      </text>
    </comment>
    <comment ref="B117" authorId="0" shapeId="0" xr:uid="{B7018B6D-5957-4A10-97CA-5B21BBC2BA10}">
      <text>
        <r>
          <rPr>
            <sz val="10"/>
            <color indexed="81"/>
            <rFont val="Lucida Console"/>
            <family val="3"/>
          </rPr>
          <t xml:space="preserve">DESCRIÇÃO DETALHADA_x000D_
CHAPA EM MDF ULTRA TX, BRANCO, DUAS FACES COM PROTECAO CONTRA UMIDADE E CUPIM. MEDINDO: 2,75M X 1,83M X 18MM. </t>
        </r>
      </text>
    </comment>
    <comment ref="G117" authorId="0" shapeId="0" xr:uid="{E8853B00-1466-46F7-B4DF-795D8F4F331F}">
      <text>
        <r>
          <rPr>
            <sz val="10"/>
            <color indexed="81"/>
            <rFont val="Lucida Console"/>
            <family val="3"/>
          </rPr>
          <t>_x000D_
Últ estimativa : 0_x000D_
Enviada em     : 28.01.2021_x000D_
Ata - Venc     : 115/20 - 26.05.2021</t>
        </r>
      </text>
    </comment>
    <comment ref="O117" authorId="0" shapeId="0" xr:uid="{15916E28-9883-4341-9555-FCD83FF955F9}">
      <text>
        <r>
          <rPr>
            <sz val="10"/>
            <color indexed="81"/>
            <rFont val="Lucida Console"/>
            <family val="3"/>
          </rPr>
          <t>_x000D_
Pertencia a ATA nº 115/20_x000D_
Estimativa de Renovação enviada em 28.01.2021 - Qtd _x000D_
PE  56/21 lote _x000D_
22.04.21 = Processo finalizado. Ata 131/21.</t>
        </r>
      </text>
    </comment>
    <comment ref="W117" authorId="0" shapeId="0" xr:uid="{D13F68C8-62C5-4CFE-BC1A-96423569327E}">
      <text>
        <r>
          <rPr>
            <sz val="10"/>
            <color indexed="81"/>
            <rFont val="Lucida Console"/>
            <family val="3"/>
          </rPr>
          <t>_x000D_
DM-Marcenaria</t>
        </r>
      </text>
    </comment>
    <comment ref="X117" authorId="0" shapeId="0" xr:uid="{C04B495A-658A-4FDE-99B4-754BB2B1A0F6}">
      <text>
        <r>
          <rPr>
            <sz val="10"/>
            <color indexed="81"/>
            <rFont val="Lucida Console"/>
            <family val="3"/>
          </rPr>
          <t>_x000D_
MADEIRAS,LAMINADOS,COMPENSADOS E AGLOMERADOS</t>
        </r>
      </text>
    </comment>
    <comment ref="Y117" authorId="0" shapeId="0" xr:uid="{BA43D405-C1CC-41EC-B8F9-F37CA2460BB6}">
      <text>
        <r>
          <rPr>
            <sz val="10"/>
            <color indexed="81"/>
            <rFont val="Lucida Console"/>
            <family val="3"/>
          </rPr>
          <t>_x000D_
CHAPAS COMPENSADAS RESINADAS/PLASTIFICADAS</t>
        </r>
      </text>
    </comment>
    <comment ref="AW117" authorId="0" shapeId="0" xr:uid="{B19D75F2-3212-4953-956A-709654A608A2}">
      <text>
        <r>
          <rPr>
            <sz val="10"/>
            <color indexed="81"/>
            <rFont val="Lucida Console"/>
            <family val="3"/>
          </rPr>
          <t>Tempo de Estoque (Meses)_x000D_
_x000D_
160,0</t>
        </r>
      </text>
    </comment>
    <comment ref="A118" authorId="0" shapeId="0" xr:uid="{539D3F31-C183-4CE7-B6C5-8D7AA17C0DD5}">
      <text>
        <r>
          <rPr>
            <sz val="10"/>
            <color indexed="81"/>
            <rFont val="Lucida Console"/>
            <family val="3"/>
          </rPr>
          <t>_x000D_
49695</t>
        </r>
      </text>
    </comment>
    <comment ref="B118" authorId="0" shapeId="0" xr:uid="{E77F46B0-1EB4-4DA6-B1A0-8DA0F886CC88}">
      <text>
        <r>
          <rPr>
            <sz val="10"/>
            <color indexed="81"/>
            <rFont val="Lucida Console"/>
            <family val="3"/>
          </rPr>
          <t>DESCRIÇÃO DETALHADA_x000D_
MACANETA ALAVANCA CROMADA P/ PORTA DE MADEIRA</t>
        </r>
      </text>
    </comment>
    <comment ref="G118" authorId="0" shapeId="0" xr:uid="{09141CC4-B766-42D0-B69E-8C96549EB9BD}">
      <text>
        <r>
          <rPr>
            <sz val="10"/>
            <color indexed="81"/>
            <rFont val="Lucida Console"/>
            <family val="3"/>
          </rPr>
          <t>_x000D_
Últ estimativa : 1.000_x000D_
Enviada em     : 28.01.2021_x000D_
Ata - Venc     : 121/20 - 31.05.2021</t>
        </r>
      </text>
    </comment>
    <comment ref="O118" authorId="0" shapeId="0" xr:uid="{CC889A3F-2D0B-492A-BC1B-08B7EAC1E040}">
      <text>
        <r>
          <rPr>
            <sz val="10"/>
            <color indexed="81"/>
            <rFont val="Lucida Console"/>
            <family val="3"/>
          </rPr>
          <t>_x000D_
Pertencia a ATA nº 121/20_x000D_
Estimativa de Renovação enviada em 28.01.2021 - Qtd 1.000_x000D_
PE  32/20 lote _x000D_
05.06.20 = Finalizar - Contrato assinado</t>
        </r>
      </text>
    </comment>
    <comment ref="W118" authorId="0" shapeId="0" xr:uid="{8B02772B-204C-4937-9CAF-ADEECDDBAA8B}">
      <text>
        <r>
          <rPr>
            <sz val="10"/>
            <color indexed="81"/>
            <rFont val="Lucida Console"/>
            <family val="3"/>
          </rPr>
          <t>_x000D_
DM-Construção</t>
        </r>
      </text>
    </comment>
    <comment ref="X118" authorId="0" shapeId="0" xr:uid="{36278247-CE5C-40B8-B78E-F5AC3CEBF8D7}">
      <text>
        <r>
          <rPr>
            <sz val="10"/>
            <color indexed="81"/>
            <rFont val="Lucida Console"/>
            <family val="3"/>
          </rPr>
          <t>_x000D_
MAT.E EQUIP. P/ CONSTR.CIVIL E CONSERV. DE VIAS PUBL.</t>
        </r>
      </text>
    </comment>
    <comment ref="Y118" authorId="0" shapeId="0" xr:uid="{F4F8C5CB-4CC7-4874-9B15-23E3E951F162}">
      <text>
        <r>
          <rPr>
            <sz val="10"/>
            <color indexed="81"/>
            <rFont val="Lucida Console"/>
            <family val="3"/>
          </rPr>
          <t>_x000D_
FECHADURAS, DOBRADICAS E MACANETAS</t>
        </r>
      </text>
    </comment>
    <comment ref="AW118" authorId="0" shapeId="0" xr:uid="{6C2AFACE-C89B-4ABA-BA06-1366B99D4F12}">
      <text>
        <r>
          <rPr>
            <sz val="10"/>
            <color indexed="81"/>
            <rFont val="Lucida Console"/>
            <family val="3"/>
          </rPr>
          <t>Tempo de Estoque (Meses)_x000D_
_x000D_
100,0</t>
        </r>
      </text>
    </comment>
    <comment ref="A119" authorId="0" shapeId="0" xr:uid="{0B9EE6FD-735D-4A2B-9C26-CB41222E3DDF}">
      <text>
        <r>
          <rPr>
            <sz val="10"/>
            <color indexed="81"/>
            <rFont val="Lucida Console"/>
            <family val="3"/>
          </rPr>
          <t>_x000D_
82996</t>
        </r>
      </text>
    </comment>
    <comment ref="B119" authorId="0" shapeId="0" xr:uid="{D6A29164-B20F-4387-B9C1-69812F1B4729}">
      <text>
        <r>
          <rPr>
            <sz val="10"/>
            <color indexed="81"/>
            <rFont val="Lucida Console"/>
            <family val="3"/>
          </rPr>
          <t>DESCRIÇÃO DETALHADA_x000D_
GONZO COM CHUMBADOR N. 3 (65MM)</t>
        </r>
      </text>
    </comment>
    <comment ref="G119" authorId="0" shapeId="0" xr:uid="{3C140B06-59A6-42E2-8130-99E93917D672}">
      <text>
        <r>
          <rPr>
            <sz val="10"/>
            <color indexed="81"/>
            <rFont val="Lucida Console"/>
            <family val="3"/>
          </rPr>
          <t>_x000D_
Últ estimativa : 0_x000D_
Enviada em     : 28.01.2021_x000D_
Ata - Venc     : 121/20 - 31.05.2021</t>
        </r>
      </text>
    </comment>
    <comment ref="O119" authorId="0" shapeId="0" xr:uid="{3FFE4C64-1783-47B8-BB66-50BB36AA83AA}">
      <text>
        <r>
          <rPr>
            <sz val="10"/>
            <color indexed="81"/>
            <rFont val="Lucida Console"/>
            <family val="3"/>
          </rPr>
          <t>_x000D_
Pertencia a ATA nº 121/20_x000D_
Estimativa de Renovação enviada em 28.01.2021 - Qtd _x000D_
PE  32/20 lote _x000D_
05.06.20 = Finalizar - Contrato assinado</t>
        </r>
      </text>
    </comment>
    <comment ref="W119" authorId="0" shapeId="0" xr:uid="{2CB463E9-4F50-46CE-AA0D-86E41D1B4127}">
      <text>
        <r>
          <rPr>
            <sz val="10"/>
            <color indexed="81"/>
            <rFont val="Lucida Console"/>
            <family val="3"/>
          </rPr>
          <t>_x000D_
DM-Construção</t>
        </r>
      </text>
    </comment>
    <comment ref="X119" authorId="0" shapeId="0" xr:uid="{AFFB2EF6-3AFD-4864-86C2-6BAD798427E5}">
      <text>
        <r>
          <rPr>
            <sz val="10"/>
            <color indexed="81"/>
            <rFont val="Lucida Console"/>
            <family val="3"/>
          </rPr>
          <t>_x000D_
MAT.E EQUIP. P/ CONSTR.CIVIL E CONSERV. DE VIAS PUBL.</t>
        </r>
      </text>
    </comment>
    <comment ref="Y119" authorId="0" shapeId="0" xr:uid="{7A4C8D08-2F7A-4FDD-AE36-17CAF480760E}">
      <text>
        <r>
          <rPr>
            <sz val="10"/>
            <color indexed="81"/>
            <rFont val="Lucida Console"/>
            <family val="3"/>
          </rPr>
          <t>_x000D_
FECHADURAS, DOBRADICAS E MACANETAS</t>
        </r>
      </text>
    </comment>
    <comment ref="AW119" authorId="0" shapeId="0" xr:uid="{32154C8D-CE36-4808-9591-94D308385EBB}">
      <text>
        <r>
          <rPr>
            <sz val="10"/>
            <color indexed="81"/>
            <rFont val="Lucida Console"/>
            <family val="3"/>
          </rPr>
          <t>Tempo de Estoque (Meses)_x000D_
_x000D_
480,0</t>
        </r>
      </text>
    </comment>
    <comment ref="A120" authorId="0" shapeId="0" xr:uid="{3F937E72-1324-4466-BCFB-FB9EB4796DC2}">
      <text>
        <r>
          <rPr>
            <sz val="10"/>
            <color indexed="81"/>
            <rFont val="Lucida Console"/>
            <family val="3"/>
          </rPr>
          <t>_x000D_
15436</t>
        </r>
      </text>
    </comment>
    <comment ref="B120" authorId="0" shapeId="0" xr:uid="{C80EDA15-BD3D-46A2-95B6-EBBD6EC5CD31}">
      <text>
        <r>
          <rPr>
            <sz val="10"/>
            <color indexed="81"/>
            <rFont val="Lucida Console"/>
            <family val="3"/>
          </rPr>
          <t>DESCRIÇÃO DETALHADA_x000D_
FECHADURA DE EMBUTIR C/ TAMBOR - EXTERNA</t>
        </r>
      </text>
    </comment>
    <comment ref="G120" authorId="0" shapeId="0" xr:uid="{2018D333-2A31-44CE-BF65-4F5F2AE53AE6}">
      <text>
        <r>
          <rPr>
            <sz val="10"/>
            <color indexed="81"/>
            <rFont val="Lucida Console"/>
            <family val="3"/>
          </rPr>
          <t>_x000D_
Últ estimativa : 300_x000D_
Enviada em     : 28.01.2021_x000D_
Ata - Venc     : 121/20 - 31.05.2021</t>
        </r>
      </text>
    </comment>
    <comment ref="O120" authorId="0" shapeId="0" xr:uid="{F9E40889-79AF-4116-93BA-7C00F8843A93}">
      <text>
        <r>
          <rPr>
            <sz val="10"/>
            <color indexed="81"/>
            <rFont val="Lucida Console"/>
            <family val="3"/>
          </rPr>
          <t>_x000D_
Pertencia a ATA nº 121/20_x000D_
Estimativa de Renovação enviada em 28.01.2021 - Qtd 300_x000D_
PE  32/20 lote _x000D_
05.06.20 = Finalizar - Contrato assinado</t>
        </r>
      </text>
    </comment>
    <comment ref="W120" authorId="0" shapeId="0" xr:uid="{C936B193-266E-4F5C-A236-05345F3B30D6}">
      <text>
        <r>
          <rPr>
            <sz val="10"/>
            <color indexed="81"/>
            <rFont val="Lucida Console"/>
            <family val="3"/>
          </rPr>
          <t>_x000D_
DM-Construção</t>
        </r>
      </text>
    </comment>
    <comment ref="X120" authorId="0" shapeId="0" xr:uid="{758CDF2A-ACE6-4B14-83AA-040CCE52A99A}">
      <text>
        <r>
          <rPr>
            <sz val="10"/>
            <color indexed="81"/>
            <rFont val="Lucida Console"/>
            <family val="3"/>
          </rPr>
          <t>_x000D_
MAT.E EQUIP. P/ CONSTR.CIVIL E CONSERV. DE VIAS PUBL.</t>
        </r>
      </text>
    </comment>
    <comment ref="Y120" authorId="0" shapeId="0" xr:uid="{67D1796E-C90E-4049-8762-A16E7B52329D}">
      <text>
        <r>
          <rPr>
            <sz val="10"/>
            <color indexed="81"/>
            <rFont val="Lucida Console"/>
            <family val="3"/>
          </rPr>
          <t>_x000D_
FECHADURAS INTERNAS E EXTERNAS</t>
        </r>
      </text>
    </comment>
    <comment ref="AW120" authorId="0" shapeId="0" xr:uid="{A3120FA3-893F-47E6-BF86-533C2C335439}">
      <text>
        <r>
          <rPr>
            <sz val="10"/>
            <color indexed="81"/>
            <rFont val="Lucida Console"/>
            <family val="3"/>
          </rPr>
          <t>Tempo de Estoque (Meses)_x000D_
_x000D_
497,0</t>
        </r>
      </text>
    </comment>
    <comment ref="A121" authorId="0" shapeId="0" xr:uid="{EE2A86FD-FFDE-4491-921E-D1722BA33B42}">
      <text>
        <r>
          <rPr>
            <sz val="10"/>
            <color indexed="81"/>
            <rFont val="Lucida Console"/>
            <family val="3"/>
          </rPr>
          <t>_x000D_
13094</t>
        </r>
      </text>
    </comment>
    <comment ref="B121" authorId="0" shapeId="0" xr:uid="{F7695BE1-2985-49B5-B3F7-07BAF320ACC9}">
      <text>
        <r>
          <rPr>
            <sz val="10"/>
            <color indexed="81"/>
            <rFont val="Lucida Console"/>
            <family val="3"/>
          </rPr>
          <t>DESCRIÇÃO DETALHADA_x000D_
TARJETA CROMADA 3"</t>
        </r>
      </text>
    </comment>
    <comment ref="G121" authorId="0" shapeId="0" xr:uid="{0085495F-3E72-4EAA-964B-A4E10F7CF841}">
      <text>
        <r>
          <rPr>
            <sz val="10"/>
            <color indexed="81"/>
            <rFont val="Lucida Console"/>
            <family val="3"/>
          </rPr>
          <t>_x000D_
Últ estimativa : 0_x000D_
Enviada em     : 28.01.2021_x000D_
Ata - Venc     : 121/20 - 31.05.2021</t>
        </r>
      </text>
    </comment>
    <comment ref="O121" authorId="0" shapeId="0" xr:uid="{F797248B-7F66-4C14-A0D5-13590BFCB21D}">
      <text>
        <r>
          <rPr>
            <sz val="10"/>
            <color indexed="81"/>
            <rFont val="Lucida Console"/>
            <family val="3"/>
          </rPr>
          <t>_x000D_
Pertencia a ATA nº 121/20_x000D_
Estimativa de Renovação enviada em 28.01.2021 - Qtd _x000D_
PE  32/20 lote _x000D_
05.06.20 = Finalizar - Contrato assinado</t>
        </r>
      </text>
    </comment>
    <comment ref="W121" authorId="0" shapeId="0" xr:uid="{C7354F0B-175C-4814-BD80-28515AD88431}">
      <text>
        <r>
          <rPr>
            <sz val="10"/>
            <color indexed="81"/>
            <rFont val="Lucida Console"/>
            <family val="3"/>
          </rPr>
          <t>_x000D_
DM-Marcenaria</t>
        </r>
      </text>
    </comment>
    <comment ref="X121" authorId="0" shapeId="0" xr:uid="{DF89CD49-FCB1-41F5-B73F-5486BDCE2701}">
      <text>
        <r>
          <rPr>
            <sz val="10"/>
            <color indexed="81"/>
            <rFont val="Lucida Console"/>
            <family val="3"/>
          </rPr>
          <t>_x000D_
MAT.E EQUIP. P/ CONSTR.CIVIL E CONSERV. DE VIAS PUBL.</t>
        </r>
      </text>
    </comment>
    <comment ref="Y121" authorId="0" shapeId="0" xr:uid="{A61F5EC9-706B-48F1-8086-EDF0A8A3EA98}">
      <text>
        <r>
          <rPr>
            <sz val="10"/>
            <color indexed="81"/>
            <rFont val="Lucida Console"/>
            <family val="3"/>
          </rPr>
          <t>_x000D_
MACANETAS, TRINCOS, TRAMELAS E TRANQUETAS</t>
        </r>
      </text>
    </comment>
    <comment ref="AW121" authorId="0" shapeId="0" xr:uid="{E50D10D4-9801-4FF1-BDD7-18447008CE73}">
      <text>
        <r>
          <rPr>
            <sz val="10"/>
            <color indexed="81"/>
            <rFont val="Lucida Console"/>
            <family val="3"/>
          </rPr>
          <t>Tempo de Estoque (Meses)_x000D_
_x000D_
323,0</t>
        </r>
      </text>
    </comment>
    <comment ref="A122" authorId="0" shapeId="0" xr:uid="{23DC650F-862F-482D-BC4F-3249250243BF}">
      <text>
        <r>
          <rPr>
            <sz val="10"/>
            <color indexed="81"/>
            <rFont val="Lucida Console"/>
            <family val="3"/>
          </rPr>
          <t>_x000D_
13180</t>
        </r>
      </text>
    </comment>
    <comment ref="B122" authorId="0" shapeId="0" xr:uid="{067BB471-F76D-4605-BB62-2FA95E85047E}">
      <text>
        <r>
          <rPr>
            <sz val="10"/>
            <color indexed="81"/>
            <rFont val="Lucida Console"/>
            <family val="3"/>
          </rPr>
          <t>DESCRIÇÃO DETALHADA_x000D_
CADEADO DE LATAO - 30 MM</t>
        </r>
      </text>
    </comment>
    <comment ref="G122" authorId="0" shapeId="0" xr:uid="{98BD7285-0437-4137-B10A-470A5F599020}">
      <text>
        <r>
          <rPr>
            <sz val="10"/>
            <color indexed="81"/>
            <rFont val="Lucida Console"/>
            <family val="3"/>
          </rPr>
          <t>_x000D_
Últ estimativa : 0_x000D_
Enviada em     : 28.01.2021_x000D_
Ata - Venc     : 121/20 - 31.05.2021</t>
        </r>
      </text>
    </comment>
    <comment ref="O122" authorId="0" shapeId="0" xr:uid="{BFB6D060-943C-49AE-B5E5-F14C3A4811E9}">
      <text>
        <r>
          <rPr>
            <sz val="10"/>
            <color indexed="81"/>
            <rFont val="Lucida Console"/>
            <family val="3"/>
          </rPr>
          <t>_x000D_
Pertencia a ATA nº 121/20_x000D_
Estimativa de Renovação enviada em 28.01.2021 - Qtd _x000D_
PE  32/20 lote _x000D_
05.06.20 = Finalizar - Contrato assinado</t>
        </r>
      </text>
    </comment>
    <comment ref="W122" authorId="0" shapeId="0" xr:uid="{DE1226A5-787D-4D89-BA2A-CF7D91D772A0}">
      <text>
        <r>
          <rPr>
            <sz val="10"/>
            <color indexed="81"/>
            <rFont val="Lucida Console"/>
            <family val="3"/>
          </rPr>
          <t>_x000D_
Administrativo</t>
        </r>
      </text>
    </comment>
    <comment ref="X122" authorId="0" shapeId="0" xr:uid="{E2E283FB-7459-43C1-A848-4C36808DFC6E}">
      <text>
        <r>
          <rPr>
            <sz val="10"/>
            <color indexed="81"/>
            <rFont val="Lucida Console"/>
            <family val="3"/>
          </rPr>
          <t>_x000D_
MAT.E EQUIP. P/ CONSTR.CIVIL E CONSERV. DE VIAS PUBL.</t>
        </r>
      </text>
    </comment>
    <comment ref="Y122" authorId="0" shapeId="0" xr:uid="{7A906E0E-E6AC-4A4F-9601-0BA185538B61}">
      <text>
        <r>
          <rPr>
            <sz val="10"/>
            <color indexed="81"/>
            <rFont val="Lucida Console"/>
            <family val="3"/>
          </rPr>
          <t>_x000D_
CADEADOS</t>
        </r>
      </text>
    </comment>
    <comment ref="AW122" authorId="0" shapeId="0" xr:uid="{1BF2172D-E386-4EAD-BDE5-D8501633F437}">
      <text>
        <r>
          <rPr>
            <sz val="10"/>
            <color indexed="81"/>
            <rFont val="Lucida Console"/>
            <family val="3"/>
          </rPr>
          <t>Tempo de Estoque (Meses)_x000D_
_x000D_
298,0</t>
        </r>
      </text>
    </comment>
    <comment ref="A123" authorId="0" shapeId="0" xr:uid="{C710A8B4-6D66-4F81-B05E-A480F14C1572}">
      <text>
        <r>
          <rPr>
            <sz val="10"/>
            <color indexed="81"/>
            <rFont val="Lucida Console"/>
            <family val="3"/>
          </rPr>
          <t>_x000D_
13181</t>
        </r>
      </text>
    </comment>
    <comment ref="B123" authorId="0" shapeId="0" xr:uid="{4EE81CFB-81AE-4A9A-90EE-00560DCAE580}">
      <text>
        <r>
          <rPr>
            <sz val="10"/>
            <color indexed="81"/>
            <rFont val="Lucida Console"/>
            <family val="3"/>
          </rPr>
          <t>DESCRIÇÃO DETALHADA_x000D_
CADEADO DE LATAO - 50 MM</t>
        </r>
      </text>
    </comment>
    <comment ref="G123" authorId="0" shapeId="0" xr:uid="{DC6D7424-5AA7-468E-B137-AFA4A33E6C08}">
      <text>
        <r>
          <rPr>
            <sz val="10"/>
            <color indexed="81"/>
            <rFont val="Lucida Console"/>
            <family val="3"/>
          </rPr>
          <t>_x000D_
Últ estimativa : 0_x000D_
Enviada em     : 28.01.2021_x000D_
Ata - Venc     : 121/20 - 31.05.2021</t>
        </r>
      </text>
    </comment>
    <comment ref="O123" authorId="0" shapeId="0" xr:uid="{EF4091A7-97D3-4AE6-A56B-0ADB91E4798C}">
      <text>
        <r>
          <rPr>
            <sz val="10"/>
            <color indexed="81"/>
            <rFont val="Lucida Console"/>
            <family val="3"/>
          </rPr>
          <t>_x000D_
Pertencia a ATA nº 121/20_x000D_
Estimativa de Renovação enviada em 28.01.2021 - Qtd _x000D_
PE  32/20 lote _x000D_
05.06.20 = Finalizar - Contrato assinado</t>
        </r>
      </text>
    </comment>
    <comment ref="W123" authorId="0" shapeId="0" xr:uid="{5735D969-9C0E-4048-95F6-FCCB59B20A86}">
      <text>
        <r>
          <rPr>
            <sz val="10"/>
            <color indexed="81"/>
            <rFont val="Lucida Console"/>
            <family val="3"/>
          </rPr>
          <t>_x000D_
Administrativo</t>
        </r>
      </text>
    </comment>
    <comment ref="X123" authorId="0" shapeId="0" xr:uid="{9FD9655A-6E5B-46F6-A5CB-FE09393BF688}">
      <text>
        <r>
          <rPr>
            <sz val="10"/>
            <color indexed="81"/>
            <rFont val="Lucida Console"/>
            <family val="3"/>
          </rPr>
          <t>_x000D_
MAT.E EQUIP. P/ CONSTR.CIVIL E CONSERV. DE VIAS PUBL.</t>
        </r>
      </text>
    </comment>
    <comment ref="Y123" authorId="0" shapeId="0" xr:uid="{7BF12D8E-8509-49F7-98D9-EEC2540CD462}">
      <text>
        <r>
          <rPr>
            <sz val="10"/>
            <color indexed="81"/>
            <rFont val="Lucida Console"/>
            <family val="3"/>
          </rPr>
          <t>_x000D_
CADEADOS</t>
        </r>
      </text>
    </comment>
    <comment ref="AW123" authorId="0" shapeId="0" xr:uid="{D39147AD-FAD8-4ADB-B510-B13C577FBA1E}">
      <text>
        <r>
          <rPr>
            <sz val="10"/>
            <color indexed="81"/>
            <rFont val="Lucida Console"/>
            <family val="3"/>
          </rPr>
          <t>Tempo de Estoque (Meses)_x000D_
_x000D_
258,0</t>
        </r>
      </text>
    </comment>
    <comment ref="A124" authorId="0" shapeId="0" xr:uid="{8B7A9082-DA1A-43C9-9E56-E8CA11473E07}">
      <text>
        <r>
          <rPr>
            <sz val="10"/>
            <color indexed="81"/>
            <rFont val="Lucida Console"/>
            <family val="3"/>
          </rPr>
          <t>_x000D_
17704</t>
        </r>
      </text>
    </comment>
    <comment ref="B124" authorId="0" shapeId="0" xr:uid="{D6497444-7B99-48EA-A0A3-80FC5A3BB491}">
      <text>
        <r>
          <rPr>
            <sz val="10"/>
            <color indexed="81"/>
            <rFont val="Lucida Console"/>
            <family val="3"/>
          </rPr>
          <t>DESCRIÇÃO DETALHADA_x000D_
CADEADO DE LATAO - 40 MM</t>
        </r>
      </text>
    </comment>
    <comment ref="G124" authorId="0" shapeId="0" xr:uid="{83355DC0-A6F2-440D-A4E5-8C0E24668A63}">
      <text>
        <r>
          <rPr>
            <sz val="10"/>
            <color indexed="81"/>
            <rFont val="Lucida Console"/>
            <family val="3"/>
          </rPr>
          <t>_x000D_
Últ estimativa : 0_x000D_
Enviada em     : 28.01.2021_x000D_
Ata - Venc     : 121/20 - 31.05.2021</t>
        </r>
      </text>
    </comment>
    <comment ref="O124" authorId="0" shapeId="0" xr:uid="{F5BEE339-A397-42B4-A387-5C35EF62A3FE}">
      <text>
        <r>
          <rPr>
            <sz val="10"/>
            <color indexed="81"/>
            <rFont val="Lucida Console"/>
            <family val="3"/>
          </rPr>
          <t>_x000D_
Pertencia a ATA nº 121/20_x000D_
Estimativa de Renovação enviada em 28.01.2021 - Qtd _x000D_
PE  32/20 lote _x000D_
05.06.20 = Finalizar - Contrato assinado</t>
        </r>
      </text>
    </comment>
    <comment ref="W124" authorId="0" shapeId="0" xr:uid="{91DC1CE3-CE3A-4281-8E2F-2EC7698EC72C}">
      <text>
        <r>
          <rPr>
            <sz val="10"/>
            <color indexed="81"/>
            <rFont val="Lucida Console"/>
            <family val="3"/>
          </rPr>
          <t>_x000D_
Administrativo</t>
        </r>
      </text>
    </comment>
    <comment ref="X124" authorId="0" shapeId="0" xr:uid="{5856F8FA-DCCD-48F1-B8B0-99E0592B02A2}">
      <text>
        <r>
          <rPr>
            <sz val="10"/>
            <color indexed="81"/>
            <rFont val="Lucida Console"/>
            <family val="3"/>
          </rPr>
          <t>_x000D_
MAT.E EQUIP. P/ CONSTR.CIVIL E CONSERV. DE VIAS PUBL.</t>
        </r>
      </text>
    </comment>
    <comment ref="Y124" authorId="0" shapeId="0" xr:uid="{C28354B7-3A9A-41E1-BFED-D73C3EE1BF41}">
      <text>
        <r>
          <rPr>
            <sz val="10"/>
            <color indexed="81"/>
            <rFont val="Lucida Console"/>
            <family val="3"/>
          </rPr>
          <t>_x000D_
CADEADOS</t>
        </r>
      </text>
    </comment>
    <comment ref="AW124" authorId="0" shapeId="0" xr:uid="{8BB45EBB-70A2-4B9C-8B10-4FB6438F9629}">
      <text>
        <r>
          <rPr>
            <sz val="10"/>
            <color indexed="81"/>
            <rFont val="Lucida Console"/>
            <family val="3"/>
          </rPr>
          <t>Tempo de Estoque (Meses)_x000D_
_x000D_
197,0</t>
        </r>
      </text>
    </comment>
    <comment ref="A125" authorId="0" shapeId="0" xr:uid="{00D92789-7FB4-40F5-AA14-B2FA85B1C45E}">
      <text>
        <r>
          <rPr>
            <sz val="10"/>
            <color indexed="81"/>
            <rFont val="Lucida Console"/>
            <family val="3"/>
          </rPr>
          <t>_x000D_
12992</t>
        </r>
      </text>
    </comment>
    <comment ref="B125" authorId="0" shapeId="0" xr:uid="{848F92B8-A3BD-4B7B-817E-17E66A976380}">
      <text>
        <r>
          <rPr>
            <sz val="10"/>
            <color indexed="81"/>
            <rFont val="Lucida Console"/>
            <family val="3"/>
          </rPr>
          <t>DESCRIÇÃO DETALHADA_x000D_
INTERRUPTOR 10A X 250V INTERNO DE 03 TECLAS C/ PLACA</t>
        </r>
      </text>
    </comment>
    <comment ref="G125" authorId="0" shapeId="0" xr:uid="{07B7DADA-2478-4DC8-B010-F250C9C301C1}">
      <text>
        <r>
          <rPr>
            <sz val="10"/>
            <color indexed="81"/>
            <rFont val="Lucida Console"/>
            <family val="3"/>
          </rPr>
          <t>_x000D_
Últ estimativa : 50_x000D_
Enviada em     : 17.01.2020_x000D_
Ata - Venc     : 126/19 - 06.05.2020</t>
        </r>
      </text>
    </comment>
    <comment ref="O125" authorId="0" shapeId="0" xr:uid="{AE8AA65A-FCE2-4794-AB92-E089D693576B}">
      <text>
        <r>
          <rPr>
            <sz val="10"/>
            <color indexed="81"/>
            <rFont val="Lucida Console"/>
            <family val="3"/>
          </rPr>
          <t>_x000D_
Pertencia a ATA nº 126/19_x000D_
Estimativa de Renovação enviada em 17.01.2020 - Qtd 50_x000D_
PE 153/20 lote 1 (Impróspero)_x000D_
16.09.20 = Finalizado</t>
        </r>
      </text>
    </comment>
    <comment ref="W125" authorId="0" shapeId="0" xr:uid="{16CECC75-5B30-49A7-B417-92EE2967473C}">
      <text>
        <r>
          <rPr>
            <sz val="10"/>
            <color indexed="81"/>
            <rFont val="Lucida Console"/>
            <family val="3"/>
          </rPr>
          <t>_x000D_
DM-Elétrica</t>
        </r>
      </text>
    </comment>
    <comment ref="X125" authorId="0" shapeId="0" xr:uid="{A661A74B-C615-4902-837B-031DB28BF65C}">
      <text>
        <r>
          <rPr>
            <sz val="10"/>
            <color indexed="81"/>
            <rFont val="Lucida Console"/>
            <family val="3"/>
          </rPr>
          <t>_x000D_
EQUIP. MAT. P/ GERACAO, TRANSM. DISTR. RETIF...</t>
        </r>
      </text>
    </comment>
    <comment ref="Y125" authorId="0" shapeId="0" xr:uid="{134392D7-62B9-4CCC-B053-FF36CA3EBEB1}">
      <text>
        <r>
          <rPr>
            <sz val="10"/>
            <color indexed="81"/>
            <rFont val="Lucida Console"/>
            <family val="3"/>
          </rPr>
          <t>_x000D_
INTERRUPTORES DE USO DOMESTICO E INDUSTRIAL</t>
        </r>
      </text>
    </comment>
    <comment ref="AW125" authorId="0" shapeId="0" xr:uid="{8FE1E721-526E-4A88-9BB3-FF0ABF867C7C}">
      <text>
        <r>
          <rPr>
            <sz val="10"/>
            <color indexed="81"/>
            <rFont val="Lucida Console"/>
            <family val="3"/>
          </rPr>
          <t>Tempo de Estoque (Meses)_x000D_
_x000D_
10,0</t>
        </r>
      </text>
    </comment>
    <comment ref="A126" authorId="0" shapeId="0" xr:uid="{6972E9A8-C6D7-457D-98FA-4C34BB601B32}">
      <text>
        <r>
          <rPr>
            <sz val="10"/>
            <color indexed="81"/>
            <rFont val="Lucida Console"/>
            <family val="3"/>
          </rPr>
          <t>_x000D_
15299</t>
        </r>
      </text>
    </comment>
    <comment ref="B126" authorId="0" shapeId="0" xr:uid="{D8043528-9B08-424B-A475-10E8D546CF52}">
      <text>
        <r>
          <rPr>
            <sz val="10"/>
            <color indexed="81"/>
            <rFont val="Lucida Console"/>
            <family val="3"/>
          </rPr>
          <t>DESCRIÇÃO DETALHADA_x000D_
INTERRUPTOR 10A X 250V INTERNO C/PLACA-  01 TECLA</t>
        </r>
      </text>
    </comment>
    <comment ref="G126" authorId="0" shapeId="0" xr:uid="{C0AD7853-9EA1-4C32-B7D2-2B9F91B64FDC}">
      <text>
        <r>
          <rPr>
            <sz val="10"/>
            <color indexed="81"/>
            <rFont val="Lucida Console"/>
            <family val="3"/>
          </rPr>
          <t>_x000D_
Últ estimativa : 650_x000D_
Enviada em     : 17.01.2020_x000D_
Ata - Venc     : 126/19 - 06.05.2020</t>
        </r>
      </text>
    </comment>
    <comment ref="O126" authorId="0" shapeId="0" xr:uid="{12D36D7E-1C3B-4E58-8A4F-9A9CF4FD69AE}">
      <text>
        <r>
          <rPr>
            <sz val="10"/>
            <color indexed="81"/>
            <rFont val="Lucida Console"/>
            <family val="3"/>
          </rPr>
          <t>_x000D_
Pertencia a ATA nº 126/19_x000D_
Estimativa de Renovação enviada em 17.01.2020 - Qtd 650_x000D_
PE 153/20 lote 1 (Impróspero)_x000D_
16.09.20 = Finalizado</t>
        </r>
      </text>
    </comment>
    <comment ref="W126" authorId="0" shapeId="0" xr:uid="{B8FB53C5-E192-42A0-AD7D-484739665D2F}">
      <text>
        <r>
          <rPr>
            <sz val="10"/>
            <color indexed="81"/>
            <rFont val="Lucida Console"/>
            <family val="3"/>
          </rPr>
          <t>_x000D_
DM-Elétrica</t>
        </r>
      </text>
    </comment>
    <comment ref="X126" authorId="0" shapeId="0" xr:uid="{541AF059-60AA-49CF-B256-9DE825E108A9}">
      <text>
        <r>
          <rPr>
            <sz val="10"/>
            <color indexed="81"/>
            <rFont val="Lucida Console"/>
            <family val="3"/>
          </rPr>
          <t>_x000D_
EQUIP. MAT. P/ GERACAO, TRANSM. DISTR. RETIF...</t>
        </r>
      </text>
    </comment>
    <comment ref="Y126" authorId="0" shapeId="0" xr:uid="{2406453D-7E56-466E-BFDE-7E7CB698030A}">
      <text>
        <r>
          <rPr>
            <sz val="10"/>
            <color indexed="81"/>
            <rFont val="Lucida Console"/>
            <family val="3"/>
          </rPr>
          <t>_x000D_
INTERRUPTORES DE USO DOMESTICO E INDUSTRIAL</t>
        </r>
      </text>
    </comment>
    <comment ref="AW126" authorId="0" shapeId="0" xr:uid="{287D1660-EA85-49FB-A169-0A19FA868A8E}">
      <text>
        <r>
          <rPr>
            <sz val="10"/>
            <color indexed="81"/>
            <rFont val="Lucida Console"/>
            <family val="3"/>
          </rPr>
          <t>Tempo de Estoque (Meses)_x000D_
_x000D_
100,0</t>
        </r>
      </text>
    </comment>
    <comment ref="A127" authorId="0" shapeId="0" xr:uid="{5C84602D-391C-4A3C-A005-B74FD17C958D}">
      <text>
        <r>
          <rPr>
            <sz val="10"/>
            <color indexed="81"/>
            <rFont val="Lucida Console"/>
            <family val="3"/>
          </rPr>
          <t>_x000D_
110895</t>
        </r>
      </text>
    </comment>
    <comment ref="B127" authorId="0" shapeId="0" xr:uid="{AA6A8590-C80C-4C78-991A-8D2F7EA2FB7E}">
      <text>
        <r>
          <rPr>
            <sz val="10"/>
            <color indexed="81"/>
            <rFont val="Lucida Console"/>
            <family val="3"/>
          </rPr>
          <t>DESCRIÇÃO DETALHADA_x000D_
INTERRUPTOR 10A X 250V INTERNO C/ 01 TECLA PARALELA COM PLACA 4 X 2.</t>
        </r>
      </text>
    </comment>
    <comment ref="G127" authorId="0" shapeId="0" xr:uid="{43CFCBC5-5A7E-4830-BB61-3497C9A5BEEA}">
      <text>
        <r>
          <rPr>
            <sz val="10"/>
            <color indexed="81"/>
            <rFont val="Lucida Console"/>
            <family val="3"/>
          </rPr>
          <t>_x000D_
Últ estimativa : 200_x000D_
Enviada em     : 17.01.2020_x000D_
Ata - Venc     : 126/19 - 06.05.2020</t>
        </r>
      </text>
    </comment>
    <comment ref="O127" authorId="0" shapeId="0" xr:uid="{2AFFDF70-B6AA-4E16-B524-9EB1AFB9D522}">
      <text>
        <r>
          <rPr>
            <sz val="10"/>
            <color indexed="81"/>
            <rFont val="Lucida Console"/>
            <family val="3"/>
          </rPr>
          <t>_x000D_
Pertencia a ATA nº 126/19_x000D_
Estimativa de Renovação enviada em 17.01.2020 - Qtd 200_x000D_
PE 153/20 lote 1 (Impróspero)_x000D_
16.09.20 = Finalizado</t>
        </r>
      </text>
    </comment>
    <comment ref="W127" authorId="0" shapeId="0" xr:uid="{152B4B1F-5777-4B94-AD11-57B483F29E75}">
      <text>
        <r>
          <rPr>
            <sz val="10"/>
            <color indexed="81"/>
            <rFont val="Lucida Console"/>
            <family val="3"/>
          </rPr>
          <t>_x000D_
DM-Elétrica</t>
        </r>
      </text>
    </comment>
    <comment ref="X127" authorId="0" shapeId="0" xr:uid="{DE8849A3-F42D-4441-BEF4-E23F64E0B889}">
      <text>
        <r>
          <rPr>
            <sz val="10"/>
            <color indexed="81"/>
            <rFont val="Lucida Console"/>
            <family val="3"/>
          </rPr>
          <t>_x000D_
EQUIP. MAT. P/ GERACAO, TRANSM. DISTR. RETIF...</t>
        </r>
      </text>
    </comment>
    <comment ref="Y127" authorId="0" shapeId="0" xr:uid="{E5CB67D6-0FBE-43B4-AFAF-1825CD2FB1D1}">
      <text>
        <r>
          <rPr>
            <sz val="10"/>
            <color indexed="81"/>
            <rFont val="Lucida Console"/>
            <family val="3"/>
          </rPr>
          <t>_x000D_
INTERRUPTORES DE USO DOMESTICO E INDUSTRIAL</t>
        </r>
      </text>
    </comment>
    <comment ref="AW127" authorId="0" shapeId="0" xr:uid="{FE415607-A4AD-4CC1-A0D4-026E4B35D24E}">
      <text>
        <r>
          <rPr>
            <sz val="10"/>
            <color indexed="81"/>
            <rFont val="Lucida Console"/>
            <family val="3"/>
          </rPr>
          <t>Tempo de Estoque (Meses)_x000D_
_x000D_
193,0</t>
        </r>
      </text>
    </comment>
    <comment ref="A128" authorId="0" shapeId="0" xr:uid="{C915816C-C767-4C11-9C3F-9274DC111DCC}">
      <text>
        <r>
          <rPr>
            <sz val="10"/>
            <color indexed="81"/>
            <rFont val="Lucida Console"/>
            <family val="3"/>
          </rPr>
          <t>_x000D_
110896</t>
        </r>
      </text>
    </comment>
    <comment ref="B128" authorId="0" shapeId="0" xr:uid="{F7860F8D-3382-4B82-9DC8-BC21A5DD543B}">
      <text>
        <r>
          <rPr>
            <sz val="10"/>
            <color indexed="81"/>
            <rFont val="Lucida Console"/>
            <family val="3"/>
          </rPr>
          <t>DESCRIÇÃO DETALHADA_x000D_
INTERRUPTOR 10A X 250V INTERNO C/ 03 TECLAS PARALELAS C/ PLACA 4 X 2.</t>
        </r>
      </text>
    </comment>
    <comment ref="G128" authorId="0" shapeId="0" xr:uid="{36207ADE-2A57-4252-83F8-9B321900E410}">
      <text>
        <r>
          <rPr>
            <sz val="10"/>
            <color indexed="81"/>
            <rFont val="Lucida Console"/>
            <family val="3"/>
          </rPr>
          <t>_x000D_
Últ estimativa : 50_x000D_
Enviada em     : 17.01.2020_x000D_
Ata - Venc     : 126/19 - 06.05.2020</t>
        </r>
      </text>
    </comment>
    <comment ref="O128" authorId="0" shapeId="0" xr:uid="{34348A31-219A-48F9-88AD-AB10571D7746}">
      <text>
        <r>
          <rPr>
            <sz val="10"/>
            <color indexed="81"/>
            <rFont val="Lucida Console"/>
            <family val="3"/>
          </rPr>
          <t>_x000D_
Pertencia a ATA nº 126/19_x000D_
Estimativa de Renovação enviada em 17.01.2020 - Qtd 50_x000D_
PE 153/20 lote 1 (Impróspero)_x000D_
16.09.20 = Finalizado</t>
        </r>
      </text>
    </comment>
    <comment ref="W128" authorId="0" shapeId="0" xr:uid="{47783AD2-1F5D-45D7-BEEB-76C17A46E507}">
      <text>
        <r>
          <rPr>
            <sz val="10"/>
            <color indexed="81"/>
            <rFont val="Lucida Console"/>
            <family val="3"/>
          </rPr>
          <t>_x000D_
DM-Elétrica</t>
        </r>
      </text>
    </comment>
    <comment ref="X128" authorId="0" shapeId="0" xr:uid="{7AA77A44-EFA7-46FC-9D92-F07C92BE8766}">
      <text>
        <r>
          <rPr>
            <sz val="10"/>
            <color indexed="81"/>
            <rFont val="Lucida Console"/>
            <family val="3"/>
          </rPr>
          <t>_x000D_
EQUIP. MAT. P/ GERACAO, TRANSM. DISTR. RETIF...</t>
        </r>
      </text>
    </comment>
    <comment ref="Y128" authorId="0" shapeId="0" xr:uid="{CC47B3E7-7758-4BC4-BB46-4ECA37FC459E}">
      <text>
        <r>
          <rPr>
            <sz val="10"/>
            <color indexed="81"/>
            <rFont val="Lucida Console"/>
            <family val="3"/>
          </rPr>
          <t>_x000D_
INTERRUPTORES DE USO DOMESTICO E INDUSTRIAL</t>
        </r>
      </text>
    </comment>
    <comment ref="AW128" authorId="0" shapeId="0" xr:uid="{72F990BA-4A8E-4014-84C2-58E3528EB689}">
      <text>
        <r>
          <rPr>
            <sz val="10"/>
            <color indexed="81"/>
            <rFont val="Lucida Console"/>
            <family val="3"/>
          </rPr>
          <t>Tempo de Estoque (Meses)_x000D_
_x000D_
22,0</t>
        </r>
      </text>
    </comment>
    <comment ref="A129" authorId="0" shapeId="0" xr:uid="{0725C277-9B60-4067-A88F-87099F21146C}">
      <text>
        <r>
          <rPr>
            <sz val="10"/>
            <color indexed="81"/>
            <rFont val="Lucida Console"/>
            <family val="3"/>
          </rPr>
          <t>_x000D_
112158</t>
        </r>
      </text>
    </comment>
    <comment ref="B129" authorId="0" shapeId="0" xr:uid="{32B850A5-AA67-4D58-B389-3F5AD0CE295A}">
      <text>
        <r>
          <rPr>
            <sz val="10"/>
            <color indexed="81"/>
            <rFont val="Lucida Console"/>
            <family val="3"/>
          </rPr>
          <t>DESCRIÇÃO DETALHADA_x000D_
INTERRUPTOR 10A X 250V COM 1 TECLA PARALELA MAIS 1 TOMADA 2P+T PADRAO NBR 14136 DE 20A/250V DE EMBUTIR COM ESPELHO PARA CAIXA</t>
        </r>
      </text>
    </comment>
    <comment ref="G129" authorId="0" shapeId="0" xr:uid="{45767ECF-0088-439B-9BFD-AE0A5BA5325D}">
      <text>
        <r>
          <rPr>
            <sz val="10"/>
            <color indexed="81"/>
            <rFont val="Lucida Console"/>
            <family val="3"/>
          </rPr>
          <t>_x000D_
Últ estimativa : 200_x000D_
Enviada em     : 17.01.2020_x000D_
Ata - Venc     : 126/19 - 06.05.2020</t>
        </r>
      </text>
    </comment>
    <comment ref="O129" authorId="0" shapeId="0" xr:uid="{E60D3A3E-3971-4AB9-ABA0-DAD50F004C86}">
      <text>
        <r>
          <rPr>
            <sz val="10"/>
            <color indexed="81"/>
            <rFont val="Lucida Console"/>
            <family val="3"/>
          </rPr>
          <t>_x000D_
Pertencia a ATA nº 126/19_x000D_
Estimativa de Renovação enviada em 17.01.2020 - Qtd 200_x000D_
PE 153/20 lote 1 (Impróspero)_x000D_
16.09.20 = Finalizado</t>
        </r>
      </text>
    </comment>
    <comment ref="W129" authorId="0" shapeId="0" xr:uid="{5820D0F8-ED6C-4635-A883-2D3C3E069DF2}">
      <text>
        <r>
          <rPr>
            <sz val="10"/>
            <color indexed="81"/>
            <rFont val="Lucida Console"/>
            <family val="3"/>
          </rPr>
          <t>_x000D_
DM-Elétrica</t>
        </r>
      </text>
    </comment>
    <comment ref="X129" authorId="0" shapeId="0" xr:uid="{06A8A97B-A43A-403A-BC56-3A8F05E82975}">
      <text>
        <r>
          <rPr>
            <sz val="10"/>
            <color indexed="81"/>
            <rFont val="Lucida Console"/>
            <family val="3"/>
          </rPr>
          <t>_x000D_
EQUIP. MAT. P/ GERACAO, TRANSM. DISTR. RETIF...</t>
        </r>
      </text>
    </comment>
    <comment ref="Y129" authorId="0" shapeId="0" xr:uid="{E8EE2CB0-D4BF-49E6-AB03-7CA6C5CB6B3A}">
      <text>
        <r>
          <rPr>
            <sz val="10"/>
            <color indexed="81"/>
            <rFont val="Lucida Console"/>
            <family val="3"/>
          </rPr>
          <t>_x000D_
INTERRUPTORES DE USO DOMESTICO E INDUSTRIAL</t>
        </r>
      </text>
    </comment>
    <comment ref="AW129" authorId="0" shapeId="0" xr:uid="{ADB79E5F-958A-467B-BD01-ECF3DE055460}">
      <text>
        <r>
          <rPr>
            <sz val="10"/>
            <color indexed="81"/>
            <rFont val="Lucida Console"/>
            <family val="3"/>
          </rPr>
          <t>Tempo de Estoque (Meses)_x000D_
_x000D_
198,0</t>
        </r>
      </text>
    </comment>
    <comment ref="A130" authorId="0" shapeId="0" xr:uid="{2ECBDADF-1519-47C7-A85C-4022796E2335}">
      <text>
        <r>
          <rPr>
            <sz val="10"/>
            <color indexed="81"/>
            <rFont val="Lucida Console"/>
            <family val="3"/>
          </rPr>
          <t>_x000D_
112159</t>
        </r>
      </text>
    </comment>
    <comment ref="B130" authorId="0" shapeId="0" xr:uid="{0847E4B3-2728-4470-920D-94CADC1D18A8}">
      <text>
        <r>
          <rPr>
            <sz val="10"/>
            <color indexed="81"/>
            <rFont val="Lucida Console"/>
            <family val="3"/>
          </rPr>
          <t>DESCRIÇÃO DETALHADA_x000D_
INTERRUPTOR 10A X 250V COM 2 TECLAS PARALELAS MAIS 1 TOMADA 2P + T PADRAO NBR 14136 DE 20A/250V DE EMBUTIR COM ESPELHO PARA CAIXA 4X2</t>
        </r>
      </text>
    </comment>
    <comment ref="G130" authorId="0" shapeId="0" xr:uid="{4F047BD7-83D4-4462-9BB0-AC7BE6627748}">
      <text>
        <r>
          <rPr>
            <sz val="10"/>
            <color indexed="81"/>
            <rFont val="Lucida Console"/>
            <family val="3"/>
          </rPr>
          <t>_x000D_
Últ estimativa : 220_x000D_
Enviada em     : 17.01.2020_x000D_
Ata - Venc     : 126/19 - 06.05.2020</t>
        </r>
      </text>
    </comment>
    <comment ref="O130" authorId="0" shapeId="0" xr:uid="{1D1940DE-4D4A-4542-9563-F6FCCEB9E8EE}">
      <text>
        <r>
          <rPr>
            <sz val="10"/>
            <color indexed="81"/>
            <rFont val="Lucida Console"/>
            <family val="3"/>
          </rPr>
          <t>_x000D_
Pertencia a ATA nº 126/19_x000D_
Estimativa de Renovação enviada em 17.01.2020 - Qtd 220_x000D_
PE 153/20 lote 1 (Impróspero)_x000D_
16.09.20 = Finalizado</t>
        </r>
      </text>
    </comment>
    <comment ref="W130" authorId="0" shapeId="0" xr:uid="{96B29483-AC83-4C72-A4E5-1620A0D95A9D}">
      <text>
        <r>
          <rPr>
            <sz val="10"/>
            <color indexed="81"/>
            <rFont val="Lucida Console"/>
            <family val="3"/>
          </rPr>
          <t>_x000D_
DM-Elétrica</t>
        </r>
      </text>
    </comment>
    <comment ref="X130" authorId="0" shapeId="0" xr:uid="{FE87C3B0-AD42-4A0C-96D5-A02C6D478D57}">
      <text>
        <r>
          <rPr>
            <sz val="10"/>
            <color indexed="81"/>
            <rFont val="Lucida Console"/>
            <family val="3"/>
          </rPr>
          <t>_x000D_
EQUIP. MAT. P/ GERACAO, TRANSM. DISTR. RETIF...</t>
        </r>
      </text>
    </comment>
    <comment ref="Y130" authorId="0" shapeId="0" xr:uid="{37C47ABA-046D-4F71-8AC3-1BABEDFA5462}">
      <text>
        <r>
          <rPr>
            <sz val="10"/>
            <color indexed="81"/>
            <rFont val="Lucida Console"/>
            <family val="3"/>
          </rPr>
          <t>_x000D_
INTERRUPTORES DE USO DOMESTICO E INDUSTRIAL</t>
        </r>
      </text>
    </comment>
    <comment ref="AW130" authorId="0" shapeId="0" xr:uid="{3A372834-5708-4A5E-AFFD-28B186F9BD41}">
      <text>
        <r>
          <rPr>
            <sz val="10"/>
            <color indexed="81"/>
            <rFont val="Lucida Console"/>
            <family val="3"/>
          </rPr>
          <t>Tempo de Estoque (Meses)_x000D_
_x000D_
306,0</t>
        </r>
      </text>
    </comment>
    <comment ref="A131" authorId="0" shapeId="0" xr:uid="{04C80BE8-DE4A-410E-94FD-0899F734C294}">
      <text>
        <r>
          <rPr>
            <sz val="10"/>
            <color indexed="81"/>
            <rFont val="Lucida Console"/>
            <family val="3"/>
          </rPr>
          <t>_x000D_
112162</t>
        </r>
      </text>
    </comment>
    <comment ref="B131" authorId="0" shapeId="0" xr:uid="{A1DEEB75-CEDF-416D-AA4B-5211D789C6EC}">
      <text>
        <r>
          <rPr>
            <sz val="10"/>
            <color indexed="81"/>
            <rFont val="Lucida Console"/>
            <family val="3"/>
          </rPr>
          <t>DESCRIÇÃO DETALHADA_x000D_
PLUG MOVEL 2P + T 90° PADRAO NBR 14136 DE 20A/250V GIGANTE</t>
        </r>
      </text>
    </comment>
    <comment ref="G131" authorId="0" shapeId="0" xr:uid="{FB53CFD8-0EFD-4279-B860-73481C907FC9}">
      <text>
        <r>
          <rPr>
            <sz val="10"/>
            <color indexed="81"/>
            <rFont val="Lucida Console"/>
            <family val="3"/>
          </rPr>
          <t>_x000D_
Últ estimativa : 360_x000D_
Enviada em     : 17.01.2020_x000D_
Ata - Venc     : 126/19 - 06.05.2020</t>
        </r>
      </text>
    </comment>
    <comment ref="O131" authorId="0" shapeId="0" xr:uid="{B618D3DE-7156-42A6-B8D6-8FEE52DFA099}">
      <text>
        <r>
          <rPr>
            <sz val="10"/>
            <color indexed="81"/>
            <rFont val="Lucida Console"/>
            <family val="3"/>
          </rPr>
          <t>_x000D_
Pertencia a ATA nº 126/19_x000D_
Estimativa de Renovação enviada em 17.01.2020 - Qtd 360_x000D_
PE 153/20 lote 4 (Impróspero)_x000D_
16.09.20 = Finalizado</t>
        </r>
      </text>
    </comment>
    <comment ref="W131" authorId="0" shapeId="0" xr:uid="{A6FF75BC-A751-47EF-9835-90BBEC147FCB}">
      <text>
        <r>
          <rPr>
            <sz val="10"/>
            <color indexed="81"/>
            <rFont val="Lucida Console"/>
            <family val="3"/>
          </rPr>
          <t>_x000D_
DM-Elétrica</t>
        </r>
      </text>
    </comment>
    <comment ref="X131" authorId="0" shapeId="0" xr:uid="{07FDC266-9986-48A8-81C1-B6051236C7C3}">
      <text>
        <r>
          <rPr>
            <sz val="10"/>
            <color indexed="81"/>
            <rFont val="Lucida Console"/>
            <family val="3"/>
          </rPr>
          <t>_x000D_
EQUIP. MAT. P/ GERACAO, TRANSM. DISTR. RETIF...</t>
        </r>
      </text>
    </comment>
    <comment ref="Y131" authorId="0" shapeId="0" xr:uid="{12471750-8AE3-4AE6-8E03-6C3D54F34040}">
      <text>
        <r>
          <rPr>
            <sz val="10"/>
            <color indexed="81"/>
            <rFont val="Lucida Console"/>
            <family val="3"/>
          </rPr>
          <t>_x000D_
INTERRUPTORES DE USO DOMESTICO E INDUSTRIAL</t>
        </r>
      </text>
    </comment>
    <comment ref="AW131" authorId="0" shapeId="0" xr:uid="{D4AE15CD-635B-4642-B827-9CB1553D9050}">
      <text>
        <r>
          <rPr>
            <sz val="10"/>
            <color indexed="81"/>
            <rFont val="Lucida Console"/>
            <family val="3"/>
          </rPr>
          <t>Tempo de Estoque (Meses)_x000D_
_x000D_
263,0</t>
        </r>
      </text>
    </comment>
    <comment ref="A132" authorId="0" shapeId="0" xr:uid="{121BDA64-DFCA-4448-B55C-C62B47139CC8}">
      <text>
        <r>
          <rPr>
            <sz val="10"/>
            <color indexed="81"/>
            <rFont val="Lucida Console"/>
            <family val="3"/>
          </rPr>
          <t>_x000D_
112163</t>
        </r>
      </text>
    </comment>
    <comment ref="B132" authorId="0" shapeId="0" xr:uid="{4FED192F-12A8-42B4-A13A-C7115A9F3C37}">
      <text>
        <r>
          <rPr>
            <sz val="10"/>
            <color indexed="81"/>
            <rFont val="Lucida Console"/>
            <family val="3"/>
          </rPr>
          <t>DESCRIÇÃO DETALHADA_x000D_
PLUG MOVEL 2P + T 90° PADRAO NBR 14136 DE 10A/250V GIGANTE</t>
        </r>
      </text>
    </comment>
    <comment ref="G132" authorId="0" shapeId="0" xr:uid="{3C5311B5-3385-42B8-904D-9C9FE2B8949C}">
      <text>
        <r>
          <rPr>
            <sz val="10"/>
            <color indexed="81"/>
            <rFont val="Lucida Console"/>
            <family val="3"/>
          </rPr>
          <t>_x000D_
Últ estimativa : 1.000_x000D_
Enviada em     : 17.01.2020_x000D_
Ata - Venc     : 126/19 - 06.05.2020</t>
        </r>
      </text>
    </comment>
    <comment ref="O132" authorId="0" shapeId="0" xr:uid="{61D47CB3-0597-44D9-B909-F69D5A7414F5}">
      <text>
        <r>
          <rPr>
            <sz val="10"/>
            <color indexed="81"/>
            <rFont val="Lucida Console"/>
            <family val="3"/>
          </rPr>
          <t>_x000D_
Pertencia a ATA nº 126/19_x000D_
Estimativa de Renovação enviada em 17.01.2020 - Qtd 1.000_x000D_
PE 153/20 lote 4 (Impróspero)_x000D_
16.09.20 = Finalizado</t>
        </r>
      </text>
    </comment>
    <comment ref="W132" authorId="0" shapeId="0" xr:uid="{C423DFEB-65FD-457B-81E8-BA496B67A0B7}">
      <text>
        <r>
          <rPr>
            <sz val="10"/>
            <color indexed="81"/>
            <rFont val="Lucida Console"/>
            <family val="3"/>
          </rPr>
          <t>_x000D_
DM-Elétrica</t>
        </r>
      </text>
    </comment>
    <comment ref="X132" authorId="0" shapeId="0" xr:uid="{1AD0F766-FAF1-4697-AEFE-AE160AEA66A2}">
      <text>
        <r>
          <rPr>
            <sz val="10"/>
            <color indexed="81"/>
            <rFont val="Lucida Console"/>
            <family val="3"/>
          </rPr>
          <t>_x000D_
EQUIP. MAT. P/ GERACAO, TRANSM. DISTR. RETIF...</t>
        </r>
      </text>
    </comment>
    <comment ref="Y132" authorId="0" shapeId="0" xr:uid="{D1E43B02-BD0A-4C1B-9B29-661423B4E528}">
      <text>
        <r>
          <rPr>
            <sz val="10"/>
            <color indexed="81"/>
            <rFont val="Lucida Console"/>
            <family val="3"/>
          </rPr>
          <t>_x000D_
INTERRUPTORES DE USO DOMESTICO E INDUSTRIAL</t>
        </r>
      </text>
    </comment>
    <comment ref="AW132" authorId="0" shapeId="0" xr:uid="{236C3328-B241-43F7-8FCC-B3EEA0D0E7E4}">
      <text>
        <r>
          <rPr>
            <sz val="10"/>
            <color indexed="81"/>
            <rFont val="Lucida Console"/>
            <family val="3"/>
          </rPr>
          <t>Tempo de Estoque (Meses)_x000D_
_x000D_
1.108,0</t>
        </r>
      </text>
    </comment>
    <comment ref="A133" authorId="0" shapeId="0" xr:uid="{125AC8C9-832F-44BD-972B-9DCAF4BF8091}">
      <text>
        <r>
          <rPr>
            <sz val="10"/>
            <color indexed="81"/>
            <rFont val="Lucida Console"/>
            <family val="3"/>
          </rPr>
          <t>_x000D_
108393</t>
        </r>
      </text>
    </comment>
    <comment ref="B133" authorId="0" shapeId="0" xr:uid="{80E10947-1B65-4C3D-BECB-72D30C06C10F}">
      <text>
        <r>
          <rPr>
            <sz val="10"/>
            <color indexed="81"/>
            <rFont val="Lucida Console"/>
            <family val="3"/>
          </rPr>
          <t>DESCRIÇÃO DETALHADA_x000D_
INTERRUPTOR DIFERENCIAL RESIDUAL BIPOLAR ELETROMECANICO NORMA IEC 61008 TENSAO MINIMA 240V CORRENTE NOMINAL 40 AMPERES SENSIBILIDADE 30 MA</t>
        </r>
      </text>
    </comment>
    <comment ref="G133" authorId="0" shapeId="0" xr:uid="{03D0DAE1-5302-4CE1-B21E-67F5D18B9C46}">
      <text>
        <r>
          <rPr>
            <sz val="10"/>
            <color indexed="81"/>
            <rFont val="Lucida Console"/>
            <family val="3"/>
          </rPr>
          <t>_x000D_
Últ estimativa : 100_x000D_
Enviada em     : 17.01.2020_x000D_
Ata - Venc     : 126/19 - 06.05.2020</t>
        </r>
      </text>
    </comment>
    <comment ref="O133" authorId="0" shapeId="0" xr:uid="{8942F2FD-89B5-45B8-A6E3-9872FE9F4F6F}">
      <text>
        <r>
          <rPr>
            <sz val="10"/>
            <color indexed="81"/>
            <rFont val="Lucida Console"/>
            <family val="3"/>
          </rPr>
          <t>_x000D_
Pertencia a ATA nº 126/19_x000D_
Estimativa de Renovação enviada em 17.01.2020 - Qtd 100_x000D_
PE 153/20 lote 1 (Impróspero)_x000D_
16.09.20 = Finalizado</t>
        </r>
      </text>
    </comment>
    <comment ref="W133" authorId="0" shapeId="0" xr:uid="{24256F10-8F77-4D94-AF13-60D7A4757826}">
      <text>
        <r>
          <rPr>
            <sz val="10"/>
            <color indexed="81"/>
            <rFont val="Lucida Console"/>
            <family val="3"/>
          </rPr>
          <t>_x000D_
DM-Elétrica</t>
        </r>
      </text>
    </comment>
    <comment ref="X133" authorId="0" shapeId="0" xr:uid="{17707D23-BA9B-474C-BE3C-E80746E48395}">
      <text>
        <r>
          <rPr>
            <sz val="10"/>
            <color indexed="81"/>
            <rFont val="Lucida Console"/>
            <family val="3"/>
          </rPr>
          <t>_x000D_
EQUIP. MAT. P/ GERACAO, TRANSM. DISTR. RETIF...</t>
        </r>
      </text>
    </comment>
    <comment ref="Y133" authorId="0" shapeId="0" xr:uid="{8DE9CF0A-B20A-463B-B0EA-DE0C0CE033C1}">
      <text>
        <r>
          <rPr>
            <sz val="10"/>
            <color indexed="81"/>
            <rFont val="Lucida Console"/>
            <family val="3"/>
          </rPr>
          <t>_x000D_
DISJUNTORES</t>
        </r>
      </text>
    </comment>
    <comment ref="AW133" authorId="0" shapeId="0" xr:uid="{349E2E1F-C70B-4055-B70B-A9B4E37CB599}">
      <text>
        <r>
          <rPr>
            <sz val="10"/>
            <color indexed="81"/>
            <rFont val="Lucida Console"/>
            <family val="3"/>
          </rPr>
          <t>Tempo de Estoque (Meses)_x000D_
_x000D_
161,0</t>
        </r>
      </text>
    </comment>
    <comment ref="A134" authorId="0" shapeId="0" xr:uid="{D007DD07-58C9-4917-9D74-5DBBF1C39C2E}">
      <text>
        <r>
          <rPr>
            <sz val="10"/>
            <color indexed="81"/>
            <rFont val="Lucida Console"/>
            <family val="3"/>
          </rPr>
          <t>_x000D_
12971</t>
        </r>
      </text>
    </comment>
    <comment ref="B134" authorId="0" shapeId="0" xr:uid="{0304C03F-EA43-41C4-90F8-226A9D9789CC}">
      <text>
        <r>
          <rPr>
            <sz val="10"/>
            <color indexed="81"/>
            <rFont val="Lucida Console"/>
            <family val="3"/>
          </rPr>
          <t>DESCRIÇÃO DETALHADA_x000D_
CAIXA DE PASSAGEM RETANGULAR 2 X 4 - EM PVC</t>
        </r>
      </text>
    </comment>
    <comment ref="G134" authorId="0" shapeId="0" xr:uid="{0A73D9C1-0D72-4F06-85A8-DD6C4C6AEC74}">
      <text>
        <r>
          <rPr>
            <sz val="10"/>
            <color indexed="81"/>
            <rFont val="Lucida Console"/>
            <family val="3"/>
          </rPr>
          <t>_x000D_
Últ estimativa : 250_x000D_
Enviada em     : 17.01.2020_x000D_
Ata - Venc     : 126/19 - 06.05.2020</t>
        </r>
      </text>
    </comment>
    <comment ref="O134" authorId="0" shapeId="0" xr:uid="{805B272E-B67E-4490-AAC9-0EEE5BBB17DB}">
      <text>
        <r>
          <rPr>
            <sz val="10"/>
            <color indexed="81"/>
            <rFont val="Lucida Console"/>
            <family val="3"/>
          </rPr>
          <t>_x000D_
Pertencia a ATA nº 126/19_x000D_
Estimativa de Renovação enviada em 17.01.2020 - Qtd 250_x000D_
PE 153/20 lote 2 (Impróspero)_x000D_
16.09.20 = Finalizado</t>
        </r>
      </text>
    </comment>
    <comment ref="W134" authorId="0" shapeId="0" xr:uid="{6F730590-9F83-476D-9BCD-D3C425ABD3A5}">
      <text>
        <r>
          <rPr>
            <sz val="10"/>
            <color indexed="81"/>
            <rFont val="Lucida Console"/>
            <family val="3"/>
          </rPr>
          <t>_x000D_
DM-Elétrica</t>
        </r>
      </text>
    </comment>
    <comment ref="X134" authorId="0" shapeId="0" xr:uid="{DC1A22A4-31CB-46A1-BA40-7F1D7797F912}">
      <text>
        <r>
          <rPr>
            <sz val="10"/>
            <color indexed="81"/>
            <rFont val="Lucida Console"/>
            <family val="3"/>
          </rPr>
          <t>_x000D_
EQUIP. MAT. P/ GERACAO, TRANSM. DISTR. RETIF...</t>
        </r>
      </text>
    </comment>
    <comment ref="Y134" authorId="0" shapeId="0" xr:uid="{8CAC682E-2D61-4BE5-9493-B1D4CD777133}">
      <text>
        <r>
          <rPr>
            <sz val="10"/>
            <color indexed="81"/>
            <rFont val="Lucida Console"/>
            <family val="3"/>
          </rPr>
          <t>_x000D_
CAIXAS</t>
        </r>
      </text>
    </comment>
    <comment ref="AW134" authorId="0" shapeId="0" xr:uid="{DAB5F918-8AF3-4960-9E0B-AC7EA81E3DA2}">
      <text>
        <r>
          <rPr>
            <sz val="10"/>
            <color indexed="81"/>
            <rFont val="Lucida Console"/>
            <family val="3"/>
          </rPr>
          <t>Tempo de Estoque (Meses)_x000D_
_x000D_
401,0</t>
        </r>
      </text>
    </comment>
    <comment ref="A135" authorId="0" shapeId="0" xr:uid="{2862A48D-57C8-413C-B54F-E2A9F74A2451}">
      <text>
        <r>
          <rPr>
            <sz val="10"/>
            <color indexed="81"/>
            <rFont val="Lucida Console"/>
            <family val="3"/>
          </rPr>
          <t>_x000D_
14885</t>
        </r>
      </text>
    </comment>
    <comment ref="B135" authorId="0" shapeId="0" xr:uid="{39445BD8-4CFD-484B-9028-735CB5F6372F}">
      <text>
        <r>
          <rPr>
            <sz val="10"/>
            <color indexed="81"/>
            <rFont val="Lucida Console"/>
            <family val="3"/>
          </rPr>
          <t>DESCRIÇÃO DETALHADA_x000D_
ELETRODUTO FLEXIVEL CORRUGADO DE 1.1/2"</t>
        </r>
      </text>
    </comment>
    <comment ref="G135" authorId="0" shapeId="0" xr:uid="{96EBF1B3-E392-4989-907C-8AB882DF4F71}">
      <text>
        <r>
          <rPr>
            <sz val="10"/>
            <color indexed="81"/>
            <rFont val="Lucida Console"/>
            <family val="3"/>
          </rPr>
          <t>_x000D_
Últ estimativa : 300_x000D_
Enviada em     : 17.01.2020_x000D_
Ata - Venc     : 126/19 - 06.05.2020</t>
        </r>
      </text>
    </comment>
    <comment ref="O135" authorId="0" shapeId="0" xr:uid="{3A526034-C4A8-415B-9E01-274FEF358D44}">
      <text>
        <r>
          <rPr>
            <sz val="10"/>
            <color indexed="81"/>
            <rFont val="Lucida Console"/>
            <family val="3"/>
          </rPr>
          <t>_x000D_
Pertencia a ATA nº 126/19_x000D_
Estimativa de Renovação enviada em 17.01.2020 - Qtd 300_x000D_
PE 153/20 lote 7 (Impróspero)_x000D_
16.09.20 = Finalizado</t>
        </r>
      </text>
    </comment>
    <comment ref="W135" authorId="0" shapeId="0" xr:uid="{6A96F348-D9B0-4151-BC7C-A77C1FA6FD6B}">
      <text>
        <r>
          <rPr>
            <sz val="10"/>
            <color indexed="81"/>
            <rFont val="Lucida Console"/>
            <family val="3"/>
          </rPr>
          <t>_x000D_
DM-Elétrica</t>
        </r>
      </text>
    </comment>
    <comment ref="X135" authorId="0" shapeId="0" xr:uid="{2947E5EB-A30F-4FBC-98CE-011BF3FFD5B5}">
      <text>
        <r>
          <rPr>
            <sz val="10"/>
            <color indexed="81"/>
            <rFont val="Lucida Console"/>
            <family val="3"/>
          </rPr>
          <t>_x000D_
EQUIP. MAT. P/ GERACAO, TRANSM. DISTR. RETIF...</t>
        </r>
      </text>
    </comment>
    <comment ref="Y135" authorId="0" shapeId="0" xr:uid="{AF24272E-1905-4D86-95FB-D0CA3FDB8DAF}">
      <text>
        <r>
          <rPr>
            <sz val="10"/>
            <color indexed="81"/>
            <rFont val="Lucida Console"/>
            <family val="3"/>
          </rPr>
          <t>_x000D_
ELETRODUTOS E ACESSORIOS</t>
        </r>
      </text>
    </comment>
    <comment ref="AW135" authorId="0" shapeId="0" xr:uid="{A58A7634-452A-4634-A5AC-7F88422A3EE1}">
      <text>
        <r>
          <rPr>
            <sz val="10"/>
            <color indexed="81"/>
            <rFont val="Lucida Console"/>
            <family val="3"/>
          </rPr>
          <t>Tempo de Estoque (Meses)_x000D_
_x000D_
100,0</t>
        </r>
      </text>
    </comment>
    <comment ref="A136" authorId="0" shapeId="0" xr:uid="{255E7F46-82D5-4CDE-95F2-97DD9D0343F4}">
      <text>
        <r>
          <rPr>
            <sz val="10"/>
            <color indexed="81"/>
            <rFont val="Lucida Console"/>
            <family val="3"/>
          </rPr>
          <t>_x000D_
14887</t>
        </r>
      </text>
    </comment>
    <comment ref="B136" authorId="0" shapeId="0" xr:uid="{D629680F-7633-43CC-A5C2-CA2243A04CFE}">
      <text>
        <r>
          <rPr>
            <sz val="10"/>
            <color indexed="81"/>
            <rFont val="Lucida Console"/>
            <family val="3"/>
          </rPr>
          <t>DESCRIÇÃO DETALHADA_x000D_
ELETRODUTO FLEXIVEL CORRUGADO DE 2"</t>
        </r>
      </text>
    </comment>
    <comment ref="G136" authorId="0" shapeId="0" xr:uid="{5B8C5367-F7C8-4C5C-A8F7-63B4E2F52824}">
      <text>
        <r>
          <rPr>
            <sz val="10"/>
            <color indexed="81"/>
            <rFont val="Lucida Console"/>
            <family val="3"/>
          </rPr>
          <t>_x000D_
Últ estimativa : 700_x000D_
Enviada em     : 17.01.2020_x000D_
Ata - Venc     : 126/19 - 06.05.2020</t>
        </r>
      </text>
    </comment>
    <comment ref="O136" authorId="0" shapeId="0" xr:uid="{5F1ED2A2-3994-4955-97B6-E40C2DEC0F7C}">
      <text>
        <r>
          <rPr>
            <sz val="10"/>
            <color indexed="81"/>
            <rFont val="Lucida Console"/>
            <family val="3"/>
          </rPr>
          <t>_x000D_
Pertencia a ATA nº 126/19_x000D_
Estimativa de Renovação enviada em 17.01.2020 - Qtd 700_x000D_
PE 153/20 lote 7 (Impróspero)_x000D_
16.09.20 = Finalizado</t>
        </r>
      </text>
    </comment>
    <comment ref="W136" authorId="0" shapeId="0" xr:uid="{828011AC-FCEF-4B3E-BB33-BFEFB9E7162E}">
      <text>
        <r>
          <rPr>
            <sz val="10"/>
            <color indexed="81"/>
            <rFont val="Lucida Console"/>
            <family val="3"/>
          </rPr>
          <t>_x000D_
DM-Elétrica</t>
        </r>
      </text>
    </comment>
    <comment ref="X136" authorId="0" shapeId="0" xr:uid="{52F4CF3C-986E-4135-BB4A-7B593EC9C916}">
      <text>
        <r>
          <rPr>
            <sz val="10"/>
            <color indexed="81"/>
            <rFont val="Lucida Console"/>
            <family val="3"/>
          </rPr>
          <t>_x000D_
EQUIP. MAT. P/ GERACAO, TRANSM. DISTR. RETIF...</t>
        </r>
      </text>
    </comment>
    <comment ref="Y136" authorId="0" shapeId="0" xr:uid="{F83E886E-FB7A-4653-A9CA-63B979E06A76}">
      <text>
        <r>
          <rPr>
            <sz val="10"/>
            <color indexed="81"/>
            <rFont val="Lucida Console"/>
            <family val="3"/>
          </rPr>
          <t>_x000D_
ELETRODUTOS E ACESSORIOS</t>
        </r>
      </text>
    </comment>
    <comment ref="AW136" authorId="0" shapeId="0" xr:uid="{01C6C1FA-38A9-4633-A225-1F776E3AA0C5}">
      <text>
        <r>
          <rPr>
            <sz val="10"/>
            <color indexed="81"/>
            <rFont val="Lucida Console"/>
            <family val="3"/>
          </rPr>
          <t>Tempo de Estoque (Meses)_x000D_
_x000D_
300,0</t>
        </r>
      </text>
    </comment>
    <comment ref="A137" authorId="0" shapeId="0" xr:uid="{10583EFF-7806-4176-8B98-53E3FA403921}">
      <text>
        <r>
          <rPr>
            <sz val="10"/>
            <color indexed="81"/>
            <rFont val="Lucida Console"/>
            <family val="3"/>
          </rPr>
          <t>_x000D_
106414</t>
        </r>
      </text>
    </comment>
    <comment ref="B137" authorId="0" shapeId="0" xr:uid="{C4C31194-2AE7-4318-9BE8-E77D3B956460}">
      <text>
        <r>
          <rPr>
            <sz val="10"/>
            <color indexed="81"/>
            <rFont val="Lucida Console"/>
            <family val="3"/>
          </rPr>
          <t>DESCRIÇÃO DETALHADA_x000D_
CONDULETE EM LIGA DE ALUMINIO FUNDIDO TIPO "MULTIPLO" - Ø  3/4" - S/VEDACAO</t>
        </r>
      </text>
    </comment>
    <comment ref="G137" authorId="0" shapeId="0" xr:uid="{353AD933-F425-4F63-97F6-82918CD6AC20}">
      <text>
        <r>
          <rPr>
            <sz val="10"/>
            <color indexed="81"/>
            <rFont val="Lucida Console"/>
            <family val="3"/>
          </rPr>
          <t>_x000D_
Últ estimativa : 1.300_x000D_
Enviada em     : 17.01.2020_x000D_
Ata - Venc     : 126/19 - 06.05.2020</t>
        </r>
      </text>
    </comment>
    <comment ref="O137" authorId="0" shapeId="0" xr:uid="{1BD47113-A327-446D-8E69-7480B771E10D}">
      <text>
        <r>
          <rPr>
            <sz val="10"/>
            <color indexed="81"/>
            <rFont val="Lucida Console"/>
            <family val="3"/>
          </rPr>
          <t>_x000D_
Pertencia a ATA nº 126/19_x000D_
Estimativa de Renovação enviada em 17.01.2020 - Qtd 1.300_x000D_
PE 153/20 lote 2 (Impróspero)_x000D_
16.09.20 = Finalizado</t>
        </r>
      </text>
    </comment>
    <comment ref="W137" authorId="0" shapeId="0" xr:uid="{ACECE929-7416-40B7-92D4-FCD93666AA82}">
      <text>
        <r>
          <rPr>
            <sz val="10"/>
            <color indexed="81"/>
            <rFont val="Lucida Console"/>
            <family val="3"/>
          </rPr>
          <t>_x000D_
DM-Elétrica</t>
        </r>
      </text>
    </comment>
    <comment ref="X137" authorId="0" shapeId="0" xr:uid="{31AB8B27-FAAB-4E32-A15B-FE41ADF528A9}">
      <text>
        <r>
          <rPr>
            <sz val="10"/>
            <color indexed="81"/>
            <rFont val="Lucida Console"/>
            <family val="3"/>
          </rPr>
          <t>_x000D_
EQUIP. MAT. P/ GERACAO, TRANSM. DISTR. RETIF...</t>
        </r>
      </text>
    </comment>
    <comment ref="Y137" authorId="0" shapeId="0" xr:uid="{7FC7986E-9A55-4767-AAB7-983648DE5DEC}">
      <text>
        <r>
          <rPr>
            <sz val="10"/>
            <color indexed="81"/>
            <rFont val="Lucida Console"/>
            <family val="3"/>
          </rPr>
          <t>_x000D_
ELETRODUTOS E ACESSORIOS</t>
        </r>
      </text>
    </comment>
    <comment ref="AW137" authorId="0" shapeId="0" xr:uid="{25823E89-5C89-4D0A-8265-2923A1200CD8}">
      <text>
        <r>
          <rPr>
            <sz val="10"/>
            <color indexed="81"/>
            <rFont val="Lucida Console"/>
            <family val="3"/>
          </rPr>
          <t>Tempo de Estoque (Meses)_x000D_
_x000D_
2.912,0</t>
        </r>
      </text>
    </comment>
    <comment ref="A138" authorId="0" shapeId="0" xr:uid="{8ACA6076-36DF-4014-B366-988D9BA9227F}">
      <text>
        <r>
          <rPr>
            <sz val="10"/>
            <color indexed="81"/>
            <rFont val="Lucida Console"/>
            <family val="3"/>
          </rPr>
          <t>_x000D_
111806</t>
        </r>
      </text>
    </comment>
    <comment ref="B138" authorId="0" shapeId="0" xr:uid="{F9F90B4E-C42A-4740-9ADF-0C41AE4AD9AC}">
      <text>
        <r>
          <rPr>
            <sz val="10"/>
            <color indexed="81"/>
            <rFont val="Lucida Console"/>
            <family val="3"/>
          </rPr>
          <t xml:space="preserve">DESCRIÇÃO DETALHADA_x000D_
TAMPA PARA CONDULETE DE PVC 3/4" CEGA </t>
        </r>
      </text>
    </comment>
    <comment ref="G138" authorId="0" shapeId="0" xr:uid="{79978DA8-9414-41F4-B3C9-5C3E535D2B3D}">
      <text>
        <r>
          <rPr>
            <sz val="10"/>
            <color indexed="81"/>
            <rFont val="Lucida Console"/>
            <family val="3"/>
          </rPr>
          <t>_x000D_
Últ estimativa : 700_x000D_
Enviada em     : 17.01.2020_x000D_
Ata - Venc     : 126/19 - 06.05.2020</t>
        </r>
      </text>
    </comment>
    <comment ref="O138" authorId="0" shapeId="0" xr:uid="{F20C1F0F-59AB-4EB5-BEF1-4F2D828B8CCD}">
      <text>
        <r>
          <rPr>
            <sz val="10"/>
            <color indexed="81"/>
            <rFont val="Lucida Console"/>
            <family val="3"/>
          </rPr>
          <t>_x000D_
Pertencia a ATA nº 126/19_x000D_
Estimativa de Renovação enviada em 17.01.2020 - Qtd 700_x000D_
PE 153/20 lote 2 (Impróspero)_x000D_
16.09.20 = Finalizado</t>
        </r>
      </text>
    </comment>
    <comment ref="W138" authorId="0" shapeId="0" xr:uid="{B3200155-2C90-43BB-B768-9ACD472F09D4}">
      <text>
        <r>
          <rPr>
            <sz val="10"/>
            <color indexed="81"/>
            <rFont val="Lucida Console"/>
            <family val="3"/>
          </rPr>
          <t>_x000D_
DM-Elétrica</t>
        </r>
      </text>
    </comment>
    <comment ref="X138" authorId="0" shapeId="0" xr:uid="{2592670B-BD5C-41F1-93CD-555C922B2ECE}">
      <text>
        <r>
          <rPr>
            <sz val="10"/>
            <color indexed="81"/>
            <rFont val="Lucida Console"/>
            <family val="3"/>
          </rPr>
          <t>_x000D_
EQUIP. MAT. P/ GERACAO, TRANSM. DISTR. RETIF...</t>
        </r>
      </text>
    </comment>
    <comment ref="Y138" authorId="0" shapeId="0" xr:uid="{3F21BCA5-4812-4B36-9420-D6C9C58D7EAF}">
      <text>
        <r>
          <rPr>
            <sz val="10"/>
            <color indexed="81"/>
            <rFont val="Lucida Console"/>
            <family val="3"/>
          </rPr>
          <t>_x000D_
ELETRODUTOS E ACESSORIOS</t>
        </r>
      </text>
    </comment>
    <comment ref="AW138" authorId="0" shapeId="0" xr:uid="{E643F924-3295-4840-A0EF-7E28EFD8ACD0}">
      <text>
        <r>
          <rPr>
            <sz val="10"/>
            <color indexed="81"/>
            <rFont val="Lucida Console"/>
            <family val="3"/>
          </rPr>
          <t>Tempo de Estoque (Meses)_x000D_
_x000D_
2.000,0</t>
        </r>
      </text>
    </comment>
    <comment ref="A139" authorId="0" shapeId="0" xr:uid="{E50D6793-E186-4227-B00D-4A47EC412D21}">
      <text>
        <r>
          <rPr>
            <sz val="10"/>
            <color indexed="81"/>
            <rFont val="Lucida Console"/>
            <family val="3"/>
          </rPr>
          <t>_x000D_
128815</t>
        </r>
      </text>
    </comment>
    <comment ref="B139" authorId="0" shapeId="0" xr:uid="{EF4B4413-DCED-40D1-9CDF-641B972DB9C9}">
      <text>
        <r>
          <rPr>
            <sz val="10"/>
            <color indexed="81"/>
            <rFont val="Lucida Console"/>
            <family val="3"/>
          </rPr>
          <t>DESCRIÇÃO DETALHADA_x000D_
TAMPAO DE PVC PARA CONDULETE DE 3/4"</t>
        </r>
      </text>
    </comment>
    <comment ref="G139" authorId="0" shapeId="0" xr:uid="{63437D58-840B-4035-8DC0-1E5DA26B6757}">
      <text>
        <r>
          <rPr>
            <sz val="10"/>
            <color indexed="81"/>
            <rFont val="Lucida Console"/>
            <family val="3"/>
          </rPr>
          <t>_x000D_
Últ estimativa : 3.000_x000D_
Enviada em     : 17.01.2020_x000D_
Ata - Venc     : 126/19 - 06.05.2020</t>
        </r>
      </text>
    </comment>
    <comment ref="O139" authorId="0" shapeId="0" xr:uid="{39912AAD-9065-4F0F-B71D-57232321F6C4}">
      <text>
        <r>
          <rPr>
            <sz val="10"/>
            <color indexed="81"/>
            <rFont val="Lucida Console"/>
            <family val="3"/>
          </rPr>
          <t>_x000D_
Pertencia a ATA nº 126/19_x000D_
Estimativa de Renovação enviada em 17.01.2020 - Qtd 3.000_x000D_
PE 153/20 lote 2 (Impróspero)_x000D_
16.09.20 = Finalizado</t>
        </r>
      </text>
    </comment>
    <comment ref="W139" authorId="0" shapeId="0" xr:uid="{E7A77274-6A84-4959-85E6-EFE6663D20E0}">
      <text>
        <r>
          <rPr>
            <sz val="10"/>
            <color indexed="81"/>
            <rFont val="Lucida Console"/>
            <family val="3"/>
          </rPr>
          <t>_x000D_
DM-Elétrica</t>
        </r>
      </text>
    </comment>
    <comment ref="X139" authorId="0" shapeId="0" xr:uid="{0A79A24E-8C04-41FE-B83E-D2E9B74BF8B3}">
      <text>
        <r>
          <rPr>
            <sz val="10"/>
            <color indexed="81"/>
            <rFont val="Lucida Console"/>
            <family val="3"/>
          </rPr>
          <t>_x000D_
EQUIP. MAT. P/ GERACAO, TRANSM. DISTR. RETIF...</t>
        </r>
      </text>
    </comment>
    <comment ref="Y139" authorId="0" shapeId="0" xr:uid="{1C83B973-5D9F-4350-8208-55419CCBDFAE}">
      <text>
        <r>
          <rPr>
            <sz val="10"/>
            <color indexed="81"/>
            <rFont val="Lucida Console"/>
            <family val="3"/>
          </rPr>
          <t>_x000D_
ELETRODUTOS E ACESSORIOS</t>
        </r>
      </text>
    </comment>
    <comment ref="AW139" authorId="0" shapeId="0" xr:uid="{ABFE9544-C833-432C-96AD-C861448E79EC}">
      <text>
        <r>
          <rPr>
            <sz val="10"/>
            <color indexed="81"/>
            <rFont val="Lucida Console"/>
            <family val="3"/>
          </rPr>
          <t>Tempo de Estoque (Meses)_x000D_
_x000D_
5.191,0</t>
        </r>
      </text>
    </comment>
    <comment ref="A140" authorId="0" shapeId="0" xr:uid="{B50BBA20-5022-4C1A-A18C-8F8DFAD6DE08}">
      <text>
        <r>
          <rPr>
            <sz val="10"/>
            <color indexed="81"/>
            <rFont val="Lucida Console"/>
            <family val="3"/>
          </rPr>
          <t>_x000D_
128816</t>
        </r>
      </text>
    </comment>
    <comment ref="B140" authorId="0" shapeId="0" xr:uid="{8A9269E7-E23D-442E-B8BC-4D4FD2F223BE}">
      <text>
        <r>
          <rPr>
            <sz val="10"/>
            <color indexed="81"/>
            <rFont val="Lucida Console"/>
            <family val="3"/>
          </rPr>
          <t>DESCRIÇÃO DETALHADA_x000D_
TAMPAO DE PVC PARA CONDULETE DE 1.1/2"</t>
        </r>
      </text>
    </comment>
    <comment ref="G140" authorId="0" shapeId="0" xr:uid="{AB1FF489-37A5-4D7E-93F5-4B0D2506A8C1}">
      <text>
        <r>
          <rPr>
            <sz val="10"/>
            <color indexed="81"/>
            <rFont val="Lucida Console"/>
            <family val="3"/>
          </rPr>
          <t>_x000D_
Últ estimativa : 100_x000D_
Enviada em     : 17.01.2020_x000D_
Ata - Venc     : 126/19 - 06.05.2020</t>
        </r>
      </text>
    </comment>
    <comment ref="O140" authorId="0" shapeId="0" xr:uid="{9F3080A6-3083-4216-8CC0-92B41EE39DE8}">
      <text>
        <r>
          <rPr>
            <sz val="10"/>
            <color indexed="81"/>
            <rFont val="Lucida Console"/>
            <family val="3"/>
          </rPr>
          <t>_x000D_
Pertencia a ATA nº 126/19_x000D_
Estimativa de Renovação enviada em 17.01.2020 - Qtd 100_x000D_
PE 153/20 lote 2 (Impróspero)_x000D_
16.09.20 = Finalizado</t>
        </r>
      </text>
    </comment>
    <comment ref="W140" authorId="0" shapeId="0" xr:uid="{687E8BDD-931B-412B-B91D-38056DBA92FA}">
      <text>
        <r>
          <rPr>
            <sz val="10"/>
            <color indexed="81"/>
            <rFont val="Lucida Console"/>
            <family val="3"/>
          </rPr>
          <t>_x000D_
DM-Elétrica</t>
        </r>
      </text>
    </comment>
    <comment ref="X140" authorId="0" shapeId="0" xr:uid="{597D8CFF-999A-42A6-8F68-568A7231BD02}">
      <text>
        <r>
          <rPr>
            <sz val="10"/>
            <color indexed="81"/>
            <rFont val="Lucida Console"/>
            <family val="3"/>
          </rPr>
          <t>_x000D_
EQUIP. MAT. P/ GERACAO, TRANSM. DISTR. RETIF...</t>
        </r>
      </text>
    </comment>
    <comment ref="Y140" authorId="0" shapeId="0" xr:uid="{9DF0B5ED-2DAA-446A-825C-1B1E0C61F1D5}">
      <text>
        <r>
          <rPr>
            <sz val="10"/>
            <color indexed="81"/>
            <rFont val="Lucida Console"/>
            <family val="3"/>
          </rPr>
          <t>_x000D_
ELETRODUTOS E ACESSORIOS</t>
        </r>
      </text>
    </comment>
    <comment ref="AW140" authorId="0" shapeId="0" xr:uid="{09363F30-A104-45CB-8147-19FA639D1861}">
      <text>
        <r>
          <rPr>
            <sz val="10"/>
            <color indexed="81"/>
            <rFont val="Lucida Console"/>
            <family val="3"/>
          </rPr>
          <t>Tempo de Estoque (Meses)_x000D_
_x000D_
805,0</t>
        </r>
      </text>
    </comment>
    <comment ref="A141" authorId="0" shapeId="0" xr:uid="{0EBD9E00-8D78-49B3-B606-CAF4E7F8AAAF}">
      <text>
        <r>
          <rPr>
            <sz val="10"/>
            <color indexed="81"/>
            <rFont val="Lucida Console"/>
            <family val="3"/>
          </rPr>
          <t>_x000D_
129991</t>
        </r>
      </text>
    </comment>
    <comment ref="B141" authorId="0" shapeId="0" xr:uid="{46283CC9-F28E-4720-8118-8D239E9BAA1D}">
      <text>
        <r>
          <rPr>
            <sz val="10"/>
            <color indexed="81"/>
            <rFont val="Lucida Console"/>
            <family val="3"/>
          </rPr>
          <t>DESCRIÇÃO DETALHADA_x000D_
ELETRODUTO CORRUGADO EM PEAD (POLIETILENO DE ALTA DENSIDADE) PARA PROTECAO DE CABOS SUBTERRANEOS - DIAMETRO 110MM (4")</t>
        </r>
      </text>
    </comment>
    <comment ref="G141" authorId="0" shapeId="0" xr:uid="{091DDB2A-48D8-4B16-B112-85F40F4D358B}">
      <text>
        <r>
          <rPr>
            <sz val="10"/>
            <color indexed="81"/>
            <rFont val="Lucida Console"/>
            <family val="3"/>
          </rPr>
          <t>_x000D_
Últ estimativa : 600_x000D_
Enviada em     : 17.01.2020_x000D_
Ata - Venc     : 126/19 - 06.05.2020</t>
        </r>
      </text>
    </comment>
    <comment ref="O141" authorId="0" shapeId="0" xr:uid="{073C6B17-7186-408F-9EF5-C2AA249BAED4}">
      <text>
        <r>
          <rPr>
            <sz val="10"/>
            <color indexed="81"/>
            <rFont val="Lucida Console"/>
            <family val="3"/>
          </rPr>
          <t>_x000D_
Pertencia a ATA nº 126/19_x000D_
Estimativa de Renovação enviada em 17.01.2020 - Qtd 600_x000D_
PE 153/20 lote 7 (Impróspero)_x000D_
16.09.20 = Finalizado</t>
        </r>
      </text>
    </comment>
    <comment ref="W141" authorId="0" shapeId="0" xr:uid="{860E621F-5C98-42EA-8E91-BCD93CDB61D2}">
      <text>
        <r>
          <rPr>
            <sz val="10"/>
            <color indexed="81"/>
            <rFont val="Lucida Console"/>
            <family val="3"/>
          </rPr>
          <t>_x000D_
DM-Elétrica</t>
        </r>
      </text>
    </comment>
    <comment ref="X141" authorId="0" shapeId="0" xr:uid="{71467923-81C4-4E50-AA45-8DB953B5436A}">
      <text>
        <r>
          <rPr>
            <sz val="10"/>
            <color indexed="81"/>
            <rFont val="Lucida Console"/>
            <family val="3"/>
          </rPr>
          <t>_x000D_
EQUIP. MAT. P/ GERACAO, TRANSM. DISTR. RETIF...</t>
        </r>
      </text>
    </comment>
    <comment ref="Y141" authorId="0" shapeId="0" xr:uid="{A479A9A9-DCB2-48C4-B4E8-C87502705F8E}">
      <text>
        <r>
          <rPr>
            <sz val="10"/>
            <color indexed="81"/>
            <rFont val="Lucida Console"/>
            <family val="3"/>
          </rPr>
          <t>_x000D_
ELETRODUTOS E ACESSORIOS</t>
        </r>
      </text>
    </comment>
    <comment ref="AW141" authorId="0" shapeId="0" xr:uid="{408E292B-E36D-4E22-9098-F714ED79B464}">
      <text>
        <r>
          <rPr>
            <sz val="10"/>
            <color indexed="81"/>
            <rFont val="Lucida Console"/>
            <family val="3"/>
          </rPr>
          <t>Tempo de Estoque (Meses)_x000D_
_x000D_
324,0</t>
        </r>
      </text>
    </comment>
    <comment ref="A142" authorId="0" shapeId="0" xr:uid="{B97247D5-A6F8-4C2F-8ABF-4495AB04BC49}">
      <text>
        <r>
          <rPr>
            <sz val="10"/>
            <color indexed="81"/>
            <rFont val="Lucida Console"/>
            <family val="3"/>
          </rPr>
          <t>_x000D_
128818</t>
        </r>
      </text>
    </comment>
    <comment ref="B142" authorId="0" shapeId="0" xr:uid="{65319615-A630-44E2-A23F-D7CC30045C18}">
      <text>
        <r>
          <rPr>
            <sz val="10"/>
            <color indexed="81"/>
            <rFont val="Lucida Console"/>
            <family val="3"/>
          </rPr>
          <t>DESCRIÇÃO DETALHADA_x000D_
CONECTOR DE ALUMINIO PARA CONDULETE MULTIPLO DE 3/4"</t>
        </r>
      </text>
    </comment>
    <comment ref="G142" authorId="0" shapeId="0" xr:uid="{D4A07D27-B7EA-43A2-A85D-B9AECC66F904}">
      <text>
        <r>
          <rPr>
            <sz val="10"/>
            <color indexed="81"/>
            <rFont val="Lucida Console"/>
            <family val="3"/>
          </rPr>
          <t>_x000D_
Últ estimativa : 1.500_x000D_
Enviada em     : 17.01.2020_x000D_
Ata - Venc     : 126/19 - 06.05.2020</t>
        </r>
      </text>
    </comment>
    <comment ref="O142" authorId="0" shapeId="0" xr:uid="{E32F0E9E-29EF-4906-8EE8-0DB819C0C3AB}">
      <text>
        <r>
          <rPr>
            <sz val="10"/>
            <color indexed="81"/>
            <rFont val="Lucida Console"/>
            <family val="3"/>
          </rPr>
          <t>_x000D_
Pertencia a ATA nº 126/19_x000D_
Estimativa de Renovação enviada em 17.01.2020 - Qtd 1.500_x000D_
PE 153/20 lote 2 (Impróspero)_x000D_
16.09.20 = Finalizado</t>
        </r>
      </text>
    </comment>
    <comment ref="W142" authorId="0" shapeId="0" xr:uid="{8800B86F-CC3F-4CC6-A6A6-3BE0546F3DCC}">
      <text>
        <r>
          <rPr>
            <sz val="10"/>
            <color indexed="81"/>
            <rFont val="Lucida Console"/>
            <family val="3"/>
          </rPr>
          <t>_x000D_
DM-Elétrica</t>
        </r>
      </text>
    </comment>
    <comment ref="X142" authorId="0" shapeId="0" xr:uid="{40334330-F7D5-44E1-BE3B-FADF5C43ADFD}">
      <text>
        <r>
          <rPr>
            <sz val="10"/>
            <color indexed="81"/>
            <rFont val="Lucida Console"/>
            <family val="3"/>
          </rPr>
          <t>_x000D_
EQUIP. MAT. P/ GERACAO, TRANSM. DISTR. RETIF...</t>
        </r>
      </text>
    </comment>
    <comment ref="Y142" authorId="0" shapeId="0" xr:uid="{7C8F371D-0E5B-4A77-95DC-811F732EC9D4}">
      <text>
        <r>
          <rPr>
            <sz val="10"/>
            <color indexed="81"/>
            <rFont val="Lucida Console"/>
            <family val="3"/>
          </rPr>
          <t>_x000D_
CONECTORES</t>
        </r>
      </text>
    </comment>
    <comment ref="AW142" authorId="0" shapeId="0" xr:uid="{C58307F3-9D60-4350-97FB-8BE41E92AC87}">
      <text>
        <r>
          <rPr>
            <sz val="10"/>
            <color indexed="81"/>
            <rFont val="Lucida Console"/>
            <family val="3"/>
          </rPr>
          <t>Tempo de Estoque (Meses)_x000D_
_x000D_
2.795,0</t>
        </r>
      </text>
    </comment>
    <comment ref="A143" authorId="0" shapeId="0" xr:uid="{D21FC603-1E22-4420-B363-1869BCDFE6BB}">
      <text>
        <r>
          <rPr>
            <sz val="10"/>
            <color indexed="81"/>
            <rFont val="Lucida Console"/>
            <family val="3"/>
          </rPr>
          <t>_x000D_
128819</t>
        </r>
      </text>
    </comment>
    <comment ref="B143" authorId="0" shapeId="0" xr:uid="{896D13AF-D41A-4DD5-927C-9C8F5434A0D9}">
      <text>
        <r>
          <rPr>
            <sz val="10"/>
            <color indexed="81"/>
            <rFont val="Lucida Console"/>
            <family val="3"/>
          </rPr>
          <t>DESCRIÇÃO DETALHADA_x000D_
CONECTOR DE ALUMINIO PARA CONDULETE MULTIPLO DE 1.1/2"</t>
        </r>
      </text>
    </comment>
    <comment ref="G143" authorId="0" shapeId="0" xr:uid="{434A8643-C0A9-47E3-8E15-4D6991450C79}">
      <text>
        <r>
          <rPr>
            <sz val="10"/>
            <color indexed="81"/>
            <rFont val="Lucida Console"/>
            <family val="3"/>
          </rPr>
          <t>_x000D_
Últ estimativa : 150_x000D_
Enviada em     : 17.01.2020_x000D_
Ata - Venc     : 126/19 - 06.05.2020</t>
        </r>
      </text>
    </comment>
    <comment ref="O143" authorId="0" shapeId="0" xr:uid="{1F6C6B91-A33E-4BCA-AD2B-AADC1D6C9AA2}">
      <text>
        <r>
          <rPr>
            <sz val="10"/>
            <color indexed="81"/>
            <rFont val="Lucida Console"/>
            <family val="3"/>
          </rPr>
          <t>_x000D_
Pertencia a ATA nº 126/19_x000D_
Estimativa de Renovação enviada em 17.01.2020 - Qtd 150_x000D_
PE 153/20 lote 2 (Impróspero)_x000D_
16.09.20 = Finalizado</t>
        </r>
      </text>
    </comment>
    <comment ref="W143" authorId="0" shapeId="0" xr:uid="{50E65703-BCF9-490B-8B41-8D0E6D437542}">
      <text>
        <r>
          <rPr>
            <sz val="10"/>
            <color indexed="81"/>
            <rFont val="Lucida Console"/>
            <family val="3"/>
          </rPr>
          <t>_x000D_
DM-Elétrica</t>
        </r>
      </text>
    </comment>
    <comment ref="X143" authorId="0" shapeId="0" xr:uid="{9CA500B0-8664-466F-9456-B9DDD27DDD46}">
      <text>
        <r>
          <rPr>
            <sz val="10"/>
            <color indexed="81"/>
            <rFont val="Lucida Console"/>
            <family val="3"/>
          </rPr>
          <t>_x000D_
EQUIP. MAT. P/ GERACAO, TRANSM. DISTR. RETIF...</t>
        </r>
      </text>
    </comment>
    <comment ref="Y143" authorId="0" shapeId="0" xr:uid="{12548A9E-217D-415F-AFBA-E4F0892CB45E}">
      <text>
        <r>
          <rPr>
            <sz val="10"/>
            <color indexed="81"/>
            <rFont val="Lucida Console"/>
            <family val="3"/>
          </rPr>
          <t>_x000D_
CONECTORES</t>
        </r>
      </text>
    </comment>
    <comment ref="AW143" authorId="0" shapeId="0" xr:uid="{3EFA8335-398F-416A-A874-7E37B4774982}">
      <text>
        <r>
          <rPr>
            <sz val="10"/>
            <color indexed="81"/>
            <rFont val="Lucida Console"/>
            <family val="3"/>
          </rPr>
          <t>Tempo de Estoque (Meses)_x000D_
_x000D_
351,0</t>
        </r>
      </text>
    </comment>
    <comment ref="A144" authorId="0" shapeId="0" xr:uid="{6F54D996-3EBD-4EFE-906C-997BE4D1E2D9}">
      <text>
        <r>
          <rPr>
            <sz val="10"/>
            <color indexed="81"/>
            <rFont val="Lucida Console"/>
            <family val="3"/>
          </rPr>
          <t>_x000D_
15664</t>
        </r>
      </text>
    </comment>
    <comment ref="B144" authorId="0" shapeId="0" xr:uid="{FEEA6DD2-D9B8-43E8-B1C3-CB69EE6B220E}">
      <text>
        <r>
          <rPr>
            <sz val="10"/>
            <color indexed="81"/>
            <rFont val="Lucida Console"/>
            <family val="3"/>
          </rPr>
          <t>DESCRIÇÃO DETALHADA_x000D_
TERMINAL DE COMPRESSAO TIPO OLHAL P/ CABO DE COBRE 10MM2 C/1 FURO DE FIXACAO DE COMPRESSAO</t>
        </r>
      </text>
    </comment>
    <comment ref="G144" authorId="0" shapeId="0" xr:uid="{ECE8AECC-1F2B-4EA7-89D7-3A2C5D768E3A}">
      <text>
        <r>
          <rPr>
            <sz val="10"/>
            <color indexed="81"/>
            <rFont val="Lucida Console"/>
            <family val="3"/>
          </rPr>
          <t>_x000D_
Últ estimativa : 50_x000D_
Enviada em     : 17.01.2020_x000D_
Ata - Venc     : 126/19 - 06.05.2020</t>
        </r>
      </text>
    </comment>
    <comment ref="O144" authorId="0" shapeId="0" xr:uid="{B3842864-DB11-411B-A913-2379ED24BD19}">
      <text>
        <r>
          <rPr>
            <sz val="10"/>
            <color indexed="81"/>
            <rFont val="Lucida Console"/>
            <family val="3"/>
          </rPr>
          <t>_x000D_
Pertencia a ATA nº 126/19_x000D_
Estimativa de Renovação enviada em 17.01.2020 - Qtd 50_x000D_
PE 153/20 lote 5 (Impróspero)_x000D_
16.09.20 = Finalizado</t>
        </r>
      </text>
    </comment>
    <comment ref="W144" authorId="0" shapeId="0" xr:uid="{72B33E1B-AF2A-44D1-8552-00F1B4B20930}">
      <text>
        <r>
          <rPr>
            <sz val="10"/>
            <color indexed="81"/>
            <rFont val="Lucida Console"/>
            <family val="3"/>
          </rPr>
          <t>_x000D_
DM-Elétrica</t>
        </r>
      </text>
    </comment>
    <comment ref="X144" authorId="0" shapeId="0" xr:uid="{32F6D643-1BB6-459D-A81F-A3337FE0B143}">
      <text>
        <r>
          <rPr>
            <sz val="10"/>
            <color indexed="81"/>
            <rFont val="Lucida Console"/>
            <family val="3"/>
          </rPr>
          <t>_x000D_
EQUIP. MAT. P/ GERACAO, TRANSM. DISTR. RETIF...</t>
        </r>
      </text>
    </comment>
    <comment ref="Y144" authorId="0" shapeId="0" xr:uid="{DCB49DD1-1BFA-4C53-BEFF-D5BD0856E881}">
      <text>
        <r>
          <rPr>
            <sz val="10"/>
            <color indexed="81"/>
            <rFont val="Lucida Console"/>
            <family val="3"/>
          </rPr>
          <t>_x000D_
TERMINAIS</t>
        </r>
      </text>
    </comment>
    <comment ref="AW144" authorId="0" shapeId="0" xr:uid="{9B3A4F55-E1DC-4E10-A972-D0D195534588}">
      <text>
        <r>
          <rPr>
            <sz val="10"/>
            <color indexed="81"/>
            <rFont val="Lucida Console"/>
            <family val="3"/>
          </rPr>
          <t>Tempo de Estoque (Meses)_x000D_
_x000D_
54,0</t>
        </r>
      </text>
    </comment>
    <comment ref="A145" authorId="0" shapeId="0" xr:uid="{57C59F0A-02A1-4B64-A0F8-3A3A5596E05B}">
      <text>
        <r>
          <rPr>
            <sz val="10"/>
            <color indexed="81"/>
            <rFont val="Lucida Console"/>
            <family val="3"/>
          </rPr>
          <t>_x000D_
15673</t>
        </r>
      </text>
    </comment>
    <comment ref="B145" authorId="0" shapeId="0" xr:uid="{D8389B2D-B71F-40A9-B468-8E81CBE6A41B}">
      <text>
        <r>
          <rPr>
            <sz val="10"/>
            <color indexed="81"/>
            <rFont val="Lucida Console"/>
            <family val="3"/>
          </rPr>
          <t>DESCRIÇÃO DETALHADA_x000D_
TERMINAL DE COMPRESSAO TIPO OLHAL P/ CABO DE  COBRE 35MM2C/ 1 FURO DE FIXACAO DE COMPRESSAO</t>
        </r>
      </text>
    </comment>
    <comment ref="G145" authorId="0" shapeId="0" xr:uid="{AA0DA621-8853-4B7E-9FAD-97E42B87F42B}">
      <text>
        <r>
          <rPr>
            <sz val="10"/>
            <color indexed="81"/>
            <rFont val="Lucida Console"/>
            <family val="3"/>
          </rPr>
          <t>_x000D_
Últ estimativa : 50_x000D_
Enviada em     : 17.01.2020_x000D_
Ata - Venc     : 126/19 - 06.05.2020</t>
        </r>
      </text>
    </comment>
    <comment ref="O145" authorId="0" shapeId="0" xr:uid="{B20B2F20-EA70-4ACB-957B-525E0F2FEA66}">
      <text>
        <r>
          <rPr>
            <sz val="10"/>
            <color indexed="81"/>
            <rFont val="Lucida Console"/>
            <family val="3"/>
          </rPr>
          <t>_x000D_
Pertencia a ATA nº 126/19_x000D_
Estimativa de Renovação enviada em 17.01.2020 - Qtd 50_x000D_
PE 153/20 lote 5 (Impróspero)_x000D_
16.09.20 = Finalizado</t>
        </r>
      </text>
    </comment>
    <comment ref="W145" authorId="0" shapeId="0" xr:uid="{ADEC9C3C-3E4B-45D5-B682-29E1DB3F1F8D}">
      <text>
        <r>
          <rPr>
            <sz val="10"/>
            <color indexed="81"/>
            <rFont val="Lucida Console"/>
            <family val="3"/>
          </rPr>
          <t>_x000D_
DM-Elétrica</t>
        </r>
      </text>
    </comment>
    <comment ref="X145" authorId="0" shapeId="0" xr:uid="{908FCC09-7D7C-488C-BCB8-15CD115FA379}">
      <text>
        <r>
          <rPr>
            <sz val="10"/>
            <color indexed="81"/>
            <rFont val="Lucida Console"/>
            <family val="3"/>
          </rPr>
          <t>_x000D_
EQUIP. MAT. P/ GERACAO, TRANSM. DISTR. RETIF...</t>
        </r>
      </text>
    </comment>
    <comment ref="Y145" authorId="0" shapeId="0" xr:uid="{FBE5B193-85EC-4217-AF54-A9709572125B}">
      <text>
        <r>
          <rPr>
            <sz val="10"/>
            <color indexed="81"/>
            <rFont val="Lucida Console"/>
            <family val="3"/>
          </rPr>
          <t>_x000D_
TERMINAIS</t>
        </r>
      </text>
    </comment>
    <comment ref="AW145" authorId="0" shapeId="0" xr:uid="{9AB336A0-10CA-494D-B855-5032FB3ACBF7}">
      <text>
        <r>
          <rPr>
            <sz val="10"/>
            <color indexed="81"/>
            <rFont val="Lucida Console"/>
            <family val="3"/>
          </rPr>
          <t>Tempo de Estoque (Meses)_x000D_
_x000D_
150,0</t>
        </r>
      </text>
    </comment>
    <comment ref="A146" authorId="0" shapeId="0" xr:uid="{F6AF6E96-57E4-423D-B936-3060C0F9952F}">
      <text>
        <r>
          <rPr>
            <sz val="10"/>
            <color indexed="81"/>
            <rFont val="Lucida Console"/>
            <family val="3"/>
          </rPr>
          <t>_x000D_
15680</t>
        </r>
      </text>
    </comment>
    <comment ref="B146" authorId="0" shapeId="0" xr:uid="{D7188C95-4636-4CFA-8F95-660140B4909E}">
      <text>
        <r>
          <rPr>
            <sz val="10"/>
            <color indexed="81"/>
            <rFont val="Lucida Console"/>
            <family val="3"/>
          </rPr>
          <t>DESCRIÇÃO DETALHADA_x000D_
TERMINAL DE COMPRESSAO TIPO OLHAL P/ CABO DE COBRE 70MM2 C/1 FURO 3/8" DE FIXACAO E 1 DE COMPRESSAO</t>
        </r>
      </text>
    </comment>
    <comment ref="G146" authorId="0" shapeId="0" xr:uid="{D1240665-AF11-4A23-9527-47514E776467}">
      <text>
        <r>
          <rPr>
            <sz val="10"/>
            <color indexed="81"/>
            <rFont val="Lucida Console"/>
            <family val="3"/>
          </rPr>
          <t>_x000D_
Últ estimativa : 50_x000D_
Enviada em     : 17.01.2020_x000D_
Ata - Venc     : 126/19 - 06.05.2020</t>
        </r>
      </text>
    </comment>
    <comment ref="O146" authorId="0" shapeId="0" xr:uid="{6F0AF9D0-6297-4A4A-8F5F-AE7415834D94}">
      <text>
        <r>
          <rPr>
            <sz val="10"/>
            <color indexed="81"/>
            <rFont val="Lucida Console"/>
            <family val="3"/>
          </rPr>
          <t>_x000D_
Pertencia a ATA nº 126/19_x000D_
Estimativa de Renovação enviada em 17.01.2020 - Qtd 50_x000D_
PE 153/20 lote 5 (Impróspero)_x000D_
16.09.20 = Finalizado</t>
        </r>
      </text>
    </comment>
    <comment ref="W146" authorId="0" shapeId="0" xr:uid="{38637E54-DF80-46B8-96A6-EAEEC1516CF5}">
      <text>
        <r>
          <rPr>
            <sz val="10"/>
            <color indexed="81"/>
            <rFont val="Lucida Console"/>
            <family val="3"/>
          </rPr>
          <t>_x000D_
DM-Elétrica</t>
        </r>
      </text>
    </comment>
    <comment ref="X146" authorId="0" shapeId="0" xr:uid="{A9F5C06B-BC82-4283-B006-452CE27FBE0C}">
      <text>
        <r>
          <rPr>
            <sz val="10"/>
            <color indexed="81"/>
            <rFont val="Lucida Console"/>
            <family val="3"/>
          </rPr>
          <t>_x000D_
EQUIP. MAT. P/ GERACAO, TRANSM. DISTR. RETIF...</t>
        </r>
      </text>
    </comment>
    <comment ref="Y146" authorId="0" shapeId="0" xr:uid="{3CA7036D-5743-41AB-AD59-678A09D692F6}">
      <text>
        <r>
          <rPr>
            <sz val="10"/>
            <color indexed="81"/>
            <rFont val="Lucida Console"/>
            <family val="3"/>
          </rPr>
          <t>_x000D_
TERMINAIS</t>
        </r>
      </text>
    </comment>
    <comment ref="AW146" authorId="0" shapeId="0" xr:uid="{5AC1E07B-13C6-4FC7-8382-CBACA4A1C5D7}">
      <text>
        <r>
          <rPr>
            <sz val="10"/>
            <color indexed="81"/>
            <rFont val="Lucida Console"/>
            <family val="3"/>
          </rPr>
          <t>Tempo de Estoque (Meses)_x000D_
_x000D_
482,0</t>
        </r>
      </text>
    </comment>
    <comment ref="A147" authorId="0" shapeId="0" xr:uid="{80DB9263-ED62-44C8-822D-0ED2C30B814F}">
      <text>
        <r>
          <rPr>
            <sz val="10"/>
            <color indexed="81"/>
            <rFont val="Lucida Console"/>
            <family val="3"/>
          </rPr>
          <t>_x000D_
103344</t>
        </r>
      </text>
    </comment>
    <comment ref="B147" authorId="0" shapeId="0" xr:uid="{4323C076-B688-40CD-9A88-5D2C63E5CFA3}">
      <text>
        <r>
          <rPr>
            <sz val="10"/>
            <color indexed="81"/>
            <rFont val="Lucida Console"/>
            <family val="3"/>
          </rPr>
          <t>DESCRIÇÃO DETALHADA_x000D_
TERMINAL A PRESSAO POR ALICATE BITOLA 16,0MM - TIPO ANEL</t>
        </r>
      </text>
    </comment>
    <comment ref="G147" authorId="0" shapeId="0" xr:uid="{750D1195-28BC-4327-872F-73402D78E134}">
      <text>
        <r>
          <rPr>
            <sz val="10"/>
            <color indexed="81"/>
            <rFont val="Lucida Console"/>
            <family val="3"/>
          </rPr>
          <t>_x000D_
Últ estimativa : 50_x000D_
Enviada em     : 17.01.2020_x000D_
Ata - Venc     : 126/19 - 06.05.2020</t>
        </r>
      </text>
    </comment>
    <comment ref="O147" authorId="0" shapeId="0" xr:uid="{1CDA7FDE-5079-49D7-9DDE-3CFD108AA599}">
      <text>
        <r>
          <rPr>
            <sz val="10"/>
            <color indexed="81"/>
            <rFont val="Lucida Console"/>
            <family val="3"/>
          </rPr>
          <t>_x000D_
Pertencia a ATA nº 126/19_x000D_
Estimativa de Renovação enviada em 17.01.2020 - Qtd 50_x000D_
PE 153/20 lote 5 (Impróspero)_x000D_
16.09.20 = Finalizado</t>
        </r>
      </text>
    </comment>
    <comment ref="W147" authorId="0" shapeId="0" xr:uid="{C0E810EE-8C75-4B2C-961E-2BF8BC3FBF9C}">
      <text>
        <r>
          <rPr>
            <sz val="10"/>
            <color indexed="81"/>
            <rFont val="Lucida Console"/>
            <family val="3"/>
          </rPr>
          <t>_x000D_
DM-Elétrica</t>
        </r>
      </text>
    </comment>
    <comment ref="X147" authorId="0" shapeId="0" xr:uid="{A563D35A-D9A1-47A4-8A16-2C1E34F6C3B0}">
      <text>
        <r>
          <rPr>
            <sz val="10"/>
            <color indexed="81"/>
            <rFont val="Lucida Console"/>
            <family val="3"/>
          </rPr>
          <t>_x000D_
EQUIP. MAT. P/ GERACAO, TRANSM. DISTR. RETIF...</t>
        </r>
      </text>
    </comment>
    <comment ref="Y147" authorId="0" shapeId="0" xr:uid="{44B0DFEA-04DF-4071-A050-833C01A7FCB4}">
      <text>
        <r>
          <rPr>
            <sz val="10"/>
            <color indexed="81"/>
            <rFont val="Lucida Console"/>
            <family val="3"/>
          </rPr>
          <t>_x000D_
TERMINAIS</t>
        </r>
      </text>
    </comment>
    <comment ref="AW147" authorId="0" shapeId="0" xr:uid="{6C9962A3-595A-4432-AC03-2C961AA3260E}">
      <text>
        <r>
          <rPr>
            <sz val="10"/>
            <color indexed="81"/>
            <rFont val="Lucida Console"/>
            <family val="3"/>
          </rPr>
          <t>Tempo de Estoque (Meses)_x000D_
_x000D_
516,0</t>
        </r>
      </text>
    </comment>
    <comment ref="A148" authorId="0" shapeId="0" xr:uid="{56FDF1C7-2D1B-4C02-BAB1-83A2BFAED232}">
      <text>
        <r>
          <rPr>
            <sz val="10"/>
            <color indexed="81"/>
            <rFont val="Lucida Console"/>
            <family val="3"/>
          </rPr>
          <t>_x000D_
14754</t>
        </r>
      </text>
    </comment>
    <comment ref="B148" authorId="0" shapeId="0" xr:uid="{6D150EC3-4D60-48B7-BB40-7EE92428A1D0}">
      <text>
        <r>
          <rPr>
            <sz val="10"/>
            <color indexed="81"/>
            <rFont val="Lucida Console"/>
            <family val="3"/>
          </rPr>
          <t>DESCRIÇÃO DETALHADA_x000D_
FITA ISOLANTE 19 MM X 10 M DE AUTO FUSAO (ALTA TENSAO) -PRETA</t>
        </r>
      </text>
    </comment>
    <comment ref="G148" authorId="0" shapeId="0" xr:uid="{607FF870-FC6D-499D-BF3C-D1862E536B8C}">
      <text>
        <r>
          <rPr>
            <sz val="10"/>
            <color indexed="81"/>
            <rFont val="Lucida Console"/>
            <family val="3"/>
          </rPr>
          <t>_x000D_
Últ estimativa : 150_x000D_
Enviada em     : 17.01.2020_x000D_
Ata - Venc     : 126/19 - 06.05.2020</t>
        </r>
      </text>
    </comment>
    <comment ref="O148" authorId="0" shapeId="0" xr:uid="{1506C43C-E8CB-4F62-A22D-260EE65AC814}">
      <text>
        <r>
          <rPr>
            <sz val="10"/>
            <color indexed="81"/>
            <rFont val="Lucida Console"/>
            <family val="3"/>
          </rPr>
          <t>_x000D_
Pertencia a ATA nº 126/19_x000D_
Estimativa de Renovação enviada em 17.01.2020 - Qtd 150_x000D_
PE 153/20 lote 6 (Impróspero)_x000D_
16.09.20 = Finalizado</t>
        </r>
      </text>
    </comment>
    <comment ref="W148" authorId="0" shapeId="0" xr:uid="{CBEBFA67-F57D-4C3D-9031-A475B7F3F7C1}">
      <text>
        <r>
          <rPr>
            <sz val="10"/>
            <color indexed="81"/>
            <rFont val="Lucida Console"/>
            <family val="3"/>
          </rPr>
          <t>_x000D_
DM-Elétrica</t>
        </r>
      </text>
    </comment>
    <comment ref="X148" authorId="0" shapeId="0" xr:uid="{8FD7FCA7-5637-4869-BAE9-9CAF5B9CE284}">
      <text>
        <r>
          <rPr>
            <sz val="10"/>
            <color indexed="81"/>
            <rFont val="Lucida Console"/>
            <family val="3"/>
          </rPr>
          <t>_x000D_
EQUIP. MAT. P/ GERACAO, TRANSM. DISTR. RETIF...</t>
        </r>
      </text>
    </comment>
    <comment ref="Y148" authorId="0" shapeId="0" xr:uid="{5079EC69-89E4-4793-BC81-C1C9FF23CB2A}">
      <text>
        <r>
          <rPr>
            <sz val="10"/>
            <color indexed="81"/>
            <rFont val="Lucida Console"/>
            <family val="3"/>
          </rPr>
          <t>_x000D_
ISOLADORES ELETRICOS E MATERIAIS PARA...</t>
        </r>
      </text>
    </comment>
    <comment ref="AW148" authorId="0" shapeId="0" xr:uid="{1139CD65-40D7-4DA8-9738-07323238C41D}">
      <text>
        <r>
          <rPr>
            <sz val="10"/>
            <color indexed="81"/>
            <rFont val="Lucida Console"/>
            <family val="3"/>
          </rPr>
          <t>Tempo de Estoque (Meses)_x000D_
_x000D_
61,0</t>
        </r>
      </text>
    </comment>
    <comment ref="A149" authorId="0" shapeId="0" xr:uid="{B675D152-8160-4E23-8D63-6131BE023AD8}">
      <text>
        <r>
          <rPr>
            <sz val="10"/>
            <color indexed="81"/>
            <rFont val="Lucida Console"/>
            <family val="3"/>
          </rPr>
          <t>_x000D_
14013</t>
        </r>
      </text>
    </comment>
    <comment ref="B149" authorId="0" shapeId="0" xr:uid="{B5629A62-A6ED-4A3A-B91F-814E64425F50}">
      <text>
        <r>
          <rPr>
            <sz val="10"/>
            <color indexed="81"/>
            <rFont val="Lucida Console"/>
            <family val="3"/>
          </rPr>
          <t>DESCRIÇÃO DETALHADA_x000D_
ABRACADEIRA GALVANIZADA TIPO D DE 3/4", COM PARAFUSO E PORCA</t>
        </r>
      </text>
    </comment>
    <comment ref="G149" authorId="0" shapeId="0" xr:uid="{E3EE5ECC-1B81-41A9-84D9-70A15D6D69F6}">
      <text>
        <r>
          <rPr>
            <sz val="10"/>
            <color indexed="81"/>
            <rFont val="Lucida Console"/>
            <family val="3"/>
          </rPr>
          <t>_x000D_
Últ estimativa : 1.000_x000D_
Enviada em     : 17.01.2020_x000D_
Ata - Venc     : 126/19 - 06.05.2020</t>
        </r>
      </text>
    </comment>
    <comment ref="O149" authorId="0" shapeId="0" xr:uid="{D30450B9-C2B4-4240-ACF8-F8D230834ADB}">
      <text>
        <r>
          <rPr>
            <sz val="10"/>
            <color indexed="81"/>
            <rFont val="Lucida Console"/>
            <family val="3"/>
          </rPr>
          <t>_x000D_
Pertencia a ATA nº 126/19_x000D_
Estimativa de Renovação enviada em 17.01.2020 - Qtd 1.000_x000D_
PE 153/20 lote 5 (Impróspero)_x000D_
16.09.20 = Finalizado</t>
        </r>
      </text>
    </comment>
    <comment ref="W149" authorId="0" shapeId="0" xr:uid="{612F585B-5D3D-406E-A876-F5BE11F4A8FA}">
      <text>
        <r>
          <rPr>
            <sz val="10"/>
            <color indexed="81"/>
            <rFont val="Lucida Console"/>
            <family val="3"/>
          </rPr>
          <t>_x000D_
DM-Elétrica</t>
        </r>
      </text>
    </comment>
    <comment ref="X149" authorId="0" shapeId="0" xr:uid="{238582CF-360C-4ECD-8CAD-3CC9B6F49777}">
      <text>
        <r>
          <rPr>
            <sz val="10"/>
            <color indexed="81"/>
            <rFont val="Lucida Console"/>
            <family val="3"/>
          </rPr>
          <t>_x000D_
EQUIP. MAT. P/ GERACAO, TRANSM. DISTR. RETIF...</t>
        </r>
      </text>
    </comment>
    <comment ref="Y149" authorId="0" shapeId="0" xr:uid="{267C8F6B-ACF4-4F1A-9E81-046F1B893AAA}">
      <text>
        <r>
          <rPr>
            <sz val="10"/>
            <color indexed="81"/>
            <rFont val="Lucida Console"/>
            <family val="3"/>
          </rPr>
          <t>_x000D_
BRACADEIRAS E CINTAS</t>
        </r>
      </text>
    </comment>
    <comment ref="AW149" authorId="0" shapeId="0" xr:uid="{00474707-9D22-43ED-8742-97E800607F7F}">
      <text>
        <r>
          <rPr>
            <sz val="10"/>
            <color indexed="81"/>
            <rFont val="Lucida Console"/>
            <family val="3"/>
          </rPr>
          <t>Tempo de Estoque (Meses)_x000D_
_x000D_
1.190,0</t>
        </r>
      </text>
    </comment>
    <comment ref="A150" authorId="0" shapeId="0" xr:uid="{19B8C6F2-2933-47A6-B2B9-6E5C2E4A2F48}">
      <text>
        <r>
          <rPr>
            <sz val="10"/>
            <color indexed="81"/>
            <rFont val="Lucida Console"/>
            <family val="3"/>
          </rPr>
          <t>_x000D_
119180</t>
        </r>
      </text>
    </comment>
    <comment ref="B150" authorId="0" shapeId="0" xr:uid="{6FCE541C-3D88-49DB-9EAF-5071163021C6}">
      <text>
        <r>
          <rPr>
            <sz val="10"/>
            <color indexed="81"/>
            <rFont val="Lucida Console"/>
            <family val="3"/>
          </rPr>
          <t>DESCRIÇÃO DETALHADA_x000D_
INTERRUPTOR 10A/250V COM 2 TECLAS PARALELAS MAIS 1 TOMADA 2P + T PADRAO NBR 14136 DE 10A/250V DE EMBUTIR COM ESPELHO COR CINZA PARA CAIXA 4X2</t>
        </r>
      </text>
    </comment>
    <comment ref="G150" authorId="0" shapeId="0" xr:uid="{39509E8D-2A24-457C-8EE2-BBD3A59F333A}">
      <text>
        <r>
          <rPr>
            <sz val="10"/>
            <color indexed="81"/>
            <rFont val="Lucida Console"/>
            <family val="3"/>
          </rPr>
          <t>_x000D_
Últ estimativa : 100_x000D_
Enviada em     : 17.01.2020_x000D_
Ata - Venc     : 126/19 - 06.05.2020</t>
        </r>
      </text>
    </comment>
    <comment ref="O150" authorId="0" shapeId="0" xr:uid="{4C00B473-45D0-4CAF-86A9-7FF9402CA56E}">
      <text>
        <r>
          <rPr>
            <sz val="10"/>
            <color indexed="81"/>
            <rFont val="Lucida Console"/>
            <family val="3"/>
          </rPr>
          <t>_x000D_
Pertencia a ATA nº 126/19_x000D_
Estimativa de Renovação enviada em 17.01.2020 - Qtd 100_x000D_
PE 153/20 lote _x000D_
16.09.20 = Finalizado</t>
        </r>
      </text>
    </comment>
    <comment ref="W150" authorId="0" shapeId="0" xr:uid="{8567CEDE-01EA-4EBD-A533-19E3567BC27B}">
      <text>
        <r>
          <rPr>
            <sz val="10"/>
            <color indexed="81"/>
            <rFont val="Lucida Console"/>
            <family val="3"/>
          </rPr>
          <t>_x000D_
DM-Elétrica</t>
        </r>
      </text>
    </comment>
    <comment ref="X150" authorId="0" shapeId="0" xr:uid="{09B92568-9FE3-4690-B542-0688CA6DB3B6}">
      <text>
        <r>
          <rPr>
            <sz val="10"/>
            <color indexed="81"/>
            <rFont val="Lucida Console"/>
            <family val="3"/>
          </rPr>
          <t>_x000D_
EQUIP. MAT. P/ GERACAO, TRANSM. DISTR. RETIF...</t>
        </r>
      </text>
    </comment>
    <comment ref="Y150" authorId="0" shapeId="0" xr:uid="{F4550F6C-2CED-4A73-8856-1D25904FD16B}">
      <text>
        <r>
          <rPr>
            <sz val="10"/>
            <color indexed="81"/>
            <rFont val="Lucida Console"/>
            <family val="3"/>
          </rPr>
          <t>_x000D_
TOMADAS DE USO DOMESTICO E INDUSTRIAL</t>
        </r>
      </text>
    </comment>
    <comment ref="AW150" authorId="0" shapeId="0" xr:uid="{C28C2AE5-1A12-401A-B0EA-FC980FB036A6}">
      <text>
        <r>
          <rPr>
            <sz val="10"/>
            <color indexed="81"/>
            <rFont val="Lucida Console"/>
            <family val="3"/>
          </rPr>
          <t>Tempo de Estoque (Meses)_x000D_
_x000D_
157,0</t>
        </r>
      </text>
    </comment>
    <comment ref="A151" authorId="0" shapeId="0" xr:uid="{6022B4E0-D7F3-400B-A927-073C76D808C3}">
      <text>
        <r>
          <rPr>
            <sz val="10"/>
            <color indexed="81"/>
            <rFont val="Lucida Console"/>
            <family val="3"/>
          </rPr>
          <t>_x000D_
78399</t>
        </r>
      </text>
    </comment>
    <comment ref="B151" authorId="0" shapeId="0" xr:uid="{184E0F7B-D930-40CB-91C9-792C8A347642}">
      <text>
        <r>
          <rPr>
            <sz val="10"/>
            <color indexed="81"/>
            <rFont val="Lucida Console"/>
            <family val="3"/>
          </rPr>
          <t>DESCRIÇÃO DETALHADA_x000D_
ABRACADEIRA GALVANIZADA TIPO D  - 1.1/2"</t>
        </r>
      </text>
    </comment>
    <comment ref="G151" authorId="0" shapeId="0" xr:uid="{E0671ACF-38CF-4DB5-A12C-7FCB5A71B312}">
      <text>
        <r>
          <rPr>
            <sz val="10"/>
            <color indexed="81"/>
            <rFont val="Lucida Console"/>
            <family val="3"/>
          </rPr>
          <t>_x000D_
Últ estimativa : 100_x000D_
Enviada em     : 17.01.2020_x000D_
Ata - Venc     : 126/19 - 06.05.2020</t>
        </r>
      </text>
    </comment>
    <comment ref="O151" authorId="0" shapeId="0" xr:uid="{F59626FE-4775-42F3-A8E0-FDF1085685E6}">
      <text>
        <r>
          <rPr>
            <sz val="10"/>
            <color indexed="81"/>
            <rFont val="Lucida Console"/>
            <family val="3"/>
          </rPr>
          <t>_x000D_
Pertencia a ATA nº 126/19_x000D_
Estimativa de Renovação enviada em 17.01.2020 - Qtd 100_x000D_
PE 153/20 lote _x000D_
16.09.20 = Finalizado</t>
        </r>
      </text>
    </comment>
    <comment ref="W151" authorId="0" shapeId="0" xr:uid="{24B48500-C677-441E-875B-E37F35F43243}">
      <text>
        <r>
          <rPr>
            <sz val="10"/>
            <color indexed="81"/>
            <rFont val="Lucida Console"/>
            <family val="3"/>
          </rPr>
          <t>_x000D_
DM-Elétrica</t>
        </r>
      </text>
    </comment>
    <comment ref="X151" authorId="0" shapeId="0" xr:uid="{5E274533-B436-43F8-A5D0-4AC9D3572837}">
      <text>
        <r>
          <rPr>
            <sz val="10"/>
            <color indexed="81"/>
            <rFont val="Lucida Console"/>
            <family val="3"/>
          </rPr>
          <t>_x000D_
EQUIP. MAT. P/ GERACAO, TRANSM. DISTR. RETIF...</t>
        </r>
      </text>
    </comment>
    <comment ref="Y151" authorId="0" shapeId="0" xr:uid="{2DC272B9-E95F-41DE-8646-0F30B5F48D24}">
      <text>
        <r>
          <rPr>
            <sz val="10"/>
            <color indexed="81"/>
            <rFont val="Lucida Console"/>
            <family val="3"/>
          </rPr>
          <t>_x000D_
BRACADEIRAS E CINTAS</t>
        </r>
      </text>
    </comment>
    <comment ref="AW151" authorId="0" shapeId="0" xr:uid="{100869A3-2B36-46F2-B841-4E414412D6B5}">
      <text>
        <r>
          <rPr>
            <sz val="10"/>
            <color indexed="81"/>
            <rFont val="Lucida Console"/>
            <family val="3"/>
          </rPr>
          <t>Tempo de Estoque (Meses)_x000D_
_x000D_
325,0</t>
        </r>
      </text>
    </comment>
    <comment ref="A152" authorId="0" shapeId="0" xr:uid="{77F64D3D-98B4-44BC-A42F-13E58137F33C}">
      <text>
        <r>
          <rPr>
            <sz val="10"/>
            <color indexed="81"/>
            <rFont val="Lucida Console"/>
            <family val="3"/>
          </rPr>
          <t>_x000D_
57900</t>
        </r>
      </text>
    </comment>
    <comment ref="B152" authorId="0" shapeId="0" xr:uid="{001B77E5-1276-410A-A921-343BC14C1384}">
      <text>
        <r>
          <rPr>
            <sz val="10"/>
            <color indexed="81"/>
            <rFont val="Lucida Console"/>
            <family val="3"/>
          </rPr>
          <t>DESCRIÇÃO DETALHADA_x000D_
TINTA BETUMINOSA PARA IMPERMEABILIZACAO DE ALVENARIA - LATA COM 18 LITROS</t>
        </r>
      </text>
    </comment>
    <comment ref="G152" authorId="0" shapeId="0" xr:uid="{E0145898-C826-49A1-AA1A-54753D0AA481}">
      <text>
        <r>
          <rPr>
            <sz val="10"/>
            <color indexed="81"/>
            <rFont val="Lucida Console"/>
            <family val="3"/>
          </rPr>
          <t>_x000D_
Últ estimativa : 100_x000D_
Enviada em     : 20.01.2020_x000D_
Ata - Venc     : 130/19 - 11.05.2020</t>
        </r>
      </text>
    </comment>
    <comment ref="O152" authorId="0" shapeId="0" xr:uid="{73230AB7-F0EE-44C1-A0CE-719999D60089}">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152" authorId="0" shapeId="0" xr:uid="{3514F199-628E-4AF7-9CE6-FCFBEF5DEDAE}">
      <text>
        <r>
          <rPr>
            <sz val="10"/>
            <color indexed="81"/>
            <rFont val="Lucida Console"/>
            <family val="3"/>
          </rPr>
          <t>_x000D_
DM-Pintura</t>
        </r>
      </text>
    </comment>
    <comment ref="X152" authorId="0" shapeId="0" xr:uid="{7E04DAD8-D482-48E9-8AAC-E88F100258D5}">
      <text>
        <r>
          <rPr>
            <sz val="10"/>
            <color indexed="81"/>
            <rFont val="Lucida Console"/>
            <family val="3"/>
          </rPr>
          <t>_x000D_
EQUIP. E MATERIAIS P/PINTURAS E IMPERMEABILIZACAO</t>
        </r>
      </text>
    </comment>
    <comment ref="Y152" authorId="0" shapeId="0" xr:uid="{22361768-AA96-461D-BD5A-7492809A14D2}">
      <text>
        <r>
          <rPr>
            <sz val="10"/>
            <color indexed="81"/>
            <rFont val="Lucida Console"/>
            <family val="3"/>
          </rPr>
          <t>_x000D_
TINTAS BETUMINOSAS E ANTI-CORROSIVAS</t>
        </r>
      </text>
    </comment>
    <comment ref="AW152" authorId="0" shapeId="0" xr:uid="{F84D186B-7175-4B2B-8A97-CBF8B1FED088}">
      <text>
        <r>
          <rPr>
            <sz val="10"/>
            <color indexed="81"/>
            <rFont val="Lucida Console"/>
            <family val="3"/>
          </rPr>
          <t>Tempo de Estoque (Meses)_x000D_
_x000D_
30,0</t>
        </r>
      </text>
    </comment>
    <comment ref="A153" authorId="0" shapeId="0" xr:uid="{2D93145D-4FEC-484D-BA57-6181B7444174}">
      <text>
        <r>
          <rPr>
            <sz val="10"/>
            <color indexed="81"/>
            <rFont val="Lucida Console"/>
            <family val="3"/>
          </rPr>
          <t>_x000D_
119554</t>
        </r>
      </text>
    </comment>
    <comment ref="B153" authorId="0" shapeId="0" xr:uid="{938F9BA5-6F85-458D-B6F2-2505D9F855F0}">
      <text>
        <r>
          <rPr>
            <sz val="10"/>
            <color indexed="81"/>
            <rFont val="Lucida Console"/>
            <family val="3"/>
          </rPr>
          <t>DESCRIÇÃO DETALHADA_x000D_
CHAPA EM MDF ALTO BRILHO - MEDIDAS: 2,75 X 1,86 M X 15 MM DE ESPESSURA</t>
        </r>
      </text>
    </comment>
    <comment ref="G153" authorId="0" shapeId="0" xr:uid="{972888A7-C7CA-4D6D-988B-C7D58485E030}">
      <text>
        <r>
          <rPr>
            <sz val="10"/>
            <color indexed="81"/>
            <rFont val="Lucida Console"/>
            <family val="3"/>
          </rPr>
          <t>_x000D_
Últ estimativa : 300_x000D_
Enviada em     : 28.01.2021_x000D_
Ata - Venc     : 131/21 - 06.05.2022</t>
        </r>
      </text>
    </comment>
    <comment ref="O153" authorId="0" shapeId="0" xr:uid="{FB0365CD-167E-44DD-866E-A86B67DD7FC4}">
      <text>
        <r>
          <rPr>
            <sz val="10"/>
            <color indexed="81"/>
            <rFont val="Lucida Console"/>
            <family val="3"/>
          </rPr>
          <t>_x000D_
Pertencia a ATA nº 131/21_x000D_
Estimativa de Renovação enviada em 28.01.2021 - Qtd 300_x000D_
PE  56/21 lote _x000D_
22.04.21 = Processo finalizado. Ata 131/21.</t>
        </r>
      </text>
    </comment>
    <comment ref="W153" authorId="0" shapeId="0" xr:uid="{581BB816-92F8-48BE-BB53-859441CCB9C6}">
      <text>
        <r>
          <rPr>
            <sz val="10"/>
            <color indexed="81"/>
            <rFont val="Lucida Console"/>
            <family val="3"/>
          </rPr>
          <t>_x000D_
DM-Marcenaria</t>
        </r>
      </text>
    </comment>
    <comment ref="X153" authorId="0" shapeId="0" xr:uid="{A3C5DDED-3118-4D64-AF00-2B4F765BF3A2}">
      <text>
        <r>
          <rPr>
            <sz val="10"/>
            <color indexed="81"/>
            <rFont val="Lucida Console"/>
            <family val="3"/>
          </rPr>
          <t>_x000D_
MADEIRAS,LAMINADOS,COMPENSADOS E AGLOMERADOS</t>
        </r>
      </text>
    </comment>
    <comment ref="Y153" authorId="0" shapeId="0" xr:uid="{76B17761-7B32-491E-922A-7AA98641CCF5}">
      <text>
        <r>
          <rPr>
            <sz val="10"/>
            <color indexed="81"/>
            <rFont val="Lucida Console"/>
            <family val="3"/>
          </rPr>
          <t>_x000D_
CHAPAS DE MADEIRA AGLOMERADA E COMPENSADAS</t>
        </r>
      </text>
    </comment>
    <comment ref="AW153" authorId="0" shapeId="0" xr:uid="{DE90D94D-2B0C-4A16-828C-058BB3BF7F1E}">
      <text>
        <r>
          <rPr>
            <sz val="10"/>
            <color indexed="81"/>
            <rFont val="Lucida Console"/>
            <family val="3"/>
          </rPr>
          <t>Tempo de Estoque (Meses)_x000D_
_x000D_
146,0</t>
        </r>
      </text>
    </comment>
    <comment ref="A154" authorId="0" shapeId="0" xr:uid="{FFAD0D7A-DE6E-45FE-962C-DA7354DCDB01}">
      <text>
        <r>
          <rPr>
            <sz val="10"/>
            <color indexed="81"/>
            <rFont val="Lucida Console"/>
            <family val="3"/>
          </rPr>
          <t>_x000D_
119621</t>
        </r>
      </text>
    </comment>
    <comment ref="B154" authorId="0" shapeId="0" xr:uid="{E3E47505-780E-43E3-80FB-38E034156F08}">
      <text>
        <r>
          <rPr>
            <sz val="10"/>
            <color indexed="81"/>
            <rFont val="Lucida Console"/>
            <family val="3"/>
          </rPr>
          <t>DESCRIÇÃO DETALHADA_x000D_
CHAPA EM MDF ALTO BRILHO - MEDIDAS: 2,75 X 1,86 M X 06 MM DE ESPESSURA</t>
        </r>
      </text>
    </comment>
    <comment ref="G154" authorId="0" shapeId="0" xr:uid="{938AC011-29FC-4C80-B718-6A175DFBCACF}">
      <text>
        <r>
          <rPr>
            <sz val="10"/>
            <color indexed="81"/>
            <rFont val="Lucida Console"/>
            <family val="3"/>
          </rPr>
          <t>_x000D_
Últ estimativa : 700_x000D_
Enviada em     : 28.01.2021_x000D_
Ata - Venc     : 131/21 - 06.05.2022</t>
        </r>
      </text>
    </comment>
    <comment ref="O154" authorId="0" shapeId="0" xr:uid="{F6674071-2F2C-445C-9495-9271D1C06362}">
      <text>
        <r>
          <rPr>
            <sz val="10"/>
            <color indexed="81"/>
            <rFont val="Lucida Console"/>
            <family val="3"/>
          </rPr>
          <t>_x000D_
Pertencia a ATA nº 131/21_x000D_
Estimativa de Renovação enviada em 28.01.2021 - Qtd 700_x000D_
PE  56/21 lote _x000D_
22.04.21 = Processo finalizado. Ata 131/21.</t>
        </r>
      </text>
    </comment>
    <comment ref="W154" authorId="0" shapeId="0" xr:uid="{DEF27B3E-AAA8-4BE2-97B3-3BC5880FAB3D}">
      <text>
        <r>
          <rPr>
            <sz val="10"/>
            <color indexed="81"/>
            <rFont val="Lucida Console"/>
            <family val="3"/>
          </rPr>
          <t>_x000D_
DM-Marcenaria</t>
        </r>
      </text>
    </comment>
    <comment ref="X154" authorId="0" shapeId="0" xr:uid="{269DC8FE-FB26-4AB6-A9E9-7CA7349D1856}">
      <text>
        <r>
          <rPr>
            <sz val="10"/>
            <color indexed="81"/>
            <rFont val="Lucida Console"/>
            <family val="3"/>
          </rPr>
          <t>_x000D_
MADEIRAS,LAMINADOS,COMPENSADOS E AGLOMERADOS</t>
        </r>
      </text>
    </comment>
    <comment ref="Y154" authorId="0" shapeId="0" xr:uid="{AD516A48-E5DA-4944-A900-72AF0FE8D148}">
      <text>
        <r>
          <rPr>
            <sz val="10"/>
            <color indexed="81"/>
            <rFont val="Lucida Console"/>
            <family val="3"/>
          </rPr>
          <t>_x000D_
CHAPAS DE MADEIRA AGLOMERADA E COMPENSADAS</t>
        </r>
      </text>
    </comment>
    <comment ref="AW154" authorId="0" shapeId="0" xr:uid="{B3F71276-C2AA-459A-ACA7-F896A4DC9DF8}">
      <text>
        <r>
          <rPr>
            <sz val="10"/>
            <color indexed="81"/>
            <rFont val="Lucida Console"/>
            <family val="3"/>
          </rPr>
          <t>Tempo de Estoque (Meses)_x000D_
_x000D_
100,0</t>
        </r>
      </text>
    </comment>
    <comment ref="A155" authorId="0" shapeId="0" xr:uid="{0C9EE40D-3995-4840-8855-E3A1C9DB0616}">
      <text>
        <r>
          <rPr>
            <sz val="10"/>
            <color indexed="81"/>
            <rFont val="Lucida Console"/>
            <family val="3"/>
          </rPr>
          <t>_x000D_
78181</t>
        </r>
      </text>
    </comment>
    <comment ref="B155" authorId="0" shapeId="0" xr:uid="{E35C3D7E-7B0D-48B9-BDA4-7DF870D97965}">
      <text>
        <r>
          <rPr>
            <sz val="10"/>
            <color indexed="81"/>
            <rFont val="Lucida Console"/>
            <family val="3"/>
          </rPr>
          <t>DESCRIÇÃO DETALHADA_x000D_
PASTA PARA LIMPEZA DE ALUMINIO, POTE COM 500 GRAMAS - VALIDADE MINIMA DE 12 MESES</t>
        </r>
      </text>
    </comment>
    <comment ref="G155" authorId="0" shapeId="0" xr:uid="{C1AA6E52-3EE6-45EF-9917-B634CDB58CEF}">
      <text>
        <r>
          <rPr>
            <sz val="10"/>
            <color indexed="81"/>
            <rFont val="Lucida Console"/>
            <family val="3"/>
          </rPr>
          <t>_x000D_
Últ estimativa : 0_x000D_
Enviada em     : 06.10.2020_x000D_
Ata - Venc     : 14/20 - 22.01.2021</t>
        </r>
      </text>
    </comment>
    <comment ref="O155" authorId="0" shapeId="0" xr:uid="{EE97981F-61C8-427A-8059-C8B2B25117B3}">
      <text>
        <r>
          <rPr>
            <sz val="10"/>
            <color indexed="81"/>
            <rFont val="Lucida Console"/>
            <family val="3"/>
          </rPr>
          <t>_x000D_
Pertencia a ATA nº 14/20_x000D_
Estimativa de Renovação enviada em 06.10.2020 - Qtd _x000D_
PP 236/19 lote _x000D_
30.01.20 = Finalizar - contrato assinado</t>
        </r>
      </text>
    </comment>
    <comment ref="W155" authorId="0" shapeId="0" xr:uid="{57E8458A-B1E6-47BD-9DAA-269EF4851AED}">
      <text>
        <r>
          <rPr>
            <sz val="10"/>
            <color indexed="81"/>
            <rFont val="Lucida Console"/>
            <family val="3"/>
          </rPr>
          <t>_x000D_
Administrativo</t>
        </r>
      </text>
    </comment>
    <comment ref="X155" authorId="0" shapeId="0" xr:uid="{D0D7010B-3EF7-4577-B8CC-F61DDC44BB5C}">
      <text>
        <r>
          <rPr>
            <sz val="10"/>
            <color indexed="81"/>
            <rFont val="Lucida Console"/>
            <family val="3"/>
          </rPr>
          <t>_x000D_
MAQ.EQUIP.E MATERIAIS P/ HIGIEN.LIMP.POLIM.E LUBR.</t>
        </r>
      </text>
    </comment>
    <comment ref="Y155" authorId="0" shapeId="0" xr:uid="{D14AAA86-BCD8-48CF-AB14-81CB9AD9BEE0}">
      <text>
        <r>
          <rPr>
            <sz val="10"/>
            <color indexed="81"/>
            <rFont val="Lucida Console"/>
            <family val="3"/>
          </rPr>
          <t>_x000D_
PRODUTOS DE LIMPEZA</t>
        </r>
      </text>
    </comment>
    <comment ref="AW155" authorId="0" shapeId="0" xr:uid="{90EA8F58-8188-42F7-ABA3-AA44BB184C86}">
      <text>
        <r>
          <rPr>
            <sz val="10"/>
            <color indexed="81"/>
            <rFont val="Lucida Console"/>
            <family val="3"/>
          </rPr>
          <t>Tempo de Estoque (Meses)_x000D_
_x000D_
188,0</t>
        </r>
      </text>
    </comment>
    <comment ref="A156" authorId="0" shapeId="0" xr:uid="{8E1099D2-5CB5-4814-BA96-039BCB790270}">
      <text>
        <r>
          <rPr>
            <sz val="10"/>
            <color indexed="81"/>
            <rFont val="Lucida Console"/>
            <family val="3"/>
          </rPr>
          <t>_x000D_
128288</t>
        </r>
      </text>
    </comment>
    <comment ref="B156" authorId="0" shapeId="0" xr:uid="{FAE77872-D84E-4D20-BEF7-95A4EAEE3DB9}">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156" authorId="0" shapeId="0" xr:uid="{A4F7CFCC-A1C4-47F8-90E9-0A12752CFBD8}">
      <text>
        <r>
          <rPr>
            <sz val="10"/>
            <color indexed="81"/>
            <rFont val="Lucida Console"/>
            <family val="3"/>
          </rPr>
          <t>_x000D_
Últ estimativa : 30_x000D_
Enviada em     : 22.04.2021_x000D_
Ata - Venc     : 143/20 - 01.07.2021</t>
        </r>
      </text>
    </comment>
    <comment ref="O156" authorId="0" shapeId="0" xr:uid="{E31752D2-4CFF-4D31-8C94-971813207B10}">
      <text>
        <r>
          <rPr>
            <sz val="10"/>
            <color indexed="81"/>
            <rFont val="Lucida Console"/>
            <family val="3"/>
          </rPr>
          <t>_x000D_
Pertencia a ATA nº 143/20_x000D_
Estimativa de Renovação enviada em 22.04.2021 - Qtd 30_x000D_
PE  28/20 lote 19_x000D_
08.07.20 = Finalizar - contrato assinado</t>
        </r>
      </text>
    </comment>
    <comment ref="W156" authorId="0" shapeId="0" xr:uid="{B727396F-62AE-41D1-BA07-C03C3E3FA4E2}">
      <text>
        <r>
          <rPr>
            <sz val="10"/>
            <color indexed="81"/>
            <rFont val="Lucida Console"/>
            <family val="3"/>
          </rPr>
          <t>_x000D_
DM-Pintura</t>
        </r>
      </text>
    </comment>
    <comment ref="X156" authorId="0" shapeId="0" xr:uid="{3062BDF7-D086-46B1-9643-DEF35B505318}">
      <text>
        <r>
          <rPr>
            <sz val="10"/>
            <color indexed="81"/>
            <rFont val="Lucida Console"/>
            <family val="3"/>
          </rPr>
          <t>_x000D_
EQUIP. E MATERIAIS P/PINTURAS E IMPERMEABILIZACAO</t>
        </r>
      </text>
    </comment>
    <comment ref="Y156" authorId="0" shapeId="0" xr:uid="{F53C70E6-A867-4B5B-A42A-32A372FF5336}">
      <text>
        <r>
          <rPr>
            <sz val="10"/>
            <color indexed="81"/>
            <rFont val="Lucida Console"/>
            <family val="3"/>
          </rPr>
          <t>_x000D_
SELADORES</t>
        </r>
      </text>
    </comment>
    <comment ref="AC156" authorId="0" shapeId="0" xr:uid="{CFCD5DB2-7F8C-4F96-BAF2-536FACC830E9}">
      <text>
        <r>
          <rPr>
            <sz val="10"/>
            <color indexed="81"/>
            <rFont val="Lucida Console"/>
            <family val="3"/>
          </rPr>
          <t>_x000D_
AF 14.002/22 | Vc 10.11.2022 | Saldo     20 | ALINE NICACIO ( 158489 )</t>
        </r>
      </text>
    </comment>
    <comment ref="AG156" authorId="0" shapeId="0" xr:uid="{754CABD8-4487-46FB-9FF6-28891C7E6093}">
      <text>
        <r>
          <rPr>
            <sz val="10"/>
            <color indexed="81"/>
            <rFont val="Lucida Console"/>
            <family val="3"/>
          </rPr>
          <t>_x000D_
AF 14.002/22 | Vc 10.11.2022 | Saldo     20 | ALINE NICACIO ( 158489 )</t>
        </r>
      </text>
    </comment>
    <comment ref="AW156" authorId="0" shapeId="0" xr:uid="{FBFAE450-4391-4E43-82D8-676A9EE65348}">
      <text>
        <r>
          <rPr>
            <sz val="10"/>
            <color indexed="81"/>
            <rFont val="Lucida Console"/>
            <family val="3"/>
          </rPr>
          <t>Tempo de Estoque (Meses)_x000D_
_x000D_
0,0</t>
        </r>
      </text>
    </comment>
    <comment ref="A157" authorId="0" shapeId="0" xr:uid="{89853C92-0695-4A90-93B7-2829FE774852}">
      <text>
        <r>
          <rPr>
            <sz val="10"/>
            <color indexed="81"/>
            <rFont val="Lucida Console"/>
            <family val="3"/>
          </rPr>
          <t>_x000D_
11448</t>
        </r>
      </text>
    </comment>
    <comment ref="B157" authorId="0" shapeId="0" xr:uid="{1FFA59BF-C85E-4774-A87D-F68DA9ED7F2A}">
      <text>
        <r>
          <rPr>
            <sz val="10"/>
            <color indexed="81"/>
            <rFont val="Lucida Console"/>
            <family val="3"/>
          </rPr>
          <t>DESCRIÇÃO DETALHADA_x000D_
CORRETIVO LIQUIDO A BASE DE AGUA - FR C/ 18 ML</t>
        </r>
      </text>
    </comment>
    <comment ref="G157" authorId="0" shapeId="0" xr:uid="{8746F00E-1E7C-4A26-8C2F-3389D27543A3}">
      <text>
        <r>
          <rPr>
            <sz val="10"/>
            <color indexed="81"/>
            <rFont val="Lucida Console"/>
            <family val="3"/>
          </rPr>
          <t>_x000D_
Últ estimativa : 1.500_x000D_
Enviada em     : 19.12.2019_x000D_
Ata - Venc     : 143/21 - 20.05.2022</t>
        </r>
      </text>
    </comment>
    <comment ref="O157" authorId="0" shapeId="0" xr:uid="{7476DE6D-7671-4AA9-8295-1077963A2498}">
      <text>
        <r>
          <rPr>
            <sz val="10"/>
            <color indexed="81"/>
            <rFont val="Lucida Console"/>
            <family val="3"/>
          </rPr>
          <t>_x000D_
Pertencia a ATA nº 143/21_x000D_
Estimativa de Renovação enviada em 19.12.2019 - Qtd 1.500_x000D_
PE  61/21 lote _x000D_
30.04.21 = Finalizado. Ata 143/20</t>
        </r>
      </text>
    </comment>
    <comment ref="W157" authorId="0" shapeId="0" xr:uid="{DCE75773-C428-4415-9802-BF48EDF03091}">
      <text>
        <r>
          <rPr>
            <sz val="10"/>
            <color indexed="81"/>
            <rFont val="Lucida Console"/>
            <family val="3"/>
          </rPr>
          <t>_x000D_
Pedagógico</t>
        </r>
      </text>
    </comment>
    <comment ref="X157" authorId="0" shapeId="0" xr:uid="{D9FB2302-1733-43AA-8D07-36CB0960D3F4}">
      <text>
        <r>
          <rPr>
            <sz val="10"/>
            <color indexed="81"/>
            <rFont val="Lucida Console"/>
            <family val="3"/>
          </rPr>
          <t>_x000D_
MAQ., EQUIP., COMP., ACES., MAT. PARA ESCRIT.E ESCOLAR</t>
        </r>
      </text>
    </comment>
    <comment ref="Y157" authorId="0" shapeId="0" xr:uid="{DD5CD9A4-616F-48AD-A610-D926798AFD07}">
      <text>
        <r>
          <rPr>
            <sz val="10"/>
            <color indexed="81"/>
            <rFont val="Lucida Console"/>
            <family val="3"/>
          </rPr>
          <t>_x000D_
LAPIS, BORRACHA, APONTADORES, REGUAS E CORRETIVOS P/ ESCRIT.</t>
        </r>
      </text>
    </comment>
    <comment ref="AW157" authorId="0" shapeId="0" xr:uid="{62B42F01-836E-45D4-BC9F-55E135FC2111}">
      <text>
        <r>
          <rPr>
            <sz val="10"/>
            <color indexed="81"/>
            <rFont val="Lucida Console"/>
            <family val="3"/>
          </rPr>
          <t>Tempo de Estoque (Meses)_x000D_
_x000D_
504,0</t>
        </r>
      </text>
    </comment>
    <comment ref="A158" authorId="0" shapeId="0" xr:uid="{6A2891CE-D49D-45D2-AD90-9C6DE8C626B6}">
      <text>
        <r>
          <rPr>
            <sz val="10"/>
            <color indexed="81"/>
            <rFont val="Lucida Console"/>
            <family val="3"/>
          </rPr>
          <t>_x000D_
17454</t>
        </r>
      </text>
    </comment>
    <comment ref="B158" authorId="0" shapeId="0" xr:uid="{B45772B8-4EEE-4AA2-8355-037A65DEC63D}">
      <text>
        <r>
          <rPr>
            <sz val="10"/>
            <color indexed="81"/>
            <rFont val="Lucida Console"/>
            <family val="3"/>
          </rPr>
          <t>DESCRIÇÃO DETALHADA_x000D_
PAPEL ESPELHO - 65 X 50 CM - ROSA</t>
        </r>
      </text>
    </comment>
    <comment ref="G158" authorId="0" shapeId="0" xr:uid="{3EC4E28D-48E2-4114-953D-55596F4DC3AA}">
      <text>
        <r>
          <rPr>
            <sz val="10"/>
            <color indexed="81"/>
            <rFont val="Lucida Console"/>
            <family val="3"/>
          </rPr>
          <t>_x000D_
Últ estimativa : 12.000_x000D_
Enviada em     : 19.12.2019_x000D_
Ata - Venc     : 143/21 - 20.05.2022</t>
        </r>
      </text>
    </comment>
    <comment ref="O158" authorId="0" shapeId="0" xr:uid="{01089DAF-CFF3-49B4-9C5A-9C23DEC740C3}">
      <text>
        <r>
          <rPr>
            <sz val="10"/>
            <color indexed="81"/>
            <rFont val="Lucida Console"/>
            <family val="3"/>
          </rPr>
          <t>_x000D_
Pertencia a ATA nº 143/21_x000D_
Estimativa de Renovação enviada em 19.12.2019 - Qtd 12.000_x000D_
PE  61/21 lote _x000D_
30.04.21 = Finalizado. Ata 143/20</t>
        </r>
      </text>
    </comment>
    <comment ref="W158" authorId="0" shapeId="0" xr:uid="{4A072BAF-C635-4E2B-B569-28450BEB5C94}">
      <text>
        <r>
          <rPr>
            <sz val="10"/>
            <color indexed="81"/>
            <rFont val="Lucida Console"/>
            <family val="3"/>
          </rPr>
          <t>_x000D_
Pedagógico</t>
        </r>
      </text>
    </comment>
    <comment ref="X158" authorId="0" shapeId="0" xr:uid="{1DDAF2C3-C279-4E25-853F-A3B5D3E8014A}">
      <text>
        <r>
          <rPr>
            <sz val="10"/>
            <color indexed="81"/>
            <rFont val="Lucida Console"/>
            <family val="3"/>
          </rPr>
          <t>_x000D_
MAQ. E EQUIP. P/ IND. GRAFICA COMP. ACESS. E PAPEI</t>
        </r>
      </text>
    </comment>
    <comment ref="Y158" authorId="0" shapeId="0" xr:uid="{82257078-5EF8-466F-85A4-9E7981AB2651}">
      <text>
        <r>
          <rPr>
            <sz val="10"/>
            <color indexed="81"/>
            <rFont val="Lucida Console"/>
            <family val="3"/>
          </rPr>
          <t>_x000D_
PAPEIS P/ EMBALAGEM E DECORATIVOS</t>
        </r>
      </text>
    </comment>
    <comment ref="AW158" authorId="0" shapeId="0" xr:uid="{5CB80226-6CCD-4E89-A8FA-CAF5354B9DB6}">
      <text>
        <r>
          <rPr>
            <sz val="10"/>
            <color indexed="81"/>
            <rFont val="Lucida Console"/>
            <family val="3"/>
          </rPr>
          <t>Tempo de Estoque (Meses)_x000D_
_x000D_
1.451,0</t>
        </r>
      </text>
    </comment>
    <comment ref="A159" authorId="0" shapeId="0" xr:uid="{A414DA91-D730-4AF4-811B-D73DF530F3DE}">
      <text>
        <r>
          <rPr>
            <sz val="10"/>
            <color indexed="81"/>
            <rFont val="Lucida Console"/>
            <family val="3"/>
          </rPr>
          <t>_x000D_
23986</t>
        </r>
      </text>
    </comment>
    <comment ref="B159" authorId="0" shapeId="0" xr:uid="{5433327C-1C7B-466A-8D0A-4DF7BED0F48F}">
      <text>
        <r>
          <rPr>
            <sz val="10"/>
            <color indexed="81"/>
            <rFont val="Lucida Console"/>
            <family val="3"/>
          </rPr>
          <t>DESCRIÇÃO DETALHADA_x000D_
PAPEL CREPOM - RL C/ 48 X 200 CM - AMARELO OURO</t>
        </r>
      </text>
    </comment>
    <comment ref="G159" authorId="0" shapeId="0" xr:uid="{06C0BA7A-2DEB-4D1C-AE35-8A1D2806A320}">
      <text>
        <r>
          <rPr>
            <sz val="10"/>
            <color indexed="81"/>
            <rFont val="Lucida Console"/>
            <family val="3"/>
          </rPr>
          <t>_x000D_
Últ estimativa : 10.000_x000D_
Enviada em     : 19.12.2019_x000D_
Ata - Venc     : 143/21 - 20.05.2022</t>
        </r>
      </text>
    </comment>
    <comment ref="O159" authorId="0" shapeId="0" xr:uid="{9975CF01-F69B-4498-B447-616863965C53}">
      <text>
        <r>
          <rPr>
            <sz val="10"/>
            <color indexed="81"/>
            <rFont val="Lucida Console"/>
            <family val="3"/>
          </rPr>
          <t>_x000D_
Pertencia a ATA nº 143/21_x000D_
Estimativa de Renovação enviada em 19.12.2019 - Qtd 10.000_x000D_
PE  61/21 lote _x000D_
30.04.21 = Finalizado. Ata 143/20</t>
        </r>
      </text>
    </comment>
    <comment ref="W159" authorId="0" shapeId="0" xr:uid="{25D96DB0-796B-4580-AFC0-89E5625E3702}">
      <text>
        <r>
          <rPr>
            <sz val="10"/>
            <color indexed="81"/>
            <rFont val="Lucida Console"/>
            <family val="3"/>
          </rPr>
          <t>_x000D_
Pedagógico</t>
        </r>
      </text>
    </comment>
    <comment ref="X159" authorId="0" shapeId="0" xr:uid="{20C66CF9-C835-4E90-94A5-ACB14DBA5DFC}">
      <text>
        <r>
          <rPr>
            <sz val="10"/>
            <color indexed="81"/>
            <rFont val="Lucida Console"/>
            <family val="3"/>
          </rPr>
          <t>_x000D_
MAQ. E EQUIP. P/ IND. GRAFICA COMP. ACESS. E PAPEI</t>
        </r>
      </text>
    </comment>
    <comment ref="Y159" authorId="0" shapeId="0" xr:uid="{32E4B694-9252-4444-B6A6-9B8BD42151C0}">
      <text>
        <r>
          <rPr>
            <sz val="10"/>
            <color indexed="81"/>
            <rFont val="Lucida Console"/>
            <family val="3"/>
          </rPr>
          <t>_x000D_
PAPEIS P/ EMBALAGEM E DECORATIVOS</t>
        </r>
      </text>
    </comment>
    <comment ref="AW159" authorId="0" shapeId="0" xr:uid="{8550BD01-4F06-420B-8431-197124D5CB49}">
      <text>
        <r>
          <rPr>
            <sz val="10"/>
            <color indexed="81"/>
            <rFont val="Lucida Console"/>
            <family val="3"/>
          </rPr>
          <t>Tempo de Estoque (Meses)_x000D_
_x000D_
1.200,0</t>
        </r>
      </text>
    </comment>
    <comment ref="A160" authorId="0" shapeId="0" xr:uid="{764D06C0-5106-46C0-8D09-850A9C1E310A}">
      <text>
        <r>
          <rPr>
            <sz val="10"/>
            <color indexed="81"/>
            <rFont val="Lucida Console"/>
            <family val="3"/>
          </rPr>
          <t>_x000D_
23989</t>
        </r>
      </text>
    </comment>
    <comment ref="B160" authorId="0" shapeId="0" xr:uid="{999B7E95-8418-4401-87D3-71EC030C5B49}">
      <text>
        <r>
          <rPr>
            <sz val="10"/>
            <color indexed="81"/>
            <rFont val="Lucida Console"/>
            <family val="3"/>
          </rPr>
          <t>DESCRIÇÃO DETALHADA_x000D_
PAPEL CREPOM - RL C/ 48 X 200 CM - LARANJA</t>
        </r>
      </text>
    </comment>
    <comment ref="G160" authorId="0" shapeId="0" xr:uid="{BEBADB95-A55D-464A-B37C-DEDBF6603F46}">
      <text>
        <r>
          <rPr>
            <sz val="10"/>
            <color indexed="81"/>
            <rFont val="Lucida Console"/>
            <family val="3"/>
          </rPr>
          <t>_x000D_
Últ estimativa : 10.000_x000D_
Enviada em     : 19.12.2019_x000D_
Ata - Venc     : 143/21 - 20.05.2022</t>
        </r>
      </text>
    </comment>
    <comment ref="O160" authorId="0" shapeId="0" xr:uid="{A65EFE91-7E70-4E15-BBBB-B3117D0F0C94}">
      <text>
        <r>
          <rPr>
            <sz val="10"/>
            <color indexed="81"/>
            <rFont val="Lucida Console"/>
            <family val="3"/>
          </rPr>
          <t>_x000D_
Pertencia a ATA nº 143/21_x000D_
Estimativa de Renovação enviada em 19.12.2019 - Qtd 10.000_x000D_
PE  61/21 lote _x000D_
30.04.21 = Finalizado. Ata 143/20</t>
        </r>
      </text>
    </comment>
    <comment ref="W160" authorId="0" shapeId="0" xr:uid="{7A6968CB-12AD-4CBA-B87B-667917D080DE}">
      <text>
        <r>
          <rPr>
            <sz val="10"/>
            <color indexed="81"/>
            <rFont val="Lucida Console"/>
            <family val="3"/>
          </rPr>
          <t>_x000D_
Pedagógico</t>
        </r>
      </text>
    </comment>
    <comment ref="X160" authorId="0" shapeId="0" xr:uid="{FF1FE06E-B9D2-4AA8-B8E4-B677E92ECCDF}">
      <text>
        <r>
          <rPr>
            <sz val="10"/>
            <color indexed="81"/>
            <rFont val="Lucida Console"/>
            <family val="3"/>
          </rPr>
          <t>_x000D_
MAQ. E EQUIP. P/ IND. GRAFICA COMP. ACESS. E PAPEI</t>
        </r>
      </text>
    </comment>
    <comment ref="Y160" authorId="0" shapeId="0" xr:uid="{8434EE54-F549-4376-9DF7-6EE3C50F0622}">
      <text>
        <r>
          <rPr>
            <sz val="10"/>
            <color indexed="81"/>
            <rFont val="Lucida Console"/>
            <family val="3"/>
          </rPr>
          <t>_x000D_
PAPEIS P/ EMBALAGEM E DECORATIVOS</t>
        </r>
      </text>
    </comment>
    <comment ref="AW160" authorId="0" shapeId="0" xr:uid="{BB94612B-F383-46BA-8E40-3C938483698E}">
      <text>
        <r>
          <rPr>
            <sz val="10"/>
            <color indexed="81"/>
            <rFont val="Lucida Console"/>
            <family val="3"/>
          </rPr>
          <t>Tempo de Estoque (Meses)_x000D_
_x000D_
561,0</t>
        </r>
      </text>
    </comment>
    <comment ref="A161" authorId="0" shapeId="0" xr:uid="{E80F6839-2FF0-4B92-8715-724097A23B06}">
      <text>
        <r>
          <rPr>
            <sz val="10"/>
            <color indexed="81"/>
            <rFont val="Lucida Console"/>
            <family val="3"/>
          </rPr>
          <t>_x000D_
23993</t>
        </r>
      </text>
    </comment>
    <comment ref="B161" authorId="0" shapeId="0" xr:uid="{64343BA6-16D7-4CE7-A84D-2FE9536E35BA}">
      <text>
        <r>
          <rPr>
            <sz val="10"/>
            <color indexed="81"/>
            <rFont val="Lucida Console"/>
            <family val="3"/>
          </rPr>
          <t>DESCRIÇÃO DETALHADA_x000D_
PAPEL CREPOM - RL C/ 48 X 200 CM - ROSA</t>
        </r>
      </text>
    </comment>
    <comment ref="G161" authorId="0" shapeId="0" xr:uid="{4438E15E-7825-434C-9715-6518D70BC05D}">
      <text>
        <r>
          <rPr>
            <sz val="10"/>
            <color indexed="81"/>
            <rFont val="Lucida Console"/>
            <family val="3"/>
          </rPr>
          <t>_x000D_
Últ estimativa : 10.000_x000D_
Enviada em     : 19.12.2019_x000D_
Ata - Venc     : 143/21 - 20.05.2022</t>
        </r>
      </text>
    </comment>
    <comment ref="O161" authorId="0" shapeId="0" xr:uid="{FE0E33CF-9687-49DC-AF0E-86A1DD6A022E}">
      <text>
        <r>
          <rPr>
            <sz val="10"/>
            <color indexed="81"/>
            <rFont val="Lucida Console"/>
            <family val="3"/>
          </rPr>
          <t>_x000D_
Pertencia a ATA nº 143/21_x000D_
Estimativa de Renovação enviada em 19.12.2019 - Qtd 10.000_x000D_
PE  61/21 lote _x000D_
30.04.21 = Finalizado. Ata 143/20</t>
        </r>
      </text>
    </comment>
    <comment ref="W161" authorId="0" shapeId="0" xr:uid="{3E26A416-647F-4E44-B05F-19B023DE991A}">
      <text>
        <r>
          <rPr>
            <sz val="10"/>
            <color indexed="81"/>
            <rFont val="Lucida Console"/>
            <family val="3"/>
          </rPr>
          <t>_x000D_
Pedagógico</t>
        </r>
      </text>
    </comment>
    <comment ref="X161" authorId="0" shapeId="0" xr:uid="{7BEF4136-8E57-476C-B240-BCDFE8029E12}">
      <text>
        <r>
          <rPr>
            <sz val="10"/>
            <color indexed="81"/>
            <rFont val="Lucida Console"/>
            <family val="3"/>
          </rPr>
          <t>_x000D_
MAQ. E EQUIP. P/ IND. GRAFICA COMP. ACESS. E PAPEI</t>
        </r>
      </text>
    </comment>
    <comment ref="Y161" authorId="0" shapeId="0" xr:uid="{1718DFF4-A4FF-4343-ABB5-F3CB38E6CDA3}">
      <text>
        <r>
          <rPr>
            <sz val="10"/>
            <color indexed="81"/>
            <rFont val="Lucida Console"/>
            <family val="3"/>
          </rPr>
          <t>_x000D_
PAPEIS P/ EMBALAGEM E DECORATIVOS</t>
        </r>
      </text>
    </comment>
    <comment ref="AW161" authorId="0" shapeId="0" xr:uid="{0C95651F-6285-4D7C-9888-D2DBBDFF0682}">
      <text>
        <r>
          <rPr>
            <sz val="10"/>
            <color indexed="81"/>
            <rFont val="Lucida Console"/>
            <family val="3"/>
          </rPr>
          <t>Tempo de Estoque (Meses)_x000D_
_x000D_
1.315,0</t>
        </r>
      </text>
    </comment>
    <comment ref="A162" authorId="0" shapeId="0" xr:uid="{51F11156-093D-4345-A2BB-F52389C70ED7}">
      <text>
        <r>
          <rPr>
            <sz val="10"/>
            <color indexed="81"/>
            <rFont val="Lucida Console"/>
            <family val="3"/>
          </rPr>
          <t>_x000D_
23996</t>
        </r>
      </text>
    </comment>
    <comment ref="B162" authorId="0" shapeId="0" xr:uid="{40043B56-9AF9-479D-95EE-C721E70266FE}">
      <text>
        <r>
          <rPr>
            <sz val="10"/>
            <color indexed="81"/>
            <rFont val="Lucida Console"/>
            <family val="3"/>
          </rPr>
          <t>DESCRIÇÃO DETALHADA_x000D_
PAPEL CREPOM - RL C/ 48 X 200 CM - VERMELHO</t>
        </r>
      </text>
    </comment>
    <comment ref="G162" authorId="0" shapeId="0" xr:uid="{C8616FA0-7533-4A21-A67A-A033FBD7EE5E}">
      <text>
        <r>
          <rPr>
            <sz val="10"/>
            <color indexed="81"/>
            <rFont val="Lucida Console"/>
            <family val="3"/>
          </rPr>
          <t>_x000D_
Últ estimativa : 10.000_x000D_
Enviada em     : 19.12.2019_x000D_
Ata - Venc     : 143/21 - 20.05.2022</t>
        </r>
      </text>
    </comment>
    <comment ref="O162" authorId="0" shapeId="0" xr:uid="{E64A508A-F472-43CC-AD59-544D6D43C362}">
      <text>
        <r>
          <rPr>
            <sz val="10"/>
            <color indexed="81"/>
            <rFont val="Lucida Console"/>
            <family val="3"/>
          </rPr>
          <t>_x000D_
Pertencia a ATA nº 143/21_x000D_
Estimativa de Renovação enviada em 19.12.2019 - Qtd 10.000_x000D_
PE  61/21 lote _x000D_
30.04.21 = Finalizado. Ata 143/20</t>
        </r>
      </text>
    </comment>
    <comment ref="W162" authorId="0" shapeId="0" xr:uid="{FA6A969C-0153-4E4E-AA10-C63AB64D6FEB}">
      <text>
        <r>
          <rPr>
            <sz val="10"/>
            <color indexed="81"/>
            <rFont val="Lucida Console"/>
            <family val="3"/>
          </rPr>
          <t>_x000D_
Pedagógico</t>
        </r>
      </text>
    </comment>
    <comment ref="X162" authorId="0" shapeId="0" xr:uid="{D711EB19-1B5E-4848-97A2-ADCC2DA51D32}">
      <text>
        <r>
          <rPr>
            <sz val="10"/>
            <color indexed="81"/>
            <rFont val="Lucida Console"/>
            <family val="3"/>
          </rPr>
          <t>_x000D_
MAQ. E EQUIP. P/ IND. GRAFICA COMP. ACESS. E PAPEI</t>
        </r>
      </text>
    </comment>
    <comment ref="Y162" authorId="0" shapeId="0" xr:uid="{828C3E3A-17AB-46B6-9CEF-C63AAAA0B3CE}">
      <text>
        <r>
          <rPr>
            <sz val="10"/>
            <color indexed="81"/>
            <rFont val="Lucida Console"/>
            <family val="3"/>
          </rPr>
          <t>_x000D_
PAPEIS P/ EMBALAGEM E DECORATIVOS</t>
        </r>
      </text>
    </comment>
    <comment ref="AW162" authorId="0" shapeId="0" xr:uid="{518D009E-D1CC-4DD8-A75D-6578A7B41165}">
      <text>
        <r>
          <rPr>
            <sz val="10"/>
            <color indexed="81"/>
            <rFont val="Lucida Console"/>
            <family val="3"/>
          </rPr>
          <t>Tempo de Estoque (Meses)_x000D_
_x000D_
2.000,0</t>
        </r>
      </text>
    </comment>
    <comment ref="A163" authorId="0" shapeId="0" xr:uid="{8075CE78-DFDB-48FC-B198-6E05242CEC0E}">
      <text>
        <r>
          <rPr>
            <sz val="10"/>
            <color indexed="81"/>
            <rFont val="Lucida Console"/>
            <family val="3"/>
          </rPr>
          <t>_x000D_
24476</t>
        </r>
      </text>
    </comment>
    <comment ref="B163" authorId="0" shapeId="0" xr:uid="{9D6634B9-E3F6-4E54-A3E8-FD95FA039576}">
      <text>
        <r>
          <rPr>
            <sz val="10"/>
            <color indexed="81"/>
            <rFont val="Lucida Console"/>
            <family val="3"/>
          </rPr>
          <t>DESCRIÇÃO DETALHADA_x000D_
PAPEL CREPOM - RL C/ 48 X 200 CM - AZUL ESCURO</t>
        </r>
      </text>
    </comment>
    <comment ref="G163" authorId="0" shapeId="0" xr:uid="{728069BD-986B-440E-BA53-F8AE0675D0F4}">
      <text>
        <r>
          <rPr>
            <sz val="10"/>
            <color indexed="81"/>
            <rFont val="Lucida Console"/>
            <family val="3"/>
          </rPr>
          <t>_x000D_
Últ estimativa : 10.000_x000D_
Enviada em     : 19.12.2019_x000D_
Ata - Venc     : 143/21 - 20.05.2022</t>
        </r>
      </text>
    </comment>
    <comment ref="O163" authorId="0" shapeId="0" xr:uid="{1F999825-2BFA-4F91-9857-EC35A84287D7}">
      <text>
        <r>
          <rPr>
            <sz val="10"/>
            <color indexed="81"/>
            <rFont val="Lucida Console"/>
            <family val="3"/>
          </rPr>
          <t>_x000D_
Pertencia a ATA nº 143/21_x000D_
Estimativa de Renovação enviada em 19.12.2019 - Qtd 10.000_x000D_
PE  61/21 lote _x000D_
30.04.21 = Finalizado. Ata 143/20</t>
        </r>
      </text>
    </comment>
    <comment ref="W163" authorId="0" shapeId="0" xr:uid="{4E53EEC9-A595-4F67-8EEB-A4D303FCF49A}">
      <text>
        <r>
          <rPr>
            <sz val="10"/>
            <color indexed="81"/>
            <rFont val="Lucida Console"/>
            <family val="3"/>
          </rPr>
          <t>_x000D_
Pedagógico</t>
        </r>
      </text>
    </comment>
    <comment ref="X163" authorId="0" shapeId="0" xr:uid="{E7E5650F-6597-488E-A21F-F9DF7643993C}">
      <text>
        <r>
          <rPr>
            <sz val="10"/>
            <color indexed="81"/>
            <rFont val="Lucida Console"/>
            <family val="3"/>
          </rPr>
          <t>_x000D_
MAQ. E EQUIP. P/ IND. GRAFICA COMP. ACESS. E PAPEI</t>
        </r>
      </text>
    </comment>
    <comment ref="Y163" authorId="0" shapeId="0" xr:uid="{BB06B7FB-7A41-435C-A1C4-BF523F711F6C}">
      <text>
        <r>
          <rPr>
            <sz val="10"/>
            <color indexed="81"/>
            <rFont val="Lucida Console"/>
            <family val="3"/>
          </rPr>
          <t>_x000D_
PAPEIS P/ EMBALAGEM E DECORATIVOS</t>
        </r>
      </text>
    </comment>
    <comment ref="AW163" authorId="0" shapeId="0" xr:uid="{AC328FA9-7EEC-4362-8B95-3D4DD78C6F58}">
      <text>
        <r>
          <rPr>
            <sz val="10"/>
            <color indexed="81"/>
            <rFont val="Lucida Console"/>
            <family val="3"/>
          </rPr>
          <t>Tempo de Estoque (Meses)_x000D_
_x000D_
2.000,0</t>
        </r>
      </text>
    </comment>
    <comment ref="A164" authorId="0" shapeId="0" xr:uid="{59754689-174D-4248-99AB-31779F73049B}">
      <text>
        <r>
          <rPr>
            <sz val="10"/>
            <color indexed="81"/>
            <rFont val="Lucida Console"/>
            <family val="3"/>
          </rPr>
          <t>_x000D_
24477</t>
        </r>
      </text>
    </comment>
    <comment ref="B164" authorId="0" shapeId="0" xr:uid="{B30485B3-A3C2-482B-B845-35B441825955}">
      <text>
        <r>
          <rPr>
            <sz val="10"/>
            <color indexed="81"/>
            <rFont val="Lucida Console"/>
            <family val="3"/>
          </rPr>
          <t>DESCRIÇÃO DETALHADA_x000D_
PAPEL CREPOM - RL C/ 48 X 200 CM - VERDE ESCURO</t>
        </r>
      </text>
    </comment>
    <comment ref="G164" authorId="0" shapeId="0" xr:uid="{2DB9CC43-F576-4C95-A39B-CEF471D2C4B8}">
      <text>
        <r>
          <rPr>
            <sz val="10"/>
            <color indexed="81"/>
            <rFont val="Lucida Console"/>
            <family val="3"/>
          </rPr>
          <t>_x000D_
Últ estimativa : 10.000_x000D_
Enviada em     : 19.12.2019_x000D_
Ata - Venc     : 143/21 - 20.05.2022</t>
        </r>
      </text>
    </comment>
    <comment ref="O164" authorId="0" shapeId="0" xr:uid="{79DEAAFE-647E-4E6F-B113-F40806083868}">
      <text>
        <r>
          <rPr>
            <sz val="10"/>
            <color indexed="81"/>
            <rFont val="Lucida Console"/>
            <family val="3"/>
          </rPr>
          <t>_x000D_
Pertencia a ATA nº 143/21_x000D_
Estimativa de Renovação enviada em 19.12.2019 - Qtd 10.000_x000D_
PE  61/21 lote _x000D_
30.04.21 = Finalizado. Ata 143/20</t>
        </r>
      </text>
    </comment>
    <comment ref="W164" authorId="0" shapeId="0" xr:uid="{8431010D-27D5-4FE5-98C7-45D96E81B311}">
      <text>
        <r>
          <rPr>
            <sz val="10"/>
            <color indexed="81"/>
            <rFont val="Lucida Console"/>
            <family val="3"/>
          </rPr>
          <t>_x000D_
Pedagógico</t>
        </r>
      </text>
    </comment>
    <comment ref="X164" authorId="0" shapeId="0" xr:uid="{53CF9391-6EE5-462C-AE78-4C690A869830}">
      <text>
        <r>
          <rPr>
            <sz val="10"/>
            <color indexed="81"/>
            <rFont val="Lucida Console"/>
            <family val="3"/>
          </rPr>
          <t>_x000D_
MAQ. E EQUIP. P/ IND. GRAFICA COMP. ACESS. E PAPEI</t>
        </r>
      </text>
    </comment>
    <comment ref="Y164" authorId="0" shapeId="0" xr:uid="{EA95D5F9-3F8C-4005-8CF2-FC9CFA93D62C}">
      <text>
        <r>
          <rPr>
            <sz val="10"/>
            <color indexed="81"/>
            <rFont val="Lucida Console"/>
            <family val="3"/>
          </rPr>
          <t>_x000D_
PAPEIS P/ EMBALAGEM E DECORATIVOS</t>
        </r>
      </text>
    </comment>
    <comment ref="AW164" authorId="0" shapeId="0" xr:uid="{C237FDB7-B404-4C5B-AEA9-25B8C8E8C2B4}">
      <text>
        <r>
          <rPr>
            <sz val="10"/>
            <color indexed="81"/>
            <rFont val="Lucida Console"/>
            <family val="3"/>
          </rPr>
          <t>Tempo de Estoque (Meses)_x000D_
_x000D_
1.400,0</t>
        </r>
      </text>
    </comment>
    <comment ref="A165" authorId="0" shapeId="0" xr:uid="{0F990FAC-3BC5-4DE6-BC1F-5E18D1E7EE86}">
      <text>
        <r>
          <rPr>
            <sz val="10"/>
            <color indexed="81"/>
            <rFont val="Lucida Console"/>
            <family val="3"/>
          </rPr>
          <t>_x000D_
25559</t>
        </r>
      </text>
    </comment>
    <comment ref="B165" authorId="0" shapeId="0" xr:uid="{851B0E9F-37A4-4771-A985-E9EA7970C5AE}">
      <text>
        <r>
          <rPr>
            <sz val="10"/>
            <color indexed="81"/>
            <rFont val="Lucida Console"/>
            <family val="3"/>
          </rPr>
          <t>DESCRIÇÃO DETALHADA_x000D_
PAPEL LAMINADO - 50 X 60 CM - DOURADO - AS MEDIDAS PODERAO VARIAR +/- 5 CM</t>
        </r>
      </text>
    </comment>
    <comment ref="G165" authorId="0" shapeId="0" xr:uid="{584440AC-2E8C-4AFD-BAF7-AE1A64E4AC9E}">
      <text>
        <r>
          <rPr>
            <sz val="10"/>
            <color indexed="81"/>
            <rFont val="Lucida Console"/>
            <family val="3"/>
          </rPr>
          <t>_x000D_
Últ estimativa : 10.000_x000D_
Enviada em     : 19.12.2019_x000D_
Ata - Venc     : 143/21 - 20.05.2022</t>
        </r>
      </text>
    </comment>
    <comment ref="O165" authorId="0" shapeId="0" xr:uid="{E2A7E55D-A219-4EBD-A156-9C6101B28333}">
      <text>
        <r>
          <rPr>
            <sz val="10"/>
            <color indexed="81"/>
            <rFont val="Lucida Console"/>
            <family val="3"/>
          </rPr>
          <t>_x000D_
Pertencia a ATA nº 143/21_x000D_
Estimativa de Renovação enviada em 19.12.2019 - Qtd 10.000_x000D_
PE  61/21 lote _x000D_
30.04.21 = Finalizado. Ata 143/20</t>
        </r>
      </text>
    </comment>
    <comment ref="W165" authorId="0" shapeId="0" xr:uid="{752CB26A-CF32-4EBB-9284-053281821836}">
      <text>
        <r>
          <rPr>
            <sz val="10"/>
            <color indexed="81"/>
            <rFont val="Lucida Console"/>
            <family val="3"/>
          </rPr>
          <t>_x000D_
Pedagógico</t>
        </r>
      </text>
    </comment>
    <comment ref="X165" authorId="0" shapeId="0" xr:uid="{B698FDC7-975B-4FB4-A30B-B15D49703DAA}">
      <text>
        <r>
          <rPr>
            <sz val="10"/>
            <color indexed="81"/>
            <rFont val="Lucida Console"/>
            <family val="3"/>
          </rPr>
          <t>_x000D_
MAQ. E EQUIP. P/ IND. GRAFICA COMP. ACESS. E PAPEI</t>
        </r>
      </text>
    </comment>
    <comment ref="Y165" authorId="0" shapeId="0" xr:uid="{1481D783-3174-453F-AC8B-A9FAB4BD525C}">
      <text>
        <r>
          <rPr>
            <sz val="10"/>
            <color indexed="81"/>
            <rFont val="Lucida Console"/>
            <family val="3"/>
          </rPr>
          <t>_x000D_
PAPEIS P/ EMBALAGEM E DECORATIVOS</t>
        </r>
      </text>
    </comment>
    <comment ref="AW165" authorId="0" shapeId="0" xr:uid="{D7289D14-5794-4751-A7E0-16B750CADEDF}">
      <text>
        <r>
          <rPr>
            <sz val="10"/>
            <color indexed="81"/>
            <rFont val="Lucida Console"/>
            <family val="3"/>
          </rPr>
          <t>Tempo de Estoque (Meses)_x000D_
_x000D_
3.611,0</t>
        </r>
      </text>
    </comment>
    <comment ref="A166" authorId="0" shapeId="0" xr:uid="{2E8B1E63-A171-4675-AE95-F5B27A62CB84}">
      <text>
        <r>
          <rPr>
            <sz val="10"/>
            <color indexed="81"/>
            <rFont val="Lucida Console"/>
            <family val="3"/>
          </rPr>
          <t>_x000D_
27137</t>
        </r>
      </text>
    </comment>
    <comment ref="B166" authorId="0" shapeId="0" xr:uid="{D9DCB990-245A-4038-8EFB-090BF57115FC}">
      <text>
        <r>
          <rPr>
            <sz val="10"/>
            <color indexed="81"/>
            <rFont val="Lucida Console"/>
            <family val="3"/>
          </rPr>
          <t>DESCRIÇÃO DETALHADA_x000D_
PAPEL LAMINADO - 50 X 60 CM - VERDE</t>
        </r>
      </text>
    </comment>
    <comment ref="G166" authorId="0" shapeId="0" xr:uid="{FB372D20-29AA-4B42-857C-0ED52E6DD474}">
      <text>
        <r>
          <rPr>
            <sz val="10"/>
            <color indexed="81"/>
            <rFont val="Lucida Console"/>
            <family val="3"/>
          </rPr>
          <t>_x000D_
Últ estimativa : 10.000_x000D_
Enviada em     : 19.12.2019_x000D_
Ata - Venc     : 143/21 - 20.05.2022</t>
        </r>
      </text>
    </comment>
    <comment ref="O166" authorId="0" shapeId="0" xr:uid="{C93A428A-A767-4729-9F6E-1D3EC9115D75}">
      <text>
        <r>
          <rPr>
            <sz val="10"/>
            <color indexed="81"/>
            <rFont val="Lucida Console"/>
            <family val="3"/>
          </rPr>
          <t>_x000D_
Pertencia a ATA nº 143/21_x000D_
Estimativa de Renovação enviada em 19.12.2019 - Qtd 10.000_x000D_
PE  61/21 lote _x000D_
30.04.21 = Finalizado. Ata 143/20</t>
        </r>
      </text>
    </comment>
    <comment ref="W166" authorId="0" shapeId="0" xr:uid="{72E7B448-2AE5-4F0F-84D2-9CEE6EB3B8D1}">
      <text>
        <r>
          <rPr>
            <sz val="10"/>
            <color indexed="81"/>
            <rFont val="Lucida Console"/>
            <family val="3"/>
          </rPr>
          <t>_x000D_
Pedagógico</t>
        </r>
      </text>
    </comment>
    <comment ref="X166" authorId="0" shapeId="0" xr:uid="{CE5093D4-773B-44C5-A4B2-C5FAAD18A4B6}">
      <text>
        <r>
          <rPr>
            <sz val="10"/>
            <color indexed="81"/>
            <rFont val="Lucida Console"/>
            <family val="3"/>
          </rPr>
          <t>_x000D_
MAQ. E EQUIP. P/ IND. GRAFICA COMP. ACESS. E PAPEI</t>
        </r>
      </text>
    </comment>
    <comment ref="Y166" authorId="0" shapeId="0" xr:uid="{9F4D34D0-FF7F-441A-8BD3-5507BF0ED73F}">
      <text>
        <r>
          <rPr>
            <sz val="10"/>
            <color indexed="81"/>
            <rFont val="Lucida Console"/>
            <family val="3"/>
          </rPr>
          <t>_x000D_
PAPEIS P/ EMBALAGEM E DECORATIVOS</t>
        </r>
      </text>
    </comment>
    <comment ref="AW166" authorId="0" shapeId="0" xr:uid="{99D1378E-AB99-45D1-A003-2342BE893CA9}">
      <text>
        <r>
          <rPr>
            <sz val="10"/>
            <color indexed="81"/>
            <rFont val="Lucida Console"/>
            <family val="3"/>
          </rPr>
          <t>Tempo de Estoque (Meses)_x000D_
_x000D_
8.585,0</t>
        </r>
      </text>
    </comment>
    <comment ref="A167" authorId="0" shapeId="0" xr:uid="{40BE926E-BC32-4694-94A9-0339E48EA0D8}">
      <text>
        <r>
          <rPr>
            <sz val="10"/>
            <color indexed="81"/>
            <rFont val="Lucida Console"/>
            <family val="3"/>
          </rPr>
          <t>_x000D_
27138</t>
        </r>
      </text>
    </comment>
    <comment ref="B167" authorId="0" shapeId="0" xr:uid="{DCF702EF-3AE8-4BFC-A92F-DAB0F3EA00E4}">
      <text>
        <r>
          <rPr>
            <sz val="10"/>
            <color indexed="81"/>
            <rFont val="Lucida Console"/>
            <family val="3"/>
          </rPr>
          <t>DESCRIÇÃO DETALHADA_x000D_
PAPEL LAMINADO - 50 X 60 CM - AZUL</t>
        </r>
      </text>
    </comment>
    <comment ref="G167" authorId="0" shapeId="0" xr:uid="{EA0766E1-6214-48EB-BB42-B79DF708A9EF}">
      <text>
        <r>
          <rPr>
            <sz val="10"/>
            <color indexed="81"/>
            <rFont val="Lucida Console"/>
            <family val="3"/>
          </rPr>
          <t>_x000D_
Últ estimativa : 10.000_x000D_
Enviada em     : 19.12.2019_x000D_
Ata - Venc     : 143/21 - 20.05.2022</t>
        </r>
      </text>
    </comment>
    <comment ref="O167" authorId="0" shapeId="0" xr:uid="{9FB10609-7BE5-4468-8629-0D17E36C18A0}">
      <text>
        <r>
          <rPr>
            <sz val="10"/>
            <color indexed="81"/>
            <rFont val="Lucida Console"/>
            <family val="3"/>
          </rPr>
          <t>_x000D_
Pertencia a ATA nº 143/21_x000D_
Estimativa de Renovação enviada em 19.12.2019 - Qtd 10.000_x000D_
PE  61/21 lote _x000D_
30.04.21 = Finalizado. Ata 143/20</t>
        </r>
      </text>
    </comment>
    <comment ref="W167" authorId="0" shapeId="0" xr:uid="{11FAA3BD-DA10-4623-9487-5473DCB5F81F}">
      <text>
        <r>
          <rPr>
            <sz val="10"/>
            <color indexed="81"/>
            <rFont val="Lucida Console"/>
            <family val="3"/>
          </rPr>
          <t>_x000D_
Pedagógico</t>
        </r>
      </text>
    </comment>
    <comment ref="X167" authorId="0" shapeId="0" xr:uid="{BE4EF7D9-442E-4477-8DC4-4140536D2F98}">
      <text>
        <r>
          <rPr>
            <sz val="10"/>
            <color indexed="81"/>
            <rFont val="Lucida Console"/>
            <family val="3"/>
          </rPr>
          <t>_x000D_
MAQ. E EQUIP. P/ IND. GRAFICA COMP. ACESS. E PAPEI</t>
        </r>
      </text>
    </comment>
    <comment ref="Y167" authorId="0" shapeId="0" xr:uid="{6302E5F4-B0E1-4DFB-B22C-8FB00752A1E0}">
      <text>
        <r>
          <rPr>
            <sz val="10"/>
            <color indexed="81"/>
            <rFont val="Lucida Console"/>
            <family val="3"/>
          </rPr>
          <t>_x000D_
PAPEIS P/ EMBALAGEM E DECORATIVOS</t>
        </r>
      </text>
    </comment>
    <comment ref="AW167" authorId="0" shapeId="0" xr:uid="{43B68447-06DC-43FD-8523-9A28D2A87766}">
      <text>
        <r>
          <rPr>
            <sz val="10"/>
            <color indexed="81"/>
            <rFont val="Lucida Console"/>
            <family val="3"/>
          </rPr>
          <t>Tempo de Estoque (Meses)_x000D_
_x000D_
7.416,0</t>
        </r>
      </text>
    </comment>
    <comment ref="A168" authorId="0" shapeId="0" xr:uid="{CD835C01-FF32-4C10-92D6-5582EEC5EA2B}">
      <text>
        <r>
          <rPr>
            <sz val="10"/>
            <color indexed="81"/>
            <rFont val="Lucida Console"/>
            <family val="3"/>
          </rPr>
          <t>_x000D_
27139</t>
        </r>
      </text>
    </comment>
    <comment ref="B168" authorId="0" shapeId="0" xr:uid="{32AB9536-6C67-4EEC-8EB7-760AE6A07B68}">
      <text>
        <r>
          <rPr>
            <sz val="10"/>
            <color indexed="81"/>
            <rFont val="Lucida Console"/>
            <family val="3"/>
          </rPr>
          <t>DESCRIÇÃO DETALHADA_x000D_
PAPEL LAMINADO - 50 X 60 CM - VERMELHO (VARIACAO +/- 05 CM)</t>
        </r>
      </text>
    </comment>
    <comment ref="G168" authorId="0" shapeId="0" xr:uid="{4A4914BE-F519-40AE-8E03-A301636E04D2}">
      <text>
        <r>
          <rPr>
            <sz val="10"/>
            <color indexed="81"/>
            <rFont val="Lucida Console"/>
            <family val="3"/>
          </rPr>
          <t>_x000D_
Últ estimativa : 10.000_x000D_
Enviada em     : 19.12.2019_x000D_
Ata - Venc     : 143/21 - 20.05.2022</t>
        </r>
      </text>
    </comment>
    <comment ref="O168" authorId="0" shapeId="0" xr:uid="{7B0801EF-D76E-48D7-BF85-D35B3DECAC11}">
      <text>
        <r>
          <rPr>
            <sz val="10"/>
            <color indexed="81"/>
            <rFont val="Lucida Console"/>
            <family val="3"/>
          </rPr>
          <t>_x000D_
Pertencia a ATA nº 143/21_x000D_
Estimativa de Renovação enviada em 19.12.2019 - Qtd 10.000_x000D_
PE  61/21 lote _x000D_
30.04.21 = Finalizado. Ata 143/20</t>
        </r>
      </text>
    </comment>
    <comment ref="W168" authorId="0" shapeId="0" xr:uid="{64317DCA-5957-4968-B4A4-5F6FCF2A0C8F}">
      <text>
        <r>
          <rPr>
            <sz val="10"/>
            <color indexed="81"/>
            <rFont val="Lucida Console"/>
            <family val="3"/>
          </rPr>
          <t>_x000D_
Pedagógico</t>
        </r>
      </text>
    </comment>
    <comment ref="X168" authorId="0" shapeId="0" xr:uid="{FD8FB483-9138-4DF1-B273-CE624EB221DC}">
      <text>
        <r>
          <rPr>
            <sz val="10"/>
            <color indexed="81"/>
            <rFont val="Lucida Console"/>
            <family val="3"/>
          </rPr>
          <t>_x000D_
MAQ. E EQUIP. P/ IND. GRAFICA COMP. ACESS. E PAPEI</t>
        </r>
      </text>
    </comment>
    <comment ref="Y168" authorId="0" shapeId="0" xr:uid="{DA4E9421-52C4-4679-AFE8-6B085E4E4C10}">
      <text>
        <r>
          <rPr>
            <sz val="10"/>
            <color indexed="81"/>
            <rFont val="Lucida Console"/>
            <family val="3"/>
          </rPr>
          <t>_x000D_
PAPEIS P/ EMBALAGEM E DECORATIVOS</t>
        </r>
      </text>
    </comment>
    <comment ref="AW168" authorId="0" shapeId="0" xr:uid="{A349EB68-6A04-4D95-98CD-9A998A4FC98B}">
      <text>
        <r>
          <rPr>
            <sz val="10"/>
            <color indexed="81"/>
            <rFont val="Lucida Console"/>
            <family val="3"/>
          </rPr>
          <t>Tempo de Estoque (Meses)_x000D_
_x000D_
7.253,0</t>
        </r>
      </text>
    </comment>
    <comment ref="A169" authorId="0" shapeId="0" xr:uid="{A6E63DE5-A626-4FBE-A20D-C313E20EB960}">
      <text>
        <r>
          <rPr>
            <sz val="10"/>
            <color indexed="81"/>
            <rFont val="Lucida Console"/>
            <family val="3"/>
          </rPr>
          <t>_x000D_
27140</t>
        </r>
      </text>
    </comment>
    <comment ref="B169" authorId="0" shapeId="0" xr:uid="{EE39442D-6B3C-4894-8FE3-A13ECE770DAA}">
      <text>
        <r>
          <rPr>
            <sz val="10"/>
            <color indexed="81"/>
            <rFont val="Lucida Console"/>
            <family val="3"/>
          </rPr>
          <t>DESCRIÇÃO DETALHADA_x000D_
PAPEL LAMINADO - 50 X 60 CM - PRATA</t>
        </r>
      </text>
    </comment>
    <comment ref="G169" authorId="0" shapeId="0" xr:uid="{22353083-CDC7-4623-9FB9-C817CB2C2557}">
      <text>
        <r>
          <rPr>
            <sz val="10"/>
            <color indexed="81"/>
            <rFont val="Lucida Console"/>
            <family val="3"/>
          </rPr>
          <t>_x000D_
Últ estimativa : 10.000_x000D_
Enviada em     : 19.12.2019_x000D_
Ata - Venc     : 143/21 - 20.05.2022</t>
        </r>
      </text>
    </comment>
    <comment ref="O169" authorId="0" shapeId="0" xr:uid="{5B8D21B6-2DBB-442E-8ACE-75E72238329F}">
      <text>
        <r>
          <rPr>
            <sz val="10"/>
            <color indexed="81"/>
            <rFont val="Lucida Console"/>
            <family val="3"/>
          </rPr>
          <t>_x000D_
Pertencia a ATA nº 143/21_x000D_
Estimativa de Renovação enviada em 19.12.2019 - Qtd 10.000_x000D_
PE  61/21 lote _x000D_
30.04.21 = Finalizado. Ata 143/20</t>
        </r>
      </text>
    </comment>
    <comment ref="W169" authorId="0" shapeId="0" xr:uid="{761FBD20-EA0F-45EA-A036-B8726C0116A0}">
      <text>
        <r>
          <rPr>
            <sz val="10"/>
            <color indexed="81"/>
            <rFont val="Lucida Console"/>
            <family val="3"/>
          </rPr>
          <t>_x000D_
Pedagógico</t>
        </r>
      </text>
    </comment>
    <comment ref="X169" authorId="0" shapeId="0" xr:uid="{626AF386-1BAB-4A7F-8A84-681C25827185}">
      <text>
        <r>
          <rPr>
            <sz val="10"/>
            <color indexed="81"/>
            <rFont val="Lucida Console"/>
            <family val="3"/>
          </rPr>
          <t>_x000D_
MAQ. E EQUIP. P/ IND. GRAFICA COMP. ACESS. E PAPEI</t>
        </r>
      </text>
    </comment>
    <comment ref="Y169" authorId="0" shapeId="0" xr:uid="{18AF82DE-717F-44BD-8856-CA6F01E5184E}">
      <text>
        <r>
          <rPr>
            <sz val="10"/>
            <color indexed="81"/>
            <rFont val="Lucida Console"/>
            <family val="3"/>
          </rPr>
          <t>_x000D_
PAPEIS P/ EMBALAGEM E DECORATIVOS</t>
        </r>
      </text>
    </comment>
    <comment ref="AW169" authorId="0" shapeId="0" xr:uid="{11B521AE-7411-4755-977A-34600B33CACC}">
      <text>
        <r>
          <rPr>
            <sz val="10"/>
            <color indexed="81"/>
            <rFont val="Lucida Console"/>
            <family val="3"/>
          </rPr>
          <t>Tempo de Estoque (Meses)_x000D_
_x000D_
3.434,0</t>
        </r>
      </text>
    </comment>
    <comment ref="A170" authorId="0" shapeId="0" xr:uid="{DB6104E9-F28E-4F01-A7AD-256948CD782C}">
      <text>
        <r>
          <rPr>
            <sz val="10"/>
            <color indexed="81"/>
            <rFont val="Lucida Console"/>
            <family val="3"/>
          </rPr>
          <t>_x000D_
93325</t>
        </r>
      </text>
    </comment>
    <comment ref="B170" authorId="0" shapeId="0" xr:uid="{58E5DAF6-9F4D-43C1-A401-F3CF86BEAF77}">
      <text>
        <r>
          <rPr>
            <sz val="10"/>
            <color indexed="81"/>
            <rFont val="Lucida Console"/>
            <family val="3"/>
          </rPr>
          <t>DESCRIÇÃO DETALHADA_x000D_
PAPEL DE SEDA - 48 X 60 CM - AMARELO</t>
        </r>
      </text>
    </comment>
    <comment ref="G170" authorId="0" shapeId="0" xr:uid="{C225C4B7-CA67-4F77-B3B1-95F6F4FBE621}">
      <text>
        <r>
          <rPr>
            <sz val="10"/>
            <color indexed="81"/>
            <rFont val="Lucida Console"/>
            <family val="3"/>
          </rPr>
          <t>_x000D_
Últ estimativa : 10.000_x000D_
Enviada em     : 19.12.2019_x000D_
Ata - Venc     : 143/21 - 20.05.2022</t>
        </r>
      </text>
    </comment>
    <comment ref="O170" authorId="0" shapeId="0" xr:uid="{7C3A9756-41D3-4F57-B797-7F975146BFD2}">
      <text>
        <r>
          <rPr>
            <sz val="10"/>
            <color indexed="81"/>
            <rFont val="Lucida Console"/>
            <family val="3"/>
          </rPr>
          <t>_x000D_
Pertencia a ATA nº 143/21_x000D_
Estimativa de Renovação enviada em 19.12.2019 - Qtd 10.000_x000D_
PE  61/21 lote _x000D_
30.04.21 = Finalizado. Ata 143/20</t>
        </r>
      </text>
    </comment>
    <comment ref="W170" authorId="0" shapeId="0" xr:uid="{35306394-526A-4DE3-AEFF-09830213C19A}">
      <text>
        <r>
          <rPr>
            <sz val="10"/>
            <color indexed="81"/>
            <rFont val="Lucida Console"/>
            <family val="3"/>
          </rPr>
          <t>_x000D_
Pedagógico</t>
        </r>
      </text>
    </comment>
    <comment ref="X170" authorId="0" shapeId="0" xr:uid="{5BF8549D-684A-4ADF-958B-0B360CE7B111}">
      <text>
        <r>
          <rPr>
            <sz val="10"/>
            <color indexed="81"/>
            <rFont val="Lucida Console"/>
            <family val="3"/>
          </rPr>
          <t>_x000D_
MAQ. E EQUIP. P/ IND. GRAFICA COMP. ACESS. E PAPEI</t>
        </r>
      </text>
    </comment>
    <comment ref="Y170" authorId="0" shapeId="0" xr:uid="{D2C3D97B-5676-4B98-ACB0-D0C3B6C352B9}">
      <text>
        <r>
          <rPr>
            <sz val="10"/>
            <color indexed="81"/>
            <rFont val="Lucida Console"/>
            <family val="3"/>
          </rPr>
          <t>_x000D_
PAPEIS P/ EMBALAGEM E DECORATIVOS</t>
        </r>
      </text>
    </comment>
    <comment ref="AW170" authorId="0" shapeId="0" xr:uid="{5BE599D6-AD17-4D19-9FF5-FF21D49F4E47}">
      <text>
        <r>
          <rPr>
            <sz val="10"/>
            <color indexed="81"/>
            <rFont val="Lucida Console"/>
            <family val="3"/>
          </rPr>
          <t>Tempo de Estoque (Meses)_x000D_
_x000D_
1.700,0</t>
        </r>
      </text>
    </comment>
    <comment ref="A171" authorId="0" shapeId="0" xr:uid="{B4ABCC29-C364-4B0A-B5A5-E3B72A682C11}">
      <text>
        <r>
          <rPr>
            <sz val="10"/>
            <color indexed="81"/>
            <rFont val="Lucida Console"/>
            <family val="3"/>
          </rPr>
          <t>_x000D_
93327</t>
        </r>
      </text>
    </comment>
    <comment ref="B171" authorId="0" shapeId="0" xr:uid="{062AD578-BF39-40DD-9D02-A3B21B7B1A64}">
      <text>
        <r>
          <rPr>
            <sz val="10"/>
            <color indexed="81"/>
            <rFont val="Lucida Console"/>
            <family val="3"/>
          </rPr>
          <t>DESCRIÇÃO DETALHADA_x000D_
PAPEL DE SEDA - 48 X 60 CM - AZUL ESCURO</t>
        </r>
      </text>
    </comment>
    <comment ref="G171" authorId="0" shapeId="0" xr:uid="{6A9A1B9F-61F8-4E3D-92E5-164B1C8AC809}">
      <text>
        <r>
          <rPr>
            <sz val="10"/>
            <color indexed="81"/>
            <rFont val="Lucida Console"/>
            <family val="3"/>
          </rPr>
          <t>_x000D_
Últ estimativa : 10.000_x000D_
Enviada em     : 19.12.2019_x000D_
Ata - Venc     : 143/21 - 20.05.2022</t>
        </r>
      </text>
    </comment>
    <comment ref="O171" authorId="0" shapeId="0" xr:uid="{DE995BC1-12B0-407B-8835-B6660067BF46}">
      <text>
        <r>
          <rPr>
            <sz val="10"/>
            <color indexed="81"/>
            <rFont val="Lucida Console"/>
            <family val="3"/>
          </rPr>
          <t>_x000D_
Pertencia a ATA nº 143/21_x000D_
Estimativa de Renovação enviada em 19.12.2019 - Qtd 10.000_x000D_
PE  61/21 lote _x000D_
30.04.21 = Finalizado. Ata 143/20</t>
        </r>
      </text>
    </comment>
    <comment ref="W171" authorId="0" shapeId="0" xr:uid="{846A6558-16AD-46BA-9FEC-81D64B56AAA5}">
      <text>
        <r>
          <rPr>
            <sz val="10"/>
            <color indexed="81"/>
            <rFont val="Lucida Console"/>
            <family val="3"/>
          </rPr>
          <t>_x000D_
Pedagógico</t>
        </r>
      </text>
    </comment>
    <comment ref="X171" authorId="0" shapeId="0" xr:uid="{1FFA158B-77D7-49DF-8E31-137239B2DA20}">
      <text>
        <r>
          <rPr>
            <sz val="10"/>
            <color indexed="81"/>
            <rFont val="Lucida Console"/>
            <family val="3"/>
          </rPr>
          <t>_x000D_
MAQ. E EQUIP. P/ IND. GRAFICA COMP. ACESS. E PAPEI</t>
        </r>
      </text>
    </comment>
    <comment ref="Y171" authorId="0" shapeId="0" xr:uid="{E9AE0F28-9B45-47FA-B29A-39BAB34342C0}">
      <text>
        <r>
          <rPr>
            <sz val="10"/>
            <color indexed="81"/>
            <rFont val="Lucida Console"/>
            <family val="3"/>
          </rPr>
          <t>_x000D_
PAPEIS P/ EMBALAGEM E DECORATIVOS</t>
        </r>
      </text>
    </comment>
    <comment ref="AW171" authorId="0" shapeId="0" xr:uid="{2CC01E81-C651-4BBC-89F3-98BF937FF840}">
      <text>
        <r>
          <rPr>
            <sz val="10"/>
            <color indexed="81"/>
            <rFont val="Lucida Console"/>
            <family val="3"/>
          </rPr>
          <t>Tempo de Estoque (Meses)_x000D_
_x000D_
1.700,0</t>
        </r>
      </text>
    </comment>
    <comment ref="A172" authorId="0" shapeId="0" xr:uid="{136C6F30-CDED-4824-A7E7-DC81A4B0A6DB}">
      <text>
        <r>
          <rPr>
            <sz val="10"/>
            <color indexed="81"/>
            <rFont val="Lucida Console"/>
            <family val="3"/>
          </rPr>
          <t>_x000D_
93329</t>
        </r>
      </text>
    </comment>
    <comment ref="B172" authorId="0" shapeId="0" xr:uid="{D118D0F1-E52A-44CF-A6F5-113DF7F19F80}">
      <text>
        <r>
          <rPr>
            <sz val="10"/>
            <color indexed="81"/>
            <rFont val="Lucida Console"/>
            <family val="3"/>
          </rPr>
          <t>DESCRIÇÃO DETALHADA_x000D_
PAPEL DE SEDA - 48 X 60 CM - LARANJA</t>
        </r>
      </text>
    </comment>
    <comment ref="G172" authorId="0" shapeId="0" xr:uid="{870F8316-AE9B-431E-AF4C-5E007C3136D5}">
      <text>
        <r>
          <rPr>
            <sz val="10"/>
            <color indexed="81"/>
            <rFont val="Lucida Console"/>
            <family val="3"/>
          </rPr>
          <t>_x000D_
Últ estimativa : 10.000_x000D_
Enviada em     : 19.12.2019_x000D_
Ata - Venc     : 143/21 - 20.05.2022</t>
        </r>
      </text>
    </comment>
    <comment ref="O172" authorId="0" shapeId="0" xr:uid="{BE9C02DC-3B5C-4034-B4BF-999FE9D41ADD}">
      <text>
        <r>
          <rPr>
            <sz val="10"/>
            <color indexed="81"/>
            <rFont val="Lucida Console"/>
            <family val="3"/>
          </rPr>
          <t>_x000D_
Pertencia a ATA nº 143/21_x000D_
Estimativa de Renovação enviada em 19.12.2019 - Qtd 10.000_x000D_
PE  61/21 lote _x000D_
30.04.21 = Finalizado. Ata 143/20</t>
        </r>
      </text>
    </comment>
    <comment ref="W172" authorId="0" shapeId="0" xr:uid="{0D623D1A-A123-4E7F-8192-B8054807594B}">
      <text>
        <r>
          <rPr>
            <sz val="10"/>
            <color indexed="81"/>
            <rFont val="Lucida Console"/>
            <family val="3"/>
          </rPr>
          <t>_x000D_
Pedagógico</t>
        </r>
      </text>
    </comment>
    <comment ref="X172" authorId="0" shapeId="0" xr:uid="{FDBC959E-9DD3-4BAF-A697-500C5EB7979D}">
      <text>
        <r>
          <rPr>
            <sz val="10"/>
            <color indexed="81"/>
            <rFont val="Lucida Console"/>
            <family val="3"/>
          </rPr>
          <t>_x000D_
MAQ. E EQUIP. P/ IND. GRAFICA COMP. ACESS. E PAPEI</t>
        </r>
      </text>
    </comment>
    <comment ref="Y172" authorId="0" shapeId="0" xr:uid="{171663B1-DC2A-4AD5-90EF-5201A42FA879}">
      <text>
        <r>
          <rPr>
            <sz val="10"/>
            <color indexed="81"/>
            <rFont val="Lucida Console"/>
            <family val="3"/>
          </rPr>
          <t>_x000D_
PAPEIS P/ EMBALAGEM E DECORATIVOS</t>
        </r>
      </text>
    </comment>
    <comment ref="AW172" authorId="0" shapeId="0" xr:uid="{D94CBE89-D24A-4A75-9A14-2A2AADC5E51D}">
      <text>
        <r>
          <rPr>
            <sz val="10"/>
            <color indexed="81"/>
            <rFont val="Lucida Console"/>
            <family val="3"/>
          </rPr>
          <t>Tempo de Estoque (Meses)_x000D_
_x000D_
2.000,0</t>
        </r>
      </text>
    </comment>
    <comment ref="A173" authorId="0" shapeId="0" xr:uid="{4EC4893C-E713-429F-A831-B23B7D8ECB10}">
      <text>
        <r>
          <rPr>
            <sz val="10"/>
            <color indexed="81"/>
            <rFont val="Lucida Console"/>
            <family val="3"/>
          </rPr>
          <t>_x000D_
93332</t>
        </r>
      </text>
    </comment>
    <comment ref="B173" authorId="0" shapeId="0" xr:uid="{845AA134-E0B0-40CE-B8C4-41BC7E3AD6D0}">
      <text>
        <r>
          <rPr>
            <sz val="10"/>
            <color indexed="81"/>
            <rFont val="Lucida Console"/>
            <family val="3"/>
          </rPr>
          <t>DESCRIÇÃO DETALHADA_x000D_
PAPEL DE SEDA - 48 X 60 CM - ROSA - AS MEDIDAS PODERAO VARIAR +/- 5 CM</t>
        </r>
      </text>
    </comment>
    <comment ref="G173" authorId="0" shapeId="0" xr:uid="{EF7BDC02-D8F1-497B-951E-73DE34F23012}">
      <text>
        <r>
          <rPr>
            <sz val="10"/>
            <color indexed="81"/>
            <rFont val="Lucida Console"/>
            <family val="3"/>
          </rPr>
          <t>_x000D_
Últ estimativa : 10.000_x000D_
Enviada em     : 19.12.2019_x000D_
Ata - Venc     : 143/21 - 20.05.2022</t>
        </r>
      </text>
    </comment>
    <comment ref="O173" authorId="0" shapeId="0" xr:uid="{90F1AB14-8741-421F-8464-2BA5BDA5E4B4}">
      <text>
        <r>
          <rPr>
            <sz val="10"/>
            <color indexed="81"/>
            <rFont val="Lucida Console"/>
            <family val="3"/>
          </rPr>
          <t>_x000D_
Pertencia a ATA nº 143/21_x000D_
Estimativa de Renovação enviada em 19.12.2019 - Qtd 10.000_x000D_
PE  61/21 lote _x000D_
30.04.21 = Finalizado. Ata 143/20</t>
        </r>
      </text>
    </comment>
    <comment ref="W173" authorId="0" shapeId="0" xr:uid="{462DB732-5C3C-4FA3-AC69-58B4DFD67853}">
      <text>
        <r>
          <rPr>
            <sz val="10"/>
            <color indexed="81"/>
            <rFont val="Lucida Console"/>
            <family val="3"/>
          </rPr>
          <t>_x000D_
Pedagógico</t>
        </r>
      </text>
    </comment>
    <comment ref="X173" authorId="0" shapeId="0" xr:uid="{0C881047-543A-412F-94BD-51CA5B98BBCC}">
      <text>
        <r>
          <rPr>
            <sz val="10"/>
            <color indexed="81"/>
            <rFont val="Lucida Console"/>
            <family val="3"/>
          </rPr>
          <t>_x000D_
MAQ. E EQUIP. P/ IND. GRAFICA COMP. ACESS. E PAPEI</t>
        </r>
      </text>
    </comment>
    <comment ref="Y173" authorId="0" shapeId="0" xr:uid="{B1C3A922-88EF-485A-9958-E808D02E4520}">
      <text>
        <r>
          <rPr>
            <sz val="10"/>
            <color indexed="81"/>
            <rFont val="Lucida Console"/>
            <family val="3"/>
          </rPr>
          <t>_x000D_
PAPEIS P/ EMBALAGEM E DECORATIVOS</t>
        </r>
      </text>
    </comment>
    <comment ref="AW173" authorId="0" shapeId="0" xr:uid="{6BB90C04-553B-4064-8C4C-94680BD225AB}">
      <text>
        <r>
          <rPr>
            <sz val="10"/>
            <color indexed="81"/>
            <rFont val="Lucida Console"/>
            <family val="3"/>
          </rPr>
          <t>Tempo de Estoque (Meses)_x000D_
_x000D_
2.000,0</t>
        </r>
      </text>
    </comment>
    <comment ref="A174" authorId="0" shapeId="0" xr:uid="{21054A2C-FC35-4E6D-94AD-0E8D83C6E9AB}">
      <text>
        <r>
          <rPr>
            <sz val="10"/>
            <color indexed="81"/>
            <rFont val="Lucida Console"/>
            <family val="3"/>
          </rPr>
          <t>_x000D_
93334</t>
        </r>
      </text>
    </comment>
    <comment ref="B174" authorId="0" shapeId="0" xr:uid="{4B79BBC5-2EC7-4641-997F-BE7D175259D5}">
      <text>
        <r>
          <rPr>
            <sz val="10"/>
            <color indexed="81"/>
            <rFont val="Lucida Console"/>
            <family val="3"/>
          </rPr>
          <t>DESCRIÇÃO DETALHADA_x000D_
PAPEL DE SEDA - 48 X 60 CM - VERDE ESCURO</t>
        </r>
      </text>
    </comment>
    <comment ref="G174" authorId="0" shapeId="0" xr:uid="{BFD5ABC1-1B62-4535-A976-8B7BC6E68DB4}">
      <text>
        <r>
          <rPr>
            <sz val="10"/>
            <color indexed="81"/>
            <rFont val="Lucida Console"/>
            <family val="3"/>
          </rPr>
          <t>_x000D_
Últ estimativa : 10.000_x000D_
Enviada em     : 19.12.2019_x000D_
Ata - Venc     : 143/21 - 20.05.2022</t>
        </r>
      </text>
    </comment>
    <comment ref="O174" authorId="0" shapeId="0" xr:uid="{522658D2-C348-4E3E-B92B-B21B56EB8EF0}">
      <text>
        <r>
          <rPr>
            <sz val="10"/>
            <color indexed="81"/>
            <rFont val="Lucida Console"/>
            <family val="3"/>
          </rPr>
          <t>_x000D_
Pertencia a ATA nº 143/21_x000D_
Estimativa de Renovação enviada em 19.12.2019 - Qtd 10.000_x000D_
PE  61/21 lote _x000D_
30.04.21 = Finalizado. Ata 143/20</t>
        </r>
      </text>
    </comment>
    <comment ref="W174" authorId="0" shapeId="0" xr:uid="{D5FF39E7-D3DD-4287-B29E-41900E708389}">
      <text>
        <r>
          <rPr>
            <sz val="10"/>
            <color indexed="81"/>
            <rFont val="Lucida Console"/>
            <family val="3"/>
          </rPr>
          <t>_x000D_
Pedagógico</t>
        </r>
      </text>
    </comment>
    <comment ref="X174" authorId="0" shapeId="0" xr:uid="{C2AA4468-1F7C-4A08-AE6D-EFC013E0922C}">
      <text>
        <r>
          <rPr>
            <sz val="10"/>
            <color indexed="81"/>
            <rFont val="Lucida Console"/>
            <family val="3"/>
          </rPr>
          <t>_x000D_
MAQ. E EQUIP. P/ IND. GRAFICA COMP. ACESS. E PAPEI</t>
        </r>
      </text>
    </comment>
    <comment ref="Y174" authorId="0" shapeId="0" xr:uid="{386D4E84-1470-4158-BEAF-B137DDD678FE}">
      <text>
        <r>
          <rPr>
            <sz val="10"/>
            <color indexed="81"/>
            <rFont val="Lucida Console"/>
            <family val="3"/>
          </rPr>
          <t>_x000D_
PAPEIS P/ EMBALAGEM E DECORATIVOS</t>
        </r>
      </text>
    </comment>
    <comment ref="AW174" authorId="0" shapeId="0" xr:uid="{9DDA0E3A-22F3-4283-861B-BD360470D556}">
      <text>
        <r>
          <rPr>
            <sz val="10"/>
            <color indexed="81"/>
            <rFont val="Lucida Console"/>
            <family val="3"/>
          </rPr>
          <t>Tempo de Estoque (Meses)_x000D_
_x000D_
2.000,0</t>
        </r>
      </text>
    </comment>
    <comment ref="A175" authorId="0" shapeId="0" xr:uid="{00FE055D-BAC9-4180-8B35-38D773A80FD4}">
      <text>
        <r>
          <rPr>
            <sz val="10"/>
            <color indexed="81"/>
            <rFont val="Lucida Console"/>
            <family val="3"/>
          </rPr>
          <t>_x000D_
93335</t>
        </r>
      </text>
    </comment>
    <comment ref="B175" authorId="0" shapeId="0" xr:uid="{0F95245D-D8BC-4CDF-AB9B-6479D2F0ED9E}">
      <text>
        <r>
          <rPr>
            <sz val="10"/>
            <color indexed="81"/>
            <rFont val="Lucida Console"/>
            <family val="3"/>
          </rPr>
          <t>DESCRIÇÃO DETALHADA_x000D_
PAPEL DE SEDA - 48 X 60 CM - VERMELHO</t>
        </r>
      </text>
    </comment>
    <comment ref="G175" authorId="0" shapeId="0" xr:uid="{8D57674A-32F1-4334-ADA9-E43A95713300}">
      <text>
        <r>
          <rPr>
            <sz val="10"/>
            <color indexed="81"/>
            <rFont val="Lucida Console"/>
            <family val="3"/>
          </rPr>
          <t>_x000D_
Últ estimativa : 10.000_x000D_
Enviada em     : 19.12.2019_x000D_
Ata - Venc     : 143/21 - 20.05.2022</t>
        </r>
      </text>
    </comment>
    <comment ref="O175" authorId="0" shapeId="0" xr:uid="{D18275DF-D536-4234-B24F-4E8A1975EAF0}">
      <text>
        <r>
          <rPr>
            <sz val="10"/>
            <color indexed="81"/>
            <rFont val="Lucida Console"/>
            <family val="3"/>
          </rPr>
          <t>_x000D_
Pertencia a ATA nº 143/21_x000D_
Estimativa de Renovação enviada em 19.12.2019 - Qtd 10.000_x000D_
PE  61/21 lote _x000D_
30.04.21 = Finalizado. Ata 143/20</t>
        </r>
      </text>
    </comment>
    <comment ref="W175" authorId="0" shapeId="0" xr:uid="{48C801BC-A2A3-4CBF-A3E9-1DCD4E7054F2}">
      <text>
        <r>
          <rPr>
            <sz val="10"/>
            <color indexed="81"/>
            <rFont val="Lucida Console"/>
            <family val="3"/>
          </rPr>
          <t>_x000D_
Pedagógico</t>
        </r>
      </text>
    </comment>
    <comment ref="X175" authorId="0" shapeId="0" xr:uid="{1C5650F0-3ED1-44DA-834A-F79EBC45B77A}">
      <text>
        <r>
          <rPr>
            <sz val="10"/>
            <color indexed="81"/>
            <rFont val="Lucida Console"/>
            <family val="3"/>
          </rPr>
          <t>_x000D_
MAQ. E EQUIP. P/ IND. GRAFICA COMP. ACESS. E PAPEI</t>
        </r>
      </text>
    </comment>
    <comment ref="Y175" authorId="0" shapeId="0" xr:uid="{EC19DB7C-4D07-4185-A73D-1DBD641EA7AD}">
      <text>
        <r>
          <rPr>
            <sz val="10"/>
            <color indexed="81"/>
            <rFont val="Lucida Console"/>
            <family val="3"/>
          </rPr>
          <t>_x000D_
PAPEIS P/ EMBALAGEM E DECORATIVOS</t>
        </r>
      </text>
    </comment>
    <comment ref="AW175" authorId="0" shapeId="0" xr:uid="{32F06CE4-AAEA-43EB-AAB7-464A8D3B5BC0}">
      <text>
        <r>
          <rPr>
            <sz val="10"/>
            <color indexed="81"/>
            <rFont val="Lucida Console"/>
            <family val="3"/>
          </rPr>
          <t>Tempo de Estoque (Meses)_x000D_
_x000D_
1.000,0</t>
        </r>
      </text>
    </comment>
    <comment ref="A176" authorId="0" shapeId="0" xr:uid="{57FDE789-FA4B-4F7B-B099-5A9741058E3F}">
      <text>
        <r>
          <rPr>
            <sz val="10"/>
            <color indexed="81"/>
            <rFont val="Lucida Console"/>
            <family val="3"/>
          </rPr>
          <t>_x000D_
93453</t>
        </r>
      </text>
    </comment>
    <comment ref="B176" authorId="0" shapeId="0" xr:uid="{FCE5EE88-A1FC-4366-AC02-20E1D9D201DF}">
      <text>
        <r>
          <rPr>
            <sz val="10"/>
            <color indexed="81"/>
            <rFont val="Lucida Console"/>
            <family val="3"/>
          </rPr>
          <t>DESCRIÇÃO DETALHADA_x000D_
PAPEL ESPELHO BRILHANTE (DOBRADURA), MEDINDO 48 X 66 CM - COR: AMARELA</t>
        </r>
      </text>
    </comment>
    <comment ref="G176" authorId="0" shapeId="0" xr:uid="{A232E89A-9CF2-4895-91E0-808AC4C0FBF8}">
      <text>
        <r>
          <rPr>
            <sz val="10"/>
            <color indexed="81"/>
            <rFont val="Lucida Console"/>
            <family val="3"/>
          </rPr>
          <t>_x000D_
Últ estimativa : 14.000_x000D_
Enviada em     : 19.12.2019_x000D_
Ata - Venc     : 143/21 - 20.05.2022</t>
        </r>
      </text>
    </comment>
    <comment ref="O176" authorId="0" shapeId="0" xr:uid="{0550B36E-8199-4DCC-A6C8-4BE487EE87E3}">
      <text>
        <r>
          <rPr>
            <sz val="10"/>
            <color indexed="81"/>
            <rFont val="Lucida Console"/>
            <family val="3"/>
          </rPr>
          <t>_x000D_
Pertencia a ATA nº 143/21_x000D_
Estimativa de Renovação enviada em 19.12.2019 - Qtd 14.000_x000D_
PE  61/21 lote _x000D_
30.04.21 = Finalizado. Ata 143/20</t>
        </r>
      </text>
    </comment>
    <comment ref="W176" authorId="0" shapeId="0" xr:uid="{3819E721-B189-4DAD-8407-AEF9A5A8CAB1}">
      <text>
        <r>
          <rPr>
            <sz val="10"/>
            <color indexed="81"/>
            <rFont val="Lucida Console"/>
            <family val="3"/>
          </rPr>
          <t>_x000D_
Pedagógico</t>
        </r>
      </text>
    </comment>
    <comment ref="X176" authorId="0" shapeId="0" xr:uid="{B550ECE2-2125-4BD0-816F-4F75D1A25CBD}">
      <text>
        <r>
          <rPr>
            <sz val="10"/>
            <color indexed="81"/>
            <rFont val="Lucida Console"/>
            <family val="3"/>
          </rPr>
          <t>_x000D_
MAQ. E EQUIP. P/ IND. GRAFICA COMP. ACESS. E PAPEI</t>
        </r>
      </text>
    </comment>
    <comment ref="Y176" authorId="0" shapeId="0" xr:uid="{4A0F775A-98A0-46FA-BC53-78CD7F8E2CD3}">
      <text>
        <r>
          <rPr>
            <sz val="10"/>
            <color indexed="81"/>
            <rFont val="Lucida Console"/>
            <family val="3"/>
          </rPr>
          <t>_x000D_
PAPEIS P/ EMBALAGEM E DECORATIVOS</t>
        </r>
      </text>
    </comment>
    <comment ref="AW176" authorId="0" shapeId="0" xr:uid="{95315A84-4F9A-485C-8879-3402E95F467D}">
      <text>
        <r>
          <rPr>
            <sz val="10"/>
            <color indexed="81"/>
            <rFont val="Lucida Console"/>
            <family val="3"/>
          </rPr>
          <t>Tempo de Estoque (Meses)_x000D_
_x000D_
3.300,0</t>
        </r>
      </text>
    </comment>
    <comment ref="A177" authorId="0" shapeId="0" xr:uid="{BF6C12FD-C977-4693-8326-601E8CF3877C}">
      <text>
        <r>
          <rPr>
            <sz val="10"/>
            <color indexed="81"/>
            <rFont val="Lucida Console"/>
            <family val="3"/>
          </rPr>
          <t>_x000D_
93454</t>
        </r>
      </text>
    </comment>
    <comment ref="B177" authorId="0" shapeId="0" xr:uid="{F450A59B-7FFE-4E23-8561-B407D583B38C}">
      <text>
        <r>
          <rPr>
            <sz val="10"/>
            <color indexed="81"/>
            <rFont val="Lucida Console"/>
            <family val="3"/>
          </rPr>
          <t>DESCRIÇÃO DETALHADA_x000D_
PAPEL ESPELHO BRILHANTE (DOBRADURA), MEDINDO 48 X 66 CM - COR: AZUL ESCURO</t>
        </r>
      </text>
    </comment>
    <comment ref="G177" authorId="0" shapeId="0" xr:uid="{6ED21061-0849-4CC6-B238-D97B6269C569}">
      <text>
        <r>
          <rPr>
            <sz val="10"/>
            <color indexed="81"/>
            <rFont val="Lucida Console"/>
            <family val="3"/>
          </rPr>
          <t>_x000D_
Últ estimativa : 14.000_x000D_
Enviada em     : 19.12.2019_x000D_
Ata - Venc     : 143/21 - 20.05.2022</t>
        </r>
      </text>
    </comment>
    <comment ref="O177" authorId="0" shapeId="0" xr:uid="{1645CC04-52B1-4EDD-BA48-BD4D3B740B7F}">
      <text>
        <r>
          <rPr>
            <sz val="10"/>
            <color indexed="81"/>
            <rFont val="Lucida Console"/>
            <family val="3"/>
          </rPr>
          <t>_x000D_
Pertencia a ATA nº 143/21_x000D_
Estimativa de Renovação enviada em 19.12.2019 - Qtd 14.000_x000D_
PE  61/21 lote _x000D_
30.04.21 = Finalizado. Ata 143/20</t>
        </r>
      </text>
    </comment>
    <comment ref="W177" authorId="0" shapeId="0" xr:uid="{30EEFAC8-B99A-4538-852C-AEA915542AC2}">
      <text>
        <r>
          <rPr>
            <sz val="10"/>
            <color indexed="81"/>
            <rFont val="Lucida Console"/>
            <family val="3"/>
          </rPr>
          <t>_x000D_
Pedagógico</t>
        </r>
      </text>
    </comment>
    <comment ref="X177" authorId="0" shapeId="0" xr:uid="{D45A9844-74DC-4B71-8A01-55B9411589A4}">
      <text>
        <r>
          <rPr>
            <sz val="10"/>
            <color indexed="81"/>
            <rFont val="Lucida Console"/>
            <family val="3"/>
          </rPr>
          <t>_x000D_
MAQ. E EQUIP. P/ IND. GRAFICA COMP. ACESS. E PAPEI</t>
        </r>
      </text>
    </comment>
    <comment ref="Y177" authorId="0" shapeId="0" xr:uid="{158E45DD-DCC0-46BB-A507-9142A3D28903}">
      <text>
        <r>
          <rPr>
            <sz val="10"/>
            <color indexed="81"/>
            <rFont val="Lucida Console"/>
            <family val="3"/>
          </rPr>
          <t>_x000D_
PAPEIS P/ EMBALAGEM E DECORATIVOS</t>
        </r>
      </text>
    </comment>
    <comment ref="AW177" authorId="0" shapeId="0" xr:uid="{4F14F38E-6A8D-4ADF-AAC8-4AD6549152AB}">
      <text>
        <r>
          <rPr>
            <sz val="10"/>
            <color indexed="81"/>
            <rFont val="Lucida Console"/>
            <family val="3"/>
          </rPr>
          <t>Tempo de Estoque (Meses)_x000D_
_x000D_
3.500,0</t>
        </r>
      </text>
    </comment>
    <comment ref="A178" authorId="0" shapeId="0" xr:uid="{E0FD86AD-A95A-40EF-A16C-0AC23B9D9755}">
      <text>
        <r>
          <rPr>
            <sz val="10"/>
            <color indexed="81"/>
            <rFont val="Lucida Console"/>
            <family val="3"/>
          </rPr>
          <t>_x000D_
93456</t>
        </r>
      </text>
    </comment>
    <comment ref="B178" authorId="0" shapeId="0" xr:uid="{E8109278-732A-4C3A-8A87-B1FAE25364E8}">
      <text>
        <r>
          <rPr>
            <sz val="10"/>
            <color indexed="81"/>
            <rFont val="Lucida Console"/>
            <family val="3"/>
          </rPr>
          <t>DESCRIÇÃO DETALHADA_x000D_
PAPEL ESPELHO BRILHANTE (DOBRADURA), MEDINDO 48 X 66 CM - COR: LARANJA - AS MEDIDAS PODERAO VARIAR +/- 5 CM</t>
        </r>
      </text>
    </comment>
    <comment ref="G178" authorId="0" shapeId="0" xr:uid="{6F93099A-0F25-4358-88CF-AA8B7A4CAA41}">
      <text>
        <r>
          <rPr>
            <sz val="10"/>
            <color indexed="81"/>
            <rFont val="Lucida Console"/>
            <family val="3"/>
          </rPr>
          <t>_x000D_
Últ estimativa : 14.000_x000D_
Enviada em     : 19.12.2019_x000D_
Ata - Venc     : 143/21 - 20.05.2022</t>
        </r>
      </text>
    </comment>
    <comment ref="O178" authorId="0" shapeId="0" xr:uid="{2A534E7B-E90F-4FB9-AC44-93D00E3A2E5A}">
      <text>
        <r>
          <rPr>
            <sz val="10"/>
            <color indexed="81"/>
            <rFont val="Lucida Console"/>
            <family val="3"/>
          </rPr>
          <t>_x000D_
Pertencia a ATA nº 143/21_x000D_
Estimativa de Renovação enviada em 19.12.2019 - Qtd 14.000_x000D_
PE  61/21 lote _x000D_
30.04.21 = Finalizado. Ata 143/20</t>
        </r>
      </text>
    </comment>
    <comment ref="W178" authorId="0" shapeId="0" xr:uid="{42105612-B08B-4BF8-A9F1-EEBDCDFD0975}">
      <text>
        <r>
          <rPr>
            <sz val="10"/>
            <color indexed="81"/>
            <rFont val="Lucida Console"/>
            <family val="3"/>
          </rPr>
          <t>_x000D_
Pedagógico</t>
        </r>
      </text>
    </comment>
    <comment ref="X178" authorId="0" shapeId="0" xr:uid="{5783E579-CA5C-4794-A6EF-910DA0C90F11}">
      <text>
        <r>
          <rPr>
            <sz val="10"/>
            <color indexed="81"/>
            <rFont val="Lucida Console"/>
            <family val="3"/>
          </rPr>
          <t>_x000D_
MAQ. E EQUIP. P/ IND. GRAFICA COMP. ACESS. E PAPEI</t>
        </r>
      </text>
    </comment>
    <comment ref="Y178" authorId="0" shapeId="0" xr:uid="{46820797-9522-47D7-AF28-D3090CA7EC66}">
      <text>
        <r>
          <rPr>
            <sz val="10"/>
            <color indexed="81"/>
            <rFont val="Lucida Console"/>
            <family val="3"/>
          </rPr>
          <t>_x000D_
PAPEIS P/ EMBALAGEM E DECORATIVOS</t>
        </r>
      </text>
    </comment>
    <comment ref="AW178" authorId="0" shapeId="0" xr:uid="{4A62B6E6-002A-4313-A064-88AFB7ED7BC7}">
      <text>
        <r>
          <rPr>
            <sz val="10"/>
            <color indexed="81"/>
            <rFont val="Lucida Console"/>
            <family val="3"/>
          </rPr>
          <t>Tempo de Estoque (Meses)_x000D_
_x000D_
2.300,0</t>
        </r>
      </text>
    </comment>
    <comment ref="A179" authorId="0" shapeId="0" xr:uid="{351D8AA0-7361-4C9C-A537-D64EE7394454}">
      <text>
        <r>
          <rPr>
            <sz val="10"/>
            <color indexed="81"/>
            <rFont val="Lucida Console"/>
            <family val="3"/>
          </rPr>
          <t>_x000D_
93461</t>
        </r>
      </text>
    </comment>
    <comment ref="B179" authorId="0" shapeId="0" xr:uid="{8905D1CA-D0FC-4BDB-A615-8C7910C5F05F}">
      <text>
        <r>
          <rPr>
            <sz val="10"/>
            <color indexed="81"/>
            <rFont val="Lucida Console"/>
            <family val="3"/>
          </rPr>
          <t>DESCRIÇÃO DETALHADA_x000D_
PAPEL ESPELHO BRILHANTE (DOBRADURA), MEDINDO 48 X 66 CM - COR: VERDE ESCURO</t>
        </r>
      </text>
    </comment>
    <comment ref="G179" authorId="0" shapeId="0" xr:uid="{37B11AD5-D756-4C23-BF7E-6991A3B33D23}">
      <text>
        <r>
          <rPr>
            <sz val="10"/>
            <color indexed="81"/>
            <rFont val="Lucida Console"/>
            <family val="3"/>
          </rPr>
          <t>_x000D_
Últ estimativa : 14.000_x000D_
Enviada em     : 19.12.2019_x000D_
Ata - Venc     : 143/21 - 20.05.2022</t>
        </r>
      </text>
    </comment>
    <comment ref="O179" authorId="0" shapeId="0" xr:uid="{A63991E4-41EB-4190-B23D-DF92CD9CFB76}">
      <text>
        <r>
          <rPr>
            <sz val="10"/>
            <color indexed="81"/>
            <rFont val="Lucida Console"/>
            <family val="3"/>
          </rPr>
          <t>_x000D_
Pertencia a ATA nº 143/21_x000D_
Estimativa de Renovação enviada em 19.12.2019 - Qtd 14.000_x000D_
PE  61/21 lote _x000D_
30.04.21 = Finalizado. Ata 143/20</t>
        </r>
      </text>
    </comment>
    <comment ref="W179" authorId="0" shapeId="0" xr:uid="{23628FBC-68AF-4F47-A798-49863ABECF72}">
      <text>
        <r>
          <rPr>
            <sz val="10"/>
            <color indexed="81"/>
            <rFont val="Lucida Console"/>
            <family val="3"/>
          </rPr>
          <t>_x000D_
Pedagógico</t>
        </r>
      </text>
    </comment>
    <comment ref="X179" authorId="0" shapeId="0" xr:uid="{6CFBEF5F-37C8-4ABC-B7DC-A038D93B5822}">
      <text>
        <r>
          <rPr>
            <sz val="10"/>
            <color indexed="81"/>
            <rFont val="Lucida Console"/>
            <family val="3"/>
          </rPr>
          <t>_x000D_
MAQ. E EQUIP. P/ IND. GRAFICA COMP. ACESS. E PAPEI</t>
        </r>
      </text>
    </comment>
    <comment ref="Y179" authorId="0" shapeId="0" xr:uid="{6C462358-7818-4D36-B75F-45C1B2286C79}">
      <text>
        <r>
          <rPr>
            <sz val="10"/>
            <color indexed="81"/>
            <rFont val="Lucida Console"/>
            <family val="3"/>
          </rPr>
          <t>_x000D_
PAPEIS P/ EMBALAGEM E DECORATIVOS</t>
        </r>
      </text>
    </comment>
    <comment ref="AW179" authorId="0" shapeId="0" xr:uid="{3B22190F-013C-4658-8059-37959153825D}">
      <text>
        <r>
          <rPr>
            <sz val="10"/>
            <color indexed="81"/>
            <rFont val="Lucida Console"/>
            <family val="3"/>
          </rPr>
          <t>Tempo de Estoque (Meses)_x000D_
_x000D_
1.000,0</t>
        </r>
      </text>
    </comment>
    <comment ref="A180" authorId="0" shapeId="0" xr:uid="{61F73F7E-F5D3-46E3-8627-9D56801E3A5B}">
      <text>
        <r>
          <rPr>
            <sz val="10"/>
            <color indexed="81"/>
            <rFont val="Lucida Console"/>
            <family val="3"/>
          </rPr>
          <t>_x000D_
93462</t>
        </r>
      </text>
    </comment>
    <comment ref="B180" authorId="0" shapeId="0" xr:uid="{E3F5E222-D459-450A-AF0C-36BEC5C2F521}">
      <text>
        <r>
          <rPr>
            <sz val="10"/>
            <color indexed="81"/>
            <rFont val="Lucida Console"/>
            <family val="3"/>
          </rPr>
          <t>DESCRIÇÃO DETALHADA_x000D_
PAPEL ESPELHO BRILHANTE (DOBRADURA), MEDINDO 48 X 66 CM - COR: VERMELHA</t>
        </r>
      </text>
    </comment>
    <comment ref="G180" authorId="0" shapeId="0" xr:uid="{CFFE3240-7E6D-42AC-89FE-9FDE4D963B8B}">
      <text>
        <r>
          <rPr>
            <sz val="10"/>
            <color indexed="81"/>
            <rFont val="Lucida Console"/>
            <family val="3"/>
          </rPr>
          <t>_x000D_
Últ estimativa : 14.000_x000D_
Enviada em     : 19.12.2019_x000D_
Ata - Venc     : 143/21 - 20.05.2022</t>
        </r>
      </text>
    </comment>
    <comment ref="O180" authorId="0" shapeId="0" xr:uid="{7DE331AA-B457-4701-BD30-E52292B34016}">
      <text>
        <r>
          <rPr>
            <sz val="10"/>
            <color indexed="81"/>
            <rFont val="Lucida Console"/>
            <family val="3"/>
          </rPr>
          <t>_x000D_
Pertencia a ATA nº 143/21_x000D_
Estimativa de Renovação enviada em 19.12.2019 - Qtd 14.000_x000D_
PE  61/21 lote _x000D_
30.04.21 = Finalizado. Ata 143/20</t>
        </r>
      </text>
    </comment>
    <comment ref="W180" authorId="0" shapeId="0" xr:uid="{899CD612-4CD9-4D1D-B195-44ED77729895}">
      <text>
        <r>
          <rPr>
            <sz val="10"/>
            <color indexed="81"/>
            <rFont val="Lucida Console"/>
            <family val="3"/>
          </rPr>
          <t>_x000D_
Pedagógico</t>
        </r>
      </text>
    </comment>
    <comment ref="X180" authorId="0" shapeId="0" xr:uid="{76E23735-69E1-4776-97A8-ACC46D38C4C0}">
      <text>
        <r>
          <rPr>
            <sz val="10"/>
            <color indexed="81"/>
            <rFont val="Lucida Console"/>
            <family val="3"/>
          </rPr>
          <t>_x000D_
MAQ. E EQUIP. P/ IND. GRAFICA COMP. ACESS. E PAPEI</t>
        </r>
      </text>
    </comment>
    <comment ref="Y180" authorId="0" shapeId="0" xr:uid="{8A979383-C38B-485B-92CC-145C0DAD7469}">
      <text>
        <r>
          <rPr>
            <sz val="10"/>
            <color indexed="81"/>
            <rFont val="Lucida Console"/>
            <family val="3"/>
          </rPr>
          <t>_x000D_
PAPEIS P/ EMBALAGEM E DECORATIVOS</t>
        </r>
      </text>
    </comment>
    <comment ref="AW180" authorId="0" shapeId="0" xr:uid="{CEE80501-C468-429F-B15C-8D019FC47CB4}">
      <text>
        <r>
          <rPr>
            <sz val="10"/>
            <color indexed="81"/>
            <rFont val="Lucida Console"/>
            <family val="3"/>
          </rPr>
          <t>Tempo de Estoque (Meses)_x000D_
_x000D_
3.300,0</t>
        </r>
      </text>
    </comment>
    <comment ref="A181" authorId="0" shapeId="0" xr:uid="{AB4D288E-34D5-430C-8122-8D76288071E3}">
      <text>
        <r>
          <rPr>
            <sz val="10"/>
            <color indexed="81"/>
            <rFont val="Lucida Console"/>
            <family val="3"/>
          </rPr>
          <t>_x000D_
29956</t>
        </r>
      </text>
    </comment>
    <comment ref="B181" authorId="0" shapeId="0" xr:uid="{244292E8-5E96-49A4-BC44-546D0142C424}">
      <text>
        <r>
          <rPr>
            <sz val="10"/>
            <color indexed="81"/>
            <rFont val="Lucida Console"/>
            <family val="3"/>
          </rPr>
          <t>DESCRIÇÃO DETALHADA_x000D_
PAPEL CAMURCA - 60 X 40 CM - BRANCO</t>
        </r>
      </text>
    </comment>
    <comment ref="G181" authorId="0" shapeId="0" xr:uid="{211B31A6-9A76-4580-BD94-28BD88562F8D}">
      <text>
        <r>
          <rPr>
            <sz val="10"/>
            <color indexed="81"/>
            <rFont val="Lucida Console"/>
            <family val="3"/>
          </rPr>
          <t>_x000D_
Últ estimativa : 10.000_x000D_
Enviada em     : 19.12.2019_x000D_
Ata - Venc     : 143/21 - 20.05.2022</t>
        </r>
      </text>
    </comment>
    <comment ref="O181" authorId="0" shapeId="0" xr:uid="{27F3A10A-0163-4967-A050-4761BE1E7D9D}">
      <text>
        <r>
          <rPr>
            <sz val="10"/>
            <color indexed="81"/>
            <rFont val="Lucida Console"/>
            <family val="3"/>
          </rPr>
          <t>_x000D_
Pertencia a ATA nº 143/21_x000D_
Estimativa de Renovação enviada em 19.12.2019 - Qtd 10.000_x000D_
PE  61/21 lote _x000D_
30.04.21 = Finalizado. Ata 143/20</t>
        </r>
      </text>
    </comment>
    <comment ref="W181" authorId="0" shapeId="0" xr:uid="{41817AFA-3B4F-4E7E-A060-E7A00C6F1268}">
      <text>
        <r>
          <rPr>
            <sz val="10"/>
            <color indexed="81"/>
            <rFont val="Lucida Console"/>
            <family val="3"/>
          </rPr>
          <t>_x000D_
Pedagógico</t>
        </r>
      </text>
    </comment>
    <comment ref="X181" authorId="0" shapeId="0" xr:uid="{A0CA801F-2076-4AA6-997B-467FDA809252}">
      <text>
        <r>
          <rPr>
            <sz val="10"/>
            <color indexed="81"/>
            <rFont val="Lucida Console"/>
            <family val="3"/>
          </rPr>
          <t>_x000D_
MAQ. E EQUIP. P/ IND. GRAFICA COMP. ACESS. E PAPEI</t>
        </r>
      </text>
    </comment>
    <comment ref="Y181" authorId="0" shapeId="0" xr:uid="{524B3877-83D6-45C7-BC03-E5D9D7324C01}">
      <text>
        <r>
          <rPr>
            <sz val="10"/>
            <color indexed="81"/>
            <rFont val="Lucida Console"/>
            <family val="3"/>
          </rPr>
          <t>_x000D_
PAPEIS E PAPELOES</t>
        </r>
      </text>
    </comment>
    <comment ref="AW181" authorId="0" shapeId="0" xr:uid="{E33BBDF5-EF41-4E70-9814-38A635497CD5}">
      <text>
        <r>
          <rPr>
            <sz val="10"/>
            <color indexed="81"/>
            <rFont val="Lucida Console"/>
            <family val="3"/>
          </rPr>
          <t>Tempo de Estoque (Meses)_x000D_
_x000D_
500,0</t>
        </r>
      </text>
    </comment>
    <comment ref="A182" authorId="0" shapeId="0" xr:uid="{84B5D173-5209-4E0C-9EFD-5E8E1A73626B}">
      <text>
        <r>
          <rPr>
            <sz val="10"/>
            <color indexed="81"/>
            <rFont val="Lucida Console"/>
            <family val="3"/>
          </rPr>
          <t>_x000D_
29959</t>
        </r>
      </text>
    </comment>
    <comment ref="B182" authorId="0" shapeId="0" xr:uid="{8ED8940E-FC0F-42F6-95BB-4C7D7DFA5DEC}">
      <text>
        <r>
          <rPr>
            <sz val="10"/>
            <color indexed="81"/>
            <rFont val="Lucida Console"/>
            <family val="3"/>
          </rPr>
          <t>DESCRIÇÃO DETALHADA_x000D_
PAPEL CAMURCA - 60 X 40 CM - PRETO</t>
        </r>
      </text>
    </comment>
    <comment ref="G182" authorId="0" shapeId="0" xr:uid="{D9C41FCE-A175-4C45-8336-0B9A5D28E98F}">
      <text>
        <r>
          <rPr>
            <sz val="10"/>
            <color indexed="81"/>
            <rFont val="Lucida Console"/>
            <family val="3"/>
          </rPr>
          <t>_x000D_
Últ estimativa : 10.000_x000D_
Enviada em     : 19.12.2019_x000D_
Ata - Venc     : 143/21 - 20.05.2022</t>
        </r>
      </text>
    </comment>
    <comment ref="O182" authorId="0" shapeId="0" xr:uid="{4344A098-673B-412C-9294-6B1C5B401A7B}">
      <text>
        <r>
          <rPr>
            <sz val="10"/>
            <color indexed="81"/>
            <rFont val="Lucida Console"/>
            <family val="3"/>
          </rPr>
          <t>_x000D_
Pertencia a ATA nº 143/21_x000D_
Estimativa de Renovação enviada em 19.12.2019 - Qtd 10.000_x000D_
PE  61/21 lote _x000D_
30.04.21 = Finalizado. Ata 143/20</t>
        </r>
      </text>
    </comment>
    <comment ref="W182" authorId="0" shapeId="0" xr:uid="{D6C71F02-B31B-4411-9226-BDD491A85EAA}">
      <text>
        <r>
          <rPr>
            <sz val="10"/>
            <color indexed="81"/>
            <rFont val="Lucida Console"/>
            <family val="3"/>
          </rPr>
          <t>_x000D_
Pedagógico</t>
        </r>
      </text>
    </comment>
    <comment ref="X182" authorId="0" shapeId="0" xr:uid="{82B4C18B-476B-4C40-86F2-ED00802D2F21}">
      <text>
        <r>
          <rPr>
            <sz val="10"/>
            <color indexed="81"/>
            <rFont val="Lucida Console"/>
            <family val="3"/>
          </rPr>
          <t>_x000D_
MAQ. E EQUIP. P/ IND. GRAFICA COMP. ACESS. E PAPEI</t>
        </r>
      </text>
    </comment>
    <comment ref="Y182" authorId="0" shapeId="0" xr:uid="{0E8B23A8-556E-427F-9212-6FA9DD9915FC}">
      <text>
        <r>
          <rPr>
            <sz val="10"/>
            <color indexed="81"/>
            <rFont val="Lucida Console"/>
            <family val="3"/>
          </rPr>
          <t>_x000D_
PAPEIS E PAPELOES</t>
        </r>
      </text>
    </comment>
    <comment ref="AW182" authorId="0" shapeId="0" xr:uid="{C9D15A41-3A4B-4864-B0DD-F80405F1982D}">
      <text>
        <r>
          <rPr>
            <sz val="10"/>
            <color indexed="81"/>
            <rFont val="Lucida Console"/>
            <family val="3"/>
          </rPr>
          <t>Tempo de Estoque (Meses)_x000D_
_x000D_
1.200,0</t>
        </r>
      </text>
    </comment>
    <comment ref="A183" authorId="0" shapeId="0" xr:uid="{9DE8E98D-E38C-4E30-8C7B-238BA6549658}">
      <text>
        <r>
          <rPr>
            <sz val="10"/>
            <color indexed="81"/>
            <rFont val="Lucida Console"/>
            <family val="3"/>
          </rPr>
          <t>_x000D_
29961</t>
        </r>
      </text>
    </comment>
    <comment ref="B183" authorId="0" shapeId="0" xr:uid="{47A54166-7503-45B2-BB89-39E435E51FDF}">
      <text>
        <r>
          <rPr>
            <sz val="10"/>
            <color indexed="81"/>
            <rFont val="Lucida Console"/>
            <family val="3"/>
          </rPr>
          <t>DESCRIÇÃO DETALHADA_x000D_
PAPEL CAMURCA - 60 X 40 CM - VERMELHO</t>
        </r>
      </text>
    </comment>
    <comment ref="G183" authorId="0" shapeId="0" xr:uid="{649F9314-8B4B-4DB6-8951-388A82AD4544}">
      <text>
        <r>
          <rPr>
            <sz val="10"/>
            <color indexed="81"/>
            <rFont val="Lucida Console"/>
            <family val="3"/>
          </rPr>
          <t>_x000D_
Últ estimativa : 10.000_x000D_
Enviada em     : 19.12.2019_x000D_
Ata - Venc     : 143/21 - 20.05.2022</t>
        </r>
      </text>
    </comment>
    <comment ref="O183" authorId="0" shapeId="0" xr:uid="{586E78C5-F6E4-48A0-9E24-1365197338A4}">
      <text>
        <r>
          <rPr>
            <sz val="10"/>
            <color indexed="81"/>
            <rFont val="Lucida Console"/>
            <family val="3"/>
          </rPr>
          <t>_x000D_
Pertencia a ATA nº 143/21_x000D_
Estimativa de Renovação enviada em 19.12.2019 - Qtd 10.000_x000D_
PE  61/21 lote _x000D_
30.04.21 = Finalizado. Ata 143/20</t>
        </r>
      </text>
    </comment>
    <comment ref="W183" authorId="0" shapeId="0" xr:uid="{41E12CD1-251D-431A-91AE-880322D296A3}">
      <text>
        <r>
          <rPr>
            <sz val="10"/>
            <color indexed="81"/>
            <rFont val="Lucida Console"/>
            <family val="3"/>
          </rPr>
          <t>_x000D_
Pedagógico</t>
        </r>
      </text>
    </comment>
    <comment ref="X183" authorId="0" shapeId="0" xr:uid="{3CFD9B85-7DE4-4E22-96E4-EC6770D05769}">
      <text>
        <r>
          <rPr>
            <sz val="10"/>
            <color indexed="81"/>
            <rFont val="Lucida Console"/>
            <family val="3"/>
          </rPr>
          <t>_x000D_
MAQ. E EQUIP. P/ IND. GRAFICA COMP. ACESS. E PAPEI</t>
        </r>
      </text>
    </comment>
    <comment ref="Y183" authorId="0" shapeId="0" xr:uid="{144A8E16-97FD-429F-A3DA-41A24D6240F7}">
      <text>
        <r>
          <rPr>
            <sz val="10"/>
            <color indexed="81"/>
            <rFont val="Lucida Console"/>
            <family val="3"/>
          </rPr>
          <t>_x000D_
PAPEIS E PAPELOES</t>
        </r>
      </text>
    </comment>
    <comment ref="AW183" authorId="0" shapeId="0" xr:uid="{465D266F-1B13-4AF6-85BB-3363A45437D5}">
      <text>
        <r>
          <rPr>
            <sz val="10"/>
            <color indexed="81"/>
            <rFont val="Lucida Console"/>
            <family val="3"/>
          </rPr>
          <t>Tempo de Estoque (Meses)_x000D_
_x000D_
1.500,0</t>
        </r>
      </text>
    </comment>
    <comment ref="A184" authorId="0" shapeId="0" xr:uid="{CC248ABA-298B-4C1C-A306-1C7BD5A276E9}">
      <text>
        <r>
          <rPr>
            <sz val="10"/>
            <color indexed="81"/>
            <rFont val="Lucida Console"/>
            <family val="3"/>
          </rPr>
          <t>_x000D_
29962</t>
        </r>
      </text>
    </comment>
    <comment ref="B184" authorId="0" shapeId="0" xr:uid="{0E543FDE-F44E-4F40-9469-CF45E32FCBF0}">
      <text>
        <r>
          <rPr>
            <sz val="10"/>
            <color indexed="81"/>
            <rFont val="Lucida Console"/>
            <family val="3"/>
          </rPr>
          <t>DESCRIÇÃO DETALHADA_x000D_
PAPEL CAMURCA - 60 X 40 CM - MARROM</t>
        </r>
      </text>
    </comment>
    <comment ref="G184" authorId="0" shapeId="0" xr:uid="{0E75B22D-F396-4944-A58A-2699D7D25E5C}">
      <text>
        <r>
          <rPr>
            <sz val="10"/>
            <color indexed="81"/>
            <rFont val="Lucida Console"/>
            <family val="3"/>
          </rPr>
          <t>_x000D_
Últ estimativa : 10.000_x000D_
Enviada em     : 19.12.2019_x000D_
Ata - Venc     : 143/21 - 20.05.2022</t>
        </r>
      </text>
    </comment>
    <comment ref="O184" authorId="0" shapeId="0" xr:uid="{7F34705A-742F-4A41-ADCB-E91F220F2E72}">
      <text>
        <r>
          <rPr>
            <sz val="10"/>
            <color indexed="81"/>
            <rFont val="Lucida Console"/>
            <family val="3"/>
          </rPr>
          <t>_x000D_
Pertencia a ATA nº 143/21_x000D_
Estimativa de Renovação enviada em 19.12.2019 - Qtd 10.000_x000D_
PE  61/21 lote _x000D_
30.04.21 = Finalizado. Ata 143/20</t>
        </r>
      </text>
    </comment>
    <comment ref="W184" authorId="0" shapeId="0" xr:uid="{70DC8829-BDD7-47CD-9AFC-34498FEC7099}">
      <text>
        <r>
          <rPr>
            <sz val="10"/>
            <color indexed="81"/>
            <rFont val="Lucida Console"/>
            <family val="3"/>
          </rPr>
          <t>_x000D_
Pedagógico</t>
        </r>
      </text>
    </comment>
    <comment ref="X184" authorId="0" shapeId="0" xr:uid="{2C87AE54-B68B-4161-8743-03E809E6B338}">
      <text>
        <r>
          <rPr>
            <sz val="10"/>
            <color indexed="81"/>
            <rFont val="Lucida Console"/>
            <family val="3"/>
          </rPr>
          <t>_x000D_
MAQ. E EQUIP. P/ IND. GRAFICA COMP. ACESS. E PAPEI</t>
        </r>
      </text>
    </comment>
    <comment ref="Y184" authorId="0" shapeId="0" xr:uid="{43C252B7-B07E-44EA-951B-C9AE88FDF6B2}">
      <text>
        <r>
          <rPr>
            <sz val="10"/>
            <color indexed="81"/>
            <rFont val="Lucida Console"/>
            <family val="3"/>
          </rPr>
          <t>_x000D_
PAPEIS E PAPELOES</t>
        </r>
      </text>
    </comment>
    <comment ref="AW184" authorId="0" shapeId="0" xr:uid="{FB06A4A9-1192-4AF5-BC41-C6C51ADC6A58}">
      <text>
        <r>
          <rPr>
            <sz val="10"/>
            <color indexed="81"/>
            <rFont val="Lucida Console"/>
            <family val="3"/>
          </rPr>
          <t>Tempo de Estoque (Meses)_x000D_
_x000D_
1.000,0</t>
        </r>
      </text>
    </comment>
    <comment ref="A185" authorId="0" shapeId="0" xr:uid="{85752333-100E-4FB3-899C-4831F79A6E4F}">
      <text>
        <r>
          <rPr>
            <sz val="10"/>
            <color indexed="81"/>
            <rFont val="Lucida Console"/>
            <family val="3"/>
          </rPr>
          <t>_x000D_
29964</t>
        </r>
      </text>
    </comment>
    <comment ref="B185" authorId="0" shapeId="0" xr:uid="{D2D10062-E3AE-451D-94EB-80E71AE933ED}">
      <text>
        <r>
          <rPr>
            <sz val="10"/>
            <color indexed="81"/>
            <rFont val="Lucida Console"/>
            <family val="3"/>
          </rPr>
          <t>DESCRIÇÃO DETALHADA_x000D_
PAPEL CAMURCA - 60 X 40 - ROSA - AS MEDIDAS PODERAO VARIAR +/- 5 CM</t>
        </r>
      </text>
    </comment>
    <comment ref="G185" authorId="0" shapeId="0" xr:uid="{ABA9701E-0DD9-4ADA-BB26-89D17F0B6F3E}">
      <text>
        <r>
          <rPr>
            <sz val="10"/>
            <color indexed="81"/>
            <rFont val="Lucida Console"/>
            <family val="3"/>
          </rPr>
          <t>_x000D_
Últ estimativa : 10.000_x000D_
Enviada em     : 19.12.2019_x000D_
Ata - Venc     : 143/21 - 20.05.2022</t>
        </r>
      </text>
    </comment>
    <comment ref="O185" authorId="0" shapeId="0" xr:uid="{07D01933-B5C1-409F-A862-A0A9DE1A0C84}">
      <text>
        <r>
          <rPr>
            <sz val="10"/>
            <color indexed="81"/>
            <rFont val="Lucida Console"/>
            <family val="3"/>
          </rPr>
          <t>_x000D_
Pertencia a ATA nº 143/21_x000D_
Estimativa de Renovação enviada em 19.12.2019 - Qtd 10.000_x000D_
PE  61/21 lote _x000D_
30.04.21 = Finalizado. Ata 143/20</t>
        </r>
      </text>
    </comment>
    <comment ref="W185" authorId="0" shapeId="0" xr:uid="{DAB24C01-4CAC-47D9-B5C1-1072D4440E92}">
      <text>
        <r>
          <rPr>
            <sz val="10"/>
            <color indexed="81"/>
            <rFont val="Lucida Console"/>
            <family val="3"/>
          </rPr>
          <t>_x000D_
Pedagógico</t>
        </r>
      </text>
    </comment>
    <comment ref="X185" authorId="0" shapeId="0" xr:uid="{5196E088-E586-465E-992F-30535F9D2E8A}">
      <text>
        <r>
          <rPr>
            <sz val="10"/>
            <color indexed="81"/>
            <rFont val="Lucida Console"/>
            <family val="3"/>
          </rPr>
          <t>_x000D_
MAQ. E EQUIP. P/ IND. GRAFICA COMP. ACESS. E PAPEI</t>
        </r>
      </text>
    </comment>
    <comment ref="Y185" authorId="0" shapeId="0" xr:uid="{0BC8621D-D414-4EB5-8C55-B3ACE128B912}">
      <text>
        <r>
          <rPr>
            <sz val="10"/>
            <color indexed="81"/>
            <rFont val="Lucida Console"/>
            <family val="3"/>
          </rPr>
          <t>_x000D_
PAPEIS E PAPELOES</t>
        </r>
      </text>
    </comment>
    <comment ref="AW185" authorId="0" shapeId="0" xr:uid="{8D8B9CF4-19BD-463C-9B2C-AE91B62CA107}">
      <text>
        <r>
          <rPr>
            <sz val="10"/>
            <color indexed="81"/>
            <rFont val="Lucida Console"/>
            <family val="3"/>
          </rPr>
          <t>Tempo de Estoque (Meses)_x000D_
_x000D_
1.000,0</t>
        </r>
      </text>
    </comment>
    <comment ref="A186" authorId="0" shapeId="0" xr:uid="{FFC261B1-FCEE-4399-AC16-13EDC273334F}">
      <text>
        <r>
          <rPr>
            <sz val="10"/>
            <color indexed="81"/>
            <rFont val="Lucida Console"/>
            <family val="3"/>
          </rPr>
          <t>_x000D_
75938</t>
        </r>
      </text>
    </comment>
    <comment ref="B186" authorId="0" shapeId="0" xr:uid="{0035FA68-233E-4AF9-9CC1-9773AF0B65D1}">
      <text>
        <r>
          <rPr>
            <sz val="10"/>
            <color indexed="81"/>
            <rFont val="Lucida Console"/>
            <family val="3"/>
          </rPr>
          <t>DESCRIÇÃO DETALHADA_x000D_
PAPEL CAMURCA - 60 X 40CM - AMARELO</t>
        </r>
      </text>
    </comment>
    <comment ref="G186" authorId="0" shapeId="0" xr:uid="{E8A3DA37-93DB-4B24-B885-2B0F76260170}">
      <text>
        <r>
          <rPr>
            <sz val="10"/>
            <color indexed="81"/>
            <rFont val="Lucida Console"/>
            <family val="3"/>
          </rPr>
          <t>_x000D_
Últ estimativa : 10.000_x000D_
Enviada em     : 19.12.2019_x000D_
Ata - Venc     : 143/21 - 20.05.2022</t>
        </r>
      </text>
    </comment>
    <comment ref="O186" authorId="0" shapeId="0" xr:uid="{CA6C6803-FC96-4FEE-9119-888090EA5473}">
      <text>
        <r>
          <rPr>
            <sz val="10"/>
            <color indexed="81"/>
            <rFont val="Lucida Console"/>
            <family val="3"/>
          </rPr>
          <t>_x000D_
Pertencia a ATA nº 143/21_x000D_
Estimativa de Renovação enviada em 19.12.2019 - Qtd 10.000_x000D_
PE  61/21 lote _x000D_
30.04.21 = Finalizado. Ata 143/20</t>
        </r>
      </text>
    </comment>
    <comment ref="W186" authorId="0" shapeId="0" xr:uid="{AF7AEDD6-F282-4467-8F53-FA804CBB6EB3}">
      <text>
        <r>
          <rPr>
            <sz val="10"/>
            <color indexed="81"/>
            <rFont val="Lucida Console"/>
            <family val="3"/>
          </rPr>
          <t>_x000D_
Pedagógico</t>
        </r>
      </text>
    </comment>
    <comment ref="X186" authorId="0" shapeId="0" xr:uid="{1B4C7BC1-0FAC-4C25-BC71-1A74285CEC48}">
      <text>
        <r>
          <rPr>
            <sz val="10"/>
            <color indexed="81"/>
            <rFont val="Lucida Console"/>
            <family val="3"/>
          </rPr>
          <t>_x000D_
MAQ. E EQUIP. P/ IND. GRAFICA COMP. ACESS. E PAPEI</t>
        </r>
      </text>
    </comment>
    <comment ref="Y186" authorId="0" shapeId="0" xr:uid="{3AA753A6-5525-447C-BA93-ED394D618A92}">
      <text>
        <r>
          <rPr>
            <sz val="10"/>
            <color indexed="81"/>
            <rFont val="Lucida Console"/>
            <family val="3"/>
          </rPr>
          <t>_x000D_
PAPEIS E PAPELOES</t>
        </r>
      </text>
    </comment>
    <comment ref="AW186" authorId="0" shapeId="0" xr:uid="{E95A010F-6C59-4690-8FB5-43FF0199D1A2}">
      <text>
        <r>
          <rPr>
            <sz val="10"/>
            <color indexed="81"/>
            <rFont val="Lucida Console"/>
            <family val="3"/>
          </rPr>
          <t>Tempo de Estoque (Meses)_x000D_
_x000D_
1.300,0</t>
        </r>
      </text>
    </comment>
    <comment ref="A187" authorId="0" shapeId="0" xr:uid="{C3CF75A7-E08C-46AB-BC4A-45D073D2BBE7}">
      <text>
        <r>
          <rPr>
            <sz val="10"/>
            <color indexed="81"/>
            <rFont val="Lucida Console"/>
            <family val="3"/>
          </rPr>
          <t>_x000D_
124261</t>
        </r>
      </text>
    </comment>
    <comment ref="B187" authorId="0" shapeId="0" xr:uid="{71CDA982-8D07-4005-8370-4FF837C2E060}">
      <text>
        <r>
          <rPr>
            <sz val="10"/>
            <color indexed="81"/>
            <rFont val="Lucida Console"/>
            <family val="3"/>
          </rPr>
          <t>DESCRIÇÃO DETALHADA_x000D_
PAPEL CAMURCA - 60 X 40 CM - AZUL CLARO (VARIACAO +/- 05 CM)</t>
        </r>
      </text>
    </comment>
    <comment ref="G187" authorId="0" shapeId="0" xr:uid="{D84DF15F-ADE0-4CB7-A13F-20AC04DA6538}">
      <text>
        <r>
          <rPr>
            <sz val="10"/>
            <color indexed="81"/>
            <rFont val="Lucida Console"/>
            <family val="3"/>
          </rPr>
          <t>_x000D_
Últ estimativa : 10.000_x000D_
Enviada em     : 19.12.2019_x000D_
Ata - Venc     : 143/21 - 20.05.2022</t>
        </r>
      </text>
    </comment>
    <comment ref="O187" authorId="0" shapeId="0" xr:uid="{B6A97D58-EDE2-4400-9578-0AE1782B7FC7}">
      <text>
        <r>
          <rPr>
            <sz val="10"/>
            <color indexed="81"/>
            <rFont val="Lucida Console"/>
            <family val="3"/>
          </rPr>
          <t>_x000D_
Pertencia a ATA nº 143/21_x000D_
Estimativa de Renovação enviada em 19.12.2019 - Qtd 10.000_x000D_
PE  61/21 lote _x000D_
30.04.21 = Finalizado. Ata 143/20</t>
        </r>
      </text>
    </comment>
    <comment ref="W187" authorId="0" shapeId="0" xr:uid="{9A5EE065-F7C7-44A1-9933-B25FB6A3A0F6}">
      <text>
        <r>
          <rPr>
            <sz val="10"/>
            <color indexed="81"/>
            <rFont val="Lucida Console"/>
            <family val="3"/>
          </rPr>
          <t>_x000D_
Pedagógico</t>
        </r>
      </text>
    </comment>
    <comment ref="X187" authorId="0" shapeId="0" xr:uid="{71466568-FF01-4144-B813-BB0FE8B187F8}">
      <text>
        <r>
          <rPr>
            <sz val="10"/>
            <color indexed="81"/>
            <rFont val="Lucida Console"/>
            <family val="3"/>
          </rPr>
          <t>_x000D_
MAQ. E EQUIP. P/ IND. GRAFICA COMP. ACESS. E PAPEI</t>
        </r>
      </text>
    </comment>
    <comment ref="Y187" authorId="0" shapeId="0" xr:uid="{4B1B2DB1-703D-4C71-82D4-9F75B61F16A6}">
      <text>
        <r>
          <rPr>
            <sz val="10"/>
            <color indexed="81"/>
            <rFont val="Lucida Console"/>
            <family val="3"/>
          </rPr>
          <t>_x000D_
PAPEIS E PAPELOES</t>
        </r>
      </text>
    </comment>
    <comment ref="AW187" authorId="0" shapeId="0" xr:uid="{8B42F4DD-8E35-47F1-A78D-7120A2E1EEC7}">
      <text>
        <r>
          <rPr>
            <sz val="10"/>
            <color indexed="81"/>
            <rFont val="Lucida Console"/>
            <family val="3"/>
          </rPr>
          <t>Tempo de Estoque (Meses)_x000D_
_x000D_
810,0</t>
        </r>
      </text>
    </comment>
    <comment ref="A188" authorId="0" shapeId="0" xr:uid="{4AE2AEB1-867C-47E9-A7EC-67F56AE078D7}">
      <text>
        <r>
          <rPr>
            <sz val="10"/>
            <color indexed="81"/>
            <rFont val="Lucida Console"/>
            <family val="3"/>
          </rPr>
          <t>_x000D_
12623</t>
        </r>
      </text>
    </comment>
    <comment ref="B188" authorId="0" shapeId="0" xr:uid="{D695AD74-0890-4608-8693-93515A5F4803}">
      <text>
        <r>
          <rPr>
            <sz val="10"/>
            <color indexed="81"/>
            <rFont val="Lucida Console"/>
            <family val="3"/>
          </rPr>
          <t>DESCRIÇÃO DETALHADA_x000D_
CARTOLINA - BRANCA  - 50 X 66 CM - 180 G/M2</t>
        </r>
      </text>
    </comment>
    <comment ref="G188" authorId="0" shapeId="0" xr:uid="{61ACACAF-8D85-4138-AA07-CA18E201261A}">
      <text>
        <r>
          <rPr>
            <sz val="10"/>
            <color indexed="81"/>
            <rFont val="Lucida Console"/>
            <family val="3"/>
          </rPr>
          <t>_x000D_
Últ estimativa : 40.000_x000D_
Enviada em     : 19.12.2019_x000D_
Ata - Venc     : 143/21 - 20.05.2022</t>
        </r>
      </text>
    </comment>
    <comment ref="O188" authorId="0" shapeId="0" xr:uid="{8F890540-BA35-43BC-9BAE-E5928F1D4DB8}">
      <text>
        <r>
          <rPr>
            <sz val="10"/>
            <color indexed="81"/>
            <rFont val="Lucida Console"/>
            <family val="3"/>
          </rPr>
          <t>_x000D_
Pertencia a ATA nº 143/21_x000D_
Estimativa de Renovação enviada em 19.12.2019 - Qtd 40.000_x000D_
PE  61/21 lote _x000D_
30.04.21 = Finalizado. Ata 143/20</t>
        </r>
      </text>
    </comment>
    <comment ref="W188" authorId="0" shapeId="0" xr:uid="{AFBC4BD2-BFE9-49B0-B15B-C475E05FC5F7}">
      <text>
        <r>
          <rPr>
            <sz val="10"/>
            <color indexed="81"/>
            <rFont val="Lucida Console"/>
            <family val="3"/>
          </rPr>
          <t>_x000D_
Pedagógico</t>
        </r>
      </text>
    </comment>
    <comment ref="X188" authorId="0" shapeId="0" xr:uid="{2470E3A6-1F03-457A-9549-0670B83605A9}">
      <text>
        <r>
          <rPr>
            <sz val="10"/>
            <color indexed="81"/>
            <rFont val="Lucida Console"/>
            <family val="3"/>
          </rPr>
          <t>_x000D_
MAQ. E EQUIP. P/ IND. GRAFICA COMP. ACESS. E PAPEI</t>
        </r>
      </text>
    </comment>
    <comment ref="Y188" authorId="0" shapeId="0" xr:uid="{7C1D0599-B4C4-4DCF-9096-B008B53D029F}">
      <text>
        <r>
          <rPr>
            <sz val="10"/>
            <color indexed="81"/>
            <rFont val="Lucida Console"/>
            <family val="3"/>
          </rPr>
          <t>_x000D_
CARTOES E CARTOLINA</t>
        </r>
      </text>
    </comment>
    <comment ref="AW188" authorId="0" shapeId="0" xr:uid="{5FFC881A-690D-4AE3-8193-2C0CC12FDF97}">
      <text>
        <r>
          <rPr>
            <sz val="10"/>
            <color indexed="81"/>
            <rFont val="Lucida Console"/>
            <family val="3"/>
          </rPr>
          <t>Tempo de Estoque (Meses)_x000D_
_x000D_
28.187,0</t>
        </r>
      </text>
    </comment>
    <comment ref="A189" authorId="0" shapeId="0" xr:uid="{F5FE412B-A1E1-4FAE-9FF6-F70441A59994}">
      <text>
        <r>
          <rPr>
            <sz val="10"/>
            <color indexed="81"/>
            <rFont val="Lucida Console"/>
            <family val="3"/>
          </rPr>
          <t>_x000D_
12635</t>
        </r>
      </text>
    </comment>
    <comment ref="B189" authorId="0" shapeId="0" xr:uid="{D3E894C6-0F54-4C61-A0AD-BC8EEF466268}">
      <text>
        <r>
          <rPr>
            <sz val="10"/>
            <color indexed="81"/>
            <rFont val="Lucida Console"/>
            <family val="3"/>
          </rPr>
          <t>DESCRIÇÃO DETALHADA_x000D_
CARTOLINA - AMARELA - 50 X 66 CM - 180 G/M2</t>
        </r>
      </text>
    </comment>
    <comment ref="G189" authorId="0" shapeId="0" xr:uid="{B7370826-E740-44E0-AABA-D5D8474FF05D}">
      <text>
        <r>
          <rPr>
            <sz val="10"/>
            <color indexed="81"/>
            <rFont val="Lucida Console"/>
            <family val="3"/>
          </rPr>
          <t>_x000D_
Últ estimativa : 25.000_x000D_
Enviada em     : 19.12.2019_x000D_
Ata - Venc     : 143/21 - 20.05.2022</t>
        </r>
      </text>
    </comment>
    <comment ref="O189" authorId="0" shapeId="0" xr:uid="{1B3BFC0D-8871-4279-9BDE-6BF5DEAB0B5F}">
      <text>
        <r>
          <rPr>
            <sz val="10"/>
            <color indexed="81"/>
            <rFont val="Lucida Console"/>
            <family val="3"/>
          </rPr>
          <t>_x000D_
Pertencia a ATA nº 143/21_x000D_
Estimativa de Renovação enviada em 19.12.2019 - Qtd 25.000_x000D_
PE  61/21 lote _x000D_
30.04.21 = Finalizado. Ata 143/20</t>
        </r>
      </text>
    </comment>
    <comment ref="W189" authorId="0" shapeId="0" xr:uid="{FCF8DC39-1CCB-4EC8-B261-6DDD16EDBDD3}">
      <text>
        <r>
          <rPr>
            <sz val="10"/>
            <color indexed="81"/>
            <rFont val="Lucida Console"/>
            <family val="3"/>
          </rPr>
          <t>_x000D_
Pedagógico</t>
        </r>
      </text>
    </comment>
    <comment ref="X189" authorId="0" shapeId="0" xr:uid="{B9118ECF-CE17-46E3-B839-39EB32C9EE6C}">
      <text>
        <r>
          <rPr>
            <sz val="10"/>
            <color indexed="81"/>
            <rFont val="Lucida Console"/>
            <family val="3"/>
          </rPr>
          <t>_x000D_
MAQ. E EQUIP. P/ IND. GRAFICA COMP. ACESS. E PAPEI</t>
        </r>
      </text>
    </comment>
    <comment ref="Y189" authorId="0" shapeId="0" xr:uid="{F9E2DEA2-710E-4D32-B7DB-9A3198C135C5}">
      <text>
        <r>
          <rPr>
            <sz val="10"/>
            <color indexed="81"/>
            <rFont val="Lucida Console"/>
            <family val="3"/>
          </rPr>
          <t>_x000D_
CARTOES E CARTOLINA</t>
        </r>
      </text>
    </comment>
    <comment ref="AW189" authorId="0" shapeId="0" xr:uid="{0E70EE7B-56B4-492C-8425-4284781DD5FC}">
      <text>
        <r>
          <rPr>
            <sz val="10"/>
            <color indexed="81"/>
            <rFont val="Lucida Console"/>
            <family val="3"/>
          </rPr>
          <t>Tempo de Estoque (Meses)_x000D_
_x000D_
500,0</t>
        </r>
      </text>
    </comment>
    <comment ref="A190" authorId="0" shapeId="0" xr:uid="{6E8AD160-EB40-4CC3-8385-AFFAEF5A7DB3}">
      <text>
        <r>
          <rPr>
            <sz val="10"/>
            <color indexed="81"/>
            <rFont val="Lucida Console"/>
            <family val="3"/>
          </rPr>
          <t>_x000D_
23687</t>
        </r>
      </text>
    </comment>
    <comment ref="B190" authorId="0" shapeId="0" xr:uid="{F40FD0A9-C3FE-44FA-8B81-B5DF1DF268BD}">
      <text>
        <r>
          <rPr>
            <sz val="10"/>
            <color indexed="81"/>
            <rFont val="Lucida Console"/>
            <family val="3"/>
          </rPr>
          <t>DESCRIÇÃO DETALHADA_x000D_
CARTOLINA - AZUL CLARO - 50 X 66 CM - 180 G/M2</t>
        </r>
      </text>
    </comment>
    <comment ref="G190" authorId="0" shapeId="0" xr:uid="{8E207ECA-D44E-418E-87F0-2575C1038F01}">
      <text>
        <r>
          <rPr>
            <sz val="10"/>
            <color indexed="81"/>
            <rFont val="Lucida Console"/>
            <family val="3"/>
          </rPr>
          <t>_x000D_
Últ estimativa : 25.000_x000D_
Enviada em     : 19.12.2019_x000D_
Ata - Venc     : 143/21 - 20.05.2022</t>
        </r>
      </text>
    </comment>
    <comment ref="O190" authorId="0" shapeId="0" xr:uid="{D81BE99D-D3C3-4429-9161-A1E9092CE2B2}">
      <text>
        <r>
          <rPr>
            <sz val="10"/>
            <color indexed="81"/>
            <rFont val="Lucida Console"/>
            <family val="3"/>
          </rPr>
          <t>_x000D_
Pertencia a ATA nº 143/21_x000D_
Estimativa de Renovação enviada em 19.12.2019 - Qtd 25.000_x000D_
PE  61/21 lote _x000D_
30.04.21 = Finalizado. Ata 143/20</t>
        </r>
      </text>
    </comment>
    <comment ref="W190" authorId="0" shapeId="0" xr:uid="{5469BDC9-C320-47B5-8F84-D37FE692BD73}">
      <text>
        <r>
          <rPr>
            <sz val="10"/>
            <color indexed="81"/>
            <rFont val="Lucida Console"/>
            <family val="3"/>
          </rPr>
          <t>_x000D_
Pedagógico</t>
        </r>
      </text>
    </comment>
    <comment ref="X190" authorId="0" shapeId="0" xr:uid="{97C87989-38ED-4AAA-95E3-6B8C9DB1FD10}">
      <text>
        <r>
          <rPr>
            <sz val="10"/>
            <color indexed="81"/>
            <rFont val="Lucida Console"/>
            <family val="3"/>
          </rPr>
          <t>_x000D_
MAQ. E EQUIP. P/ IND. GRAFICA COMP. ACESS. E PAPEI</t>
        </r>
      </text>
    </comment>
    <comment ref="Y190" authorId="0" shapeId="0" xr:uid="{1C0608F4-42E0-42EA-8726-A455ABC2FCFA}">
      <text>
        <r>
          <rPr>
            <sz val="10"/>
            <color indexed="81"/>
            <rFont val="Lucida Console"/>
            <family val="3"/>
          </rPr>
          <t>_x000D_
CARTOES E CARTOLINA</t>
        </r>
      </text>
    </comment>
    <comment ref="AW190" authorId="0" shapeId="0" xr:uid="{751B45E6-B1EC-43CC-AEF6-5277E413D644}">
      <text>
        <r>
          <rPr>
            <sz val="10"/>
            <color indexed="81"/>
            <rFont val="Lucida Console"/>
            <family val="3"/>
          </rPr>
          <t>Tempo de Estoque (Meses)_x000D_
_x000D_
6.899,0</t>
        </r>
      </text>
    </comment>
    <comment ref="A191" authorId="0" shapeId="0" xr:uid="{60ADA45C-7BD9-416D-95FA-8849FA977B22}">
      <text>
        <r>
          <rPr>
            <sz val="10"/>
            <color indexed="81"/>
            <rFont val="Lucida Console"/>
            <family val="3"/>
          </rPr>
          <t>_x000D_
23692</t>
        </r>
      </text>
    </comment>
    <comment ref="B191" authorId="0" shapeId="0" xr:uid="{9764C59C-0FC4-4A74-B0AF-DDA9F30C0A31}">
      <text>
        <r>
          <rPr>
            <sz val="10"/>
            <color indexed="81"/>
            <rFont val="Lucida Console"/>
            <family val="3"/>
          </rPr>
          <t>DESCRIÇÃO DETALHADA_x000D_
CARTOLINA - ROSA - 50 X 66 CM - 180 G/M2</t>
        </r>
      </text>
    </comment>
    <comment ref="G191" authorId="0" shapeId="0" xr:uid="{4CEEFBEA-5862-4EDE-909B-37A65F1AC206}">
      <text>
        <r>
          <rPr>
            <sz val="10"/>
            <color indexed="81"/>
            <rFont val="Lucida Console"/>
            <family val="3"/>
          </rPr>
          <t>_x000D_
Últ estimativa : 25.000_x000D_
Enviada em     : 19.12.2019_x000D_
Ata - Venc     : 143/21 - 20.05.2022</t>
        </r>
      </text>
    </comment>
    <comment ref="O191" authorId="0" shapeId="0" xr:uid="{CF7053FD-3D1A-4DBA-8317-63EF5F1E5819}">
      <text>
        <r>
          <rPr>
            <sz val="10"/>
            <color indexed="81"/>
            <rFont val="Lucida Console"/>
            <family val="3"/>
          </rPr>
          <t>_x000D_
Pertencia a ATA nº 143/21_x000D_
Estimativa de Renovação enviada em 19.12.2019 - Qtd 25.000_x000D_
PE  61/21 lote _x000D_
30.04.21 = Finalizado. Ata 143/20</t>
        </r>
      </text>
    </comment>
    <comment ref="W191" authorId="0" shapeId="0" xr:uid="{42A6F2C6-20EC-49BA-BD55-A3F08B239050}">
      <text>
        <r>
          <rPr>
            <sz val="10"/>
            <color indexed="81"/>
            <rFont val="Lucida Console"/>
            <family val="3"/>
          </rPr>
          <t>_x000D_
Pedagógico</t>
        </r>
      </text>
    </comment>
    <comment ref="X191" authorId="0" shapeId="0" xr:uid="{CCBCCA68-D9A1-41AB-A875-EEDE4BD16D7F}">
      <text>
        <r>
          <rPr>
            <sz val="10"/>
            <color indexed="81"/>
            <rFont val="Lucida Console"/>
            <family val="3"/>
          </rPr>
          <t>_x000D_
MAQ. E EQUIP. P/ IND. GRAFICA COMP. ACESS. E PAPEI</t>
        </r>
      </text>
    </comment>
    <comment ref="Y191" authorId="0" shapeId="0" xr:uid="{1172A813-6845-48AB-9FAA-40AC582CB824}">
      <text>
        <r>
          <rPr>
            <sz val="10"/>
            <color indexed="81"/>
            <rFont val="Lucida Console"/>
            <family val="3"/>
          </rPr>
          <t>_x000D_
CARTOES E CARTOLINA</t>
        </r>
      </text>
    </comment>
    <comment ref="AW191" authorId="0" shapeId="0" xr:uid="{DE5644C3-D087-4B86-B445-67CA9AACB0DE}">
      <text>
        <r>
          <rPr>
            <sz val="10"/>
            <color indexed="81"/>
            <rFont val="Lucida Console"/>
            <family val="3"/>
          </rPr>
          <t>Tempo de Estoque (Meses)_x000D_
_x000D_
10.439,0</t>
        </r>
      </text>
    </comment>
    <comment ref="A192" authorId="0" shapeId="0" xr:uid="{3580326F-EC49-45D8-8BB7-72FA0FE0B7E6}">
      <text>
        <r>
          <rPr>
            <sz val="10"/>
            <color indexed="81"/>
            <rFont val="Lucida Console"/>
            <family val="3"/>
          </rPr>
          <t>_x000D_
23846</t>
        </r>
      </text>
    </comment>
    <comment ref="B192" authorId="0" shapeId="0" xr:uid="{10641A23-C01B-4C11-993E-1572ED4C7C1F}">
      <text>
        <r>
          <rPr>
            <sz val="10"/>
            <color indexed="81"/>
            <rFont val="Lucida Console"/>
            <family val="3"/>
          </rPr>
          <t>DESCRIÇÃO DETALHADA_x000D_
PAPEL CARTAO - 50 X 70 CM - AMARELO (MEDIDAS PODERAO VARIAR +/- 5CM)</t>
        </r>
      </text>
    </comment>
    <comment ref="G192" authorId="0" shapeId="0" xr:uid="{FC3743C4-A234-410D-8985-531682646C38}">
      <text>
        <r>
          <rPr>
            <sz val="10"/>
            <color indexed="81"/>
            <rFont val="Lucida Console"/>
            <family val="3"/>
          </rPr>
          <t>_x000D_
Últ estimativa : 25.000_x000D_
Enviada em     : 19.12.2019_x000D_
Ata - Venc     : 143/21 - 20.05.2022</t>
        </r>
      </text>
    </comment>
    <comment ref="O192" authorId="0" shapeId="0" xr:uid="{E52B53F3-5104-4D38-8FB9-F321E0214CE7}">
      <text>
        <r>
          <rPr>
            <sz val="10"/>
            <color indexed="81"/>
            <rFont val="Lucida Console"/>
            <family val="3"/>
          </rPr>
          <t>_x000D_
Pertencia a ATA nº 143/21_x000D_
Estimativa de Renovação enviada em 19.12.2019 - Qtd 25.000_x000D_
PE  61/21 lote _x000D_
30.04.21 = Finalizado. Ata 143/20</t>
        </r>
      </text>
    </comment>
    <comment ref="W192" authorId="0" shapeId="0" xr:uid="{86A16D34-AE7A-4FF4-ADEE-7BD50F73DC47}">
      <text>
        <r>
          <rPr>
            <sz val="10"/>
            <color indexed="81"/>
            <rFont val="Lucida Console"/>
            <family val="3"/>
          </rPr>
          <t>_x000D_
Pedagógico</t>
        </r>
      </text>
    </comment>
    <comment ref="X192" authorId="0" shapeId="0" xr:uid="{1A08358E-72A2-4588-8C7F-40E071BBB0D4}">
      <text>
        <r>
          <rPr>
            <sz val="10"/>
            <color indexed="81"/>
            <rFont val="Lucida Console"/>
            <family val="3"/>
          </rPr>
          <t>_x000D_
MAQ. E EQUIP. P/ IND. GRAFICA COMP. ACESS. E PAPEI</t>
        </r>
      </text>
    </comment>
    <comment ref="Y192" authorId="0" shapeId="0" xr:uid="{7638848B-5492-474F-90F0-907786147F19}">
      <text>
        <r>
          <rPr>
            <sz val="10"/>
            <color indexed="81"/>
            <rFont val="Lucida Console"/>
            <family val="3"/>
          </rPr>
          <t>_x000D_
CARTOES E CARTOLINA</t>
        </r>
      </text>
    </comment>
    <comment ref="AW192" authorId="0" shapeId="0" xr:uid="{492D3EDC-1533-40BC-ABFE-A84AD5FEEA7E}">
      <text>
        <r>
          <rPr>
            <sz val="10"/>
            <color indexed="81"/>
            <rFont val="Lucida Console"/>
            <family val="3"/>
          </rPr>
          <t>Tempo de Estoque (Meses)_x000D_
_x000D_
6.300,0</t>
        </r>
      </text>
    </comment>
    <comment ref="A193" authorId="0" shapeId="0" xr:uid="{255F6EAC-3BA2-4EB7-9D70-2BB3356857C7}">
      <text>
        <r>
          <rPr>
            <sz val="10"/>
            <color indexed="81"/>
            <rFont val="Lucida Console"/>
            <family val="3"/>
          </rPr>
          <t>_x000D_
23862</t>
        </r>
      </text>
    </comment>
    <comment ref="B193" authorId="0" shapeId="0" xr:uid="{B8922062-0128-4681-B94B-0503E613BCB7}">
      <text>
        <r>
          <rPr>
            <sz val="10"/>
            <color indexed="81"/>
            <rFont val="Lucida Console"/>
            <family val="3"/>
          </rPr>
          <t>DESCRIÇÃO DETALHADA_x000D_
PAPEL CARTAO - 50 X 70 CM - VERMELHO (MEDIDAS PODERAO VARIAR +/- 5CM)</t>
        </r>
      </text>
    </comment>
    <comment ref="G193" authorId="0" shapeId="0" xr:uid="{D016A3AB-EB9F-4624-92A5-5B7392F1B888}">
      <text>
        <r>
          <rPr>
            <sz val="10"/>
            <color indexed="81"/>
            <rFont val="Lucida Console"/>
            <family val="3"/>
          </rPr>
          <t>_x000D_
Últ estimativa : 25.000_x000D_
Enviada em     : 19.12.2019_x000D_
Ata - Venc     : 143/21 - 20.05.2022</t>
        </r>
      </text>
    </comment>
    <comment ref="O193" authorId="0" shapeId="0" xr:uid="{22C4FE20-E629-49CA-AD8D-8A2A9CB0EF59}">
      <text>
        <r>
          <rPr>
            <sz val="10"/>
            <color indexed="81"/>
            <rFont val="Lucida Console"/>
            <family val="3"/>
          </rPr>
          <t>_x000D_
Pertencia a ATA nº 143/21_x000D_
Estimativa de Renovação enviada em 19.12.2019 - Qtd 25.000_x000D_
PE  61/21 lote _x000D_
30.04.21 = Finalizado. Ata 143/20</t>
        </r>
      </text>
    </comment>
    <comment ref="W193" authorId="0" shapeId="0" xr:uid="{9ED3AD3D-9028-497C-A830-560FE7E54130}">
      <text>
        <r>
          <rPr>
            <sz val="10"/>
            <color indexed="81"/>
            <rFont val="Lucida Console"/>
            <family val="3"/>
          </rPr>
          <t>_x000D_
Pedagógico</t>
        </r>
      </text>
    </comment>
    <comment ref="X193" authorId="0" shapeId="0" xr:uid="{B8B3DEF4-D81F-4047-AC51-26F4F7BAD3B8}">
      <text>
        <r>
          <rPr>
            <sz val="10"/>
            <color indexed="81"/>
            <rFont val="Lucida Console"/>
            <family val="3"/>
          </rPr>
          <t>_x000D_
MAQ. E EQUIP. P/ IND. GRAFICA COMP. ACESS. E PAPEI</t>
        </r>
      </text>
    </comment>
    <comment ref="Y193" authorId="0" shapeId="0" xr:uid="{520640C0-6E2C-414E-96E4-D6F45CDA0592}">
      <text>
        <r>
          <rPr>
            <sz val="10"/>
            <color indexed="81"/>
            <rFont val="Lucida Console"/>
            <family val="3"/>
          </rPr>
          <t>_x000D_
CARTOES E CARTOLINA</t>
        </r>
      </text>
    </comment>
    <comment ref="AW193" authorId="0" shapeId="0" xr:uid="{B40BDCB3-57C6-4B31-A8C1-7059D9CAEDC7}">
      <text>
        <r>
          <rPr>
            <sz val="10"/>
            <color indexed="81"/>
            <rFont val="Lucida Console"/>
            <family val="3"/>
          </rPr>
          <t>Tempo de Estoque (Meses)_x000D_
_x000D_
5.000,0</t>
        </r>
      </text>
    </comment>
    <comment ref="A194" authorId="0" shapeId="0" xr:uid="{6D883A19-0E86-494B-B32C-2A48B27D62FB}">
      <text>
        <r>
          <rPr>
            <sz val="10"/>
            <color indexed="81"/>
            <rFont val="Lucida Console"/>
            <family val="3"/>
          </rPr>
          <t>_x000D_
23875</t>
        </r>
      </text>
    </comment>
    <comment ref="B194" authorId="0" shapeId="0" xr:uid="{101EF557-60A4-40BB-9266-8EB87BB117AA}">
      <text>
        <r>
          <rPr>
            <sz val="10"/>
            <color indexed="81"/>
            <rFont val="Lucida Console"/>
            <family val="3"/>
          </rPr>
          <t>DESCRIÇÃO DETALHADA_x000D_
PAPEL CARTAO - 50 X 70 CM - LARANJA (MEDIDAS PODERAO VARIAR +/- 5CM)</t>
        </r>
      </text>
    </comment>
    <comment ref="G194" authorId="0" shapeId="0" xr:uid="{2B485ED0-24DD-4ADA-9D33-D23642BCDC72}">
      <text>
        <r>
          <rPr>
            <sz val="10"/>
            <color indexed="81"/>
            <rFont val="Lucida Console"/>
            <family val="3"/>
          </rPr>
          <t>_x000D_
Últ estimativa : 25.000_x000D_
Enviada em     : 19.12.2019_x000D_
Ata - Venc     : 143/21 - 20.05.2022</t>
        </r>
      </text>
    </comment>
    <comment ref="O194" authorId="0" shapeId="0" xr:uid="{4C35082B-79A8-4BD6-8381-8B01B171FB72}">
      <text>
        <r>
          <rPr>
            <sz val="10"/>
            <color indexed="81"/>
            <rFont val="Lucida Console"/>
            <family val="3"/>
          </rPr>
          <t>_x000D_
Pertencia a ATA nº 143/21_x000D_
Estimativa de Renovação enviada em 19.12.2019 - Qtd 25.000_x000D_
PE  61/21 lote _x000D_
30.04.21 = Finalizado. Ata 143/20</t>
        </r>
      </text>
    </comment>
    <comment ref="W194" authorId="0" shapeId="0" xr:uid="{39C1610A-103D-4BBF-B6AB-DF13540FD0A1}">
      <text>
        <r>
          <rPr>
            <sz val="10"/>
            <color indexed="81"/>
            <rFont val="Lucida Console"/>
            <family val="3"/>
          </rPr>
          <t>_x000D_
Pedagógico</t>
        </r>
      </text>
    </comment>
    <comment ref="X194" authorId="0" shapeId="0" xr:uid="{106C36AB-49E5-4F49-A860-B8274BBF28C1}">
      <text>
        <r>
          <rPr>
            <sz val="10"/>
            <color indexed="81"/>
            <rFont val="Lucida Console"/>
            <family val="3"/>
          </rPr>
          <t>_x000D_
MAQ. E EQUIP. P/ IND. GRAFICA COMP. ACESS. E PAPEI</t>
        </r>
      </text>
    </comment>
    <comment ref="Y194" authorId="0" shapeId="0" xr:uid="{E9E1628B-A6A7-4BCB-A0AC-9C3095D8BDC7}">
      <text>
        <r>
          <rPr>
            <sz val="10"/>
            <color indexed="81"/>
            <rFont val="Lucida Console"/>
            <family val="3"/>
          </rPr>
          <t>_x000D_
CARTOES E CARTOLINA</t>
        </r>
      </text>
    </comment>
    <comment ref="AW194" authorId="0" shapeId="0" xr:uid="{AEA6A036-A4C3-4DD8-AA4A-CE6E7B590167}">
      <text>
        <r>
          <rPr>
            <sz val="10"/>
            <color indexed="81"/>
            <rFont val="Lucida Console"/>
            <family val="3"/>
          </rPr>
          <t>Tempo de Estoque (Meses)_x000D_
_x000D_
3.500,0</t>
        </r>
      </text>
    </comment>
    <comment ref="A195" authorId="0" shapeId="0" xr:uid="{F4FBBB46-E0DA-44AF-8F82-F2E975AF534D}">
      <text>
        <r>
          <rPr>
            <sz val="10"/>
            <color indexed="81"/>
            <rFont val="Lucida Console"/>
            <family val="3"/>
          </rPr>
          <t>_x000D_
30165</t>
        </r>
      </text>
    </comment>
    <comment ref="B195" authorId="0" shapeId="0" xr:uid="{61D5D681-E1BE-4CBE-8328-BC415D119195}">
      <text>
        <r>
          <rPr>
            <sz val="10"/>
            <color indexed="81"/>
            <rFont val="Lucida Console"/>
            <family val="3"/>
          </rPr>
          <t>DESCRIÇÃO DETALHADA_x000D_
PAPEL CARTAO - 50 X 70 CM - AZUL ESCURO (MEDIDAS PODERAO VARIAR +/- 5CM)</t>
        </r>
      </text>
    </comment>
    <comment ref="G195" authorId="0" shapeId="0" xr:uid="{555461E6-CFBA-414C-9B4D-2637A135E61E}">
      <text>
        <r>
          <rPr>
            <sz val="10"/>
            <color indexed="81"/>
            <rFont val="Lucida Console"/>
            <family val="3"/>
          </rPr>
          <t>_x000D_
Últ estimativa : 25.000_x000D_
Enviada em     : 19.12.2019_x000D_
Ata - Venc     : 143/21 - 20.05.2022</t>
        </r>
      </text>
    </comment>
    <comment ref="O195" authorId="0" shapeId="0" xr:uid="{D3706066-8D71-4F92-A865-FDB64193878C}">
      <text>
        <r>
          <rPr>
            <sz val="10"/>
            <color indexed="81"/>
            <rFont val="Lucida Console"/>
            <family val="3"/>
          </rPr>
          <t>_x000D_
Pertencia a ATA nº 143/21_x000D_
Estimativa de Renovação enviada em 19.12.2019 - Qtd 25.000_x000D_
PE  61/21 lote _x000D_
30.04.21 = Finalizado. Ata 143/20</t>
        </r>
      </text>
    </comment>
    <comment ref="W195" authorId="0" shapeId="0" xr:uid="{AE9E24F5-BC72-486A-9139-29DCF1A5FA5D}">
      <text>
        <r>
          <rPr>
            <sz val="10"/>
            <color indexed="81"/>
            <rFont val="Lucida Console"/>
            <family val="3"/>
          </rPr>
          <t>_x000D_
Pedagógico</t>
        </r>
      </text>
    </comment>
    <comment ref="X195" authorId="0" shapeId="0" xr:uid="{0AD3FF31-5925-42E9-ABDA-BD173AC0977F}">
      <text>
        <r>
          <rPr>
            <sz val="10"/>
            <color indexed="81"/>
            <rFont val="Lucida Console"/>
            <family val="3"/>
          </rPr>
          <t>_x000D_
MAQ. E EQUIP. P/ IND. GRAFICA COMP. ACESS. E PAPEI</t>
        </r>
      </text>
    </comment>
    <comment ref="Y195" authorId="0" shapeId="0" xr:uid="{C1CA2519-557E-4CA1-804F-CA7147E77813}">
      <text>
        <r>
          <rPr>
            <sz val="10"/>
            <color indexed="81"/>
            <rFont val="Lucida Console"/>
            <family val="3"/>
          </rPr>
          <t>_x000D_
CARTOES E CARTOLINA</t>
        </r>
      </text>
    </comment>
    <comment ref="AW195" authorId="0" shapeId="0" xr:uid="{A25D7BB0-36B7-4EFC-854E-BAD2F2F62D54}">
      <text>
        <r>
          <rPr>
            <sz val="10"/>
            <color indexed="81"/>
            <rFont val="Lucida Console"/>
            <family val="3"/>
          </rPr>
          <t>Tempo de Estoque (Meses)_x000D_
_x000D_
7.300,0</t>
        </r>
      </text>
    </comment>
    <comment ref="A196" authorId="0" shapeId="0" xr:uid="{9C606787-606A-4BCD-9EF2-D7B972BF0DFD}">
      <text>
        <r>
          <rPr>
            <sz val="10"/>
            <color indexed="81"/>
            <rFont val="Lucida Console"/>
            <family val="3"/>
          </rPr>
          <t>_x000D_
32933</t>
        </r>
      </text>
    </comment>
    <comment ref="B196" authorId="0" shapeId="0" xr:uid="{B9143C24-57E8-4D9C-9A2D-D2D32363CA08}">
      <text>
        <r>
          <rPr>
            <sz val="10"/>
            <color indexed="81"/>
            <rFont val="Lucida Console"/>
            <family val="3"/>
          </rPr>
          <t>DESCRIÇÃO DETALHADA_x000D_
PAPEL CARTAO - 50 X 70 CM - VERDE ESCURO (MEDIDAS PODERAO VARIAR +/- 5CM)</t>
        </r>
      </text>
    </comment>
    <comment ref="G196" authorId="0" shapeId="0" xr:uid="{92962E5C-AA5F-45EA-AD4B-7BEDBE39C6D0}">
      <text>
        <r>
          <rPr>
            <sz val="10"/>
            <color indexed="81"/>
            <rFont val="Lucida Console"/>
            <family val="3"/>
          </rPr>
          <t>_x000D_
Últ estimativa : 25.000_x000D_
Enviada em     : 19.12.2019_x000D_
Ata - Venc     : 143/21 - 20.05.2022</t>
        </r>
      </text>
    </comment>
    <comment ref="O196" authorId="0" shapeId="0" xr:uid="{F31F6282-DE12-48A9-85BF-34D15D830BEF}">
      <text>
        <r>
          <rPr>
            <sz val="10"/>
            <color indexed="81"/>
            <rFont val="Lucida Console"/>
            <family val="3"/>
          </rPr>
          <t>_x000D_
Pertencia a ATA nº 143/21_x000D_
Estimativa de Renovação enviada em 19.12.2019 - Qtd 25.000_x000D_
PE  61/21 lote _x000D_
30.04.21 = Finalizado. Ata 143/20</t>
        </r>
      </text>
    </comment>
    <comment ref="W196" authorId="0" shapeId="0" xr:uid="{FB4FFE77-F60D-459F-935F-0ED06EE6C196}">
      <text>
        <r>
          <rPr>
            <sz val="10"/>
            <color indexed="81"/>
            <rFont val="Lucida Console"/>
            <family val="3"/>
          </rPr>
          <t>_x000D_
Pedagógico</t>
        </r>
      </text>
    </comment>
    <comment ref="X196" authorId="0" shapeId="0" xr:uid="{E0C16B81-8F45-47F2-B568-E5C528F43DC4}">
      <text>
        <r>
          <rPr>
            <sz val="10"/>
            <color indexed="81"/>
            <rFont val="Lucida Console"/>
            <family val="3"/>
          </rPr>
          <t>_x000D_
MAQ. E EQUIP. P/ IND. GRAFICA COMP. ACESS. E PAPEI</t>
        </r>
      </text>
    </comment>
    <comment ref="Y196" authorId="0" shapeId="0" xr:uid="{DC12C262-A545-4551-B842-846657B482B0}">
      <text>
        <r>
          <rPr>
            <sz val="10"/>
            <color indexed="81"/>
            <rFont val="Lucida Console"/>
            <family val="3"/>
          </rPr>
          <t>_x000D_
CARTOES E CARTOLINA</t>
        </r>
      </text>
    </comment>
    <comment ref="AW196" authorId="0" shapeId="0" xr:uid="{E9B7A57C-9323-475B-830A-67FD0D88349E}">
      <text>
        <r>
          <rPr>
            <sz val="10"/>
            <color indexed="81"/>
            <rFont val="Lucida Console"/>
            <family val="3"/>
          </rPr>
          <t>Tempo de Estoque (Meses)_x000D_
_x000D_
5.700,0</t>
        </r>
      </text>
    </comment>
    <comment ref="A197" authorId="0" shapeId="0" xr:uid="{CBA29B36-54FE-497F-BF2F-A6427F37696C}">
      <text>
        <r>
          <rPr>
            <sz val="10"/>
            <color indexed="81"/>
            <rFont val="Lucida Console"/>
            <family val="3"/>
          </rPr>
          <t>_x000D_
47447</t>
        </r>
      </text>
    </comment>
    <comment ref="B197" authorId="0" shapeId="0" xr:uid="{9D74F94C-E842-4105-AB5F-0D54D5AD9F36}">
      <text>
        <r>
          <rPr>
            <sz val="10"/>
            <color indexed="81"/>
            <rFont val="Lucida Console"/>
            <family val="3"/>
          </rPr>
          <t>DESCRIÇÃO DETALHADA_x000D_
CARTOLINA - VERDE CLARO - 50 X 66 CM - GRAMATURA 180G/M2</t>
        </r>
      </text>
    </comment>
    <comment ref="G197" authorId="0" shapeId="0" xr:uid="{E55EDC60-C878-4E57-B2E0-85733C7EC9A0}">
      <text>
        <r>
          <rPr>
            <sz val="10"/>
            <color indexed="81"/>
            <rFont val="Lucida Console"/>
            <family val="3"/>
          </rPr>
          <t>_x000D_
Últ estimativa : 25.000_x000D_
Enviada em     : 19.12.2019_x000D_
Ata - Venc     : 143/21 - 20.05.2022</t>
        </r>
      </text>
    </comment>
    <comment ref="O197" authorId="0" shapeId="0" xr:uid="{FE5831FE-2263-4BA4-8C3F-FA6772CACE14}">
      <text>
        <r>
          <rPr>
            <sz val="10"/>
            <color indexed="81"/>
            <rFont val="Lucida Console"/>
            <family val="3"/>
          </rPr>
          <t>_x000D_
Pertencia a ATA nº 143/21_x000D_
Estimativa de Renovação enviada em 19.12.2019 - Qtd 25.000_x000D_
PE  61/21 lote _x000D_
30.04.21 = Finalizado. Ata 143/20</t>
        </r>
      </text>
    </comment>
    <comment ref="W197" authorId="0" shapeId="0" xr:uid="{33A74BB0-9E60-4D3B-8208-89226A7F669A}">
      <text>
        <r>
          <rPr>
            <sz val="10"/>
            <color indexed="81"/>
            <rFont val="Lucida Console"/>
            <family val="3"/>
          </rPr>
          <t>_x000D_
Pedagógico</t>
        </r>
      </text>
    </comment>
    <comment ref="X197" authorId="0" shapeId="0" xr:uid="{42CFDB63-A8E6-4E15-A608-5D469C87B794}">
      <text>
        <r>
          <rPr>
            <sz val="10"/>
            <color indexed="81"/>
            <rFont val="Lucida Console"/>
            <family val="3"/>
          </rPr>
          <t>_x000D_
MAQ. E EQUIP. P/ IND. GRAFICA COMP. ACESS. E PAPEI</t>
        </r>
      </text>
    </comment>
    <comment ref="Y197" authorId="0" shapeId="0" xr:uid="{7DB3BAC9-468E-496C-A964-01FEA7B14125}">
      <text>
        <r>
          <rPr>
            <sz val="10"/>
            <color indexed="81"/>
            <rFont val="Lucida Console"/>
            <family val="3"/>
          </rPr>
          <t>_x000D_
CARTOES E CARTOLINA</t>
        </r>
      </text>
    </comment>
    <comment ref="AW197" authorId="0" shapeId="0" xr:uid="{0A0DA364-78A7-41ED-9397-FA8736CAA182}">
      <text>
        <r>
          <rPr>
            <sz val="10"/>
            <color indexed="81"/>
            <rFont val="Lucida Console"/>
            <family val="3"/>
          </rPr>
          <t>Tempo de Estoque (Meses)_x000D_
_x000D_
10.908,0</t>
        </r>
      </text>
    </comment>
    <comment ref="A198" authorId="0" shapeId="0" xr:uid="{2943B1AF-7C0D-4C3D-91DD-62B984EC810C}">
      <text>
        <r>
          <rPr>
            <sz val="10"/>
            <color indexed="81"/>
            <rFont val="Lucida Console"/>
            <family val="3"/>
          </rPr>
          <t>_x000D_
133843</t>
        </r>
      </text>
    </comment>
    <comment ref="B198" authorId="0" shapeId="0" xr:uid="{684BF726-AB92-4B57-9488-089BDAD14988}">
      <text>
        <r>
          <rPr>
            <sz val="10"/>
            <color indexed="81"/>
            <rFont val="Lucida Console"/>
            <family val="3"/>
          </rPr>
          <t>DESCRIÇÃO DETALHADA_x000D_
CARTOLINA DUPLA FACE / COLOR SET AMARELA (COR VIVA, VIBRANTE, UNIFORME E SEM MANCHAS) - 48 X 66 CM VARIACAO +/- 5 CM)</t>
        </r>
      </text>
    </comment>
    <comment ref="G198" authorId="0" shapeId="0" xr:uid="{A06EC2D5-1F3D-4075-8BDE-C9950D1E2624}">
      <text>
        <r>
          <rPr>
            <sz val="10"/>
            <color indexed="81"/>
            <rFont val="Lucida Console"/>
            <family val="3"/>
          </rPr>
          <t>_x000D_
Últ estimativa : 25.000_x000D_
Enviada em     : 19.12.2019_x000D_
Ata - Venc     : 143/21 - 20.05.2022</t>
        </r>
      </text>
    </comment>
    <comment ref="O198" authorId="0" shapeId="0" xr:uid="{17DB59D8-0BB8-4B81-845C-CB7CB756CC67}">
      <text>
        <r>
          <rPr>
            <sz val="10"/>
            <color indexed="81"/>
            <rFont val="Lucida Console"/>
            <family val="3"/>
          </rPr>
          <t>_x000D_
Pertencia a ATA nº 143/21_x000D_
Estimativa de Renovação enviada em 19.12.2019 - Qtd 25.000_x000D_
PE  61/21 lote _x000D_
30.04.21 = Finalizado. Ata 143/20</t>
        </r>
      </text>
    </comment>
    <comment ref="W198" authorId="0" shapeId="0" xr:uid="{33C4DF9C-BD80-483D-8A66-8D38187F442F}">
      <text>
        <r>
          <rPr>
            <sz val="10"/>
            <color indexed="81"/>
            <rFont val="Lucida Console"/>
            <family val="3"/>
          </rPr>
          <t>_x000D_
Pedagógico</t>
        </r>
      </text>
    </comment>
    <comment ref="X198" authorId="0" shapeId="0" xr:uid="{F0295079-5E88-4E2D-A09C-64B17D332D77}">
      <text>
        <r>
          <rPr>
            <sz val="10"/>
            <color indexed="81"/>
            <rFont val="Lucida Console"/>
            <family val="3"/>
          </rPr>
          <t>_x000D_
MAQ. E EQUIP. P/ IND. GRAFICA COMP. ACESS. E PAPEI</t>
        </r>
      </text>
    </comment>
    <comment ref="Y198" authorId="0" shapeId="0" xr:uid="{34167059-0112-42D4-930F-059F927C6EE3}">
      <text>
        <r>
          <rPr>
            <sz val="10"/>
            <color indexed="81"/>
            <rFont val="Lucida Console"/>
            <family val="3"/>
          </rPr>
          <t>_x000D_
CARTOES E CARTOLINA</t>
        </r>
      </text>
    </comment>
    <comment ref="AW198" authorId="0" shapeId="0" xr:uid="{5B9701E1-6065-409A-863E-24925F7C6538}">
      <text>
        <r>
          <rPr>
            <sz val="10"/>
            <color indexed="81"/>
            <rFont val="Lucida Console"/>
            <family val="3"/>
          </rPr>
          <t>Tempo de Estoque (Meses)_x000D_
_x000D_
2.200,0</t>
        </r>
      </text>
    </comment>
    <comment ref="A199" authorId="0" shapeId="0" xr:uid="{331F4A10-15B6-4218-84EF-D472FEA30F9B}">
      <text>
        <r>
          <rPr>
            <sz val="10"/>
            <color indexed="81"/>
            <rFont val="Lucida Console"/>
            <family val="3"/>
          </rPr>
          <t>_x000D_
133844</t>
        </r>
      </text>
    </comment>
    <comment ref="B199" authorId="0" shapeId="0" xr:uid="{F43BAF79-95F1-42F7-83D7-16CAC3A51CE4}">
      <text>
        <r>
          <rPr>
            <sz val="10"/>
            <color indexed="81"/>
            <rFont val="Lucida Console"/>
            <family val="3"/>
          </rPr>
          <t>DESCRIÇÃO DETALHADA_x000D_
CARTOLINA DUPLA FACE / COLOR SET AZUL ESCURO (COR VIVA, VIBRANTE, UNIFORME E SEM MANCHAS) - 48 X 66 CM VARIACAO +/- 5 CM)</t>
        </r>
      </text>
    </comment>
    <comment ref="G199" authorId="0" shapeId="0" xr:uid="{67A69B2F-F135-4765-8040-FC0271A892CF}">
      <text>
        <r>
          <rPr>
            <sz val="10"/>
            <color indexed="81"/>
            <rFont val="Lucida Console"/>
            <family val="3"/>
          </rPr>
          <t>_x000D_
Últ estimativa : 25.000_x000D_
Enviada em     : 19.12.2019_x000D_
Ata - Venc     : 143/21 - 20.05.2022</t>
        </r>
      </text>
    </comment>
    <comment ref="O199" authorId="0" shapeId="0" xr:uid="{9A5EB108-83A0-4C83-8B13-B45C58CD9517}">
      <text>
        <r>
          <rPr>
            <sz val="10"/>
            <color indexed="81"/>
            <rFont val="Lucida Console"/>
            <family val="3"/>
          </rPr>
          <t>_x000D_
Pertencia a ATA nº 143/21_x000D_
Estimativa de Renovação enviada em 19.12.2019 - Qtd 25.000_x000D_
PE  61/21 lote _x000D_
30.04.21 = Finalizado. Ata 143/20</t>
        </r>
      </text>
    </comment>
    <comment ref="W199" authorId="0" shapeId="0" xr:uid="{6C7F8655-BAEA-4A6E-9872-F2DE76B8A0D7}">
      <text>
        <r>
          <rPr>
            <sz val="10"/>
            <color indexed="81"/>
            <rFont val="Lucida Console"/>
            <family val="3"/>
          </rPr>
          <t>_x000D_
Pedagógico</t>
        </r>
      </text>
    </comment>
    <comment ref="X199" authorId="0" shapeId="0" xr:uid="{CFC2BAAE-3FFB-4C6D-836D-B4932CC73FD0}">
      <text>
        <r>
          <rPr>
            <sz val="10"/>
            <color indexed="81"/>
            <rFont val="Lucida Console"/>
            <family val="3"/>
          </rPr>
          <t>_x000D_
MAQ. E EQUIP. P/ IND. GRAFICA COMP. ACESS. E PAPEI</t>
        </r>
      </text>
    </comment>
    <comment ref="Y199" authorId="0" shapeId="0" xr:uid="{CBDC53D8-BF54-4F4F-8304-A9B5FA693454}">
      <text>
        <r>
          <rPr>
            <sz val="10"/>
            <color indexed="81"/>
            <rFont val="Lucida Console"/>
            <family val="3"/>
          </rPr>
          <t>_x000D_
CARTOES E CARTOLINA</t>
        </r>
      </text>
    </comment>
    <comment ref="AW199" authorId="0" shapeId="0" xr:uid="{E9DDD26F-515E-4226-896B-DF106087999F}">
      <text>
        <r>
          <rPr>
            <sz val="10"/>
            <color indexed="81"/>
            <rFont val="Lucida Console"/>
            <family val="3"/>
          </rPr>
          <t>Tempo de Estoque (Meses)_x000D_
_x000D_
4.300,0</t>
        </r>
      </text>
    </comment>
    <comment ref="A200" authorId="0" shapeId="0" xr:uid="{A99B827D-4DC4-47B5-A65C-AB18D3EE1D55}">
      <text>
        <r>
          <rPr>
            <sz val="10"/>
            <color indexed="81"/>
            <rFont val="Lucida Console"/>
            <family val="3"/>
          </rPr>
          <t>_x000D_
133845</t>
        </r>
      </text>
    </comment>
    <comment ref="B200" authorId="0" shapeId="0" xr:uid="{BB486FD0-652C-4565-9498-286331E45D69}">
      <text>
        <r>
          <rPr>
            <sz val="10"/>
            <color indexed="81"/>
            <rFont val="Lucida Console"/>
            <family val="3"/>
          </rPr>
          <t>DESCRIÇÃO DETALHADA_x000D_
CARTOLINA DUPLA FACE / COLOR SET LARANJA (COR VIVA, VIBRANTE, UNIFORME E SEM MANCHAS) - 48 X 66 CM VARIACAO +/- 5 CM)</t>
        </r>
      </text>
    </comment>
    <comment ref="G200" authorId="0" shapeId="0" xr:uid="{B5862C50-4706-4E3B-9D7B-3814D8D47189}">
      <text>
        <r>
          <rPr>
            <sz val="10"/>
            <color indexed="81"/>
            <rFont val="Lucida Console"/>
            <family val="3"/>
          </rPr>
          <t>_x000D_
Últ estimativa : 25.000_x000D_
Enviada em     : 19.12.2019_x000D_
Ata - Venc     : 143/21 - 20.05.2022</t>
        </r>
      </text>
    </comment>
    <comment ref="O200" authorId="0" shapeId="0" xr:uid="{CE0365C6-A23F-4D9E-945C-EBE942F2B4AA}">
      <text>
        <r>
          <rPr>
            <sz val="10"/>
            <color indexed="81"/>
            <rFont val="Lucida Console"/>
            <family val="3"/>
          </rPr>
          <t>_x000D_
Pertencia a ATA nº 143/21_x000D_
Estimativa de Renovação enviada em 19.12.2019 - Qtd 25.000_x000D_
PE  61/21 lote _x000D_
30.04.21 = Finalizado. Ata 143/20</t>
        </r>
      </text>
    </comment>
    <comment ref="W200" authorId="0" shapeId="0" xr:uid="{67879494-C883-4D8D-8D40-9A338F2C9A6F}">
      <text>
        <r>
          <rPr>
            <sz val="10"/>
            <color indexed="81"/>
            <rFont val="Lucida Console"/>
            <family val="3"/>
          </rPr>
          <t>_x000D_
Pedagógico</t>
        </r>
      </text>
    </comment>
    <comment ref="X200" authorId="0" shapeId="0" xr:uid="{08A22F3B-F9CB-485D-A6AF-C45AA10EBFA4}">
      <text>
        <r>
          <rPr>
            <sz val="10"/>
            <color indexed="81"/>
            <rFont val="Lucida Console"/>
            <family val="3"/>
          </rPr>
          <t>_x000D_
MAQ. E EQUIP. P/ IND. GRAFICA COMP. ACESS. E PAPEI</t>
        </r>
      </text>
    </comment>
    <comment ref="Y200" authorId="0" shapeId="0" xr:uid="{6D5DC719-19D0-4342-B0FF-D850C69FE8F8}">
      <text>
        <r>
          <rPr>
            <sz val="10"/>
            <color indexed="81"/>
            <rFont val="Lucida Console"/>
            <family val="3"/>
          </rPr>
          <t>_x000D_
CARTOES E CARTOLINA</t>
        </r>
      </text>
    </comment>
    <comment ref="AW200" authorId="0" shapeId="0" xr:uid="{D745F2D9-87E5-42C4-934D-3114D288BB22}">
      <text>
        <r>
          <rPr>
            <sz val="10"/>
            <color indexed="81"/>
            <rFont val="Lucida Console"/>
            <family val="3"/>
          </rPr>
          <t>Tempo de Estoque (Meses)_x000D_
_x000D_
2.230,0</t>
        </r>
      </text>
    </comment>
    <comment ref="A201" authorId="0" shapeId="0" xr:uid="{BE30A540-14C3-4D2F-9225-BB253773327B}">
      <text>
        <r>
          <rPr>
            <sz val="10"/>
            <color indexed="81"/>
            <rFont val="Lucida Console"/>
            <family val="3"/>
          </rPr>
          <t>_x000D_
133846</t>
        </r>
      </text>
    </comment>
    <comment ref="B201" authorId="0" shapeId="0" xr:uid="{EBF8ABF1-6CD0-4E18-BED9-C72606DC4741}">
      <text>
        <r>
          <rPr>
            <sz val="10"/>
            <color indexed="81"/>
            <rFont val="Lucida Console"/>
            <family val="3"/>
          </rPr>
          <t>DESCRIÇÃO DETALHADA_x000D_
CARTOLINA DUPLA FACE / COLOR SET MARROM (COR VIVA, VIBRANTE, UNIFORME E SEM MANCHAS) - 48 X 66 CM VARIACAO +/- 5 CM)</t>
        </r>
      </text>
    </comment>
    <comment ref="G201" authorId="0" shapeId="0" xr:uid="{ECD30BB7-18A1-43A1-9620-F4702034864A}">
      <text>
        <r>
          <rPr>
            <sz val="10"/>
            <color indexed="81"/>
            <rFont val="Lucida Console"/>
            <family val="3"/>
          </rPr>
          <t>_x000D_
Últ estimativa : 25.000_x000D_
Enviada em     : 19.12.2019_x000D_
Ata - Venc     : 143/21 - 20.05.2022</t>
        </r>
      </text>
    </comment>
    <comment ref="O201" authorId="0" shapeId="0" xr:uid="{0C2D7335-ECC8-45EA-8B13-7984712AB784}">
      <text>
        <r>
          <rPr>
            <sz val="10"/>
            <color indexed="81"/>
            <rFont val="Lucida Console"/>
            <family val="3"/>
          </rPr>
          <t>_x000D_
Pertencia a ATA nº 143/21_x000D_
Estimativa de Renovação enviada em 19.12.2019 - Qtd 25.000_x000D_
PE  61/21 lote _x000D_
30.04.21 = Finalizado. Ata 143/20</t>
        </r>
      </text>
    </comment>
    <comment ref="W201" authorId="0" shapeId="0" xr:uid="{B73C6724-A832-4EC6-BA98-8C0705BF4715}">
      <text>
        <r>
          <rPr>
            <sz val="10"/>
            <color indexed="81"/>
            <rFont val="Lucida Console"/>
            <family val="3"/>
          </rPr>
          <t>_x000D_
Pedagógico</t>
        </r>
      </text>
    </comment>
    <comment ref="X201" authorId="0" shapeId="0" xr:uid="{A7D7FA8A-FF4D-4D37-A24E-46D0177CC7F2}">
      <text>
        <r>
          <rPr>
            <sz val="10"/>
            <color indexed="81"/>
            <rFont val="Lucida Console"/>
            <family val="3"/>
          </rPr>
          <t>_x000D_
MAQ. E EQUIP. P/ IND. GRAFICA COMP. ACESS. E PAPEI</t>
        </r>
      </text>
    </comment>
    <comment ref="Y201" authorId="0" shapeId="0" xr:uid="{59917E9B-259B-4C66-AEED-AD499C06484C}">
      <text>
        <r>
          <rPr>
            <sz val="10"/>
            <color indexed="81"/>
            <rFont val="Lucida Console"/>
            <family val="3"/>
          </rPr>
          <t>_x000D_
CARTOES E CARTOLINA</t>
        </r>
      </text>
    </comment>
    <comment ref="AW201" authorId="0" shapeId="0" xr:uid="{8A45DDA7-A9A1-471B-B1B0-56F35DFAD96E}">
      <text>
        <r>
          <rPr>
            <sz val="10"/>
            <color indexed="81"/>
            <rFont val="Lucida Console"/>
            <family val="3"/>
          </rPr>
          <t>Tempo de Estoque (Meses)_x000D_
_x000D_
4.500,0</t>
        </r>
      </text>
    </comment>
    <comment ref="A202" authorId="0" shapeId="0" xr:uid="{3B3BE497-F363-47BF-933E-5F6EA62AA1F8}">
      <text>
        <r>
          <rPr>
            <sz val="10"/>
            <color indexed="81"/>
            <rFont val="Lucida Console"/>
            <family val="3"/>
          </rPr>
          <t>_x000D_
133847</t>
        </r>
      </text>
    </comment>
    <comment ref="B202" authorId="0" shapeId="0" xr:uid="{327422C3-4DBC-4F60-948E-0C3CA5603347}">
      <text>
        <r>
          <rPr>
            <sz val="10"/>
            <color indexed="81"/>
            <rFont val="Lucida Console"/>
            <family val="3"/>
          </rPr>
          <t>DESCRIÇÃO DETALHADA_x000D_
CARTOLINA DUPLA FACE / COLOR SET PRETA (COR VIVA, VIBRANTE, UNIFORME E SEM MANCHAS) - 48 X 66 CM VARIACAO +/- 5 CM)</t>
        </r>
      </text>
    </comment>
    <comment ref="G202" authorId="0" shapeId="0" xr:uid="{E5C6E130-9622-4474-BB66-93862DF73848}">
      <text>
        <r>
          <rPr>
            <sz val="10"/>
            <color indexed="81"/>
            <rFont val="Lucida Console"/>
            <family val="3"/>
          </rPr>
          <t>_x000D_
Últ estimativa : 25.000_x000D_
Enviada em     : 19.12.2019_x000D_
Ata - Venc     : 143/21 - 20.05.2022</t>
        </r>
      </text>
    </comment>
    <comment ref="O202" authorId="0" shapeId="0" xr:uid="{0100D602-6A30-4536-A7CD-9C786DEA41B0}">
      <text>
        <r>
          <rPr>
            <sz val="10"/>
            <color indexed="81"/>
            <rFont val="Lucida Console"/>
            <family val="3"/>
          </rPr>
          <t>_x000D_
Pertencia a ATA nº 143/21_x000D_
Estimativa de Renovação enviada em 19.12.2019 - Qtd 25.000_x000D_
PE  61/21 lote _x000D_
30.04.21 = Finalizado. Ata 143/20</t>
        </r>
      </text>
    </comment>
    <comment ref="W202" authorId="0" shapeId="0" xr:uid="{2973A787-D410-402A-9DEC-6CED50E4C5DC}">
      <text>
        <r>
          <rPr>
            <sz val="10"/>
            <color indexed="81"/>
            <rFont val="Lucida Console"/>
            <family val="3"/>
          </rPr>
          <t>_x000D_
Pedagógico</t>
        </r>
      </text>
    </comment>
    <comment ref="X202" authorId="0" shapeId="0" xr:uid="{3D3BD54D-576B-455E-B908-69C29B7911A1}">
      <text>
        <r>
          <rPr>
            <sz val="10"/>
            <color indexed="81"/>
            <rFont val="Lucida Console"/>
            <family val="3"/>
          </rPr>
          <t>_x000D_
MAQ. E EQUIP. P/ IND. GRAFICA COMP. ACESS. E PAPEI</t>
        </r>
      </text>
    </comment>
    <comment ref="Y202" authorId="0" shapeId="0" xr:uid="{39F4DD17-9180-4242-A72D-925C87C4BE78}">
      <text>
        <r>
          <rPr>
            <sz val="10"/>
            <color indexed="81"/>
            <rFont val="Lucida Console"/>
            <family val="3"/>
          </rPr>
          <t>_x000D_
CARTOES E CARTOLINA</t>
        </r>
      </text>
    </comment>
    <comment ref="AW202" authorId="0" shapeId="0" xr:uid="{2D7CD3F5-B6CB-4557-951C-104939DC1A81}">
      <text>
        <r>
          <rPr>
            <sz val="10"/>
            <color indexed="81"/>
            <rFont val="Lucida Console"/>
            <family val="3"/>
          </rPr>
          <t>Tempo de Estoque (Meses)_x000D_
_x000D_
6.500,0</t>
        </r>
      </text>
    </comment>
    <comment ref="A203" authorId="0" shapeId="0" xr:uid="{719C761A-FC34-454B-AF7B-FE2C1010B5BF}">
      <text>
        <r>
          <rPr>
            <sz val="10"/>
            <color indexed="81"/>
            <rFont val="Lucida Console"/>
            <family val="3"/>
          </rPr>
          <t>_x000D_
133848</t>
        </r>
      </text>
    </comment>
    <comment ref="B203" authorId="0" shapeId="0" xr:uid="{D02FC9AA-0CC1-4C44-A411-3A62F007C5D9}">
      <text>
        <r>
          <rPr>
            <sz val="10"/>
            <color indexed="81"/>
            <rFont val="Lucida Console"/>
            <family val="3"/>
          </rPr>
          <t>DESCRIÇÃO DETALHADA_x000D_
CARTOLINA DUPLA FACE / COLOR SET ROSA (COR VIVA, VIBRANTE, UNIFORME E SEM MANCHAS) - 48 X 66 CM VARIACAO +/- 5 CM)</t>
        </r>
      </text>
    </comment>
    <comment ref="G203" authorId="0" shapeId="0" xr:uid="{C9A04176-F2FF-4D51-AF29-94C790B37AC6}">
      <text>
        <r>
          <rPr>
            <sz val="10"/>
            <color indexed="81"/>
            <rFont val="Lucida Console"/>
            <family val="3"/>
          </rPr>
          <t>_x000D_
Últ estimativa : 25.000_x000D_
Enviada em     : 19.12.2019_x000D_
Ata - Venc     : 143/21 - 20.05.2022</t>
        </r>
      </text>
    </comment>
    <comment ref="O203" authorId="0" shapeId="0" xr:uid="{2C090392-8948-4A53-B95C-7BD9CB68375A}">
      <text>
        <r>
          <rPr>
            <sz val="10"/>
            <color indexed="81"/>
            <rFont val="Lucida Console"/>
            <family val="3"/>
          </rPr>
          <t>_x000D_
Pertencia a ATA nº 143/21_x000D_
Estimativa de Renovação enviada em 19.12.2019 - Qtd 25.000_x000D_
PE  61/21 lote _x000D_
30.04.21 = Finalizado. Ata 143/20</t>
        </r>
      </text>
    </comment>
    <comment ref="W203" authorId="0" shapeId="0" xr:uid="{8376FC91-CC00-4ECE-9FC1-851A353651E8}">
      <text>
        <r>
          <rPr>
            <sz val="10"/>
            <color indexed="81"/>
            <rFont val="Lucida Console"/>
            <family val="3"/>
          </rPr>
          <t>_x000D_
Pedagógico</t>
        </r>
      </text>
    </comment>
    <comment ref="X203" authorId="0" shapeId="0" xr:uid="{7F30EA12-D160-43CC-AB84-97E3C0976FE4}">
      <text>
        <r>
          <rPr>
            <sz val="10"/>
            <color indexed="81"/>
            <rFont val="Lucida Console"/>
            <family val="3"/>
          </rPr>
          <t>_x000D_
MAQ. E EQUIP. P/ IND. GRAFICA COMP. ACESS. E PAPEI</t>
        </r>
      </text>
    </comment>
    <comment ref="Y203" authorId="0" shapeId="0" xr:uid="{D568F086-FF16-4130-8F2B-9A493606E5A1}">
      <text>
        <r>
          <rPr>
            <sz val="10"/>
            <color indexed="81"/>
            <rFont val="Lucida Console"/>
            <family val="3"/>
          </rPr>
          <t>_x000D_
CARTOES E CARTOLINA</t>
        </r>
      </text>
    </comment>
    <comment ref="AW203" authorId="0" shapeId="0" xr:uid="{543F7A82-348A-4343-83C3-5FA0779E0F61}">
      <text>
        <r>
          <rPr>
            <sz val="10"/>
            <color indexed="81"/>
            <rFont val="Lucida Console"/>
            <family val="3"/>
          </rPr>
          <t>Tempo de Estoque (Meses)_x000D_
_x000D_
6.200,0</t>
        </r>
      </text>
    </comment>
    <comment ref="A204" authorId="0" shapeId="0" xr:uid="{6FFA7815-9F9F-491D-8AD9-FE306042EC21}">
      <text>
        <r>
          <rPr>
            <sz val="10"/>
            <color indexed="81"/>
            <rFont val="Lucida Console"/>
            <family val="3"/>
          </rPr>
          <t>_x000D_
133849</t>
        </r>
      </text>
    </comment>
    <comment ref="B204" authorId="0" shapeId="0" xr:uid="{A4FFCBEE-E4E9-4838-AF84-C8F81FDA2259}">
      <text>
        <r>
          <rPr>
            <sz val="10"/>
            <color indexed="81"/>
            <rFont val="Lucida Console"/>
            <family val="3"/>
          </rPr>
          <t>DESCRIÇÃO DETALHADA_x000D_
CARTOLINA DUPLA FACE / COLOR SET VERDE ESCURO (COR VIVA, VIBRANTE, UNIFORME E SEM MANCHAS) - 48 X 66 CM (VARIACAO +/- 5 CM)</t>
        </r>
      </text>
    </comment>
    <comment ref="G204" authorId="0" shapeId="0" xr:uid="{9FF02143-A858-46CA-B428-C88F012E170B}">
      <text>
        <r>
          <rPr>
            <sz val="10"/>
            <color indexed="81"/>
            <rFont val="Lucida Console"/>
            <family val="3"/>
          </rPr>
          <t>_x000D_
Últ estimativa : 25.000_x000D_
Enviada em     : 19.12.2019_x000D_
Ata - Venc     : 143/21 - 20.05.2022</t>
        </r>
      </text>
    </comment>
    <comment ref="O204" authorId="0" shapeId="0" xr:uid="{DEA6426E-AA85-4461-AC41-D43A48223110}">
      <text>
        <r>
          <rPr>
            <sz val="10"/>
            <color indexed="81"/>
            <rFont val="Lucida Console"/>
            <family val="3"/>
          </rPr>
          <t>_x000D_
Pertencia a ATA nº 143/21_x000D_
Estimativa de Renovação enviada em 19.12.2019 - Qtd 25.000_x000D_
PE  61/21 lote _x000D_
30.04.21 = Finalizado. Ata 143/20</t>
        </r>
      </text>
    </comment>
    <comment ref="W204" authorId="0" shapeId="0" xr:uid="{B59DB10F-D1D7-4A53-BED1-3F91A6CB4E95}">
      <text>
        <r>
          <rPr>
            <sz val="10"/>
            <color indexed="81"/>
            <rFont val="Lucida Console"/>
            <family val="3"/>
          </rPr>
          <t>_x000D_
Pedagógico</t>
        </r>
      </text>
    </comment>
    <comment ref="X204" authorId="0" shapeId="0" xr:uid="{BA9B729B-4166-4116-BE05-447E1D6F2055}">
      <text>
        <r>
          <rPr>
            <sz val="10"/>
            <color indexed="81"/>
            <rFont val="Lucida Console"/>
            <family val="3"/>
          </rPr>
          <t>_x000D_
MAQ. E EQUIP. P/ IND. GRAFICA COMP. ACESS. E PAPEI</t>
        </r>
      </text>
    </comment>
    <comment ref="Y204" authorId="0" shapeId="0" xr:uid="{82C55D57-C82C-4B9C-B6C5-8B89FCE79319}">
      <text>
        <r>
          <rPr>
            <sz val="10"/>
            <color indexed="81"/>
            <rFont val="Lucida Console"/>
            <family val="3"/>
          </rPr>
          <t>_x000D_
CARTOES E CARTOLINA</t>
        </r>
      </text>
    </comment>
    <comment ref="AW204" authorId="0" shapeId="0" xr:uid="{BCC22E7C-95A4-40CF-8F67-3C337856CF1E}">
      <text>
        <r>
          <rPr>
            <sz val="10"/>
            <color indexed="81"/>
            <rFont val="Lucida Console"/>
            <family val="3"/>
          </rPr>
          <t>Tempo de Estoque (Meses)_x000D_
_x000D_
3.235,0</t>
        </r>
      </text>
    </comment>
    <comment ref="A205" authorId="0" shapeId="0" xr:uid="{F7F48C49-024A-42FF-8F02-DF6511BC9451}">
      <text>
        <r>
          <rPr>
            <sz val="10"/>
            <color indexed="81"/>
            <rFont val="Lucida Console"/>
            <family val="3"/>
          </rPr>
          <t>_x000D_
133850</t>
        </r>
      </text>
    </comment>
    <comment ref="B205" authorId="0" shapeId="0" xr:uid="{7D7B49C8-53A7-46E0-BA1E-D00BFFD98F97}">
      <text>
        <r>
          <rPr>
            <sz val="10"/>
            <color indexed="81"/>
            <rFont val="Lucida Console"/>
            <family val="3"/>
          </rPr>
          <t>DESCRIÇÃO DETALHADA_x000D_
CARTOLINA DUPLA FACE / COLOR SET VERMELHA (COR VIVA, VIBRANTE, UNIFORME E SEM MANCHAS) - 48 X 66 CM VARIACAO +/- 5 CM)</t>
        </r>
      </text>
    </comment>
    <comment ref="G205" authorId="0" shapeId="0" xr:uid="{DA0B056E-6DD7-4E2B-9F02-67575EDD2779}">
      <text>
        <r>
          <rPr>
            <sz val="10"/>
            <color indexed="81"/>
            <rFont val="Lucida Console"/>
            <family val="3"/>
          </rPr>
          <t>_x000D_
Últ estimativa : 25.000_x000D_
Enviada em     : 19.12.2019_x000D_
Ata - Venc     : 143/21 - 20.05.2022</t>
        </r>
      </text>
    </comment>
    <comment ref="O205" authorId="0" shapeId="0" xr:uid="{4D00FF1E-D6C0-403F-A019-22ADE93BB1E0}">
      <text>
        <r>
          <rPr>
            <sz val="10"/>
            <color indexed="81"/>
            <rFont val="Lucida Console"/>
            <family val="3"/>
          </rPr>
          <t>_x000D_
Pertencia a ATA nº 143/21_x000D_
Estimativa de Renovação enviada em 19.12.2019 - Qtd 25.000_x000D_
PE  61/21 lote _x000D_
30.04.21 = Finalizado. Ata 143/20</t>
        </r>
      </text>
    </comment>
    <comment ref="W205" authorId="0" shapeId="0" xr:uid="{A607A2D1-4AC2-4908-B70F-F371E1EB5172}">
      <text>
        <r>
          <rPr>
            <sz val="10"/>
            <color indexed="81"/>
            <rFont val="Lucida Console"/>
            <family val="3"/>
          </rPr>
          <t>_x000D_
Pedagógico</t>
        </r>
      </text>
    </comment>
    <comment ref="X205" authorId="0" shapeId="0" xr:uid="{BD7715CE-03AE-4190-8AAB-EEB4C30D98F8}">
      <text>
        <r>
          <rPr>
            <sz val="10"/>
            <color indexed="81"/>
            <rFont val="Lucida Console"/>
            <family val="3"/>
          </rPr>
          <t>_x000D_
MAQ. E EQUIP. P/ IND. GRAFICA COMP. ACESS. E PAPEI</t>
        </r>
      </text>
    </comment>
    <comment ref="Y205" authorId="0" shapeId="0" xr:uid="{11C831A8-5D86-47AF-99F0-0AEC194F9000}">
      <text>
        <r>
          <rPr>
            <sz val="10"/>
            <color indexed="81"/>
            <rFont val="Lucida Console"/>
            <family val="3"/>
          </rPr>
          <t>_x000D_
CARTOES E CARTOLINA</t>
        </r>
      </text>
    </comment>
    <comment ref="AW205" authorId="0" shapeId="0" xr:uid="{93D6C2E3-BFD3-496D-BD87-CEC15A9BADC6}">
      <text>
        <r>
          <rPr>
            <sz val="10"/>
            <color indexed="81"/>
            <rFont val="Lucida Console"/>
            <family val="3"/>
          </rPr>
          <t>Tempo de Estoque (Meses)_x000D_
_x000D_
5.700,0</t>
        </r>
      </text>
    </comment>
    <comment ref="A206" authorId="0" shapeId="0" xr:uid="{5095EBD5-E9B6-47D4-9CB6-C81481FD2A2A}">
      <text>
        <r>
          <rPr>
            <sz val="10"/>
            <color indexed="81"/>
            <rFont val="Lucida Console"/>
            <family val="3"/>
          </rPr>
          <t>_x000D_
70379</t>
        </r>
      </text>
    </comment>
    <comment ref="B206" authorId="0" shapeId="0" xr:uid="{5F43CBB8-EC80-4DA6-ABC2-1FC3113683B4}">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206" authorId="0" shapeId="0" xr:uid="{B858C783-3BFE-4BF4-9A91-76C1004AA614}">
      <text>
        <r>
          <rPr>
            <sz val="10"/>
            <color indexed="81"/>
            <rFont val="Lucida Console"/>
            <family val="3"/>
          </rPr>
          <t>_x000D_
Últ estimativa : 1.500_x000D_
Enviada em     : 19.12.2019_x000D_
Ata - Venc     : 143/21 - 20.05.2022</t>
        </r>
      </text>
    </comment>
    <comment ref="O206" authorId="0" shapeId="0" xr:uid="{EB71DC74-108D-4FC9-8AE1-CE44B4EF7BCC}">
      <text>
        <r>
          <rPr>
            <sz val="10"/>
            <color indexed="81"/>
            <rFont val="Lucida Console"/>
            <family val="3"/>
          </rPr>
          <t>_x000D_
Pertencia a ATA nº 143/21_x000D_
Estimativa de Renovação enviada em 19.12.2019 - Qtd 1.500_x000D_
PE  61/21 lote _x000D_
30.04.21 = Finalizado. Ata 143/20</t>
        </r>
      </text>
    </comment>
    <comment ref="W206" authorId="0" shapeId="0" xr:uid="{91341B88-5954-4837-84AD-400690C21DD4}">
      <text>
        <r>
          <rPr>
            <sz val="10"/>
            <color indexed="81"/>
            <rFont val="Lucida Console"/>
            <family val="3"/>
          </rPr>
          <t>_x000D_
Pedagógico</t>
        </r>
      </text>
    </comment>
    <comment ref="X206" authorId="0" shapeId="0" xr:uid="{28BDAE04-9212-4451-AA4A-E58473C4E52D}">
      <text>
        <r>
          <rPr>
            <sz val="10"/>
            <color indexed="81"/>
            <rFont val="Lucida Console"/>
            <family val="3"/>
          </rPr>
          <t>_x000D_
MAQ. E EQUIP. P/ IND. GRAFICA COMP. ACESS. E PAPEI</t>
        </r>
      </text>
    </comment>
    <comment ref="Y206" authorId="0" shapeId="0" xr:uid="{F46165DE-8DDE-4E1C-A59E-FBA58D9C9AD4}">
      <text>
        <r>
          <rPr>
            <sz val="10"/>
            <color indexed="81"/>
            <rFont val="Lucida Console"/>
            <family val="3"/>
          </rPr>
          <t>_x000D_
PAPEIS PARA ESCRITORIO</t>
        </r>
      </text>
    </comment>
    <comment ref="AW206" authorId="0" shapeId="0" xr:uid="{2B7B8059-AD94-4850-B7DC-7AE9FD0E8947}">
      <text>
        <r>
          <rPr>
            <sz val="10"/>
            <color indexed="81"/>
            <rFont val="Lucida Console"/>
            <family val="3"/>
          </rPr>
          <t>Tempo de Estoque (Meses)_x000D_
_x000D_
2.268,0</t>
        </r>
      </text>
    </comment>
    <comment ref="A207" authorId="0" shapeId="0" xr:uid="{D18E94BA-06AA-4DC0-B489-8DB2F4162387}">
      <text>
        <r>
          <rPr>
            <sz val="10"/>
            <color indexed="81"/>
            <rFont val="Lucida Console"/>
            <family val="3"/>
          </rPr>
          <t>_x000D_
92907</t>
        </r>
      </text>
    </comment>
    <comment ref="B207" authorId="0" shapeId="0" xr:uid="{5B3E1D4D-79DD-4FE0-96B8-47F25D0F471E}">
      <text>
        <r>
          <rPr>
            <sz val="10"/>
            <color indexed="81"/>
            <rFont val="Lucida Console"/>
            <family val="3"/>
          </rPr>
          <t>DESCRIÇÃO DETALHADA_x000D_
PAPEL SULFITE A4, 210 X 297, 75G, NA COR ROSA - PACOTE COM 500 FOLHAS</t>
        </r>
      </text>
    </comment>
    <comment ref="G207" authorId="0" shapeId="0" xr:uid="{992C4F47-DC31-40B7-9D89-756EC0FFA1C6}">
      <text>
        <r>
          <rPr>
            <sz val="10"/>
            <color indexed="81"/>
            <rFont val="Lucida Console"/>
            <family val="3"/>
          </rPr>
          <t>_x000D_
Últ estimativa : 3.000_x000D_
Enviada em     : 19.12.2019_x000D_
Ata - Venc     : 143/21 - 20.05.2022</t>
        </r>
      </text>
    </comment>
    <comment ref="O207" authorId="0" shapeId="0" xr:uid="{45B0162B-D2C4-4E8E-B609-E675826D9668}">
      <text>
        <r>
          <rPr>
            <sz val="10"/>
            <color indexed="81"/>
            <rFont val="Lucida Console"/>
            <family val="3"/>
          </rPr>
          <t>_x000D_
Pertencia a ATA nº 143/21_x000D_
Estimativa de Renovação enviada em 19.12.2019 - Qtd 3.000_x000D_
PE  61/21 lote _x000D_
30.04.21 = Finalizado. Ata 143/20</t>
        </r>
      </text>
    </comment>
    <comment ref="W207" authorId="0" shapeId="0" xr:uid="{332D6FE1-AEBD-48D6-BB74-3BF9C4DB97E4}">
      <text>
        <r>
          <rPr>
            <sz val="10"/>
            <color indexed="81"/>
            <rFont val="Lucida Console"/>
            <family val="3"/>
          </rPr>
          <t>_x000D_
Pedagógico</t>
        </r>
      </text>
    </comment>
    <comment ref="X207" authorId="0" shapeId="0" xr:uid="{DAC4603D-27DE-49F2-82DB-8E0217D8597A}">
      <text>
        <r>
          <rPr>
            <sz val="10"/>
            <color indexed="81"/>
            <rFont val="Lucida Console"/>
            <family val="3"/>
          </rPr>
          <t>_x000D_
MAQ. E EQUIP. P/ IND. GRAFICA COMP. ACESS. E PAPEI</t>
        </r>
      </text>
    </comment>
    <comment ref="Y207" authorId="0" shapeId="0" xr:uid="{3D8FF869-AE8D-46DC-9831-DE94046C0C5C}">
      <text>
        <r>
          <rPr>
            <sz val="10"/>
            <color indexed="81"/>
            <rFont val="Lucida Console"/>
            <family val="3"/>
          </rPr>
          <t>_x000D_
PAPEIS PARA ESCRITORIO</t>
        </r>
      </text>
    </comment>
    <comment ref="AW207" authorId="0" shapeId="0" xr:uid="{E437CD4D-BC3B-42FC-9619-212D490FF196}">
      <text>
        <r>
          <rPr>
            <sz val="10"/>
            <color indexed="81"/>
            <rFont val="Lucida Console"/>
            <family val="3"/>
          </rPr>
          <t>Tempo de Estoque (Meses)_x000D_
_x000D_
2.381,0</t>
        </r>
      </text>
    </comment>
    <comment ref="A208" authorId="0" shapeId="0" xr:uid="{B6E354AF-8642-4BD6-BCC4-ADF0C6D07F90}">
      <text>
        <r>
          <rPr>
            <sz val="10"/>
            <color indexed="81"/>
            <rFont val="Lucida Console"/>
            <family val="3"/>
          </rPr>
          <t>_x000D_
92908</t>
        </r>
      </text>
    </comment>
    <comment ref="B208" authorId="0" shapeId="0" xr:uid="{C5324E66-0FB9-49EC-BF73-DBFD3020CCAD}">
      <text>
        <r>
          <rPr>
            <sz val="10"/>
            <color indexed="81"/>
            <rFont val="Lucida Console"/>
            <family val="3"/>
          </rPr>
          <t>DESCRIÇÃO DETALHADA_x000D_
PAPEL SULFITE A4, 210 X 297, 75G, NA COR AZUL - PACOTE COM 500 FOLHAS</t>
        </r>
      </text>
    </comment>
    <comment ref="G208" authorId="0" shapeId="0" xr:uid="{2247509A-95FF-48D6-A05C-E40569BC8CC7}">
      <text>
        <r>
          <rPr>
            <sz val="10"/>
            <color indexed="81"/>
            <rFont val="Lucida Console"/>
            <family val="3"/>
          </rPr>
          <t>_x000D_
Últ estimativa : 3.000_x000D_
Enviada em     : 19.12.2019_x000D_
Ata - Venc     : 143/21 - 20.05.2022</t>
        </r>
      </text>
    </comment>
    <comment ref="O208" authorId="0" shapeId="0" xr:uid="{8D4C4DD0-AE6C-4C79-9473-98B9AB05D49C}">
      <text>
        <r>
          <rPr>
            <sz val="10"/>
            <color indexed="81"/>
            <rFont val="Lucida Console"/>
            <family val="3"/>
          </rPr>
          <t>_x000D_
Pertencia a ATA nº 143/21_x000D_
Estimativa de Renovação enviada em 19.12.2019 - Qtd 3.000_x000D_
PE  61/21 lote _x000D_
30.04.21 = Finalizado. Ata 143/20</t>
        </r>
      </text>
    </comment>
    <comment ref="W208" authorId="0" shapeId="0" xr:uid="{426E8CBB-5A79-4CEB-9D73-6A82586C664C}">
      <text>
        <r>
          <rPr>
            <sz val="10"/>
            <color indexed="81"/>
            <rFont val="Lucida Console"/>
            <family val="3"/>
          </rPr>
          <t>_x000D_
Pedagógico</t>
        </r>
      </text>
    </comment>
    <comment ref="X208" authorId="0" shapeId="0" xr:uid="{01BEA8F0-C2FC-4CC2-9367-1349484C3B24}">
      <text>
        <r>
          <rPr>
            <sz val="10"/>
            <color indexed="81"/>
            <rFont val="Lucida Console"/>
            <family val="3"/>
          </rPr>
          <t>_x000D_
MAQ. E EQUIP. P/ IND. GRAFICA COMP. ACESS. E PAPEI</t>
        </r>
      </text>
    </comment>
    <comment ref="Y208" authorId="0" shapeId="0" xr:uid="{07A98343-C338-4B92-A80B-5848615A8C69}">
      <text>
        <r>
          <rPr>
            <sz val="10"/>
            <color indexed="81"/>
            <rFont val="Lucida Console"/>
            <family val="3"/>
          </rPr>
          <t>_x000D_
PAPEIS PARA ESCRITORIO</t>
        </r>
      </text>
    </comment>
    <comment ref="AW208" authorId="0" shapeId="0" xr:uid="{2077287A-2485-4A84-AF64-338AA6065EBC}">
      <text>
        <r>
          <rPr>
            <sz val="10"/>
            <color indexed="81"/>
            <rFont val="Lucida Console"/>
            <family val="3"/>
          </rPr>
          <t>Tempo de Estoque (Meses)_x000D_
_x000D_
1.822,0</t>
        </r>
      </text>
    </comment>
    <comment ref="A209" authorId="0" shapeId="0" xr:uid="{6D6253B7-1BBA-4CC1-B552-2395EDB4BDED}">
      <text>
        <r>
          <rPr>
            <sz val="10"/>
            <color indexed="81"/>
            <rFont val="Lucida Console"/>
            <family val="3"/>
          </rPr>
          <t>_x000D_
130624</t>
        </r>
      </text>
    </comment>
    <comment ref="B209" authorId="0" shapeId="0" xr:uid="{68C6AC5A-B1D9-4539-AA0B-C1E1CCC980FA}">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209" authorId="0" shapeId="0" xr:uid="{93334C68-EE6C-4F31-88B1-6026B31CF2AA}">
      <text>
        <r>
          <rPr>
            <sz val="10"/>
            <color indexed="81"/>
            <rFont val="Lucida Console"/>
            <family val="3"/>
          </rPr>
          <t>_x000D_
Últ estimativa : 32.000_x000D_
Enviada em     : 19.12.2019_x000D_
Ata - Venc     : 143/21 - 20.05.2022</t>
        </r>
      </text>
    </comment>
    <comment ref="O209" authorId="0" shapeId="0" xr:uid="{06991063-41D5-42E5-B6B8-E74E76F54D3E}">
      <text>
        <r>
          <rPr>
            <sz val="10"/>
            <color indexed="81"/>
            <rFont val="Lucida Console"/>
            <family val="3"/>
          </rPr>
          <t>_x000D_
Pertencia a ATA nº 143/21_x000D_
Estimativa de Renovação enviada em 19.12.2019 - Qtd 32.000_x000D_
PE  61/21 lote _x000D_
30.04.21 = Finalizado. Ata 143/20</t>
        </r>
      </text>
    </comment>
    <comment ref="W209" authorId="0" shapeId="0" xr:uid="{04C8F833-C2CA-4AA0-9622-124F238EE523}">
      <text>
        <r>
          <rPr>
            <sz val="10"/>
            <color indexed="81"/>
            <rFont val="Lucida Console"/>
            <family val="3"/>
          </rPr>
          <t>_x000D_
Pedagógico</t>
        </r>
      </text>
    </comment>
    <comment ref="X209" authorId="0" shapeId="0" xr:uid="{E63DC70E-503D-4AA5-88D0-7A1FD914E7BE}">
      <text>
        <r>
          <rPr>
            <sz val="10"/>
            <color indexed="81"/>
            <rFont val="Lucida Console"/>
            <family val="3"/>
          </rPr>
          <t>_x000D_
MAQ. E EQUIP. P/ IND. GRAFICA COMP. ACESS. E PAPEI</t>
        </r>
      </text>
    </comment>
    <comment ref="Y209" authorId="0" shapeId="0" xr:uid="{8F5323C2-7453-4B4C-9ED1-1C079ADD825E}">
      <text>
        <r>
          <rPr>
            <sz val="10"/>
            <color indexed="81"/>
            <rFont val="Lucida Console"/>
            <family val="3"/>
          </rPr>
          <t>_x000D_
PAPEIS PARA ESCRITORIO</t>
        </r>
      </text>
    </comment>
    <comment ref="AW209" authorId="0" shapeId="0" xr:uid="{5E8A547D-0307-416A-88F8-C91F3599E01B}">
      <text>
        <r>
          <rPr>
            <sz val="10"/>
            <color indexed="81"/>
            <rFont val="Lucida Console"/>
            <family val="3"/>
          </rPr>
          <t>Tempo de Estoque (Meses)_x000D_
_x000D_
7.998,0</t>
        </r>
      </text>
    </comment>
    <comment ref="A210" authorId="0" shapeId="0" xr:uid="{D9023F45-B579-4C39-AA9B-C0278FECF902}">
      <text>
        <r>
          <rPr>
            <sz val="10"/>
            <color indexed="81"/>
            <rFont val="Lucida Console"/>
            <family val="3"/>
          </rPr>
          <t>_x000D_
132303</t>
        </r>
      </text>
    </comment>
    <comment ref="B210" authorId="0" shapeId="0" xr:uid="{DA80C85C-C19A-433A-9DF5-488C8608B59A}">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210" authorId="0" shapeId="0" xr:uid="{2FF2950D-27C3-49B4-9654-B4C91B7A1561}">
      <text>
        <r>
          <rPr>
            <sz val="10"/>
            <color indexed="81"/>
            <rFont val="Lucida Console"/>
            <family val="3"/>
          </rPr>
          <t>_x000D_
Últ estimativa : 25.000_x000D_
Enviada em     : 19.12.2019_x000D_
Ata - Venc     : 143/21 - 20.05.2022</t>
        </r>
      </text>
    </comment>
    <comment ref="O210" authorId="0" shapeId="0" xr:uid="{95BD64F8-EEC1-46A4-9F00-980DB2268862}">
      <text>
        <r>
          <rPr>
            <sz val="10"/>
            <color indexed="81"/>
            <rFont val="Lucida Console"/>
            <family val="3"/>
          </rPr>
          <t>_x000D_
Pertencia a ATA nº 143/21_x000D_
Estimativa de Renovação enviada em 19.12.2019 - Qtd 25.000_x000D_
PE  61/21 lote _x000D_
30.04.21 = Finalizado. Ata 143/20</t>
        </r>
      </text>
    </comment>
    <comment ref="W210" authorId="0" shapeId="0" xr:uid="{C5D92DD9-A5B8-4212-9558-FC662CDB8951}">
      <text>
        <r>
          <rPr>
            <sz val="10"/>
            <color indexed="81"/>
            <rFont val="Lucida Console"/>
            <family val="3"/>
          </rPr>
          <t>_x000D_
Pedagógico</t>
        </r>
      </text>
    </comment>
    <comment ref="X210" authorId="0" shapeId="0" xr:uid="{F6323490-F20F-4ADF-A4D6-1338A7111109}">
      <text>
        <r>
          <rPr>
            <sz val="10"/>
            <color indexed="81"/>
            <rFont val="Lucida Console"/>
            <family val="3"/>
          </rPr>
          <t>_x000D_
MAQ. E EQUIP. P/ IND. GRAFICA COMP. ACESS. E PAPEI</t>
        </r>
      </text>
    </comment>
    <comment ref="Y210" authorId="0" shapeId="0" xr:uid="{9EFBD372-0C58-4C37-A754-CEF325126CD9}">
      <text>
        <r>
          <rPr>
            <sz val="10"/>
            <color indexed="81"/>
            <rFont val="Lucida Console"/>
            <family val="3"/>
          </rPr>
          <t>_x000D_
PAPEIS PARA ESCRITORIO</t>
        </r>
      </text>
    </comment>
    <comment ref="AW210" authorId="0" shapeId="0" xr:uid="{41CF14B5-C8A3-44A0-A571-D13BC64103E8}">
      <text>
        <r>
          <rPr>
            <sz val="10"/>
            <color indexed="81"/>
            <rFont val="Lucida Console"/>
            <family val="3"/>
          </rPr>
          <t>Tempo de Estoque (Meses)_x000D_
_x000D_
6.832,0</t>
        </r>
      </text>
    </comment>
    <comment ref="A211" authorId="0" shapeId="0" xr:uid="{2728244C-37F4-4E34-8C5C-A0C060FEA158}">
      <text>
        <r>
          <rPr>
            <sz val="10"/>
            <color indexed="81"/>
            <rFont val="Lucida Console"/>
            <family val="3"/>
          </rPr>
          <t>_x000D_
10302</t>
        </r>
      </text>
    </comment>
    <comment ref="B211" authorId="0" shapeId="0" xr:uid="{89160A41-E400-49B1-82A6-E5C52BAC6C3D}">
      <text>
        <r>
          <rPr>
            <sz val="10"/>
            <color indexed="81"/>
            <rFont val="Lucida Console"/>
            <family val="3"/>
          </rPr>
          <t>DESCRIÇÃO DETALHADA_x000D_
PAPEL P/ REPROGRAFIA 210 X 297 MM - AMARELO GR 75GR</t>
        </r>
      </text>
    </comment>
    <comment ref="G211" authorId="0" shapeId="0" xr:uid="{2CD223A6-B2AB-4985-847B-CF22E7DC1024}">
      <text>
        <r>
          <rPr>
            <sz val="10"/>
            <color indexed="81"/>
            <rFont val="Lucida Console"/>
            <family val="3"/>
          </rPr>
          <t>_x000D_
Últ estimativa : 3.000_x000D_
Enviada em     : 19.12.2019_x000D_
Ata - Venc     : 143/21 - 20.05.2022</t>
        </r>
      </text>
    </comment>
    <comment ref="O211" authorId="0" shapeId="0" xr:uid="{3EF08F59-975E-4529-8385-165456A6B599}">
      <text>
        <r>
          <rPr>
            <sz val="10"/>
            <color indexed="81"/>
            <rFont val="Lucida Console"/>
            <family val="3"/>
          </rPr>
          <t>_x000D_
Pertencia a ATA nº 143/21_x000D_
Estimativa de Renovação enviada em 19.12.2019 - Qtd 3.000_x000D_
PE  61/21 lote _x000D_
30.04.21 = Finalizado. Ata 143/20</t>
        </r>
      </text>
    </comment>
    <comment ref="W211" authorId="0" shapeId="0" xr:uid="{AC05E5AB-9BC6-40AA-AB78-0C2062203A07}">
      <text>
        <r>
          <rPr>
            <sz val="10"/>
            <color indexed="81"/>
            <rFont val="Lucida Console"/>
            <family val="3"/>
          </rPr>
          <t>_x000D_
Pedagógico</t>
        </r>
      </text>
    </comment>
    <comment ref="X211" authorId="0" shapeId="0" xr:uid="{D68AB882-CAA3-4A43-AE02-1159E7BB63A6}">
      <text>
        <r>
          <rPr>
            <sz val="10"/>
            <color indexed="81"/>
            <rFont val="Lucida Console"/>
            <family val="3"/>
          </rPr>
          <t>_x000D_
MAQ. E EQUIP. P/ IND. GRAFICA COMP. ACESS. E PAPEI</t>
        </r>
      </text>
    </comment>
    <comment ref="Y211" authorId="0" shapeId="0" xr:uid="{05FA6DF7-32B7-446B-B289-418EB81F3028}">
      <text>
        <r>
          <rPr>
            <sz val="10"/>
            <color indexed="81"/>
            <rFont val="Lucida Console"/>
            <family val="3"/>
          </rPr>
          <t>_x000D_
PAPEIS PARA COPIADORAS EM GERAL</t>
        </r>
      </text>
    </comment>
    <comment ref="AW211" authorId="0" shapeId="0" xr:uid="{CDACA1F6-578E-440B-96EA-A7C01E209A2D}">
      <text>
        <r>
          <rPr>
            <sz val="10"/>
            <color indexed="81"/>
            <rFont val="Lucida Console"/>
            <family val="3"/>
          </rPr>
          <t>Tempo de Estoque (Meses)_x000D_
_x000D_
7.683,0</t>
        </r>
      </text>
    </comment>
    <comment ref="A212" authorId="0" shapeId="0" xr:uid="{99FCA9B8-81E8-4695-9409-DB2532C3D728}">
      <text>
        <r>
          <rPr>
            <sz val="10"/>
            <color indexed="81"/>
            <rFont val="Lucida Console"/>
            <family val="3"/>
          </rPr>
          <t>_x000D_
83838</t>
        </r>
      </text>
    </comment>
    <comment ref="B212" authorId="0" shapeId="0" xr:uid="{644C14EB-24B5-4686-9925-D520750D0EEC}">
      <text>
        <r>
          <rPr>
            <sz val="10"/>
            <color indexed="81"/>
            <rFont val="Lucida Console"/>
            <family val="3"/>
          </rPr>
          <t>DESCRIÇÃO DETALHADA_x000D_
LUVA DE LATEX NATURAL, PARA PROCEDIMENTO, FORMATO ANATOMICO, AMBIDESTRA, TAMANHO M - CAIXA COM 100 UNIDADES</t>
        </r>
      </text>
    </comment>
    <comment ref="G212" authorId="0" shapeId="0" xr:uid="{7A80DA4C-6B6B-4C15-9FAC-1B351EEDF719}">
      <text>
        <r>
          <rPr>
            <sz val="10"/>
            <color indexed="81"/>
            <rFont val="Lucida Console"/>
            <family val="3"/>
          </rPr>
          <t>_x000D_
Últ estimativa : 32.000_x000D_
Enviada em     : 19.05.2020_x000D_
Ata - Venc     : 145/19 - 10.06.2020</t>
        </r>
      </text>
    </comment>
    <comment ref="O212" authorId="0" shapeId="0" xr:uid="{6399E0B4-53C7-4F40-B2CF-D6ADAB2EC2B3}">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212" authorId="0" shapeId="0" xr:uid="{1DAAA395-1AD5-47FE-9A74-6123588D220B}">
      <text>
        <r>
          <rPr>
            <sz val="10"/>
            <color indexed="81"/>
            <rFont val="Lucida Console"/>
            <family val="3"/>
          </rPr>
          <t>_x000D_
SegMedTra</t>
        </r>
      </text>
    </comment>
    <comment ref="X212" authorId="0" shapeId="0" xr:uid="{4874D237-0513-4AD9-B2FF-2AFB2FD2D045}">
      <text>
        <r>
          <rPr>
            <sz val="10"/>
            <color indexed="81"/>
            <rFont val="Lucida Console"/>
            <family val="3"/>
          </rPr>
          <t>_x000D_
EQUIP PROT IND, INST MAT P/ SINAL, CONTR, COMB ...</t>
        </r>
      </text>
    </comment>
    <comment ref="Y212" authorId="0" shapeId="0" xr:uid="{6990E91E-14D3-462D-ADDB-3CBC4599276F}">
      <text>
        <r>
          <rPr>
            <sz val="10"/>
            <color indexed="81"/>
            <rFont val="Lucida Console"/>
            <family val="3"/>
          </rPr>
          <t>_x000D_
CALCADOS, LUVAS, OCULOS, MASCARAS, CAPACETES, CASSETETE</t>
        </r>
      </text>
    </comment>
    <comment ref="AW212" authorId="0" shapeId="0" xr:uid="{ACD67203-FC55-4678-B35F-2D9E9C071A35}">
      <text>
        <r>
          <rPr>
            <sz val="10"/>
            <color indexed="81"/>
            <rFont val="Lucida Console"/>
            <family val="3"/>
          </rPr>
          <t>Tempo de Estoque (Meses)_x000D_
_x000D_
3.775,0</t>
        </r>
      </text>
    </comment>
    <comment ref="A213" authorId="0" shapeId="0" xr:uid="{C0C9ACD5-B5BE-4378-A41D-DE1B78B2CFFB}">
      <text>
        <r>
          <rPr>
            <sz val="10"/>
            <color indexed="81"/>
            <rFont val="Lucida Console"/>
            <family val="3"/>
          </rPr>
          <t>_x000D_
83839</t>
        </r>
      </text>
    </comment>
    <comment ref="B213" authorId="0" shapeId="0" xr:uid="{695ECC7D-F370-4718-961D-9A66423F33D6}">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213" authorId="0" shapeId="0" xr:uid="{9DD2B28D-8AC5-48A4-B0BE-E3DCDF0C77BB}">
      <text>
        <r>
          <rPr>
            <sz val="10"/>
            <color indexed="81"/>
            <rFont val="Lucida Console"/>
            <family val="3"/>
          </rPr>
          <t>_x000D_
Últ estimativa : 12.000_x000D_
Enviada em     : 19.05.2020_x000D_
Ata - Venc     : 145/19 - 10.06.2020</t>
        </r>
      </text>
    </comment>
    <comment ref="O213" authorId="0" shapeId="0" xr:uid="{EB6963D5-5FBA-4687-95DC-DB340F0550B0}">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213" authorId="0" shapeId="0" xr:uid="{CEE19943-DECE-47C6-80E8-56035085EB9B}">
      <text>
        <r>
          <rPr>
            <sz val="10"/>
            <color indexed="81"/>
            <rFont val="Lucida Console"/>
            <family val="3"/>
          </rPr>
          <t>_x000D_
SegMedTra</t>
        </r>
      </text>
    </comment>
    <comment ref="X213" authorId="0" shapeId="0" xr:uid="{DE33FB57-1ED5-4D7C-AE68-D6A730D9E5A6}">
      <text>
        <r>
          <rPr>
            <sz val="10"/>
            <color indexed="81"/>
            <rFont val="Lucida Console"/>
            <family val="3"/>
          </rPr>
          <t>_x000D_
EQUIP PROT IND, INST MAT P/ SINAL, CONTR, COMB ...</t>
        </r>
      </text>
    </comment>
    <comment ref="Y213" authorId="0" shapeId="0" xr:uid="{CBF6909E-5AC4-4983-9840-BB172D5B9999}">
      <text>
        <r>
          <rPr>
            <sz val="10"/>
            <color indexed="81"/>
            <rFont val="Lucida Console"/>
            <family val="3"/>
          </rPr>
          <t>_x000D_
CALCADOS, LUVAS, OCULOS, MASCARAS, CAPACETES, CASSETETE</t>
        </r>
      </text>
    </comment>
    <comment ref="AW213" authorId="0" shapeId="0" xr:uid="{0466971B-A223-42D9-B258-94B96FAC53E3}">
      <text>
        <r>
          <rPr>
            <sz val="10"/>
            <color indexed="81"/>
            <rFont val="Lucida Console"/>
            <family val="3"/>
          </rPr>
          <t>Tempo de Estoque (Meses)_x000D_
_x000D_
0,0</t>
        </r>
      </text>
    </comment>
    <comment ref="A214" authorId="0" shapeId="0" xr:uid="{AEE49A30-22EA-4790-BE52-0738EC526720}">
      <text>
        <r>
          <rPr>
            <sz val="10"/>
            <color indexed="81"/>
            <rFont val="Lucida Console"/>
            <family val="3"/>
          </rPr>
          <t>_x000D_
135013</t>
        </r>
      </text>
    </comment>
    <comment ref="B214" authorId="0" shapeId="0" xr:uid="{E8E46B9E-1DAD-4086-B292-75A74125C462}">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214" authorId="0" shapeId="0" xr:uid="{A7A5E5B9-4DFF-4FCA-B2F7-5423AF714E63}">
      <text>
        <r>
          <rPr>
            <sz val="10"/>
            <color indexed="81"/>
            <rFont val="Lucida Console"/>
            <family val="3"/>
          </rPr>
          <t>_x000D_
Pertencia a ATA nº 151/19_x000D_
Estimativa de Renovação enviada em  - Qtd _x000D_
PE   7/19 lote _x000D_
23.07.19 = Processo finalizado</t>
        </r>
      </text>
    </comment>
    <comment ref="W214" authorId="0" shapeId="0" xr:uid="{7699C391-62BC-4476-A13F-8FF651DF5010}">
      <text>
        <r>
          <rPr>
            <sz val="10"/>
            <color indexed="81"/>
            <rFont val="Lucida Console"/>
            <family val="3"/>
          </rPr>
          <t>_x000D_
SegMedTra</t>
        </r>
      </text>
    </comment>
    <comment ref="X214" authorId="0" shapeId="0" xr:uid="{AD2B8FA4-BC13-48B5-A717-CA6B8486714B}">
      <text>
        <r>
          <rPr>
            <sz val="10"/>
            <color indexed="81"/>
            <rFont val="Lucida Console"/>
            <family val="3"/>
          </rPr>
          <t>_x000D_
EQUIP PROT IND, INST MAT P/ SINAL, CONTR, COMB ...</t>
        </r>
      </text>
    </comment>
    <comment ref="Y214" authorId="0" shapeId="0" xr:uid="{877F548C-3E87-4FC9-AEE5-44FAAF8853CF}">
      <text>
        <r>
          <rPr>
            <sz val="10"/>
            <color indexed="81"/>
            <rFont val="Lucida Console"/>
            <family val="3"/>
          </rPr>
          <t>_x000D_
CALCADOS, LUVAS, OCULOS, MASCARAS, CAPACETES, CASSETETE</t>
        </r>
      </text>
    </comment>
    <comment ref="AW214" authorId="0" shapeId="0" xr:uid="{CDB60D0C-C6B0-4C24-8AFF-65AF19223334}">
      <text>
        <r>
          <rPr>
            <sz val="10"/>
            <color indexed="81"/>
            <rFont val="Lucida Console"/>
            <family val="3"/>
          </rPr>
          <t>Tempo de Estoque (Meses)_x000D_
_x000D_
1,0</t>
        </r>
      </text>
    </comment>
    <comment ref="A215" authorId="0" shapeId="0" xr:uid="{86330192-0492-4B6A-8525-8CA9CBAD46F1}">
      <text>
        <r>
          <rPr>
            <sz val="10"/>
            <color indexed="81"/>
            <rFont val="Lucida Console"/>
            <family val="3"/>
          </rPr>
          <t>_x000D_
135014</t>
        </r>
      </text>
    </comment>
    <comment ref="B215" authorId="0" shapeId="0" xr:uid="{0B19E654-4C8D-4AC6-BB4E-F8FE3542B08D}">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215" authorId="0" shapeId="0" xr:uid="{4FBE106D-5114-48D4-AD6C-4498A7CACC5C}">
      <text>
        <r>
          <rPr>
            <sz val="10"/>
            <color indexed="81"/>
            <rFont val="Lucida Console"/>
            <family val="3"/>
          </rPr>
          <t>_x000D_
Pertencia a ATA nº 151/19_x000D_
Estimativa de Renovação enviada em  - Qtd _x000D_
PE   7/19 lote _x000D_
23.07.19 = Processo finalizado</t>
        </r>
      </text>
    </comment>
    <comment ref="W215" authorId="0" shapeId="0" xr:uid="{23636B24-92D0-4864-834A-9A93E08660FE}">
      <text>
        <r>
          <rPr>
            <sz val="10"/>
            <color indexed="81"/>
            <rFont val="Lucida Console"/>
            <family val="3"/>
          </rPr>
          <t>_x000D_
SegMedTra</t>
        </r>
      </text>
    </comment>
    <comment ref="X215" authorId="0" shapeId="0" xr:uid="{846C53BA-2324-46BB-97CA-25FC658F23EB}">
      <text>
        <r>
          <rPr>
            <sz val="10"/>
            <color indexed="81"/>
            <rFont val="Lucida Console"/>
            <family val="3"/>
          </rPr>
          <t>_x000D_
EQUIP PROT IND, INST MAT P/ SINAL, CONTR, COMB ...</t>
        </r>
      </text>
    </comment>
    <comment ref="Y215" authorId="0" shapeId="0" xr:uid="{0369C425-81C2-47F2-ACC3-BA595DD45253}">
      <text>
        <r>
          <rPr>
            <sz val="10"/>
            <color indexed="81"/>
            <rFont val="Lucida Console"/>
            <family val="3"/>
          </rPr>
          <t>_x000D_
CALCADOS, LUVAS, OCULOS, MASCARAS, CAPACETES, CASSETETE</t>
        </r>
      </text>
    </comment>
    <comment ref="AW215" authorId="0" shapeId="0" xr:uid="{3EB1E769-98B5-4B69-B104-CB5EDB970AC6}">
      <text>
        <r>
          <rPr>
            <sz val="10"/>
            <color indexed="81"/>
            <rFont val="Lucida Console"/>
            <family val="3"/>
          </rPr>
          <t>Tempo de Estoque (Meses)_x000D_
_x000D_
0,0</t>
        </r>
      </text>
    </comment>
    <comment ref="A216" authorId="0" shapeId="0" xr:uid="{148398A1-6F48-48EE-9FDB-139EEE845285}">
      <text>
        <r>
          <rPr>
            <sz val="10"/>
            <color indexed="81"/>
            <rFont val="Lucida Console"/>
            <family val="3"/>
          </rPr>
          <t>_x000D_
106914</t>
        </r>
      </text>
    </comment>
    <comment ref="B216" authorId="0" shapeId="0" xr:uid="{EEB7E859-45C8-420F-AB0D-C6744D1C8D1B}">
      <text>
        <r>
          <rPr>
            <sz val="10"/>
            <color indexed="81"/>
            <rFont val="Lucida Console"/>
            <family val="3"/>
          </rPr>
          <t>DESCRIÇÃO DETALHADA_x000D_
CALCA DE BRIM, N° 38, CONFECCIONADA EM TECIDO 100% ALGODAO, COM ACABAMENTO ESPECIAL PARA PROTECAO AO ARCO ELETRICO E EXPOSICAO A CHAMAS, NA COR CINZA.</t>
        </r>
      </text>
    </comment>
    <comment ref="O216" authorId="0" shapeId="0" xr:uid="{F1F400BB-94D8-49D4-A413-C2F999B51C78}">
      <text>
        <r>
          <rPr>
            <sz val="10"/>
            <color indexed="81"/>
            <rFont val="Lucida Console"/>
            <family val="3"/>
          </rPr>
          <t>_x000D_
Pertencia a ATA nº 151/19_x000D_
Estimativa de Renovação enviada em  - Qtd _x000D_
PE   7/19 lote _x000D_
23.07.19 = Processo finalizado</t>
        </r>
      </text>
    </comment>
    <comment ref="W216" authorId="0" shapeId="0" xr:uid="{70F8EEEA-BC62-449C-92C6-984379D3AA57}">
      <text>
        <r>
          <rPr>
            <sz val="10"/>
            <color indexed="81"/>
            <rFont val="Lucida Console"/>
            <family val="3"/>
          </rPr>
          <t>_x000D_
SegMedTra</t>
        </r>
      </text>
    </comment>
    <comment ref="X216" authorId="0" shapeId="0" xr:uid="{E3B85369-6D62-4C98-8773-3FE08B6866DF}">
      <text>
        <r>
          <rPr>
            <sz val="10"/>
            <color indexed="81"/>
            <rFont val="Lucida Console"/>
            <family val="3"/>
          </rPr>
          <t>_x000D_
EQUIP PROT IND, INST MAT P/ SINAL, CONTR, COMB ...</t>
        </r>
      </text>
    </comment>
    <comment ref="Y216" authorId="0" shapeId="0" xr:uid="{3F4B6D91-8FAC-426C-B13D-BE36D1730EEC}">
      <text>
        <r>
          <rPr>
            <sz val="10"/>
            <color indexed="81"/>
            <rFont val="Lucida Console"/>
            <family val="3"/>
          </rPr>
          <t>_x000D_
CALCADOS, LUVAS, OCULOS, MASCARAS, CAPACETES, CASSETETE</t>
        </r>
      </text>
    </comment>
    <comment ref="AW216" authorId="0" shapeId="0" xr:uid="{0786B57B-491E-4527-A7F7-E589E88BDCA5}">
      <text>
        <r>
          <rPr>
            <sz val="10"/>
            <color indexed="81"/>
            <rFont val="Lucida Console"/>
            <family val="3"/>
          </rPr>
          <t>Tempo de Estoque (Meses)_x000D_
_x000D_
3,0</t>
        </r>
      </text>
    </comment>
    <comment ref="A217" authorId="0" shapeId="0" xr:uid="{DA245E73-CCDD-461C-BB9B-82EC14F250B9}">
      <text>
        <r>
          <rPr>
            <sz val="10"/>
            <color indexed="81"/>
            <rFont val="Lucida Console"/>
            <family val="3"/>
          </rPr>
          <t>_x000D_
106916</t>
        </r>
      </text>
    </comment>
    <comment ref="B217" authorId="0" shapeId="0" xr:uid="{74185209-03F2-421E-80C2-AE100FD4ABC2}">
      <text>
        <r>
          <rPr>
            <sz val="10"/>
            <color indexed="81"/>
            <rFont val="Lucida Console"/>
            <family val="3"/>
          </rPr>
          <t>DESCRIÇÃO DETALHADA_x000D_
CALCA DE BRIM, N° 42, CONFECCIONADA EM TECIDO 100% ALGODAO, COM ACABAMENTO ESPECIAL PARA PROTECAO AO ARCO ELETRICO E EXPOSICAO A CHAMAS, NA COR CINZA.</t>
        </r>
      </text>
    </comment>
    <comment ref="O217" authorId="0" shapeId="0" xr:uid="{4A70D5AD-1617-4313-AEC1-FC5648B3B857}">
      <text>
        <r>
          <rPr>
            <sz val="10"/>
            <color indexed="81"/>
            <rFont val="Lucida Console"/>
            <family val="3"/>
          </rPr>
          <t>_x000D_
Pertencia a ATA nº 151/19_x000D_
Estimativa de Renovação enviada em  - Qtd _x000D_
PE   7/19 lote _x000D_
23.07.19 = Processo finalizado</t>
        </r>
      </text>
    </comment>
    <comment ref="W217" authorId="0" shapeId="0" xr:uid="{5167A6D0-0F5E-4461-B9EB-75684AD3176B}">
      <text>
        <r>
          <rPr>
            <sz val="10"/>
            <color indexed="81"/>
            <rFont val="Lucida Console"/>
            <family val="3"/>
          </rPr>
          <t>_x000D_
SegMedTra</t>
        </r>
      </text>
    </comment>
    <comment ref="X217" authorId="0" shapeId="0" xr:uid="{F783FD9C-F3E1-4113-BA6F-91761B537B3E}">
      <text>
        <r>
          <rPr>
            <sz val="10"/>
            <color indexed="81"/>
            <rFont val="Lucida Console"/>
            <family val="3"/>
          </rPr>
          <t>_x000D_
EQUIP PROT IND, INST MAT P/ SINAL, CONTR, COMB ...</t>
        </r>
      </text>
    </comment>
    <comment ref="Y217" authorId="0" shapeId="0" xr:uid="{2C2466C1-D468-4E13-8122-EC35CB0B6AE6}">
      <text>
        <r>
          <rPr>
            <sz val="10"/>
            <color indexed="81"/>
            <rFont val="Lucida Console"/>
            <family val="3"/>
          </rPr>
          <t>_x000D_
CALCADOS, LUVAS, OCULOS, MASCARAS, CAPACETES, CASSETETE</t>
        </r>
      </text>
    </comment>
    <comment ref="AW217" authorId="0" shapeId="0" xr:uid="{927ACAF2-B6B6-4B0D-B2D2-DCD2AEDD12FF}">
      <text>
        <r>
          <rPr>
            <sz val="10"/>
            <color indexed="81"/>
            <rFont val="Lucida Console"/>
            <family val="3"/>
          </rPr>
          <t>Tempo de Estoque (Meses)_x000D_
_x000D_
8,0</t>
        </r>
      </text>
    </comment>
    <comment ref="A218" authorId="0" shapeId="0" xr:uid="{C3EB795C-0529-4FB9-A4F3-69B4539C19FC}">
      <text>
        <r>
          <rPr>
            <sz val="10"/>
            <color indexed="81"/>
            <rFont val="Lucida Console"/>
            <family val="3"/>
          </rPr>
          <t>_x000D_
106917</t>
        </r>
      </text>
    </comment>
    <comment ref="B218" authorId="0" shapeId="0" xr:uid="{28C8DD67-946D-4DB9-8653-15AFD6B0B47B}">
      <text>
        <r>
          <rPr>
            <sz val="10"/>
            <color indexed="81"/>
            <rFont val="Lucida Console"/>
            <family val="3"/>
          </rPr>
          <t>DESCRIÇÃO DETALHADA_x000D_
CALCA DE BRIM, N° 44, CONFECCIONADA EM TECIDO 100% ALGODAO, COM ACABAMENTO ESPECIAL PARA PROTECAO AO ARCO ELETRICO E EXPOSICAO A CHAMAS, NA COR CINZA.</t>
        </r>
      </text>
    </comment>
    <comment ref="O218" authorId="0" shapeId="0" xr:uid="{AA0D980C-E487-462F-929B-140F7E15C01F}">
      <text>
        <r>
          <rPr>
            <sz val="10"/>
            <color indexed="81"/>
            <rFont val="Lucida Console"/>
            <family val="3"/>
          </rPr>
          <t>_x000D_
Pertencia a ATA nº 151/19_x000D_
Estimativa de Renovação enviada em  - Qtd _x000D_
PE   7/19 lote _x000D_
23.07.19 = Processo finalizado</t>
        </r>
      </text>
    </comment>
    <comment ref="W218" authorId="0" shapeId="0" xr:uid="{E3CD5163-EF53-4E97-ADEA-23EB6D97A134}">
      <text>
        <r>
          <rPr>
            <sz val="10"/>
            <color indexed="81"/>
            <rFont val="Lucida Console"/>
            <family val="3"/>
          </rPr>
          <t>_x000D_
SegMedTra</t>
        </r>
      </text>
    </comment>
    <comment ref="X218" authorId="0" shapeId="0" xr:uid="{D3C2B133-5A85-439E-AC3F-69215270986C}">
      <text>
        <r>
          <rPr>
            <sz val="10"/>
            <color indexed="81"/>
            <rFont val="Lucida Console"/>
            <family val="3"/>
          </rPr>
          <t>_x000D_
EQUIP PROT IND, INST MAT P/ SINAL, CONTR, COMB ...</t>
        </r>
      </text>
    </comment>
    <comment ref="Y218" authorId="0" shapeId="0" xr:uid="{FC20ACBE-6707-4258-BECE-841CCB247A73}">
      <text>
        <r>
          <rPr>
            <sz val="10"/>
            <color indexed="81"/>
            <rFont val="Lucida Console"/>
            <family val="3"/>
          </rPr>
          <t>_x000D_
CALCADOS, LUVAS, OCULOS, MASCARAS, CAPACETES, CASSETETE</t>
        </r>
      </text>
    </comment>
    <comment ref="AW218" authorId="0" shapeId="0" xr:uid="{21AF9CDD-2395-47AA-9941-95EDC86290A5}">
      <text>
        <r>
          <rPr>
            <sz val="10"/>
            <color indexed="81"/>
            <rFont val="Lucida Console"/>
            <family val="3"/>
          </rPr>
          <t>Tempo de Estoque (Meses)_x000D_
_x000D_
4,0</t>
        </r>
      </text>
    </comment>
    <comment ref="A219" authorId="0" shapeId="0" xr:uid="{051697B5-01F5-4BC5-AFC3-471F6D7AEBA3}">
      <text>
        <r>
          <rPr>
            <sz val="10"/>
            <color indexed="81"/>
            <rFont val="Lucida Console"/>
            <family val="3"/>
          </rPr>
          <t>_x000D_
106918</t>
        </r>
      </text>
    </comment>
    <comment ref="B219" authorId="0" shapeId="0" xr:uid="{9A5FC3CB-8AAF-4BCA-B77D-BF062AFA02B2}">
      <text>
        <r>
          <rPr>
            <sz val="10"/>
            <color indexed="81"/>
            <rFont val="Lucida Console"/>
            <family val="3"/>
          </rPr>
          <t>DESCRIÇÃO DETALHADA_x000D_
CALCA DE BRIM, N° 46, CONFECCIONADA EM TECIDO 100% ALGODAO, COM ACABAMENTO ESPECIAL PARA PROTECAO AO ARCO ELETRICO E EXPOSICAO A CHAMAS, NA COR CINZA.</t>
        </r>
      </text>
    </comment>
    <comment ref="O219" authorId="0" shapeId="0" xr:uid="{A0F69B40-0A10-4528-934B-E50EB1E633BB}">
      <text>
        <r>
          <rPr>
            <sz val="10"/>
            <color indexed="81"/>
            <rFont val="Lucida Console"/>
            <family val="3"/>
          </rPr>
          <t>_x000D_
Pertencia a ATA nº 151/19_x000D_
Estimativa de Renovação enviada em  - Qtd _x000D_
PE   7/19 lote _x000D_
23.07.19 = Processo finalizado</t>
        </r>
      </text>
    </comment>
    <comment ref="W219" authorId="0" shapeId="0" xr:uid="{89E66F2A-1D08-4A88-A707-5CAD0C46B30A}">
      <text>
        <r>
          <rPr>
            <sz val="10"/>
            <color indexed="81"/>
            <rFont val="Lucida Console"/>
            <family val="3"/>
          </rPr>
          <t>_x000D_
SegMedTra</t>
        </r>
      </text>
    </comment>
    <comment ref="X219" authorId="0" shapeId="0" xr:uid="{FB90C249-0496-43BC-8CAD-B6589493E7AB}">
      <text>
        <r>
          <rPr>
            <sz val="10"/>
            <color indexed="81"/>
            <rFont val="Lucida Console"/>
            <family val="3"/>
          </rPr>
          <t>_x000D_
EQUIP PROT IND, INST MAT P/ SINAL, CONTR, COMB ...</t>
        </r>
      </text>
    </comment>
    <comment ref="Y219" authorId="0" shapeId="0" xr:uid="{DB307809-B24D-491E-AA41-7B9858B54012}">
      <text>
        <r>
          <rPr>
            <sz val="10"/>
            <color indexed="81"/>
            <rFont val="Lucida Console"/>
            <family val="3"/>
          </rPr>
          <t>_x000D_
CALCADOS, LUVAS, OCULOS, MASCARAS, CAPACETES, CASSETETE</t>
        </r>
      </text>
    </comment>
    <comment ref="AW219" authorId="0" shapeId="0" xr:uid="{C524FEA7-DEE6-42A5-B96C-4E39DC04A469}">
      <text>
        <r>
          <rPr>
            <sz val="10"/>
            <color indexed="81"/>
            <rFont val="Lucida Console"/>
            <family val="3"/>
          </rPr>
          <t>Tempo de Estoque (Meses)_x000D_
_x000D_
6,0</t>
        </r>
      </text>
    </comment>
    <comment ref="A220" authorId="0" shapeId="0" xr:uid="{E6F91B11-7DDF-4073-85D7-364D846C1594}">
      <text>
        <r>
          <rPr>
            <sz val="10"/>
            <color indexed="81"/>
            <rFont val="Lucida Console"/>
            <family val="3"/>
          </rPr>
          <t>_x000D_
106919</t>
        </r>
      </text>
    </comment>
    <comment ref="B220" authorId="0" shapeId="0" xr:uid="{A3379D09-C53C-4FB5-BC13-C7B942D5A62D}">
      <text>
        <r>
          <rPr>
            <sz val="10"/>
            <color indexed="81"/>
            <rFont val="Lucida Console"/>
            <family val="3"/>
          </rPr>
          <t>DESCRIÇÃO DETALHADA_x000D_
CALCA DE BRIM, N° 48, CONFECCIONADA EM TECIDO 100% ALGODAO, COM ACABAMENTO ESPECIAL PARA PROTECAO AO ARCO ELETRICO E EXPOSICAO A CHAMAS, NA COR CINZA.</t>
        </r>
      </text>
    </comment>
    <comment ref="O220" authorId="0" shapeId="0" xr:uid="{84B27A74-37B5-4BBE-AE13-622D5C47F6E5}">
      <text>
        <r>
          <rPr>
            <sz val="10"/>
            <color indexed="81"/>
            <rFont val="Lucida Console"/>
            <family val="3"/>
          </rPr>
          <t>_x000D_
Pertencia a ATA nº 151/19_x000D_
Estimativa de Renovação enviada em  - Qtd _x000D_
PE   7/19 lote _x000D_
23.07.19 = Processo finalizado</t>
        </r>
      </text>
    </comment>
    <comment ref="W220" authorId="0" shapeId="0" xr:uid="{75BCA61E-90D7-4D7E-9400-2ABCDD441F1E}">
      <text>
        <r>
          <rPr>
            <sz val="10"/>
            <color indexed="81"/>
            <rFont val="Lucida Console"/>
            <family val="3"/>
          </rPr>
          <t>_x000D_
SegMedTra</t>
        </r>
      </text>
    </comment>
    <comment ref="X220" authorId="0" shapeId="0" xr:uid="{FFD3E64A-3F91-4170-BEA0-B5D90039C139}">
      <text>
        <r>
          <rPr>
            <sz val="10"/>
            <color indexed="81"/>
            <rFont val="Lucida Console"/>
            <family val="3"/>
          </rPr>
          <t>_x000D_
EQUIP PROT IND, INST MAT P/ SINAL, CONTR, COMB ...</t>
        </r>
      </text>
    </comment>
    <comment ref="Y220" authorId="0" shapeId="0" xr:uid="{DEF9966B-4AC8-4E9D-8A7F-700A0EA838C9}">
      <text>
        <r>
          <rPr>
            <sz val="10"/>
            <color indexed="81"/>
            <rFont val="Lucida Console"/>
            <family val="3"/>
          </rPr>
          <t>_x000D_
CALCADOS, LUVAS, OCULOS, MASCARAS, CAPACETES, CASSETETE</t>
        </r>
      </text>
    </comment>
    <comment ref="AW220" authorId="0" shapeId="0" xr:uid="{86EBBEDF-373C-4A49-BF1A-30B81874ACF6}">
      <text>
        <r>
          <rPr>
            <sz val="10"/>
            <color indexed="81"/>
            <rFont val="Lucida Console"/>
            <family val="3"/>
          </rPr>
          <t>Tempo de Estoque (Meses)_x000D_
_x000D_
3,0</t>
        </r>
      </text>
    </comment>
    <comment ref="A221" authorId="0" shapeId="0" xr:uid="{345DF1FA-B0C0-46CE-9FE7-9147273F1B9F}">
      <text>
        <r>
          <rPr>
            <sz val="10"/>
            <color indexed="81"/>
            <rFont val="Lucida Console"/>
            <family val="3"/>
          </rPr>
          <t>_x000D_
14977</t>
        </r>
      </text>
    </comment>
    <comment ref="B221" authorId="0" shapeId="0" xr:uid="{B170D269-6182-4B97-B316-2B9FE3B684B0}">
      <text>
        <r>
          <rPr>
            <sz val="10"/>
            <color indexed="81"/>
            <rFont val="Lucida Console"/>
            <family val="3"/>
          </rPr>
          <t>DESCRIÇÃO DETALHADA_x000D_
TAMPO E ASSENTO P/ VASO SANITARIO ( INFANTIL )</t>
        </r>
      </text>
    </comment>
    <comment ref="G221" authorId="0" shapeId="0" xr:uid="{F390501F-A223-4688-BF3B-388B15F7E555}">
      <text>
        <r>
          <rPr>
            <sz val="10"/>
            <color indexed="81"/>
            <rFont val="Lucida Console"/>
            <family val="3"/>
          </rPr>
          <t>_x000D_
Últ estimativa : 200_x000D_
Enviada em     : 22.04.2021_x000D_
Ata - Venc     : 154/19 - 23.06.2020</t>
        </r>
      </text>
    </comment>
    <comment ref="O221" authorId="0" shapeId="0" xr:uid="{B6FDD14A-F854-4C11-BD03-80E17F788CB7}">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221" authorId="0" shapeId="0" xr:uid="{06E66BD9-31C8-45F3-B4DB-0B19A67844BE}">
      <text>
        <r>
          <rPr>
            <sz val="10"/>
            <color indexed="81"/>
            <rFont val="Lucida Console"/>
            <family val="3"/>
          </rPr>
          <t>_x000D_
DM-Construção</t>
        </r>
      </text>
    </comment>
    <comment ref="X221" authorId="0" shapeId="0" xr:uid="{7A38DF41-FCE0-4A5C-AF76-3C98AD9B31BD}">
      <text>
        <r>
          <rPr>
            <sz val="10"/>
            <color indexed="81"/>
            <rFont val="Lucida Console"/>
            <family val="3"/>
          </rPr>
          <t>_x000D_
MAT.E EQUIP. P/ CONSTR.CIVIL E CONSERV. DE VIAS PUBL.</t>
        </r>
      </text>
    </comment>
    <comment ref="Y221" authorId="0" shapeId="0" xr:uid="{AD822CEB-D458-41A4-A220-DEF10BFC59B6}">
      <text>
        <r>
          <rPr>
            <sz val="10"/>
            <color indexed="81"/>
            <rFont val="Lucida Console"/>
            <family val="3"/>
          </rPr>
          <t>_x000D_
TAMPOS, ASSENTOS, SABONET. PAPELEIRAS E PORTA-TOALHAS</t>
        </r>
      </text>
    </comment>
    <comment ref="AW221" authorId="0" shapeId="0" xr:uid="{968FF194-94EE-414D-891C-3A36375440A8}">
      <text>
        <r>
          <rPr>
            <sz val="10"/>
            <color indexed="81"/>
            <rFont val="Lucida Console"/>
            <family val="3"/>
          </rPr>
          <t>Tempo de Estoque (Meses)_x000D_
_x000D_
178,0</t>
        </r>
      </text>
    </comment>
    <comment ref="A222" authorId="0" shapeId="0" xr:uid="{1E661C05-55FF-4C7C-B2EA-F717A1EC0AF1}">
      <text>
        <r>
          <rPr>
            <sz val="10"/>
            <color indexed="81"/>
            <rFont val="Lucida Console"/>
            <family val="3"/>
          </rPr>
          <t>_x000D_
132465</t>
        </r>
      </text>
    </comment>
    <comment ref="B222" authorId="0" shapeId="0" xr:uid="{B6491F29-8E0A-4744-9A74-577C25ED60B6}">
      <text>
        <r>
          <rPr>
            <sz val="10"/>
            <color indexed="81"/>
            <rFont val="Lucida Console"/>
            <family val="3"/>
          </rPr>
          <t>DESCRIÇÃO DETALHADA_x000D_
FECHO CHATO COM PORTA CADEADO ZINCADO 5" REFORCADO, COM PARAFUSOS, MATERIAL DO FECHO:  ACO CARBONO, MEDIDA: 127MM.</t>
        </r>
      </text>
    </comment>
    <comment ref="G222" authorId="0" shapeId="0" xr:uid="{0EB2CDA0-55F8-487A-A207-64ACFB8651B0}">
      <text>
        <r>
          <rPr>
            <sz val="10"/>
            <color indexed="81"/>
            <rFont val="Lucida Console"/>
            <family val="3"/>
          </rPr>
          <t>_x000D_
Últ estimativa : 200_x000D_
Enviada em     : 14.02.2020_x000D_
Ata - Venc     : 155/19 - 26.06.2020</t>
        </r>
      </text>
    </comment>
    <comment ref="O222" authorId="0" shapeId="0" xr:uid="{7A123EA0-A25A-4D82-8D9E-434564814C34}">
      <text>
        <r>
          <rPr>
            <sz val="10"/>
            <color indexed="81"/>
            <rFont val="Lucida Console"/>
            <family val="3"/>
          </rPr>
          <t>_x000D_
Pertencia a ATA nº 155/19_x000D_
Estimativa de Renovação enviada em 14.02.2020 - Qtd 200_x000D_
PE  28/19 lote _x000D_
24.07.19 = Processo conferido, finalizado.</t>
        </r>
      </text>
    </comment>
    <comment ref="W222" authorId="0" shapeId="0" xr:uid="{23B27631-922D-43BB-B793-E1379A0BA405}">
      <text>
        <r>
          <rPr>
            <sz val="10"/>
            <color indexed="81"/>
            <rFont val="Lucida Console"/>
            <family val="3"/>
          </rPr>
          <t>_x000D_
DM-Marcenaria</t>
        </r>
      </text>
    </comment>
    <comment ref="X222" authorId="0" shapeId="0" xr:uid="{DD8888F1-3B10-4924-ADA2-5720BFDE501E}">
      <text>
        <r>
          <rPr>
            <sz val="10"/>
            <color indexed="81"/>
            <rFont val="Lucida Console"/>
            <family val="3"/>
          </rPr>
          <t>_x000D_
MAT.E EQUIP. P/ CONSTR.CIVIL E CONSERV. DE VIAS PUBL.</t>
        </r>
      </text>
    </comment>
    <comment ref="Y222" authorId="0" shapeId="0" xr:uid="{4138200B-E34C-4A87-8F96-3A42A5773B7C}">
      <text>
        <r>
          <rPr>
            <sz val="10"/>
            <color indexed="81"/>
            <rFont val="Lucida Console"/>
            <family val="3"/>
          </rPr>
          <t>_x000D_
MACANETAS, TRINCOS, TRAMELAS E TRANQUETAS</t>
        </r>
      </text>
    </comment>
    <comment ref="AW222" authorId="0" shapeId="0" xr:uid="{32D7906D-3078-4AD4-AEFB-C33E1A06D5A4}">
      <text>
        <r>
          <rPr>
            <sz val="10"/>
            <color indexed="81"/>
            <rFont val="Lucida Console"/>
            <family val="3"/>
          </rPr>
          <t>Tempo de Estoque (Meses)_x000D_
_x000D_
50,0</t>
        </r>
      </text>
    </comment>
    <comment ref="A223" authorId="0" shapeId="0" xr:uid="{F7B91451-AFD4-4135-99F9-A80D7CD25E6F}">
      <text>
        <r>
          <rPr>
            <sz val="10"/>
            <color indexed="81"/>
            <rFont val="Lucida Console"/>
            <family val="3"/>
          </rPr>
          <t>_x000D_
20037</t>
        </r>
      </text>
    </comment>
    <comment ref="B223" authorId="0" shapeId="0" xr:uid="{97BD170D-6409-48F5-B5F5-6682B0157526}">
      <text>
        <r>
          <rPr>
            <sz val="10"/>
            <color indexed="81"/>
            <rFont val="Lucida Console"/>
            <family val="3"/>
          </rPr>
          <t>DESCRIÇÃO DETALHADA_x000D_
BROCA DE ACO RAPIDO HELICOIDAL DE 3/8" COM HASTE CILINDRICA</t>
        </r>
      </text>
    </comment>
    <comment ref="G223" authorId="0" shapeId="0" xr:uid="{05AABCFC-E07C-487A-B5C7-F37B265F9B1A}">
      <text>
        <r>
          <rPr>
            <sz val="10"/>
            <color indexed="81"/>
            <rFont val="Lucida Console"/>
            <family val="3"/>
          </rPr>
          <t>_x000D_
Últ estimativa : 50_x000D_
Enviada em     : 14.02.2020_x000D_
Ata - Venc     : 155/19 - 26.06.2020</t>
        </r>
      </text>
    </comment>
    <comment ref="O223" authorId="0" shapeId="0" xr:uid="{9503354E-6725-481F-A3FC-DC0ACDD96E63}">
      <text>
        <r>
          <rPr>
            <sz val="10"/>
            <color indexed="81"/>
            <rFont val="Lucida Console"/>
            <family val="3"/>
          </rPr>
          <t>_x000D_
Pertencia a ATA nº 155/19_x000D_
Estimativa de Renovação enviada em 14.02.2020 - Qtd 50_x000D_
PE  28/19 lote _x000D_
24.07.19 = Processo conferido, finalizado.</t>
        </r>
      </text>
    </comment>
    <comment ref="W223" authorId="0" shapeId="0" xr:uid="{0077146A-CD6C-4548-8578-4454FF3F0707}">
      <text>
        <r>
          <rPr>
            <sz val="10"/>
            <color indexed="81"/>
            <rFont val="Lucida Console"/>
            <family val="3"/>
          </rPr>
          <t>_x000D_
DM-Serralheria</t>
        </r>
      </text>
    </comment>
    <comment ref="X223" authorId="0" shapeId="0" xr:uid="{3B1666ED-83D0-490F-A6EE-5314EA9EC219}">
      <text>
        <r>
          <rPr>
            <sz val="10"/>
            <color indexed="81"/>
            <rFont val="Lucida Console"/>
            <family val="3"/>
          </rPr>
          <t>_x000D_
FERRAMENTAS MAQ.FERRAMENTAS,ELETR.PECAS E ACESSORI</t>
        </r>
      </text>
    </comment>
    <comment ref="Y223" authorId="0" shapeId="0" xr:uid="{6D3C5D8C-0C12-4950-A652-CD6105DC6DCB}">
      <text>
        <r>
          <rPr>
            <sz val="10"/>
            <color indexed="81"/>
            <rFont val="Lucida Console"/>
            <family val="3"/>
          </rPr>
          <t>_x000D_
BROCAS</t>
        </r>
      </text>
    </comment>
    <comment ref="AW223" authorId="0" shapeId="0" xr:uid="{27939E39-C796-4211-A9A4-E837AF4C2DCF}">
      <text>
        <r>
          <rPr>
            <sz val="10"/>
            <color indexed="81"/>
            <rFont val="Lucida Console"/>
            <family val="3"/>
          </rPr>
          <t>Tempo de Estoque (Meses)_x000D_
_x000D_
148,0</t>
        </r>
      </text>
    </comment>
    <comment ref="A224" authorId="0" shapeId="0" xr:uid="{B5D54E3B-168F-47CD-8416-C032FC6FB1E5}">
      <text>
        <r>
          <rPr>
            <sz val="10"/>
            <color indexed="81"/>
            <rFont val="Lucida Console"/>
            <family val="3"/>
          </rPr>
          <t>_x000D_
14737</t>
        </r>
      </text>
    </comment>
    <comment ref="B224" authorId="0" shapeId="0" xr:uid="{CAF017B1-4334-4A42-B724-D5C373688BAA}">
      <text>
        <r>
          <rPr>
            <sz val="10"/>
            <color indexed="81"/>
            <rFont val="Lucida Console"/>
            <family val="3"/>
          </rPr>
          <t>DESCRIÇÃO DETALHADA_x000D_
TINTA ACRILICA P/ DEMARCACAO DE SOLO - BALDE C/ 18 L - PRETA - PADRAO DER 3.09</t>
        </r>
      </text>
    </comment>
    <comment ref="G224" authorId="0" shapeId="0" xr:uid="{68DFAAF5-5F12-4BE5-9155-F035C47AAC03}">
      <text>
        <r>
          <rPr>
            <sz val="10"/>
            <color indexed="81"/>
            <rFont val="Lucida Console"/>
            <family val="3"/>
          </rPr>
          <t>_x000D_
Últ estimativa : 10_x000D_
Enviada em     : 10.03.2020_x000D_
Ata - Venc     : 156/20 - 29.07.2021</t>
        </r>
      </text>
    </comment>
    <comment ref="O224" authorId="0" shapeId="0" xr:uid="{CE23A601-B158-413F-AA2F-043A6195BCBD}">
      <text>
        <r>
          <rPr>
            <sz val="10"/>
            <color indexed="81"/>
            <rFont val="Lucida Console"/>
            <family val="3"/>
          </rPr>
          <t>_x000D_
Pertencia a ATA nº 156/20_x000D_
Estimativa de Renovação enviada em 10.03.2020 - Qtd 10_x000D_
PE  31/19 lote 1_x000D_
10.07.19 = Finalizar - contrato assinado</t>
        </r>
      </text>
    </comment>
    <comment ref="W224" authorId="0" shapeId="0" xr:uid="{B555D734-839F-48D1-A1BD-99ECD8E5242A}">
      <text>
        <r>
          <rPr>
            <sz val="10"/>
            <color indexed="81"/>
            <rFont val="Lucida Console"/>
            <family val="3"/>
          </rPr>
          <t>_x000D_
DM-Pintura</t>
        </r>
      </text>
    </comment>
    <comment ref="X224" authorId="0" shapeId="0" xr:uid="{ED0957E6-6F4D-42FB-A268-CB661D4A64FA}">
      <text>
        <r>
          <rPr>
            <sz val="10"/>
            <color indexed="81"/>
            <rFont val="Lucida Console"/>
            <family val="3"/>
          </rPr>
          <t>_x000D_
EQUIP. E MATERIAIS P/PINTURAS E IMPERMEABILIZACAO</t>
        </r>
      </text>
    </comment>
    <comment ref="Y224" authorId="0" shapeId="0" xr:uid="{3A5B39ED-CCA0-4676-9F68-BE74E1B3C7E7}">
      <text>
        <r>
          <rPr>
            <sz val="10"/>
            <color indexed="81"/>
            <rFont val="Lucida Console"/>
            <family val="3"/>
          </rPr>
          <t>_x000D_
VERNIZES PRIMERS E TINTAS PARA SOLO</t>
        </r>
      </text>
    </comment>
    <comment ref="AW224" authorId="0" shapeId="0" xr:uid="{EBD1EBF5-917E-49D1-83D8-C5634FD0A6AE}">
      <text>
        <r>
          <rPr>
            <sz val="10"/>
            <color indexed="81"/>
            <rFont val="Lucida Console"/>
            <family val="3"/>
          </rPr>
          <t>Tempo de Estoque (Meses)_x000D_
_x000D_
20,0</t>
        </r>
      </text>
    </comment>
    <comment ref="A225" authorId="0" shapeId="0" xr:uid="{B6FF6534-B444-4A17-B8EA-93CB6283EF48}">
      <text>
        <r>
          <rPr>
            <sz val="10"/>
            <color indexed="81"/>
            <rFont val="Lucida Console"/>
            <family val="3"/>
          </rPr>
          <t>_x000D_
20760</t>
        </r>
      </text>
    </comment>
    <comment ref="B225" authorId="0" shapeId="0" xr:uid="{B93ADB8C-9AB6-4EAA-B62E-64F1A1EA7186}">
      <text>
        <r>
          <rPr>
            <sz val="10"/>
            <color indexed="81"/>
            <rFont val="Lucida Console"/>
            <family val="3"/>
          </rPr>
          <t>DESCRIÇÃO DETALHADA_x000D_
TINTA ACRILICA P/ DEMARCACAO DE SOLO - BALDE C/ 18 LITROS - BRANCA - PADRAO DER 3.09</t>
        </r>
      </text>
    </comment>
    <comment ref="G225" authorId="0" shapeId="0" xr:uid="{DCC7BB4C-9963-4E8E-8E3B-F0DA7BBCF4BA}">
      <text>
        <r>
          <rPr>
            <sz val="10"/>
            <color indexed="81"/>
            <rFont val="Lucida Console"/>
            <family val="3"/>
          </rPr>
          <t>_x000D_
Últ estimativa : 150_x000D_
Enviada em     : 10.03.2020_x000D_
Ata - Venc     : 156/20 - 29.07.2021</t>
        </r>
      </text>
    </comment>
    <comment ref="O225" authorId="0" shapeId="0" xr:uid="{C33870A6-CDE9-49E1-8327-19332BA41ABB}">
      <text>
        <r>
          <rPr>
            <sz val="10"/>
            <color indexed="81"/>
            <rFont val="Lucida Console"/>
            <family val="3"/>
          </rPr>
          <t>_x000D_
Pertencia a ATA nº 156/20_x000D_
Estimativa de Renovação enviada em 10.03.2020 - Qtd 150_x000D_
PE  31/19 lote 2_x000D_
10.07.19 = Finalizar - contrato assinado</t>
        </r>
      </text>
    </comment>
    <comment ref="W225" authorId="0" shapeId="0" xr:uid="{A7311347-4143-40F4-A0C9-52F3C2EF9ADB}">
      <text>
        <r>
          <rPr>
            <sz val="10"/>
            <color indexed="81"/>
            <rFont val="Lucida Console"/>
            <family val="3"/>
          </rPr>
          <t>_x000D_
DM-Pintura</t>
        </r>
      </text>
    </comment>
    <comment ref="X225" authorId="0" shapeId="0" xr:uid="{521C43F3-0123-41AD-9922-9A8AB42351DA}">
      <text>
        <r>
          <rPr>
            <sz val="10"/>
            <color indexed="81"/>
            <rFont val="Lucida Console"/>
            <family val="3"/>
          </rPr>
          <t>_x000D_
EQUIP. E MATERIAIS P/PINTURAS E IMPERMEABILIZACAO</t>
        </r>
      </text>
    </comment>
    <comment ref="Y225" authorId="0" shapeId="0" xr:uid="{BA309174-10D7-4560-B760-8E65C6EF6D37}">
      <text>
        <r>
          <rPr>
            <sz val="10"/>
            <color indexed="81"/>
            <rFont val="Lucida Console"/>
            <family val="3"/>
          </rPr>
          <t>_x000D_
VERNIZES PRIMERS E TINTAS PARA SOLO</t>
        </r>
      </text>
    </comment>
    <comment ref="AC225" authorId="0" shapeId="0" xr:uid="{7C6B193B-05C0-4D6E-A4C1-ADCBDF415FBB}">
      <text>
        <r>
          <rPr>
            <sz val="10"/>
            <color indexed="81"/>
            <rFont val="Lucida Console"/>
            <family val="3"/>
          </rPr>
          <t>_x000D_
AF 11.620/23 | Vc 17.11.2023 | Saldo     60 | SUPREME COMERCIAL LTDA ( 218117 )</t>
        </r>
      </text>
    </comment>
    <comment ref="AG225" authorId="0" shapeId="0" xr:uid="{30F32001-C599-436F-93FD-5A10F03E4AEA}">
      <text>
        <r>
          <rPr>
            <sz val="10"/>
            <color indexed="81"/>
            <rFont val="Lucida Console"/>
            <family val="3"/>
          </rPr>
          <t>_x000D_
AF 11.620/23 | Vc 17.11.2023 | Saldo     60 | SUPREME COMERCIAL LTDA ( 218117 )</t>
        </r>
      </text>
    </comment>
    <comment ref="AW225" authorId="0" shapeId="0" xr:uid="{9683775E-8E5B-4017-A98E-E7991DF57455}">
      <text>
        <r>
          <rPr>
            <sz val="10"/>
            <color indexed="81"/>
            <rFont val="Lucida Console"/>
            <family val="3"/>
          </rPr>
          <t>Tempo de Estoque (Meses)_x000D_
_x000D_
60,0</t>
        </r>
      </text>
    </comment>
    <comment ref="A226" authorId="0" shapeId="0" xr:uid="{F7F785DB-0D80-4836-862C-E1777A1D69D0}">
      <text>
        <r>
          <rPr>
            <sz val="10"/>
            <color indexed="81"/>
            <rFont val="Lucida Console"/>
            <family val="3"/>
          </rPr>
          <t>_x000D_
20763</t>
        </r>
      </text>
    </comment>
    <comment ref="B226" authorId="0" shapeId="0" xr:uid="{62DF9E82-F36D-419B-B93F-24B937619383}">
      <text>
        <r>
          <rPr>
            <sz val="10"/>
            <color indexed="81"/>
            <rFont val="Lucida Console"/>
            <family val="3"/>
          </rPr>
          <t>DESCRIÇÃO DETALHADA_x000D_
TINTA ACRILICA P/ DEMARCACAO DO SOLO - BALDE COM 18 LITROS - AMARELA - PADRAO DER 3.09</t>
        </r>
      </text>
    </comment>
    <comment ref="G226" authorId="0" shapeId="0" xr:uid="{1E8D7A85-C936-426C-A248-4BF5D8093795}">
      <text>
        <r>
          <rPr>
            <sz val="10"/>
            <color indexed="81"/>
            <rFont val="Lucida Console"/>
            <family val="3"/>
          </rPr>
          <t>_x000D_
Últ estimativa : 50_x000D_
Enviada em     : 10.03.2020_x000D_
Ata - Venc     : 156/20 - 29.07.2021</t>
        </r>
      </text>
    </comment>
    <comment ref="O226" authorId="0" shapeId="0" xr:uid="{C50151EB-F643-4DB9-BDF3-1109D19CA1DD}">
      <text>
        <r>
          <rPr>
            <sz val="10"/>
            <color indexed="81"/>
            <rFont val="Lucida Console"/>
            <family val="3"/>
          </rPr>
          <t>_x000D_
Pertencia a ATA nº 156/20_x000D_
Estimativa de Renovação enviada em 10.03.2020 - Qtd 50_x000D_
PE  31/19 lote 3_x000D_
10.07.19 = Finalizar - contrato assinado</t>
        </r>
      </text>
    </comment>
    <comment ref="W226" authorId="0" shapeId="0" xr:uid="{67A1A5EA-7366-449D-9C78-C9B1CDB31EF2}">
      <text>
        <r>
          <rPr>
            <sz val="10"/>
            <color indexed="81"/>
            <rFont val="Lucida Console"/>
            <family val="3"/>
          </rPr>
          <t>_x000D_
DM-Pintura</t>
        </r>
      </text>
    </comment>
    <comment ref="X226" authorId="0" shapeId="0" xr:uid="{03763283-79E4-4016-B994-39128BCFB51F}">
      <text>
        <r>
          <rPr>
            <sz val="10"/>
            <color indexed="81"/>
            <rFont val="Lucida Console"/>
            <family val="3"/>
          </rPr>
          <t>_x000D_
EQUIP. E MATERIAIS P/PINTURAS E IMPERMEABILIZACAO</t>
        </r>
      </text>
    </comment>
    <comment ref="Y226" authorId="0" shapeId="0" xr:uid="{920DD252-1195-4C7C-BC4A-F700E57D2A85}">
      <text>
        <r>
          <rPr>
            <sz val="10"/>
            <color indexed="81"/>
            <rFont val="Lucida Console"/>
            <family val="3"/>
          </rPr>
          <t>_x000D_
VERNIZES PRIMERS E TINTAS PARA SOLO</t>
        </r>
      </text>
    </comment>
    <comment ref="AC226" authorId="0" shapeId="0" xr:uid="{CB2C367F-FEB0-4894-A3A6-6C3232A3575B}">
      <text>
        <r>
          <rPr>
            <sz val="10"/>
            <color indexed="81"/>
            <rFont val="Lucida Console"/>
            <family val="3"/>
          </rPr>
          <t>_x000D_
AF 11.622/23 | Vc 17.11.2023 | Saldo     40 | SUPREME COMERCIAL LTDA ( 218117 )</t>
        </r>
      </text>
    </comment>
    <comment ref="AG226" authorId="0" shapeId="0" xr:uid="{3B455560-F572-43DB-A5B7-17952669B6B6}">
      <text>
        <r>
          <rPr>
            <sz val="10"/>
            <color indexed="81"/>
            <rFont val="Lucida Console"/>
            <family val="3"/>
          </rPr>
          <t>_x000D_
AF 11.622/23 | Vc 17.11.2023 | Saldo     40 | SUPREME COMERCIAL LTDA ( 218117 )</t>
        </r>
      </text>
    </comment>
    <comment ref="AW226" authorId="0" shapeId="0" xr:uid="{F395EC1F-A8EE-4325-8B22-4C4B82BC9B59}">
      <text>
        <r>
          <rPr>
            <sz val="10"/>
            <color indexed="81"/>
            <rFont val="Lucida Console"/>
            <family val="3"/>
          </rPr>
          <t>Tempo de Estoque (Meses)_x000D_
_x000D_
40,0</t>
        </r>
      </text>
    </comment>
    <comment ref="A227" authorId="0" shapeId="0" xr:uid="{8F4989A3-D368-433D-9D93-FF34C333AD52}">
      <text>
        <r>
          <rPr>
            <sz val="10"/>
            <color indexed="81"/>
            <rFont val="Lucida Console"/>
            <family val="3"/>
          </rPr>
          <t>_x000D_
69229</t>
        </r>
      </text>
    </comment>
    <comment ref="B227" authorId="0" shapeId="0" xr:uid="{326D067D-086A-4E52-92C1-538F03A8B105}">
      <text>
        <r>
          <rPr>
            <sz val="10"/>
            <color indexed="81"/>
            <rFont val="Lucida Console"/>
            <family val="3"/>
          </rPr>
          <t>DESCRIÇÃO DETALHADA_x000D_
TINTA ACRILICA P/ DEMARCACAO DE SOLO - BALDE C/ 18 LITROS - AZUL - PADRAO DER 3.09</t>
        </r>
      </text>
    </comment>
    <comment ref="G227" authorId="0" shapeId="0" xr:uid="{00F180ED-7019-45FB-A169-82CF2E386DEC}">
      <text>
        <r>
          <rPr>
            <sz val="10"/>
            <color indexed="81"/>
            <rFont val="Lucida Console"/>
            <family val="3"/>
          </rPr>
          <t>_x000D_
Últ estimativa : 150_x000D_
Enviada em     : 10.03.2020_x000D_
Ata - Venc     : 156/20 - 29.07.2021</t>
        </r>
      </text>
    </comment>
    <comment ref="O227" authorId="0" shapeId="0" xr:uid="{3128F26D-5FFF-4C2E-AE1B-32515E27A9DA}">
      <text>
        <r>
          <rPr>
            <sz val="10"/>
            <color indexed="81"/>
            <rFont val="Lucida Console"/>
            <family val="3"/>
          </rPr>
          <t>_x000D_
Pertencia a ATA nº 156/20_x000D_
Estimativa de Renovação enviada em 10.03.2020 - Qtd 150_x000D_
PE  31/19 lote 6_x000D_
10.07.19 = Finalizar - contrato assinado</t>
        </r>
      </text>
    </comment>
    <comment ref="W227" authorId="0" shapeId="0" xr:uid="{4E326ED8-117A-41A9-8D08-8130E8E7D8AB}">
      <text>
        <r>
          <rPr>
            <sz val="10"/>
            <color indexed="81"/>
            <rFont val="Lucida Console"/>
            <family val="3"/>
          </rPr>
          <t>_x000D_
DM-Pintura</t>
        </r>
      </text>
    </comment>
    <comment ref="X227" authorId="0" shapeId="0" xr:uid="{BF65DE96-526D-4D4A-9D2A-C1A8DCB120CB}">
      <text>
        <r>
          <rPr>
            <sz val="10"/>
            <color indexed="81"/>
            <rFont val="Lucida Console"/>
            <family val="3"/>
          </rPr>
          <t>_x000D_
EQUIP. E MATERIAIS P/PINTURAS E IMPERMEABILIZACAO</t>
        </r>
      </text>
    </comment>
    <comment ref="Y227" authorId="0" shapeId="0" xr:uid="{EDD0AFCB-06B7-43FC-88DE-F2372E53C57D}">
      <text>
        <r>
          <rPr>
            <sz val="10"/>
            <color indexed="81"/>
            <rFont val="Lucida Console"/>
            <family val="3"/>
          </rPr>
          <t>_x000D_
VERNIZES PRIMERS E TINTAS PARA SOLO</t>
        </r>
      </text>
    </comment>
    <comment ref="AC227" authorId="0" shapeId="0" xr:uid="{242D6AFF-D1D7-404A-9D2E-828FB171F233}">
      <text>
        <r>
          <rPr>
            <sz val="10"/>
            <color indexed="81"/>
            <rFont val="Lucida Console"/>
            <family val="3"/>
          </rPr>
          <t>_x000D_
AF 11.620/23 | Vc 17.11.2023 | Saldo     60 | SUPREME COMERCIAL LTDA ( 218117 )</t>
        </r>
      </text>
    </comment>
    <comment ref="AG227" authorId="0" shapeId="0" xr:uid="{96A59B76-AFAA-4F45-8D42-E4045F8990EB}">
      <text>
        <r>
          <rPr>
            <sz val="10"/>
            <color indexed="81"/>
            <rFont val="Lucida Console"/>
            <family val="3"/>
          </rPr>
          <t>_x000D_
AF 11.620/23 | Vc 17.11.2023 | Saldo     60 | SUPREME COMERCIAL LTDA ( 218117 )</t>
        </r>
      </text>
    </comment>
    <comment ref="AW227" authorId="0" shapeId="0" xr:uid="{D5D7D7E7-3E52-4998-801B-F2E0193B38BC}">
      <text>
        <r>
          <rPr>
            <sz val="10"/>
            <color indexed="81"/>
            <rFont val="Lucida Console"/>
            <family val="3"/>
          </rPr>
          <t>Tempo de Estoque (Meses)_x000D_
_x000D_
106,0</t>
        </r>
      </text>
    </comment>
    <comment ref="A228" authorId="0" shapeId="0" xr:uid="{CF3A1142-E0D0-4100-BE2B-205ACD007D69}">
      <text>
        <r>
          <rPr>
            <sz val="10"/>
            <color indexed="81"/>
            <rFont val="Lucida Console"/>
            <family val="3"/>
          </rPr>
          <t>_x000D_
87586</t>
        </r>
      </text>
    </comment>
    <comment ref="B228" authorId="0" shapeId="0" xr:uid="{1E3FD10C-1872-4405-9DF3-9A21F90D9466}">
      <text>
        <r>
          <rPr>
            <sz val="10"/>
            <color indexed="81"/>
            <rFont val="Lucida Console"/>
            <family val="3"/>
          </rPr>
          <t>DESCRIÇÃO DETALHADA_x000D_
TINTA ACRILICA P/ DEMARCACAO DE SOLO - BALDE C/ 18 L - VERMELHA - PADRAO DER 3.09</t>
        </r>
      </text>
    </comment>
    <comment ref="G228" authorId="0" shapeId="0" xr:uid="{D963739B-F3A9-449F-8F0C-6392562EC997}">
      <text>
        <r>
          <rPr>
            <sz val="10"/>
            <color indexed="81"/>
            <rFont val="Lucida Console"/>
            <family val="3"/>
          </rPr>
          <t>_x000D_
Últ estimativa : 10_x000D_
Enviada em     : 10.03.2020_x000D_
Ata - Venc     : 156/20 - 29.07.2021</t>
        </r>
      </text>
    </comment>
    <comment ref="O228" authorId="0" shapeId="0" xr:uid="{DBD02347-EFA8-41A8-83D1-DF67BC662710}">
      <text>
        <r>
          <rPr>
            <sz val="10"/>
            <color indexed="81"/>
            <rFont val="Lucida Console"/>
            <family val="3"/>
          </rPr>
          <t>_x000D_
Pertencia a ATA nº 156/20_x000D_
Estimativa de Renovação enviada em 10.03.2020 - Qtd 10_x000D_
PE  31/19 lote 8_x000D_
10.07.19 = Finalizar - contrato assinado</t>
        </r>
      </text>
    </comment>
    <comment ref="W228" authorId="0" shapeId="0" xr:uid="{819E9BFA-856C-4F61-B38D-7F6E965C7E73}">
      <text>
        <r>
          <rPr>
            <sz val="10"/>
            <color indexed="81"/>
            <rFont val="Lucida Console"/>
            <family val="3"/>
          </rPr>
          <t>_x000D_
DM-Pintura</t>
        </r>
      </text>
    </comment>
    <comment ref="X228" authorId="0" shapeId="0" xr:uid="{193F3E46-52C8-44EB-9314-41A0A4904648}">
      <text>
        <r>
          <rPr>
            <sz val="10"/>
            <color indexed="81"/>
            <rFont val="Lucida Console"/>
            <family val="3"/>
          </rPr>
          <t>_x000D_
EQUIP. E MATERIAIS P/PINTURAS E IMPERMEABILIZACAO</t>
        </r>
      </text>
    </comment>
    <comment ref="Y228" authorId="0" shapeId="0" xr:uid="{6008DF1B-B9B1-44C0-A0D1-B845033F62AC}">
      <text>
        <r>
          <rPr>
            <sz val="10"/>
            <color indexed="81"/>
            <rFont val="Lucida Console"/>
            <family val="3"/>
          </rPr>
          <t>_x000D_
VERNIZES PRIMERS E TINTAS PARA SOLO</t>
        </r>
      </text>
    </comment>
    <comment ref="AC228" authorId="0" shapeId="0" xr:uid="{7214208B-04A4-4FCA-8C91-5297C46EE6DE}">
      <text>
        <r>
          <rPr>
            <sz val="10"/>
            <color indexed="81"/>
            <rFont val="Lucida Console"/>
            <family val="3"/>
          </rPr>
          <t>_x000D_
AF 11.601/23 | Vc 17.11.2023 | Saldo     10 | MZ SINALIZACAO VIARIA LTDA ( 252800 )</t>
        </r>
      </text>
    </comment>
    <comment ref="AG228" authorId="0" shapeId="0" xr:uid="{D4E4F577-99C0-430F-8542-71C9170756C3}">
      <text>
        <r>
          <rPr>
            <sz val="10"/>
            <color indexed="81"/>
            <rFont val="Lucida Console"/>
            <family val="3"/>
          </rPr>
          <t>_x000D_
AF 11.601/23 | Vc 17.11.2023 | Saldo     10 | MZ SINALIZACAO VIARIA LTDA ( 252800 )</t>
        </r>
      </text>
    </comment>
    <comment ref="AW228" authorId="0" shapeId="0" xr:uid="{38EE723B-999B-4F1C-93C8-3CFBCA80F040}">
      <text>
        <r>
          <rPr>
            <sz val="10"/>
            <color indexed="81"/>
            <rFont val="Lucida Console"/>
            <family val="3"/>
          </rPr>
          <t>Tempo de Estoque (Meses)_x000D_
_x000D_
10,0</t>
        </r>
      </text>
    </comment>
    <comment ref="A229" authorId="0" shapeId="0" xr:uid="{E8BE4B57-40DB-455D-BF63-87193F7E5489}">
      <text>
        <r>
          <rPr>
            <sz val="10"/>
            <color indexed="81"/>
            <rFont val="Lucida Console"/>
            <family val="3"/>
          </rPr>
          <t>_x000D_
23778</t>
        </r>
      </text>
    </comment>
    <comment ref="B229" authorId="0" shapeId="0" xr:uid="{60ABD17F-4785-4BE7-8205-FFA741464D63}">
      <text>
        <r>
          <rPr>
            <sz val="10"/>
            <color indexed="81"/>
            <rFont val="Lucida Console"/>
            <family val="3"/>
          </rPr>
          <t>DESCRIÇÃO DETALHADA_x000D_
SOLVENTE P/ TINTA DE DEMARCACAO VIARIA -BALDE C/ 18 LITROS - TIPO DER 3.09</t>
        </r>
      </text>
    </comment>
    <comment ref="G229" authorId="0" shapeId="0" xr:uid="{FCDDAFD4-5079-4E49-9FC4-E6AC2307D551}">
      <text>
        <r>
          <rPr>
            <sz val="10"/>
            <color indexed="81"/>
            <rFont val="Lucida Console"/>
            <family val="3"/>
          </rPr>
          <t>_x000D_
Últ estimativa : 200_x000D_
Enviada em     : 10.03.2020_x000D_
Ata - Venc     : 156/20 - 29.07.2021</t>
        </r>
      </text>
    </comment>
    <comment ref="O229" authorId="0" shapeId="0" xr:uid="{E119A6BE-055A-46C8-AF28-32763904ED12}">
      <text>
        <r>
          <rPr>
            <sz val="10"/>
            <color indexed="81"/>
            <rFont val="Lucida Console"/>
            <family val="3"/>
          </rPr>
          <t>_x000D_
Pertencia a ATA nº 156/20_x000D_
Estimativa de Renovação enviada em 10.03.2020 - Qtd 200_x000D_
PE  31/19 lote 4_x000D_
10.07.19 = Finalizar - contrato assinado</t>
        </r>
      </text>
    </comment>
    <comment ref="W229" authorId="0" shapeId="0" xr:uid="{32339BDE-C554-4F21-9340-74010C2B07B8}">
      <text>
        <r>
          <rPr>
            <sz val="10"/>
            <color indexed="81"/>
            <rFont val="Lucida Console"/>
            <family val="3"/>
          </rPr>
          <t>_x000D_
DM-Pintura</t>
        </r>
      </text>
    </comment>
    <comment ref="X229" authorId="0" shapeId="0" xr:uid="{2B7062CD-8A08-404D-9F82-2CC15A259C11}">
      <text>
        <r>
          <rPr>
            <sz val="10"/>
            <color indexed="81"/>
            <rFont val="Lucida Console"/>
            <family val="3"/>
          </rPr>
          <t>_x000D_
EQUIP. E MATERIAIS P/PINTURAS E IMPERMEABILIZACAO</t>
        </r>
      </text>
    </comment>
    <comment ref="Y229" authorId="0" shapeId="0" xr:uid="{30E2175B-EEAD-4209-B1E1-55D417929ADC}">
      <text>
        <r>
          <rPr>
            <sz val="10"/>
            <color indexed="81"/>
            <rFont val="Lucida Console"/>
            <family val="3"/>
          </rPr>
          <t>_x000D_
REMOVED.,DILUENT.,DECAPANTES MATER.P/LIMP. E PINT.</t>
        </r>
      </text>
    </comment>
    <comment ref="AC229" authorId="0" shapeId="0" xr:uid="{69A57FE8-4CDA-4390-976C-55AF7B553086}">
      <text>
        <r>
          <rPr>
            <sz val="10"/>
            <color indexed="81"/>
            <rFont val="Lucida Console"/>
            <family val="3"/>
          </rPr>
          <t>_x000D_
AF 11.600/23 | Vc 17.11.2023 | Saldo     50 | MZ SINALIZACAO VIARIA LTDA ( 252800 )</t>
        </r>
      </text>
    </comment>
    <comment ref="AG229" authorId="0" shapeId="0" xr:uid="{3FF9D260-4683-4B85-A28D-41449DA9C1E6}">
      <text>
        <r>
          <rPr>
            <sz val="10"/>
            <color indexed="81"/>
            <rFont val="Lucida Console"/>
            <family val="3"/>
          </rPr>
          <t>_x000D_
AF 11.600/23 | Vc 17.11.2023 | Saldo     50 | MZ SINALIZACAO VIARIA LTDA ( 252800 )</t>
        </r>
      </text>
    </comment>
    <comment ref="AW229" authorId="0" shapeId="0" xr:uid="{FC1D7CE3-526C-43DC-B46F-F21A66DA2509}">
      <text>
        <r>
          <rPr>
            <sz val="10"/>
            <color indexed="81"/>
            <rFont val="Lucida Console"/>
            <family val="3"/>
          </rPr>
          <t>Tempo de Estoque (Meses)_x000D_
_x000D_
91,0</t>
        </r>
      </text>
    </comment>
    <comment ref="A230" authorId="0" shapeId="0" xr:uid="{021718F8-C381-4461-8B27-68A16B8084B5}">
      <text>
        <r>
          <rPr>
            <sz val="10"/>
            <color indexed="81"/>
            <rFont val="Lucida Console"/>
            <family val="3"/>
          </rPr>
          <t>_x000D_
114430</t>
        </r>
      </text>
    </comment>
    <comment ref="B230" authorId="0" shapeId="0" xr:uid="{1278BCB1-742B-4C91-A9BA-F3CE8CE5B952}">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230" authorId="0" shapeId="0" xr:uid="{B77A6554-CB6F-44C1-B8B5-FD952E3EB921}">
      <text>
        <r>
          <rPr>
            <sz val="10"/>
            <color indexed="81"/>
            <rFont val="Lucida Console"/>
            <family val="3"/>
          </rPr>
          <t>_x000D_
Últ estimativa : 300_x000D_
Enviada em     : 05.03.2020_x000D_
Ata - Venc     : 158/20 - 30.07.2021</t>
        </r>
      </text>
    </comment>
    <comment ref="O230" authorId="0" shapeId="0" xr:uid="{2C62369B-78D4-4A97-A534-3ED99974B5EC}">
      <text>
        <r>
          <rPr>
            <sz val="10"/>
            <color indexed="81"/>
            <rFont val="Lucida Console"/>
            <family val="3"/>
          </rPr>
          <t>_x000D_
Pertencia a ATA nº 158/20_x000D_
Estimativa de Renovação enviada em 05.03.2020 - Qtd 300_x000D_
PE 108/20 lote _x000D_
16.07.20 = Finalizado</t>
        </r>
      </text>
    </comment>
    <comment ref="W230" authorId="0" shapeId="0" xr:uid="{A7C7E7B8-1B32-4AAF-A0AE-02B5D5DC04D6}">
      <text>
        <r>
          <rPr>
            <sz val="10"/>
            <color indexed="81"/>
            <rFont val="Lucida Console"/>
            <family val="3"/>
          </rPr>
          <t>_x000D_
Administrativo</t>
        </r>
      </text>
    </comment>
    <comment ref="X230" authorId="0" shapeId="0" xr:uid="{0ECCB220-A76B-467E-A889-0A5C1D3C76B3}">
      <text>
        <r>
          <rPr>
            <sz val="10"/>
            <color indexed="81"/>
            <rFont val="Lucida Console"/>
            <family val="3"/>
          </rPr>
          <t>_x000D_
VEST., ART.P/ TOUC.E HIG. PES. MAQ., EQUIP., MAT.E ACES.</t>
        </r>
      </text>
    </comment>
    <comment ref="Y230" authorId="0" shapeId="0" xr:uid="{F553312B-B50F-4E5E-B6A8-883B3D5D0C46}">
      <text>
        <r>
          <rPr>
            <sz val="10"/>
            <color indexed="81"/>
            <rFont val="Lucida Console"/>
            <family val="3"/>
          </rPr>
          <t>_x000D_
ART. P/ HIG.PES., TOUCADOR, BEL., MAQUIA. E ADORNOS</t>
        </r>
      </text>
    </comment>
    <comment ref="AW230" authorId="0" shapeId="0" xr:uid="{D86ED0E5-5752-45A6-B0E2-BB225DA5D587}">
      <text>
        <r>
          <rPr>
            <sz val="10"/>
            <color indexed="81"/>
            <rFont val="Lucida Console"/>
            <family val="3"/>
          </rPr>
          <t>Tempo de Estoque (Meses)_x000D_
_x000D_
132,0</t>
        </r>
      </text>
    </comment>
    <comment ref="A231" authorId="0" shapeId="0" xr:uid="{92DF2F40-08A2-420B-94B9-461A18B60B7B}">
      <text>
        <r>
          <rPr>
            <sz val="10"/>
            <color indexed="81"/>
            <rFont val="Lucida Console"/>
            <family val="3"/>
          </rPr>
          <t>_x000D_
81493</t>
        </r>
      </text>
    </comment>
    <comment ref="B231" authorId="0" shapeId="0" xr:uid="{DAFFF210-85A8-430D-A102-709006166D56}">
      <text>
        <r>
          <rPr>
            <sz val="10"/>
            <color indexed="81"/>
            <rFont val="Lucida Console"/>
            <family val="3"/>
          </rPr>
          <t>DESCRIÇÃO DETALHADA_x000D_
MASSA PLASTICA A BASE DE RECURSOS POLIESTERES - LATA C/ 700 GR</t>
        </r>
      </text>
    </comment>
    <comment ref="G231" authorId="0" shapeId="0" xr:uid="{B97DA408-5063-4A91-9AA2-EA5CD6C63A0B}">
      <text>
        <r>
          <rPr>
            <sz val="10"/>
            <color indexed="81"/>
            <rFont val="Lucida Console"/>
            <family val="3"/>
          </rPr>
          <t>_x000D_
Últ estimativa : 200_x000D_
Enviada em     : 24.10.2019_x000D_
Ata - Venc     : 16/19 - 29.01.2020</t>
        </r>
      </text>
    </comment>
    <comment ref="O231" authorId="0" shapeId="0" xr:uid="{E31A78F3-3AD0-40F3-820F-FDFABB9834D6}">
      <text>
        <r>
          <rPr>
            <sz val="10"/>
            <color indexed="81"/>
            <rFont val="Lucida Console"/>
            <family val="3"/>
          </rPr>
          <t>_x000D_
Pertencia a ATA nº 16/19_x000D_
Estimativa de Renovação enviada em 24.10.2019 - Qtd 200_x000D_
PE 147/20 lote 11 (Impróspero)_x000D_
04.09.20 = Finalizado. Ata 254/20</t>
        </r>
      </text>
    </comment>
    <comment ref="W231" authorId="0" shapeId="0" xr:uid="{8EED0E4F-82F0-4118-90E2-17AA10FFCB7C}">
      <text>
        <r>
          <rPr>
            <sz val="10"/>
            <color indexed="81"/>
            <rFont val="Lucida Console"/>
            <family val="3"/>
          </rPr>
          <t>_x000D_
DM-Pintura</t>
        </r>
      </text>
    </comment>
    <comment ref="X231" authorId="0" shapeId="0" xr:uid="{61F661D7-3E52-4D03-A5E6-A5CD4BF132B2}">
      <text>
        <r>
          <rPr>
            <sz val="10"/>
            <color indexed="81"/>
            <rFont val="Lucida Console"/>
            <family val="3"/>
          </rPr>
          <t>_x000D_
EQUIP. E MATERIAIS P/PINTURAS E IMPERMEABILIZACAO</t>
        </r>
      </text>
    </comment>
    <comment ref="Y231" authorId="0" shapeId="0" xr:uid="{2C83A3BE-FCB5-4667-8925-C46C22A839EE}">
      <text>
        <r>
          <rPr>
            <sz val="10"/>
            <color indexed="81"/>
            <rFont val="Lucida Console"/>
            <family val="3"/>
          </rPr>
          <t>_x000D_
MATERIAIS COMPLEMENTARES A PINTURA</t>
        </r>
      </text>
    </comment>
    <comment ref="AW231" authorId="0" shapeId="0" xr:uid="{112F31C2-9973-4610-937F-09BA9D97D411}">
      <text>
        <r>
          <rPr>
            <sz val="10"/>
            <color indexed="81"/>
            <rFont val="Lucida Console"/>
            <family val="3"/>
          </rPr>
          <t>Tempo de Estoque (Meses)_x000D_
_x000D_
0,0</t>
        </r>
      </text>
    </comment>
    <comment ref="A232" authorId="0" shapeId="0" xr:uid="{9FC26E2F-6E11-4E61-A105-F906EAA8ACE2}">
      <text>
        <r>
          <rPr>
            <sz val="10"/>
            <color indexed="81"/>
            <rFont val="Lucida Console"/>
            <family val="3"/>
          </rPr>
          <t>_x000D_
20135</t>
        </r>
      </text>
    </comment>
    <comment ref="B232" authorId="0" shapeId="0" xr:uid="{BF4766E7-CAC2-478D-AD50-E6B4C49EB4AF}">
      <text>
        <r>
          <rPr>
            <sz val="10"/>
            <color indexed="81"/>
            <rFont val="Lucida Console"/>
            <family val="3"/>
          </rPr>
          <t>DESCRIÇÃO DETALHADA_x000D_
CHAPA DE ACO CARBONO GALVANIZADO ZINCADO N°22 ESP=0,80 MM -2 X 1</t>
        </r>
      </text>
    </comment>
    <comment ref="G232" authorId="0" shapeId="0" xr:uid="{F2534112-D443-4352-8AF2-D55B43624167}">
      <text>
        <r>
          <rPr>
            <sz val="10"/>
            <color indexed="81"/>
            <rFont val="Lucida Console"/>
            <family val="3"/>
          </rPr>
          <t>_x000D_
Últ estimativa : 350_x000D_
Enviada em     : 19.05.2021_x000D_
Ata - Venc     : 16/20 - 27.01.2021</t>
        </r>
      </text>
    </comment>
    <comment ref="O232" authorId="0" shapeId="0" xr:uid="{162760E5-CBAC-4E61-9472-930A9ADD146F}">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232" authorId="0" shapeId="0" xr:uid="{4FCBD095-1DE3-4145-A2F9-C348930E8BFB}">
      <text>
        <r>
          <rPr>
            <sz val="10"/>
            <color indexed="81"/>
            <rFont val="Lucida Console"/>
            <family val="3"/>
          </rPr>
          <t>_x000D_
DM-Serralheria</t>
        </r>
      </text>
    </comment>
    <comment ref="X232" authorId="0" shapeId="0" xr:uid="{AC787EE3-81D2-48C8-8476-A3B37B9913B5}">
      <text>
        <r>
          <rPr>
            <sz val="10"/>
            <color indexed="81"/>
            <rFont val="Lucida Console"/>
            <family val="3"/>
          </rPr>
          <t>_x000D_
METAIS,LAMINAD.,PERFILADOS E ARTEFATOS METALICOS</t>
        </r>
      </text>
    </comment>
    <comment ref="Y232" authorId="0" shapeId="0" xr:uid="{61F160BC-59D9-4DCB-A824-8514927D21EE}">
      <text>
        <r>
          <rPr>
            <sz val="10"/>
            <color indexed="81"/>
            <rFont val="Lucida Console"/>
            <family val="3"/>
          </rPr>
          <t>_x000D_
CHAPAS</t>
        </r>
      </text>
    </comment>
    <comment ref="AW232" authorId="0" shapeId="0" xr:uid="{23F1D722-346C-4E0C-A293-46AD88534897}">
      <text>
        <r>
          <rPr>
            <sz val="10"/>
            <color indexed="81"/>
            <rFont val="Lucida Console"/>
            <family val="3"/>
          </rPr>
          <t>Tempo de Estoque (Meses)_x000D_
_x000D_
140,0</t>
        </r>
      </text>
    </comment>
    <comment ref="A233" authorId="0" shapeId="0" xr:uid="{713A37BC-9B95-444B-9AA4-B92F31AC8F4F}">
      <text>
        <r>
          <rPr>
            <sz val="10"/>
            <color indexed="81"/>
            <rFont val="Lucida Console"/>
            <family val="3"/>
          </rPr>
          <t>_x000D_
64253</t>
        </r>
      </text>
    </comment>
    <comment ref="B233" authorId="0" shapeId="0" xr:uid="{B0042A6F-7038-44E4-A8EB-19AD191033CE}">
      <text>
        <r>
          <rPr>
            <sz val="10"/>
            <color indexed="81"/>
            <rFont val="Lucida Console"/>
            <family val="3"/>
          </rPr>
          <t>DESCRIÇÃO DETALHADA_x000D_
TUBO QUADRADO DE METALON - 1" X 1" X 1,5 MM - BARRA COM 06 METROS</t>
        </r>
      </text>
    </comment>
    <comment ref="G233" authorId="0" shapeId="0" xr:uid="{1B22FFB4-B89D-4798-91A7-8149016B2A5A}">
      <text>
        <r>
          <rPr>
            <sz val="10"/>
            <color indexed="81"/>
            <rFont val="Lucida Console"/>
            <family val="3"/>
          </rPr>
          <t>_x000D_
Últ estimativa : 850_x000D_
Enviada em     : 19.05.2021_x000D_
Ata - Venc     : 16/20 - 27.01.2021</t>
        </r>
      </text>
    </comment>
    <comment ref="O233" authorId="0" shapeId="0" xr:uid="{0C39D62D-89F6-41D3-B3D0-AE3E9E03B13E}">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233" authorId="0" shapeId="0" xr:uid="{298D659E-4E03-46D4-BFD0-A63E831F46AC}">
      <text>
        <r>
          <rPr>
            <sz val="10"/>
            <color indexed="81"/>
            <rFont val="Lucida Console"/>
            <family val="3"/>
          </rPr>
          <t>_x000D_
DM-Serralheria</t>
        </r>
      </text>
    </comment>
    <comment ref="X233" authorId="0" shapeId="0" xr:uid="{F14D2081-6BF6-49B1-844B-0CCD2CDB0661}">
      <text>
        <r>
          <rPr>
            <sz val="10"/>
            <color indexed="81"/>
            <rFont val="Lucida Console"/>
            <family val="3"/>
          </rPr>
          <t>_x000D_
METAIS,LAMINAD.,PERFILADOS E ARTEFATOS METALICOS</t>
        </r>
      </text>
    </comment>
    <comment ref="Y233" authorId="0" shapeId="0" xr:uid="{DCF5441E-022C-4D95-94A3-42C1E7F5C885}">
      <text>
        <r>
          <rPr>
            <sz val="10"/>
            <color indexed="81"/>
            <rFont val="Lucida Console"/>
            <family val="3"/>
          </rPr>
          <t>_x000D_
TUBOS MECANICOS</t>
        </r>
      </text>
    </comment>
    <comment ref="AW233" authorId="0" shapeId="0" xr:uid="{01032438-C3A9-42C6-8F06-99217C560165}">
      <text>
        <r>
          <rPr>
            <sz val="10"/>
            <color indexed="81"/>
            <rFont val="Lucida Console"/>
            <family val="3"/>
          </rPr>
          <t>Tempo de Estoque (Meses)_x000D_
_x000D_
1.590,0</t>
        </r>
      </text>
    </comment>
    <comment ref="A234" authorId="0" shapeId="0" xr:uid="{9616FD8B-CEC3-4EC9-98C4-854975698F05}">
      <text>
        <r>
          <rPr>
            <sz val="10"/>
            <color indexed="81"/>
            <rFont val="Lucida Console"/>
            <family val="3"/>
          </rPr>
          <t>_x000D_
64610</t>
        </r>
      </text>
    </comment>
    <comment ref="B234" authorId="0" shapeId="0" xr:uid="{0A3F32C5-0D13-4242-AE78-6E191D50A5E0}">
      <text>
        <r>
          <rPr>
            <sz val="10"/>
            <color indexed="81"/>
            <rFont val="Lucida Console"/>
            <family val="3"/>
          </rPr>
          <t>DESCRIÇÃO DETALHADA_x000D_
CHAPA DE ACO CARBONO GALVANIZADO ZINCADO N. 24 - ESP = 0,64MM - 2 X 1</t>
        </r>
      </text>
    </comment>
    <comment ref="G234" authorId="0" shapeId="0" xr:uid="{239275C6-B386-44D5-B2D4-D50552A8998D}">
      <text>
        <r>
          <rPr>
            <sz val="10"/>
            <color indexed="81"/>
            <rFont val="Lucida Console"/>
            <family val="3"/>
          </rPr>
          <t>_x000D_
Últ estimativa : 200_x000D_
Enviada em     : 23.09.2020_x000D_
Ata - Venc     : 16/20 - 27.01.2021</t>
        </r>
      </text>
    </comment>
    <comment ref="O234" authorId="0" shapeId="0" xr:uid="{557D74D4-7C11-4AF5-963F-ED6F2D628AAB}">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234" authorId="0" shapeId="0" xr:uid="{A1F4321A-75C0-4210-8743-0D8AA2050F36}">
      <text>
        <r>
          <rPr>
            <sz val="10"/>
            <color indexed="81"/>
            <rFont val="Lucida Console"/>
            <family val="3"/>
          </rPr>
          <t>_x000D_
DM-Serralheria</t>
        </r>
      </text>
    </comment>
    <comment ref="X234" authorId="0" shapeId="0" xr:uid="{9F387BB8-4F87-4058-88D4-22279D10DDE0}">
      <text>
        <r>
          <rPr>
            <sz val="10"/>
            <color indexed="81"/>
            <rFont val="Lucida Console"/>
            <family val="3"/>
          </rPr>
          <t>_x000D_
METAIS,LAMINAD.,PERFILADOS E ARTEFATOS METALICOS</t>
        </r>
      </text>
    </comment>
    <comment ref="Y234" authorId="0" shapeId="0" xr:uid="{B8888104-18B9-4F4C-A83F-47047D1A5B2E}">
      <text>
        <r>
          <rPr>
            <sz val="10"/>
            <color indexed="81"/>
            <rFont val="Lucida Console"/>
            <family val="3"/>
          </rPr>
          <t>_x000D_
CHAPAS</t>
        </r>
      </text>
    </comment>
    <comment ref="AW234" authorId="0" shapeId="0" xr:uid="{06C76932-0B8E-4F7D-8D51-EB76A43B3F1D}">
      <text>
        <r>
          <rPr>
            <sz val="10"/>
            <color indexed="81"/>
            <rFont val="Lucida Console"/>
            <family val="3"/>
          </rPr>
          <t>Tempo de Estoque (Meses)_x000D_
_x000D_
806,0</t>
        </r>
      </text>
    </comment>
    <comment ref="A235" authorId="0" shapeId="0" xr:uid="{7857C57C-3D9B-49E7-BDB7-52976392D8BD}">
      <text>
        <r>
          <rPr>
            <sz val="10"/>
            <color indexed="81"/>
            <rFont val="Lucida Console"/>
            <family val="3"/>
          </rPr>
          <t>_x000D_
116751</t>
        </r>
      </text>
    </comment>
    <comment ref="B235" authorId="0" shapeId="0" xr:uid="{6A8493CF-05EC-47CB-8333-3E3E7D49F0FF}">
      <text>
        <r>
          <rPr>
            <sz val="10"/>
            <color indexed="81"/>
            <rFont val="Lucida Console"/>
            <family val="3"/>
          </rPr>
          <t>DESCRIÇÃO DETALHADA_x000D_
PERFIL TEE, CHAPA DOBRADA, 25 MM X 25 MM - BARRA COM 03 METROS</t>
        </r>
      </text>
    </comment>
    <comment ref="G235" authorId="0" shapeId="0" xr:uid="{4741CEDF-9135-46A8-911B-11859DD8F968}">
      <text>
        <r>
          <rPr>
            <sz val="10"/>
            <color indexed="81"/>
            <rFont val="Lucida Console"/>
            <family val="3"/>
          </rPr>
          <t>_x000D_
Últ estimativa : 0_x000D_
Enviada em     : 23.09.2020_x000D_
Ata - Venc     : 16/20 - 27.01.2021</t>
        </r>
      </text>
    </comment>
    <comment ref="O235" authorId="0" shapeId="0" xr:uid="{4ECA234B-DFA8-481D-AAF9-E21C408E6ABD}">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235" authorId="0" shapeId="0" xr:uid="{421C172E-2CB3-4864-AE6A-E109DF39B066}">
      <text>
        <r>
          <rPr>
            <sz val="10"/>
            <color indexed="81"/>
            <rFont val="Lucida Console"/>
            <family val="3"/>
          </rPr>
          <t>_x000D_
DM-Serralheria</t>
        </r>
      </text>
    </comment>
    <comment ref="X235" authorId="0" shapeId="0" xr:uid="{07CA6FC7-19EB-4873-8FB3-F155BC395D42}">
      <text>
        <r>
          <rPr>
            <sz val="10"/>
            <color indexed="81"/>
            <rFont val="Lucida Console"/>
            <family val="3"/>
          </rPr>
          <t>_x000D_
METAIS,LAMINAD.,PERFILADOS E ARTEFATOS METALICOS</t>
        </r>
      </text>
    </comment>
    <comment ref="Y235" authorId="0" shapeId="0" xr:uid="{30DD518A-6E1D-4D11-8818-1254E25A300E}">
      <text>
        <r>
          <rPr>
            <sz val="10"/>
            <color indexed="81"/>
            <rFont val="Lucida Console"/>
            <family val="3"/>
          </rPr>
          <t>_x000D_
PERFIS E BARRA</t>
        </r>
      </text>
    </comment>
    <comment ref="AW235" authorId="0" shapeId="0" xr:uid="{41410B63-6A77-484D-B559-EA17F6BD40C8}">
      <text>
        <r>
          <rPr>
            <sz val="10"/>
            <color indexed="81"/>
            <rFont val="Lucida Console"/>
            <family val="3"/>
          </rPr>
          <t>Tempo de Estoque (Meses)_x000D_
_x000D_
906,0</t>
        </r>
      </text>
    </comment>
    <comment ref="A236" authorId="0" shapeId="0" xr:uid="{64C6D4DC-5B47-4F22-8F49-A4FF50042A43}">
      <text>
        <r>
          <rPr>
            <sz val="10"/>
            <color indexed="81"/>
            <rFont val="Lucida Console"/>
            <family val="3"/>
          </rPr>
          <t>_x000D_
116754</t>
        </r>
      </text>
    </comment>
    <comment ref="B236" authorId="0" shapeId="0" xr:uid="{38288586-5644-43B8-A979-A3DEAC7134AA}">
      <text>
        <r>
          <rPr>
            <sz val="10"/>
            <color indexed="81"/>
            <rFont val="Lucida Console"/>
            <family val="3"/>
          </rPr>
          <t>DESCRIÇÃO DETALHADA_x000D_
PERFIL CADEIRA CHAPA DOBRADA 30 MM X 25 MM - BARRA COM 03 METROS</t>
        </r>
      </text>
    </comment>
    <comment ref="G236" authorId="0" shapeId="0" xr:uid="{932E1841-4FC3-4F91-9884-428A337BD95C}">
      <text>
        <r>
          <rPr>
            <sz val="10"/>
            <color indexed="81"/>
            <rFont val="Lucida Console"/>
            <family val="3"/>
          </rPr>
          <t>_x000D_
Últ estimativa : 0_x000D_
Enviada em     : 23.09.2020_x000D_
Ata - Venc     : 16/20 - 27.01.2021</t>
        </r>
      </text>
    </comment>
    <comment ref="O236" authorId="0" shapeId="0" xr:uid="{08C615DA-9516-40F4-85C0-4084BF0BDA23}">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236" authorId="0" shapeId="0" xr:uid="{3622950F-FEBA-4DC8-8765-AA2038331564}">
      <text>
        <r>
          <rPr>
            <sz val="10"/>
            <color indexed="81"/>
            <rFont val="Lucida Console"/>
            <family val="3"/>
          </rPr>
          <t>_x000D_
DM-Serralheria</t>
        </r>
      </text>
    </comment>
    <comment ref="X236" authorId="0" shapeId="0" xr:uid="{E651489F-8140-4CEF-BBE8-D88478491153}">
      <text>
        <r>
          <rPr>
            <sz val="10"/>
            <color indexed="81"/>
            <rFont val="Lucida Console"/>
            <family val="3"/>
          </rPr>
          <t>_x000D_
METAIS,LAMINAD.,PERFILADOS E ARTEFATOS METALICOS</t>
        </r>
      </text>
    </comment>
    <comment ref="Y236" authorId="0" shapeId="0" xr:uid="{E0D386BE-C830-4651-A182-4CA79C5FFDED}">
      <text>
        <r>
          <rPr>
            <sz val="10"/>
            <color indexed="81"/>
            <rFont val="Lucida Console"/>
            <family val="3"/>
          </rPr>
          <t>_x000D_
PERFIS E BARRA</t>
        </r>
      </text>
    </comment>
    <comment ref="AW236" authorId="0" shapeId="0" xr:uid="{8570D710-6A3B-4ED1-8039-0924CDE0E389}">
      <text>
        <r>
          <rPr>
            <sz val="10"/>
            <color indexed="81"/>
            <rFont val="Lucida Console"/>
            <family val="3"/>
          </rPr>
          <t>Tempo de Estoque (Meses)_x000D_
_x000D_
365,0</t>
        </r>
      </text>
    </comment>
    <comment ref="A237" authorId="0" shapeId="0" xr:uid="{37D1B7B0-F1EA-425E-AABB-CCEBA6E0EC53}">
      <text>
        <r>
          <rPr>
            <sz val="10"/>
            <color indexed="81"/>
            <rFont val="Lucida Console"/>
            <family val="3"/>
          </rPr>
          <t>_x000D_
13192</t>
        </r>
      </text>
    </comment>
    <comment ref="B237" authorId="0" shapeId="0" xr:uid="{35A0B321-6EE0-44E0-BBF0-8F88E5798C3B}">
      <text>
        <r>
          <rPr>
            <sz val="10"/>
            <color indexed="81"/>
            <rFont val="Lucida Console"/>
            <family val="3"/>
          </rPr>
          <t>DESCRIÇÃO DETALHADA_x000D_
VASO SANITARIO SIFONADO CONVENCIONAL DE LOUÇA PADRAO POPULAR NA COR BRANCA</t>
        </r>
      </text>
    </comment>
    <comment ref="G237" authorId="0" shapeId="0" xr:uid="{3D0F4F50-3F34-4C2A-A37B-0942260BDB00}">
      <text>
        <r>
          <rPr>
            <sz val="10"/>
            <color indexed="81"/>
            <rFont val="Lucida Console"/>
            <family val="3"/>
          </rPr>
          <t>_x000D_
Últ estimativa : 50_x000D_
Enviada em     : 17.12.2020_x000D_
Ata - Venc     : 161/21 - 06.07.2022</t>
        </r>
      </text>
    </comment>
    <comment ref="O237" authorId="0" shapeId="0" xr:uid="{21A47AC6-D827-4359-90E9-6C96CF2C9DD0}">
      <text>
        <r>
          <rPr>
            <sz val="10"/>
            <color indexed="81"/>
            <rFont val="Lucida Console"/>
            <family val="3"/>
          </rPr>
          <t>_x000D_
Pertencia a ATA nº 161/21_x000D_
Estimativa de Renovação enviada em 17.12.2020 - Qtd 50_x000D_
PE  88/21 lote _x000D_
01.06.21 = Processo finalizado. Ata 161/21</t>
        </r>
      </text>
    </comment>
    <comment ref="W237" authorId="0" shapeId="0" xr:uid="{B61CEB2D-E3AF-424F-A9D2-4467D23D38B2}">
      <text>
        <r>
          <rPr>
            <sz val="10"/>
            <color indexed="81"/>
            <rFont val="Lucida Console"/>
            <family val="3"/>
          </rPr>
          <t>_x000D_
DM-Construção</t>
        </r>
      </text>
    </comment>
    <comment ref="X237" authorId="0" shapeId="0" xr:uid="{A2981B07-1405-4771-A4B3-20E783D5E82B}">
      <text>
        <r>
          <rPr>
            <sz val="10"/>
            <color indexed="81"/>
            <rFont val="Lucida Console"/>
            <family val="3"/>
          </rPr>
          <t>_x000D_
MAT.E EQUIP. P/ CONSTR.CIVIL E CONSERV. DE VIAS PUBL.</t>
        </r>
      </text>
    </comment>
    <comment ref="Y237" authorId="0" shapeId="0" xr:uid="{CF4C9E7A-B8F2-47F9-A1A7-5AFB09646DE1}">
      <text>
        <r>
          <rPr>
            <sz val="10"/>
            <color indexed="81"/>
            <rFont val="Lucida Console"/>
            <family val="3"/>
          </rPr>
          <t>_x000D_
BACIAS SANITARIAS E MICTORIOS</t>
        </r>
      </text>
    </comment>
    <comment ref="AW237" authorId="0" shapeId="0" xr:uid="{7054E722-CA63-41C5-9CDB-7B0A10CCA7C3}">
      <text>
        <r>
          <rPr>
            <sz val="10"/>
            <color indexed="81"/>
            <rFont val="Lucida Console"/>
            <family val="3"/>
          </rPr>
          <t>Tempo de Estoque (Meses)_x000D_
_x000D_
39,0</t>
        </r>
      </text>
    </comment>
    <comment ref="A238" authorId="0" shapeId="0" xr:uid="{8B09A212-276E-4E8D-B3B4-EFD72805F4C7}">
      <text>
        <r>
          <rPr>
            <sz val="10"/>
            <color indexed="81"/>
            <rFont val="Lucida Console"/>
            <family val="3"/>
          </rPr>
          <t>_x000D_
77110</t>
        </r>
      </text>
    </comment>
    <comment ref="B238" authorId="0" shapeId="0" xr:uid="{8928A2CF-F144-4C1D-A862-77160AC141F5}">
      <text>
        <r>
          <rPr>
            <sz val="10"/>
            <color indexed="81"/>
            <rFont val="Lucida Console"/>
            <family val="3"/>
          </rPr>
          <t>DESCRIÇÃO DETALHADA_x000D_
CAP EM PVC DE 1 PARA AGUA MARROM - 32MM, DE ACORDO COM NBR 5648 E A MARCA, MEDIDA E NBR DEVERAO VIR LITROGRAFA NA PECA</t>
        </r>
      </text>
    </comment>
    <comment ref="G238" authorId="0" shapeId="0" xr:uid="{CBA34BEA-3EA9-4227-A3A1-210B43F11E8B}">
      <text>
        <r>
          <rPr>
            <sz val="10"/>
            <color indexed="81"/>
            <rFont val="Lucida Console"/>
            <family val="3"/>
          </rPr>
          <t>_x000D_
Últ estimativa : 0_x000D_
Enviada em     : 17.12.2020_x000D_
Ata - Venc     : 161/21 - 06.07.2022</t>
        </r>
      </text>
    </comment>
    <comment ref="O238" authorId="0" shapeId="0" xr:uid="{4688437E-8F63-4CF8-A7B0-1B51F565409C}">
      <text>
        <r>
          <rPr>
            <sz val="10"/>
            <color indexed="81"/>
            <rFont val="Lucida Console"/>
            <family val="3"/>
          </rPr>
          <t>_x000D_
Pertencia a ATA nº 161/21_x000D_
Estimativa de Renovação enviada em 17.12.2020 - Qtd _x000D_
PE  88/21 lote _x000D_
01.06.21 = Processo finalizado. Ata 161/21</t>
        </r>
      </text>
    </comment>
    <comment ref="W238" authorId="0" shapeId="0" xr:uid="{3AF087CE-6C21-45FA-9535-195220D4095E}">
      <text>
        <r>
          <rPr>
            <sz val="10"/>
            <color indexed="81"/>
            <rFont val="Lucida Console"/>
            <family val="3"/>
          </rPr>
          <t>_x000D_
DM-Hidráulica</t>
        </r>
      </text>
    </comment>
    <comment ref="X238" authorId="0" shapeId="0" xr:uid="{9AEB2C00-0ADB-461D-9FDE-841158A19A9B}">
      <text>
        <r>
          <rPr>
            <sz val="10"/>
            <color indexed="81"/>
            <rFont val="Lucida Console"/>
            <family val="3"/>
          </rPr>
          <t>_x000D_
MATERIAL HIDRAULICO, CANOS, TUBOS, MANGUEIRAS, CONEXOES E ACESS.</t>
        </r>
      </text>
    </comment>
    <comment ref="Y238" authorId="0" shapeId="0" xr:uid="{1CDC636F-954E-4D2E-BBD3-357A8E6EEB29}">
      <text>
        <r>
          <rPr>
            <sz val="10"/>
            <color indexed="81"/>
            <rFont val="Lucida Console"/>
            <family val="3"/>
          </rPr>
          <t>_x000D_
ADAP. LUVAS.TES CURVAS COTOVELOS PLUGS FLANGES.....</t>
        </r>
      </text>
    </comment>
    <comment ref="AW238" authorId="0" shapeId="0" xr:uid="{B0F2360B-FD3C-4F4F-B7CF-495617513837}">
      <text>
        <r>
          <rPr>
            <sz val="10"/>
            <color indexed="81"/>
            <rFont val="Lucida Console"/>
            <family val="3"/>
          </rPr>
          <t>Tempo de Estoque (Meses)_x000D_
_x000D_
228,0</t>
        </r>
      </text>
    </comment>
    <comment ref="A239" authorId="0" shapeId="0" xr:uid="{45CD4F05-9022-4AE8-A17B-C5FF1B5D8DAA}">
      <text>
        <r>
          <rPr>
            <sz val="10"/>
            <color indexed="81"/>
            <rFont val="Lucida Console"/>
            <family val="3"/>
          </rPr>
          <t>_x000D_
13063</t>
        </r>
      </text>
    </comment>
    <comment ref="B239" authorId="0" shapeId="0" xr:uid="{6D6FA4E0-4462-420B-BE3E-266E626FAF64}">
      <text>
        <r>
          <rPr>
            <sz val="10"/>
            <color indexed="81"/>
            <rFont val="Lucida Console"/>
            <family val="3"/>
          </rPr>
          <t>DESCRIÇÃO DETALHADA_x000D_
COLA P/ TUBO PVC - BISNAGA C/ 75 GR</t>
        </r>
      </text>
    </comment>
    <comment ref="G239" authorId="0" shapeId="0" xr:uid="{F2D95F2D-4254-4BFB-A41F-6DFE1C10716A}">
      <text>
        <r>
          <rPr>
            <sz val="10"/>
            <color indexed="81"/>
            <rFont val="Lucida Console"/>
            <family val="3"/>
          </rPr>
          <t>_x000D_
Últ estimativa : 1.500_x000D_
Enviada em     : 17.12.2020_x000D_
Ata - Venc     : 161/21 - 06.07.2022</t>
        </r>
      </text>
    </comment>
    <comment ref="O239" authorId="0" shapeId="0" xr:uid="{DA52893A-4683-4E4C-A26C-D9DD0F2D3927}">
      <text>
        <r>
          <rPr>
            <sz val="10"/>
            <color indexed="81"/>
            <rFont val="Lucida Console"/>
            <family val="3"/>
          </rPr>
          <t>_x000D_
Pertencia a ATA nº 161/21_x000D_
Estimativa de Renovação enviada em 17.12.2020 - Qtd 1.500_x000D_
PE  88/21 lote _x000D_
01.06.21 = Processo finalizado. Ata 161/21</t>
        </r>
      </text>
    </comment>
    <comment ref="W239" authorId="0" shapeId="0" xr:uid="{963F25CA-4365-4F10-B1A9-261EAF6D4308}">
      <text>
        <r>
          <rPr>
            <sz val="10"/>
            <color indexed="81"/>
            <rFont val="Lucida Console"/>
            <family val="3"/>
          </rPr>
          <t>_x000D_
DM-Hidráulica</t>
        </r>
      </text>
    </comment>
    <comment ref="X239" authorId="0" shapeId="0" xr:uid="{A64913BC-44B1-4486-8AC8-04F3F6E91C99}">
      <text>
        <r>
          <rPr>
            <sz val="10"/>
            <color indexed="81"/>
            <rFont val="Lucida Console"/>
            <family val="3"/>
          </rPr>
          <t>_x000D_
MATERIAL HIDRAULICO, CANOS, TUBOS, MANGUEIRAS, CONEXOES E ACESS.</t>
        </r>
      </text>
    </comment>
    <comment ref="Y239" authorId="0" shapeId="0" xr:uid="{4F9D3A08-E4F0-49F1-A96F-C35149C09E74}">
      <text>
        <r>
          <rPr>
            <sz val="10"/>
            <color indexed="81"/>
            <rFont val="Lucida Console"/>
            <family val="3"/>
          </rPr>
          <t>_x000D_
VEDADORES ABRACADEIRAS E COLAS P/ TUBULACAO</t>
        </r>
      </text>
    </comment>
    <comment ref="AW239" authorId="0" shapeId="0" xr:uid="{7ACC4202-162B-4FB2-B280-E01FE814DB7D}">
      <text>
        <r>
          <rPr>
            <sz val="10"/>
            <color indexed="81"/>
            <rFont val="Lucida Console"/>
            <family val="3"/>
          </rPr>
          <t>Tempo de Estoque (Meses)_x000D_
_x000D_
1.243,0</t>
        </r>
      </text>
    </comment>
    <comment ref="A240" authorId="0" shapeId="0" xr:uid="{BE518F5C-8158-41D8-A7D2-67993A4070AA}">
      <text>
        <r>
          <rPr>
            <sz val="10"/>
            <color indexed="81"/>
            <rFont val="Lucida Console"/>
            <family val="3"/>
          </rPr>
          <t>_x000D_
13064</t>
        </r>
      </text>
    </comment>
    <comment ref="B240" authorId="0" shapeId="0" xr:uid="{4DEFAAB5-9C42-47AC-9DEC-E23EC0E41BE5}">
      <text>
        <r>
          <rPr>
            <sz val="10"/>
            <color indexed="81"/>
            <rFont val="Lucida Console"/>
            <family val="3"/>
          </rPr>
          <t>DESCRIÇÃO DETALHADA_x000D_
FITA DE TEFLON P/ VEDACAO HIDRAULICA (VEDA ROSCA) - 18 MM X 25 M, TEMPERATURA: -90°C A + 240°C, -PH: 0 A 14, -100% PTFE</t>
        </r>
      </text>
    </comment>
    <comment ref="G240" authorId="0" shapeId="0" xr:uid="{14251306-F606-4886-8283-B737D006F272}">
      <text>
        <r>
          <rPr>
            <sz val="10"/>
            <color indexed="81"/>
            <rFont val="Lucida Console"/>
            <family val="3"/>
          </rPr>
          <t>_x000D_
Últ estimativa : 2.000_x000D_
Enviada em     : 17.12.2020_x000D_
Ata - Venc     : 161/21 - 06.07.2022</t>
        </r>
      </text>
    </comment>
    <comment ref="O240" authorId="0" shapeId="0" xr:uid="{3D6D5D51-F87D-4D69-88CE-52841B6E3DFF}">
      <text>
        <r>
          <rPr>
            <sz val="10"/>
            <color indexed="81"/>
            <rFont val="Lucida Console"/>
            <family val="3"/>
          </rPr>
          <t>_x000D_
Pertencia a ATA nº 161/21_x000D_
Estimativa de Renovação enviada em 17.12.2020 - Qtd 2.000_x000D_
PE  88/21 lote _x000D_
01.06.21 = Processo finalizado. Ata 161/21</t>
        </r>
      </text>
    </comment>
    <comment ref="W240" authorId="0" shapeId="0" xr:uid="{60474C8E-6092-402C-8BE8-B4F997FAC85B}">
      <text>
        <r>
          <rPr>
            <sz val="10"/>
            <color indexed="81"/>
            <rFont val="Lucida Console"/>
            <family val="3"/>
          </rPr>
          <t>_x000D_
DM-Hidráulica</t>
        </r>
      </text>
    </comment>
    <comment ref="X240" authorId="0" shapeId="0" xr:uid="{3F7A1033-C271-4E4D-BD0B-226024DDE15E}">
      <text>
        <r>
          <rPr>
            <sz val="10"/>
            <color indexed="81"/>
            <rFont val="Lucida Console"/>
            <family val="3"/>
          </rPr>
          <t>_x000D_
MATERIAL HIDRAULICO, CANOS, TUBOS, MANGUEIRAS, CONEXOES E ACESS.</t>
        </r>
      </text>
    </comment>
    <comment ref="Y240" authorId="0" shapeId="0" xr:uid="{11A10F92-DCCB-4B6B-9884-4438756ABCC2}">
      <text>
        <r>
          <rPr>
            <sz val="10"/>
            <color indexed="81"/>
            <rFont val="Lucida Console"/>
            <family val="3"/>
          </rPr>
          <t>_x000D_
VEDADORES ABRACADEIRAS E COLAS P/ TUBULACAO</t>
        </r>
      </text>
    </comment>
    <comment ref="AW240" authorId="0" shapeId="0" xr:uid="{24C99340-609A-4ACA-B859-D48A740C5208}">
      <text>
        <r>
          <rPr>
            <sz val="10"/>
            <color indexed="81"/>
            <rFont val="Lucida Console"/>
            <family val="3"/>
          </rPr>
          <t>Tempo de Estoque (Meses)_x000D_
_x000D_
756,0</t>
        </r>
      </text>
    </comment>
    <comment ref="A241" authorId="0" shapeId="0" xr:uid="{45110BE7-18DB-419B-9432-19D714E77CC2}">
      <text>
        <r>
          <rPr>
            <sz val="10"/>
            <color indexed="81"/>
            <rFont val="Lucida Console"/>
            <family val="3"/>
          </rPr>
          <t>_x000D_
13165</t>
        </r>
      </text>
    </comment>
    <comment ref="B241" authorId="0" shapeId="0" xr:uid="{897F3CEB-2B85-49A4-A826-E634CA72CD4A}">
      <text>
        <r>
          <rPr>
            <sz val="10"/>
            <color indexed="81"/>
            <rFont val="Lucida Console"/>
            <family val="3"/>
          </rPr>
          <t>DESCRIÇÃO DETALHADA_x000D_
TORNEIRA DE PAREDE PARA PIA, 1/2" X 18 CM, CORPO E REGISTRO EM LATAO CROMADO, SEM ADAPTADOR</t>
        </r>
      </text>
    </comment>
    <comment ref="G241" authorId="0" shapeId="0" xr:uid="{4360805D-090A-4778-96BC-C2D10A8C8E5D}">
      <text>
        <r>
          <rPr>
            <sz val="10"/>
            <color indexed="81"/>
            <rFont val="Lucida Console"/>
            <family val="3"/>
          </rPr>
          <t>_x000D_
Últ estimativa : 500_x000D_
Enviada em     : 17.12.2020_x000D_
Ata - Venc     : 161/21 - 06.07.2022</t>
        </r>
      </text>
    </comment>
    <comment ref="O241" authorId="0" shapeId="0" xr:uid="{4FA40DBA-D12A-4FFB-802B-BD522DF90B7B}">
      <text>
        <r>
          <rPr>
            <sz val="10"/>
            <color indexed="81"/>
            <rFont val="Lucida Console"/>
            <family val="3"/>
          </rPr>
          <t>_x000D_
Pertencia a ATA nº 161/21_x000D_
Estimativa de Renovação enviada em 17.12.2020 - Qtd 500_x000D_
PE  88/21 lote _x000D_
01.06.21 = Processo finalizado. Ata 161/21</t>
        </r>
      </text>
    </comment>
    <comment ref="W241" authorId="0" shapeId="0" xr:uid="{D81C199F-9790-4C5C-93D1-2D086D9C625E}">
      <text>
        <r>
          <rPr>
            <sz val="10"/>
            <color indexed="81"/>
            <rFont val="Lucida Console"/>
            <family val="3"/>
          </rPr>
          <t>_x000D_
DM-Hidráulica</t>
        </r>
      </text>
    </comment>
    <comment ref="X241" authorId="0" shapeId="0" xr:uid="{159916EA-4D2F-481C-B3E1-A9D8117743E8}">
      <text>
        <r>
          <rPr>
            <sz val="10"/>
            <color indexed="81"/>
            <rFont val="Lucida Console"/>
            <family val="3"/>
          </rPr>
          <t>_x000D_
MATERIAL HIDRAULICO, CANOS, TUBOS, MANGUEIRAS, CONEXOES E ACESS.</t>
        </r>
      </text>
    </comment>
    <comment ref="Y241" authorId="0" shapeId="0" xr:uid="{1B66C2B7-C919-4AF0-921D-962A9D659003}">
      <text>
        <r>
          <rPr>
            <sz val="10"/>
            <color indexed="81"/>
            <rFont val="Lucida Console"/>
            <family val="3"/>
          </rPr>
          <t>_x000D_
TORNEIRAS VOLANTES CANOPLAS E ACESS. P/ MANGUEIRA</t>
        </r>
      </text>
    </comment>
    <comment ref="AW241" authorId="0" shapeId="0" xr:uid="{EEE6FA2C-18E6-4DF7-9C3F-1388FCB463E3}">
      <text>
        <r>
          <rPr>
            <sz val="10"/>
            <color indexed="81"/>
            <rFont val="Lucida Console"/>
            <family val="3"/>
          </rPr>
          <t>Tempo de Estoque (Meses)_x000D_
_x000D_
45,0</t>
        </r>
      </text>
    </comment>
    <comment ref="A242" authorId="0" shapeId="0" xr:uid="{30F71658-718C-47A8-851D-A935A8B42DBF}">
      <text>
        <r>
          <rPr>
            <sz val="10"/>
            <color indexed="81"/>
            <rFont val="Lucida Console"/>
            <family val="3"/>
          </rPr>
          <t>_x000D_
111524</t>
        </r>
      </text>
    </comment>
    <comment ref="B242" authorId="0" shapeId="0" xr:uid="{1416FA84-C236-4113-B82C-1FA320AFF881}">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242" authorId="0" shapeId="0" xr:uid="{A98E289B-8826-4A19-8F5A-3FB8CF87FC5B}">
      <text>
        <r>
          <rPr>
            <sz val="10"/>
            <color indexed="81"/>
            <rFont val="Lucida Console"/>
            <family val="3"/>
          </rPr>
          <t>_x000D_
Últ estimativa : 400_x000D_
Enviada em     : 17.12.2020_x000D_
Ata - Venc     : 161/21 - 06.07.2022</t>
        </r>
      </text>
    </comment>
    <comment ref="O242" authorId="0" shapeId="0" xr:uid="{19BCF6AF-7183-40CE-B684-167E95ED6104}">
      <text>
        <r>
          <rPr>
            <sz val="10"/>
            <color indexed="81"/>
            <rFont val="Lucida Console"/>
            <family val="3"/>
          </rPr>
          <t>_x000D_
Pertencia a ATA nº 161/21_x000D_
Estimativa de Renovação enviada em 17.12.2020 - Qtd 400_x000D_
PE  88/21 lote _x000D_
01.06.21 = Processo finalizado. Ata 161/21</t>
        </r>
      </text>
    </comment>
    <comment ref="W242" authorId="0" shapeId="0" xr:uid="{4DA2E8FD-65C7-47FC-8700-E4765C31798A}">
      <text>
        <r>
          <rPr>
            <sz val="10"/>
            <color indexed="81"/>
            <rFont val="Lucida Console"/>
            <family val="3"/>
          </rPr>
          <t>_x000D_
DM-Hidráulica</t>
        </r>
      </text>
    </comment>
    <comment ref="X242" authorId="0" shapeId="0" xr:uid="{A20EF057-1C65-4146-9893-2D2EFAD5FE48}">
      <text>
        <r>
          <rPr>
            <sz val="10"/>
            <color indexed="81"/>
            <rFont val="Lucida Console"/>
            <family val="3"/>
          </rPr>
          <t>_x000D_
MATERIAL HIDRAULICO, CANOS, TUBOS, MANGUEIRAS, CONEXOES E ACESS.</t>
        </r>
      </text>
    </comment>
    <comment ref="Y242" authorId="0" shapeId="0" xr:uid="{59421841-E37A-4531-BD14-4E710E7B0E46}">
      <text>
        <r>
          <rPr>
            <sz val="10"/>
            <color indexed="81"/>
            <rFont val="Lucida Console"/>
            <family val="3"/>
          </rPr>
          <t>_x000D_
TORNEIRAS VOLANTES CANOPLAS E ACESS. P/ MANGUEIRA</t>
        </r>
      </text>
    </comment>
    <comment ref="AW242" authorId="0" shapeId="0" xr:uid="{CD2C947B-7072-40DB-B5E3-155B0B23D6EF}">
      <text>
        <r>
          <rPr>
            <sz val="10"/>
            <color indexed="81"/>
            <rFont val="Lucida Console"/>
            <family val="3"/>
          </rPr>
          <t>Tempo de Estoque (Meses)_x000D_
_x000D_
89,0</t>
        </r>
      </text>
    </comment>
    <comment ref="A243" authorId="0" shapeId="0" xr:uid="{06F3E6E4-6F4D-4929-8D07-48F6ACC4AEA7}">
      <text>
        <r>
          <rPr>
            <sz val="10"/>
            <color indexed="81"/>
            <rFont val="Lucida Console"/>
            <family val="3"/>
          </rPr>
          <t>_x000D_
13120</t>
        </r>
      </text>
    </comment>
    <comment ref="B243" authorId="0" shapeId="0" xr:uid="{4695DF37-4BA6-4BC5-A0A2-798F77EA4B53}">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243" authorId="0" shapeId="0" xr:uid="{470AA1C2-A6E5-4F19-AEFF-01BB7B0EBDDF}">
      <text>
        <r>
          <rPr>
            <sz val="10"/>
            <color indexed="81"/>
            <rFont val="Lucida Console"/>
            <family val="3"/>
          </rPr>
          <t>_x000D_
Últ estimativa : 50_x000D_
Enviada em     : 17.12.2020_x000D_
Ata - Venc     : 161/21 - 06.07.2022</t>
        </r>
      </text>
    </comment>
    <comment ref="O243" authorId="0" shapeId="0" xr:uid="{12BED82F-A5D8-4D22-B1C4-A994E21473AC}">
      <text>
        <r>
          <rPr>
            <sz val="10"/>
            <color indexed="81"/>
            <rFont val="Lucida Console"/>
            <family val="3"/>
          </rPr>
          <t>_x000D_
Pertencia a ATA nº 161/21_x000D_
Estimativa de Renovação enviada em 17.12.2020 - Qtd 50_x000D_
PE  88/21 lote _x000D_
01.06.21 = Processo finalizado. Ata 161/21</t>
        </r>
      </text>
    </comment>
    <comment ref="W243" authorId="0" shapeId="0" xr:uid="{D7FCCB48-17EC-45F3-80FD-736AD91F9745}">
      <text>
        <r>
          <rPr>
            <sz val="10"/>
            <color indexed="81"/>
            <rFont val="Lucida Console"/>
            <family val="3"/>
          </rPr>
          <t>_x000D_
DM-Hidráulica</t>
        </r>
      </text>
    </comment>
    <comment ref="X243" authorId="0" shapeId="0" xr:uid="{93BB5B4B-84CE-4B97-BCA3-AC447CCEFFB8}">
      <text>
        <r>
          <rPr>
            <sz val="10"/>
            <color indexed="81"/>
            <rFont val="Lucida Console"/>
            <family val="3"/>
          </rPr>
          <t>_x000D_
MATERIAL HIDRAULICO, CANOS, TUBOS, MANGUEIRAS, CONEXOES E ACESS.</t>
        </r>
      </text>
    </comment>
    <comment ref="Y243" authorId="0" shapeId="0" xr:uid="{6A7AB9BC-CF26-4B51-BEF1-7565585111F0}">
      <text>
        <r>
          <rPr>
            <sz val="10"/>
            <color indexed="81"/>
            <rFont val="Lucida Console"/>
            <family val="3"/>
          </rPr>
          <t>_x000D_
REGISTROS VALVULAS E BOIAS</t>
        </r>
      </text>
    </comment>
    <comment ref="AW243" authorId="0" shapeId="0" xr:uid="{8425322A-4E72-44D3-9FE9-7342A8EA3C7C}">
      <text>
        <r>
          <rPr>
            <sz val="10"/>
            <color indexed="81"/>
            <rFont val="Lucida Console"/>
            <family val="3"/>
          </rPr>
          <t>Tempo de Estoque (Meses)_x000D_
_x000D_
54,0</t>
        </r>
      </text>
    </comment>
    <comment ref="A244" authorId="0" shapeId="0" xr:uid="{27106675-06B7-413E-B00C-34318D0F460B}">
      <text>
        <r>
          <rPr>
            <sz val="10"/>
            <color indexed="81"/>
            <rFont val="Lucida Console"/>
            <family val="3"/>
          </rPr>
          <t>_x000D_
15085</t>
        </r>
      </text>
    </comment>
    <comment ref="B244" authorId="0" shapeId="0" xr:uid="{11BF4F50-8DE0-4940-A8F4-DCB976D4F65D}">
      <text>
        <r>
          <rPr>
            <sz val="10"/>
            <color indexed="81"/>
            <rFont val="Lucida Console"/>
            <family val="3"/>
          </rPr>
          <t>DESCRIÇÃO DETALHADA_x000D_
PINO P/ TORNEIRA - 1/2" - VEDANTE</t>
        </r>
      </text>
    </comment>
    <comment ref="G244" authorId="0" shapeId="0" xr:uid="{821C0043-C732-44BA-B56B-97A3E94DCD89}">
      <text>
        <r>
          <rPr>
            <sz val="10"/>
            <color indexed="81"/>
            <rFont val="Lucida Console"/>
            <family val="3"/>
          </rPr>
          <t>_x000D_
Últ estimativa : 0_x000D_
Enviada em     : 17.12.2020_x000D_
Ata - Venc     : 161/21 - 06.07.2022</t>
        </r>
      </text>
    </comment>
    <comment ref="O244" authorId="0" shapeId="0" xr:uid="{550493BE-525C-433C-B7FE-A8228C1411F8}">
      <text>
        <r>
          <rPr>
            <sz val="10"/>
            <color indexed="81"/>
            <rFont val="Lucida Console"/>
            <family val="3"/>
          </rPr>
          <t>_x000D_
Pertencia a ATA nº 161/21_x000D_
Estimativa de Renovação enviada em 17.12.2020 - Qtd _x000D_
PE  88/21 lote _x000D_
01.06.21 = Processo finalizado. Ata 161/21</t>
        </r>
      </text>
    </comment>
    <comment ref="W244" authorId="0" shapeId="0" xr:uid="{D829120B-5742-4E24-99C4-227CF218E9E3}">
      <text>
        <r>
          <rPr>
            <sz val="10"/>
            <color indexed="81"/>
            <rFont val="Lucida Console"/>
            <family val="3"/>
          </rPr>
          <t>_x000D_
DM-Hidráulica</t>
        </r>
      </text>
    </comment>
    <comment ref="X244" authorId="0" shapeId="0" xr:uid="{33635C75-D6C5-40FA-BC21-52019D96975F}">
      <text>
        <r>
          <rPr>
            <sz val="10"/>
            <color indexed="81"/>
            <rFont val="Lucida Console"/>
            <family val="3"/>
          </rPr>
          <t>_x000D_
MATERIAL HIDRAULICO, CANOS, TUBOS, MANGUEIRAS, CONEXOES E ACESS.</t>
        </r>
      </text>
    </comment>
    <comment ref="Y244" authorId="0" shapeId="0" xr:uid="{B9E989AB-B3A9-4CC7-A5C3-7763E4E4774B}">
      <text>
        <r>
          <rPr>
            <sz val="10"/>
            <color indexed="81"/>
            <rFont val="Lucida Console"/>
            <family val="3"/>
          </rPr>
          <t>_x000D_
REGISTROS VALVULAS E BOIAS</t>
        </r>
      </text>
    </comment>
    <comment ref="AW244" authorId="0" shapeId="0" xr:uid="{6B68E546-2E2E-47BE-A8D8-654681496D5B}">
      <text>
        <r>
          <rPr>
            <sz val="10"/>
            <color indexed="81"/>
            <rFont val="Lucida Console"/>
            <family val="3"/>
          </rPr>
          <t>Tempo de Estoque (Meses)_x000D_
_x000D_
529,0</t>
        </r>
      </text>
    </comment>
    <comment ref="A245" authorId="0" shapeId="0" xr:uid="{613ECF27-C193-41DD-ADCB-2A2D1CCA9510}">
      <text>
        <r>
          <rPr>
            <sz val="10"/>
            <color indexed="81"/>
            <rFont val="Lucida Console"/>
            <family val="3"/>
          </rPr>
          <t>_x000D_
27760</t>
        </r>
      </text>
    </comment>
    <comment ref="B245" authorId="0" shapeId="0" xr:uid="{D897DE1D-DC48-4BB9-BCC1-7B4806D90B1F}">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245" authorId="0" shapeId="0" xr:uid="{91651F24-1485-46A3-BFEF-8FEBB1219813}">
      <text>
        <r>
          <rPr>
            <sz val="10"/>
            <color indexed="81"/>
            <rFont val="Lucida Console"/>
            <family val="3"/>
          </rPr>
          <t>_x000D_
Últ estimativa : 50_x000D_
Enviada em     : 17.12.2020_x000D_
Ata - Venc     : 161/21 - 06.07.2022</t>
        </r>
      </text>
    </comment>
    <comment ref="O245" authorId="0" shapeId="0" xr:uid="{13D0F17E-0EA9-432F-93ED-744505397815}">
      <text>
        <r>
          <rPr>
            <sz val="10"/>
            <color indexed="81"/>
            <rFont val="Lucida Console"/>
            <family val="3"/>
          </rPr>
          <t>_x000D_
Pertencia a ATA nº 161/21_x000D_
Estimativa de Renovação enviada em 17.12.2020 - Qtd 50_x000D_
PE  88/21 lote _x000D_
01.06.21 = Processo finalizado. Ata 161/21</t>
        </r>
      </text>
    </comment>
    <comment ref="W245" authorId="0" shapeId="0" xr:uid="{508370E8-5987-42A6-9212-B29C485787D9}">
      <text>
        <r>
          <rPr>
            <sz val="10"/>
            <color indexed="81"/>
            <rFont val="Lucida Console"/>
            <family val="3"/>
          </rPr>
          <t>_x000D_
DM-Hidráulica</t>
        </r>
      </text>
    </comment>
    <comment ref="X245" authorId="0" shapeId="0" xr:uid="{1E539F41-B28D-43CD-B8ED-1DECD8825705}">
      <text>
        <r>
          <rPr>
            <sz val="10"/>
            <color indexed="81"/>
            <rFont val="Lucida Console"/>
            <family val="3"/>
          </rPr>
          <t>_x000D_
MATERIAL HIDRAULICO, CANOS, TUBOS, MANGUEIRAS, CONEXOES E ACESS.</t>
        </r>
      </text>
    </comment>
    <comment ref="Y245" authorId="0" shapeId="0" xr:uid="{7052298B-DE47-414C-AF5D-1E570517953B}">
      <text>
        <r>
          <rPr>
            <sz val="10"/>
            <color indexed="81"/>
            <rFont val="Lucida Console"/>
            <family val="3"/>
          </rPr>
          <t>_x000D_
REGISTROS VALVULAS E BOIAS</t>
        </r>
      </text>
    </comment>
    <comment ref="AW245" authorId="0" shapeId="0" xr:uid="{0A591E8F-BB0D-4304-9FF5-E467F6E2037F}">
      <text>
        <r>
          <rPr>
            <sz val="10"/>
            <color indexed="81"/>
            <rFont val="Lucida Console"/>
            <family val="3"/>
          </rPr>
          <t>Tempo de Estoque (Meses)_x000D_
_x000D_
48,0</t>
        </r>
      </text>
    </comment>
    <comment ref="A246" authorId="0" shapeId="0" xr:uid="{25DB1BBB-A19E-4848-9C8E-0B30E5AC88B4}">
      <text>
        <r>
          <rPr>
            <sz val="10"/>
            <color indexed="81"/>
            <rFont val="Lucida Console"/>
            <family val="3"/>
          </rPr>
          <t>_x000D_
35224</t>
        </r>
      </text>
    </comment>
    <comment ref="B246" authorId="0" shapeId="0" xr:uid="{0F7A50C6-0686-4425-81A3-32E679232AB4}">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246" authorId="0" shapeId="0" xr:uid="{E6E65880-F329-433B-A8D7-EFC532CEF9BA}">
      <text>
        <r>
          <rPr>
            <sz val="10"/>
            <color indexed="81"/>
            <rFont val="Lucida Console"/>
            <family val="3"/>
          </rPr>
          <t>_x000D_
Últ estimativa : 20_x000D_
Enviada em     : 17.12.2020_x000D_
Ata - Venc     : 161/21 - 06.07.2022</t>
        </r>
      </text>
    </comment>
    <comment ref="O246" authorId="0" shapeId="0" xr:uid="{6C161D25-A07C-40E3-86E8-C94BDD32D9A3}">
      <text>
        <r>
          <rPr>
            <sz val="10"/>
            <color indexed="81"/>
            <rFont val="Lucida Console"/>
            <family val="3"/>
          </rPr>
          <t>_x000D_
Pertencia a ATA nº 161/21_x000D_
Estimativa de Renovação enviada em 17.12.2020 - Qtd 20_x000D_
PE  88/21 lote _x000D_
01.06.21 = Processo finalizado. Ata 161/21</t>
        </r>
      </text>
    </comment>
    <comment ref="W246" authorId="0" shapeId="0" xr:uid="{CD93E3F7-6E49-4E04-A725-360DF86D9BC0}">
      <text>
        <r>
          <rPr>
            <sz val="10"/>
            <color indexed="81"/>
            <rFont val="Lucida Console"/>
            <family val="3"/>
          </rPr>
          <t>_x000D_
DM-Hidráulica</t>
        </r>
      </text>
    </comment>
    <comment ref="X246" authorId="0" shapeId="0" xr:uid="{2F9D59FA-917E-49BB-97C0-A82DF22BE250}">
      <text>
        <r>
          <rPr>
            <sz val="10"/>
            <color indexed="81"/>
            <rFont val="Lucida Console"/>
            <family val="3"/>
          </rPr>
          <t>_x000D_
MATERIAL HIDRAULICO, CANOS, TUBOS, MANGUEIRAS, CONEXOES E ACESS.</t>
        </r>
      </text>
    </comment>
    <comment ref="Y246" authorId="0" shapeId="0" xr:uid="{8F11DC4F-F78C-405A-9A0C-41521581572B}">
      <text>
        <r>
          <rPr>
            <sz val="10"/>
            <color indexed="81"/>
            <rFont val="Lucida Console"/>
            <family val="3"/>
          </rPr>
          <t>_x000D_
REGISTROS VALVULAS E BOIAS</t>
        </r>
      </text>
    </comment>
    <comment ref="AW246" authorId="0" shapeId="0" xr:uid="{B444F226-13CE-4910-B48A-89249D0065EB}">
      <text>
        <r>
          <rPr>
            <sz val="10"/>
            <color indexed="81"/>
            <rFont val="Lucida Console"/>
            <family val="3"/>
          </rPr>
          <t>Tempo de Estoque (Meses)_x000D_
_x000D_
20,0</t>
        </r>
      </text>
    </comment>
    <comment ref="A247" authorId="0" shapeId="0" xr:uid="{4A3DE502-121D-41FD-9E0C-5C823C576ACC}">
      <text>
        <r>
          <rPr>
            <sz val="10"/>
            <color indexed="81"/>
            <rFont val="Lucida Console"/>
            <family val="3"/>
          </rPr>
          <t>_x000D_
65173</t>
        </r>
      </text>
    </comment>
    <comment ref="B247" authorId="0" shapeId="0" xr:uid="{FDE6FBC8-58C9-4949-9EAA-12DBE9385A93}">
      <text>
        <r>
          <rPr>
            <sz val="10"/>
            <color indexed="81"/>
            <rFont val="Lucida Console"/>
            <family val="3"/>
          </rPr>
          <t>DESCRIÇÃO DETALHADA_x000D_
REPARO COMPLETO UNIVERSAL PARA DESCARGA -  CAIXA  ACOPLADA</t>
        </r>
      </text>
    </comment>
    <comment ref="G247" authorId="0" shapeId="0" xr:uid="{F80DA764-3C11-4A38-9D5A-EDDE279B8139}">
      <text>
        <r>
          <rPr>
            <sz val="10"/>
            <color indexed="81"/>
            <rFont val="Lucida Console"/>
            <family val="3"/>
          </rPr>
          <t>_x000D_
Últ estimativa : 150_x000D_
Enviada em     : 17.12.2020_x000D_
Ata - Venc     : 161/21 - 06.07.2022</t>
        </r>
      </text>
    </comment>
    <comment ref="O247" authorId="0" shapeId="0" xr:uid="{710F3180-D712-44C6-8621-F91485EDA032}">
      <text>
        <r>
          <rPr>
            <sz val="10"/>
            <color indexed="81"/>
            <rFont val="Lucida Console"/>
            <family val="3"/>
          </rPr>
          <t>_x000D_
Pertencia a ATA nº 161/21_x000D_
Estimativa de Renovação enviada em 17.12.2020 - Qtd 150_x000D_
PE  88/21 lote _x000D_
01.06.21 = Processo finalizado. Ata 161/21</t>
        </r>
      </text>
    </comment>
    <comment ref="W247" authorId="0" shapeId="0" xr:uid="{BF49ECEB-1064-4F84-BEE5-464C8D15B72B}">
      <text>
        <r>
          <rPr>
            <sz val="10"/>
            <color indexed="81"/>
            <rFont val="Lucida Console"/>
            <family val="3"/>
          </rPr>
          <t>_x000D_
DM-Hidráulica</t>
        </r>
      </text>
    </comment>
    <comment ref="X247" authorId="0" shapeId="0" xr:uid="{7B50B894-9C55-4B6E-9426-DDE85FF49F53}">
      <text>
        <r>
          <rPr>
            <sz val="10"/>
            <color indexed="81"/>
            <rFont val="Lucida Console"/>
            <family val="3"/>
          </rPr>
          <t>_x000D_
MATERIAL HIDRAULICO, CANOS, TUBOS, MANGUEIRAS, CONEXOES E ACESS.</t>
        </r>
      </text>
    </comment>
    <comment ref="Y247" authorId="0" shapeId="0" xr:uid="{A3666441-5EA3-4D98-8936-4C31B92B44A0}">
      <text>
        <r>
          <rPr>
            <sz val="10"/>
            <color indexed="81"/>
            <rFont val="Lucida Console"/>
            <family val="3"/>
          </rPr>
          <t>_x000D_
REGISTROS VALVULAS E BOIAS</t>
        </r>
      </text>
    </comment>
    <comment ref="AW247" authorId="0" shapeId="0" xr:uid="{7BBD2CE0-514B-479D-898A-90B905654551}">
      <text>
        <r>
          <rPr>
            <sz val="10"/>
            <color indexed="81"/>
            <rFont val="Lucida Console"/>
            <family val="3"/>
          </rPr>
          <t>Tempo de Estoque (Meses)_x000D_
_x000D_
50,0</t>
        </r>
      </text>
    </comment>
    <comment ref="A248" authorId="0" shapeId="0" xr:uid="{621A03E0-A440-49B4-B563-DDCD55CB2180}">
      <text>
        <r>
          <rPr>
            <sz val="10"/>
            <color indexed="81"/>
            <rFont val="Lucida Console"/>
            <family val="3"/>
          </rPr>
          <t>_x000D_
81563</t>
        </r>
      </text>
    </comment>
    <comment ref="B248" authorId="0" shapeId="0" xr:uid="{4FBCC4FF-28E2-4FFB-B7EC-845188429FB5}">
      <text>
        <r>
          <rPr>
            <sz val="10"/>
            <color indexed="81"/>
            <rFont val="Lucida Console"/>
            <family val="3"/>
          </rPr>
          <t>DESCRIÇÃO DETALHADA_x000D_
REPARO P/ VALVULA DE DESCARGA - MARCA LORENZETTI - P-20</t>
        </r>
      </text>
    </comment>
    <comment ref="G248" authorId="0" shapeId="0" xr:uid="{2EA8137A-8DC8-4206-8E4B-A9430727D546}">
      <text>
        <r>
          <rPr>
            <sz val="10"/>
            <color indexed="81"/>
            <rFont val="Lucida Console"/>
            <family val="3"/>
          </rPr>
          <t>_x000D_
Últ estimativa : 0_x000D_
Enviada em     : 17.12.2020_x000D_
Ata - Venc     : 161/21 - 06.07.2022</t>
        </r>
      </text>
    </comment>
    <comment ref="O248" authorId="0" shapeId="0" xr:uid="{89E0C801-79E3-4388-BDDE-97DDE78DF562}">
      <text>
        <r>
          <rPr>
            <sz val="10"/>
            <color indexed="81"/>
            <rFont val="Lucida Console"/>
            <family val="3"/>
          </rPr>
          <t>_x000D_
Pertencia a ATA nº 161/21_x000D_
Estimativa de Renovação enviada em 17.12.2020 - Qtd _x000D_
PE  88/21 lote _x000D_
01.06.21 = Processo finalizado. Ata 161/21</t>
        </r>
      </text>
    </comment>
    <comment ref="W248" authorId="0" shapeId="0" xr:uid="{86896452-C43E-49CC-A010-B4D851D45210}">
      <text>
        <r>
          <rPr>
            <sz val="10"/>
            <color indexed="81"/>
            <rFont val="Lucida Console"/>
            <family val="3"/>
          </rPr>
          <t>_x000D_
DM-Hidráulica</t>
        </r>
      </text>
    </comment>
    <comment ref="X248" authorId="0" shapeId="0" xr:uid="{6A7372AD-7B9D-4973-B815-03620C2247B5}">
      <text>
        <r>
          <rPr>
            <sz val="10"/>
            <color indexed="81"/>
            <rFont val="Lucida Console"/>
            <family val="3"/>
          </rPr>
          <t>_x000D_
MATERIAL HIDRAULICO, CANOS, TUBOS, MANGUEIRAS, CONEXOES E ACESS.</t>
        </r>
      </text>
    </comment>
    <comment ref="Y248" authorId="0" shapeId="0" xr:uid="{DF76D251-A5E5-4499-986C-AC5BEA34A708}">
      <text>
        <r>
          <rPr>
            <sz val="10"/>
            <color indexed="81"/>
            <rFont val="Lucida Console"/>
            <family val="3"/>
          </rPr>
          <t>_x000D_
REGISTROS VALVULAS E BOIAS</t>
        </r>
      </text>
    </comment>
    <comment ref="AW248" authorId="0" shapeId="0" xr:uid="{2E9DC011-163E-400B-8CBF-6B5B7125AA35}">
      <text>
        <r>
          <rPr>
            <sz val="10"/>
            <color indexed="81"/>
            <rFont val="Lucida Console"/>
            <family val="3"/>
          </rPr>
          <t>Tempo de Estoque (Meses)_x000D_
_x000D_
47,0</t>
        </r>
      </text>
    </comment>
    <comment ref="A249" authorId="0" shapeId="0" xr:uid="{D89421AB-83AE-48D9-83DC-99B96DD66DEA}">
      <text>
        <r>
          <rPr>
            <sz val="10"/>
            <color indexed="81"/>
            <rFont val="Lucida Console"/>
            <family val="3"/>
          </rPr>
          <t>_x000D_
81564</t>
        </r>
      </text>
    </comment>
    <comment ref="B249" authorId="0" shapeId="0" xr:uid="{067DFFC4-28C9-4CC2-9358-BAE855F70E2A}">
      <text>
        <r>
          <rPr>
            <sz val="10"/>
            <color indexed="81"/>
            <rFont val="Lucida Console"/>
            <family val="3"/>
          </rPr>
          <t>DESCRIÇÃO DETALHADA_x000D_
REPARO P/ VALVULA DE DESCARGA - MARCA LORENZETTI - P-21</t>
        </r>
      </text>
    </comment>
    <comment ref="G249" authorId="0" shapeId="0" xr:uid="{96172E6D-730D-4150-B966-6EBB29E0159A}">
      <text>
        <r>
          <rPr>
            <sz val="10"/>
            <color indexed="81"/>
            <rFont val="Lucida Console"/>
            <family val="3"/>
          </rPr>
          <t>_x000D_
Últ estimativa : 0_x000D_
Enviada em     : 17.12.2020_x000D_
Ata - Venc     : 161/21 - 06.07.2022</t>
        </r>
      </text>
    </comment>
    <comment ref="O249" authorId="0" shapeId="0" xr:uid="{79AF3FB1-4A29-4EAD-A084-667DC9337E21}">
      <text>
        <r>
          <rPr>
            <sz val="10"/>
            <color indexed="81"/>
            <rFont val="Lucida Console"/>
            <family val="3"/>
          </rPr>
          <t>_x000D_
Pertencia a ATA nº 161/21_x000D_
Estimativa de Renovação enviada em 17.12.2020 - Qtd _x000D_
PE  88/21 lote _x000D_
01.06.21 = Processo finalizado. Ata 161/21</t>
        </r>
      </text>
    </comment>
    <comment ref="W249" authorId="0" shapeId="0" xr:uid="{1AFAE761-1F00-4E59-83A1-3DC5CE0F79F4}">
      <text>
        <r>
          <rPr>
            <sz val="10"/>
            <color indexed="81"/>
            <rFont val="Lucida Console"/>
            <family val="3"/>
          </rPr>
          <t>_x000D_
DM-Hidráulica</t>
        </r>
      </text>
    </comment>
    <comment ref="X249" authorId="0" shapeId="0" xr:uid="{7350A632-3A5E-4EF9-AEA2-6C61E9F60001}">
      <text>
        <r>
          <rPr>
            <sz val="10"/>
            <color indexed="81"/>
            <rFont val="Lucida Console"/>
            <family val="3"/>
          </rPr>
          <t>_x000D_
MATERIAL HIDRAULICO, CANOS, TUBOS, MANGUEIRAS, CONEXOES E ACESS.</t>
        </r>
      </text>
    </comment>
    <comment ref="Y249" authorId="0" shapeId="0" xr:uid="{C31BCBDE-9D2B-44A5-96BD-AF2F0CBE7EF1}">
      <text>
        <r>
          <rPr>
            <sz val="10"/>
            <color indexed="81"/>
            <rFont val="Lucida Console"/>
            <family val="3"/>
          </rPr>
          <t>_x000D_
REGISTROS VALVULAS E BOIAS</t>
        </r>
      </text>
    </comment>
    <comment ref="AW249" authorId="0" shapeId="0" xr:uid="{8B59C963-E0B0-4DFE-A8D4-C013870FB466}">
      <text>
        <r>
          <rPr>
            <sz val="10"/>
            <color indexed="81"/>
            <rFont val="Lucida Console"/>
            <family val="3"/>
          </rPr>
          <t>Tempo de Estoque (Meses)_x000D_
_x000D_
11,0</t>
        </r>
      </text>
    </comment>
    <comment ref="A250" authorId="0" shapeId="0" xr:uid="{CF938A79-3D62-4539-95FE-F2BD4327145A}">
      <text>
        <r>
          <rPr>
            <sz val="10"/>
            <color indexed="81"/>
            <rFont val="Lucida Console"/>
            <family val="3"/>
          </rPr>
          <t>_x000D_
81565</t>
        </r>
      </text>
    </comment>
    <comment ref="B250" authorId="0" shapeId="0" xr:uid="{CAFE6417-D961-4450-AD24-74A98603EBA4}">
      <text>
        <r>
          <rPr>
            <sz val="10"/>
            <color indexed="81"/>
            <rFont val="Lucida Console"/>
            <family val="3"/>
          </rPr>
          <t>DESCRIÇÃO DETALHADA_x000D_
REPARO P/ VALVULA DE DESCARGA - MARCA LORENZETTI - P-41</t>
        </r>
      </text>
    </comment>
    <comment ref="G250" authorId="0" shapeId="0" xr:uid="{17D444FA-DAFB-47C8-9597-51F5FFA6B511}">
      <text>
        <r>
          <rPr>
            <sz val="10"/>
            <color indexed="81"/>
            <rFont val="Lucida Console"/>
            <family val="3"/>
          </rPr>
          <t>_x000D_
Últ estimativa : 20_x000D_
Enviada em     : 17.12.2020_x000D_
Ata - Venc     : 161/21 - 06.07.2022</t>
        </r>
      </text>
    </comment>
    <comment ref="O250" authorId="0" shapeId="0" xr:uid="{B40BACE2-BD14-473A-81BD-BE996E2864E4}">
      <text>
        <r>
          <rPr>
            <sz val="10"/>
            <color indexed="81"/>
            <rFont val="Lucida Console"/>
            <family val="3"/>
          </rPr>
          <t>_x000D_
Pertencia a ATA nº 161/21_x000D_
Estimativa de Renovação enviada em 17.12.2020 - Qtd 20_x000D_
PE  88/21 lote _x000D_
01.06.21 = Processo finalizado. Ata 161/21</t>
        </r>
      </text>
    </comment>
    <comment ref="W250" authorId="0" shapeId="0" xr:uid="{B9A93EFE-D760-459B-BDB0-D63B15C845EA}">
      <text>
        <r>
          <rPr>
            <sz val="10"/>
            <color indexed="81"/>
            <rFont val="Lucida Console"/>
            <family val="3"/>
          </rPr>
          <t>_x000D_
DM-Hidráulica</t>
        </r>
      </text>
    </comment>
    <comment ref="X250" authorId="0" shapeId="0" xr:uid="{64961942-0D5B-47B4-91F1-A6CEACA15ACD}">
      <text>
        <r>
          <rPr>
            <sz val="10"/>
            <color indexed="81"/>
            <rFont val="Lucida Console"/>
            <family val="3"/>
          </rPr>
          <t>_x000D_
MATERIAL HIDRAULICO, CANOS, TUBOS, MANGUEIRAS, CONEXOES E ACESS.</t>
        </r>
      </text>
    </comment>
    <comment ref="Y250" authorId="0" shapeId="0" xr:uid="{873A19D4-AAF5-4C35-B1A8-1E31E178B57E}">
      <text>
        <r>
          <rPr>
            <sz val="10"/>
            <color indexed="81"/>
            <rFont val="Lucida Console"/>
            <family val="3"/>
          </rPr>
          <t>_x000D_
REGISTROS VALVULAS E BOIAS</t>
        </r>
      </text>
    </comment>
    <comment ref="AW250" authorId="0" shapeId="0" xr:uid="{201AE612-68A0-4DD3-898C-202715043C22}">
      <text>
        <r>
          <rPr>
            <sz val="10"/>
            <color indexed="81"/>
            <rFont val="Lucida Console"/>
            <family val="3"/>
          </rPr>
          <t>Tempo de Estoque (Meses)_x000D_
_x000D_
19,0</t>
        </r>
      </text>
    </comment>
    <comment ref="A251" authorId="0" shapeId="0" xr:uid="{1B87DF71-8CF0-48A8-9DF4-C679E7DFB697}">
      <text>
        <r>
          <rPr>
            <sz val="10"/>
            <color indexed="81"/>
            <rFont val="Lucida Console"/>
            <family val="3"/>
          </rPr>
          <t>_x000D_
52946</t>
        </r>
      </text>
    </comment>
    <comment ref="B251" authorId="0" shapeId="0" xr:uid="{927F6733-D806-47EF-8D26-AD5B5BAC6EB9}">
      <text>
        <r>
          <rPr>
            <sz val="10"/>
            <color indexed="81"/>
            <rFont val="Lucida Console"/>
            <family val="3"/>
          </rPr>
          <t>DESCRIÇÃO DETALHADA_x000D_
CAIXILHO DE FERRO PERFILADO, BASCULANTE - MEDIDAS: 0,80 X 0,60M</t>
        </r>
      </text>
    </comment>
    <comment ref="G251" authorId="0" shapeId="0" xr:uid="{10C1416C-4AF3-4539-91A1-267C4BCA9D99}">
      <text>
        <r>
          <rPr>
            <sz val="10"/>
            <color indexed="81"/>
            <rFont val="Lucida Console"/>
            <family val="3"/>
          </rPr>
          <t>_x000D_
Últ estimativa : 40_x000D_
Enviada em     : 14.02.2020_x000D_
Ata - Venc     : 166/20 - 10.08.2021</t>
        </r>
      </text>
    </comment>
    <comment ref="O251" authorId="0" shapeId="0" xr:uid="{05F14907-66BC-4468-8CFF-C71F6C8FEEE2}">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251" authorId="0" shapeId="0" xr:uid="{68DC2BD3-0F92-446B-B061-1BBCAAF23782}">
      <text>
        <r>
          <rPr>
            <sz val="10"/>
            <color indexed="81"/>
            <rFont val="Lucida Console"/>
            <family val="3"/>
          </rPr>
          <t>_x000D_
DM-Construção</t>
        </r>
      </text>
    </comment>
    <comment ref="X251" authorId="0" shapeId="0" xr:uid="{7716CA4A-0368-4403-BC42-C05C36035758}">
      <text>
        <r>
          <rPr>
            <sz val="10"/>
            <color indexed="81"/>
            <rFont val="Lucida Console"/>
            <family val="3"/>
          </rPr>
          <t>_x000D_
MAT.E EQUIP. P/ CONSTR.CIVIL E CONSERV. DE VIAS PUBL.</t>
        </r>
      </text>
    </comment>
    <comment ref="Y251" authorId="0" shapeId="0" xr:uid="{8052FCD6-719F-4706-B37F-021D8A32EF82}">
      <text>
        <r>
          <rPr>
            <sz val="10"/>
            <color indexed="81"/>
            <rFont val="Lucida Console"/>
            <family val="3"/>
          </rPr>
          <t>_x000D_
CAIXILHOS, JANELAS E VITROS</t>
        </r>
      </text>
    </comment>
    <comment ref="AW251" authorId="0" shapeId="0" xr:uid="{972A4EFD-86FB-4B32-A697-121D1F2C02AE}">
      <text>
        <r>
          <rPr>
            <sz val="10"/>
            <color indexed="81"/>
            <rFont val="Lucida Console"/>
            <family val="3"/>
          </rPr>
          <t>Tempo de Estoque (Meses)_x000D_
_x000D_
34,0</t>
        </r>
      </text>
    </comment>
    <comment ref="A252" authorId="0" shapeId="0" xr:uid="{5A8DBA0D-0353-4E7D-B7E7-E075077C45E0}">
      <text>
        <r>
          <rPr>
            <sz val="10"/>
            <color indexed="81"/>
            <rFont val="Lucida Console"/>
            <family val="3"/>
          </rPr>
          <t>_x000D_
123131</t>
        </r>
      </text>
    </comment>
    <comment ref="B252" authorId="0" shapeId="0" xr:uid="{13C4BC37-6821-44AE-A7BE-88A182F10EB7}">
      <text>
        <r>
          <rPr>
            <sz val="10"/>
            <color indexed="81"/>
            <rFont val="Lucida Console"/>
            <family val="3"/>
          </rPr>
          <t>DESCRIÇÃO DETALHADA_x000D_
PERFIL GUIA SUPERIOR 0,50 M DE ALTURA X 0,50 M DE LARGURA DE CIMA X 0,25 M DE LARGURA DE BAIXO X 0,8 DE BERAL, CHAPA 16 - BARRA COM 3 METROS</t>
        </r>
      </text>
    </comment>
    <comment ref="G252" authorId="0" shapeId="0" xr:uid="{26F35991-5EDC-4EA5-84AF-D664D30F34E2}">
      <text>
        <r>
          <rPr>
            <sz val="10"/>
            <color indexed="81"/>
            <rFont val="Lucida Console"/>
            <family val="3"/>
          </rPr>
          <t>_x000D_
Últ estimativa : 300_x000D_
Enviada em     : 14.02.2020_x000D_
Ata - Venc     : 166/20 - 10.08.2021</t>
        </r>
      </text>
    </comment>
    <comment ref="O252" authorId="0" shapeId="0" xr:uid="{C94B87A5-4DE4-411E-92E8-63DE0A8D326F}">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252" authorId="0" shapeId="0" xr:uid="{D197E292-6FB5-4A31-8008-35AEA3DFB674}">
      <text>
        <r>
          <rPr>
            <sz val="10"/>
            <color indexed="81"/>
            <rFont val="Lucida Console"/>
            <family val="3"/>
          </rPr>
          <t>_x000D_
DM-Serralheria</t>
        </r>
      </text>
    </comment>
    <comment ref="X252" authorId="0" shapeId="0" xr:uid="{A21F9BCB-D31F-43F1-9D91-32E66C78BCA9}">
      <text>
        <r>
          <rPr>
            <sz val="10"/>
            <color indexed="81"/>
            <rFont val="Lucida Console"/>
            <family val="3"/>
          </rPr>
          <t>_x000D_
METAIS,LAMINAD.,PERFILADOS E ARTEFATOS METALICOS</t>
        </r>
      </text>
    </comment>
    <comment ref="Y252" authorId="0" shapeId="0" xr:uid="{D6A81E75-E331-4E99-9EDA-A8EFB235E447}">
      <text>
        <r>
          <rPr>
            <sz val="10"/>
            <color indexed="81"/>
            <rFont val="Lucida Console"/>
            <family val="3"/>
          </rPr>
          <t>_x000D_
PERFIS E BARRA</t>
        </r>
      </text>
    </comment>
    <comment ref="AW252" authorId="0" shapeId="0" xr:uid="{F78366F7-F21F-4072-8DF3-28BA9B6D07E3}">
      <text>
        <r>
          <rPr>
            <sz val="10"/>
            <color indexed="81"/>
            <rFont val="Lucida Console"/>
            <family val="3"/>
          </rPr>
          <t>Tempo de Estoque (Meses)_x000D_
_x000D_
332,0</t>
        </r>
      </text>
    </comment>
    <comment ref="A253" authorId="0" shapeId="0" xr:uid="{92C3A5AE-2FBA-40A8-AD6D-E5F2F3774D9F}">
      <text>
        <r>
          <rPr>
            <sz val="10"/>
            <color indexed="81"/>
            <rFont val="Lucida Console"/>
            <family val="3"/>
          </rPr>
          <t>_x000D_
123132</t>
        </r>
      </text>
    </comment>
    <comment ref="B253" authorId="0" shapeId="0" xr:uid="{A0D4DB2D-8F6E-463B-8CDF-CA5B032F615E}">
      <text>
        <r>
          <rPr>
            <sz val="10"/>
            <color indexed="81"/>
            <rFont val="Lucida Console"/>
            <family val="3"/>
          </rPr>
          <t>DESCRIÇÃO DETALHADA_x000D_
PERFIL GUIA INFERIOR - MEDIDAS: 100 CM DE LARGURA TOTAL X 2,5 CM DE ALTURA, CHAPA 16 - BARRA COM 3 METROS</t>
        </r>
      </text>
    </comment>
    <comment ref="G253" authorId="0" shapeId="0" xr:uid="{FA792B86-6A2A-443B-98DA-B814B361474D}">
      <text>
        <r>
          <rPr>
            <sz val="10"/>
            <color indexed="81"/>
            <rFont val="Lucida Console"/>
            <family val="3"/>
          </rPr>
          <t>_x000D_
Últ estimativa : 200_x000D_
Enviada em     : 14.02.2020_x000D_
Ata - Venc     : 166/20 - 10.08.2021</t>
        </r>
      </text>
    </comment>
    <comment ref="O253" authorId="0" shapeId="0" xr:uid="{F1450A9B-DC03-4289-8AF5-390E4008E597}">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253" authorId="0" shapeId="0" xr:uid="{969C4F75-DE77-4E4E-9894-1DB21D83FD57}">
      <text>
        <r>
          <rPr>
            <sz val="10"/>
            <color indexed="81"/>
            <rFont val="Lucida Console"/>
            <family val="3"/>
          </rPr>
          <t>_x000D_
DM-Serralheria</t>
        </r>
      </text>
    </comment>
    <comment ref="X253" authorId="0" shapeId="0" xr:uid="{6BBAF259-7908-43EC-9CD6-82ABFB852B61}">
      <text>
        <r>
          <rPr>
            <sz val="10"/>
            <color indexed="81"/>
            <rFont val="Lucida Console"/>
            <family val="3"/>
          </rPr>
          <t>_x000D_
METAIS,LAMINAD.,PERFILADOS E ARTEFATOS METALICOS</t>
        </r>
      </text>
    </comment>
    <comment ref="Y253" authorId="0" shapeId="0" xr:uid="{308D8D4B-B34B-4DE9-A96A-D0E5CA247DE7}">
      <text>
        <r>
          <rPr>
            <sz val="10"/>
            <color indexed="81"/>
            <rFont val="Lucida Console"/>
            <family val="3"/>
          </rPr>
          <t>_x000D_
PERFIS E BARRA</t>
        </r>
      </text>
    </comment>
    <comment ref="AW253" authorId="0" shapeId="0" xr:uid="{747AF407-86CB-48DB-996F-265ADE43EB0A}">
      <text>
        <r>
          <rPr>
            <sz val="10"/>
            <color indexed="81"/>
            <rFont val="Lucida Console"/>
            <family val="3"/>
          </rPr>
          <t>Tempo de Estoque (Meses)_x000D_
_x000D_
527,0</t>
        </r>
      </text>
    </comment>
    <comment ref="A254" authorId="0" shapeId="0" xr:uid="{6B2C773B-93DA-40A8-BCD5-AEF1A6C4BFE0}">
      <text>
        <r>
          <rPr>
            <sz val="10"/>
            <color indexed="81"/>
            <rFont val="Lucida Console"/>
            <family val="3"/>
          </rPr>
          <t>_x000D_
123133</t>
        </r>
      </text>
    </comment>
    <comment ref="B254" authorId="0" shapeId="0" xr:uid="{9B1DF2CC-5465-4552-99F1-BABC14F1E1D6}">
      <text>
        <r>
          <rPr>
            <sz val="10"/>
            <color indexed="81"/>
            <rFont val="Lucida Console"/>
            <family val="3"/>
          </rPr>
          <t>DESCRIÇÃO DETALHADA_x000D_
PERFIL TAMPA GUIA SUPERIOR 0,50 M DE LARGURA COM UMA DOBRA DE 0,10 MM, CHAPA 16 - BARRA COM 3 METROS</t>
        </r>
      </text>
    </comment>
    <comment ref="G254" authorId="0" shapeId="0" xr:uid="{23561893-7F21-40B6-9366-88A5EBE0B67F}">
      <text>
        <r>
          <rPr>
            <sz val="10"/>
            <color indexed="81"/>
            <rFont val="Lucida Console"/>
            <family val="3"/>
          </rPr>
          <t>_x000D_
Últ estimativa : 300_x000D_
Enviada em     : 14.02.2020_x000D_
Ata - Venc     : 166/20 - 10.08.2021</t>
        </r>
      </text>
    </comment>
    <comment ref="O254" authorId="0" shapeId="0" xr:uid="{FACA1463-4333-4625-A356-4DD891A0716D}">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254" authorId="0" shapeId="0" xr:uid="{6A482AA3-2238-46B7-9EE7-2C8E2BE5D657}">
      <text>
        <r>
          <rPr>
            <sz val="10"/>
            <color indexed="81"/>
            <rFont val="Lucida Console"/>
            <family val="3"/>
          </rPr>
          <t>_x000D_
DM-Serralheria</t>
        </r>
      </text>
    </comment>
    <comment ref="X254" authorId="0" shapeId="0" xr:uid="{80FEE43C-6EF7-4CD3-9D9A-C7081F1A7324}">
      <text>
        <r>
          <rPr>
            <sz val="10"/>
            <color indexed="81"/>
            <rFont val="Lucida Console"/>
            <family val="3"/>
          </rPr>
          <t>_x000D_
METAIS,LAMINAD.,PERFILADOS E ARTEFATOS METALICOS</t>
        </r>
      </text>
    </comment>
    <comment ref="Y254" authorId="0" shapeId="0" xr:uid="{6E18BB54-9BDC-4EF7-822D-AC37B062225A}">
      <text>
        <r>
          <rPr>
            <sz val="10"/>
            <color indexed="81"/>
            <rFont val="Lucida Console"/>
            <family val="3"/>
          </rPr>
          <t>_x000D_
PERFIS E BARRA</t>
        </r>
      </text>
    </comment>
    <comment ref="AW254" authorId="0" shapeId="0" xr:uid="{7ECE0CE7-3FBC-4C17-A0B4-2B9548D1AF16}">
      <text>
        <r>
          <rPr>
            <sz val="10"/>
            <color indexed="81"/>
            <rFont val="Lucida Console"/>
            <family val="3"/>
          </rPr>
          <t>Tempo de Estoque (Meses)_x000D_
_x000D_
382,0</t>
        </r>
      </text>
    </comment>
    <comment ref="A255" authorId="0" shapeId="0" xr:uid="{F319D015-AA42-444E-8F24-E9868232FBF1}">
      <text>
        <r>
          <rPr>
            <sz val="10"/>
            <color indexed="81"/>
            <rFont val="Lucida Console"/>
            <family val="3"/>
          </rPr>
          <t>_x000D_
114822</t>
        </r>
      </text>
    </comment>
    <comment ref="B255" authorId="0" shapeId="0" xr:uid="{F7E12E3C-705C-41F7-BED0-E0F7322A93EF}">
      <text>
        <r>
          <rPr>
            <sz val="10"/>
            <color indexed="81"/>
            <rFont val="Lucida Console"/>
            <family val="3"/>
          </rPr>
          <t>DESCRIÇÃO DETALHADA_x000D_
TUBO DE PVC SOLDAVEL, 10" 250MM X 6M PARA ESGOTO NA COR BRANCA</t>
        </r>
      </text>
    </comment>
    <comment ref="G255" authorId="0" shapeId="0" xr:uid="{CD448ED8-C00A-48CD-BF18-D92AB59BD00E}">
      <text>
        <r>
          <rPr>
            <sz val="10"/>
            <color indexed="81"/>
            <rFont val="Lucida Console"/>
            <family val="3"/>
          </rPr>
          <t>_x000D_
Últ estimativa : 100_x000D_
Enviada em     : 25.09.2019_x000D_
Ata - Venc     : 169/17 - 05.10.2018</t>
        </r>
      </text>
    </comment>
    <comment ref="O255" authorId="0" shapeId="0" xr:uid="{BA139561-94C2-4F92-AE53-F37571111600}">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255" authorId="0" shapeId="0" xr:uid="{A41765EF-37EA-4658-97FC-9DD5EC041998}">
      <text>
        <r>
          <rPr>
            <sz val="10"/>
            <color indexed="81"/>
            <rFont val="Lucida Console"/>
            <family val="3"/>
          </rPr>
          <t>_x000D_
DM-Hidráulica</t>
        </r>
      </text>
    </comment>
    <comment ref="X255" authorId="0" shapeId="0" xr:uid="{7569B7B9-1FFB-47BB-8C9C-F6FA1972D6DD}">
      <text>
        <r>
          <rPr>
            <sz val="10"/>
            <color indexed="81"/>
            <rFont val="Lucida Console"/>
            <family val="3"/>
          </rPr>
          <t>_x000D_
MATERIAL HIDRAULICO, CANOS, TUBOS, MANGUEIRAS, CONEXOES E ACESS.</t>
        </r>
      </text>
    </comment>
    <comment ref="Y255" authorId="0" shapeId="0" xr:uid="{E68EDDA0-F314-400E-9F5B-934F1BA723F0}">
      <text>
        <r>
          <rPr>
            <sz val="10"/>
            <color indexed="81"/>
            <rFont val="Lucida Console"/>
            <family val="3"/>
          </rPr>
          <t>_x000D_
ADAP. LUVAS.TES CURVAS COTOVELOS PLUGS FLANGES.....</t>
        </r>
      </text>
    </comment>
    <comment ref="AW255" authorId="0" shapeId="0" xr:uid="{6C16A99E-100E-43AA-9845-B504C7B53512}">
      <text>
        <r>
          <rPr>
            <sz val="10"/>
            <color indexed="81"/>
            <rFont val="Lucida Console"/>
            <family val="3"/>
          </rPr>
          <t>Tempo de Estoque (Meses)_x000D_
_x000D_
39,0</t>
        </r>
      </text>
    </comment>
    <comment ref="A256" authorId="0" shapeId="0" xr:uid="{B32C3638-8146-4593-9395-0832FD37C838}">
      <text>
        <r>
          <rPr>
            <sz val="10"/>
            <color indexed="81"/>
            <rFont val="Lucida Console"/>
            <family val="3"/>
          </rPr>
          <t>_x000D_
88726</t>
        </r>
      </text>
    </comment>
    <comment ref="B256" authorId="0" shapeId="0" xr:uid="{228A89E5-E453-4A56-BCEA-D83FB2187C8B}">
      <text>
        <r>
          <rPr>
            <sz val="10"/>
            <color indexed="81"/>
            <rFont val="Lucida Console"/>
            <family val="3"/>
          </rPr>
          <t>DESCRIÇÃO DETALHADA_x000D_
DISJUNTOR NORMA DIN CURVA C PADRAO, BIPOLAR, 10 AMPERES</t>
        </r>
      </text>
    </comment>
    <comment ref="G256" authorId="0" shapeId="0" xr:uid="{C0B8EA89-8A89-4845-B475-411FC4429B60}">
      <text>
        <r>
          <rPr>
            <sz val="10"/>
            <color indexed="81"/>
            <rFont val="Lucida Console"/>
            <family val="3"/>
          </rPr>
          <t>_x000D_
Últ estimativa : 120_x000D_
Enviada em     : 23.09.2020_x000D_
Ata - Venc     : 17/20 - 29.01.2021</t>
        </r>
      </text>
    </comment>
    <comment ref="O256" authorId="0" shapeId="0" xr:uid="{BA05E476-ECA9-43C3-A69F-826697B1E328}">
      <text>
        <r>
          <rPr>
            <sz val="10"/>
            <color indexed="81"/>
            <rFont val="Lucida Console"/>
            <family val="3"/>
          </rPr>
          <t>_x000D_
Pertencia a ATA nº 17/20_x000D_
Estimativa de Renovação enviada em 23.09.2020 - Qtd 120_x000D_
PP 241/19 lote _x000D_
21.02.20 = Processo conferido, finalizado.</t>
        </r>
      </text>
    </comment>
    <comment ref="W256" authorId="0" shapeId="0" xr:uid="{0962AB87-DC1C-4550-B7EF-22CCB5D1C4A2}">
      <text>
        <r>
          <rPr>
            <sz val="10"/>
            <color indexed="81"/>
            <rFont val="Lucida Console"/>
            <family val="3"/>
          </rPr>
          <t>_x000D_
DM-Elétrica</t>
        </r>
      </text>
    </comment>
    <comment ref="X256" authorId="0" shapeId="0" xr:uid="{091F4B6C-B1C0-4E20-A8C8-BA9B9AFDC278}">
      <text>
        <r>
          <rPr>
            <sz val="10"/>
            <color indexed="81"/>
            <rFont val="Lucida Console"/>
            <family val="3"/>
          </rPr>
          <t>_x000D_
EQUIP. MAT. P/ GERACAO, TRANSM. DISTR. RETIF...</t>
        </r>
      </text>
    </comment>
    <comment ref="Y256" authorId="0" shapeId="0" xr:uid="{4D0E2278-BF26-4875-B586-241C6FE67CDC}">
      <text>
        <r>
          <rPr>
            <sz val="10"/>
            <color indexed="81"/>
            <rFont val="Lucida Console"/>
            <family val="3"/>
          </rPr>
          <t>_x000D_
DISJUNTORES</t>
        </r>
      </text>
    </comment>
    <comment ref="AW256" authorId="0" shapeId="0" xr:uid="{4E410A7C-6B3A-40E6-AC22-B7F3C515F99B}">
      <text>
        <r>
          <rPr>
            <sz val="10"/>
            <color indexed="81"/>
            <rFont val="Lucida Console"/>
            <family val="3"/>
          </rPr>
          <t>Tempo de Estoque (Meses)_x000D_
_x000D_
130,0</t>
        </r>
      </text>
    </comment>
    <comment ref="A257" authorId="0" shapeId="0" xr:uid="{644E5E7F-2726-43E3-9C81-1CCD4F36F743}">
      <text>
        <r>
          <rPr>
            <sz val="10"/>
            <color indexed="81"/>
            <rFont val="Lucida Console"/>
            <family val="3"/>
          </rPr>
          <t>_x000D_
88727</t>
        </r>
      </text>
    </comment>
    <comment ref="B257" authorId="0" shapeId="0" xr:uid="{37355898-DCB5-45C3-A2C0-4E1F3A35E514}">
      <text>
        <r>
          <rPr>
            <sz val="10"/>
            <color indexed="81"/>
            <rFont val="Lucida Console"/>
            <family val="3"/>
          </rPr>
          <t>DESCRIÇÃO DETALHADA_x000D_
DISJUNTOR NORMA DIN CURVA C PADRAO, BIPOLAR, 20 AMPERES</t>
        </r>
      </text>
    </comment>
    <comment ref="G257" authorId="0" shapeId="0" xr:uid="{8B7B4815-3127-470E-A17B-8B62D98975C9}">
      <text>
        <r>
          <rPr>
            <sz val="10"/>
            <color indexed="81"/>
            <rFont val="Lucida Console"/>
            <family val="3"/>
          </rPr>
          <t>_x000D_
Últ estimativa : 300_x000D_
Enviada em     : 23.09.2020_x000D_
Ata - Venc     : 17/20 - 29.01.2021</t>
        </r>
      </text>
    </comment>
    <comment ref="O257" authorId="0" shapeId="0" xr:uid="{FD84C07D-E861-498C-9267-8C471882A8AA}">
      <text>
        <r>
          <rPr>
            <sz val="10"/>
            <color indexed="81"/>
            <rFont val="Lucida Console"/>
            <family val="3"/>
          </rPr>
          <t>_x000D_
Pertencia a ATA nº 17/20_x000D_
Estimativa de Renovação enviada em 23.09.2020 - Qtd 300_x000D_
PP 241/19 lote _x000D_
21.02.20 = Processo conferido, finalizado.</t>
        </r>
      </text>
    </comment>
    <comment ref="W257" authorId="0" shapeId="0" xr:uid="{40626695-05ED-445D-A082-EA184C81D313}">
      <text>
        <r>
          <rPr>
            <sz val="10"/>
            <color indexed="81"/>
            <rFont val="Lucida Console"/>
            <family val="3"/>
          </rPr>
          <t>_x000D_
DM-Elétrica</t>
        </r>
      </text>
    </comment>
    <comment ref="X257" authorId="0" shapeId="0" xr:uid="{CCBF63F5-2A53-419B-848D-C8590BD21FD1}">
      <text>
        <r>
          <rPr>
            <sz val="10"/>
            <color indexed="81"/>
            <rFont val="Lucida Console"/>
            <family val="3"/>
          </rPr>
          <t>_x000D_
EQUIP. MAT. P/ GERACAO, TRANSM. DISTR. RETIF...</t>
        </r>
      </text>
    </comment>
    <comment ref="Y257" authorId="0" shapeId="0" xr:uid="{A38E7B13-14AF-44E5-B07C-D96CCAC0D2F2}">
      <text>
        <r>
          <rPr>
            <sz val="10"/>
            <color indexed="81"/>
            <rFont val="Lucida Console"/>
            <family val="3"/>
          </rPr>
          <t>_x000D_
DISJUNTORES</t>
        </r>
      </text>
    </comment>
    <comment ref="AW257" authorId="0" shapeId="0" xr:uid="{52E507B8-19C0-4978-9E80-D9999AC93AF4}">
      <text>
        <r>
          <rPr>
            <sz val="10"/>
            <color indexed="81"/>
            <rFont val="Lucida Console"/>
            <family val="3"/>
          </rPr>
          <t>Tempo de Estoque (Meses)_x000D_
_x000D_
218,0</t>
        </r>
      </text>
    </comment>
    <comment ref="A258" authorId="0" shapeId="0" xr:uid="{FFF8F37A-B431-4413-BC01-B3485E71AACF}">
      <text>
        <r>
          <rPr>
            <sz val="10"/>
            <color indexed="81"/>
            <rFont val="Lucida Console"/>
            <family val="3"/>
          </rPr>
          <t>_x000D_
88728</t>
        </r>
      </text>
    </comment>
    <comment ref="B258" authorId="0" shapeId="0" xr:uid="{3C7F473A-965E-4C54-8C8A-07847E51CFD8}">
      <text>
        <r>
          <rPr>
            <sz val="10"/>
            <color indexed="81"/>
            <rFont val="Lucida Console"/>
            <family val="3"/>
          </rPr>
          <t>DESCRIÇÃO DETALHADA_x000D_
DISJUNTOR NORMA DIN CURVA C PADRAO, BIPOLAR, 32 AMPERES</t>
        </r>
      </text>
    </comment>
    <comment ref="G258" authorId="0" shapeId="0" xr:uid="{1D13CE54-BCE8-4EB4-9C59-F0FC005CAEDF}">
      <text>
        <r>
          <rPr>
            <sz val="10"/>
            <color indexed="81"/>
            <rFont val="Lucida Console"/>
            <family val="3"/>
          </rPr>
          <t>_x000D_
Últ estimativa : 250_x000D_
Enviada em     : 23.09.2020_x000D_
Ata - Venc     : 17/20 - 29.01.2021</t>
        </r>
      </text>
    </comment>
    <comment ref="O258" authorId="0" shapeId="0" xr:uid="{9168E2A6-FD65-4485-A2C7-1CDC4F3D4036}">
      <text>
        <r>
          <rPr>
            <sz val="10"/>
            <color indexed="81"/>
            <rFont val="Lucida Console"/>
            <family val="3"/>
          </rPr>
          <t>_x000D_
Pertencia a ATA nº 17/20_x000D_
Estimativa de Renovação enviada em 23.09.2020 - Qtd 250_x000D_
PP 241/19 lote _x000D_
21.02.20 = Processo conferido, finalizado.</t>
        </r>
      </text>
    </comment>
    <comment ref="W258" authorId="0" shapeId="0" xr:uid="{D4105060-E324-441A-8C26-F2764C2B9568}">
      <text>
        <r>
          <rPr>
            <sz val="10"/>
            <color indexed="81"/>
            <rFont val="Lucida Console"/>
            <family val="3"/>
          </rPr>
          <t>_x000D_
DM-Elétrica</t>
        </r>
      </text>
    </comment>
    <comment ref="X258" authorId="0" shapeId="0" xr:uid="{8BA4AFBC-772F-47E0-ABE3-99306AF396A1}">
      <text>
        <r>
          <rPr>
            <sz val="10"/>
            <color indexed="81"/>
            <rFont val="Lucida Console"/>
            <family val="3"/>
          </rPr>
          <t>_x000D_
EQUIP. MAT. P/ GERACAO, TRANSM. DISTR. RETIF...</t>
        </r>
      </text>
    </comment>
    <comment ref="Y258" authorId="0" shapeId="0" xr:uid="{90C545BD-F7E0-4DF9-8547-7E5FD35EA6B6}">
      <text>
        <r>
          <rPr>
            <sz val="10"/>
            <color indexed="81"/>
            <rFont val="Lucida Console"/>
            <family val="3"/>
          </rPr>
          <t>_x000D_
DISJUNTORES</t>
        </r>
      </text>
    </comment>
    <comment ref="AW258" authorId="0" shapeId="0" xr:uid="{9847C32A-EB40-48AF-B2A5-2533682EA3CE}">
      <text>
        <r>
          <rPr>
            <sz val="10"/>
            <color indexed="81"/>
            <rFont val="Lucida Console"/>
            <family val="3"/>
          </rPr>
          <t>Tempo de Estoque (Meses)_x000D_
_x000D_
186,0</t>
        </r>
      </text>
    </comment>
    <comment ref="A259" authorId="0" shapeId="0" xr:uid="{73C8F765-EACB-418E-A10C-D0AA9D60B616}">
      <text>
        <r>
          <rPr>
            <sz val="10"/>
            <color indexed="81"/>
            <rFont val="Lucida Console"/>
            <family val="3"/>
          </rPr>
          <t>_x000D_
88729</t>
        </r>
      </text>
    </comment>
    <comment ref="B259" authorId="0" shapeId="0" xr:uid="{B270EFE2-D8AC-42B2-A51A-82DB63E9AA91}">
      <text>
        <r>
          <rPr>
            <sz val="10"/>
            <color indexed="81"/>
            <rFont val="Lucida Console"/>
            <family val="3"/>
          </rPr>
          <t>DESCRIÇÃO DETALHADA_x000D_
DISJUNTOR NORMA DIN CURVA C PADRAO, BIPOLAR, 40 AMPERES</t>
        </r>
      </text>
    </comment>
    <comment ref="G259" authorId="0" shapeId="0" xr:uid="{9F302B6F-2A14-49F7-B870-384046868BC8}">
      <text>
        <r>
          <rPr>
            <sz val="10"/>
            <color indexed="81"/>
            <rFont val="Lucida Console"/>
            <family val="3"/>
          </rPr>
          <t>_x000D_
Últ estimativa : 100_x000D_
Enviada em     : 23.09.2020_x000D_
Ata - Venc     : 17/20 - 29.01.2021</t>
        </r>
      </text>
    </comment>
    <comment ref="O259" authorId="0" shapeId="0" xr:uid="{34EA2F31-DE82-4E39-A673-A4AE9953B711}">
      <text>
        <r>
          <rPr>
            <sz val="10"/>
            <color indexed="81"/>
            <rFont val="Lucida Console"/>
            <family val="3"/>
          </rPr>
          <t>_x000D_
Pertencia a ATA nº 17/20_x000D_
Estimativa de Renovação enviada em 23.09.2020 - Qtd 100_x000D_
PP 241/19 lote _x000D_
21.02.20 = Processo conferido, finalizado.</t>
        </r>
      </text>
    </comment>
    <comment ref="W259" authorId="0" shapeId="0" xr:uid="{1A121BC5-FBED-4321-9D63-6FED353CF0BF}">
      <text>
        <r>
          <rPr>
            <sz val="10"/>
            <color indexed="81"/>
            <rFont val="Lucida Console"/>
            <family val="3"/>
          </rPr>
          <t>_x000D_
DM-Elétrica</t>
        </r>
      </text>
    </comment>
    <comment ref="X259" authorId="0" shapeId="0" xr:uid="{69EA633C-1C58-420B-B1CD-AE55C5C21EDD}">
      <text>
        <r>
          <rPr>
            <sz val="10"/>
            <color indexed="81"/>
            <rFont val="Lucida Console"/>
            <family val="3"/>
          </rPr>
          <t>_x000D_
EQUIP. MAT. P/ GERACAO, TRANSM. DISTR. RETIF...</t>
        </r>
      </text>
    </comment>
    <comment ref="Y259" authorId="0" shapeId="0" xr:uid="{ED2B6252-7166-4C43-8AB1-866737D5EDB1}">
      <text>
        <r>
          <rPr>
            <sz val="10"/>
            <color indexed="81"/>
            <rFont val="Lucida Console"/>
            <family val="3"/>
          </rPr>
          <t>_x000D_
DISJUNTORES</t>
        </r>
      </text>
    </comment>
    <comment ref="AW259" authorId="0" shapeId="0" xr:uid="{2B36E7D5-2DAD-44E3-8A18-81C8BF10925F}">
      <text>
        <r>
          <rPr>
            <sz val="10"/>
            <color indexed="81"/>
            <rFont val="Lucida Console"/>
            <family val="3"/>
          </rPr>
          <t>Tempo de Estoque (Meses)_x000D_
_x000D_
32,0</t>
        </r>
      </text>
    </comment>
    <comment ref="A260" authorId="0" shapeId="0" xr:uid="{A981859F-1AD2-434B-9213-224FC32BE6B8}">
      <text>
        <r>
          <rPr>
            <sz val="10"/>
            <color indexed="81"/>
            <rFont val="Lucida Console"/>
            <family val="3"/>
          </rPr>
          <t>_x000D_
88730</t>
        </r>
      </text>
    </comment>
    <comment ref="B260" authorId="0" shapeId="0" xr:uid="{6ADD1AA7-0F83-4EDA-BAD2-419E16C82631}">
      <text>
        <r>
          <rPr>
            <sz val="10"/>
            <color indexed="81"/>
            <rFont val="Lucida Console"/>
            <family val="3"/>
          </rPr>
          <t>DESCRIÇÃO DETALHADA_x000D_
DISJUNTOR NORMA DIN CURVA C PADRAO, BIPOLAR, 50 AMPERES</t>
        </r>
      </text>
    </comment>
    <comment ref="G260" authorId="0" shapeId="0" xr:uid="{D099C8D5-1413-4DFA-BA69-CEEFAA50BDB1}">
      <text>
        <r>
          <rPr>
            <sz val="10"/>
            <color indexed="81"/>
            <rFont val="Lucida Console"/>
            <family val="3"/>
          </rPr>
          <t>_x000D_
Últ estimativa : 20_x000D_
Enviada em     : 23.09.2020_x000D_
Ata - Venc     : 17/20 - 29.01.2021</t>
        </r>
      </text>
    </comment>
    <comment ref="O260" authorId="0" shapeId="0" xr:uid="{BA25E136-45C5-4FDD-9372-764F3DC3E44B}">
      <text>
        <r>
          <rPr>
            <sz val="10"/>
            <color indexed="81"/>
            <rFont val="Lucida Console"/>
            <family val="3"/>
          </rPr>
          <t>_x000D_
Pertencia a ATA nº 17/20_x000D_
Estimativa de Renovação enviada em 23.09.2020 - Qtd 20_x000D_
PP 241/19 lote _x000D_
21.02.20 = Processo conferido, finalizado.</t>
        </r>
      </text>
    </comment>
    <comment ref="W260" authorId="0" shapeId="0" xr:uid="{7071E637-0808-4531-95A0-A587CAEBB8D3}">
      <text>
        <r>
          <rPr>
            <sz val="10"/>
            <color indexed="81"/>
            <rFont val="Lucida Console"/>
            <family val="3"/>
          </rPr>
          <t>_x000D_
DM-Elétrica</t>
        </r>
      </text>
    </comment>
    <comment ref="X260" authorId="0" shapeId="0" xr:uid="{125C0080-57AF-4B70-A358-87305DCC080C}">
      <text>
        <r>
          <rPr>
            <sz val="10"/>
            <color indexed="81"/>
            <rFont val="Lucida Console"/>
            <family val="3"/>
          </rPr>
          <t>_x000D_
EQUIP. MAT. P/ GERACAO, TRANSM. DISTR. RETIF...</t>
        </r>
      </text>
    </comment>
    <comment ref="Y260" authorId="0" shapeId="0" xr:uid="{12BD2F15-53DD-489C-8C9C-4C6E5CFD6493}">
      <text>
        <r>
          <rPr>
            <sz val="10"/>
            <color indexed="81"/>
            <rFont val="Lucida Console"/>
            <family val="3"/>
          </rPr>
          <t>_x000D_
DISJUNTORES</t>
        </r>
      </text>
    </comment>
    <comment ref="AW260" authorId="0" shapeId="0" xr:uid="{ACE7CE00-63B6-4915-A875-FAF18DEE8F5A}">
      <text>
        <r>
          <rPr>
            <sz val="10"/>
            <color indexed="81"/>
            <rFont val="Lucida Console"/>
            <family val="3"/>
          </rPr>
          <t>Tempo de Estoque (Meses)_x000D_
_x000D_
28,0</t>
        </r>
      </text>
    </comment>
    <comment ref="A261" authorId="0" shapeId="0" xr:uid="{D6FC97AC-C786-4F02-86FA-FAD12E162009}">
      <text>
        <r>
          <rPr>
            <sz val="10"/>
            <color indexed="81"/>
            <rFont val="Lucida Console"/>
            <family val="3"/>
          </rPr>
          <t>_x000D_
88732</t>
        </r>
      </text>
    </comment>
    <comment ref="B261" authorId="0" shapeId="0" xr:uid="{2F185450-436C-4CAD-B6B7-47E6CD968CB3}">
      <text>
        <r>
          <rPr>
            <sz val="10"/>
            <color indexed="81"/>
            <rFont val="Lucida Console"/>
            <family val="3"/>
          </rPr>
          <t>DESCRIÇÃO DETALHADA_x000D_
DISJUNTOR NORMA DIN CURVA C PADRAO, TRIPOLAR, 20 AMPERES</t>
        </r>
      </text>
    </comment>
    <comment ref="G261" authorId="0" shapeId="0" xr:uid="{D70F1D03-5E7F-463B-9774-96D1869073CF}">
      <text>
        <r>
          <rPr>
            <sz val="10"/>
            <color indexed="81"/>
            <rFont val="Lucida Console"/>
            <family val="3"/>
          </rPr>
          <t>_x000D_
Últ estimativa : 70_x000D_
Enviada em     : 23.09.2020_x000D_
Ata - Venc     : 17/20 - 29.01.2021</t>
        </r>
      </text>
    </comment>
    <comment ref="O261" authorId="0" shapeId="0" xr:uid="{F5B88FE9-0ED5-493B-93FE-1EA107035E97}">
      <text>
        <r>
          <rPr>
            <sz val="10"/>
            <color indexed="81"/>
            <rFont val="Lucida Console"/>
            <family val="3"/>
          </rPr>
          <t>_x000D_
Pertencia a ATA nº 17/20_x000D_
Estimativa de Renovação enviada em 23.09.2020 - Qtd 70_x000D_
PP 241/19 lote _x000D_
21.02.20 = Processo conferido, finalizado.</t>
        </r>
      </text>
    </comment>
    <comment ref="W261" authorId="0" shapeId="0" xr:uid="{08F95E93-BE61-4231-B09D-D07C8C48BF56}">
      <text>
        <r>
          <rPr>
            <sz val="10"/>
            <color indexed="81"/>
            <rFont val="Lucida Console"/>
            <family val="3"/>
          </rPr>
          <t>_x000D_
DM-Elétrica</t>
        </r>
      </text>
    </comment>
    <comment ref="X261" authorId="0" shapeId="0" xr:uid="{7E041056-D691-4F7B-AEA7-2176B3BF90A4}">
      <text>
        <r>
          <rPr>
            <sz val="10"/>
            <color indexed="81"/>
            <rFont val="Lucida Console"/>
            <family val="3"/>
          </rPr>
          <t>_x000D_
EQUIP. MAT. P/ GERACAO, TRANSM. DISTR. RETIF...</t>
        </r>
      </text>
    </comment>
    <comment ref="Y261" authorId="0" shapeId="0" xr:uid="{2B923807-7F04-4DBF-8AA0-6E9DEB459963}">
      <text>
        <r>
          <rPr>
            <sz val="10"/>
            <color indexed="81"/>
            <rFont val="Lucida Console"/>
            <family val="3"/>
          </rPr>
          <t>_x000D_
DISJUNTORES</t>
        </r>
      </text>
    </comment>
    <comment ref="AW261" authorId="0" shapeId="0" xr:uid="{EF52F4F0-8384-49AC-9E07-EFD1EA4C1ED2}">
      <text>
        <r>
          <rPr>
            <sz val="10"/>
            <color indexed="81"/>
            <rFont val="Lucida Console"/>
            <family val="3"/>
          </rPr>
          <t>Tempo de Estoque (Meses)_x000D_
_x000D_
34,0</t>
        </r>
      </text>
    </comment>
    <comment ref="A262" authorId="0" shapeId="0" xr:uid="{FD4D281D-A09C-4EFF-AACD-23E6EBA7F541}">
      <text>
        <r>
          <rPr>
            <sz val="10"/>
            <color indexed="81"/>
            <rFont val="Lucida Console"/>
            <family val="3"/>
          </rPr>
          <t>_x000D_
88733</t>
        </r>
      </text>
    </comment>
    <comment ref="B262" authorId="0" shapeId="0" xr:uid="{0000D736-30B1-408A-ABF7-979CDF466F6A}">
      <text>
        <r>
          <rPr>
            <sz val="10"/>
            <color indexed="81"/>
            <rFont val="Lucida Console"/>
            <family val="3"/>
          </rPr>
          <t>DESCRIÇÃO DETALHADA_x000D_
DISJUNTOR NORMA DIN CURVA C PADRAO, TRIPOLAR, 32 AMPERES</t>
        </r>
      </text>
    </comment>
    <comment ref="G262" authorId="0" shapeId="0" xr:uid="{ECAEF8D3-4040-44AC-A936-DC5682F1A85C}">
      <text>
        <r>
          <rPr>
            <sz val="10"/>
            <color indexed="81"/>
            <rFont val="Lucida Console"/>
            <family val="3"/>
          </rPr>
          <t>_x000D_
Últ estimativa : 50_x000D_
Enviada em     : 23.09.2020_x000D_
Ata - Venc     : 17/20 - 29.01.2021</t>
        </r>
      </text>
    </comment>
    <comment ref="O262" authorId="0" shapeId="0" xr:uid="{8F0BE7A1-96A0-4837-B3E6-974B33489435}">
      <text>
        <r>
          <rPr>
            <sz val="10"/>
            <color indexed="81"/>
            <rFont val="Lucida Console"/>
            <family val="3"/>
          </rPr>
          <t>_x000D_
Pertencia a ATA nº 17/20_x000D_
Estimativa de Renovação enviada em 23.09.2020 - Qtd 50_x000D_
PP 241/19 lote _x000D_
21.02.20 = Processo conferido, finalizado.</t>
        </r>
      </text>
    </comment>
    <comment ref="W262" authorId="0" shapeId="0" xr:uid="{890E1352-27FE-4ECC-B1D2-CBD95BFB7693}">
      <text>
        <r>
          <rPr>
            <sz val="10"/>
            <color indexed="81"/>
            <rFont val="Lucida Console"/>
            <family val="3"/>
          </rPr>
          <t>_x000D_
DM-Elétrica</t>
        </r>
      </text>
    </comment>
    <comment ref="X262" authorId="0" shapeId="0" xr:uid="{407108D5-9EC5-4CD3-A3B9-A1D16F1334C6}">
      <text>
        <r>
          <rPr>
            <sz val="10"/>
            <color indexed="81"/>
            <rFont val="Lucida Console"/>
            <family val="3"/>
          </rPr>
          <t>_x000D_
EQUIP. MAT. P/ GERACAO, TRANSM. DISTR. RETIF...</t>
        </r>
      </text>
    </comment>
    <comment ref="Y262" authorId="0" shapeId="0" xr:uid="{DF39B662-4693-42FF-8526-7F34C79BF48F}">
      <text>
        <r>
          <rPr>
            <sz val="10"/>
            <color indexed="81"/>
            <rFont val="Lucida Console"/>
            <family val="3"/>
          </rPr>
          <t>_x000D_
DISJUNTORES</t>
        </r>
      </text>
    </comment>
    <comment ref="AW262" authorId="0" shapeId="0" xr:uid="{A115FE6C-8C36-4FD1-A19B-652AD79BD4D3}">
      <text>
        <r>
          <rPr>
            <sz val="10"/>
            <color indexed="81"/>
            <rFont val="Lucida Console"/>
            <family val="3"/>
          </rPr>
          <t>Tempo de Estoque (Meses)_x000D_
_x000D_
20,0</t>
        </r>
      </text>
    </comment>
    <comment ref="A263" authorId="0" shapeId="0" xr:uid="{A8A61216-69C3-4248-AD57-513C53EFA9F7}">
      <text>
        <r>
          <rPr>
            <sz val="10"/>
            <color indexed="81"/>
            <rFont val="Lucida Console"/>
            <family val="3"/>
          </rPr>
          <t>_x000D_
88734</t>
        </r>
      </text>
    </comment>
    <comment ref="B263" authorId="0" shapeId="0" xr:uid="{DAC3374E-25BD-4F4A-860C-B11EC6EE416C}">
      <text>
        <r>
          <rPr>
            <sz val="10"/>
            <color indexed="81"/>
            <rFont val="Lucida Console"/>
            <family val="3"/>
          </rPr>
          <t>DESCRIÇÃO DETALHADA_x000D_
DISJUNTOR NORMA DIN CURVA C PADRAO, TRIPOLAR, 40 AMPERES</t>
        </r>
      </text>
    </comment>
    <comment ref="G263" authorId="0" shapeId="0" xr:uid="{78F4DDA3-D4D8-4B8D-A6F4-C5ACA6FAF894}">
      <text>
        <r>
          <rPr>
            <sz val="10"/>
            <color indexed="81"/>
            <rFont val="Lucida Console"/>
            <family val="3"/>
          </rPr>
          <t>_x000D_
Últ estimativa : 0_x000D_
Enviada em     : 23.09.2020_x000D_
Ata - Venc     : 17/20 - 29.01.2021</t>
        </r>
      </text>
    </comment>
    <comment ref="O263" authorId="0" shapeId="0" xr:uid="{FB0ECD30-4070-49C8-9D5F-8EC412DBE205}">
      <text>
        <r>
          <rPr>
            <sz val="10"/>
            <color indexed="81"/>
            <rFont val="Lucida Console"/>
            <family val="3"/>
          </rPr>
          <t>_x000D_
Pertencia a ATA nº 17/20_x000D_
Estimativa de Renovação enviada em 23.09.2020 - Qtd _x000D_
PP 241/19 lote _x000D_
21.02.20 = Processo conferido, finalizado.</t>
        </r>
      </text>
    </comment>
    <comment ref="W263" authorId="0" shapeId="0" xr:uid="{340F18D1-0C58-4168-AE7F-6CF12339916B}">
      <text>
        <r>
          <rPr>
            <sz val="10"/>
            <color indexed="81"/>
            <rFont val="Lucida Console"/>
            <family val="3"/>
          </rPr>
          <t>_x000D_
DM-Elétrica</t>
        </r>
      </text>
    </comment>
    <comment ref="X263" authorId="0" shapeId="0" xr:uid="{C04DC88B-DAC8-49E2-B8CD-C46A86760E15}">
      <text>
        <r>
          <rPr>
            <sz val="10"/>
            <color indexed="81"/>
            <rFont val="Lucida Console"/>
            <family val="3"/>
          </rPr>
          <t>_x000D_
EQUIP. MAT. P/ GERACAO, TRANSM. DISTR. RETIF...</t>
        </r>
      </text>
    </comment>
    <comment ref="Y263" authorId="0" shapeId="0" xr:uid="{15564404-4F63-4100-8DBE-1117D6207720}">
      <text>
        <r>
          <rPr>
            <sz val="10"/>
            <color indexed="81"/>
            <rFont val="Lucida Console"/>
            <family val="3"/>
          </rPr>
          <t>_x000D_
DISJUNTORES</t>
        </r>
      </text>
    </comment>
    <comment ref="AW263" authorId="0" shapeId="0" xr:uid="{BE5F3ACF-5393-4214-9BF9-1359BE5E7955}">
      <text>
        <r>
          <rPr>
            <sz val="10"/>
            <color indexed="81"/>
            <rFont val="Lucida Console"/>
            <family val="3"/>
          </rPr>
          <t>Tempo de Estoque (Meses)_x000D_
_x000D_
44,0</t>
        </r>
      </text>
    </comment>
    <comment ref="A264" authorId="0" shapeId="0" xr:uid="{93C2815E-A843-4625-8C37-A9EC729AE574}">
      <text>
        <r>
          <rPr>
            <sz val="10"/>
            <color indexed="81"/>
            <rFont val="Lucida Console"/>
            <family val="3"/>
          </rPr>
          <t>_x000D_
88735</t>
        </r>
      </text>
    </comment>
    <comment ref="B264" authorId="0" shapeId="0" xr:uid="{7D6A16AC-BF2B-4191-8597-A4BD81931921}">
      <text>
        <r>
          <rPr>
            <sz val="10"/>
            <color indexed="81"/>
            <rFont val="Lucida Console"/>
            <family val="3"/>
          </rPr>
          <t>DESCRIÇÃO DETALHADA_x000D_
DISJUNTOR NORMA DIN CURVA C PADRAO, TRIPOLAR, 50 AMPERES</t>
        </r>
      </text>
    </comment>
    <comment ref="G264" authorId="0" shapeId="0" xr:uid="{3D1CB9F0-7502-4528-B9EB-A2FF974A4166}">
      <text>
        <r>
          <rPr>
            <sz val="10"/>
            <color indexed="81"/>
            <rFont val="Lucida Console"/>
            <family val="3"/>
          </rPr>
          <t>_x000D_
Últ estimativa : 30_x000D_
Enviada em     : 23.09.2020_x000D_
Ata - Venc     : 17/20 - 29.01.2021</t>
        </r>
      </text>
    </comment>
    <comment ref="O264" authorId="0" shapeId="0" xr:uid="{1A02C192-21C9-49F3-BA4D-BFADED16D634}">
      <text>
        <r>
          <rPr>
            <sz val="10"/>
            <color indexed="81"/>
            <rFont val="Lucida Console"/>
            <family val="3"/>
          </rPr>
          <t>_x000D_
Pertencia a ATA nº 17/20_x000D_
Estimativa de Renovação enviada em 23.09.2020 - Qtd 30_x000D_
PP 241/19 lote _x000D_
21.02.20 = Processo conferido, finalizado.</t>
        </r>
      </text>
    </comment>
    <comment ref="W264" authorId="0" shapeId="0" xr:uid="{FFCD6137-2D30-4AEC-941E-143590EB292F}">
      <text>
        <r>
          <rPr>
            <sz val="10"/>
            <color indexed="81"/>
            <rFont val="Lucida Console"/>
            <family val="3"/>
          </rPr>
          <t>_x000D_
DM-Elétrica</t>
        </r>
      </text>
    </comment>
    <comment ref="X264" authorId="0" shapeId="0" xr:uid="{6026C057-C4DF-44C0-8B9B-0D2AFDB4BABF}">
      <text>
        <r>
          <rPr>
            <sz val="10"/>
            <color indexed="81"/>
            <rFont val="Lucida Console"/>
            <family val="3"/>
          </rPr>
          <t>_x000D_
EQUIP. MAT. P/ GERACAO, TRANSM. DISTR. RETIF...</t>
        </r>
      </text>
    </comment>
    <comment ref="Y264" authorId="0" shapeId="0" xr:uid="{27B1DB56-A92B-42B6-8939-7696D6CD7994}">
      <text>
        <r>
          <rPr>
            <sz val="10"/>
            <color indexed="81"/>
            <rFont val="Lucida Console"/>
            <family val="3"/>
          </rPr>
          <t>_x000D_
DISJUNTORES</t>
        </r>
      </text>
    </comment>
    <comment ref="AW264" authorId="0" shapeId="0" xr:uid="{D9C8087D-7C43-4990-9E30-BDFCEE337AD4}">
      <text>
        <r>
          <rPr>
            <sz val="10"/>
            <color indexed="81"/>
            <rFont val="Lucida Console"/>
            <family val="3"/>
          </rPr>
          <t>Tempo de Estoque (Meses)_x000D_
_x000D_
91,0</t>
        </r>
      </text>
    </comment>
    <comment ref="A265" authorId="0" shapeId="0" xr:uid="{8870CB2C-C993-406F-B9F4-94502D3684DE}">
      <text>
        <r>
          <rPr>
            <sz val="10"/>
            <color indexed="81"/>
            <rFont val="Lucida Console"/>
            <family val="3"/>
          </rPr>
          <t>_x000D_
88747</t>
        </r>
      </text>
    </comment>
    <comment ref="B265" authorId="0" shapeId="0" xr:uid="{AAA3B99F-E214-4BD7-98A1-94A83E80AEEF}">
      <text>
        <r>
          <rPr>
            <sz val="10"/>
            <color indexed="81"/>
            <rFont val="Lucida Console"/>
            <family val="3"/>
          </rPr>
          <t>DESCRIÇÃO DETALHADA_x000D_
DISJUNTOR NORMA DIN CURVA C PADRAO, TRIPOLAR, 125 AMPERES</t>
        </r>
      </text>
    </comment>
    <comment ref="G265" authorId="0" shapeId="0" xr:uid="{33745D93-4C49-4689-9583-EAED1C1B3C89}">
      <text>
        <r>
          <rPr>
            <sz val="10"/>
            <color indexed="81"/>
            <rFont val="Lucida Console"/>
            <family val="3"/>
          </rPr>
          <t>_x000D_
Últ estimativa : 0_x000D_
Enviada em     : 23.09.2020_x000D_
Ata - Venc     : 17/20 - 29.01.2021</t>
        </r>
      </text>
    </comment>
    <comment ref="O265" authorId="0" shapeId="0" xr:uid="{ACE87195-1386-4DC6-A5ED-E9ED602979FA}">
      <text>
        <r>
          <rPr>
            <sz val="10"/>
            <color indexed="81"/>
            <rFont val="Lucida Console"/>
            <family val="3"/>
          </rPr>
          <t>_x000D_
Pertencia a ATA nº 17/20_x000D_
Estimativa de Renovação enviada em 23.09.2020 - Qtd _x000D_
PP 241/19 lote _x000D_
21.02.20 = Processo conferido, finalizado.</t>
        </r>
      </text>
    </comment>
    <comment ref="W265" authorId="0" shapeId="0" xr:uid="{B333CBF3-0154-4983-96E7-127B3969C1BA}">
      <text>
        <r>
          <rPr>
            <sz val="10"/>
            <color indexed="81"/>
            <rFont val="Lucida Console"/>
            <family val="3"/>
          </rPr>
          <t>_x000D_
DM-Elétrica</t>
        </r>
      </text>
    </comment>
    <comment ref="X265" authorId="0" shapeId="0" xr:uid="{319C7B88-D861-46E8-8CEB-60ED8D3D8C98}">
      <text>
        <r>
          <rPr>
            <sz val="10"/>
            <color indexed="81"/>
            <rFont val="Lucida Console"/>
            <family val="3"/>
          </rPr>
          <t>_x000D_
EQUIP. MAT. P/ GERACAO, TRANSM. DISTR. RETIF...</t>
        </r>
      </text>
    </comment>
    <comment ref="Y265" authorId="0" shapeId="0" xr:uid="{DD04930E-6B62-4BC0-9C50-4FC0F1AD884D}">
      <text>
        <r>
          <rPr>
            <sz val="10"/>
            <color indexed="81"/>
            <rFont val="Lucida Console"/>
            <family val="3"/>
          </rPr>
          <t>_x000D_
DISJUNTORES</t>
        </r>
      </text>
    </comment>
    <comment ref="AW265" authorId="0" shapeId="0" xr:uid="{D4BFA761-9F7E-4CC2-AA13-04D32DFDD59F}">
      <text>
        <r>
          <rPr>
            <sz val="10"/>
            <color indexed="81"/>
            <rFont val="Lucida Console"/>
            <family val="3"/>
          </rPr>
          <t>Tempo de Estoque (Meses)_x000D_
_x000D_
5,0</t>
        </r>
      </text>
    </comment>
    <comment ref="A266" authorId="0" shapeId="0" xr:uid="{B922F645-E0AC-4742-A63A-BA6882F1FD2E}">
      <text>
        <r>
          <rPr>
            <sz val="10"/>
            <color indexed="81"/>
            <rFont val="Lucida Console"/>
            <family val="3"/>
          </rPr>
          <t>_x000D_
102819</t>
        </r>
      </text>
    </comment>
    <comment ref="B266" authorId="0" shapeId="0" xr:uid="{2F2C7AC6-3407-41CE-9310-51D63FC8F5BE}">
      <text>
        <r>
          <rPr>
            <sz val="10"/>
            <color indexed="81"/>
            <rFont val="Lucida Console"/>
            <family val="3"/>
          </rPr>
          <t>DESCRIÇÃO DETALHADA_x000D_
DISJUNTOR TRIPOLAR IN = 150A, TENSAO MINIMA DE OPERACAO 240V, CURVA C, NBR 60947-2 - CATEGORIA "A"</t>
        </r>
      </text>
    </comment>
    <comment ref="G266" authorId="0" shapeId="0" xr:uid="{EC9F748A-55D1-4D63-AFD0-C6E566B52550}">
      <text>
        <r>
          <rPr>
            <sz val="10"/>
            <color indexed="81"/>
            <rFont val="Lucida Console"/>
            <family val="3"/>
          </rPr>
          <t>_x000D_
Últ estimativa : 5_x000D_
Enviada em     : 23.09.2020_x000D_
Ata - Venc     : 17/20 - 29.01.2021</t>
        </r>
      </text>
    </comment>
    <comment ref="O266" authorId="0" shapeId="0" xr:uid="{AE7C74F7-F088-4C7C-8C64-9520EFB2B4FD}">
      <text>
        <r>
          <rPr>
            <sz val="10"/>
            <color indexed="81"/>
            <rFont val="Lucida Console"/>
            <family val="3"/>
          </rPr>
          <t>_x000D_
Pertencia a ATA nº 17/20_x000D_
Estimativa de Renovação enviada em 23.09.2020 - Qtd 5_x000D_
PP 241/19 lote _x000D_
21.02.20 = Processo conferido, finalizado.</t>
        </r>
      </text>
    </comment>
    <comment ref="W266" authorId="0" shapeId="0" xr:uid="{6380462C-7987-463D-815C-4BFEC5F9F16E}">
      <text>
        <r>
          <rPr>
            <sz val="10"/>
            <color indexed="81"/>
            <rFont val="Lucida Console"/>
            <family val="3"/>
          </rPr>
          <t>_x000D_
DM-Elétrica</t>
        </r>
      </text>
    </comment>
    <comment ref="X266" authorId="0" shapeId="0" xr:uid="{DB066EC2-0837-4104-8C2F-839F95073E49}">
      <text>
        <r>
          <rPr>
            <sz val="10"/>
            <color indexed="81"/>
            <rFont val="Lucida Console"/>
            <family val="3"/>
          </rPr>
          <t>_x000D_
EQUIP. MAT. P/ GERACAO, TRANSM. DISTR. RETIF...</t>
        </r>
      </text>
    </comment>
    <comment ref="Y266" authorId="0" shapeId="0" xr:uid="{39C3D0A2-1FFB-411A-8110-FE637BAD8C36}">
      <text>
        <r>
          <rPr>
            <sz val="10"/>
            <color indexed="81"/>
            <rFont val="Lucida Console"/>
            <family val="3"/>
          </rPr>
          <t>_x000D_
DISJUNTORES</t>
        </r>
      </text>
    </comment>
    <comment ref="AW266" authorId="0" shapeId="0" xr:uid="{62A5AC13-E54A-4DCA-A927-6AFFE60A8944}">
      <text>
        <r>
          <rPr>
            <sz val="10"/>
            <color indexed="81"/>
            <rFont val="Lucida Console"/>
            <family val="3"/>
          </rPr>
          <t>Tempo de Estoque (Meses)_x000D_
_x000D_
5,0</t>
        </r>
      </text>
    </comment>
    <comment ref="A267" authorId="0" shapeId="0" xr:uid="{C2249FC0-8D28-43D9-A4BC-D8EC17557E80}">
      <text>
        <r>
          <rPr>
            <sz val="10"/>
            <color indexed="81"/>
            <rFont val="Lucida Console"/>
            <family val="3"/>
          </rPr>
          <t>_x000D_
110771</t>
        </r>
      </text>
    </comment>
    <comment ref="B267" authorId="0" shapeId="0" xr:uid="{F02F6E8A-4D00-4551-A413-C855E5C956C1}">
      <text>
        <r>
          <rPr>
            <sz val="10"/>
            <color indexed="81"/>
            <rFont val="Lucida Console"/>
            <family val="3"/>
          </rPr>
          <t>DESCRIÇÃO DETALHADA_x000D_
DISJUNTOR NORMA DIN, CURVA C PADRAO, BIPOLAR - 25 AMPERES</t>
        </r>
      </text>
    </comment>
    <comment ref="G267" authorId="0" shapeId="0" xr:uid="{C2FDB6C2-72C3-4FAF-ADDC-471DF784D230}">
      <text>
        <r>
          <rPr>
            <sz val="10"/>
            <color indexed="81"/>
            <rFont val="Lucida Console"/>
            <family val="3"/>
          </rPr>
          <t>_x000D_
Últ estimativa : 150_x000D_
Enviada em     : 23.09.2020_x000D_
Ata - Venc     : 17/20 - 29.01.2021</t>
        </r>
      </text>
    </comment>
    <comment ref="O267" authorId="0" shapeId="0" xr:uid="{57654D14-5927-4E22-8FF7-A4D30AAE25EF}">
      <text>
        <r>
          <rPr>
            <sz val="10"/>
            <color indexed="81"/>
            <rFont val="Lucida Console"/>
            <family val="3"/>
          </rPr>
          <t>_x000D_
Pertencia a ATA nº 17/20_x000D_
Estimativa de Renovação enviada em 23.09.2020 - Qtd 150_x000D_
PP 241/19 lote _x000D_
21.02.20 = Processo conferido, finalizado.</t>
        </r>
      </text>
    </comment>
    <comment ref="W267" authorId="0" shapeId="0" xr:uid="{2A2BAEA7-D167-4994-B982-0C72FD68354B}">
      <text>
        <r>
          <rPr>
            <sz val="10"/>
            <color indexed="81"/>
            <rFont val="Lucida Console"/>
            <family val="3"/>
          </rPr>
          <t>_x000D_
DM-Elétrica</t>
        </r>
      </text>
    </comment>
    <comment ref="X267" authorId="0" shapeId="0" xr:uid="{DD107186-B840-4489-A93F-7923DE826156}">
      <text>
        <r>
          <rPr>
            <sz val="10"/>
            <color indexed="81"/>
            <rFont val="Lucida Console"/>
            <family val="3"/>
          </rPr>
          <t>_x000D_
EQUIP. MAT. P/ GERACAO, TRANSM. DISTR. RETIF...</t>
        </r>
      </text>
    </comment>
    <comment ref="Y267" authorId="0" shapeId="0" xr:uid="{BF3AA097-1771-4091-A17A-BF84F17536A1}">
      <text>
        <r>
          <rPr>
            <sz val="10"/>
            <color indexed="81"/>
            <rFont val="Lucida Console"/>
            <family val="3"/>
          </rPr>
          <t>_x000D_
DISJUNTORES</t>
        </r>
      </text>
    </comment>
    <comment ref="AW267" authorId="0" shapeId="0" xr:uid="{409315FD-02FF-4045-B2DC-622E1011ACD8}">
      <text>
        <r>
          <rPr>
            <sz val="10"/>
            <color indexed="81"/>
            <rFont val="Lucida Console"/>
            <family val="3"/>
          </rPr>
          <t>Tempo de Estoque (Meses)_x000D_
_x000D_
60,0</t>
        </r>
      </text>
    </comment>
    <comment ref="A268" authorId="0" shapeId="0" xr:uid="{7746B5C9-B4B2-4880-A556-83B2DB9F7AD7}">
      <text>
        <r>
          <rPr>
            <sz val="10"/>
            <color indexed="81"/>
            <rFont val="Lucida Console"/>
            <family val="3"/>
          </rPr>
          <t>_x000D_
110888</t>
        </r>
      </text>
    </comment>
    <comment ref="B268" authorId="0" shapeId="0" xr:uid="{F631AA4E-FEAD-4DA1-A278-B11DA082CD48}">
      <text>
        <r>
          <rPr>
            <sz val="10"/>
            <color indexed="81"/>
            <rFont val="Lucida Console"/>
            <family val="3"/>
          </rPr>
          <t>DESCRIÇÃO DETALHADA_x000D_
DISJUNTOR TRIPOLAR IN = 225 A, TENSAO MINIMA DE OPERACAO 240V, CURVA C, NBR 60947-2 - CATEGORIA "A"</t>
        </r>
      </text>
    </comment>
    <comment ref="G268" authorId="0" shapeId="0" xr:uid="{27802249-29C9-4A0D-95F8-8D67112EA541}">
      <text>
        <r>
          <rPr>
            <sz val="10"/>
            <color indexed="81"/>
            <rFont val="Lucida Console"/>
            <family val="3"/>
          </rPr>
          <t>_x000D_
Últ estimativa : 0_x000D_
Enviada em     : 23.09.2020_x000D_
Ata - Venc     : 17/20 - 29.01.2021</t>
        </r>
      </text>
    </comment>
    <comment ref="O268" authorId="0" shapeId="0" xr:uid="{9C960F98-A41E-4EFC-8C3E-6E3FB3854106}">
      <text>
        <r>
          <rPr>
            <sz val="10"/>
            <color indexed="81"/>
            <rFont val="Lucida Console"/>
            <family val="3"/>
          </rPr>
          <t>_x000D_
Pertencia a ATA nº 17/20_x000D_
Estimativa de Renovação enviada em 23.09.2020 - Qtd _x000D_
PP 241/19 lote _x000D_
21.02.20 = Processo conferido, finalizado.</t>
        </r>
      </text>
    </comment>
    <comment ref="W268" authorId="0" shapeId="0" xr:uid="{E4658CD6-83BE-486A-AF19-D15E47AD545C}">
      <text>
        <r>
          <rPr>
            <sz val="10"/>
            <color indexed="81"/>
            <rFont val="Lucida Console"/>
            <family val="3"/>
          </rPr>
          <t>_x000D_
DM-Elétrica</t>
        </r>
      </text>
    </comment>
    <comment ref="X268" authorId="0" shapeId="0" xr:uid="{C295FBD8-ED1D-4779-90D9-0D8D968D33D4}">
      <text>
        <r>
          <rPr>
            <sz val="10"/>
            <color indexed="81"/>
            <rFont val="Lucida Console"/>
            <family val="3"/>
          </rPr>
          <t>_x000D_
EQUIP. MAT. P/ GERACAO, TRANSM. DISTR. RETIF...</t>
        </r>
      </text>
    </comment>
    <comment ref="Y268" authorId="0" shapeId="0" xr:uid="{E40995A2-35E7-4AA7-866B-52D14EB00B3E}">
      <text>
        <r>
          <rPr>
            <sz val="10"/>
            <color indexed="81"/>
            <rFont val="Lucida Console"/>
            <family val="3"/>
          </rPr>
          <t>_x000D_
DISJUNTORES</t>
        </r>
      </text>
    </comment>
    <comment ref="AW268" authorId="0" shapeId="0" xr:uid="{A680B7C3-6C53-49B0-93A2-E3CFB8401422}">
      <text>
        <r>
          <rPr>
            <sz val="10"/>
            <color indexed="81"/>
            <rFont val="Lucida Console"/>
            <family val="3"/>
          </rPr>
          <t>Tempo de Estoque (Meses)_x000D_
_x000D_
2,0</t>
        </r>
      </text>
    </comment>
    <comment ref="A269" authorId="0" shapeId="0" xr:uid="{17A1FBA9-4E0D-4A3F-B156-DE42E57C129B}">
      <text>
        <r>
          <rPr>
            <sz val="10"/>
            <color indexed="81"/>
            <rFont val="Lucida Console"/>
            <family val="3"/>
          </rPr>
          <t>_x000D_
15167</t>
        </r>
      </text>
    </comment>
    <comment ref="B269" authorId="0" shapeId="0" xr:uid="{AE82A036-8684-4BC2-863B-7B9C043447A6}">
      <text>
        <r>
          <rPr>
            <sz val="10"/>
            <color indexed="81"/>
            <rFont val="Lucida Console"/>
            <family val="3"/>
          </rPr>
          <t>DESCRIÇÃO DETALHADA_x000D_
LUMINARIA FECHADA TIPO CALHA P/ LAMPADA FLUORESCENTE 2 X 40W</t>
        </r>
      </text>
    </comment>
    <comment ref="G269" authorId="0" shapeId="0" xr:uid="{282EEB14-3724-4C06-A016-D7B5E12FA228}">
      <text>
        <r>
          <rPr>
            <sz val="10"/>
            <color indexed="81"/>
            <rFont val="Lucida Console"/>
            <family val="3"/>
          </rPr>
          <t>_x000D_
Últ estimativa : 500_x000D_
Enviada em     : 23.09.2020_x000D_
Ata - Venc     : 17/20 - 29.01.2021</t>
        </r>
      </text>
    </comment>
    <comment ref="O269" authorId="0" shapeId="0" xr:uid="{632851CB-B317-4B26-9709-60FD3325648B}">
      <text>
        <r>
          <rPr>
            <sz val="10"/>
            <color indexed="81"/>
            <rFont val="Lucida Console"/>
            <family val="3"/>
          </rPr>
          <t>_x000D_
Pertencia a ATA nº 17/20_x000D_
Estimativa de Renovação enviada em 23.09.2020 - Qtd 500_x000D_
PP 241/19 lote _x000D_
21.02.20 = Processo conferido, finalizado.</t>
        </r>
      </text>
    </comment>
    <comment ref="W269" authorId="0" shapeId="0" xr:uid="{4277E588-480C-4261-B318-6DC3F7DD18B0}">
      <text>
        <r>
          <rPr>
            <sz val="10"/>
            <color indexed="81"/>
            <rFont val="Lucida Console"/>
            <family val="3"/>
          </rPr>
          <t>_x000D_
DM-Elétrica</t>
        </r>
      </text>
    </comment>
    <comment ref="X269" authorId="0" shapeId="0" xr:uid="{5FBC9C9F-39ED-44CD-81B9-654C968311D2}">
      <text>
        <r>
          <rPr>
            <sz val="10"/>
            <color indexed="81"/>
            <rFont val="Lucida Console"/>
            <family val="3"/>
          </rPr>
          <t>_x000D_
EQUIP. MAT. P/ GERACAO, TRANSM. DISTR. RETIF...</t>
        </r>
      </text>
    </comment>
    <comment ref="Y269" authorId="0" shapeId="0" xr:uid="{C74A071F-7AB1-48BB-9E74-D5A123BB0D6D}">
      <text>
        <r>
          <rPr>
            <sz val="10"/>
            <color indexed="81"/>
            <rFont val="Lucida Console"/>
            <family val="3"/>
          </rPr>
          <t>_x000D_
LUMINARIAS E PROJETORES COM EQUIPAMENTO</t>
        </r>
      </text>
    </comment>
    <comment ref="AW269" authorId="0" shapeId="0" xr:uid="{68DCD96F-7E65-416A-A280-C63CA3C267D5}">
      <text>
        <r>
          <rPr>
            <sz val="10"/>
            <color indexed="81"/>
            <rFont val="Lucida Console"/>
            <family val="3"/>
          </rPr>
          <t>Tempo de Estoque (Meses)_x000D_
_x000D_
1.390,0</t>
        </r>
      </text>
    </comment>
    <comment ref="A270" authorId="0" shapeId="0" xr:uid="{60FA80BF-9A4C-4ABC-B3D8-A11C9E369A2D}">
      <text>
        <r>
          <rPr>
            <sz val="10"/>
            <color indexed="81"/>
            <rFont val="Lucida Console"/>
            <family val="3"/>
          </rPr>
          <t>_x000D_
127384</t>
        </r>
      </text>
    </comment>
    <comment ref="B270" authorId="0" shapeId="0" xr:uid="{3CBD2EEE-49BA-4D2D-A256-11CDF5359735}">
      <text>
        <r>
          <rPr>
            <sz val="10"/>
            <color indexed="81"/>
            <rFont val="Lucida Console"/>
            <family val="3"/>
          </rPr>
          <t>DESCRIÇÃO DETALHADA_x000D_
MANTA ASFALTICA, AUTO ADESIVA - MEDIDAS: 10CM DE LARGURA X 10 M DE COMPRIMENTO</t>
        </r>
      </text>
    </comment>
    <comment ref="G270" authorId="0" shapeId="0" xr:uid="{161D4179-7FEA-4DB4-AC52-00A0EA4F8230}">
      <text>
        <r>
          <rPr>
            <sz val="10"/>
            <color indexed="81"/>
            <rFont val="Lucida Console"/>
            <family val="3"/>
          </rPr>
          <t>_x000D_
Últ estimativa : 100_x000D_
Enviada em     : 22.04.2021_x000D_
Ata - Venc     : 173/21 - 22.08.2022</t>
        </r>
      </text>
    </comment>
    <comment ref="O270" authorId="0" shapeId="0" xr:uid="{8FBA4567-8F22-4D2C-B355-16F08723B806}">
      <text>
        <r>
          <rPr>
            <sz val="10"/>
            <color indexed="81"/>
            <rFont val="Lucida Console"/>
            <family val="3"/>
          </rPr>
          <t xml:space="preserve">_x000D_
Pertencia a ATA nº 173/21_x000D_
Estimativa de Renovação enviada em 22.04.2021 - Qtd 100_x000D_
PE 120/21 lote _x000D_
 = </t>
        </r>
      </text>
    </comment>
    <comment ref="W270" authorId="0" shapeId="0" xr:uid="{33AFC021-0CD4-42FC-A083-BE750F35FE1C}">
      <text>
        <r>
          <rPr>
            <sz val="10"/>
            <color indexed="81"/>
            <rFont val="Lucida Console"/>
            <family val="3"/>
          </rPr>
          <t>_x000D_
DM-Construção</t>
        </r>
      </text>
    </comment>
    <comment ref="X270" authorId="0" shapeId="0" xr:uid="{E3D32483-E707-4988-969F-931EC33F124B}">
      <text>
        <r>
          <rPr>
            <sz val="10"/>
            <color indexed="81"/>
            <rFont val="Lucida Console"/>
            <family val="3"/>
          </rPr>
          <t>_x000D_
MAT.E EQUIP. P/ CONSTR.CIVIL E CONSERV. DE VIAS PUBL.</t>
        </r>
      </text>
    </comment>
    <comment ref="Y270" authorId="0" shapeId="0" xr:uid="{D6DE7DB6-CDAD-41E7-A522-DB779131CBDC}">
      <text>
        <r>
          <rPr>
            <sz val="10"/>
            <color indexed="81"/>
            <rFont val="Lucida Console"/>
            <family val="3"/>
          </rPr>
          <t>_x000D_
IMPERMEABILIZANTES, ADITIVOS E ADESIVOS</t>
        </r>
      </text>
    </comment>
    <comment ref="AW270" authorId="0" shapeId="0" xr:uid="{74E53A2E-3AEC-424A-BC5C-DFA2A0708814}">
      <text>
        <r>
          <rPr>
            <sz val="10"/>
            <color indexed="81"/>
            <rFont val="Lucida Console"/>
            <family val="3"/>
          </rPr>
          <t>Tempo de Estoque (Meses)_x000D_
_x000D_
258,0</t>
        </r>
      </text>
    </comment>
    <comment ref="A271" authorId="0" shapeId="0" xr:uid="{D74310E4-DDEF-4520-9E12-8BB8B8A4A6CF}">
      <text>
        <r>
          <rPr>
            <sz val="10"/>
            <color indexed="81"/>
            <rFont val="Lucida Console"/>
            <family val="3"/>
          </rPr>
          <t>_x000D_
14001</t>
        </r>
      </text>
    </comment>
    <comment ref="B271" authorId="0" shapeId="0" xr:uid="{F39CE29B-4D0A-4B34-8903-19A2484AED23}">
      <text>
        <r>
          <rPr>
            <sz val="10"/>
            <color indexed="81"/>
            <rFont val="Lucida Console"/>
            <family val="3"/>
          </rPr>
          <t>DESCRIÇÃO DETALHADA_x000D_
MASSA CORRIDA PVA - LATA C/ 18 LITROS</t>
        </r>
      </text>
    </comment>
    <comment ref="G271" authorId="0" shapeId="0" xr:uid="{5D17FB72-86BB-4F0A-8FF1-2D338020F605}">
      <text>
        <r>
          <rPr>
            <sz val="10"/>
            <color indexed="81"/>
            <rFont val="Lucida Console"/>
            <family val="3"/>
          </rPr>
          <t>_x000D_
Últ estimativa : 700_x000D_
Enviada em     : 22.04.2021_x000D_
Ata - Venc     : 174/20 - 16.08.2021</t>
        </r>
      </text>
    </comment>
    <comment ref="O271" authorId="0" shapeId="0" xr:uid="{09DF0B2B-68B2-4AF7-A033-E538C2B323BA}">
      <text>
        <r>
          <rPr>
            <sz val="10"/>
            <color indexed="81"/>
            <rFont val="Lucida Console"/>
            <family val="3"/>
          </rPr>
          <t>_x000D_
Pertencia a ATA nº 174/20_x000D_
Estimativa de Renovação enviada em 22.04.2021 - Qtd 700_x000D_
PE  99/20 lote 1_x000D_
03.08.20 = Finalizado</t>
        </r>
      </text>
    </comment>
    <comment ref="W271" authorId="0" shapeId="0" xr:uid="{ABA2BB56-8DE3-496D-85A5-F3C9912B08E9}">
      <text>
        <r>
          <rPr>
            <sz val="10"/>
            <color indexed="81"/>
            <rFont val="Lucida Console"/>
            <family val="3"/>
          </rPr>
          <t>_x000D_
DM-Construção</t>
        </r>
      </text>
    </comment>
    <comment ref="X271" authorId="0" shapeId="0" xr:uid="{F4CD4460-C5E5-4B96-8E97-9B1A5E8C0820}">
      <text>
        <r>
          <rPr>
            <sz val="10"/>
            <color indexed="81"/>
            <rFont val="Lucida Console"/>
            <family val="3"/>
          </rPr>
          <t>_x000D_
MAT.E EQUIP. P/ CONSTR.CIVIL E CONSERV. DE VIAS PUBL.</t>
        </r>
      </text>
    </comment>
    <comment ref="Y271" authorId="0" shapeId="0" xr:uid="{DB6D34F4-BAB1-4FFC-807F-F7062C000A1E}">
      <text>
        <r>
          <rPr>
            <sz val="10"/>
            <color indexed="81"/>
            <rFont val="Lucida Console"/>
            <family val="3"/>
          </rPr>
          <t>_x000D_
CIMENTO, CAL E GESSO</t>
        </r>
      </text>
    </comment>
    <comment ref="AC271" authorId="0" shapeId="0" xr:uid="{14A3CB67-B1EF-4B16-B882-FBD0546C68E5}">
      <text>
        <r>
          <rPr>
            <sz val="10"/>
            <color indexed="81"/>
            <rFont val="Lucida Console"/>
            <family val="3"/>
          </rPr>
          <t>_x000D_
AF 11.593/23 | Vc 18.10.2023 | Saldo    800 | CHRISPIN PINTOR TINTAS COMERCIO E SERVICOS LTDA ( 119818 )</t>
        </r>
      </text>
    </comment>
    <comment ref="AG271" authorId="0" shapeId="0" xr:uid="{C687B86D-3A9E-4AB8-8718-03EB9F4E9D15}">
      <text>
        <r>
          <rPr>
            <sz val="10"/>
            <color indexed="81"/>
            <rFont val="Lucida Console"/>
            <family val="3"/>
          </rPr>
          <t>_x000D_
AF 11.593/23 | Vc 18.10.2023 | Saldo    800 | CHRISPIN PINTOR TINTAS COMERCIO E SERVICOS LTDA ( 119818 )</t>
        </r>
      </text>
    </comment>
    <comment ref="AW271" authorId="0" shapeId="0" xr:uid="{7ED5FEF4-5776-49F8-B364-8FAFBF47B6A4}">
      <text>
        <r>
          <rPr>
            <sz val="10"/>
            <color indexed="81"/>
            <rFont val="Lucida Console"/>
            <family val="3"/>
          </rPr>
          <t>Tempo de Estoque (Meses)_x000D_
_x000D_
800,0</t>
        </r>
      </text>
    </comment>
    <comment ref="A272" authorId="0" shapeId="0" xr:uid="{23CC304A-40E4-449D-91D9-5331EBBF2DAB}">
      <text>
        <r>
          <rPr>
            <sz val="10"/>
            <color indexed="81"/>
            <rFont val="Lucida Console"/>
            <family val="3"/>
          </rPr>
          <t>_x000D_
27353</t>
        </r>
      </text>
    </comment>
    <comment ref="B272" authorId="0" shapeId="0" xr:uid="{6F7B0233-39C4-4867-9A20-539D73FC3559}">
      <text>
        <r>
          <rPr>
            <sz val="10"/>
            <color indexed="81"/>
            <rFont val="Lucida Console"/>
            <family val="3"/>
          </rPr>
          <t>DESCRIÇÃO DETALHADA_x000D_
GESSO ESTUQUE, EMBALAGEM C/ 01 KG</t>
        </r>
      </text>
    </comment>
    <comment ref="G272" authorId="0" shapeId="0" xr:uid="{8709FE9F-8C42-4DF3-99C5-04119466385B}">
      <text>
        <r>
          <rPr>
            <sz val="10"/>
            <color indexed="81"/>
            <rFont val="Lucida Console"/>
            <family val="3"/>
          </rPr>
          <t>_x000D_
Últ estimativa : 500_x000D_
Enviada em     : 22.04.2021_x000D_
Ata - Venc     : 174/20 - 16.08.2021</t>
        </r>
      </text>
    </comment>
    <comment ref="O272" authorId="0" shapeId="0" xr:uid="{AAC2CBAB-FCC1-4BDC-BD8D-E230A29C49DA}">
      <text>
        <r>
          <rPr>
            <sz val="10"/>
            <color indexed="81"/>
            <rFont val="Lucida Console"/>
            <family val="3"/>
          </rPr>
          <t>_x000D_
Pertencia a ATA nº 174/20_x000D_
Estimativa de Renovação enviada em 22.04.2021 - Qtd 500_x000D_
PE  99/20 lote 3_x000D_
03.08.20 = Finalizado</t>
        </r>
      </text>
    </comment>
    <comment ref="W272" authorId="0" shapeId="0" xr:uid="{188D306F-FF13-4F02-AA11-C2A3ECBBB4FE}">
      <text>
        <r>
          <rPr>
            <sz val="10"/>
            <color indexed="81"/>
            <rFont val="Lucida Console"/>
            <family val="3"/>
          </rPr>
          <t>_x000D_
DM-Construção</t>
        </r>
      </text>
    </comment>
    <comment ref="X272" authorId="0" shapeId="0" xr:uid="{22725E3F-792F-4C4D-8732-20ADC0B7959D}">
      <text>
        <r>
          <rPr>
            <sz val="10"/>
            <color indexed="81"/>
            <rFont val="Lucida Console"/>
            <family val="3"/>
          </rPr>
          <t>_x000D_
MAT.E EQUIP. P/ CONSTR.CIVIL E CONSERV. DE VIAS PUBL.</t>
        </r>
      </text>
    </comment>
    <comment ref="Y272" authorId="0" shapeId="0" xr:uid="{B9791583-6342-4F99-BCF3-8F784833667A}">
      <text>
        <r>
          <rPr>
            <sz val="10"/>
            <color indexed="81"/>
            <rFont val="Lucida Console"/>
            <family val="3"/>
          </rPr>
          <t>_x000D_
CIMENTO, CAL E GESSO</t>
        </r>
      </text>
    </comment>
    <comment ref="AW272" authorId="0" shapeId="0" xr:uid="{D8F9632C-5180-4EF3-8841-93B09F877E39}">
      <text>
        <r>
          <rPr>
            <sz val="10"/>
            <color indexed="81"/>
            <rFont val="Lucida Console"/>
            <family val="3"/>
          </rPr>
          <t>Tempo de Estoque (Meses)_x000D_
_x000D_
0,0</t>
        </r>
      </text>
    </comment>
    <comment ref="A273" authorId="0" shapeId="0" xr:uid="{EE09B024-7662-4ACB-95D4-509F9221E1C1}">
      <text>
        <r>
          <rPr>
            <sz val="10"/>
            <color indexed="81"/>
            <rFont val="Lucida Console"/>
            <family val="3"/>
          </rPr>
          <t>_x000D_
100362</t>
        </r>
      </text>
    </comment>
    <comment ref="B273" authorId="0" shapeId="0" xr:uid="{21D0998A-ECC0-4225-B75B-E5F7C263ABA4}">
      <text>
        <r>
          <rPr>
            <sz val="10"/>
            <color indexed="81"/>
            <rFont val="Lucida Console"/>
            <family val="3"/>
          </rPr>
          <t>DESCRIÇÃO DETALHADA_x000D_
CIMENTO COLA AC3 - SACO C/20 KG</t>
        </r>
      </text>
    </comment>
    <comment ref="G273" authorId="0" shapeId="0" xr:uid="{097591F0-EB3D-4865-B27F-85B35C548967}">
      <text>
        <r>
          <rPr>
            <sz val="10"/>
            <color indexed="81"/>
            <rFont val="Lucida Console"/>
            <family val="3"/>
          </rPr>
          <t>_x000D_
Últ estimativa : 7.000_x000D_
Enviada em     : 22.04.2021_x000D_
Ata - Venc     : 174/20 - 16.08.2021</t>
        </r>
      </text>
    </comment>
    <comment ref="M273" authorId="0" shapeId="0" xr:uid="{5C828FB0-A925-4344-AD30-02025689D466}">
      <text>
        <r>
          <rPr>
            <sz val="10"/>
            <color indexed="81"/>
            <rFont val="Lucida Console"/>
            <family val="3"/>
          </rPr>
          <t>_x000D_
Validade necessária em meses =&gt; 9,_x000D_
A partir desta planilha limitado até 23.08.2024</t>
        </r>
      </text>
    </comment>
    <comment ref="O273" authorId="0" shapeId="0" xr:uid="{545FB8D9-2D7B-481E-B129-2B6168D2E19B}">
      <text>
        <r>
          <rPr>
            <sz val="10"/>
            <color indexed="81"/>
            <rFont val="Lucida Console"/>
            <family val="3"/>
          </rPr>
          <t xml:space="preserve">_x000D_
Pertencia a ATA nº 174/20_x000D_
Estimativa de Renovação enviada em 22.04.2021 - Qtd 7.000_x000D_
PE 120/21 lote _x000D_
 = </t>
        </r>
      </text>
    </comment>
    <comment ref="W273" authorId="0" shapeId="0" xr:uid="{69EA5A77-EFAC-4B6E-B47E-452C03DE7017}">
      <text>
        <r>
          <rPr>
            <sz val="10"/>
            <color indexed="81"/>
            <rFont val="Lucida Console"/>
            <family val="3"/>
          </rPr>
          <t>_x000D_
DM-Construção</t>
        </r>
      </text>
    </comment>
    <comment ref="X273" authorId="0" shapeId="0" xr:uid="{95C10455-EB24-46C3-95AA-1C11408D47CA}">
      <text>
        <r>
          <rPr>
            <sz val="10"/>
            <color indexed="81"/>
            <rFont val="Lucida Console"/>
            <family val="3"/>
          </rPr>
          <t>_x000D_
MAT.E EQUIP. P/ CONSTR.CIVIL E CONSERV. DE VIAS PUBL.</t>
        </r>
      </text>
    </comment>
    <comment ref="Y273" authorId="0" shapeId="0" xr:uid="{E80412F7-D20F-4131-8FFC-1E3C648DFE05}">
      <text>
        <r>
          <rPr>
            <sz val="10"/>
            <color indexed="81"/>
            <rFont val="Lucida Console"/>
            <family val="3"/>
          </rPr>
          <t>_x000D_
CIMENTO, CAL E GESSO</t>
        </r>
      </text>
    </comment>
    <comment ref="AC273" authorId="0" shapeId="0" xr:uid="{02A7F142-F9CB-48A4-AE4A-B2F94440AE71}">
      <text>
        <r>
          <rPr>
            <sz val="10"/>
            <color indexed="81"/>
            <rFont val="Lucida Console"/>
            <family val="3"/>
          </rPr>
          <t>_x000D_
AF  8.935/23 | Vc 11.09.2023 | Saldo  8.000 | NOG. COM VARIEDADES LTDA ( 148457 )</t>
        </r>
      </text>
    </comment>
    <comment ref="AG273" authorId="0" shapeId="0" xr:uid="{2701A944-4CD7-45E3-A1DB-CEAC9B08C130}">
      <text>
        <r>
          <rPr>
            <sz val="10"/>
            <color indexed="81"/>
            <rFont val="Lucida Console"/>
            <family val="3"/>
          </rPr>
          <t>_x000D_
AF  8.935/23 | Vc 11.09.2023 | Saldo  8.000 | NOG. COM VARIEDADES LTDA ( 148457 )</t>
        </r>
      </text>
    </comment>
    <comment ref="AW273" authorId="0" shapeId="0" xr:uid="{49755508-18E7-4446-B135-8D125CEB084D}">
      <text>
        <r>
          <rPr>
            <sz val="10"/>
            <color indexed="81"/>
            <rFont val="Lucida Console"/>
            <family val="3"/>
          </rPr>
          <t>Tempo de Estoque (Meses)_x000D_
_x000D_
2.665,0</t>
        </r>
      </text>
    </comment>
    <comment ref="A274" authorId="0" shapeId="0" xr:uid="{BA1DAD0B-B91B-4207-99D2-D40A93D23BCA}">
      <text>
        <r>
          <rPr>
            <sz val="10"/>
            <color indexed="81"/>
            <rFont val="Lucida Console"/>
            <family val="3"/>
          </rPr>
          <t>_x000D_
50475</t>
        </r>
      </text>
    </comment>
    <comment ref="B274" authorId="0" shapeId="0" xr:uid="{D26677C9-4091-4CC3-80C7-0CBF74A3D4D9}">
      <text>
        <r>
          <rPr>
            <sz val="10"/>
            <color indexed="81"/>
            <rFont val="Lucida Console"/>
            <family val="3"/>
          </rPr>
          <t>DESCRIÇÃO DETALHADA_x000D_
CUMEEIRA DE BARRO COZIDO</t>
        </r>
      </text>
    </comment>
    <comment ref="G274" authorId="0" shapeId="0" xr:uid="{A0CBEBD9-CEFA-45C4-8DA3-549C2EE6E0A2}">
      <text>
        <r>
          <rPr>
            <sz val="10"/>
            <color indexed="81"/>
            <rFont val="Lucida Console"/>
            <family val="3"/>
          </rPr>
          <t>_x000D_
Últ estimativa : 0_x000D_
Enviada em     : 22.04.2021_x000D_
Ata - Venc     : 174/20 - 16.08.2021</t>
        </r>
      </text>
    </comment>
    <comment ref="O274" authorId="0" shapeId="0" xr:uid="{DA847B53-CD2F-40E1-8A42-EF1C468CE95F}">
      <text>
        <r>
          <rPr>
            <sz val="10"/>
            <color indexed="81"/>
            <rFont val="Lucida Console"/>
            <family val="3"/>
          </rPr>
          <t>_x000D_
Pertencia a ATA nº 174/20_x000D_
Estimativa de Renovação enviada em 22.04.2021 - Qtd _x000D_
PE  99/20 lote _x000D_
03.08.20 = Finalizado</t>
        </r>
      </text>
    </comment>
    <comment ref="W274" authorId="0" shapeId="0" xr:uid="{EA5BE715-9967-42CC-AD90-D787C1BE44AD}">
      <text>
        <r>
          <rPr>
            <sz val="10"/>
            <color indexed="81"/>
            <rFont val="Lucida Console"/>
            <family val="3"/>
          </rPr>
          <t>_x000D_
DM-Construção</t>
        </r>
      </text>
    </comment>
    <comment ref="X274" authorId="0" shapeId="0" xr:uid="{E38D48D7-ABC6-41E6-9C9E-8DAD1CC65DE4}">
      <text>
        <r>
          <rPr>
            <sz val="10"/>
            <color indexed="81"/>
            <rFont val="Lucida Console"/>
            <family val="3"/>
          </rPr>
          <t>_x000D_
MAT.E EQUIP. P/ CONSTR.CIVIL E CONSERV. DE VIAS PUBL.</t>
        </r>
      </text>
    </comment>
    <comment ref="Y274" authorId="0" shapeId="0" xr:uid="{169BCA2E-2B12-4558-B063-B917519255CF}">
      <text>
        <r>
          <rPr>
            <sz val="10"/>
            <color indexed="81"/>
            <rFont val="Lucida Console"/>
            <family val="3"/>
          </rPr>
          <t>_x000D_
TELHAS. CUMEEIRAS E ELEM. DE TELH. E CHAP. DE CIM. AMIANT</t>
        </r>
      </text>
    </comment>
    <comment ref="AW274" authorId="0" shapeId="0" xr:uid="{1D734424-DDA4-4CE4-8889-4406F4D2469A}">
      <text>
        <r>
          <rPr>
            <sz val="10"/>
            <color indexed="81"/>
            <rFont val="Lucida Console"/>
            <family val="3"/>
          </rPr>
          <t>Tempo de Estoque (Meses)_x000D_
_x000D_
230,0</t>
        </r>
      </text>
    </comment>
    <comment ref="A275" authorId="0" shapeId="0" xr:uid="{ABAE115C-43D8-4364-ADC0-B8B221E12AD7}">
      <text>
        <r>
          <rPr>
            <sz val="10"/>
            <color indexed="81"/>
            <rFont val="Lucida Console"/>
            <family val="3"/>
          </rPr>
          <t>_x000D_
67375</t>
        </r>
      </text>
    </comment>
    <comment ref="B275" authorId="0" shapeId="0" xr:uid="{62FB1BF0-D134-4996-BBFB-46D48353F020}">
      <text>
        <r>
          <rPr>
            <sz val="10"/>
            <color indexed="81"/>
            <rFont val="Lucida Console"/>
            <family val="3"/>
          </rPr>
          <t>DESCRIÇÃO DETALHADA_x000D_
CUMEEIRA DE FIBRA SINTETICA 30 GRAUS PARA TELHA ONDULADA ESP. 06 MM</t>
        </r>
      </text>
    </comment>
    <comment ref="G275" authorId="0" shapeId="0" xr:uid="{2B54ADE9-4A4B-489F-B996-3DD8D6E32149}">
      <text>
        <r>
          <rPr>
            <sz val="10"/>
            <color indexed="81"/>
            <rFont val="Lucida Console"/>
            <family val="3"/>
          </rPr>
          <t>_x000D_
Últ estimativa : 100_x000D_
Enviada em     : 22.04.2021_x000D_
Ata - Venc     : 174/20 - 16.08.2021</t>
        </r>
      </text>
    </comment>
    <comment ref="O275" authorId="0" shapeId="0" xr:uid="{C23231F3-7048-420E-B239-7A82EF35694D}">
      <text>
        <r>
          <rPr>
            <sz val="10"/>
            <color indexed="81"/>
            <rFont val="Lucida Console"/>
            <family val="3"/>
          </rPr>
          <t xml:space="preserve">_x000D_
Pertencia a ATA nº 174/20_x000D_
Estimativa de Renovação enviada em 22.04.2021 - Qtd 100_x000D_
PE 120/21 lote _x000D_
 = </t>
        </r>
      </text>
    </comment>
    <comment ref="W275" authorId="0" shapeId="0" xr:uid="{8C5068B0-E8FF-4506-95CA-D18668A61E96}">
      <text>
        <r>
          <rPr>
            <sz val="10"/>
            <color indexed="81"/>
            <rFont val="Lucida Console"/>
            <family val="3"/>
          </rPr>
          <t>_x000D_
DM-Construção</t>
        </r>
      </text>
    </comment>
    <comment ref="X275" authorId="0" shapeId="0" xr:uid="{718DEF65-D5E0-4183-BB34-B6A6ECEC5684}">
      <text>
        <r>
          <rPr>
            <sz val="10"/>
            <color indexed="81"/>
            <rFont val="Lucida Console"/>
            <family val="3"/>
          </rPr>
          <t>_x000D_
MAT.E EQUIP. P/ CONSTR.CIVIL E CONSERV. DE VIAS PUBL.</t>
        </r>
      </text>
    </comment>
    <comment ref="Y275" authorId="0" shapeId="0" xr:uid="{A97FB9D6-58B9-435A-A55A-528A2EF798A6}">
      <text>
        <r>
          <rPr>
            <sz val="10"/>
            <color indexed="81"/>
            <rFont val="Lucida Console"/>
            <family val="3"/>
          </rPr>
          <t>_x000D_
TELHAS. CUMEEIRAS E ELEM. DE TELH. E CHAP. DE CIM. AMIANT</t>
        </r>
      </text>
    </comment>
    <comment ref="AW275" authorId="0" shapeId="0" xr:uid="{2CFC6C7F-229E-43A8-B10C-FFCEE65FCAC0}">
      <text>
        <r>
          <rPr>
            <sz val="10"/>
            <color indexed="81"/>
            <rFont val="Lucida Console"/>
            <family val="3"/>
          </rPr>
          <t>Tempo de Estoque (Meses)_x000D_
_x000D_
103,0</t>
        </r>
      </text>
    </comment>
    <comment ref="A276" authorId="0" shapeId="0" xr:uid="{C0DC905B-F22B-4D1B-AC4D-10B5ACCF9740}">
      <text>
        <r>
          <rPr>
            <sz val="10"/>
            <color indexed="81"/>
            <rFont val="Lucida Console"/>
            <family val="3"/>
          </rPr>
          <t>_x000D_
67376</t>
        </r>
      </text>
    </comment>
    <comment ref="B276" authorId="0" shapeId="0" xr:uid="{BB9089CC-4621-4D42-99DC-73D197C2B961}">
      <text>
        <r>
          <rPr>
            <sz val="10"/>
            <color indexed="81"/>
            <rFont val="Lucida Console"/>
            <family val="3"/>
          </rPr>
          <t>DESCRIÇÃO DETALHADA_x000D_
CUMEEIRA DE FIBRA SINTETICA 10 GRAUS PARA TELHA ONDULADA ESP. 06 MM</t>
        </r>
      </text>
    </comment>
    <comment ref="G276" authorId="0" shapeId="0" xr:uid="{8500AB1C-B4DD-476B-9227-D9E1956E66D2}">
      <text>
        <r>
          <rPr>
            <sz val="10"/>
            <color indexed="81"/>
            <rFont val="Lucida Console"/>
            <family val="3"/>
          </rPr>
          <t>_x000D_
Últ estimativa : 0_x000D_
Enviada em     : 22.04.2021_x000D_
Ata - Venc     : 174/20 - 16.08.2021</t>
        </r>
      </text>
    </comment>
    <comment ref="O276" authorId="0" shapeId="0" xr:uid="{2D5102C0-BD71-495E-AAD5-57588453F001}">
      <text>
        <r>
          <rPr>
            <sz val="10"/>
            <color indexed="81"/>
            <rFont val="Lucida Console"/>
            <family val="3"/>
          </rPr>
          <t>_x000D_
Pertencia a ATA nº 174/20_x000D_
Estimativa de Renovação enviada em 22.04.2021 - Qtd _x000D_
PE  99/20 lote 8_x000D_
03.08.20 = Finalizado</t>
        </r>
      </text>
    </comment>
    <comment ref="W276" authorId="0" shapeId="0" xr:uid="{E3D6A2B4-5A5B-45C6-AD61-649B4401C591}">
      <text>
        <r>
          <rPr>
            <sz val="10"/>
            <color indexed="81"/>
            <rFont val="Lucida Console"/>
            <family val="3"/>
          </rPr>
          <t>_x000D_
DM-Construção</t>
        </r>
      </text>
    </comment>
    <comment ref="X276" authorId="0" shapeId="0" xr:uid="{80425231-D2F3-4564-992F-40F61EF59D73}">
      <text>
        <r>
          <rPr>
            <sz val="10"/>
            <color indexed="81"/>
            <rFont val="Lucida Console"/>
            <family val="3"/>
          </rPr>
          <t>_x000D_
MAT.E EQUIP. P/ CONSTR.CIVIL E CONSERV. DE VIAS PUBL.</t>
        </r>
      </text>
    </comment>
    <comment ref="Y276" authorId="0" shapeId="0" xr:uid="{5D8BE0FD-AF6F-43D2-8B17-C72A596B1E82}">
      <text>
        <r>
          <rPr>
            <sz val="10"/>
            <color indexed="81"/>
            <rFont val="Lucida Console"/>
            <family val="3"/>
          </rPr>
          <t>_x000D_
TELHAS. CUMEEIRAS E ELEM. DE TELH. E CHAP. DE CIM. AMIANT</t>
        </r>
      </text>
    </comment>
    <comment ref="AW276" authorId="0" shapeId="0" xr:uid="{005F7592-5385-4FCE-8BCE-DB3381EA0373}">
      <text>
        <r>
          <rPr>
            <sz val="10"/>
            <color indexed="81"/>
            <rFont val="Lucida Console"/>
            <family val="3"/>
          </rPr>
          <t>Tempo de Estoque (Meses)_x000D_
_x000D_
178,0</t>
        </r>
      </text>
    </comment>
    <comment ref="A277" authorId="0" shapeId="0" xr:uid="{46481B0E-2306-4425-B75F-CF04F5CA5AE3}">
      <text>
        <r>
          <rPr>
            <sz val="10"/>
            <color indexed="81"/>
            <rFont val="Lucida Console"/>
            <family val="3"/>
          </rPr>
          <t>_x000D_
106375</t>
        </r>
      </text>
    </comment>
    <comment ref="B277" authorId="0" shapeId="0" xr:uid="{9F91080F-0730-4ABE-A46C-863CF1B9702C}">
      <text>
        <r>
          <rPr>
            <sz val="10"/>
            <color indexed="81"/>
            <rFont val="Lucida Console"/>
            <family val="3"/>
          </rPr>
          <t>DESCRIÇÃO DETALHADA_x000D_
TELHA EM CIMENTO REFORCADO COM FIO SINTETICO(CRFS), TIPO ONDULADA, MEDINDO (1,83MX1,10MX6MM), CONFORME NBR 5640,5639,8055</t>
        </r>
      </text>
    </comment>
    <comment ref="G277" authorId="0" shapeId="0" xr:uid="{2BF0C1BC-E748-4A60-91C5-5E89B00F85CA}">
      <text>
        <r>
          <rPr>
            <sz val="10"/>
            <color indexed="81"/>
            <rFont val="Lucida Console"/>
            <family val="3"/>
          </rPr>
          <t>_x000D_
Últ estimativa : 1.050_x000D_
Enviada em     : 22.04.2021_x000D_
Ata - Venc     : 174/20 - 16.08.2021</t>
        </r>
      </text>
    </comment>
    <comment ref="O277" authorId="0" shapeId="0" xr:uid="{84AA57FC-329C-4DA6-825A-D9F6ED9EF4AB}">
      <text>
        <r>
          <rPr>
            <sz val="10"/>
            <color indexed="81"/>
            <rFont val="Lucida Console"/>
            <family val="3"/>
          </rPr>
          <t xml:space="preserve">_x000D_
Pertencia a ATA nº 174/20_x000D_
Estimativa de Renovação enviada em 22.04.2021 - Qtd 1.050_x000D_
PE 120/21 lote _x000D_
 = </t>
        </r>
      </text>
    </comment>
    <comment ref="W277" authorId="0" shapeId="0" xr:uid="{917148B4-6AF0-42DE-B766-81F47FD90607}">
      <text>
        <r>
          <rPr>
            <sz val="10"/>
            <color indexed="81"/>
            <rFont val="Lucida Console"/>
            <family val="3"/>
          </rPr>
          <t>_x000D_
DM-Construção</t>
        </r>
      </text>
    </comment>
    <comment ref="X277" authorId="0" shapeId="0" xr:uid="{03CB5402-2C8D-4166-8526-1CE981C84FE2}">
      <text>
        <r>
          <rPr>
            <sz val="10"/>
            <color indexed="81"/>
            <rFont val="Lucida Console"/>
            <family val="3"/>
          </rPr>
          <t>_x000D_
MAT.E EQUIP. P/ CONSTR.CIVIL E CONSERV. DE VIAS PUBL.</t>
        </r>
      </text>
    </comment>
    <comment ref="Y277" authorId="0" shapeId="0" xr:uid="{776BC6DE-680E-401B-844A-DC1C506C6710}">
      <text>
        <r>
          <rPr>
            <sz val="10"/>
            <color indexed="81"/>
            <rFont val="Lucida Console"/>
            <family val="3"/>
          </rPr>
          <t>_x000D_
TELHAS. CUMEEIRAS E ELEM. DE TELH. E CHAP. DE CIM. AMIANT</t>
        </r>
      </text>
    </comment>
    <comment ref="AW277" authorId="0" shapeId="0" xr:uid="{8A2E6656-4B2C-4151-9AFF-FAE913455BDC}">
      <text>
        <r>
          <rPr>
            <sz val="10"/>
            <color indexed="81"/>
            <rFont val="Lucida Console"/>
            <family val="3"/>
          </rPr>
          <t>Tempo de Estoque (Meses)_x000D_
_x000D_
1.000,0</t>
        </r>
      </text>
    </comment>
    <comment ref="A278" authorId="0" shapeId="0" xr:uid="{9A6F02F1-D6F6-495C-91F3-AB353E473AE3}">
      <text>
        <r>
          <rPr>
            <sz val="10"/>
            <color indexed="81"/>
            <rFont val="Lucida Console"/>
            <family val="3"/>
          </rPr>
          <t>_x000D_
106376</t>
        </r>
      </text>
    </comment>
    <comment ref="B278" authorId="0" shapeId="0" xr:uid="{1351594C-134E-4A4B-9455-AB70037CCD97}">
      <text>
        <r>
          <rPr>
            <sz val="10"/>
            <color indexed="81"/>
            <rFont val="Lucida Console"/>
            <family val="3"/>
          </rPr>
          <t>DESCRIÇÃO DETALHADA_x000D_
TELHA EM CIMENTO REFORCADO COM FIO SINTETICO(CRFS), TIPO ONDULADA, MEDINDO (2,44MX1,10MX6MM), CONFORME NBR 5640,5639,8055</t>
        </r>
      </text>
    </comment>
    <comment ref="G278" authorId="0" shapeId="0" xr:uid="{324DD69C-A97C-4649-A041-4EB47EC1E34D}">
      <text>
        <r>
          <rPr>
            <sz val="10"/>
            <color indexed="81"/>
            <rFont val="Lucida Console"/>
            <family val="3"/>
          </rPr>
          <t>_x000D_
Últ estimativa : 4.000_x000D_
Enviada em     : 22.04.2021_x000D_
Ata - Venc     : 174/20 - 16.08.2021</t>
        </r>
      </text>
    </comment>
    <comment ref="O278" authorId="0" shapeId="0" xr:uid="{69BE9EA3-3048-4AEC-A7DA-95EB6BE6EFEA}">
      <text>
        <r>
          <rPr>
            <sz val="10"/>
            <color indexed="81"/>
            <rFont val="Lucida Console"/>
            <family val="3"/>
          </rPr>
          <t xml:space="preserve">_x000D_
Pertencia a ATA nº 174/20_x000D_
Estimativa de Renovação enviada em 22.04.2021 - Qtd 4.000_x000D_
PE 120/21 lote _x000D_
 = </t>
        </r>
      </text>
    </comment>
    <comment ref="W278" authorId="0" shapeId="0" xr:uid="{FCFDB78B-B582-49C3-8BA0-4E95BD5A6367}">
      <text>
        <r>
          <rPr>
            <sz val="10"/>
            <color indexed="81"/>
            <rFont val="Lucida Console"/>
            <family val="3"/>
          </rPr>
          <t>_x000D_
DM-Construção</t>
        </r>
      </text>
    </comment>
    <comment ref="X278" authorId="0" shapeId="0" xr:uid="{686FB32D-94CA-445A-BF16-1F92DCA5FB53}">
      <text>
        <r>
          <rPr>
            <sz val="10"/>
            <color indexed="81"/>
            <rFont val="Lucida Console"/>
            <family val="3"/>
          </rPr>
          <t>_x000D_
MAT.E EQUIP. P/ CONSTR.CIVIL E CONSERV. DE VIAS PUBL.</t>
        </r>
      </text>
    </comment>
    <comment ref="Y278" authorId="0" shapeId="0" xr:uid="{3E31E852-9AFB-4E36-A4FB-E1C82B553662}">
      <text>
        <r>
          <rPr>
            <sz val="10"/>
            <color indexed="81"/>
            <rFont val="Lucida Console"/>
            <family val="3"/>
          </rPr>
          <t>_x000D_
TELHAS. CUMEEIRAS E ELEM. DE TELH. E CHAP. DE CIM. AMIANT</t>
        </r>
      </text>
    </comment>
    <comment ref="AW278" authorId="0" shapeId="0" xr:uid="{4932FFF3-4B99-45ED-AB9E-D238F73B8AB0}">
      <text>
        <r>
          <rPr>
            <sz val="10"/>
            <color indexed="81"/>
            <rFont val="Lucida Console"/>
            <family val="3"/>
          </rPr>
          <t>Tempo de Estoque (Meses)_x000D_
_x000D_
1.001,0</t>
        </r>
      </text>
    </comment>
    <comment ref="A279" authorId="0" shapeId="0" xr:uid="{111D2D76-54C3-466A-A0A3-C82FB32C30A8}">
      <text>
        <r>
          <rPr>
            <sz val="10"/>
            <color indexed="81"/>
            <rFont val="Lucida Console"/>
            <family val="3"/>
          </rPr>
          <t>_x000D_
114299</t>
        </r>
      </text>
    </comment>
    <comment ref="B279" authorId="0" shapeId="0" xr:uid="{7809F346-D972-4E00-9895-ABA31F6BAA00}">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279" authorId="0" shapeId="0" xr:uid="{13B7E567-CAC7-45F1-A0E6-28406DC235AC}">
      <text>
        <r>
          <rPr>
            <sz val="10"/>
            <color indexed="81"/>
            <rFont val="Lucida Console"/>
            <family val="3"/>
          </rPr>
          <t>_x000D_
Últ estimativa : 0_x000D_
Enviada em     : 22.04.2021_x000D_
Ata - Venc     : 174/20 - 16.08.2021</t>
        </r>
      </text>
    </comment>
    <comment ref="O279" authorId="0" shapeId="0" xr:uid="{72D8FFA4-1722-4382-B6FA-104530BBB31D}">
      <text>
        <r>
          <rPr>
            <sz val="10"/>
            <color indexed="81"/>
            <rFont val="Lucida Console"/>
            <family val="3"/>
          </rPr>
          <t>_x000D_
Pertencia a ATA nº 174/20_x000D_
Estimativa de Renovação enviada em 22.04.2021 - Qtd _x000D_
PE  99/20 lote 21_x000D_
03.08.20 = Finalizado</t>
        </r>
      </text>
    </comment>
    <comment ref="W279" authorId="0" shapeId="0" xr:uid="{E4D39FA3-EAB4-49AD-8061-A559FECC902B}">
      <text>
        <r>
          <rPr>
            <sz val="10"/>
            <color indexed="81"/>
            <rFont val="Lucida Console"/>
            <family val="3"/>
          </rPr>
          <t>_x000D_
DM-Construção</t>
        </r>
      </text>
    </comment>
    <comment ref="X279" authorId="0" shapeId="0" xr:uid="{CE428820-CD17-47DA-9689-E08871082C7B}">
      <text>
        <r>
          <rPr>
            <sz val="10"/>
            <color indexed="81"/>
            <rFont val="Lucida Console"/>
            <family val="3"/>
          </rPr>
          <t>_x000D_
MAT.E EQUIP. P/ CONSTR.CIVIL E CONSERV. DE VIAS PUBL.</t>
        </r>
      </text>
    </comment>
    <comment ref="Y279" authorId="0" shapeId="0" xr:uid="{DB79AA1D-B0F2-460D-8277-4256A905F0DE}">
      <text>
        <r>
          <rPr>
            <sz val="10"/>
            <color indexed="81"/>
            <rFont val="Lucida Console"/>
            <family val="3"/>
          </rPr>
          <t>_x000D_
TELHAS. CUMEEIRAS E ELEM. DE TELH. E CHAP. DE CIM. AMIANT</t>
        </r>
      </text>
    </comment>
    <comment ref="AW279" authorId="0" shapeId="0" xr:uid="{6D5D6527-B1F6-426A-9610-AFAA0D84A7F4}">
      <text>
        <r>
          <rPr>
            <sz val="10"/>
            <color indexed="81"/>
            <rFont val="Lucida Console"/>
            <family val="3"/>
          </rPr>
          <t>Tempo de Estoque (Meses)_x000D_
_x000D_
174,0</t>
        </r>
      </text>
    </comment>
    <comment ref="A280" authorId="0" shapeId="0" xr:uid="{08D10556-CE73-404C-9783-B16479814030}">
      <text>
        <r>
          <rPr>
            <sz val="10"/>
            <color indexed="81"/>
            <rFont val="Lucida Console"/>
            <family val="3"/>
          </rPr>
          <t>_x000D_
98702</t>
        </r>
      </text>
    </comment>
    <comment ref="B280" authorId="0" shapeId="0" xr:uid="{3AF587CD-94B9-4A9E-B6AE-1B4625AAFDAE}">
      <text>
        <r>
          <rPr>
            <sz val="10"/>
            <color indexed="81"/>
            <rFont val="Lucida Console"/>
            <family val="3"/>
          </rPr>
          <t>DESCRIÇÃO DETALHADA_x000D_
FORRO EM PVC BRANCO LISO, REGUA DE 6M DE COMPRIMENTO, 20CM DE LARGURA - 10MM DE ESPESSURA (ESPESSURA COM TOLERANCIA DE +/- 2MM)</t>
        </r>
      </text>
    </comment>
    <comment ref="G280" authorId="0" shapeId="0" xr:uid="{8EAABFE6-F276-4B36-B051-9BAD391F1090}">
      <text>
        <r>
          <rPr>
            <sz val="10"/>
            <color indexed="81"/>
            <rFont val="Lucida Console"/>
            <family val="3"/>
          </rPr>
          <t>_x000D_
Últ estimativa : 5.000_x000D_
Enviada em     : 22.04.2021_x000D_
Ata - Venc     : 174/20 - 16.08.2021</t>
        </r>
      </text>
    </comment>
    <comment ref="O280" authorId="0" shapeId="0" xr:uid="{7315A063-0D13-4EFD-8965-0986AF054945}">
      <text>
        <r>
          <rPr>
            <sz val="10"/>
            <color indexed="81"/>
            <rFont val="Lucida Console"/>
            <family val="3"/>
          </rPr>
          <t xml:space="preserve">_x000D_
Pertencia a ATA nº 174/20_x000D_
Estimativa de Renovação enviada em 22.04.2021 - Qtd 5.000_x000D_
PE 120/21 lote _x000D_
 = </t>
        </r>
      </text>
    </comment>
    <comment ref="W280" authorId="0" shapeId="0" xr:uid="{7EA9FBF9-0A42-4BC1-9167-BE9AF32B7CC2}">
      <text>
        <r>
          <rPr>
            <sz val="10"/>
            <color indexed="81"/>
            <rFont val="Lucida Console"/>
            <family val="3"/>
          </rPr>
          <t>_x000D_
DM-Construção</t>
        </r>
      </text>
    </comment>
    <comment ref="X280" authorId="0" shapeId="0" xr:uid="{E4031022-8913-448C-9180-6A41B643B633}">
      <text>
        <r>
          <rPr>
            <sz val="10"/>
            <color indexed="81"/>
            <rFont val="Lucida Console"/>
            <family val="3"/>
          </rPr>
          <t>_x000D_
MAT.E EQUIP. P/ CONSTR.CIVIL E CONSERV. DE VIAS PUBL.</t>
        </r>
      </text>
    </comment>
    <comment ref="Y280" authorId="0" shapeId="0" xr:uid="{81865169-B176-4FAE-B178-6EF91C400CFF}">
      <text>
        <r>
          <rPr>
            <sz val="10"/>
            <color indexed="81"/>
            <rFont val="Lucida Console"/>
            <family val="3"/>
          </rPr>
          <t>_x000D_
FORROS</t>
        </r>
      </text>
    </comment>
    <comment ref="AW280" authorId="0" shapeId="0" xr:uid="{29C92A18-A755-495B-AA21-F41CA612D108}">
      <text>
        <r>
          <rPr>
            <sz val="10"/>
            <color indexed="81"/>
            <rFont val="Lucida Console"/>
            <family val="3"/>
          </rPr>
          <t>Tempo de Estoque (Meses)_x000D_
_x000D_
7.791,0</t>
        </r>
      </text>
    </comment>
    <comment ref="A281" authorId="0" shapeId="0" xr:uid="{E8BE468D-A038-43B5-99F8-7CF1567B0E56}">
      <text>
        <r>
          <rPr>
            <sz val="10"/>
            <color indexed="81"/>
            <rFont val="Lucida Console"/>
            <family val="3"/>
          </rPr>
          <t>_x000D_
16053</t>
        </r>
      </text>
    </comment>
    <comment ref="B281" authorId="0" shapeId="0" xr:uid="{3A3C57E3-FDD1-4669-AF4E-448191008A08}">
      <text>
        <r>
          <rPr>
            <sz val="10"/>
            <color indexed="81"/>
            <rFont val="Lucida Console"/>
            <family val="3"/>
          </rPr>
          <t>DESCRIÇÃO DETALHADA_x000D_
ADESIVO P/ CHAPISCO, CONCRETO E ARGAMASSA - BALDE C/18 LITROS</t>
        </r>
      </text>
    </comment>
    <comment ref="G281" authorId="0" shapeId="0" xr:uid="{A43A7D67-23E7-4C88-8C12-CBCD50A156E2}">
      <text>
        <r>
          <rPr>
            <sz val="10"/>
            <color indexed="81"/>
            <rFont val="Lucida Console"/>
            <family val="3"/>
          </rPr>
          <t>_x000D_
Últ estimativa : 300_x000D_
Enviada em     : 22.04.2021_x000D_
Ata - Venc     : 174/20 - 16.08.2021</t>
        </r>
      </text>
    </comment>
    <comment ref="O281" authorId="0" shapeId="0" xr:uid="{C25D838C-0C4F-480A-80BD-8031911378B2}">
      <text>
        <r>
          <rPr>
            <sz val="10"/>
            <color indexed="81"/>
            <rFont val="Lucida Console"/>
            <family val="3"/>
          </rPr>
          <t>_x000D_
Pertencia a ATA nº 174/20_x000D_
Estimativa de Renovação enviada em 22.04.2021 - Qtd 300_x000D_
PE  99/20 lote 2_x000D_
03.08.20 = Finalizado</t>
        </r>
      </text>
    </comment>
    <comment ref="W281" authorId="0" shapeId="0" xr:uid="{F3103A24-3546-4A91-B2B8-EFD6BD0472EB}">
      <text>
        <r>
          <rPr>
            <sz val="10"/>
            <color indexed="81"/>
            <rFont val="Lucida Console"/>
            <family val="3"/>
          </rPr>
          <t>_x000D_
DM-Construção</t>
        </r>
      </text>
    </comment>
    <comment ref="X281" authorId="0" shapeId="0" xr:uid="{F55E1563-5FDC-4A7D-955F-38126067D0D3}">
      <text>
        <r>
          <rPr>
            <sz val="10"/>
            <color indexed="81"/>
            <rFont val="Lucida Console"/>
            <family val="3"/>
          </rPr>
          <t>_x000D_
MAT.E EQUIP. P/ CONSTR.CIVIL E CONSERV. DE VIAS PUBL.</t>
        </r>
      </text>
    </comment>
    <comment ref="Y281" authorId="0" shapeId="0" xr:uid="{6E661A9E-6457-486B-A999-421A3563774D}">
      <text>
        <r>
          <rPr>
            <sz val="10"/>
            <color indexed="81"/>
            <rFont val="Lucida Console"/>
            <family val="3"/>
          </rPr>
          <t>_x000D_
IMPERMEABILIZANTES, ADITIVOS E ADESIVOS</t>
        </r>
      </text>
    </comment>
    <comment ref="AW281" authorId="0" shapeId="0" xr:uid="{CD4E6026-5DCD-4DC0-8CA0-1376EF2E2200}">
      <text>
        <r>
          <rPr>
            <sz val="10"/>
            <color indexed="81"/>
            <rFont val="Lucida Console"/>
            <family val="3"/>
          </rPr>
          <t>Tempo de Estoque (Meses)_x000D_
_x000D_
7,0</t>
        </r>
      </text>
    </comment>
    <comment ref="A282" authorId="0" shapeId="0" xr:uid="{4F214D41-B6F5-424D-9C7C-5E39FFD9030D}">
      <text>
        <r>
          <rPr>
            <sz val="10"/>
            <color indexed="81"/>
            <rFont val="Lucida Console"/>
            <family val="3"/>
          </rPr>
          <t>_x000D_
132624</t>
        </r>
      </text>
    </comment>
    <comment ref="B282" authorId="0" shapeId="0" xr:uid="{8685D80D-1F01-4E61-8979-35B12B22860F}">
      <text>
        <r>
          <rPr>
            <sz val="10"/>
            <color indexed="81"/>
            <rFont val="Lucida Console"/>
            <family val="3"/>
          </rPr>
          <t>DESCRIÇÃO DETALHADA_x000D_
LAVATORIO SUSPENSO INFANTIL, NA COR BRANCA, MATERIAL EM LOUCA NAS DIMENSOES: 38 X 28 CM (COMPRIMENTO/LARGURA). MEDIDAS PODENDO VARIAR EM + / - 03 CM.</t>
        </r>
      </text>
    </comment>
    <comment ref="G282" authorId="0" shapeId="0" xr:uid="{38BF1202-4AA0-42CB-88F2-CBB2445DF1B3}">
      <text>
        <r>
          <rPr>
            <sz val="10"/>
            <color indexed="81"/>
            <rFont val="Lucida Console"/>
            <family val="3"/>
          </rPr>
          <t>_x000D_
Últ estimativa : 80_x000D_
Enviada em     : 22.04.2021_x000D_
Ata - Venc     : 174/20 - 16.08.2021</t>
        </r>
      </text>
    </comment>
    <comment ref="O282" authorId="0" shapeId="0" xr:uid="{AE366E4A-C590-4D99-B4D1-C5D02024D743}">
      <text>
        <r>
          <rPr>
            <sz val="10"/>
            <color indexed="81"/>
            <rFont val="Lucida Console"/>
            <family val="3"/>
          </rPr>
          <t>_x000D_
Pertencia a ATA nº 174/20_x000D_
Estimativa de Renovação enviada em 22.04.2021 - Qtd 80_x000D_
PE  99/20 lote 27_x000D_
03.08.20 = Finalizado</t>
        </r>
      </text>
    </comment>
    <comment ref="W282" authorId="0" shapeId="0" xr:uid="{DC83F76D-8AED-470A-90E4-26A5ABBBBF63}">
      <text>
        <r>
          <rPr>
            <sz val="10"/>
            <color indexed="81"/>
            <rFont val="Lucida Console"/>
            <family val="3"/>
          </rPr>
          <t>_x000D_
DM-Construção</t>
        </r>
      </text>
    </comment>
    <comment ref="X282" authorId="0" shapeId="0" xr:uid="{965CC28C-3477-4AC5-B86B-DEA22A488E84}">
      <text>
        <r>
          <rPr>
            <sz val="10"/>
            <color indexed="81"/>
            <rFont val="Lucida Console"/>
            <family val="3"/>
          </rPr>
          <t>_x000D_
MAT.E EQUIP. P/ CONSTR.CIVIL E CONSERV. DE VIAS PUBL.</t>
        </r>
      </text>
    </comment>
    <comment ref="Y282" authorId="0" shapeId="0" xr:uid="{6FBB3E7D-74E7-4871-AABC-B41CA35AA401}">
      <text>
        <r>
          <rPr>
            <sz val="10"/>
            <color indexed="81"/>
            <rFont val="Lucida Console"/>
            <family val="3"/>
          </rPr>
          <t>_x000D_
TANQUES, LAVATORIOS E PIAS</t>
        </r>
      </text>
    </comment>
    <comment ref="AW282" authorId="0" shapeId="0" xr:uid="{55FE86F7-6CA7-42EB-8B6E-2772DF932172}">
      <text>
        <r>
          <rPr>
            <sz val="10"/>
            <color indexed="81"/>
            <rFont val="Lucida Console"/>
            <family val="3"/>
          </rPr>
          <t>Tempo de Estoque (Meses)_x000D_
_x000D_
89,0</t>
        </r>
      </text>
    </comment>
    <comment ref="A283" authorId="0" shapeId="0" xr:uid="{B9695E5D-ABAE-47A0-A8FD-3246F2B7D93E}">
      <text>
        <r>
          <rPr>
            <sz val="10"/>
            <color indexed="81"/>
            <rFont val="Lucida Console"/>
            <family val="3"/>
          </rPr>
          <t>_x000D_
98703</t>
        </r>
      </text>
    </comment>
    <comment ref="B283" authorId="0" shapeId="0" xr:uid="{C047610B-3E5F-416B-9D67-95F03082ABDF}">
      <text>
        <r>
          <rPr>
            <sz val="10"/>
            <color indexed="81"/>
            <rFont val="Lucida Console"/>
            <family val="3"/>
          </rPr>
          <t>DESCRIÇÃO DETALHADA_x000D_
PERFIL RODAFORRO PVC BRANCO LISO, BARRA COM 6 MT - DIMENSOES 6 M X 30 MM X 10,5 MM (C X L X A). PODENDO VARIAR +/- 2 MM</t>
        </r>
      </text>
    </comment>
    <comment ref="G283" authorId="0" shapeId="0" xr:uid="{167A8DBA-9DB0-4E40-8735-CAFBA2595CBD}">
      <text>
        <r>
          <rPr>
            <sz val="10"/>
            <color indexed="81"/>
            <rFont val="Lucida Console"/>
            <family val="3"/>
          </rPr>
          <t>_x000D_
Últ estimativa : 0_x000D_
Enviada em     : 22.04.2021_x000D_
Ata - Venc     : 174/20 - 16.08.2021</t>
        </r>
      </text>
    </comment>
    <comment ref="O283" authorId="0" shapeId="0" xr:uid="{68E2B397-8265-46EB-86C7-F32FAA72DD94}">
      <text>
        <r>
          <rPr>
            <sz val="10"/>
            <color indexed="81"/>
            <rFont val="Lucida Console"/>
            <family val="3"/>
          </rPr>
          <t>_x000D_
Pertencia a ATA nº 174/20_x000D_
Estimativa de Renovação enviada em 22.04.2021 - Qtd _x000D_
PE  99/20 lote 13_x000D_
03.08.20 = Finalizado</t>
        </r>
      </text>
    </comment>
    <comment ref="W283" authorId="0" shapeId="0" xr:uid="{34ED8A2D-0D5B-42BF-9CD6-620A495660DE}">
      <text>
        <r>
          <rPr>
            <sz val="10"/>
            <color indexed="81"/>
            <rFont val="Lucida Console"/>
            <family val="3"/>
          </rPr>
          <t>_x000D_
DM-Serralheria</t>
        </r>
      </text>
    </comment>
    <comment ref="X283" authorId="0" shapeId="0" xr:uid="{901931A1-FD7D-453B-8530-BB830E0D31F5}">
      <text>
        <r>
          <rPr>
            <sz val="10"/>
            <color indexed="81"/>
            <rFont val="Lucida Console"/>
            <family val="3"/>
          </rPr>
          <t>_x000D_
METAIS,LAMINAD.,PERFILADOS E ARTEFATOS METALICOS</t>
        </r>
      </text>
    </comment>
    <comment ref="Y283" authorId="0" shapeId="0" xr:uid="{A191FE1D-60DE-450C-B6BC-68E1B662A08A}">
      <text>
        <r>
          <rPr>
            <sz val="10"/>
            <color indexed="81"/>
            <rFont val="Lucida Console"/>
            <family val="3"/>
          </rPr>
          <t>_x000D_
CANTONEIRAS</t>
        </r>
      </text>
    </comment>
    <comment ref="AW283" authorId="0" shapeId="0" xr:uid="{7566710C-EF27-42C9-B879-A1D23318081E}">
      <text>
        <r>
          <rPr>
            <sz val="10"/>
            <color indexed="81"/>
            <rFont val="Lucida Console"/>
            <family val="3"/>
          </rPr>
          <t>Tempo de Estoque (Meses)_x000D_
_x000D_
729,0</t>
        </r>
      </text>
    </comment>
    <comment ref="A284" authorId="0" shapeId="0" xr:uid="{0DCDBB00-ABF1-4858-8868-00B1BDED8F4A}">
      <text>
        <r>
          <rPr>
            <sz val="10"/>
            <color indexed="81"/>
            <rFont val="Lucida Console"/>
            <family val="3"/>
          </rPr>
          <t>_x000D_
98704</t>
        </r>
      </text>
    </comment>
    <comment ref="B284" authorId="0" shapeId="0" xr:uid="{1B9E0D24-49B3-4916-9A6E-20EAD731B595}">
      <text>
        <r>
          <rPr>
            <sz val="10"/>
            <color indexed="81"/>
            <rFont val="Lucida Console"/>
            <family val="3"/>
          </rPr>
          <t>DESCRIÇÃO DETALHADA_x000D_
PERFIL TIPO EMENDA PVC BRANCO LISO, BARRA COM 6 MT - DIMENSOES 6 M X 50 MM X 10,5 MM (C X L X A). PODENDO VARIAR +/- 2 MM.</t>
        </r>
      </text>
    </comment>
    <comment ref="G284" authorId="0" shapeId="0" xr:uid="{A4CDABB6-B974-4884-8D50-EE8DE0E7A2C9}">
      <text>
        <r>
          <rPr>
            <sz val="10"/>
            <color indexed="81"/>
            <rFont val="Lucida Console"/>
            <family val="3"/>
          </rPr>
          <t>_x000D_
Últ estimativa : 0_x000D_
Enviada em     : 22.04.2021_x000D_
Ata - Venc     : 174/20 - 16.08.2021</t>
        </r>
      </text>
    </comment>
    <comment ref="O284" authorId="0" shapeId="0" xr:uid="{F806822C-EFB7-416D-AF0F-5D2834BBB9A3}">
      <text>
        <r>
          <rPr>
            <sz val="10"/>
            <color indexed="81"/>
            <rFont val="Lucida Console"/>
            <family val="3"/>
          </rPr>
          <t>_x000D_
Pertencia a ATA nº 174/20_x000D_
Estimativa de Renovação enviada em 22.04.2021 - Qtd _x000D_
PE  99/20 lote 14_x000D_
03.08.20 = Finalizado</t>
        </r>
      </text>
    </comment>
    <comment ref="W284" authorId="0" shapeId="0" xr:uid="{401B90EB-0A0D-4326-A766-EDE0C35C8A58}">
      <text>
        <r>
          <rPr>
            <sz val="10"/>
            <color indexed="81"/>
            <rFont val="Lucida Console"/>
            <family val="3"/>
          </rPr>
          <t>_x000D_
DM-Serralheria</t>
        </r>
      </text>
    </comment>
    <comment ref="X284" authorId="0" shapeId="0" xr:uid="{82F021FA-D828-42B3-97BE-932B3C71A035}">
      <text>
        <r>
          <rPr>
            <sz val="10"/>
            <color indexed="81"/>
            <rFont val="Lucida Console"/>
            <family val="3"/>
          </rPr>
          <t>_x000D_
METAIS,LAMINAD.,PERFILADOS E ARTEFATOS METALICOS</t>
        </r>
      </text>
    </comment>
    <comment ref="Y284" authorId="0" shapeId="0" xr:uid="{55F4AC83-696B-4932-AD00-2001955BD79E}">
      <text>
        <r>
          <rPr>
            <sz val="10"/>
            <color indexed="81"/>
            <rFont val="Lucida Console"/>
            <family val="3"/>
          </rPr>
          <t>_x000D_
CANTONEIRAS</t>
        </r>
      </text>
    </comment>
    <comment ref="AW284" authorId="0" shapeId="0" xr:uid="{62FFA3A6-8C54-48A4-A48F-E8B59ED47B8A}">
      <text>
        <r>
          <rPr>
            <sz val="10"/>
            <color indexed="81"/>
            <rFont val="Lucida Console"/>
            <family val="3"/>
          </rPr>
          <t>Tempo de Estoque (Meses)_x000D_
_x000D_
184,0</t>
        </r>
      </text>
    </comment>
    <comment ref="A285" authorId="0" shapeId="0" xr:uid="{7523F76B-4168-40BD-A481-E6C3A4C327F8}">
      <text>
        <r>
          <rPr>
            <sz val="10"/>
            <color indexed="81"/>
            <rFont val="Lucida Console"/>
            <family val="3"/>
          </rPr>
          <t>_x000D_
102278</t>
        </r>
      </text>
    </comment>
    <comment ref="B285" authorId="0" shapeId="0" xr:uid="{67FF9A29-DAAB-447B-AE61-0AD3013817BE}">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285" authorId="0" shapeId="0" xr:uid="{1464B1E7-EB0B-4F14-9651-0348D796982E}">
      <text>
        <r>
          <rPr>
            <sz val="10"/>
            <color indexed="81"/>
            <rFont val="Lucida Console"/>
            <family val="3"/>
          </rPr>
          <t>_x000D_
Últ estimativa : 0_x000D_
Enviada em     : 22.04.2021_x000D_
Ata - Venc     : 174/20 - 16.08.2021</t>
        </r>
      </text>
    </comment>
    <comment ref="O285" authorId="0" shapeId="0" xr:uid="{92A5783B-D477-4B9E-991E-7C2A8C6F4BD2}">
      <text>
        <r>
          <rPr>
            <sz val="10"/>
            <color indexed="81"/>
            <rFont val="Lucida Console"/>
            <family val="3"/>
          </rPr>
          <t>_x000D_
Pertencia a ATA nº 174/20_x000D_
Estimativa de Renovação enviada em 22.04.2021 - Qtd _x000D_
PE  99/20 lote 16_x000D_
03.08.20 = Finalizado</t>
        </r>
      </text>
    </comment>
    <comment ref="W285" authorId="0" shapeId="0" xr:uid="{F6694D82-3B08-452A-9DA4-3C858DB251E4}">
      <text>
        <r>
          <rPr>
            <sz val="10"/>
            <color indexed="81"/>
            <rFont val="Lucida Console"/>
            <family val="3"/>
          </rPr>
          <t>_x000D_
DM-Serralheria</t>
        </r>
      </text>
    </comment>
    <comment ref="X285" authorId="0" shapeId="0" xr:uid="{BFAFADF2-430A-46B4-AE77-EC74C39DDC04}">
      <text>
        <r>
          <rPr>
            <sz val="10"/>
            <color indexed="81"/>
            <rFont val="Lucida Console"/>
            <family val="3"/>
          </rPr>
          <t>_x000D_
METAIS,LAMINAD.,PERFILADOS E ARTEFATOS METALICOS</t>
        </r>
      </text>
    </comment>
    <comment ref="Y285" authorId="0" shapeId="0" xr:uid="{CAA7B07F-B82F-4DD4-9293-16C97F1C1761}">
      <text>
        <r>
          <rPr>
            <sz val="10"/>
            <color indexed="81"/>
            <rFont val="Lucida Console"/>
            <family val="3"/>
          </rPr>
          <t>_x000D_
BARRAS DE ACO ESPECIFICOS P/ USOS VARIADOS</t>
        </r>
      </text>
    </comment>
    <comment ref="AW285" authorId="0" shapeId="0" xr:uid="{2FFD8B7D-E290-47CB-BB2C-BE05B8B3AEFA}">
      <text>
        <r>
          <rPr>
            <sz val="10"/>
            <color indexed="81"/>
            <rFont val="Lucida Console"/>
            <family val="3"/>
          </rPr>
          <t>Tempo de Estoque (Meses)_x000D_
_x000D_
144,0</t>
        </r>
      </text>
    </comment>
    <comment ref="A286" authorId="0" shapeId="0" xr:uid="{1B57C5B6-E7ED-48E4-974B-932D62BC3380}">
      <text>
        <r>
          <rPr>
            <sz val="10"/>
            <color indexed="81"/>
            <rFont val="Lucida Console"/>
            <family val="3"/>
          </rPr>
          <t>_x000D_
121054</t>
        </r>
      </text>
    </comment>
    <comment ref="B286" authorId="0" shapeId="0" xr:uid="{41CB908C-20EA-4A34-A0D8-796ADA1AAC1B}">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286" authorId="0" shapeId="0" xr:uid="{49F66319-F4FD-42E1-836D-C26C5F08C175}">
      <text>
        <r>
          <rPr>
            <sz val="10"/>
            <color indexed="81"/>
            <rFont val="Lucida Console"/>
            <family val="3"/>
          </rPr>
          <t>_x000D_
Últ estimativa : 0_x000D_
Enviada em     : 22.04.2021_x000D_
Ata - Venc     : 174/20 - 16.08.2021</t>
        </r>
      </text>
    </comment>
    <comment ref="O286" authorId="0" shapeId="0" xr:uid="{F59C7DEB-385F-44C6-93AB-F5370CB95834}">
      <text>
        <r>
          <rPr>
            <sz val="10"/>
            <color indexed="81"/>
            <rFont val="Lucida Console"/>
            <family val="3"/>
          </rPr>
          <t>_x000D_
Pertencia a ATA nº 174/20_x000D_
Estimativa de Renovação enviada em 22.04.2021 - Qtd _x000D_
PE  99/20 lote 23_x000D_
03.08.20 = Finalizado</t>
        </r>
      </text>
    </comment>
    <comment ref="W286" authorId="0" shapeId="0" xr:uid="{5A5B093C-3EFC-45FC-BA4D-65ECA207B257}">
      <text>
        <r>
          <rPr>
            <sz val="10"/>
            <color indexed="81"/>
            <rFont val="Lucida Console"/>
            <family val="3"/>
          </rPr>
          <t>_x000D_
DM-Serralheria</t>
        </r>
      </text>
    </comment>
    <comment ref="X286" authorId="0" shapeId="0" xr:uid="{636D3266-9644-463F-A6A4-88D41A34BE62}">
      <text>
        <r>
          <rPr>
            <sz val="10"/>
            <color indexed="81"/>
            <rFont val="Lucida Console"/>
            <family val="3"/>
          </rPr>
          <t>_x000D_
METAIS,LAMINAD.,PERFILADOS E ARTEFATOS METALICOS</t>
        </r>
      </text>
    </comment>
    <comment ref="Y286" authorId="0" shapeId="0" xr:uid="{F0856E12-7EC6-4A21-90DA-1CB8F0B3C82A}">
      <text>
        <r>
          <rPr>
            <sz val="10"/>
            <color indexed="81"/>
            <rFont val="Lucida Console"/>
            <family val="3"/>
          </rPr>
          <t>_x000D_
BARRAS DE ACO ESPECIFICOS P/ USOS VARIADOS</t>
        </r>
      </text>
    </comment>
    <comment ref="AW286" authorId="0" shapeId="0" xr:uid="{D42D75DB-3886-4267-B723-DAA00CBF10F4}">
      <text>
        <r>
          <rPr>
            <sz val="10"/>
            <color indexed="81"/>
            <rFont val="Lucida Console"/>
            <family val="3"/>
          </rPr>
          <t>Tempo de Estoque (Meses)_x000D_
_x000D_
95,0</t>
        </r>
      </text>
    </comment>
    <comment ref="A287" authorId="0" shapeId="0" xr:uid="{47E1A669-B676-487B-A1E0-633F823D3DC9}">
      <text>
        <r>
          <rPr>
            <sz val="10"/>
            <color indexed="81"/>
            <rFont val="Lucida Console"/>
            <family val="3"/>
          </rPr>
          <t>_x000D_
63839</t>
        </r>
      </text>
    </comment>
    <comment ref="B287" authorId="0" shapeId="0" xr:uid="{0D8A2820-36CF-4455-B724-171DFB790AC4}">
      <text>
        <r>
          <rPr>
            <sz val="10"/>
            <color indexed="81"/>
            <rFont val="Lucida Console"/>
            <family val="3"/>
          </rPr>
          <t>DESCRIÇÃO DETALHADA_x000D_
COLA DE CONTATO P/ LAMINADO MELAMINICO - 2,8 KG</t>
        </r>
      </text>
    </comment>
    <comment ref="G287" authorId="0" shapeId="0" xr:uid="{A9712B14-1BC0-4722-9DCA-6BD5FAC205C9}">
      <text>
        <r>
          <rPr>
            <sz val="10"/>
            <color indexed="81"/>
            <rFont val="Lucida Console"/>
            <family val="3"/>
          </rPr>
          <t>_x000D_
Últ estimativa : 300_x000D_
Enviada em     : 22.04.2021_x000D_
Ata - Venc     : 174/20 - 16.08.2021</t>
        </r>
      </text>
    </comment>
    <comment ref="O287" authorId="0" shapeId="0" xr:uid="{735470AE-39CE-4A07-B17D-5968BADE272A}">
      <text>
        <r>
          <rPr>
            <sz val="10"/>
            <color indexed="81"/>
            <rFont val="Lucida Console"/>
            <family val="3"/>
          </rPr>
          <t>_x000D_
Pertencia a ATA nº 174/20_x000D_
Estimativa de Renovação enviada em 22.04.2021 - Qtd 300_x000D_
PE  99/20 lote 6_x000D_
03.08.20 = Finalizado</t>
        </r>
      </text>
    </comment>
    <comment ref="W287" authorId="0" shapeId="0" xr:uid="{0CA10A27-0D0F-4AA9-B250-B4FFFE2B47FB}">
      <text>
        <r>
          <rPr>
            <sz val="10"/>
            <color indexed="81"/>
            <rFont val="Lucida Console"/>
            <family val="3"/>
          </rPr>
          <t>_x000D_
DM-Marcenaria</t>
        </r>
      </text>
    </comment>
    <comment ref="X287" authorId="0" shapeId="0" xr:uid="{C220CB94-4290-4A75-B3AB-961B6528176A}">
      <text>
        <r>
          <rPr>
            <sz val="10"/>
            <color indexed="81"/>
            <rFont val="Lucida Console"/>
            <family val="3"/>
          </rPr>
          <t>_x000D_
MADEIRAS,LAMINADOS,COMPENSADOS E AGLOMERADOS</t>
        </r>
      </text>
    </comment>
    <comment ref="Y287" authorId="0" shapeId="0" xr:uid="{718D3795-F625-4DD9-9B88-D38304CE0BAB}">
      <text>
        <r>
          <rPr>
            <sz val="10"/>
            <color indexed="81"/>
            <rFont val="Lucida Console"/>
            <family val="3"/>
          </rPr>
          <t>_x000D_
ADESIVOS ESPECIFICOS PARA MADEIRA</t>
        </r>
      </text>
    </comment>
    <comment ref="AW287" authorId="0" shapeId="0" xr:uid="{51906183-1174-498A-B654-EAA908EC964C}">
      <text>
        <r>
          <rPr>
            <sz val="10"/>
            <color indexed="81"/>
            <rFont val="Lucida Console"/>
            <family val="3"/>
          </rPr>
          <t>Tempo de Estoque (Meses)_x000D_
_x000D_
100,0</t>
        </r>
      </text>
    </comment>
    <comment ref="A288" authorId="0" shapeId="0" xr:uid="{EEF1EBF5-20F5-4840-939D-57FA765090C4}">
      <text>
        <r>
          <rPr>
            <sz val="10"/>
            <color indexed="81"/>
            <rFont val="Lucida Console"/>
            <family val="3"/>
          </rPr>
          <t>_x000D_
75324</t>
        </r>
      </text>
    </comment>
    <comment ref="B288" authorId="0" shapeId="0" xr:uid="{209E7849-B9AE-4165-890F-2CEFF18B051E}">
      <text>
        <r>
          <rPr>
            <sz val="10"/>
            <color indexed="81"/>
            <rFont val="Lucida Console"/>
            <family val="3"/>
          </rPr>
          <t>DESCRIÇÃO DETALHADA_x000D_
CHAPA EM MDF, CRU - MED. 2,75 M X 1,83 M X 09 MM</t>
        </r>
      </text>
    </comment>
    <comment ref="G288" authorId="0" shapeId="0" xr:uid="{BEBC195B-64B2-44AB-951A-AAB67DED5BC3}">
      <text>
        <r>
          <rPr>
            <sz val="10"/>
            <color indexed="81"/>
            <rFont val="Lucida Console"/>
            <family val="3"/>
          </rPr>
          <t>_x000D_
Últ estimativa : 400_x000D_
Enviada em     : 22.04.2021_x000D_
Ata - Venc     : 174/20 - 16.08.2021</t>
        </r>
      </text>
    </comment>
    <comment ref="O288" authorId="0" shapeId="0" xr:uid="{9A59F022-CD22-4EFA-8911-843458D191D4}">
      <text>
        <r>
          <rPr>
            <sz val="10"/>
            <color indexed="81"/>
            <rFont val="Lucida Console"/>
            <family val="3"/>
          </rPr>
          <t>_x000D_
Pertencia a ATA nº 174/20_x000D_
Estimativa de Renovação enviada em 22.04.2021 - Qtd 400_x000D_
PE  99/20 lote _x000D_
03.08.20 = Finalizado</t>
        </r>
      </text>
    </comment>
    <comment ref="W288" authorId="0" shapeId="0" xr:uid="{163B84FF-B0A4-425B-A6BC-E416498062C6}">
      <text>
        <r>
          <rPr>
            <sz val="10"/>
            <color indexed="81"/>
            <rFont val="Lucida Console"/>
            <family val="3"/>
          </rPr>
          <t>_x000D_
DM-Marcenaria</t>
        </r>
      </text>
    </comment>
    <comment ref="X288" authorId="0" shapeId="0" xr:uid="{1F47CE60-60B6-46AD-ADF2-CFAD1F044505}">
      <text>
        <r>
          <rPr>
            <sz val="10"/>
            <color indexed="81"/>
            <rFont val="Lucida Console"/>
            <family val="3"/>
          </rPr>
          <t>_x000D_
MADEIRAS,LAMINADOS,COMPENSADOS E AGLOMERADOS</t>
        </r>
      </text>
    </comment>
    <comment ref="Y288" authorId="0" shapeId="0" xr:uid="{B454E7D7-26A6-4D1E-9B5A-7A6D5EC18E06}">
      <text>
        <r>
          <rPr>
            <sz val="10"/>
            <color indexed="81"/>
            <rFont val="Lucida Console"/>
            <family val="3"/>
          </rPr>
          <t>_x000D_
CHAPAS COMPENSADAS RESINADAS/PLASTIFICADAS</t>
        </r>
      </text>
    </comment>
    <comment ref="AW288" authorId="0" shapeId="0" xr:uid="{DF4CC2DA-9018-4FD9-8353-CC8A77BA932B}">
      <text>
        <r>
          <rPr>
            <sz val="10"/>
            <color indexed="81"/>
            <rFont val="Lucida Console"/>
            <family val="3"/>
          </rPr>
          <t>Tempo de Estoque (Meses)_x000D_
_x000D_
127,0</t>
        </r>
      </text>
    </comment>
    <comment ref="A289" authorId="0" shapeId="0" xr:uid="{CE846E17-20CF-4C92-AB0D-762A0253C672}">
      <text>
        <r>
          <rPr>
            <sz val="10"/>
            <color indexed="81"/>
            <rFont val="Lucida Console"/>
            <family val="3"/>
          </rPr>
          <t>_x000D_
53813</t>
        </r>
      </text>
    </comment>
    <comment ref="B289" authorId="0" shapeId="0" xr:uid="{913CE567-2E74-4EEB-AFD5-0072F1C467D9}">
      <text>
        <r>
          <rPr>
            <sz val="10"/>
            <color indexed="81"/>
            <rFont val="Lucida Console"/>
            <family val="3"/>
          </rPr>
          <t>DESCRIÇÃO DETALHADA_x000D_
FERRO TIPO U DE 2" X 1/8</t>
        </r>
      </text>
    </comment>
    <comment ref="G289" authorId="0" shapeId="0" xr:uid="{E5A88CA1-CA8B-4D7B-905F-613B86185370}">
      <text>
        <r>
          <rPr>
            <sz val="10"/>
            <color indexed="81"/>
            <rFont val="Lucida Console"/>
            <family val="3"/>
          </rPr>
          <t>_x000D_
Últ estimativa : 200_x000D_
Enviada em     : 25.09.2019_x000D_
Ata - Venc     : 175/17 - 10.10.2018</t>
        </r>
      </text>
    </comment>
    <comment ref="O289" authorId="0" shapeId="0" xr:uid="{2355BAE5-1310-464E-8E74-2521523E2277}">
      <text>
        <r>
          <rPr>
            <sz val="10"/>
            <color indexed="81"/>
            <rFont val="Lucida Console"/>
            <family val="3"/>
          </rPr>
          <t>_x000D_
Pertencia a ATA nº 175/17_x000D_
Estimativa de Renovação enviada em 25.09.2019 - Qtd 200_x000D_
PE  17/20 lote 10_x000D_
19.05.20 = Finalizar, contrato assinado.</t>
        </r>
      </text>
    </comment>
    <comment ref="W289" authorId="0" shapeId="0" xr:uid="{F83EE69E-E70C-4728-A247-BE40BDC5EDD4}">
      <text>
        <r>
          <rPr>
            <sz val="10"/>
            <color indexed="81"/>
            <rFont val="Lucida Console"/>
            <family val="3"/>
          </rPr>
          <t>_x000D_
DM-Construção</t>
        </r>
      </text>
    </comment>
    <comment ref="X289" authorId="0" shapeId="0" xr:uid="{04958643-1D88-4EF8-9A50-CCAA7B050E76}">
      <text>
        <r>
          <rPr>
            <sz val="10"/>
            <color indexed="81"/>
            <rFont val="Lucida Console"/>
            <family val="3"/>
          </rPr>
          <t>_x000D_
MAT.E EQUIP. P/ CONSTR.CIVIL E CONSERV. DE VIAS PUBL.</t>
        </r>
      </text>
    </comment>
    <comment ref="Y289" authorId="0" shapeId="0" xr:uid="{D2857E84-C875-44FD-8865-8BC95DA6444D}">
      <text>
        <r>
          <rPr>
            <sz val="10"/>
            <color indexed="81"/>
            <rFont val="Lucida Console"/>
            <family val="3"/>
          </rPr>
          <t>_x000D_
FERRAGENS E AFINS</t>
        </r>
      </text>
    </comment>
    <comment ref="AW289" authorId="0" shapeId="0" xr:uid="{EBFEF8BE-8B6D-4DD4-A012-212E0ABF38AF}">
      <text>
        <r>
          <rPr>
            <sz val="10"/>
            <color indexed="81"/>
            <rFont val="Lucida Console"/>
            <family val="3"/>
          </rPr>
          <t>Tempo de Estoque (Meses)_x000D_
_x000D_
234,0</t>
        </r>
      </text>
    </comment>
    <comment ref="A290" authorId="0" shapeId="0" xr:uid="{74D7CEDA-6DF9-4744-9ACC-21E4E879D8B2}">
      <text>
        <r>
          <rPr>
            <sz val="10"/>
            <color indexed="81"/>
            <rFont val="Lucida Console"/>
            <family val="3"/>
          </rPr>
          <t>_x000D_
53814</t>
        </r>
      </text>
    </comment>
    <comment ref="B290" authorId="0" shapeId="0" xr:uid="{C3C3E935-9325-480B-B769-79E600C4CDB8}">
      <text>
        <r>
          <rPr>
            <sz val="10"/>
            <color indexed="81"/>
            <rFont val="Lucida Console"/>
            <family val="3"/>
          </rPr>
          <t>DESCRIÇÃO DETALHADA_x000D_
FERRO TIPO U DE 3" X 1/8" - BARRA COM 06 METROS</t>
        </r>
      </text>
    </comment>
    <comment ref="G290" authorId="0" shapeId="0" xr:uid="{14A496ED-F3C3-479F-93E3-64613BC3FA2C}">
      <text>
        <r>
          <rPr>
            <sz val="10"/>
            <color indexed="81"/>
            <rFont val="Lucida Console"/>
            <family val="3"/>
          </rPr>
          <t>_x000D_
Últ estimativa : 150_x000D_
Enviada em     : 25.09.2019_x000D_
Ata - Venc     : 175/17 - 10.10.2018</t>
        </r>
      </text>
    </comment>
    <comment ref="O290" authorId="0" shapeId="0" xr:uid="{0A7F73DB-1024-4F52-87F1-E83E4690DE5B}">
      <text>
        <r>
          <rPr>
            <sz val="10"/>
            <color indexed="81"/>
            <rFont val="Lucida Console"/>
            <family val="3"/>
          </rPr>
          <t>_x000D_
Pertencia a ATA nº 175/17_x000D_
Estimativa de Renovação enviada em 25.09.2019 - Qtd 150_x000D_
PE  17/20 lote 11_x000D_
19.05.20 = Finalizar, contrato assinado.</t>
        </r>
      </text>
    </comment>
    <comment ref="W290" authorId="0" shapeId="0" xr:uid="{5A47BCB9-2F80-4F5D-AA13-F540682FB17C}">
      <text>
        <r>
          <rPr>
            <sz val="10"/>
            <color indexed="81"/>
            <rFont val="Lucida Console"/>
            <family val="3"/>
          </rPr>
          <t>_x000D_
DM-Construção</t>
        </r>
      </text>
    </comment>
    <comment ref="X290" authorId="0" shapeId="0" xr:uid="{8F1E7DE7-3947-41FE-B252-A8E03E1D46AC}">
      <text>
        <r>
          <rPr>
            <sz val="10"/>
            <color indexed="81"/>
            <rFont val="Lucida Console"/>
            <family val="3"/>
          </rPr>
          <t>_x000D_
MAT.E EQUIP. P/ CONSTR.CIVIL E CONSERV. DE VIAS PUBL.</t>
        </r>
      </text>
    </comment>
    <comment ref="Y290" authorId="0" shapeId="0" xr:uid="{C0051E85-F32F-475F-92AE-9BD3FC390D34}">
      <text>
        <r>
          <rPr>
            <sz val="10"/>
            <color indexed="81"/>
            <rFont val="Lucida Console"/>
            <family val="3"/>
          </rPr>
          <t>_x000D_
FERRAGENS E AFINS</t>
        </r>
      </text>
    </comment>
    <comment ref="AW290" authorId="0" shapeId="0" xr:uid="{2E29DE70-8338-4C48-BDAC-FC5954C96376}">
      <text>
        <r>
          <rPr>
            <sz val="10"/>
            <color indexed="81"/>
            <rFont val="Lucida Console"/>
            <family val="3"/>
          </rPr>
          <t>Tempo de Estoque (Meses)_x000D_
_x000D_
1.159,0</t>
        </r>
      </text>
    </comment>
    <comment ref="A291" authorId="0" shapeId="0" xr:uid="{64F5BEEC-01E0-44F2-B578-B672D2BEEC8E}">
      <text>
        <r>
          <rPr>
            <sz val="10"/>
            <color indexed="81"/>
            <rFont val="Lucida Console"/>
            <family val="3"/>
          </rPr>
          <t>_x000D_
105889</t>
        </r>
      </text>
    </comment>
    <comment ref="B291" authorId="0" shapeId="0" xr:uid="{F9B46392-93B0-4ABD-AC57-65E2D97A3E4E}">
      <text>
        <r>
          <rPr>
            <sz val="10"/>
            <color indexed="81"/>
            <rFont val="Lucida Console"/>
            <family val="3"/>
          </rPr>
          <t>DESCRIÇÃO DETALHADA_x000D_
PERFIL CADEIRA DE FERRO, MEDINDO 50 MM X 25 MM, BARRA COM 3 METROS.</t>
        </r>
      </text>
    </comment>
    <comment ref="G291" authorId="0" shapeId="0" xr:uid="{3F032908-FED7-4E7A-939C-910CD33A2394}">
      <text>
        <r>
          <rPr>
            <sz val="10"/>
            <color indexed="81"/>
            <rFont val="Lucida Console"/>
            <family val="3"/>
          </rPr>
          <t>_x000D_
Últ estimativa : 400_x000D_
Enviada em     : 25.09.2019_x000D_
Ata - Venc     : 175/17 - 10.10.2018</t>
        </r>
      </text>
    </comment>
    <comment ref="O291" authorId="0" shapeId="0" xr:uid="{66649ECA-382A-45B3-BD86-A8A559F64126}">
      <text>
        <r>
          <rPr>
            <sz val="10"/>
            <color indexed="81"/>
            <rFont val="Lucida Console"/>
            <family val="3"/>
          </rPr>
          <t>_x000D_
Pertencia a ATA nº 175/17_x000D_
Estimativa de Renovação enviada em 25.09.2019 - Qtd 400_x000D_
PE  17/20 lote _x000D_
19.05.20 = Finalizar, contrato assinado.</t>
        </r>
      </text>
    </comment>
    <comment ref="W291" authorId="0" shapeId="0" xr:uid="{D401825B-DC05-41D0-AA69-B8B821B05744}">
      <text>
        <r>
          <rPr>
            <sz val="10"/>
            <color indexed="81"/>
            <rFont val="Lucida Console"/>
            <family val="3"/>
          </rPr>
          <t>_x000D_
DM-Serralheria</t>
        </r>
      </text>
    </comment>
    <comment ref="X291" authorId="0" shapeId="0" xr:uid="{32F03361-0056-4996-98CF-ED8C336062B9}">
      <text>
        <r>
          <rPr>
            <sz val="10"/>
            <color indexed="81"/>
            <rFont val="Lucida Console"/>
            <family val="3"/>
          </rPr>
          <t>_x000D_
METAIS,LAMINAD.,PERFILADOS E ARTEFATOS METALICOS</t>
        </r>
      </text>
    </comment>
    <comment ref="Y291" authorId="0" shapeId="0" xr:uid="{858B0B11-46F0-4130-A2B4-384C3F557E3C}">
      <text>
        <r>
          <rPr>
            <sz val="10"/>
            <color indexed="81"/>
            <rFont val="Lucida Console"/>
            <family val="3"/>
          </rPr>
          <t>_x000D_
PERFIS E BARRA</t>
        </r>
      </text>
    </comment>
    <comment ref="AW291" authorId="0" shapeId="0" xr:uid="{1041A764-9917-4494-A334-746E7F8621B2}">
      <text>
        <r>
          <rPr>
            <sz val="10"/>
            <color indexed="81"/>
            <rFont val="Lucida Console"/>
            <family val="3"/>
          </rPr>
          <t>Tempo de Estoque (Meses)_x000D_
_x000D_
369,0</t>
        </r>
      </text>
    </comment>
    <comment ref="A292" authorId="0" shapeId="0" xr:uid="{60B08787-CF36-4A5F-AA20-0C2C32A02E56}">
      <text>
        <r>
          <rPr>
            <sz val="10"/>
            <color indexed="81"/>
            <rFont val="Lucida Console"/>
            <family val="3"/>
          </rPr>
          <t>_x000D_
12616</t>
        </r>
      </text>
    </comment>
    <comment ref="B292" authorId="0" shapeId="0" xr:uid="{8F8D2442-FA01-40A3-BF87-EB4718986AFB}">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292" authorId="0" shapeId="0" xr:uid="{EEA7780D-81C9-4223-90C3-7362580BF21E}">
      <text>
        <r>
          <rPr>
            <sz val="10"/>
            <color indexed="81"/>
            <rFont val="Lucida Console"/>
            <family val="3"/>
          </rPr>
          <t>_x000D_
Últ estimativa : 60.000_x000D_
Enviada em     : 22.04.2021_x000D_
Ata - Venc     : 176/20 - 19.08.2021</t>
        </r>
      </text>
    </comment>
    <comment ref="O292" authorId="0" shapeId="0" xr:uid="{6F8054C5-9BB8-4329-9220-A2F85C45D8CA}">
      <text>
        <r>
          <rPr>
            <sz val="10"/>
            <color indexed="81"/>
            <rFont val="Lucida Console"/>
            <family val="3"/>
          </rPr>
          <t>_x000D_
Pertencia a ATA nº 176/20_x000D_
Estimativa de Renovação enviada em 22.04.2021 - Qtd 60.000_x000D_
PE  60/19 lote _x000D_
24.09.19 = Processo conferido, finalizado.</t>
        </r>
      </text>
    </comment>
    <comment ref="W292" authorId="0" shapeId="0" xr:uid="{E1FF3939-9CBC-4EA9-BD49-B7AE782DC7B5}">
      <text>
        <r>
          <rPr>
            <sz val="10"/>
            <color indexed="81"/>
            <rFont val="Lucida Console"/>
            <family val="3"/>
          </rPr>
          <t>_x000D_
Pedagógico</t>
        </r>
      </text>
    </comment>
    <comment ref="X292" authorId="0" shapeId="0" xr:uid="{2A453B8C-BEAA-4ACA-BF99-3F185AF8FB5E}">
      <text>
        <r>
          <rPr>
            <sz val="10"/>
            <color indexed="81"/>
            <rFont val="Lucida Console"/>
            <family val="3"/>
          </rPr>
          <t>_x000D_
MAQ. E EQUIP. P/ IND. GRAFICA COMP. ACESS. E PAPEI</t>
        </r>
      </text>
    </comment>
    <comment ref="Y292" authorId="0" shapeId="0" xr:uid="{D1C83FEC-B41F-49F8-8C64-4127B33F505D}">
      <text>
        <r>
          <rPr>
            <sz val="10"/>
            <color indexed="81"/>
            <rFont val="Lucida Console"/>
            <family val="3"/>
          </rPr>
          <t>_x000D_
PAPEIS PARA COPIADORAS EM GERAL</t>
        </r>
      </text>
    </comment>
    <comment ref="AW292" authorId="0" shapeId="0" xr:uid="{514E69AE-2FCF-4531-BDD2-8B825BF8803D}">
      <text>
        <r>
          <rPr>
            <sz val="10"/>
            <color indexed="81"/>
            <rFont val="Lucida Console"/>
            <family val="3"/>
          </rPr>
          <t>Tempo de Estoque (Meses)_x000D_
_x000D_
22.355,0</t>
        </r>
      </text>
    </comment>
    <comment ref="A293" authorId="0" shapeId="0" xr:uid="{2ABCA8A3-80FC-44EB-B5AA-EC5EDCF81DDB}">
      <text>
        <r>
          <rPr>
            <sz val="10"/>
            <color indexed="81"/>
            <rFont val="Lucida Console"/>
            <family val="3"/>
          </rPr>
          <t>_x000D_
12654</t>
        </r>
      </text>
    </comment>
    <comment ref="B293" authorId="0" shapeId="0" xr:uid="{160D8418-F7C5-459D-BD68-3312AC011705}">
      <text>
        <r>
          <rPr>
            <sz val="10"/>
            <color indexed="81"/>
            <rFont val="Lucida Console"/>
            <family val="3"/>
          </rPr>
          <t>DESCRIÇÃO DETALHADA_x000D_
COPO PLASTICO DESCARTAVEL - 180 ML - PT C/ 100 UN (AGUA)- DE ACORDO COM A NORMA DA ABNT NBR 14.865</t>
        </r>
      </text>
    </comment>
    <comment ref="G293" authorId="0" shapeId="0" xr:uid="{804CAEDC-A845-4186-9975-F1DC241003CA}">
      <text>
        <r>
          <rPr>
            <sz val="10"/>
            <color indexed="81"/>
            <rFont val="Lucida Console"/>
            <family val="3"/>
          </rPr>
          <t>_x000D_
Últ estimativa : 80.000_x000D_
Enviada em     : 22.04.2021_x000D_
Ata - Venc     : 178/20 - 20.08.2021</t>
        </r>
      </text>
    </comment>
    <comment ref="O293" authorId="0" shapeId="0" xr:uid="{A49F8DBE-29DD-48A6-A2EC-19A5E56280F9}">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293" authorId="0" shapeId="0" xr:uid="{2D72455F-CF0A-43BE-9B01-83732FB44D00}">
      <text>
        <r>
          <rPr>
            <sz val="10"/>
            <color indexed="81"/>
            <rFont val="Lucida Console"/>
            <family val="3"/>
          </rPr>
          <t>_x000D_
Administrativo</t>
        </r>
      </text>
    </comment>
    <comment ref="X293" authorId="0" shapeId="0" xr:uid="{344E3969-B900-4598-8DEB-CC6DFC5AE02A}">
      <text>
        <r>
          <rPr>
            <sz val="10"/>
            <color indexed="81"/>
            <rFont val="Lucida Console"/>
            <family val="3"/>
          </rPr>
          <t>_x000D_
EQUIP.E MAT. P/REFEITORIO, COPA E COZINHA</t>
        </r>
      </text>
    </comment>
    <comment ref="Y293" authorId="0" shapeId="0" xr:uid="{769EA9DB-62A2-4B22-A235-E400B08F513C}">
      <text>
        <r>
          <rPr>
            <sz val="10"/>
            <color indexed="81"/>
            <rFont val="Lucida Console"/>
            <family val="3"/>
          </rPr>
          <t>_x000D_
CANECAS, XICARAS, COPOS E TACAS</t>
        </r>
      </text>
    </comment>
    <comment ref="AW293" authorId="0" shapeId="0" xr:uid="{68262658-5287-43F6-9504-0FFD182B31E0}">
      <text>
        <r>
          <rPr>
            <sz val="10"/>
            <color indexed="81"/>
            <rFont val="Lucida Console"/>
            <family val="3"/>
          </rPr>
          <t>Tempo de Estoque (Meses)_x000D_
_x000D_
62.448,0</t>
        </r>
      </text>
    </comment>
    <comment ref="A294" authorId="0" shapeId="0" xr:uid="{5F13C9B8-E57A-403B-AE2F-BD278F4E4862}">
      <text>
        <r>
          <rPr>
            <sz val="10"/>
            <color indexed="81"/>
            <rFont val="Lucida Console"/>
            <family val="3"/>
          </rPr>
          <t>_x000D_
130024</t>
        </r>
      </text>
    </comment>
    <comment ref="B294" authorId="0" shapeId="0" xr:uid="{0374F4BA-1571-4DD0-8F2C-A667A3C9007F}">
      <text>
        <r>
          <rPr>
            <sz val="10"/>
            <color indexed="81"/>
            <rFont val="Lucida Console"/>
            <family val="3"/>
          </rPr>
          <t>DESCRIÇÃO DETALHADA_x000D_
COADOR DE PAPEL P/ CAFE N° 103 - CAIXA COM 30 UNIDADES</t>
        </r>
      </text>
    </comment>
    <comment ref="G294" authorId="0" shapeId="0" xr:uid="{825F22C0-CE8F-4FA3-96A8-85A010971AB0}">
      <text>
        <r>
          <rPr>
            <sz val="10"/>
            <color indexed="81"/>
            <rFont val="Lucida Console"/>
            <family val="3"/>
          </rPr>
          <t>_x000D_
Últ estimativa : 5.000_x000D_
Enviada em     : 22.04.2021_x000D_
Ata - Venc     : 178/20 - 20.08.2021</t>
        </r>
      </text>
    </comment>
    <comment ref="O294" authorId="0" shapeId="0" xr:uid="{98A73515-8F2B-4CA0-B0AF-E5426192D2C2}">
      <text>
        <r>
          <rPr>
            <sz val="10"/>
            <color indexed="81"/>
            <rFont val="Lucida Console"/>
            <family val="3"/>
          </rPr>
          <t>_x000D_
Pertencia a ATA nº 178/20_x000D_
Estimativa de Renovação enviada em 22.04.2021 - Qtd 5.000_x000D_
PE  44/19 lote _x000D_
20.08.19 = Abertura 11/07/2019 08:30 BB773035 Pregoeiro Lucio</t>
        </r>
      </text>
    </comment>
    <comment ref="W294" authorId="0" shapeId="0" xr:uid="{549326F0-1140-4621-AAE6-4AF80BAA40B4}">
      <text>
        <r>
          <rPr>
            <sz val="10"/>
            <color indexed="81"/>
            <rFont val="Lucida Console"/>
            <family val="3"/>
          </rPr>
          <t>_x000D_
Administrativo</t>
        </r>
      </text>
    </comment>
    <comment ref="X294" authorId="0" shapeId="0" xr:uid="{367F4109-DE1F-4E90-988A-E9A50E026F19}">
      <text>
        <r>
          <rPr>
            <sz val="10"/>
            <color indexed="81"/>
            <rFont val="Lucida Console"/>
            <family val="3"/>
          </rPr>
          <t>_x000D_
EQUIP.E MAT. P/REFEITORIO, COPA E COZINHA</t>
        </r>
      </text>
    </comment>
    <comment ref="Y294" authorId="0" shapeId="0" xr:uid="{2902E605-46A4-4424-B06B-8E52BE26364D}">
      <text>
        <r>
          <rPr>
            <sz val="10"/>
            <color indexed="81"/>
            <rFont val="Lucida Console"/>
            <family val="3"/>
          </rPr>
          <t>_x000D_
BACIAS, PENEIRAS, ESCORREDORES E COADORES</t>
        </r>
      </text>
    </comment>
    <comment ref="AW294" authorId="0" shapeId="0" xr:uid="{F31A394E-2A42-47B6-BDD0-4204FB5E55F4}">
      <text>
        <r>
          <rPr>
            <sz val="10"/>
            <color indexed="81"/>
            <rFont val="Lucida Console"/>
            <family val="3"/>
          </rPr>
          <t>Tempo de Estoque (Meses)_x000D_
_x000D_
467,0</t>
        </r>
      </text>
    </comment>
    <comment ref="A295" authorId="0" shapeId="0" xr:uid="{14F5FA4F-48F7-42C3-9023-AE49278BA3C2}">
      <text>
        <r>
          <rPr>
            <sz val="10"/>
            <color indexed="81"/>
            <rFont val="Lucida Console"/>
            <family val="3"/>
          </rPr>
          <t>_x000D_
12659</t>
        </r>
      </text>
    </comment>
    <comment ref="B295" authorId="0" shapeId="0" xr:uid="{68A6A392-D5CF-4008-9159-BE159F706AB4}">
      <text>
        <r>
          <rPr>
            <sz val="10"/>
            <color indexed="81"/>
            <rFont val="Lucida Console"/>
            <family val="3"/>
          </rPr>
          <t xml:space="preserve">DESCRIÇÃO DETALHADA_x000D_
PANO P/ COPA ATOALHADO (FELPUDO), 100% ALGODAO - MEDIDAS: 41 X 62 CM </t>
        </r>
      </text>
    </comment>
    <comment ref="G295" authorId="0" shapeId="0" xr:uid="{46A14E0B-6A8F-45C6-AA56-968AD9918B9E}">
      <text>
        <r>
          <rPr>
            <sz val="10"/>
            <color indexed="81"/>
            <rFont val="Lucida Console"/>
            <family val="3"/>
          </rPr>
          <t>_x000D_
Últ estimativa : 2.800_x000D_
Enviada em     : 22.04.2021_x000D_
Ata - Venc     : 178/20 - 20.08.2021</t>
        </r>
      </text>
    </comment>
    <comment ref="O295" authorId="0" shapeId="0" xr:uid="{3D7D3922-95BE-4911-89AE-8FB07CA04F81}">
      <text>
        <r>
          <rPr>
            <sz val="10"/>
            <color indexed="81"/>
            <rFont val="Lucida Console"/>
            <family val="3"/>
          </rPr>
          <t xml:space="preserve">_x000D_
Pertencia a ATA nº 178/20_x000D_
Estimativa de Renovação enviada em 22.04.2021 - Qtd 2.800_x000D_
PE 122/21 lote _x000D_
 = </t>
        </r>
      </text>
    </comment>
    <comment ref="W295" authorId="0" shapeId="0" xr:uid="{FA8A58C6-C3A1-49D0-A714-C02D1D5390C3}">
      <text>
        <r>
          <rPr>
            <sz val="10"/>
            <color indexed="81"/>
            <rFont val="Lucida Console"/>
            <family val="3"/>
          </rPr>
          <t>_x000D_
Administrativo</t>
        </r>
      </text>
    </comment>
    <comment ref="X295" authorId="0" shapeId="0" xr:uid="{93197B8C-35D2-4081-9E1E-6D746ADFDFDD}">
      <text>
        <r>
          <rPr>
            <sz val="10"/>
            <color indexed="81"/>
            <rFont val="Lucida Console"/>
            <family val="3"/>
          </rPr>
          <t>_x000D_
MAQ.EQUIP.E MATERIAIS P/ HIGIEN.LIMP.POLIM.E LUBR.</t>
        </r>
      </text>
    </comment>
    <comment ref="Y295" authorId="0" shapeId="0" xr:uid="{6325299B-8113-4D87-8954-11A08A15DE6C}">
      <text>
        <r>
          <rPr>
            <sz val="10"/>
            <color indexed="81"/>
            <rFont val="Lucida Console"/>
            <family val="3"/>
          </rPr>
          <t>_x000D_
PANO PARA CHAO, COPA E FLANELA</t>
        </r>
      </text>
    </comment>
    <comment ref="AW295" authorId="0" shapeId="0" xr:uid="{A936F663-1643-462E-A875-701BB9EF6D38}">
      <text>
        <r>
          <rPr>
            <sz val="10"/>
            <color indexed="81"/>
            <rFont val="Lucida Console"/>
            <family val="3"/>
          </rPr>
          <t>Tempo de Estoque (Meses)_x000D_
_x000D_
79,0</t>
        </r>
      </text>
    </comment>
    <comment ref="A296" authorId="0" shapeId="0" xr:uid="{1B036456-8C87-40F9-8188-373B4A992AAA}">
      <text>
        <r>
          <rPr>
            <sz val="10"/>
            <color indexed="81"/>
            <rFont val="Lucida Console"/>
            <family val="3"/>
          </rPr>
          <t>_x000D_
17115</t>
        </r>
      </text>
    </comment>
    <comment ref="B296" authorId="0" shapeId="0" xr:uid="{B00A24B2-EA8E-43EF-A9F1-D790EE57D80D}">
      <text>
        <r>
          <rPr>
            <sz val="10"/>
            <color indexed="81"/>
            <rFont val="Lucida Console"/>
            <family val="3"/>
          </rPr>
          <t>DESCRIÇÃO DETALHADA_x000D_
GUARDANAPO DE PAPEL 23 X 22 CM - PACOTE COM 50 UNIDADES</t>
        </r>
      </text>
    </comment>
    <comment ref="G296" authorId="0" shapeId="0" xr:uid="{017413F4-BCAC-4137-8C22-4D2F68FF88E0}">
      <text>
        <r>
          <rPr>
            <sz val="10"/>
            <color indexed="81"/>
            <rFont val="Lucida Console"/>
            <family val="3"/>
          </rPr>
          <t>_x000D_
Últ estimativa : 10.000_x000D_
Enviada em     : 22.04.2021_x000D_
Ata - Venc     : 178/20 - 20.08.2021</t>
        </r>
      </text>
    </comment>
    <comment ref="O296" authorId="0" shapeId="0" xr:uid="{6C634E0C-4C54-44A0-B560-61146EAE8805}">
      <text>
        <r>
          <rPr>
            <sz val="10"/>
            <color indexed="81"/>
            <rFont val="Lucida Console"/>
            <family val="3"/>
          </rPr>
          <t xml:space="preserve">_x000D_
Pertencia a ATA nº 178/20_x000D_
Estimativa de Renovação enviada em 22.04.2021 - Qtd 10.000_x000D_
PE 122/21 lote _x000D_
 = </t>
        </r>
      </text>
    </comment>
    <comment ref="W296" authorId="0" shapeId="0" xr:uid="{A05C0E66-5587-4712-8BF4-0ABE6FFD4E2D}">
      <text>
        <r>
          <rPr>
            <sz val="10"/>
            <color indexed="81"/>
            <rFont val="Lucida Console"/>
            <family val="3"/>
          </rPr>
          <t>_x000D_
Administrativo</t>
        </r>
      </text>
    </comment>
    <comment ref="X296" authorId="0" shapeId="0" xr:uid="{4AD02C10-C8F7-45BA-A0CD-31B3484BA7E6}">
      <text>
        <r>
          <rPr>
            <sz val="10"/>
            <color indexed="81"/>
            <rFont val="Lucida Console"/>
            <family val="3"/>
          </rPr>
          <t>_x000D_
ART. DOMEST. DECO. GUARNI. DE AMBI.TECI. VEICULOS</t>
        </r>
      </text>
    </comment>
    <comment ref="Y296" authorId="0" shapeId="0" xr:uid="{591EF136-FBEB-4D99-A6F3-647331A5112C}">
      <text>
        <r>
          <rPr>
            <sz val="10"/>
            <color indexed="81"/>
            <rFont val="Lucida Console"/>
            <family val="3"/>
          </rPr>
          <t>_x000D_
ART. P/ CAMA MESA E BANHO</t>
        </r>
      </text>
    </comment>
    <comment ref="AC296" authorId="0" shapeId="0" xr:uid="{C436C1A0-E2B5-426E-9712-AC7C2ACBEA6A}">
      <text>
        <r>
          <rPr>
            <sz val="10"/>
            <color indexed="81"/>
            <rFont val="Lucida Console"/>
            <family val="3"/>
          </rPr>
          <t>_x000D_
AF  4.567/23 | Vc 24.05.2023 | Saldo  4.000 | CLEANING DISTRIBUIDORA DE PRODUTOS DE LIMPEZA LTDA ( 233259 )</t>
        </r>
      </text>
    </comment>
    <comment ref="AG296" authorId="0" shapeId="0" xr:uid="{4A48496A-99BC-4E9B-B2DE-1DE8C6721716}">
      <text>
        <r>
          <rPr>
            <sz val="10"/>
            <color indexed="81"/>
            <rFont val="Lucida Console"/>
            <family val="3"/>
          </rPr>
          <t>_x000D_
AF  4.567/23 | Vc 24.05.2023 | Saldo  4.000 | CLEANING DISTRIBUIDORA DE PRODUTOS DE LIMPEZA LTDA ( 233259 )</t>
        </r>
      </text>
    </comment>
    <comment ref="AW296" authorId="0" shapeId="0" xr:uid="{B5C4870F-6CCE-47DF-8255-A822DB732698}">
      <text>
        <r>
          <rPr>
            <sz val="10"/>
            <color indexed="81"/>
            <rFont val="Lucida Console"/>
            <family val="3"/>
          </rPr>
          <t>Tempo de Estoque (Meses)_x000D_
_x000D_
0,0</t>
        </r>
      </text>
    </comment>
    <comment ref="A297" authorId="0" shapeId="0" xr:uid="{AE7D406A-9870-46C1-978E-3D422B8F1FCA}">
      <text>
        <r>
          <rPr>
            <sz val="10"/>
            <color indexed="81"/>
            <rFont val="Lucida Console"/>
            <family val="3"/>
          </rPr>
          <t>_x000D_
26504</t>
        </r>
      </text>
    </comment>
    <comment ref="B297" authorId="0" shapeId="0" xr:uid="{D9DCEB0C-67AA-48A4-85C0-3AAFB017E9B7}">
      <text>
        <r>
          <rPr>
            <sz val="10"/>
            <color indexed="81"/>
            <rFont val="Lucida Console"/>
            <family val="3"/>
          </rPr>
          <t>DESCRIÇÃO DETALHADA_x000D_
ENCOSTO EM MADEIRA  EM LAMINADO MELAMINICO 10MM LISO 30 X 16CM - VERDE CLARO</t>
        </r>
      </text>
    </comment>
    <comment ref="G297" authorId="0" shapeId="0" xr:uid="{62EF9065-B365-4C8E-9186-012AEE0A9878}">
      <text>
        <r>
          <rPr>
            <sz val="10"/>
            <color indexed="81"/>
            <rFont val="Lucida Console"/>
            <family val="3"/>
          </rPr>
          <t>_x000D_
Últ estimativa : 2.500_x000D_
Enviada em     : 19.05.2020_x000D_
Ata - Venc     : 181/20 - 24.08.2021</t>
        </r>
      </text>
    </comment>
    <comment ref="O297" authorId="0" shapeId="0" xr:uid="{789BBBDB-041C-4D7E-AF62-687036899D6D}">
      <text>
        <r>
          <rPr>
            <sz val="10"/>
            <color indexed="81"/>
            <rFont val="Lucida Console"/>
            <family val="3"/>
          </rPr>
          <t>_x000D_
Pertencia a ATA nº 181/20_x000D_
Estimativa de Renovação enviada em 19.05.2020 - Qtd 2.500_x000D_
PE  71/19 lote _x000D_
01.10.19 = Finalizar, contrato assinado.</t>
        </r>
      </text>
    </comment>
    <comment ref="W297" authorId="0" shapeId="0" xr:uid="{A25DD011-1E7B-43BE-8FAE-5710445125E3}">
      <text>
        <r>
          <rPr>
            <sz val="10"/>
            <color indexed="81"/>
            <rFont val="Lucida Console"/>
            <family val="3"/>
          </rPr>
          <t>_x000D_
Pedagógico</t>
        </r>
      </text>
    </comment>
    <comment ref="X297" authorId="0" shapeId="0" xr:uid="{89502993-F459-4915-B9FA-D2AB52A3685A}">
      <text>
        <r>
          <rPr>
            <sz val="10"/>
            <color indexed="81"/>
            <rFont val="Lucida Console"/>
            <family val="3"/>
          </rPr>
          <t>_x000D_
MOBILIARIO E COFRE</t>
        </r>
      </text>
    </comment>
    <comment ref="Y297" authorId="0" shapeId="0" xr:uid="{8E32DB5D-DAA0-4424-B65C-194723F1E097}">
      <text>
        <r>
          <rPr>
            <sz val="10"/>
            <color indexed="81"/>
            <rFont val="Lucida Console"/>
            <family val="3"/>
          </rPr>
          <t>_x000D_
MOBILIARIO ESCOLAR</t>
        </r>
      </text>
    </comment>
    <comment ref="AW297" authorId="0" shapeId="0" xr:uid="{7EB9BC02-E253-4131-8E6F-A512C30AA8FD}">
      <text>
        <r>
          <rPr>
            <sz val="10"/>
            <color indexed="81"/>
            <rFont val="Lucida Console"/>
            <family val="3"/>
          </rPr>
          <t>Tempo de Estoque (Meses)_x000D_
_x000D_
750,0</t>
        </r>
      </text>
    </comment>
    <comment ref="A298" authorId="0" shapeId="0" xr:uid="{DED0CD54-4327-4667-966E-D4EADFE6909A}">
      <text>
        <r>
          <rPr>
            <sz val="10"/>
            <color indexed="81"/>
            <rFont val="Lucida Console"/>
            <family val="3"/>
          </rPr>
          <t>_x000D_
26506</t>
        </r>
      </text>
    </comment>
    <comment ref="B298" authorId="0" shapeId="0" xr:uid="{CD324FCB-E317-4BC4-B4D0-DB4DBC5D7724}">
      <text>
        <r>
          <rPr>
            <sz val="10"/>
            <color indexed="81"/>
            <rFont val="Lucida Console"/>
            <family val="3"/>
          </rPr>
          <t>DESCRIÇÃO DETALHADA_x000D_
ASSENTO EM MADEIRA  REVESTIDO C/ LAMINADO MELAMINICO 10 MM LISO 29,5 X 29,5 CM - VERDE CLARO</t>
        </r>
      </text>
    </comment>
    <comment ref="G298" authorId="0" shapeId="0" xr:uid="{A1D7222A-66B7-43C7-B5E4-75A9E537B401}">
      <text>
        <r>
          <rPr>
            <sz val="10"/>
            <color indexed="81"/>
            <rFont val="Lucida Console"/>
            <family val="3"/>
          </rPr>
          <t>_x000D_
Últ estimativa : 2.500_x000D_
Enviada em     : 19.05.2020_x000D_
Ata - Venc     : 181/20 - 24.08.2021</t>
        </r>
      </text>
    </comment>
    <comment ref="O298" authorId="0" shapeId="0" xr:uid="{2E9857F7-166C-4390-A96C-9DA185FFF8EE}">
      <text>
        <r>
          <rPr>
            <sz val="10"/>
            <color indexed="81"/>
            <rFont val="Lucida Console"/>
            <family val="3"/>
          </rPr>
          <t>_x000D_
Pertencia a ATA nº 181/20_x000D_
Estimativa de Renovação enviada em 19.05.2020 - Qtd 2.500_x000D_
PE  71/19 lote _x000D_
01.10.19 = Finalizar, contrato assinado.</t>
        </r>
      </text>
    </comment>
    <comment ref="W298" authorId="0" shapeId="0" xr:uid="{379868CF-B954-455F-BFFB-73DEC101D551}">
      <text>
        <r>
          <rPr>
            <sz val="10"/>
            <color indexed="81"/>
            <rFont val="Lucida Console"/>
            <family val="3"/>
          </rPr>
          <t>_x000D_
Pedagógico</t>
        </r>
      </text>
    </comment>
    <comment ref="X298" authorId="0" shapeId="0" xr:uid="{7FB43761-0AB0-4807-80C3-8D31B9569026}">
      <text>
        <r>
          <rPr>
            <sz val="10"/>
            <color indexed="81"/>
            <rFont val="Lucida Console"/>
            <family val="3"/>
          </rPr>
          <t>_x000D_
MOBILIARIO E COFRE</t>
        </r>
      </text>
    </comment>
    <comment ref="Y298" authorId="0" shapeId="0" xr:uid="{96956B18-91CF-4BCB-8E20-9FEBE3767507}">
      <text>
        <r>
          <rPr>
            <sz val="10"/>
            <color indexed="81"/>
            <rFont val="Lucida Console"/>
            <family val="3"/>
          </rPr>
          <t>_x000D_
MOBILIARIO ESCOLAR</t>
        </r>
      </text>
    </comment>
    <comment ref="AW298" authorId="0" shapeId="0" xr:uid="{13376E43-3965-498A-AEDE-ABA18C115B1F}">
      <text>
        <r>
          <rPr>
            <sz val="10"/>
            <color indexed="81"/>
            <rFont val="Lucida Console"/>
            <family val="3"/>
          </rPr>
          <t>Tempo de Estoque (Meses)_x000D_
_x000D_
750,0</t>
        </r>
      </text>
    </comment>
    <comment ref="A299" authorId="0" shapeId="0" xr:uid="{45B2DE15-2601-4C20-AFF5-3F2EE168CC44}">
      <text>
        <r>
          <rPr>
            <sz val="10"/>
            <color indexed="81"/>
            <rFont val="Lucida Console"/>
            <family val="3"/>
          </rPr>
          <t>_x000D_
125641</t>
        </r>
      </text>
    </comment>
    <comment ref="B299" authorId="0" shapeId="0" xr:uid="{CB190A06-3445-4BC6-881E-1BBF09EF10C6}">
      <text>
        <r>
          <rPr>
            <sz val="10"/>
            <color indexed="81"/>
            <rFont val="Lucida Console"/>
            <family val="3"/>
          </rPr>
          <t>DESCRIÇÃO DETALHADA_x000D_
PAPEL HIGIENICO 30 M X 10 CM, CLASSE 01, FOLHA DUPLA, GOFRADO, COR BRANCA, NEUTRO, MATERIA PRIMA 100% FIBRAS NATURAIS</t>
        </r>
      </text>
    </comment>
    <comment ref="G299" authorId="0" shapeId="0" xr:uid="{18EB637A-3A42-4E04-B744-ADB0818E61CF}">
      <text>
        <r>
          <rPr>
            <sz val="10"/>
            <color indexed="81"/>
            <rFont val="Lucida Console"/>
            <family val="3"/>
          </rPr>
          <t>_x000D_
Últ estimativa : 20.000_x000D_
Enviada em     : 22.04.2021_x000D_
Ata - Venc     : 183/20 - 24.08.2021</t>
        </r>
      </text>
    </comment>
    <comment ref="O299" authorId="0" shapeId="0" xr:uid="{890446DC-7875-4446-86FF-8144416FA323}">
      <text>
        <r>
          <rPr>
            <sz val="10"/>
            <color indexed="81"/>
            <rFont val="Lucida Console"/>
            <family val="3"/>
          </rPr>
          <t xml:space="preserve">_x000D_
Pertencia a ATA nº 183/20_x000D_
Estimativa de Renovação enviada em 22.04.2021 - Qtd 20.000_x000D_
PE 122/21 lote _x000D_
 = </t>
        </r>
      </text>
    </comment>
    <comment ref="W299" authorId="0" shapeId="0" xr:uid="{2C3401B2-3632-48CA-A982-2576022C273E}">
      <text>
        <r>
          <rPr>
            <sz val="10"/>
            <color indexed="81"/>
            <rFont val="Lucida Console"/>
            <family val="3"/>
          </rPr>
          <t>_x000D_
Administrativo</t>
        </r>
      </text>
    </comment>
    <comment ref="X299" authorId="0" shapeId="0" xr:uid="{5A265CFC-F4A7-4E4A-B220-D989DFE65546}">
      <text>
        <r>
          <rPr>
            <sz val="10"/>
            <color indexed="81"/>
            <rFont val="Lucida Console"/>
            <family val="3"/>
          </rPr>
          <t>_x000D_
VEST., ART.P/ TOUC.E HIG. PES. MAQ., EQUIP., MAT.E ACES.</t>
        </r>
      </text>
    </comment>
    <comment ref="Y299" authorId="0" shapeId="0" xr:uid="{FC1FA577-E2F9-4E0F-A8C6-E8C43102B1EA}">
      <text>
        <r>
          <rPr>
            <sz val="10"/>
            <color indexed="81"/>
            <rFont val="Lucida Console"/>
            <family val="3"/>
          </rPr>
          <t>_x000D_
PAPEL HIG., ABSORVENTE INT., PAP.TOA., LENCO DE PAPEL</t>
        </r>
      </text>
    </comment>
    <comment ref="AW299" authorId="0" shapeId="0" xr:uid="{D30CB855-99FC-4C1B-B6D6-F328D85EF1B6}">
      <text>
        <r>
          <rPr>
            <sz val="10"/>
            <color indexed="81"/>
            <rFont val="Lucida Console"/>
            <family val="3"/>
          </rPr>
          <t>Tempo de Estoque (Meses)_x000D_
_x000D_
7.202,0</t>
        </r>
      </text>
    </comment>
    <comment ref="A300" authorId="0" shapeId="0" xr:uid="{EF851AE0-5543-4ED4-A34A-CCFE962CF48D}">
      <text>
        <r>
          <rPr>
            <sz val="10"/>
            <color indexed="81"/>
            <rFont val="Lucida Console"/>
            <family val="3"/>
          </rPr>
          <t>_x000D_
80298</t>
        </r>
      </text>
    </comment>
    <comment ref="B300" authorId="0" shapeId="0" xr:uid="{FC5FA637-6FC6-424A-AF80-108B320C52BE}">
      <text>
        <r>
          <rPr>
            <sz val="10"/>
            <color indexed="81"/>
            <rFont val="Lucida Console"/>
            <family val="3"/>
          </rPr>
          <t>DESCRIÇÃO DETALHADA_x000D_
TELA ONDULADA FIO 14, MALHA 3/4 - MED. 10 X 2,00 M</t>
        </r>
      </text>
    </comment>
    <comment ref="G300" authorId="0" shapeId="0" xr:uid="{23E3304C-87B6-4A9A-88C8-30983A1406C2}">
      <text>
        <r>
          <rPr>
            <sz val="10"/>
            <color indexed="81"/>
            <rFont val="Lucida Console"/>
            <family val="3"/>
          </rPr>
          <t>_x000D_
Últ estimativa : 200_x000D_
Enviada em     : 26.04.2018_x000D_
Ata - Venc     : 186/18 - 04.09.2019</t>
        </r>
      </text>
    </comment>
    <comment ref="O300" authorId="0" shapeId="0" xr:uid="{BEC34DEA-8A34-4111-9351-E26603A7F78F}">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300" authorId="0" shapeId="0" xr:uid="{0586C172-EF64-4F6E-931E-740C71065D6F}">
      <text>
        <r>
          <rPr>
            <sz val="10"/>
            <color indexed="81"/>
            <rFont val="Lucida Console"/>
            <family val="3"/>
          </rPr>
          <t>_x000D_
DM-Construção</t>
        </r>
      </text>
    </comment>
    <comment ref="X300" authorId="0" shapeId="0" xr:uid="{D6363DAD-B018-4A73-AA2F-749A4D685316}">
      <text>
        <r>
          <rPr>
            <sz val="10"/>
            <color indexed="81"/>
            <rFont val="Lucida Console"/>
            <family val="3"/>
          </rPr>
          <t>_x000D_
MAT.E EQUIP. P/ CONSTR.CIVIL E CONSERV. DE VIAS PUBL.</t>
        </r>
      </text>
    </comment>
    <comment ref="Y300" authorId="0" shapeId="0" xr:uid="{4547AB09-1F16-4903-8081-D3566DD16EAE}">
      <text>
        <r>
          <rPr>
            <sz val="10"/>
            <color indexed="81"/>
            <rFont val="Lucida Console"/>
            <family val="3"/>
          </rPr>
          <t>_x000D_
TELAS DE MALHA FINA, GROSSA, DE ALAMBRADO E MOUROES</t>
        </r>
      </text>
    </comment>
    <comment ref="AW300" authorId="0" shapeId="0" xr:uid="{A4E69543-3FA3-4722-9E10-09FCA0D4ABEF}">
      <text>
        <r>
          <rPr>
            <sz val="10"/>
            <color indexed="81"/>
            <rFont val="Lucida Console"/>
            <family val="3"/>
          </rPr>
          <t>Tempo de Estoque (Meses)_x000D_
_x000D_
35,0</t>
        </r>
      </text>
    </comment>
    <comment ref="A301" authorId="0" shapeId="0" xr:uid="{1D166904-DF13-480E-BF50-E73D719D6D5A}">
      <text>
        <r>
          <rPr>
            <sz val="10"/>
            <color indexed="81"/>
            <rFont val="Lucida Console"/>
            <family val="3"/>
          </rPr>
          <t>_x000D_
129962</t>
        </r>
      </text>
    </comment>
    <comment ref="B301" authorId="0" shapeId="0" xr:uid="{BF72A2CE-3755-4B29-AED7-281C069B618B}">
      <text>
        <r>
          <rPr>
            <sz val="10"/>
            <color indexed="81"/>
            <rFont val="Lucida Console"/>
            <family val="3"/>
          </rPr>
          <t>DESCRIÇÃO DETALHADA_x000D_
DISJUNTOR TRIPOLAR IN 300 A, TENSAO MINIMA DE OPERACAO 220V, CURVA C, NBR 60947-2 - CATEGORIA A</t>
        </r>
      </text>
    </comment>
    <comment ref="G301" authorId="0" shapeId="0" xr:uid="{CBFEEBC5-6988-4419-AC7D-76B9FB23CC7C}">
      <text>
        <r>
          <rPr>
            <sz val="10"/>
            <color indexed="81"/>
            <rFont val="Lucida Console"/>
            <family val="3"/>
          </rPr>
          <t>_x000D_
Últ estimativa : 3_x000D_
Enviada em     : 07.08.2018_x000D_
Ata - Venc     : 191/17 - 12.11.2018</t>
        </r>
      </text>
    </comment>
    <comment ref="O301" authorId="0" shapeId="0" xr:uid="{02CAE026-BFB1-4DE1-A91F-B0E59672752B}">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301" authorId="0" shapeId="0" xr:uid="{DEE5DC6E-EEFC-4612-9895-898DB467673B}">
      <text>
        <r>
          <rPr>
            <sz val="10"/>
            <color indexed="81"/>
            <rFont val="Lucida Console"/>
            <family val="3"/>
          </rPr>
          <t>_x000D_
DM-Elétrica</t>
        </r>
      </text>
    </comment>
    <comment ref="X301" authorId="0" shapeId="0" xr:uid="{4EBB4842-DFAF-458B-9DD6-91A5421ABED7}">
      <text>
        <r>
          <rPr>
            <sz val="10"/>
            <color indexed="81"/>
            <rFont val="Lucida Console"/>
            <family val="3"/>
          </rPr>
          <t>_x000D_
EQUIP. MAT. P/ GERACAO, TRANSM. DISTR. RETIF...</t>
        </r>
      </text>
    </comment>
    <comment ref="Y301" authorId="0" shapeId="0" xr:uid="{93F1F8AD-DD84-4084-BA7A-1CEA6F0EE5A7}">
      <text>
        <r>
          <rPr>
            <sz val="10"/>
            <color indexed="81"/>
            <rFont val="Lucida Console"/>
            <family val="3"/>
          </rPr>
          <t>_x000D_
DISJUNTORES</t>
        </r>
      </text>
    </comment>
    <comment ref="AW301" authorId="0" shapeId="0" xr:uid="{B994846C-73D3-4E08-87E2-55808AA9C6ED}">
      <text>
        <r>
          <rPr>
            <sz val="10"/>
            <color indexed="81"/>
            <rFont val="Lucida Console"/>
            <family val="3"/>
          </rPr>
          <t>Tempo de Estoque (Meses)_x000D_
_x000D_
10,0</t>
        </r>
      </text>
    </comment>
    <comment ref="A302" authorId="0" shapeId="0" xr:uid="{21C9C795-6051-4D73-AE34-96334C9FC05C}">
      <text>
        <r>
          <rPr>
            <sz val="10"/>
            <color indexed="81"/>
            <rFont val="Lucida Console"/>
            <family val="3"/>
          </rPr>
          <t>_x000D_
12922</t>
        </r>
      </text>
    </comment>
    <comment ref="B302" authorId="0" shapeId="0" xr:uid="{129EF6E1-3035-45B8-8A00-E1E759D4C24B}">
      <text>
        <r>
          <rPr>
            <sz val="10"/>
            <color indexed="81"/>
            <rFont val="Lucida Console"/>
            <family val="3"/>
          </rPr>
          <t>DESCRIÇÃO DETALHADA_x000D_
LUVA DE REDUCAO EM PVC RIGIDO SOLDAVEL MARROM DE 32 X 25 MM - 1" X3/4". A MARCA DEVERA VIR LITOGRAFADA NA PECA.</t>
        </r>
      </text>
    </comment>
    <comment ref="G302" authorId="0" shapeId="0" xr:uid="{4C449D60-C4F1-4399-9753-1C44CD254001}">
      <text>
        <r>
          <rPr>
            <sz val="10"/>
            <color indexed="81"/>
            <rFont val="Lucida Console"/>
            <family val="3"/>
          </rPr>
          <t>_x000D_
Últ estimativa : 100_x000D_
Enviada em     : 31.07.2019_x000D_
Ata - Venc     : 191/20 - 07.09.2021</t>
        </r>
      </text>
    </comment>
    <comment ref="O302" authorId="0" shapeId="0" xr:uid="{42506DB4-E6EB-4407-81E8-8D80F3394C52}">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302" authorId="0" shapeId="0" xr:uid="{2008997C-E69E-4891-9B80-4B676FD91AFC}">
      <text>
        <r>
          <rPr>
            <sz val="10"/>
            <color indexed="81"/>
            <rFont val="Lucida Console"/>
            <family val="3"/>
          </rPr>
          <t>_x000D_
DM-Hidráulica</t>
        </r>
      </text>
    </comment>
    <comment ref="X302" authorId="0" shapeId="0" xr:uid="{72F30855-B1F0-44C4-A906-D8075F7C6FBB}">
      <text>
        <r>
          <rPr>
            <sz val="10"/>
            <color indexed="81"/>
            <rFont val="Lucida Console"/>
            <family val="3"/>
          </rPr>
          <t>_x000D_
MATERIAL HIDRAULICO, CANOS, TUBOS, MANGUEIRAS, CONEXOES E ACESS.</t>
        </r>
      </text>
    </comment>
    <comment ref="Y302" authorId="0" shapeId="0" xr:uid="{C7C3A66E-E069-4999-B734-96AD9537D88D}">
      <text>
        <r>
          <rPr>
            <sz val="10"/>
            <color indexed="81"/>
            <rFont val="Lucida Console"/>
            <family val="3"/>
          </rPr>
          <t>_x000D_
ADAP. LUVAS.TES CURVAS COTOVELOS PLUGS FLANGES.....</t>
        </r>
      </text>
    </comment>
    <comment ref="AW302" authorId="0" shapeId="0" xr:uid="{069EF9A5-5F84-4837-AAD5-9E997867C910}">
      <text>
        <r>
          <rPr>
            <sz val="10"/>
            <color indexed="81"/>
            <rFont val="Lucida Console"/>
            <family val="3"/>
          </rPr>
          <t>Tempo de Estoque (Meses)_x000D_
_x000D_
151,0</t>
        </r>
      </text>
    </comment>
    <comment ref="A303" authorId="0" shapeId="0" xr:uid="{9DB769D0-FF87-4B14-B28E-68B8834611AB}">
      <text>
        <r>
          <rPr>
            <sz val="10"/>
            <color indexed="81"/>
            <rFont val="Lucida Console"/>
            <family val="3"/>
          </rPr>
          <t>_x000D_
60830</t>
        </r>
      </text>
    </comment>
    <comment ref="B303" authorId="0" shapeId="0" xr:uid="{73AB9A89-2C14-4CB2-89CA-FDBAB669DB1D}">
      <text>
        <r>
          <rPr>
            <sz val="10"/>
            <color indexed="81"/>
            <rFont val="Lucida Console"/>
            <family val="3"/>
          </rPr>
          <t>DESCRIÇÃO DETALHADA_x000D_
UNIAO PARA TUBO DE POLIETILENO - 3/4"</t>
        </r>
      </text>
    </comment>
    <comment ref="G303" authorId="0" shapeId="0" xr:uid="{600EA4A3-E845-4CD4-AC0D-C3EE14C560D4}">
      <text>
        <r>
          <rPr>
            <sz val="10"/>
            <color indexed="81"/>
            <rFont val="Lucida Console"/>
            <family val="3"/>
          </rPr>
          <t>_x000D_
Últ estimativa : 50_x000D_
Enviada em     : 25.09.2019_x000D_
Ata - Venc     : 191/20 - 07.09.2021</t>
        </r>
      </text>
    </comment>
    <comment ref="O303" authorId="0" shapeId="0" xr:uid="{7992AB18-2A9C-44B0-B0C5-5D58BB6B4AA7}">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303" authorId="0" shapeId="0" xr:uid="{40E9F659-4331-40AD-9151-365E6BD7C822}">
      <text>
        <r>
          <rPr>
            <sz val="10"/>
            <color indexed="81"/>
            <rFont val="Lucida Console"/>
            <family val="3"/>
          </rPr>
          <t>_x000D_
DM-Hidráulica</t>
        </r>
      </text>
    </comment>
    <comment ref="X303" authorId="0" shapeId="0" xr:uid="{9E14D3E8-365D-458C-9DD9-A5F627F4A570}">
      <text>
        <r>
          <rPr>
            <sz val="10"/>
            <color indexed="81"/>
            <rFont val="Lucida Console"/>
            <family val="3"/>
          </rPr>
          <t>_x000D_
MATERIAL HIDRAULICO, CANOS, TUBOS, MANGUEIRAS, CONEXOES E ACESS.</t>
        </r>
      </text>
    </comment>
    <comment ref="Y303" authorId="0" shapeId="0" xr:uid="{850F5F1C-2158-4A11-9486-89FA431E10E4}">
      <text>
        <r>
          <rPr>
            <sz val="10"/>
            <color indexed="81"/>
            <rFont val="Lucida Console"/>
            <family val="3"/>
          </rPr>
          <t>_x000D_
ADAP. LUVAS.TES CURVAS COTOVELOS PLUGS FLANGES.....</t>
        </r>
      </text>
    </comment>
    <comment ref="AW303" authorId="0" shapeId="0" xr:uid="{EF1F0578-834E-468F-A2C5-FC5EEFDCD53D}">
      <text>
        <r>
          <rPr>
            <sz val="10"/>
            <color indexed="81"/>
            <rFont val="Lucida Console"/>
            <family val="3"/>
          </rPr>
          <t>Tempo de Estoque (Meses)_x000D_
_x000D_
78,0</t>
        </r>
      </text>
    </comment>
    <comment ref="A304" authorId="0" shapeId="0" xr:uid="{0A90C598-1E3F-4B7A-90C0-538E70CBC5CE}">
      <text>
        <r>
          <rPr>
            <sz val="10"/>
            <color indexed="81"/>
            <rFont val="Lucida Console"/>
            <family val="3"/>
          </rPr>
          <t>_x000D_
61200</t>
        </r>
      </text>
    </comment>
    <comment ref="B304" authorId="0" shapeId="0" xr:uid="{E4C39428-3C4E-4E83-98DF-A3747B955378}">
      <text>
        <r>
          <rPr>
            <sz val="10"/>
            <color indexed="81"/>
            <rFont val="Lucida Console"/>
            <family val="3"/>
          </rPr>
          <t xml:space="preserve">DESCRIÇÃO DETALHADA_x000D_
TE EM PVC RIGIDO SOLDAVEL ROSCA AZUL - 3/4", DE ACORDO COM A NORMA NBR 5648 E A MARCA DEVERA VIR LITOGRAFADA NA PECA   </t>
        </r>
      </text>
    </comment>
    <comment ref="G304" authorId="0" shapeId="0" xr:uid="{725AED19-43A0-4BD4-9529-C58EBFA552E4}">
      <text>
        <r>
          <rPr>
            <sz val="10"/>
            <color indexed="81"/>
            <rFont val="Lucida Console"/>
            <family val="3"/>
          </rPr>
          <t>_x000D_
Últ estimativa : 250_x000D_
Enviada em     : 31.07.2019_x000D_
Ata - Venc     : 191/20 - 07.09.2021</t>
        </r>
      </text>
    </comment>
    <comment ref="O304" authorId="0" shapeId="0" xr:uid="{3A4E147C-DEF1-424D-86CB-753D42E509D8}">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304" authorId="0" shapeId="0" xr:uid="{DD440DA6-22C4-4963-8ABB-8A1DD6CC1960}">
      <text>
        <r>
          <rPr>
            <sz val="10"/>
            <color indexed="81"/>
            <rFont val="Lucida Console"/>
            <family val="3"/>
          </rPr>
          <t>_x000D_
DM-Hidráulica</t>
        </r>
      </text>
    </comment>
    <comment ref="X304" authorId="0" shapeId="0" xr:uid="{16ADD2F5-D5F8-4AC0-8A54-777C0049FFA2}">
      <text>
        <r>
          <rPr>
            <sz val="10"/>
            <color indexed="81"/>
            <rFont val="Lucida Console"/>
            <family val="3"/>
          </rPr>
          <t>_x000D_
MATERIAL HIDRAULICO, CANOS, TUBOS, MANGUEIRAS, CONEXOES E ACESS.</t>
        </r>
      </text>
    </comment>
    <comment ref="Y304" authorId="0" shapeId="0" xr:uid="{7E71BDD6-79A3-4B0E-A5E9-406040D69B18}">
      <text>
        <r>
          <rPr>
            <sz val="10"/>
            <color indexed="81"/>
            <rFont val="Lucida Console"/>
            <family val="3"/>
          </rPr>
          <t>_x000D_
ADAP. LUVAS.TES CURVAS COTOVELOS PLUGS FLANGES.....</t>
        </r>
      </text>
    </comment>
    <comment ref="AW304" authorId="0" shapeId="0" xr:uid="{71DD4420-7557-4EBE-95C1-DC4DCE11DB3D}">
      <text>
        <r>
          <rPr>
            <sz val="10"/>
            <color indexed="81"/>
            <rFont val="Lucida Console"/>
            <family val="3"/>
          </rPr>
          <t>Tempo de Estoque (Meses)_x000D_
_x000D_
69,0</t>
        </r>
      </text>
    </comment>
    <comment ref="A305" authorId="0" shapeId="0" xr:uid="{D056D250-3332-423A-98F0-E6B7946CB3A3}">
      <text>
        <r>
          <rPr>
            <sz val="10"/>
            <color indexed="81"/>
            <rFont val="Lucida Console"/>
            <family val="3"/>
          </rPr>
          <t>_x000D_
74976</t>
        </r>
      </text>
    </comment>
    <comment ref="B305" authorId="0" shapeId="0" xr:uid="{09F93B21-BF6C-4DD9-9FC4-D65E684C7BC3}">
      <text>
        <r>
          <rPr>
            <sz val="10"/>
            <color indexed="81"/>
            <rFont val="Lucida Console"/>
            <family val="3"/>
          </rPr>
          <t>DESCRIÇÃO DETALHADA_x000D_
LUVA DESLIZANTE EM PVC COM ANEL - MARROM - 3/4"</t>
        </r>
      </text>
    </comment>
    <comment ref="G305" authorId="0" shapeId="0" xr:uid="{FA636044-62E4-423B-A525-6725529549BA}">
      <text>
        <r>
          <rPr>
            <sz val="10"/>
            <color indexed="81"/>
            <rFont val="Lucida Console"/>
            <family val="3"/>
          </rPr>
          <t>_x000D_
Últ estimativa : 400_x000D_
Enviada em     : 25.09.2019_x000D_
Ata - Venc     : 191/20 - 07.09.2021</t>
        </r>
      </text>
    </comment>
    <comment ref="O305" authorId="0" shapeId="0" xr:uid="{B6D5A3C9-E904-45AC-9890-7673C4A3ACE1}">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305" authorId="0" shapeId="0" xr:uid="{57B52F44-5580-418E-9E62-167357343DC5}">
      <text>
        <r>
          <rPr>
            <sz val="10"/>
            <color indexed="81"/>
            <rFont val="Lucida Console"/>
            <family val="3"/>
          </rPr>
          <t>_x000D_
DM-Hidráulica</t>
        </r>
      </text>
    </comment>
    <comment ref="X305" authorId="0" shapeId="0" xr:uid="{F2B779A6-326C-4059-93A2-B054DA6B1F17}">
      <text>
        <r>
          <rPr>
            <sz val="10"/>
            <color indexed="81"/>
            <rFont val="Lucida Console"/>
            <family val="3"/>
          </rPr>
          <t>_x000D_
MATERIAL HIDRAULICO, CANOS, TUBOS, MANGUEIRAS, CONEXOES E ACESS.</t>
        </r>
      </text>
    </comment>
    <comment ref="Y305" authorId="0" shapeId="0" xr:uid="{0A018B9B-86A3-41BD-81A3-7A31E7DD32BF}">
      <text>
        <r>
          <rPr>
            <sz val="10"/>
            <color indexed="81"/>
            <rFont val="Lucida Console"/>
            <family val="3"/>
          </rPr>
          <t>_x000D_
ADAP. LUVAS.TES CURVAS COTOVELOS PLUGS FLANGES.....</t>
        </r>
      </text>
    </comment>
    <comment ref="AW305" authorId="0" shapeId="0" xr:uid="{A0853690-C637-4057-BB12-97E33F451B32}">
      <text>
        <r>
          <rPr>
            <sz val="10"/>
            <color indexed="81"/>
            <rFont val="Lucida Console"/>
            <family val="3"/>
          </rPr>
          <t>Tempo de Estoque (Meses)_x000D_
_x000D_
426,0</t>
        </r>
      </text>
    </comment>
    <comment ref="A306" authorId="0" shapeId="0" xr:uid="{A71891DE-ED9B-4AAA-9AF3-EA83FA469FF3}">
      <text>
        <r>
          <rPr>
            <sz val="10"/>
            <color indexed="81"/>
            <rFont val="Lucida Console"/>
            <family val="3"/>
          </rPr>
          <t>_x000D_
107401</t>
        </r>
      </text>
    </comment>
    <comment ref="B306" authorId="0" shapeId="0" xr:uid="{614C2C69-2822-4C7D-BB55-512DA3930779}">
      <text>
        <r>
          <rPr>
            <sz val="10"/>
            <color indexed="81"/>
            <rFont val="Lucida Console"/>
            <family val="3"/>
          </rPr>
          <t>DESCRIÇÃO DETALHADA_x000D_
BUCHA DE REDUCAO EM PVC RIGIDO SOLDAVEL DE 4" X 2" - ESGOTO".</t>
        </r>
      </text>
    </comment>
    <comment ref="G306" authorId="0" shapeId="0" xr:uid="{0589EB2F-A140-4F2D-870B-F5F7DE7CBD8C}">
      <text>
        <r>
          <rPr>
            <sz val="10"/>
            <color indexed="81"/>
            <rFont val="Lucida Console"/>
            <family val="3"/>
          </rPr>
          <t>_x000D_
Últ estimativa : 80_x000D_
Enviada em     : 31.07.2019_x000D_
Ata - Venc     : 191/20 - 07.09.2021</t>
        </r>
      </text>
    </comment>
    <comment ref="O306" authorId="0" shapeId="0" xr:uid="{F0F03453-6EA2-4CD0-8C71-DFC6A5170FF2}">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306" authorId="0" shapeId="0" xr:uid="{375B147C-70D3-4207-AB3E-3749AF5A7F11}">
      <text>
        <r>
          <rPr>
            <sz val="10"/>
            <color indexed="81"/>
            <rFont val="Lucida Console"/>
            <family val="3"/>
          </rPr>
          <t>_x000D_
DM-Hidráulica</t>
        </r>
      </text>
    </comment>
    <comment ref="X306" authorId="0" shapeId="0" xr:uid="{2B0B643E-D98C-4E24-88D4-C2E551E41006}">
      <text>
        <r>
          <rPr>
            <sz val="10"/>
            <color indexed="81"/>
            <rFont val="Lucida Console"/>
            <family val="3"/>
          </rPr>
          <t>_x000D_
MATERIAL HIDRAULICO, CANOS, TUBOS, MANGUEIRAS, CONEXOES E ACESS.</t>
        </r>
      </text>
    </comment>
    <comment ref="Y306" authorId="0" shapeId="0" xr:uid="{84331F5B-51D3-4A37-B210-A2792D8E7752}">
      <text>
        <r>
          <rPr>
            <sz val="10"/>
            <color indexed="81"/>
            <rFont val="Lucida Console"/>
            <family val="3"/>
          </rPr>
          <t>_x000D_
ADAP. LUVAS.TES CURVAS COTOVELOS PLUGS FLANGES.....</t>
        </r>
      </text>
    </comment>
    <comment ref="AW306" authorId="0" shapeId="0" xr:uid="{23984A50-A86E-4352-8E03-1B73B11FF440}">
      <text>
        <r>
          <rPr>
            <sz val="10"/>
            <color indexed="81"/>
            <rFont val="Lucida Console"/>
            <family val="3"/>
          </rPr>
          <t>Tempo de Estoque (Meses)_x000D_
_x000D_
201,0</t>
        </r>
      </text>
    </comment>
    <comment ref="A307" authorId="0" shapeId="0" xr:uid="{46E65AB9-C145-4AFC-A258-5CE3D527CA0D}">
      <text>
        <r>
          <rPr>
            <sz val="10"/>
            <color indexed="81"/>
            <rFont val="Lucida Console"/>
            <family val="3"/>
          </rPr>
          <t>_x000D_
135299</t>
        </r>
      </text>
    </comment>
    <comment ref="B307" authorId="0" shapeId="0" xr:uid="{4E85E19D-F410-4878-BF0D-3EF31B3B7228}">
      <text>
        <r>
          <rPr>
            <sz val="10"/>
            <color indexed="81"/>
            <rFont val="Lucida Console"/>
            <family val="3"/>
          </rPr>
          <t>DESCRIÇÃO DETALHADA_x000D_
COTOVELO 45° DE PVC MARROM  - 1" PARA AGUA, DE ACORDO COM A NORMA NBR 5648. TODAS AS INFORMACOES DEVERAO ESTAR LITOGRAFADAS NA PECA.</t>
        </r>
      </text>
    </comment>
    <comment ref="G307" authorId="0" shapeId="0" xr:uid="{4A0E700B-EB8E-4184-BD6C-E00514B6FD94}">
      <text>
        <r>
          <rPr>
            <sz val="10"/>
            <color indexed="81"/>
            <rFont val="Lucida Console"/>
            <family val="3"/>
          </rPr>
          <t>_x000D_
Últ estimativa : 50_x000D_
Enviada em     : 31.07.2019_x000D_
Ata - Venc     : 191/20 - 07.09.2021</t>
        </r>
      </text>
    </comment>
    <comment ref="O307" authorId="0" shapeId="0" xr:uid="{16BB1D7E-83A8-4C0A-8A24-92716E3D75CD}">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307" authorId="0" shapeId="0" xr:uid="{A4DCB7F2-4490-4442-B496-EBCAB5D8250B}">
      <text>
        <r>
          <rPr>
            <sz val="10"/>
            <color indexed="81"/>
            <rFont val="Lucida Console"/>
            <family val="3"/>
          </rPr>
          <t>_x000D_
DM-Hidráulica</t>
        </r>
      </text>
    </comment>
    <comment ref="X307" authorId="0" shapeId="0" xr:uid="{1F6C1B49-7D50-47B3-B98F-CF29BF3975D8}">
      <text>
        <r>
          <rPr>
            <sz val="10"/>
            <color indexed="81"/>
            <rFont val="Lucida Console"/>
            <family val="3"/>
          </rPr>
          <t>_x000D_
MATERIAL HIDRAULICO, CANOS, TUBOS, MANGUEIRAS, CONEXOES E ACESS.</t>
        </r>
      </text>
    </comment>
    <comment ref="Y307" authorId="0" shapeId="0" xr:uid="{6A79A78E-9B23-4D3E-88E7-183B583F10AE}">
      <text>
        <r>
          <rPr>
            <sz val="10"/>
            <color indexed="81"/>
            <rFont val="Lucida Console"/>
            <family val="3"/>
          </rPr>
          <t>_x000D_
ADAP. LUVAS.TES CURVAS COTOVELOS PLUGS FLANGES.....</t>
        </r>
      </text>
    </comment>
    <comment ref="AW307" authorId="0" shapeId="0" xr:uid="{E2711583-CEC2-4B22-BECA-875CD4AD35D1}">
      <text>
        <r>
          <rPr>
            <sz val="10"/>
            <color indexed="81"/>
            <rFont val="Lucida Console"/>
            <family val="3"/>
          </rPr>
          <t>Tempo de Estoque (Meses)_x000D_
_x000D_
45,0</t>
        </r>
      </text>
    </comment>
    <comment ref="A308" authorId="0" shapeId="0" xr:uid="{45DD32F0-1DB8-4992-BE66-4BF1A2C4F8D5}">
      <text>
        <r>
          <rPr>
            <sz val="10"/>
            <color indexed="81"/>
            <rFont val="Lucida Console"/>
            <family val="3"/>
          </rPr>
          <t>_x000D_
135304</t>
        </r>
      </text>
    </comment>
    <comment ref="B308" authorId="0" shapeId="0" xr:uid="{2A76D1FB-6F6A-4206-ACBC-19748C4E8D4E}">
      <text>
        <r>
          <rPr>
            <sz val="10"/>
            <color indexed="81"/>
            <rFont val="Lucida Console"/>
            <family val="3"/>
          </rPr>
          <t>DESCRIÇÃO DETALHADA_x000D_
NIPLE DUPLO DE REDUCAO ROSQUEAVEL 3/4 X 1/2 EM LATAO</t>
        </r>
      </text>
    </comment>
    <comment ref="G308" authorId="0" shapeId="0" xr:uid="{6F17360D-6D66-431A-B360-E5336054007A}">
      <text>
        <r>
          <rPr>
            <sz val="10"/>
            <color indexed="81"/>
            <rFont val="Lucida Console"/>
            <family val="3"/>
          </rPr>
          <t>_x000D_
Últ estimativa : 150_x000D_
Enviada em     : 31.07.2019_x000D_
Ata - Venc     : 191/20 - 07.09.2021</t>
        </r>
      </text>
    </comment>
    <comment ref="O308" authorId="0" shapeId="0" xr:uid="{367C39A1-074C-4643-A7D0-D4617019438B}">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308" authorId="0" shapeId="0" xr:uid="{C7B3318A-BD43-44FC-B012-B7079DB8102E}">
      <text>
        <r>
          <rPr>
            <sz val="10"/>
            <color indexed="81"/>
            <rFont val="Lucida Console"/>
            <family val="3"/>
          </rPr>
          <t>_x000D_
DM-Hidráulica</t>
        </r>
      </text>
    </comment>
    <comment ref="X308" authorId="0" shapeId="0" xr:uid="{867EAA32-010B-4286-AE06-522A2B96A0B5}">
      <text>
        <r>
          <rPr>
            <sz val="10"/>
            <color indexed="81"/>
            <rFont val="Lucida Console"/>
            <family val="3"/>
          </rPr>
          <t>_x000D_
MATERIAL HIDRAULICO, CANOS, TUBOS, MANGUEIRAS, CONEXOES E ACESS.</t>
        </r>
      </text>
    </comment>
    <comment ref="Y308" authorId="0" shapeId="0" xr:uid="{D52A0339-3845-49AC-9204-7E2364D0CDC5}">
      <text>
        <r>
          <rPr>
            <sz val="10"/>
            <color indexed="81"/>
            <rFont val="Lucida Console"/>
            <family val="3"/>
          </rPr>
          <t>_x000D_
ADAP. LUVAS.TES CURVAS COTOVELOS PLUGS FLANGES.....</t>
        </r>
      </text>
    </comment>
    <comment ref="AW308" authorId="0" shapeId="0" xr:uid="{48676CC6-3942-47E7-B24D-F8A1EF11488A}">
      <text>
        <r>
          <rPr>
            <sz val="10"/>
            <color indexed="81"/>
            <rFont val="Lucida Console"/>
            <family val="3"/>
          </rPr>
          <t>Tempo de Estoque (Meses)_x000D_
_x000D_
722,0</t>
        </r>
      </text>
    </comment>
    <comment ref="A309" authorId="0" shapeId="0" xr:uid="{8A1C33EA-AF33-490D-90A8-EBE5DA841840}">
      <text>
        <r>
          <rPr>
            <sz val="10"/>
            <color indexed="81"/>
            <rFont val="Lucida Console"/>
            <family val="3"/>
          </rPr>
          <t>_x000D_
138054</t>
        </r>
      </text>
    </comment>
    <comment ref="B309" authorId="0" shapeId="0" xr:uid="{94C2F756-7254-484A-8B27-BFFE8F3E19F7}">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309" authorId="0" shapeId="0" xr:uid="{67AA7B7E-C63A-4A2B-9300-95B111966B63}">
      <text>
        <r>
          <rPr>
            <sz val="10"/>
            <color indexed="81"/>
            <rFont val="Lucida Console"/>
            <family val="3"/>
          </rPr>
          <t>_x000D_
Últ estimativa : 150_x000D_
Enviada em     : 31.07.2019_x000D_
Ata - Venc     : 191/20 - 07.09.2021</t>
        </r>
      </text>
    </comment>
    <comment ref="O309" authorId="0" shapeId="0" xr:uid="{E2157B2A-B8B3-436B-889E-A6BEE66CD8A6}">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309" authorId="0" shapeId="0" xr:uid="{1B720DD9-7569-4911-A287-3783BD0E06D3}">
      <text>
        <r>
          <rPr>
            <sz val="10"/>
            <color indexed="81"/>
            <rFont val="Lucida Console"/>
            <family val="3"/>
          </rPr>
          <t>_x000D_
DM-Hidráulica</t>
        </r>
      </text>
    </comment>
    <comment ref="X309" authorId="0" shapeId="0" xr:uid="{7A1F8453-AE80-4687-B909-32AE525E70C3}">
      <text>
        <r>
          <rPr>
            <sz val="10"/>
            <color indexed="81"/>
            <rFont val="Lucida Console"/>
            <family val="3"/>
          </rPr>
          <t>_x000D_
MATERIAL HIDRAULICO, CANOS, TUBOS, MANGUEIRAS, CONEXOES E ACESS.</t>
        </r>
      </text>
    </comment>
    <comment ref="Y309" authorId="0" shapeId="0" xr:uid="{3D3ED0F1-C5BA-4D51-80D4-89B8ED8708B5}">
      <text>
        <r>
          <rPr>
            <sz val="10"/>
            <color indexed="81"/>
            <rFont val="Lucida Console"/>
            <family val="3"/>
          </rPr>
          <t>_x000D_
ARTEF. COMPLEM. P/ PIAS, BIDES, MICTORIOS, BOXES, BEBED.</t>
        </r>
      </text>
    </comment>
    <comment ref="AW309" authorId="0" shapeId="0" xr:uid="{3CF273B2-FCF9-4BD1-B0A4-C6B27E1CB32A}">
      <text>
        <r>
          <rPr>
            <sz val="10"/>
            <color indexed="81"/>
            <rFont val="Lucida Console"/>
            <family val="3"/>
          </rPr>
          <t>Tempo de Estoque (Meses)_x000D_
_x000D_
69,0</t>
        </r>
      </text>
    </comment>
    <comment ref="A310" authorId="0" shapeId="0" xr:uid="{34419116-9F55-436A-9E29-926585D03D7F}">
      <text>
        <r>
          <rPr>
            <sz val="10"/>
            <color indexed="81"/>
            <rFont val="Lucida Console"/>
            <family val="3"/>
          </rPr>
          <t>_x000D_
17422</t>
        </r>
      </text>
    </comment>
    <comment ref="B310" authorId="0" shapeId="0" xr:uid="{03F4E3C4-8CA4-4DF3-914F-6A93A39BF2A6}">
      <text>
        <r>
          <rPr>
            <sz val="10"/>
            <color indexed="81"/>
            <rFont val="Lucida Console"/>
            <family val="3"/>
          </rPr>
          <t>DESCRIÇÃO DETALHADA_x000D_
CAIXA SIFONADA REDONDA EM PVC RIGIDO DE 100 X 150 X 50 MM (4" X 6" X 2")</t>
        </r>
      </text>
    </comment>
    <comment ref="G310" authorId="0" shapeId="0" xr:uid="{DA3CF164-5858-4221-9A62-375B36861152}">
      <text>
        <r>
          <rPr>
            <sz val="10"/>
            <color indexed="81"/>
            <rFont val="Lucida Console"/>
            <family val="3"/>
          </rPr>
          <t>_x000D_
Últ estimativa : 40_x000D_
Enviada em     : 31.07.2019_x000D_
Ata - Venc     : 191/20 - 07.09.2021</t>
        </r>
      </text>
    </comment>
    <comment ref="O310" authorId="0" shapeId="0" xr:uid="{2C0FC689-1D35-4FCC-BCE0-1C7D92908B8D}">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310" authorId="0" shapeId="0" xr:uid="{9B7555D1-BF4B-47C5-B2D7-6B36DAF35295}">
      <text>
        <r>
          <rPr>
            <sz val="10"/>
            <color indexed="81"/>
            <rFont val="Lucida Console"/>
            <family val="3"/>
          </rPr>
          <t>_x000D_
DM-Hidráulica</t>
        </r>
      </text>
    </comment>
    <comment ref="X310" authorId="0" shapeId="0" xr:uid="{EDA96648-9597-46C6-AB1C-93579139C9D0}">
      <text>
        <r>
          <rPr>
            <sz val="10"/>
            <color indexed="81"/>
            <rFont val="Lucida Console"/>
            <family val="3"/>
          </rPr>
          <t>_x000D_
MATERIAL HIDRAULICO, CANOS, TUBOS, MANGUEIRAS, CONEXOES E ACESS.</t>
        </r>
      </text>
    </comment>
    <comment ref="Y310" authorId="0" shapeId="0" xr:uid="{217E9790-EDD4-4C7F-A4EB-99463F82377A}">
      <text>
        <r>
          <rPr>
            <sz val="10"/>
            <color indexed="81"/>
            <rFont val="Lucida Console"/>
            <family val="3"/>
          </rPr>
          <t>_x000D_
RALOS SIFOES E CAIXAS</t>
        </r>
      </text>
    </comment>
    <comment ref="AW310" authorId="0" shapeId="0" xr:uid="{9886336B-40E1-416E-91A8-8E3391E270E7}">
      <text>
        <r>
          <rPr>
            <sz val="10"/>
            <color indexed="81"/>
            <rFont val="Lucida Console"/>
            <family val="3"/>
          </rPr>
          <t>Tempo de Estoque (Meses)_x000D_
_x000D_
57,0</t>
        </r>
      </text>
    </comment>
    <comment ref="A311" authorId="0" shapeId="0" xr:uid="{A65B6CC3-46FC-42AE-AC5C-2E6C31CB6ACD}">
      <text>
        <r>
          <rPr>
            <sz val="10"/>
            <color indexed="81"/>
            <rFont val="Lucida Console"/>
            <family val="3"/>
          </rPr>
          <t>_x000D_
17426</t>
        </r>
      </text>
    </comment>
    <comment ref="B311" authorId="0" shapeId="0" xr:uid="{E311CA3C-0B41-4620-89D3-F3C6542518BC}">
      <text>
        <r>
          <rPr>
            <sz val="10"/>
            <color indexed="81"/>
            <rFont val="Lucida Console"/>
            <family val="3"/>
          </rPr>
          <t>DESCRIÇÃO DETALHADA_x000D_
CAIXA DE DESCARGA COM CORPO PLASTICO (ACOMPANHA ENGATE ECONJUNTO DE FIXACAO) C/ TUBO DE DESCIDA</t>
        </r>
      </text>
    </comment>
    <comment ref="G311" authorId="0" shapeId="0" xr:uid="{297AEC99-64AF-45E9-A952-AD740856D5AB}">
      <text>
        <r>
          <rPr>
            <sz val="10"/>
            <color indexed="81"/>
            <rFont val="Lucida Console"/>
            <family val="3"/>
          </rPr>
          <t>_x000D_
Últ estimativa : 20_x000D_
Enviada em     : 31.07.2019_x000D_
Ata - Venc     : 191/20 - 07.09.2021</t>
        </r>
      </text>
    </comment>
    <comment ref="O311" authorId="0" shapeId="0" xr:uid="{1B16CBFD-6FD7-4C73-ABCA-30EA0F387CE8}">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311" authorId="0" shapeId="0" xr:uid="{70888CAB-DA96-4D0C-BF53-888C99B08789}">
      <text>
        <r>
          <rPr>
            <sz val="10"/>
            <color indexed="81"/>
            <rFont val="Lucida Console"/>
            <family val="3"/>
          </rPr>
          <t>_x000D_
DM-Hidráulica</t>
        </r>
      </text>
    </comment>
    <comment ref="X311" authorId="0" shapeId="0" xr:uid="{E3B000C7-7C42-4D14-9A90-6F83440A51DA}">
      <text>
        <r>
          <rPr>
            <sz val="10"/>
            <color indexed="81"/>
            <rFont val="Lucida Console"/>
            <family val="3"/>
          </rPr>
          <t>_x000D_
MATERIAL HIDRAULICO, CANOS, TUBOS, MANGUEIRAS, CONEXOES E ACESS.</t>
        </r>
      </text>
    </comment>
    <comment ref="Y311" authorId="0" shapeId="0" xr:uid="{65ADC19D-34B6-44EE-BAB0-80A09859A0B9}">
      <text>
        <r>
          <rPr>
            <sz val="10"/>
            <color indexed="81"/>
            <rFont val="Lucida Console"/>
            <family val="3"/>
          </rPr>
          <t>_x000D_
RALOS SIFOES E CAIXAS</t>
        </r>
      </text>
    </comment>
    <comment ref="AW311" authorId="0" shapeId="0" xr:uid="{4CCE4039-9FE1-43E2-8BD7-C076CE335F91}">
      <text>
        <r>
          <rPr>
            <sz val="10"/>
            <color indexed="81"/>
            <rFont val="Lucida Console"/>
            <family val="3"/>
          </rPr>
          <t>Tempo de Estoque (Meses)_x000D_
_x000D_
18,0</t>
        </r>
      </text>
    </comment>
    <comment ref="A312" authorId="0" shapeId="0" xr:uid="{57FF0D0D-C029-4A26-B174-F9D70C0642D5}">
      <text>
        <r>
          <rPr>
            <sz val="10"/>
            <color indexed="81"/>
            <rFont val="Lucida Console"/>
            <family val="3"/>
          </rPr>
          <t>_x000D_
133819</t>
        </r>
      </text>
    </comment>
    <comment ref="B312" authorId="0" shapeId="0" xr:uid="{CC93F98B-81E1-4462-9264-D3C47862F574}">
      <text>
        <r>
          <rPr>
            <sz val="10"/>
            <color indexed="81"/>
            <rFont val="Lucida Console"/>
            <family val="3"/>
          </rPr>
          <t>DESCRIÇÃO DETALHADA_x000D_
ESPUDE BRANCO DE BORRACHA DE 1.1/2" PARA BACIAS CONVENCIONAIS DE 2"</t>
        </r>
      </text>
    </comment>
    <comment ref="G312" authorId="0" shapeId="0" xr:uid="{33549564-DE9C-4D2D-B7F2-2DEC07079603}">
      <text>
        <r>
          <rPr>
            <sz val="10"/>
            <color indexed="81"/>
            <rFont val="Lucida Console"/>
            <family val="3"/>
          </rPr>
          <t>_x000D_
Últ estimativa : 0_x000D_
Enviada em     : 31.07.2019_x000D_
Ata - Venc     : 191/20 - 07.09.2021</t>
        </r>
      </text>
    </comment>
    <comment ref="O312" authorId="0" shapeId="0" xr:uid="{D4072EA6-4DAE-4744-8FDE-8ED6C02B8AC7}">
      <text>
        <r>
          <rPr>
            <sz val="10"/>
            <color indexed="81"/>
            <rFont val="Lucida Console"/>
            <family val="3"/>
          </rPr>
          <t>_x000D_
Pertencia a ATA nº 191/20_x000D_
Estimativa de Renovação enviada em 31.07.2019 - Qtd _x000D_
PE  10/20 lote 71 (Impróspero)_x000D_
30.04.20 = Processo conferido, finalizado.</t>
        </r>
      </text>
    </comment>
    <comment ref="W312" authorId="0" shapeId="0" xr:uid="{1F45BED8-AB2A-4582-BEF7-FA0B359FB3FC}">
      <text>
        <r>
          <rPr>
            <sz val="10"/>
            <color indexed="81"/>
            <rFont val="Lucida Console"/>
            <family val="3"/>
          </rPr>
          <t>_x000D_
DM-Hidráulica</t>
        </r>
      </text>
    </comment>
    <comment ref="X312" authorId="0" shapeId="0" xr:uid="{B78B6C9B-8F08-4811-BB82-FC5A0A06E82E}">
      <text>
        <r>
          <rPr>
            <sz val="10"/>
            <color indexed="81"/>
            <rFont val="Lucida Console"/>
            <family val="3"/>
          </rPr>
          <t>_x000D_
MATERIAL HIDRAULICO, CANOS, TUBOS, MANGUEIRAS, CONEXOES E ACESS.</t>
        </r>
      </text>
    </comment>
    <comment ref="Y312" authorId="0" shapeId="0" xr:uid="{33990F39-FC14-4405-B86C-C481ED38C165}">
      <text>
        <r>
          <rPr>
            <sz val="10"/>
            <color indexed="81"/>
            <rFont val="Lucida Console"/>
            <family val="3"/>
          </rPr>
          <t>_x000D_
RALOS SIFOES E CAIXAS</t>
        </r>
      </text>
    </comment>
    <comment ref="AW312" authorId="0" shapeId="0" xr:uid="{3F26241B-62DE-4F1C-94EC-2DBE43F7AB8D}">
      <text>
        <r>
          <rPr>
            <sz val="10"/>
            <color indexed="81"/>
            <rFont val="Lucida Console"/>
            <family val="3"/>
          </rPr>
          <t>Tempo de Estoque (Meses)_x000D_
_x000D_
370,0</t>
        </r>
      </text>
    </comment>
    <comment ref="A313" authorId="0" shapeId="0" xr:uid="{B4FF7361-ABD8-401A-B424-3BC880F23A78}">
      <text>
        <r>
          <rPr>
            <sz val="10"/>
            <color indexed="81"/>
            <rFont val="Lucida Console"/>
            <family val="3"/>
          </rPr>
          <t>_x000D_
103142</t>
        </r>
      </text>
    </comment>
    <comment ref="B313" authorId="0" shapeId="0" xr:uid="{5ABFB866-725C-49F5-A3FC-618005F00358}">
      <text>
        <r>
          <rPr>
            <sz val="10"/>
            <color indexed="81"/>
            <rFont val="Lucida Console"/>
            <family val="3"/>
          </rPr>
          <t>DESCRIÇÃO DETALHADA_x000D_
CAIXA D'AGUA EM POLIETILENO, COM TAMPA - CAPACIDADE 1.000 LITROS</t>
        </r>
      </text>
    </comment>
    <comment ref="G313" authorId="0" shapeId="0" xr:uid="{D42E937A-ABB7-4D99-9950-941A5A8242EB}">
      <text>
        <r>
          <rPr>
            <sz val="10"/>
            <color indexed="81"/>
            <rFont val="Lucida Console"/>
            <family val="3"/>
          </rPr>
          <t>_x000D_
Últ estimativa : 15_x000D_
Enviada em     : 31.07.2019_x000D_
Ata - Venc     : 191/20 - 07.09.2021</t>
        </r>
      </text>
    </comment>
    <comment ref="O313" authorId="0" shapeId="0" xr:uid="{07E4A5C7-E644-4FB3-A4FD-6859038C619C}">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313" authorId="0" shapeId="0" xr:uid="{80E1568C-0DE2-4BF7-B322-62B96D7BDEAC}">
      <text>
        <r>
          <rPr>
            <sz val="10"/>
            <color indexed="81"/>
            <rFont val="Lucida Console"/>
            <family val="3"/>
          </rPr>
          <t>_x000D_
DM-Hidráulica</t>
        </r>
      </text>
    </comment>
    <comment ref="X313" authorId="0" shapeId="0" xr:uid="{A8972640-556A-409D-96B9-CB6AAFEBFDA4}">
      <text>
        <r>
          <rPr>
            <sz val="10"/>
            <color indexed="81"/>
            <rFont val="Lucida Console"/>
            <family val="3"/>
          </rPr>
          <t>_x000D_
MATERIAL HIDRAULICO, CANOS, TUBOS, MANGUEIRAS, CONEXOES E ACESS.</t>
        </r>
      </text>
    </comment>
    <comment ref="Y313" authorId="0" shapeId="0" xr:uid="{4013F45E-C491-4826-98D1-45520C8D93FD}">
      <text>
        <r>
          <rPr>
            <sz val="10"/>
            <color indexed="81"/>
            <rFont val="Lucida Console"/>
            <family val="3"/>
          </rPr>
          <t>_x000D_
CAIXA D`AGUA</t>
        </r>
      </text>
    </comment>
    <comment ref="AW313" authorId="0" shapeId="0" xr:uid="{35F0D9B0-6A42-4F16-992E-D1C9F65D31A0}">
      <text>
        <r>
          <rPr>
            <sz val="10"/>
            <color indexed="81"/>
            <rFont val="Lucida Console"/>
            <family val="3"/>
          </rPr>
          <t>Tempo de Estoque (Meses)_x000D_
_x000D_
5,0</t>
        </r>
      </text>
    </comment>
    <comment ref="A314" authorId="0" shapeId="0" xr:uid="{AFA6F5F6-23D6-4476-9412-42014CFA87F4}">
      <text>
        <r>
          <rPr>
            <sz val="10"/>
            <color indexed="81"/>
            <rFont val="Lucida Console"/>
            <family val="3"/>
          </rPr>
          <t>_x000D_
134581</t>
        </r>
      </text>
    </comment>
    <comment ref="B314" authorId="0" shapeId="0" xr:uid="{7DBA209F-858B-48DF-9A65-3FBCBEB698C2}">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314" authorId="0" shapeId="0" xr:uid="{6AEBE420-754A-4626-BECC-EA9AA71F3FEB}">
      <text>
        <r>
          <rPr>
            <sz val="10"/>
            <color indexed="81"/>
            <rFont val="Lucida Console"/>
            <family val="3"/>
          </rPr>
          <t>_x000D_
Últ estimativa : 60_x000D_
Enviada em     : 31.07.2019_x000D_
Ata - Venc     : 191/20 - 07.09.2021</t>
        </r>
      </text>
    </comment>
    <comment ref="O314" authorId="0" shapeId="0" xr:uid="{820F3580-37E9-48DA-816C-0224B6706A6E}">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314" authorId="0" shapeId="0" xr:uid="{8B720DD9-50E7-45EB-9A5D-1A91E36E6DA2}">
      <text>
        <r>
          <rPr>
            <sz val="10"/>
            <color indexed="81"/>
            <rFont val="Lucida Console"/>
            <family val="3"/>
          </rPr>
          <t>_x000D_
DM-Hidráulica</t>
        </r>
      </text>
    </comment>
    <comment ref="X314" authorId="0" shapeId="0" xr:uid="{28FBE080-AFDF-4E94-BE7E-6FD4928C1254}">
      <text>
        <r>
          <rPr>
            <sz val="10"/>
            <color indexed="81"/>
            <rFont val="Lucida Console"/>
            <family val="3"/>
          </rPr>
          <t>_x000D_
MATERIAL HIDRAULICO, CANOS, TUBOS, MANGUEIRAS, CONEXOES E ACESS.</t>
        </r>
      </text>
    </comment>
    <comment ref="Y314" authorId="0" shapeId="0" xr:uid="{C08318F0-D8DA-4EDD-AA69-FE677A0544FB}">
      <text>
        <r>
          <rPr>
            <sz val="10"/>
            <color indexed="81"/>
            <rFont val="Lucida Console"/>
            <family val="3"/>
          </rPr>
          <t>_x000D_
TORNEIRAS VOLANTES CANOPLAS E ACESS. P/ MANGUEIRA</t>
        </r>
      </text>
    </comment>
    <comment ref="AW314" authorId="0" shapeId="0" xr:uid="{A2598FB8-CA7E-4315-89DE-E14F85F6C928}">
      <text>
        <r>
          <rPr>
            <sz val="10"/>
            <color indexed="81"/>
            <rFont val="Lucida Console"/>
            <family val="3"/>
          </rPr>
          <t>Tempo de Estoque (Meses)_x000D_
_x000D_
10,0</t>
        </r>
      </text>
    </comment>
    <comment ref="A315" authorId="0" shapeId="0" xr:uid="{3EA5F57E-A1DA-485D-BE94-B0AB8B092883}">
      <text>
        <r>
          <rPr>
            <sz val="10"/>
            <color indexed="81"/>
            <rFont val="Lucida Console"/>
            <family val="3"/>
          </rPr>
          <t>_x000D_
134582</t>
        </r>
      </text>
    </comment>
    <comment ref="B315" authorId="0" shapeId="0" xr:uid="{A7CB1712-E881-4BA3-B57C-01D5FC35E07E}">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315" authorId="0" shapeId="0" xr:uid="{FA88D5AA-5991-459C-AFB7-712307FCC7AD}">
      <text>
        <r>
          <rPr>
            <sz val="10"/>
            <color indexed="81"/>
            <rFont val="Lucida Console"/>
            <family val="3"/>
          </rPr>
          <t>_x000D_
Últ estimativa : 100_x000D_
Enviada em     : 31.07.2019_x000D_
Ata - Venc     : 191/20 - 07.09.2021</t>
        </r>
      </text>
    </comment>
    <comment ref="O315" authorId="0" shapeId="0" xr:uid="{474EBB2A-0E0D-4AFA-B4E0-ABD2BC52CDBE}">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315" authorId="0" shapeId="0" xr:uid="{276AB80E-502C-496C-A5C1-B82620E45CA3}">
      <text>
        <r>
          <rPr>
            <sz val="10"/>
            <color indexed="81"/>
            <rFont val="Lucida Console"/>
            <family val="3"/>
          </rPr>
          <t>_x000D_
DM-Hidráulica</t>
        </r>
      </text>
    </comment>
    <comment ref="X315" authorId="0" shapeId="0" xr:uid="{44C12615-D0F8-4E0F-BEB1-72C1DFFB27BF}">
      <text>
        <r>
          <rPr>
            <sz val="10"/>
            <color indexed="81"/>
            <rFont val="Lucida Console"/>
            <family val="3"/>
          </rPr>
          <t>_x000D_
MATERIAL HIDRAULICO, CANOS, TUBOS, MANGUEIRAS, CONEXOES E ACESS.</t>
        </r>
      </text>
    </comment>
    <comment ref="Y315" authorId="0" shapeId="0" xr:uid="{22F946AA-60EA-436C-84AD-1456A0688FDD}">
      <text>
        <r>
          <rPr>
            <sz val="10"/>
            <color indexed="81"/>
            <rFont val="Lucida Console"/>
            <family val="3"/>
          </rPr>
          <t>_x000D_
TORNEIRAS VOLANTES CANOPLAS E ACESS. P/ MANGUEIRA</t>
        </r>
      </text>
    </comment>
    <comment ref="AW315" authorId="0" shapeId="0" xr:uid="{6C7B4598-B4D7-4054-A615-F8099B38E9B8}">
      <text>
        <r>
          <rPr>
            <sz val="10"/>
            <color indexed="81"/>
            <rFont val="Lucida Console"/>
            <family val="3"/>
          </rPr>
          <t>Tempo de Estoque (Meses)_x000D_
_x000D_
57,0</t>
        </r>
      </text>
    </comment>
    <comment ref="A316" authorId="0" shapeId="0" xr:uid="{1327CAF4-F1E6-4575-955B-A86C86735136}">
      <text>
        <r>
          <rPr>
            <sz val="10"/>
            <color indexed="81"/>
            <rFont val="Lucida Console"/>
            <family val="3"/>
          </rPr>
          <t>_x000D_
25756</t>
        </r>
      </text>
    </comment>
    <comment ref="B316" authorId="0" shapeId="0" xr:uid="{7767C9A9-106B-4A26-94C7-4E3E3B40D195}">
      <text>
        <r>
          <rPr>
            <sz val="10"/>
            <color indexed="81"/>
            <rFont val="Lucida Console"/>
            <family val="3"/>
          </rPr>
          <t>DESCRIÇÃO DETALHADA_x000D_
REGISTRO DE GAVETA EM LIGA DE COBRE DE 1.1/2" C/ CANOPLA, DE ACORDO COM A NORMA NBR 10072 E A MARCA DEVERA VIR LITOGRAFADA NA PECA</t>
        </r>
      </text>
    </comment>
    <comment ref="G316" authorId="0" shapeId="0" xr:uid="{E22E02EC-1207-4671-A855-820B8B9585B4}">
      <text>
        <r>
          <rPr>
            <sz val="10"/>
            <color indexed="81"/>
            <rFont val="Lucida Console"/>
            <family val="3"/>
          </rPr>
          <t>_x000D_
Últ estimativa : 60_x000D_
Enviada em     : 31.07.2019_x000D_
Ata - Venc     : 191/20 - 07.09.2021</t>
        </r>
      </text>
    </comment>
    <comment ref="O316" authorId="0" shapeId="0" xr:uid="{1964EA36-BBA8-4751-A3A3-0B6CBA80B55A}">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316" authorId="0" shapeId="0" xr:uid="{027753CB-6391-4042-8D64-8DA426FDE3EB}">
      <text>
        <r>
          <rPr>
            <sz val="10"/>
            <color indexed="81"/>
            <rFont val="Lucida Console"/>
            <family val="3"/>
          </rPr>
          <t>_x000D_
DM-Hidráulica</t>
        </r>
      </text>
    </comment>
    <comment ref="X316" authorId="0" shapeId="0" xr:uid="{7696961B-B6D4-443E-846F-016876BABC7D}">
      <text>
        <r>
          <rPr>
            <sz val="10"/>
            <color indexed="81"/>
            <rFont val="Lucida Console"/>
            <family val="3"/>
          </rPr>
          <t>_x000D_
MATERIAL HIDRAULICO, CANOS, TUBOS, MANGUEIRAS, CONEXOES E ACESS.</t>
        </r>
      </text>
    </comment>
    <comment ref="Y316" authorId="0" shapeId="0" xr:uid="{81D6AA1E-94D2-499C-81FD-AB6A9D0B16BC}">
      <text>
        <r>
          <rPr>
            <sz val="10"/>
            <color indexed="81"/>
            <rFont val="Lucida Console"/>
            <family val="3"/>
          </rPr>
          <t>_x000D_
REGISTROS VALVULAS E BOIAS</t>
        </r>
      </text>
    </comment>
    <comment ref="AW316" authorId="0" shapeId="0" xr:uid="{9ACD04CC-A734-4016-953B-9F38B6E111E6}">
      <text>
        <r>
          <rPr>
            <sz val="10"/>
            <color indexed="81"/>
            <rFont val="Lucida Console"/>
            <family val="3"/>
          </rPr>
          <t>Tempo de Estoque (Meses)_x000D_
_x000D_
116,0</t>
        </r>
      </text>
    </comment>
    <comment ref="A317" authorId="0" shapeId="0" xr:uid="{4AF1C5A2-DC5B-4DD0-A0AF-415FF76DC428}">
      <text>
        <r>
          <rPr>
            <sz val="10"/>
            <color indexed="81"/>
            <rFont val="Lucida Console"/>
            <family val="3"/>
          </rPr>
          <t>_x000D_
53849</t>
        </r>
      </text>
    </comment>
    <comment ref="B317" authorId="0" shapeId="0" xr:uid="{9D13B614-F373-456F-8A1B-EB4F9694CF37}">
      <text>
        <r>
          <rPr>
            <sz val="10"/>
            <color indexed="81"/>
            <rFont val="Lucida Console"/>
            <family val="3"/>
          </rPr>
          <t>DESCRIÇÃO DETALHADA_x000D_
REPARO P/ VALVULA DE DESCARGA 1 1/4" (MARCA DOCOL)</t>
        </r>
      </text>
    </comment>
    <comment ref="G317" authorId="0" shapeId="0" xr:uid="{EE44A41E-00E3-45E7-95BC-40CB33BC0221}">
      <text>
        <r>
          <rPr>
            <sz val="10"/>
            <color indexed="81"/>
            <rFont val="Lucida Console"/>
            <family val="3"/>
          </rPr>
          <t>_x000D_
Últ estimativa : 30_x000D_
Enviada em     : 31.07.2019_x000D_
Ata - Venc     : 191/20 - 07.09.2021</t>
        </r>
      </text>
    </comment>
    <comment ref="O317" authorId="0" shapeId="0" xr:uid="{447C8C25-58EB-4B48-BF43-8F9246D0AB50}">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317" authorId="0" shapeId="0" xr:uid="{286331F0-C198-41C4-8143-B194C14ABA01}">
      <text>
        <r>
          <rPr>
            <sz val="10"/>
            <color indexed="81"/>
            <rFont val="Lucida Console"/>
            <family val="3"/>
          </rPr>
          <t>_x000D_
DM-Hidráulica</t>
        </r>
      </text>
    </comment>
    <comment ref="X317" authorId="0" shapeId="0" xr:uid="{AA1DEF3C-08B2-4AC2-87C1-FF9850BC2920}">
      <text>
        <r>
          <rPr>
            <sz val="10"/>
            <color indexed="81"/>
            <rFont val="Lucida Console"/>
            <family val="3"/>
          </rPr>
          <t>_x000D_
MATERIAL HIDRAULICO, CANOS, TUBOS, MANGUEIRAS, CONEXOES E ACESS.</t>
        </r>
      </text>
    </comment>
    <comment ref="Y317" authorId="0" shapeId="0" xr:uid="{372A273F-40A1-44F9-AADF-E1FA1910AB37}">
      <text>
        <r>
          <rPr>
            <sz val="10"/>
            <color indexed="81"/>
            <rFont val="Lucida Console"/>
            <family val="3"/>
          </rPr>
          <t>_x000D_
REGISTROS VALVULAS E BOIAS</t>
        </r>
      </text>
    </comment>
    <comment ref="AW317" authorId="0" shapeId="0" xr:uid="{8713CF8B-F729-47F3-AEA8-91143B924FAC}">
      <text>
        <r>
          <rPr>
            <sz val="10"/>
            <color indexed="81"/>
            <rFont val="Lucida Console"/>
            <family val="3"/>
          </rPr>
          <t>Tempo de Estoque (Meses)_x000D_
_x000D_
20,0</t>
        </r>
      </text>
    </comment>
    <comment ref="A318" authorId="0" shapeId="0" xr:uid="{BBA9E0E4-FD7B-4BAE-9B02-93470676DD96}">
      <text>
        <r>
          <rPr>
            <sz val="10"/>
            <color indexed="81"/>
            <rFont val="Lucida Console"/>
            <family val="3"/>
          </rPr>
          <t>_x000D_
113581</t>
        </r>
      </text>
    </comment>
    <comment ref="B318" authorId="0" shapeId="0" xr:uid="{E8E9D7CD-1BD1-4ADA-A500-59DCA43FAA73}">
      <text>
        <r>
          <rPr>
            <sz val="10"/>
            <color indexed="81"/>
            <rFont val="Lucida Console"/>
            <family val="3"/>
          </rPr>
          <t>DESCRIÇÃO DETALHADA_x000D_
REGISTRO TIPO ESFERA, MATERIAL PVC, DIAMETRO 3/4"</t>
        </r>
      </text>
    </comment>
    <comment ref="G318" authorId="0" shapeId="0" xr:uid="{B4D063EF-D17E-4DB2-9EBF-EC829C73C615}">
      <text>
        <r>
          <rPr>
            <sz val="10"/>
            <color indexed="81"/>
            <rFont val="Lucida Console"/>
            <family val="3"/>
          </rPr>
          <t>_x000D_
Últ estimativa : 450_x000D_
Enviada em     : 31.07.2019_x000D_
Ata - Venc     : 191/20 - 07.09.2021</t>
        </r>
      </text>
    </comment>
    <comment ref="O318" authorId="0" shapeId="0" xr:uid="{CCCBFF28-9395-449E-B08B-AFDF0DDE4F36}">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318" authorId="0" shapeId="0" xr:uid="{398F0D40-DD1F-4500-967D-BF6C1CC150BB}">
      <text>
        <r>
          <rPr>
            <sz val="10"/>
            <color indexed="81"/>
            <rFont val="Lucida Console"/>
            <family val="3"/>
          </rPr>
          <t>_x000D_
DM-Hidráulica</t>
        </r>
      </text>
    </comment>
    <comment ref="X318" authorId="0" shapeId="0" xr:uid="{D36540B9-21A8-4259-8742-2DE5F0DE2EBA}">
      <text>
        <r>
          <rPr>
            <sz val="10"/>
            <color indexed="81"/>
            <rFont val="Lucida Console"/>
            <family val="3"/>
          </rPr>
          <t>_x000D_
MATERIAL HIDRAULICO, CANOS, TUBOS, MANGUEIRAS, CONEXOES E ACESS.</t>
        </r>
      </text>
    </comment>
    <comment ref="Y318" authorId="0" shapeId="0" xr:uid="{90138678-38A2-4715-993D-B2F1528D3A06}">
      <text>
        <r>
          <rPr>
            <sz val="10"/>
            <color indexed="81"/>
            <rFont val="Lucida Console"/>
            <family val="3"/>
          </rPr>
          <t>_x000D_
REGISTROS VALVULAS E BOIAS</t>
        </r>
      </text>
    </comment>
    <comment ref="AW318" authorId="0" shapeId="0" xr:uid="{DFDC2421-81DE-4C40-BF3A-0F9ED62244C4}">
      <text>
        <r>
          <rPr>
            <sz val="10"/>
            <color indexed="81"/>
            <rFont val="Lucida Console"/>
            <family val="3"/>
          </rPr>
          <t>Tempo de Estoque (Meses)_x000D_
_x000D_
729,0</t>
        </r>
      </text>
    </comment>
    <comment ref="A319" authorId="0" shapeId="0" xr:uid="{D4A96C26-9128-43C8-B145-8F4EF6A10829}">
      <text>
        <r>
          <rPr>
            <sz val="10"/>
            <color indexed="81"/>
            <rFont val="Lucida Console"/>
            <family val="3"/>
          </rPr>
          <t>_x000D_
28307</t>
        </r>
      </text>
    </comment>
    <comment ref="B319" authorId="0" shapeId="0" xr:uid="{8E149B5D-8124-40A5-9063-9FDAF54B7100}">
      <text>
        <r>
          <rPr>
            <sz val="10"/>
            <color indexed="81"/>
            <rFont val="Lucida Console"/>
            <family val="3"/>
          </rPr>
          <t>DESCRIÇÃO DETALHADA_x000D_
UNIAO PVC COLA MARROM DE 1.1/4", DE ACORDO COM A NORMA NBR 5648 E A MARCA DEVERA VIR LITOGRAFADA NA PECA</t>
        </r>
      </text>
    </comment>
    <comment ref="G319" authorId="0" shapeId="0" xr:uid="{D87575EB-52A3-430B-AD24-B7143ED98145}">
      <text>
        <r>
          <rPr>
            <sz val="10"/>
            <color indexed="81"/>
            <rFont val="Lucida Console"/>
            <family val="3"/>
          </rPr>
          <t>_x000D_
Últ estimativa : 0_x000D_
Enviada em     : 16.03.2020_x000D_
Ata - Venc     : 191/20 - 07.09.2021</t>
        </r>
      </text>
    </comment>
    <comment ref="O319" authorId="0" shapeId="0" xr:uid="{DBB1CB2E-8F0C-491F-B02E-3F8DD5DD606F}">
      <text>
        <r>
          <rPr>
            <sz val="10"/>
            <color indexed="81"/>
            <rFont val="Lucida Console"/>
            <family val="3"/>
          </rPr>
          <t>_x000D_
Pertencia a ATA nº 191/20_x000D_
Estimativa de Renovação enviada em 16.03.2020 - Qtd _x000D_
PP  76/19 lote _x000D_
22.07.19 = Processo conferido e finalizado</t>
        </r>
      </text>
    </comment>
    <comment ref="W319" authorId="0" shapeId="0" xr:uid="{B5389340-BB52-4FA0-A6FE-9E89F4E3158B}">
      <text>
        <r>
          <rPr>
            <sz val="10"/>
            <color indexed="81"/>
            <rFont val="Lucida Console"/>
            <family val="3"/>
          </rPr>
          <t>_x000D_
DM-Hidráulica</t>
        </r>
      </text>
    </comment>
    <comment ref="X319" authorId="0" shapeId="0" xr:uid="{8A5CB6F9-2123-4F4C-B42B-B6AD6C962A39}">
      <text>
        <r>
          <rPr>
            <sz val="10"/>
            <color indexed="81"/>
            <rFont val="Lucida Console"/>
            <family val="3"/>
          </rPr>
          <t>_x000D_
MATERIAL HIDRAULICO, CANOS, TUBOS, MANGUEIRAS, CONEXOES E ACESS.</t>
        </r>
      </text>
    </comment>
    <comment ref="Y319" authorId="0" shapeId="0" xr:uid="{8D965F2F-A429-428A-895C-9E6DB2BEF751}">
      <text>
        <r>
          <rPr>
            <sz val="10"/>
            <color indexed="81"/>
            <rFont val="Lucida Console"/>
            <family val="3"/>
          </rPr>
          <t>_x000D_
ADAP. LUVAS.TES CURVAS COTOVELOS PLUGS FLANGES.....</t>
        </r>
      </text>
    </comment>
    <comment ref="AW319" authorId="0" shapeId="0" xr:uid="{E5CF5772-67B4-450F-A98E-032134F611FC}">
      <text>
        <r>
          <rPr>
            <sz val="10"/>
            <color indexed="81"/>
            <rFont val="Lucida Console"/>
            <family val="3"/>
          </rPr>
          <t>Tempo de Estoque (Meses)_x000D_
_x000D_
22,0</t>
        </r>
      </text>
    </comment>
    <comment ref="A320" authorId="0" shapeId="0" xr:uid="{C0C88979-2BB9-4AB0-A410-D55152026031}">
      <text>
        <r>
          <rPr>
            <sz val="10"/>
            <color indexed="81"/>
            <rFont val="Lucida Console"/>
            <family val="3"/>
          </rPr>
          <t>_x000D_
13116</t>
        </r>
      </text>
    </comment>
    <comment ref="B320" authorId="0" shapeId="0" xr:uid="{27926935-ED69-497F-879E-BBD61DBFFA0B}">
      <text>
        <r>
          <rPr>
            <sz val="10"/>
            <color indexed="81"/>
            <rFont val="Lucida Console"/>
            <family val="3"/>
          </rPr>
          <t>DESCRIÇÃO DETALHADA_x000D_
REGISTRO DE PRESSAO 3/4" SEM CANOPLA</t>
        </r>
      </text>
    </comment>
    <comment ref="G320" authorId="0" shapeId="0" xr:uid="{5C74DD55-DD21-4CE8-8B78-1707871D3649}">
      <text>
        <r>
          <rPr>
            <sz val="10"/>
            <color indexed="81"/>
            <rFont val="Lucida Console"/>
            <family val="3"/>
          </rPr>
          <t>_x000D_
Últ estimativa : 0_x000D_
Enviada em     : 16.03.2020_x000D_
Ata - Venc     : 191/20 - 07.09.2021</t>
        </r>
      </text>
    </comment>
    <comment ref="O320" authorId="0" shapeId="0" xr:uid="{FF39EBF8-2642-4353-9C26-1EB3135D02A9}">
      <text>
        <r>
          <rPr>
            <sz val="10"/>
            <color indexed="81"/>
            <rFont val="Lucida Console"/>
            <family val="3"/>
          </rPr>
          <t>_x000D_
Pertencia a ATA nº 191/20_x000D_
Estimativa de Renovação enviada em 16.03.2020 - Qtd _x000D_
PP  76/19 lote _x000D_
22.07.19 = Processo conferido e finalizado</t>
        </r>
      </text>
    </comment>
    <comment ref="W320" authorId="0" shapeId="0" xr:uid="{83350C5C-5C3B-478A-9A36-673507B9344F}">
      <text>
        <r>
          <rPr>
            <sz val="10"/>
            <color indexed="81"/>
            <rFont val="Lucida Console"/>
            <family val="3"/>
          </rPr>
          <t>_x000D_
DM-Hidráulica</t>
        </r>
      </text>
    </comment>
    <comment ref="X320" authorId="0" shapeId="0" xr:uid="{25E51047-BF24-4CE5-AFAF-DBCFD0792AA1}">
      <text>
        <r>
          <rPr>
            <sz val="10"/>
            <color indexed="81"/>
            <rFont val="Lucida Console"/>
            <family val="3"/>
          </rPr>
          <t>_x000D_
MATERIAL HIDRAULICO, CANOS, TUBOS, MANGUEIRAS, CONEXOES E ACESS.</t>
        </r>
      </text>
    </comment>
    <comment ref="Y320" authorId="0" shapeId="0" xr:uid="{F51A60A8-0EFF-4AA8-87D1-78919914C6C8}">
      <text>
        <r>
          <rPr>
            <sz val="10"/>
            <color indexed="81"/>
            <rFont val="Lucida Console"/>
            <family val="3"/>
          </rPr>
          <t>_x000D_
REGISTROS VALVULAS E BOIAS</t>
        </r>
      </text>
    </comment>
    <comment ref="AW320" authorId="0" shapeId="0" xr:uid="{D7454DDC-476A-442C-A9B7-92600D10456C}">
      <text>
        <r>
          <rPr>
            <sz val="10"/>
            <color indexed="81"/>
            <rFont val="Lucida Console"/>
            <family val="3"/>
          </rPr>
          <t>Tempo de Estoque (Meses)_x000D_
_x000D_
40,0</t>
        </r>
      </text>
    </comment>
    <comment ref="A321" authorId="0" shapeId="0" xr:uid="{380E1A25-91AB-421E-9A17-F5630BA4CE1A}">
      <text>
        <r>
          <rPr>
            <sz val="10"/>
            <color indexed="81"/>
            <rFont val="Lucida Console"/>
            <family val="3"/>
          </rPr>
          <t>_x000D_
13563</t>
        </r>
      </text>
    </comment>
    <comment ref="B321" authorId="0" shapeId="0" xr:uid="{89EF6097-5C50-43B9-BB6B-D7F5EB1DD629}">
      <text>
        <r>
          <rPr>
            <sz val="10"/>
            <color indexed="81"/>
            <rFont val="Lucida Console"/>
            <family val="3"/>
          </rPr>
          <t>DESCRIÇÃO DETALHADA_x000D_
PINO P/TORNEIRA DE 3/4" - VEDANTE</t>
        </r>
      </text>
    </comment>
    <comment ref="G321" authorId="0" shapeId="0" xr:uid="{A845E544-971B-4B8F-9614-EEE83B428EE7}">
      <text>
        <r>
          <rPr>
            <sz val="10"/>
            <color indexed="81"/>
            <rFont val="Lucida Console"/>
            <family val="3"/>
          </rPr>
          <t>_x000D_
Últ estimativa : 600_x000D_
Enviada em     : 16.03.2020_x000D_
Ata - Venc     : 191/20 - 07.09.2021</t>
        </r>
      </text>
    </comment>
    <comment ref="O321" authorId="0" shapeId="0" xr:uid="{D440BE35-227E-4CF1-A982-58B90C4A6C10}">
      <text>
        <r>
          <rPr>
            <sz val="10"/>
            <color indexed="81"/>
            <rFont val="Lucida Console"/>
            <family val="3"/>
          </rPr>
          <t>_x000D_
Pertencia a ATA nº 191/20_x000D_
Estimativa de Renovação enviada em 16.03.2020 - Qtd 600_x000D_
PP  76/19 lote _x000D_
22.07.19 = Processo conferido e finalizado</t>
        </r>
      </text>
    </comment>
    <comment ref="W321" authorId="0" shapeId="0" xr:uid="{77DFAA33-7496-4A71-B8AF-28C49C34C67F}">
      <text>
        <r>
          <rPr>
            <sz val="10"/>
            <color indexed="81"/>
            <rFont val="Lucida Console"/>
            <family val="3"/>
          </rPr>
          <t>_x000D_
DM-Hidráulica</t>
        </r>
      </text>
    </comment>
    <comment ref="X321" authorId="0" shapeId="0" xr:uid="{D939D76D-CE9B-414D-831F-C760A585880E}">
      <text>
        <r>
          <rPr>
            <sz val="10"/>
            <color indexed="81"/>
            <rFont val="Lucida Console"/>
            <family val="3"/>
          </rPr>
          <t>_x000D_
MATERIAL HIDRAULICO, CANOS, TUBOS, MANGUEIRAS, CONEXOES E ACESS.</t>
        </r>
      </text>
    </comment>
    <comment ref="Y321" authorId="0" shapeId="0" xr:uid="{4E12549E-0184-4A3B-ACEE-DC81307C7721}">
      <text>
        <r>
          <rPr>
            <sz val="10"/>
            <color indexed="81"/>
            <rFont val="Lucida Console"/>
            <family val="3"/>
          </rPr>
          <t>_x000D_
REGISTROS VALVULAS E BOIAS</t>
        </r>
      </text>
    </comment>
    <comment ref="AW321" authorId="0" shapeId="0" xr:uid="{E69B6676-3DAE-44D8-BC84-999F7C68A1DB}">
      <text>
        <r>
          <rPr>
            <sz val="10"/>
            <color indexed="81"/>
            <rFont val="Lucida Console"/>
            <family val="3"/>
          </rPr>
          <t>Tempo de Estoque (Meses)_x000D_
_x000D_
289,0</t>
        </r>
      </text>
    </comment>
    <comment ref="A322" authorId="0" shapeId="0" xr:uid="{DD9BD4C1-A95E-4975-8F0B-39944B33107C}">
      <text>
        <r>
          <rPr>
            <sz val="10"/>
            <color indexed="81"/>
            <rFont val="Lucida Console"/>
            <family val="3"/>
          </rPr>
          <t>_x000D_
104667</t>
        </r>
      </text>
    </comment>
    <comment ref="B322" authorId="0" shapeId="0" xr:uid="{9830D80F-8504-41C1-8CF5-5F2B82EEFD1B}">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322" authorId="0" shapeId="0" xr:uid="{5C5E44C1-8335-41C4-9A93-3206D7FC11F2}">
      <text>
        <r>
          <rPr>
            <sz val="10"/>
            <color indexed="81"/>
            <rFont val="Lucida Console"/>
            <family val="3"/>
          </rPr>
          <t>_x000D_
Últ estimativa : 100_x000D_
Enviada em     : 16.03.2020_x000D_
Ata - Venc     : 191/20 - 07.09.2021</t>
        </r>
      </text>
    </comment>
    <comment ref="O322" authorId="0" shapeId="0" xr:uid="{394DE1DC-84A3-4980-A9CD-86FF93C22CB6}">
      <text>
        <r>
          <rPr>
            <sz val="10"/>
            <color indexed="81"/>
            <rFont val="Lucida Console"/>
            <family val="3"/>
          </rPr>
          <t>_x000D_
Pertencia a ATA nº 191/20_x000D_
Estimativa de Renovação enviada em 16.03.2020 - Qtd 100_x000D_
PP  76/19 lote _x000D_
22.07.19 = Processo conferido e finalizado</t>
        </r>
      </text>
    </comment>
    <comment ref="W322" authorId="0" shapeId="0" xr:uid="{C135ADEE-53B8-41F5-85B3-0EFC3C89A4A7}">
      <text>
        <r>
          <rPr>
            <sz val="10"/>
            <color indexed="81"/>
            <rFont val="Lucida Console"/>
            <family val="3"/>
          </rPr>
          <t>_x000D_
DM-Hidráulica</t>
        </r>
      </text>
    </comment>
    <comment ref="X322" authorId="0" shapeId="0" xr:uid="{604C1D39-8587-4B4D-96D5-E409EED589E7}">
      <text>
        <r>
          <rPr>
            <sz val="10"/>
            <color indexed="81"/>
            <rFont val="Lucida Console"/>
            <family val="3"/>
          </rPr>
          <t>_x000D_
MATERIAL HIDRAULICO, CANOS, TUBOS, MANGUEIRAS, CONEXOES E ACESS.</t>
        </r>
      </text>
    </comment>
    <comment ref="Y322" authorId="0" shapeId="0" xr:uid="{B8308CF2-D36A-4B2A-9478-6A9CB7A57D69}">
      <text>
        <r>
          <rPr>
            <sz val="10"/>
            <color indexed="81"/>
            <rFont val="Lucida Console"/>
            <family val="3"/>
          </rPr>
          <t>_x000D_
REGISTROS VALVULAS E BOIAS</t>
        </r>
      </text>
    </comment>
    <comment ref="AC322" authorId="0" shapeId="0" xr:uid="{3B374E03-1F32-406A-817A-CEA518C29FF1}">
      <text>
        <r>
          <rPr>
            <sz val="10"/>
            <color indexed="81"/>
            <rFont val="Lucida Console"/>
            <family val="3"/>
          </rPr>
          <t>_x000D_
AF  9.756/23 | Vc 24.08.2023 | Saldo     50 | DAVOP COMERCIAL LTDA ( 44459 )</t>
        </r>
      </text>
    </comment>
    <comment ref="AG322" authorId="0" shapeId="0" xr:uid="{800986DF-DACC-4F14-B009-1E945068D82D}">
      <text>
        <r>
          <rPr>
            <sz val="10"/>
            <color indexed="81"/>
            <rFont val="Lucida Console"/>
            <family val="3"/>
          </rPr>
          <t>_x000D_
AF  9.756/23 | Vc 24.08.2023 | Saldo     50 | DAVOP COMERCIAL LTDA ( 44459 )</t>
        </r>
      </text>
    </comment>
    <comment ref="AW322" authorId="0" shapeId="0" xr:uid="{EBD03AEF-CB4A-42A1-AC1F-C59A7F4E5CE1}">
      <text>
        <r>
          <rPr>
            <sz val="10"/>
            <color indexed="81"/>
            <rFont val="Lucida Console"/>
            <family val="3"/>
          </rPr>
          <t>Tempo de Estoque (Meses)_x000D_
_x000D_
96,0</t>
        </r>
      </text>
    </comment>
    <comment ref="A323" authorId="0" shapeId="0" xr:uid="{E280C074-321D-4B23-BA15-16ED239AAF45}">
      <text>
        <r>
          <rPr>
            <sz val="10"/>
            <color indexed="81"/>
            <rFont val="Lucida Console"/>
            <family val="3"/>
          </rPr>
          <t>_x000D_
40086</t>
        </r>
      </text>
    </comment>
    <comment ref="B323" authorId="0" shapeId="0" xr:uid="{5E503CD9-5D75-44BF-9E6E-9C37F99C75BF}">
      <text>
        <r>
          <rPr>
            <sz val="10"/>
            <color indexed="81"/>
            <rFont val="Lucida Console"/>
            <family val="3"/>
          </rPr>
          <t>DESCRIÇÃO DETALHADA_x000D_
TELHA DE BARRO COZIDO - TIPO ROMANA</t>
        </r>
      </text>
    </comment>
    <comment ref="G323" authorId="0" shapeId="0" xr:uid="{80E1DCF0-8286-4978-8116-518412C86625}">
      <text>
        <r>
          <rPr>
            <sz val="10"/>
            <color indexed="81"/>
            <rFont val="Lucida Console"/>
            <family val="3"/>
          </rPr>
          <t>_x000D_
Últ estimativa : 0_x000D_
Enviada em     : 25.09.2019_x000D_
Ata - Venc     : 194/17 - 13.11.2018</t>
        </r>
      </text>
    </comment>
    <comment ref="O323" authorId="0" shapeId="0" xr:uid="{1AD120C5-8827-4F78-803C-64C26B6F25FF}">
      <text>
        <r>
          <rPr>
            <sz val="10"/>
            <color indexed="81"/>
            <rFont val="Lucida Console"/>
            <family val="3"/>
          </rPr>
          <t>_x000D_
Pertencia a ATA nº 194/17_x000D_
Estimativa de Renovação enviada em 25.09.2019 - Qtd _x000D_
PE  26/21 lote 11 (Impróspero)_x000D_
16.03.21 = Processo finalizado. Ata 105/21.</t>
        </r>
      </text>
    </comment>
    <comment ref="W323" authorId="0" shapeId="0" xr:uid="{8375AE2B-0161-4069-ADD6-9C75FF8D72B8}">
      <text>
        <r>
          <rPr>
            <sz val="10"/>
            <color indexed="81"/>
            <rFont val="Lucida Console"/>
            <family val="3"/>
          </rPr>
          <t>_x000D_
DM-Construção</t>
        </r>
      </text>
    </comment>
    <comment ref="X323" authorId="0" shapeId="0" xr:uid="{96E3D6F2-9B39-44A0-BA1E-2F5EADA1D783}">
      <text>
        <r>
          <rPr>
            <sz val="10"/>
            <color indexed="81"/>
            <rFont val="Lucida Console"/>
            <family val="3"/>
          </rPr>
          <t>_x000D_
MAT.E EQUIP. P/ CONSTR.CIVIL E CONSERV. DE VIAS PUBL.</t>
        </r>
      </text>
    </comment>
    <comment ref="Y323" authorId="0" shapeId="0" xr:uid="{7EE883C0-C655-4E9D-9130-AC9200772B08}">
      <text>
        <r>
          <rPr>
            <sz val="10"/>
            <color indexed="81"/>
            <rFont val="Lucida Console"/>
            <family val="3"/>
          </rPr>
          <t>_x000D_
TELHAS. CUMEEIRAS E ELEM. DE TELH. E CHAP. DE CIM. AMIANT</t>
        </r>
      </text>
    </comment>
    <comment ref="AW323" authorId="0" shapeId="0" xr:uid="{F3A2EFE4-C7D1-44ED-A1C2-3C588DC05D87}">
      <text>
        <r>
          <rPr>
            <sz val="10"/>
            <color indexed="81"/>
            <rFont val="Lucida Console"/>
            <family val="3"/>
          </rPr>
          <t>Tempo de Estoque (Meses)_x000D_
_x000D_
927,0</t>
        </r>
      </text>
    </comment>
    <comment ref="A324" authorId="0" shapeId="0" xr:uid="{57B3D75F-A103-484F-A6E5-3928BE9DC4F8}">
      <text>
        <r>
          <rPr>
            <sz val="10"/>
            <color indexed="81"/>
            <rFont val="Lucida Console"/>
            <family val="3"/>
          </rPr>
          <t>_x000D_
67939</t>
        </r>
      </text>
    </comment>
    <comment ref="B324" authorId="0" shapeId="0" xr:uid="{422CEBA2-86CE-4A3F-9F2B-EC9175ACCC83}">
      <text>
        <r>
          <rPr>
            <sz val="10"/>
            <color indexed="81"/>
            <rFont val="Lucida Console"/>
            <family val="3"/>
          </rPr>
          <t>DESCRIÇÃO DETALHADA_x000D_
GUARNICAO PARA PORTA 0,92 X 2,10 M</t>
        </r>
      </text>
    </comment>
    <comment ref="G324" authorId="0" shapeId="0" xr:uid="{B5DF0F56-A9CD-4788-9F35-5D16BC1506F9}">
      <text>
        <r>
          <rPr>
            <sz val="10"/>
            <color indexed="81"/>
            <rFont val="Lucida Console"/>
            <family val="3"/>
          </rPr>
          <t>_x000D_
Últ estimativa : 0_x000D_
Enviada em     : 19.05.2021_x000D_
Ata - Venc     : 194/20 - 07.09.2021</t>
        </r>
      </text>
    </comment>
    <comment ref="O324" authorId="0" shapeId="0" xr:uid="{FDE1421F-4239-4056-AE02-B85527572C67}">
      <text>
        <r>
          <rPr>
            <sz val="10"/>
            <color indexed="81"/>
            <rFont val="Lucida Console"/>
            <family val="3"/>
          </rPr>
          <t>_x000D_
Pertencia a ATA nº 194/20_x000D_
Estimativa de Renovação enviada em 19.05.2021 - Qtd _x000D_
PP 111/19 lote _x000D_
18.09.19 = Área técnica respondeu recurso</t>
        </r>
      </text>
    </comment>
    <comment ref="W324" authorId="0" shapeId="0" xr:uid="{4ECB32B7-02A5-4335-8C55-67950B463DAF}">
      <text>
        <r>
          <rPr>
            <sz val="10"/>
            <color indexed="81"/>
            <rFont val="Lucida Console"/>
            <family val="3"/>
          </rPr>
          <t>_x000D_
DM-Construção</t>
        </r>
      </text>
    </comment>
    <comment ref="X324" authorId="0" shapeId="0" xr:uid="{D1D6ABDB-8940-47A7-B0D9-3BC296C0ADDE}">
      <text>
        <r>
          <rPr>
            <sz val="10"/>
            <color indexed="81"/>
            <rFont val="Lucida Console"/>
            <family val="3"/>
          </rPr>
          <t>_x000D_
MAT.E EQUIP. P/ CONSTR.CIVIL E CONSERV. DE VIAS PUBL.</t>
        </r>
      </text>
    </comment>
    <comment ref="Y324" authorId="0" shapeId="0" xr:uid="{B455B639-05D9-4915-9696-AA8E81DF6292}">
      <text>
        <r>
          <rPr>
            <sz val="10"/>
            <color indexed="81"/>
            <rFont val="Lucida Console"/>
            <family val="3"/>
          </rPr>
          <t>_x000D_
PORTAS, BATENTES E GUARNICOES DE MADEIRA, FERRO, METAL</t>
        </r>
      </text>
    </comment>
    <comment ref="AW324" authorId="0" shapeId="0" xr:uid="{D9A4B3EF-68E2-4DC1-85F3-6AF8648A1F73}">
      <text>
        <r>
          <rPr>
            <sz val="10"/>
            <color indexed="81"/>
            <rFont val="Lucida Console"/>
            <family val="3"/>
          </rPr>
          <t>Tempo de Estoque (Meses)_x000D_
_x000D_
3,0</t>
        </r>
      </text>
    </comment>
    <comment ref="A325" authorId="0" shapeId="0" xr:uid="{75D9A392-2CF3-462E-85DB-ACF3305E3413}">
      <text>
        <r>
          <rPr>
            <sz val="10"/>
            <color indexed="81"/>
            <rFont val="Lucida Console"/>
            <family val="3"/>
          </rPr>
          <t>_x000D_
74909</t>
        </r>
      </text>
    </comment>
    <comment ref="B325" authorId="0" shapeId="0" xr:uid="{12914F1E-3BF4-4BBC-87B7-CFD7E0000254}">
      <text>
        <r>
          <rPr>
            <sz val="10"/>
            <color indexed="81"/>
            <rFont val="Lucida Console"/>
            <family val="3"/>
          </rPr>
          <t>DESCRIÇÃO DETALHADA_x000D_
VIGA DE GARAPEIRA BRUTA - 6 CM X 12 CM X 5,00 M COMPRIMENTO</t>
        </r>
      </text>
    </comment>
    <comment ref="G325" authorId="0" shapeId="0" xr:uid="{F2230219-EE2E-40E8-BB75-3C0DA78109A9}">
      <text>
        <r>
          <rPr>
            <sz val="10"/>
            <color indexed="81"/>
            <rFont val="Lucida Console"/>
            <family val="3"/>
          </rPr>
          <t>_x000D_
Últ estimativa : 100_x000D_
Enviada em     : 19.05.2021_x000D_
Ata - Venc     : 194/20 - 07.09.2021</t>
        </r>
      </text>
    </comment>
    <comment ref="O325" authorId="0" shapeId="0" xr:uid="{79F3069D-D4E7-4FC4-9E96-743D49C66E6B}">
      <text>
        <r>
          <rPr>
            <sz val="10"/>
            <color indexed="81"/>
            <rFont val="Lucida Console"/>
            <family val="3"/>
          </rPr>
          <t>_x000D_
Pertencia a ATA nº 194/20_x000D_
Estimativa de Renovação enviada em 19.05.2021 - Qtd 100_x000D_
PP 111/19 lote _x000D_
18.09.19 = Área técnica respondeu recurso</t>
        </r>
      </text>
    </comment>
    <comment ref="W325" authorId="0" shapeId="0" xr:uid="{2C0854B7-C556-4A03-AEA8-C14202A21373}">
      <text>
        <r>
          <rPr>
            <sz val="10"/>
            <color indexed="81"/>
            <rFont val="Lucida Console"/>
            <family val="3"/>
          </rPr>
          <t>_x000D_
DM-Construção</t>
        </r>
      </text>
    </comment>
    <comment ref="X325" authorId="0" shapeId="0" xr:uid="{F90089C1-BEEA-43AA-B15F-0A85E3E6B0E9}">
      <text>
        <r>
          <rPr>
            <sz val="10"/>
            <color indexed="81"/>
            <rFont val="Lucida Console"/>
            <family val="3"/>
          </rPr>
          <t>_x000D_
MADEIRAS,LAMINADOS,COMPENSADOS E AGLOMERADOS</t>
        </r>
      </text>
    </comment>
    <comment ref="Y325" authorId="0" shapeId="0" xr:uid="{458AF9A0-0AD5-433C-8E46-D64C53636F52}">
      <text>
        <r>
          <rPr>
            <sz val="10"/>
            <color indexed="81"/>
            <rFont val="Lucida Console"/>
            <family val="3"/>
          </rPr>
          <t>_x000D_
PONTALETES, CAIBROS, PRANCHAS E VIGAS</t>
        </r>
      </text>
    </comment>
    <comment ref="AW325" authorId="0" shapeId="0" xr:uid="{C86FE4E5-4DEE-4448-8721-A1F0BB775C0A}">
      <text>
        <r>
          <rPr>
            <sz val="10"/>
            <color indexed="81"/>
            <rFont val="Lucida Console"/>
            <family val="3"/>
          </rPr>
          <t>Tempo de Estoque (Meses)_x000D_
_x000D_
0,0</t>
        </r>
      </text>
    </comment>
    <comment ref="A326" authorId="0" shapeId="0" xr:uid="{3697F17D-4400-4F90-BE00-F22B74B788B6}">
      <text>
        <r>
          <rPr>
            <sz val="10"/>
            <color indexed="81"/>
            <rFont val="Lucida Console"/>
            <family val="3"/>
          </rPr>
          <t>_x000D_
74911</t>
        </r>
      </text>
    </comment>
    <comment ref="B326" authorId="0" shapeId="0" xr:uid="{E63A9D67-48F4-4B97-9B7B-BFCBF949032C}">
      <text>
        <r>
          <rPr>
            <sz val="10"/>
            <color indexed="81"/>
            <rFont val="Lucida Console"/>
            <family val="3"/>
          </rPr>
          <t>DESCRIÇÃO DETALHADA_x000D_
VIGA DE GARAPEIRA BRUTA - 6 X 12 CM X 4,50 M COMPRIMENTO</t>
        </r>
      </text>
    </comment>
    <comment ref="G326" authorId="0" shapeId="0" xr:uid="{0CF35998-FE3B-4ED2-9793-80465E897E98}">
      <text>
        <r>
          <rPr>
            <sz val="10"/>
            <color indexed="81"/>
            <rFont val="Lucida Console"/>
            <family val="3"/>
          </rPr>
          <t>_x000D_
Últ estimativa : 300_x000D_
Enviada em     : 19.05.2021_x000D_
Ata - Venc     : 194/20 - 07.09.2021</t>
        </r>
      </text>
    </comment>
    <comment ref="O326" authorId="0" shapeId="0" xr:uid="{7D5A8CB1-9582-47FA-9A45-D54E4E503AC4}">
      <text>
        <r>
          <rPr>
            <sz val="10"/>
            <color indexed="81"/>
            <rFont val="Lucida Console"/>
            <family val="3"/>
          </rPr>
          <t>_x000D_
Pertencia a ATA nº 194/20_x000D_
Estimativa de Renovação enviada em 19.05.2021 - Qtd 300_x000D_
PP 111/19 lote _x000D_
18.09.19 = Área técnica respondeu recurso</t>
        </r>
      </text>
    </comment>
    <comment ref="W326" authorId="0" shapeId="0" xr:uid="{1A09EB82-3613-48E7-AF2F-F61781D37C2E}">
      <text>
        <r>
          <rPr>
            <sz val="10"/>
            <color indexed="81"/>
            <rFont val="Lucida Console"/>
            <family val="3"/>
          </rPr>
          <t>_x000D_
DM-Construção</t>
        </r>
      </text>
    </comment>
    <comment ref="X326" authorId="0" shapeId="0" xr:uid="{220F391E-DC64-427B-8C78-2FDA990F6C13}">
      <text>
        <r>
          <rPr>
            <sz val="10"/>
            <color indexed="81"/>
            <rFont val="Lucida Console"/>
            <family val="3"/>
          </rPr>
          <t>_x000D_
MADEIRAS,LAMINADOS,COMPENSADOS E AGLOMERADOS</t>
        </r>
      </text>
    </comment>
    <comment ref="Y326" authorId="0" shapeId="0" xr:uid="{888E3088-523B-4B16-8F4B-FF27FBE21E4F}">
      <text>
        <r>
          <rPr>
            <sz val="10"/>
            <color indexed="81"/>
            <rFont val="Lucida Console"/>
            <family val="3"/>
          </rPr>
          <t>_x000D_
PONTALETES, CAIBROS, PRANCHAS E VIGAS</t>
        </r>
      </text>
    </comment>
    <comment ref="AW326" authorId="0" shapeId="0" xr:uid="{BF8D4627-A40D-4358-89DC-6E83E4765DF4}">
      <text>
        <r>
          <rPr>
            <sz val="10"/>
            <color indexed="81"/>
            <rFont val="Lucida Console"/>
            <family val="3"/>
          </rPr>
          <t>Tempo de Estoque (Meses)_x000D_
_x000D_
17,0</t>
        </r>
      </text>
    </comment>
    <comment ref="A327" authorId="0" shapeId="0" xr:uid="{002248ED-EE92-4557-AFAD-C4739A3F1971}">
      <text>
        <r>
          <rPr>
            <sz val="10"/>
            <color indexed="81"/>
            <rFont val="Lucida Console"/>
            <family val="3"/>
          </rPr>
          <t>_x000D_
77554</t>
        </r>
      </text>
    </comment>
    <comment ref="B327" authorId="0" shapeId="0" xr:uid="{718C5115-3C5E-4A91-9809-C09A5C904059}">
      <text>
        <r>
          <rPr>
            <sz val="10"/>
            <color indexed="81"/>
            <rFont val="Lucida Console"/>
            <family val="3"/>
          </rPr>
          <t>DESCRIÇÃO DETALHADA_x000D_
VIGA DE GARAPEIRA BRUTA - 6 CM X 12 CM X 5,50 M COMPRIMENTO</t>
        </r>
      </text>
    </comment>
    <comment ref="G327" authorId="0" shapeId="0" xr:uid="{02F901FD-3B51-4EC4-813B-D396479CAF7B}">
      <text>
        <r>
          <rPr>
            <sz val="10"/>
            <color indexed="81"/>
            <rFont val="Lucida Console"/>
            <family val="3"/>
          </rPr>
          <t>_x000D_
Últ estimativa : 100_x000D_
Enviada em     : 19.05.2021_x000D_
Ata - Venc     : 194/20 - 07.09.2021</t>
        </r>
      </text>
    </comment>
    <comment ref="O327" authorId="0" shapeId="0" xr:uid="{FCD37428-07A7-47D4-ABB1-4C3F88C6C837}">
      <text>
        <r>
          <rPr>
            <sz val="10"/>
            <color indexed="81"/>
            <rFont val="Lucida Console"/>
            <family val="3"/>
          </rPr>
          <t>_x000D_
Pertencia a ATA nº 194/20_x000D_
Estimativa de Renovação enviada em 19.05.2021 - Qtd 100_x000D_
PP 111/19 lote _x000D_
18.09.19 = Área técnica respondeu recurso</t>
        </r>
      </text>
    </comment>
    <comment ref="W327" authorId="0" shapeId="0" xr:uid="{DB2EE803-AF7C-4E5F-9215-C4B7E9AC25E6}">
      <text>
        <r>
          <rPr>
            <sz val="10"/>
            <color indexed="81"/>
            <rFont val="Lucida Console"/>
            <family val="3"/>
          </rPr>
          <t>_x000D_
DM-Construção</t>
        </r>
      </text>
    </comment>
    <comment ref="X327" authorId="0" shapeId="0" xr:uid="{920FDF6D-7674-418D-840A-6B5B7276371B}">
      <text>
        <r>
          <rPr>
            <sz val="10"/>
            <color indexed="81"/>
            <rFont val="Lucida Console"/>
            <family val="3"/>
          </rPr>
          <t>_x000D_
MADEIRAS,LAMINADOS,COMPENSADOS E AGLOMERADOS</t>
        </r>
      </text>
    </comment>
    <comment ref="Y327" authorId="0" shapeId="0" xr:uid="{809239F7-5308-405E-9A15-F0FAFAFF603A}">
      <text>
        <r>
          <rPr>
            <sz val="10"/>
            <color indexed="81"/>
            <rFont val="Lucida Console"/>
            <family val="3"/>
          </rPr>
          <t>_x000D_
PONTALETES, CAIBROS, PRANCHAS E VIGAS</t>
        </r>
      </text>
    </comment>
    <comment ref="AW327" authorId="0" shapeId="0" xr:uid="{0CFE33BA-65D6-4B70-B92A-57F1285AFCEA}">
      <text>
        <r>
          <rPr>
            <sz val="10"/>
            <color indexed="81"/>
            <rFont val="Lucida Console"/>
            <family val="3"/>
          </rPr>
          <t>Tempo de Estoque (Meses)_x000D_
_x000D_
24,0</t>
        </r>
      </text>
    </comment>
    <comment ref="A328" authorId="0" shapeId="0" xr:uid="{15E431B5-86E9-4883-8554-B963E0D5119C}">
      <text>
        <r>
          <rPr>
            <sz val="10"/>
            <color indexed="81"/>
            <rFont val="Lucida Console"/>
            <family val="3"/>
          </rPr>
          <t>_x000D_
77557</t>
        </r>
      </text>
    </comment>
    <comment ref="B328" authorId="0" shapeId="0" xr:uid="{BC58A50E-943E-4F10-92B0-2A34CB712F9D}">
      <text>
        <r>
          <rPr>
            <sz val="10"/>
            <color indexed="81"/>
            <rFont val="Lucida Console"/>
            <family val="3"/>
          </rPr>
          <t>DESCRIÇÃO DETALHADA_x000D_
VIGA DE GARAPEIRA BRUTA - 0,06 X 0,16 X 5,00 M COMPRIMENTO</t>
        </r>
      </text>
    </comment>
    <comment ref="G328" authorId="0" shapeId="0" xr:uid="{41F5FBD6-C4C1-4797-9DE7-97C14F6F637C}">
      <text>
        <r>
          <rPr>
            <sz val="10"/>
            <color indexed="81"/>
            <rFont val="Lucida Console"/>
            <family val="3"/>
          </rPr>
          <t>_x000D_
Últ estimativa : 0_x000D_
Enviada em     : 19.05.2021_x000D_
Ata - Venc     : 194/20 - 07.09.2021</t>
        </r>
      </text>
    </comment>
    <comment ref="O328" authorId="0" shapeId="0" xr:uid="{DDD9029C-B31B-4298-A3B2-2CFF76338634}">
      <text>
        <r>
          <rPr>
            <sz val="10"/>
            <color indexed="81"/>
            <rFont val="Lucida Console"/>
            <family val="3"/>
          </rPr>
          <t>_x000D_
Pertencia a ATA nº 194/20_x000D_
Estimativa de Renovação enviada em 19.05.2021 - Qtd _x000D_
PP 111/19 lote _x000D_
18.09.19 = Área técnica respondeu recurso</t>
        </r>
      </text>
    </comment>
    <comment ref="W328" authorId="0" shapeId="0" xr:uid="{D081A1F8-4A8C-4396-9B79-E7AECC35F3DD}">
      <text>
        <r>
          <rPr>
            <sz val="10"/>
            <color indexed="81"/>
            <rFont val="Lucida Console"/>
            <family val="3"/>
          </rPr>
          <t>_x000D_
DM-Construção</t>
        </r>
      </text>
    </comment>
    <comment ref="X328" authorId="0" shapeId="0" xr:uid="{98AC7652-8934-494B-8D0C-5C2826B1BB36}">
      <text>
        <r>
          <rPr>
            <sz val="10"/>
            <color indexed="81"/>
            <rFont val="Lucida Console"/>
            <family val="3"/>
          </rPr>
          <t>_x000D_
MADEIRAS,LAMINADOS,COMPENSADOS E AGLOMERADOS</t>
        </r>
      </text>
    </comment>
    <comment ref="Y328" authorId="0" shapeId="0" xr:uid="{06F9B49F-9A57-49F3-A563-1091D2E297D9}">
      <text>
        <r>
          <rPr>
            <sz val="10"/>
            <color indexed="81"/>
            <rFont val="Lucida Console"/>
            <family val="3"/>
          </rPr>
          <t>_x000D_
PONTALETES, CAIBROS, PRANCHAS E VIGAS</t>
        </r>
      </text>
    </comment>
    <comment ref="AW328" authorId="0" shapeId="0" xr:uid="{BDEFE234-2319-4855-B7D2-522BE6C948AD}">
      <text>
        <r>
          <rPr>
            <sz val="10"/>
            <color indexed="81"/>
            <rFont val="Lucida Console"/>
            <family val="3"/>
          </rPr>
          <t>Tempo de Estoque (Meses)_x000D_
_x000D_
186,0</t>
        </r>
      </text>
    </comment>
    <comment ref="A329" authorId="0" shapeId="0" xr:uid="{C286FE6A-5BCD-4DC3-831E-DE4225983E45}">
      <text>
        <r>
          <rPr>
            <sz val="10"/>
            <color indexed="81"/>
            <rFont val="Lucida Console"/>
            <family val="3"/>
          </rPr>
          <t>_x000D_
82185</t>
        </r>
      </text>
    </comment>
    <comment ref="B329" authorId="0" shapeId="0" xr:uid="{D0C04B90-BFA4-4A43-9AB7-882EF72BDE3A}">
      <text>
        <r>
          <rPr>
            <sz val="10"/>
            <color indexed="81"/>
            <rFont val="Lucida Console"/>
            <family val="3"/>
          </rPr>
          <t>DESCRIÇÃO DETALHADA_x000D_
VIGA DE GARAPEIRA BRUTA - 60MM X 160MM X 6,00 M COMPRIMENTO</t>
        </r>
      </text>
    </comment>
    <comment ref="G329" authorId="0" shapeId="0" xr:uid="{178E382E-0562-4F1B-B442-C38671DD0440}">
      <text>
        <r>
          <rPr>
            <sz val="10"/>
            <color indexed="81"/>
            <rFont val="Lucida Console"/>
            <family val="3"/>
          </rPr>
          <t>_x000D_
Últ estimativa : 0_x000D_
Enviada em     : 19.05.2021_x000D_
Ata - Venc     : 194/20 - 07.09.2021</t>
        </r>
      </text>
    </comment>
    <comment ref="O329" authorId="0" shapeId="0" xr:uid="{1238D6B6-C42E-4A80-AE72-8B89B427A067}">
      <text>
        <r>
          <rPr>
            <sz val="10"/>
            <color indexed="81"/>
            <rFont val="Lucida Console"/>
            <family val="3"/>
          </rPr>
          <t>_x000D_
Pertencia a ATA nº 194/20_x000D_
Estimativa de Renovação enviada em 19.05.2021 - Qtd _x000D_
PP 111/19 lote _x000D_
18.09.19 = Área técnica respondeu recurso</t>
        </r>
      </text>
    </comment>
    <comment ref="W329" authorId="0" shapeId="0" xr:uid="{833F970F-8E58-4251-BE8F-CC05AF52FBF7}">
      <text>
        <r>
          <rPr>
            <sz val="10"/>
            <color indexed="81"/>
            <rFont val="Lucida Console"/>
            <family val="3"/>
          </rPr>
          <t>_x000D_
DM-Construção</t>
        </r>
      </text>
    </comment>
    <comment ref="X329" authorId="0" shapeId="0" xr:uid="{B9C392C0-2C46-4068-9153-32934039C26D}">
      <text>
        <r>
          <rPr>
            <sz val="10"/>
            <color indexed="81"/>
            <rFont val="Lucida Console"/>
            <family val="3"/>
          </rPr>
          <t>_x000D_
MADEIRAS,LAMINADOS,COMPENSADOS E AGLOMERADOS</t>
        </r>
      </text>
    </comment>
    <comment ref="Y329" authorId="0" shapeId="0" xr:uid="{56A4F1C3-920E-4EB1-9B35-B7DE471EF946}">
      <text>
        <r>
          <rPr>
            <sz val="10"/>
            <color indexed="81"/>
            <rFont val="Lucida Console"/>
            <family val="3"/>
          </rPr>
          <t>_x000D_
PONTALETES, CAIBROS, PRANCHAS E VIGAS</t>
        </r>
      </text>
    </comment>
    <comment ref="AW329" authorId="0" shapeId="0" xr:uid="{121C23D4-5ECA-4E01-8A3A-6860FB2CD313}">
      <text>
        <r>
          <rPr>
            <sz val="10"/>
            <color indexed="81"/>
            <rFont val="Lucida Console"/>
            <family val="3"/>
          </rPr>
          <t>Tempo de Estoque (Meses)_x000D_
_x000D_
159,0</t>
        </r>
      </text>
    </comment>
    <comment ref="A330" authorId="0" shapeId="0" xr:uid="{8C8F1B47-87FF-4033-AB43-DA7E86C3340D}">
      <text>
        <r>
          <rPr>
            <sz val="10"/>
            <color indexed="81"/>
            <rFont val="Lucida Console"/>
            <family val="3"/>
          </rPr>
          <t>_x000D_
114852</t>
        </r>
      </text>
    </comment>
    <comment ref="B330" authorId="0" shapeId="0" xr:uid="{26223FDC-5D3F-4D25-9212-5827844E32FA}">
      <text>
        <r>
          <rPr>
            <sz val="10"/>
            <color indexed="81"/>
            <rFont val="Lucida Console"/>
            <family val="3"/>
          </rPr>
          <t>DESCRIÇÃO DETALHADA_x000D_
VIGA DE GARAPEIRA BRUTA - 60MM X 160MM X 6,50 M COMPRIMENTO</t>
        </r>
      </text>
    </comment>
    <comment ref="G330" authorId="0" shapeId="0" xr:uid="{F1D8E8E4-3DC7-48FD-8A58-88968AB5AD21}">
      <text>
        <r>
          <rPr>
            <sz val="10"/>
            <color indexed="81"/>
            <rFont val="Lucida Console"/>
            <family val="3"/>
          </rPr>
          <t>_x000D_
Últ estimativa : 0_x000D_
Enviada em     : 19.05.2021_x000D_
Ata - Venc     : 194/20 - 07.09.2021</t>
        </r>
      </text>
    </comment>
    <comment ref="O330" authorId="0" shapeId="0" xr:uid="{C33D6DA6-8D98-420E-9189-24F1CE2A577B}">
      <text>
        <r>
          <rPr>
            <sz val="10"/>
            <color indexed="81"/>
            <rFont val="Lucida Console"/>
            <family val="3"/>
          </rPr>
          <t>_x000D_
Pertencia a ATA nº 194/20_x000D_
Estimativa de Renovação enviada em 19.05.2021 - Qtd _x000D_
PP 111/19 lote _x000D_
18.09.19 = Área técnica respondeu recurso</t>
        </r>
      </text>
    </comment>
    <comment ref="W330" authorId="0" shapeId="0" xr:uid="{CD52931E-5BD9-4B66-AA99-DD45DBCEF627}">
      <text>
        <r>
          <rPr>
            <sz val="10"/>
            <color indexed="81"/>
            <rFont val="Lucida Console"/>
            <family val="3"/>
          </rPr>
          <t>_x000D_
DM-Construção</t>
        </r>
      </text>
    </comment>
    <comment ref="X330" authorId="0" shapeId="0" xr:uid="{1620C4C2-8AE9-4C51-B188-88924DD721A6}">
      <text>
        <r>
          <rPr>
            <sz val="10"/>
            <color indexed="81"/>
            <rFont val="Lucida Console"/>
            <family val="3"/>
          </rPr>
          <t>_x000D_
MADEIRAS,LAMINADOS,COMPENSADOS E AGLOMERADOS</t>
        </r>
      </text>
    </comment>
    <comment ref="Y330" authorId="0" shapeId="0" xr:uid="{CEB7C657-1E75-4BC0-95BA-4BE926C7E301}">
      <text>
        <r>
          <rPr>
            <sz val="10"/>
            <color indexed="81"/>
            <rFont val="Lucida Console"/>
            <family val="3"/>
          </rPr>
          <t>_x000D_
PONTALETES, CAIBROS, PRANCHAS E VIGAS</t>
        </r>
      </text>
    </comment>
    <comment ref="AW330" authorId="0" shapeId="0" xr:uid="{92CE0574-E6D3-473E-B29D-0C55AC5320F9}">
      <text>
        <r>
          <rPr>
            <sz val="10"/>
            <color indexed="81"/>
            <rFont val="Lucida Console"/>
            <family val="3"/>
          </rPr>
          <t>Tempo de Estoque (Meses)_x000D_
_x000D_
133,0</t>
        </r>
      </text>
    </comment>
    <comment ref="A331" authorId="0" shapeId="0" xr:uid="{5D4032F5-2BF1-4D5C-8FC4-982C2F0EAF33}">
      <text>
        <r>
          <rPr>
            <sz val="10"/>
            <color indexed="81"/>
            <rFont val="Lucida Console"/>
            <family val="3"/>
          </rPr>
          <t>_x000D_
114853</t>
        </r>
      </text>
    </comment>
    <comment ref="B331" authorId="0" shapeId="0" xr:uid="{D5920002-C748-402B-A91B-713A22B3BDCD}">
      <text>
        <r>
          <rPr>
            <sz val="10"/>
            <color indexed="81"/>
            <rFont val="Lucida Console"/>
            <family val="3"/>
          </rPr>
          <t>DESCRIÇÃO DETALHADA_x000D_
VIGA DE GARAPEIRA BRUTA - 60MM X 160MM X 7,00 M COMPRIMENTO</t>
        </r>
      </text>
    </comment>
    <comment ref="G331" authorId="0" shapeId="0" xr:uid="{E45B23D2-1726-41F9-9B00-DA1A9B391EEC}">
      <text>
        <r>
          <rPr>
            <sz val="10"/>
            <color indexed="81"/>
            <rFont val="Lucida Console"/>
            <family val="3"/>
          </rPr>
          <t>_x000D_
Últ estimativa : 0_x000D_
Enviada em     : 19.05.2021_x000D_
Ata - Venc     : 194/20 - 07.09.2021</t>
        </r>
      </text>
    </comment>
    <comment ref="O331" authorId="0" shapeId="0" xr:uid="{EE8AE48D-D8A8-44D1-94FB-1F4640E35073}">
      <text>
        <r>
          <rPr>
            <sz val="10"/>
            <color indexed="81"/>
            <rFont val="Lucida Console"/>
            <family val="3"/>
          </rPr>
          <t>_x000D_
Pertencia a ATA nº 194/20_x000D_
Estimativa de Renovação enviada em 19.05.2021 - Qtd _x000D_
PP 111/19 lote _x000D_
18.09.19 = Área técnica respondeu recurso</t>
        </r>
      </text>
    </comment>
    <comment ref="W331" authorId="0" shapeId="0" xr:uid="{ED301FF6-5A53-4626-A8FF-461D8B13D267}">
      <text>
        <r>
          <rPr>
            <sz val="10"/>
            <color indexed="81"/>
            <rFont val="Lucida Console"/>
            <family val="3"/>
          </rPr>
          <t>_x000D_
DM-Construção</t>
        </r>
      </text>
    </comment>
    <comment ref="X331" authorId="0" shapeId="0" xr:uid="{77413766-B0A3-4610-B589-9D1CDA4728B8}">
      <text>
        <r>
          <rPr>
            <sz val="10"/>
            <color indexed="81"/>
            <rFont val="Lucida Console"/>
            <family val="3"/>
          </rPr>
          <t>_x000D_
MADEIRAS,LAMINADOS,COMPENSADOS E AGLOMERADOS</t>
        </r>
      </text>
    </comment>
    <comment ref="Y331" authorId="0" shapeId="0" xr:uid="{E6355178-52B3-491A-9804-B7B22B5A864E}">
      <text>
        <r>
          <rPr>
            <sz val="10"/>
            <color indexed="81"/>
            <rFont val="Lucida Console"/>
            <family val="3"/>
          </rPr>
          <t>_x000D_
PONTALETES, CAIBROS, PRANCHAS E VIGAS</t>
        </r>
      </text>
    </comment>
    <comment ref="AW331" authorId="0" shapeId="0" xr:uid="{C1177B40-8B1E-41BA-832D-FA794582C424}">
      <text>
        <r>
          <rPr>
            <sz val="10"/>
            <color indexed="81"/>
            <rFont val="Lucida Console"/>
            <family val="3"/>
          </rPr>
          <t>Tempo de Estoque (Meses)_x000D_
_x000D_
161,0</t>
        </r>
      </text>
    </comment>
    <comment ref="A332" authorId="0" shapeId="0" xr:uid="{08C5E99D-AB38-4F67-ACB7-349A3A72FFA6}">
      <text>
        <r>
          <rPr>
            <sz val="10"/>
            <color indexed="81"/>
            <rFont val="Lucida Console"/>
            <family val="3"/>
          </rPr>
          <t>_x000D_
16363</t>
        </r>
      </text>
    </comment>
    <comment ref="B332" authorId="0" shapeId="0" xr:uid="{9CAF8FFD-9195-4873-B6C5-22C440268C7B}">
      <text>
        <r>
          <rPr>
            <sz val="10"/>
            <color indexed="81"/>
            <rFont val="Lucida Console"/>
            <family val="3"/>
          </rPr>
          <t>DESCRIÇÃO DETALHADA_x000D_
CHAPA DE MADEIRA RESINADA C/ 2,20 X 1,10 M ESP. 10,0 MM</t>
        </r>
      </text>
    </comment>
    <comment ref="G332" authorId="0" shapeId="0" xr:uid="{8926A928-B1D3-445E-8C39-9A193BDA8D23}">
      <text>
        <r>
          <rPr>
            <sz val="10"/>
            <color indexed="81"/>
            <rFont val="Lucida Console"/>
            <family val="3"/>
          </rPr>
          <t>_x000D_
Últ estimativa : 0_x000D_
Enviada em     : 19.05.2021_x000D_
Ata - Venc     : 194/20 - 07.09.2021</t>
        </r>
      </text>
    </comment>
    <comment ref="O332" authorId="0" shapeId="0" xr:uid="{D5FE4DCF-CDF2-4BEC-B1E1-BAAF7C538DD0}">
      <text>
        <r>
          <rPr>
            <sz val="10"/>
            <color indexed="81"/>
            <rFont val="Lucida Console"/>
            <family val="3"/>
          </rPr>
          <t>_x000D_
Pertencia a ATA nº 194/20_x000D_
Estimativa de Renovação enviada em 19.05.2021 - Qtd _x000D_
PP 111/19 lote _x000D_
18.09.19 = Área técnica respondeu recurso</t>
        </r>
      </text>
    </comment>
    <comment ref="W332" authorId="0" shapeId="0" xr:uid="{2B3F368C-DAD0-45E3-AACD-83A35D0CB8F8}">
      <text>
        <r>
          <rPr>
            <sz val="10"/>
            <color indexed="81"/>
            <rFont val="Lucida Console"/>
            <family val="3"/>
          </rPr>
          <t>_x000D_
DM-Marcenaria</t>
        </r>
      </text>
    </comment>
    <comment ref="X332" authorId="0" shapeId="0" xr:uid="{A584E980-F2CC-4F26-9B6B-E1B77F27F64B}">
      <text>
        <r>
          <rPr>
            <sz val="10"/>
            <color indexed="81"/>
            <rFont val="Lucida Console"/>
            <family val="3"/>
          </rPr>
          <t>_x000D_
MADEIRAS,LAMINADOS,COMPENSADOS E AGLOMERADOS</t>
        </r>
      </text>
    </comment>
    <comment ref="Y332" authorId="0" shapeId="0" xr:uid="{D7D3D9AA-C8E3-4821-8DBF-1031CA68F31F}">
      <text>
        <r>
          <rPr>
            <sz val="10"/>
            <color indexed="81"/>
            <rFont val="Lucida Console"/>
            <family val="3"/>
          </rPr>
          <t>_x000D_
CHAPAS COMPENSADAS RESINADAS/PLASTIFICADAS</t>
        </r>
      </text>
    </comment>
    <comment ref="AW332" authorId="0" shapeId="0" xr:uid="{BB46250B-7C89-47F8-A8FB-72BB1537E5AF}">
      <text>
        <r>
          <rPr>
            <sz val="10"/>
            <color indexed="81"/>
            <rFont val="Lucida Console"/>
            <family val="3"/>
          </rPr>
          <t>Tempo de Estoque (Meses)_x000D_
_x000D_
39,0</t>
        </r>
      </text>
    </comment>
    <comment ref="A333" authorId="0" shapeId="0" xr:uid="{2883EAE2-F613-4290-98ED-6783E6970BA3}">
      <text>
        <r>
          <rPr>
            <sz val="10"/>
            <color indexed="81"/>
            <rFont val="Lucida Console"/>
            <family val="3"/>
          </rPr>
          <t>_x000D_
16365</t>
        </r>
      </text>
    </comment>
    <comment ref="B333" authorId="0" shapeId="0" xr:uid="{03969532-066D-4832-9A14-FF54B47F1DE7}">
      <text>
        <r>
          <rPr>
            <sz val="10"/>
            <color indexed="81"/>
            <rFont val="Lucida Console"/>
            <family val="3"/>
          </rPr>
          <t>DESCRIÇÃO DETALHADA_x000D_
CHAPA DE MADEIRA RESINADA C/ 2,20 X 1,10 M ESP. 15,0 MM</t>
        </r>
      </text>
    </comment>
    <comment ref="G333" authorId="0" shapeId="0" xr:uid="{23CBF95A-647C-47D0-B004-923EBE24C0BD}">
      <text>
        <r>
          <rPr>
            <sz val="10"/>
            <color indexed="81"/>
            <rFont val="Lucida Console"/>
            <family val="3"/>
          </rPr>
          <t>_x000D_
Últ estimativa : 300_x000D_
Enviada em     : 19.05.2021_x000D_
Ata - Venc     : 194/20 - 07.09.2021</t>
        </r>
      </text>
    </comment>
    <comment ref="O333" authorId="0" shapeId="0" xr:uid="{6C8EBB20-21FE-4076-9F00-776FD4B60D58}">
      <text>
        <r>
          <rPr>
            <sz val="10"/>
            <color indexed="81"/>
            <rFont val="Lucida Console"/>
            <family val="3"/>
          </rPr>
          <t>_x000D_
Pertencia a ATA nº 194/20_x000D_
Estimativa de Renovação enviada em 19.05.2021 - Qtd 300_x000D_
PP 111/19 lote _x000D_
18.09.19 = Área técnica respondeu recurso</t>
        </r>
      </text>
    </comment>
    <comment ref="W333" authorId="0" shapeId="0" xr:uid="{6A71B099-57A4-4071-9483-D8B453497917}">
      <text>
        <r>
          <rPr>
            <sz val="10"/>
            <color indexed="81"/>
            <rFont val="Lucida Console"/>
            <family val="3"/>
          </rPr>
          <t>_x000D_
DM-Marcenaria</t>
        </r>
      </text>
    </comment>
    <comment ref="X333" authorId="0" shapeId="0" xr:uid="{07F8C35F-6AB3-4E72-AA1F-919729C7DA88}">
      <text>
        <r>
          <rPr>
            <sz val="10"/>
            <color indexed="81"/>
            <rFont val="Lucida Console"/>
            <family val="3"/>
          </rPr>
          <t>_x000D_
MADEIRAS,LAMINADOS,COMPENSADOS E AGLOMERADOS</t>
        </r>
      </text>
    </comment>
    <comment ref="Y333" authorId="0" shapeId="0" xr:uid="{182C968E-C0D5-4307-9DC7-4B2F5610B700}">
      <text>
        <r>
          <rPr>
            <sz val="10"/>
            <color indexed="81"/>
            <rFont val="Lucida Console"/>
            <family val="3"/>
          </rPr>
          <t>_x000D_
CHAPAS COMPENSADAS RESINADAS/PLASTIFICADAS</t>
        </r>
      </text>
    </comment>
    <comment ref="AW333" authorId="0" shapeId="0" xr:uid="{862255B4-0D11-4A97-8AA0-B9E5080B5C05}">
      <text>
        <r>
          <rPr>
            <sz val="10"/>
            <color indexed="81"/>
            <rFont val="Lucida Console"/>
            <family val="3"/>
          </rPr>
          <t>Tempo de Estoque (Meses)_x000D_
_x000D_
509,0</t>
        </r>
      </text>
    </comment>
    <comment ref="A334" authorId="0" shapeId="0" xr:uid="{9BE95712-31AD-4B2F-8676-B7AF6CDD25EE}">
      <text>
        <r>
          <rPr>
            <sz val="10"/>
            <color indexed="81"/>
            <rFont val="Lucida Console"/>
            <family val="3"/>
          </rPr>
          <t>_x000D_
80300</t>
        </r>
      </text>
    </comment>
    <comment ref="B334" authorId="0" shapeId="0" xr:uid="{0B0AF786-8158-4459-8E96-32CF4D00E469}">
      <text>
        <r>
          <rPr>
            <sz val="10"/>
            <color indexed="81"/>
            <rFont val="Lucida Console"/>
            <family val="3"/>
          </rPr>
          <t>DESCRIÇÃO DETALHADA_x000D_
BATENTE DE GARAPEIRA 0,92 X 2,10 M</t>
        </r>
      </text>
    </comment>
    <comment ref="G334" authorId="0" shapeId="0" xr:uid="{C30326A8-D295-4217-BD60-007D329DC70D}">
      <text>
        <r>
          <rPr>
            <sz val="10"/>
            <color indexed="81"/>
            <rFont val="Lucida Console"/>
            <family val="3"/>
          </rPr>
          <t>_x000D_
Últ estimativa : 100_x000D_
Enviada em     : 19.05.2021_x000D_
Ata - Venc     : 194/20 - 07.09.2021</t>
        </r>
      </text>
    </comment>
    <comment ref="O334" authorId="0" shapeId="0" xr:uid="{2F244F29-1C2D-44EF-B68A-661E48E44A97}">
      <text>
        <r>
          <rPr>
            <sz val="10"/>
            <color indexed="81"/>
            <rFont val="Lucida Console"/>
            <family val="3"/>
          </rPr>
          <t>_x000D_
Pertencia a ATA nº 194/20_x000D_
Estimativa de Renovação enviada em 19.05.2021 - Qtd 100_x000D_
PP 111/19 lote _x000D_
18.09.19 = Área técnica respondeu recurso</t>
        </r>
      </text>
    </comment>
    <comment ref="W334" authorId="0" shapeId="0" xr:uid="{69C29AD6-241C-48EE-9F05-8B129872679F}">
      <text>
        <r>
          <rPr>
            <sz val="10"/>
            <color indexed="81"/>
            <rFont val="Lucida Console"/>
            <family val="3"/>
          </rPr>
          <t>_x000D_
DM-Construção</t>
        </r>
      </text>
    </comment>
    <comment ref="X334" authorId="0" shapeId="0" xr:uid="{4448265E-9CE2-4F92-9EEC-726078C87DDE}">
      <text>
        <r>
          <rPr>
            <sz val="10"/>
            <color indexed="81"/>
            <rFont val="Lucida Console"/>
            <family val="3"/>
          </rPr>
          <t>_x000D_
MADEIRAS,LAMINADOS,COMPENSADOS E AGLOMERADOS</t>
        </r>
      </text>
    </comment>
    <comment ref="Y334" authorId="0" shapeId="0" xr:uid="{2CF1BBF2-D09C-4BBA-ADC5-858BA6A2E7D1}">
      <text>
        <r>
          <rPr>
            <sz val="10"/>
            <color indexed="81"/>
            <rFont val="Lucida Console"/>
            <family val="3"/>
          </rPr>
          <t>_x000D_
BATENTES E MOLDURAS</t>
        </r>
      </text>
    </comment>
    <comment ref="AW334" authorId="0" shapeId="0" xr:uid="{09F9865B-C84A-4545-9B1D-60D0F851C308}">
      <text>
        <r>
          <rPr>
            <sz val="10"/>
            <color indexed="81"/>
            <rFont val="Lucida Console"/>
            <family val="3"/>
          </rPr>
          <t>Tempo de Estoque (Meses)_x000D_
_x000D_
54,0</t>
        </r>
      </text>
    </comment>
    <comment ref="A335" authorId="0" shapeId="0" xr:uid="{4D851E73-D986-4157-ADE9-F7B8132A3A49}">
      <text>
        <r>
          <rPr>
            <sz val="10"/>
            <color indexed="81"/>
            <rFont val="Lucida Console"/>
            <family val="3"/>
          </rPr>
          <t>_x000D_
27287</t>
        </r>
      </text>
    </comment>
    <comment ref="B335" authorId="0" shapeId="0" xr:uid="{B70A9CA7-C3DA-48EB-839D-CB4E58878C3B}">
      <text>
        <r>
          <rPr>
            <sz val="10"/>
            <color indexed="81"/>
            <rFont val="Lucida Console"/>
            <family val="3"/>
          </rPr>
          <t>DESCRIÇÃO DETALHADA_x000D_
FERRO CHATO 1 X 1/ 8" BARRA C/ 06 METROS</t>
        </r>
      </text>
    </comment>
    <comment ref="G335" authorId="0" shapeId="0" xr:uid="{823CD1B0-508D-45FF-B29D-4D392E4CA34B}">
      <text>
        <r>
          <rPr>
            <sz val="10"/>
            <color indexed="81"/>
            <rFont val="Lucida Console"/>
            <family val="3"/>
          </rPr>
          <t>_x000D_
Últ estimativa : 0_x000D_
Enviada em     : 12.05.2020_x000D_
Ata - Venc     : 198/19 - 15.08.2020</t>
        </r>
      </text>
    </comment>
    <comment ref="O335" authorId="0" shapeId="0" xr:uid="{37DEE087-1BB1-4B89-81A7-06ECEA777E82}">
      <text>
        <r>
          <rPr>
            <sz val="10"/>
            <color indexed="81"/>
            <rFont val="Lucida Console"/>
            <family val="3"/>
          </rPr>
          <t>_x000D_
Pertencia a ATA nº 198/19_x000D_
Estimativa de Renovação enviada em 12.05.2020 - Qtd _x000D_
PE  46/19 lote 3_x000D_
03.09.19 = Processo conferido, finalizado.</t>
        </r>
      </text>
    </comment>
    <comment ref="W335" authorId="0" shapeId="0" xr:uid="{D270895C-3F2E-4D98-8BD4-AD2A7E6DFA24}">
      <text>
        <r>
          <rPr>
            <sz val="10"/>
            <color indexed="81"/>
            <rFont val="Lucida Console"/>
            <family val="3"/>
          </rPr>
          <t>_x000D_
DM-Construção</t>
        </r>
      </text>
    </comment>
    <comment ref="X335" authorId="0" shapeId="0" xr:uid="{7F4B9FB5-1AC6-45DA-873E-4F1E9FAFB263}">
      <text>
        <r>
          <rPr>
            <sz val="10"/>
            <color indexed="81"/>
            <rFont val="Lucida Console"/>
            <family val="3"/>
          </rPr>
          <t>_x000D_
MAT.E EQUIP. P/ CONSTR.CIVIL E CONSERV. DE VIAS PUBL.</t>
        </r>
      </text>
    </comment>
    <comment ref="Y335" authorId="0" shapeId="0" xr:uid="{792CC87E-E6EC-41FB-98D2-8AC71A4803F1}">
      <text>
        <r>
          <rPr>
            <sz val="10"/>
            <color indexed="81"/>
            <rFont val="Lucida Console"/>
            <family val="3"/>
          </rPr>
          <t>_x000D_
FERRAGENS E AFINS</t>
        </r>
      </text>
    </comment>
    <comment ref="AW335" authorId="0" shapeId="0" xr:uid="{D80F43F6-537C-4C7C-A5C0-34495A51BDF5}">
      <text>
        <r>
          <rPr>
            <sz val="10"/>
            <color indexed="81"/>
            <rFont val="Lucida Console"/>
            <family val="3"/>
          </rPr>
          <t>Tempo de Estoque (Meses)_x000D_
_x000D_
1.114,0</t>
        </r>
      </text>
    </comment>
    <comment ref="A336" authorId="0" shapeId="0" xr:uid="{75B60687-2FBA-49E3-A3EE-D296C2E9B95A}">
      <text>
        <r>
          <rPr>
            <sz val="10"/>
            <color indexed="81"/>
            <rFont val="Lucida Console"/>
            <family val="3"/>
          </rPr>
          <t>_x000D_
132232</t>
        </r>
      </text>
    </comment>
    <comment ref="B336" authorId="0" shapeId="0" xr:uid="{0CFFBAFB-B806-46B0-91CC-521837111A2D}">
      <text>
        <r>
          <rPr>
            <sz val="10"/>
            <color indexed="81"/>
            <rFont val="Lucida Console"/>
            <family val="3"/>
          </rPr>
          <t>DESCRIÇÃO DETALHADA_x000D_
FERRO TIPO U DE 6" X 1/8" - BARRA COM 06 METROS</t>
        </r>
      </text>
    </comment>
    <comment ref="G336" authorId="0" shapeId="0" xr:uid="{7407FC3B-E019-428A-B094-CDCEB9DB59D2}">
      <text>
        <r>
          <rPr>
            <sz val="10"/>
            <color indexed="81"/>
            <rFont val="Lucida Console"/>
            <family val="3"/>
          </rPr>
          <t>_x000D_
Últ estimativa : 0_x000D_
Enviada em     : 12.05.2020_x000D_
Ata - Venc     : 198/19 - 15.08.2020</t>
        </r>
      </text>
    </comment>
    <comment ref="O336" authorId="0" shapeId="0" xr:uid="{950FA685-F915-4EB9-9DAB-D623947A3FED}">
      <text>
        <r>
          <rPr>
            <sz val="10"/>
            <color indexed="81"/>
            <rFont val="Lucida Console"/>
            <family val="3"/>
          </rPr>
          <t>_x000D_
Pertencia a ATA nº 198/19_x000D_
Estimativa de Renovação enviada em 12.05.2020 - Qtd _x000D_
PE  46/19 lote 32_x000D_
03.09.19 = Processo conferido, finalizado.</t>
        </r>
      </text>
    </comment>
    <comment ref="W336" authorId="0" shapeId="0" xr:uid="{65E27A43-EDFC-426D-B920-BBA232D3B9A0}">
      <text>
        <r>
          <rPr>
            <sz val="10"/>
            <color indexed="81"/>
            <rFont val="Lucida Console"/>
            <family val="3"/>
          </rPr>
          <t>_x000D_
DM-Construção</t>
        </r>
      </text>
    </comment>
    <comment ref="X336" authorId="0" shapeId="0" xr:uid="{B84AB476-8A7C-4AF0-A3FD-F1CBDA15C9A4}">
      <text>
        <r>
          <rPr>
            <sz val="10"/>
            <color indexed="81"/>
            <rFont val="Lucida Console"/>
            <family val="3"/>
          </rPr>
          <t>_x000D_
MAT.E EQUIP. P/ CONSTR.CIVIL E CONSERV. DE VIAS PUBL.</t>
        </r>
      </text>
    </comment>
    <comment ref="Y336" authorId="0" shapeId="0" xr:uid="{8AA68450-8A8B-41BC-95D2-12779A03F805}">
      <text>
        <r>
          <rPr>
            <sz val="10"/>
            <color indexed="81"/>
            <rFont val="Lucida Console"/>
            <family val="3"/>
          </rPr>
          <t>_x000D_
FERRAGENS E AFINS</t>
        </r>
      </text>
    </comment>
    <comment ref="AW336" authorId="0" shapeId="0" xr:uid="{5997CEDC-4856-4BAB-BAA3-72ADA653AAE3}">
      <text>
        <r>
          <rPr>
            <sz val="10"/>
            <color indexed="81"/>
            <rFont val="Lucida Console"/>
            <family val="3"/>
          </rPr>
          <t>Tempo de Estoque (Meses)_x000D_
_x000D_
64,0</t>
        </r>
      </text>
    </comment>
    <comment ref="A337" authorId="0" shapeId="0" xr:uid="{28AB5F89-694C-438B-8A71-F26F0B4A9962}">
      <text>
        <r>
          <rPr>
            <sz val="10"/>
            <color indexed="81"/>
            <rFont val="Lucida Console"/>
            <family val="3"/>
          </rPr>
          <t>_x000D_
115060</t>
        </r>
      </text>
    </comment>
    <comment ref="B337" authorId="0" shapeId="0" xr:uid="{53684F87-E734-48AA-998F-E87871ABC109}">
      <text>
        <r>
          <rPr>
            <sz val="10"/>
            <color indexed="81"/>
            <rFont val="Lucida Console"/>
            <family val="3"/>
          </rPr>
          <t>DESCRIÇÃO DETALHADA_x000D_
CHAPA DE ACO INOX, BLANQUE: 430, ESPESSURA: 1,5MM, COMPRIMENTO: 2,00M E LARGURA: 1,20M</t>
        </r>
      </text>
    </comment>
    <comment ref="G337" authorId="0" shapeId="0" xr:uid="{1A61DC52-F674-448C-97E2-F18D6DF0E0BD}">
      <text>
        <r>
          <rPr>
            <sz val="10"/>
            <color indexed="81"/>
            <rFont val="Lucida Console"/>
            <family val="3"/>
          </rPr>
          <t>_x000D_
Últ estimativa : 0_x000D_
Enviada em     : 12.05.2020_x000D_
Ata - Venc     : 198/19 - 15.08.2020</t>
        </r>
      </text>
    </comment>
    <comment ref="O337" authorId="0" shapeId="0" xr:uid="{A3954A17-B333-4971-9EF5-98EB0C683FC3}">
      <text>
        <r>
          <rPr>
            <sz val="10"/>
            <color indexed="81"/>
            <rFont val="Lucida Console"/>
            <family val="3"/>
          </rPr>
          <t>_x000D_
Pertencia a ATA nº 198/19_x000D_
Estimativa de Renovação enviada em 12.05.2020 - Qtd _x000D_
PE  46/19 lote 28_x000D_
03.09.19 = Processo conferido, finalizado.</t>
        </r>
      </text>
    </comment>
    <comment ref="W337" authorId="0" shapeId="0" xr:uid="{4DD28738-0482-4AF7-B031-901E01404A32}">
      <text>
        <r>
          <rPr>
            <sz val="10"/>
            <color indexed="81"/>
            <rFont val="Lucida Console"/>
            <family val="3"/>
          </rPr>
          <t>_x000D_
DM-Construção</t>
        </r>
      </text>
    </comment>
    <comment ref="X337" authorId="0" shapeId="0" xr:uid="{83CC00A9-9D17-44A6-BEB1-E148665A1743}">
      <text>
        <r>
          <rPr>
            <sz val="10"/>
            <color indexed="81"/>
            <rFont val="Lucida Console"/>
            <family val="3"/>
          </rPr>
          <t>_x000D_
METAIS,LAMINAD.,PERFILADOS E ARTEFATOS METALICOS</t>
        </r>
      </text>
    </comment>
    <comment ref="Y337" authorId="0" shapeId="0" xr:uid="{B9408F89-D373-4948-99DF-A1CE00ED2A2E}">
      <text>
        <r>
          <rPr>
            <sz val="10"/>
            <color indexed="81"/>
            <rFont val="Lucida Console"/>
            <family val="3"/>
          </rPr>
          <t>_x000D_
CHAPAS DE ACO INOXIDAVEL P/ USOS VARIADOS</t>
        </r>
      </text>
    </comment>
    <comment ref="AW337" authorId="0" shapeId="0" xr:uid="{4C23C412-540D-496E-AAC5-E8E391A99658}">
      <text>
        <r>
          <rPr>
            <sz val="10"/>
            <color indexed="81"/>
            <rFont val="Lucida Console"/>
            <family val="3"/>
          </rPr>
          <t>Tempo de Estoque (Meses)_x000D_
_x000D_
37,0</t>
        </r>
      </text>
    </comment>
    <comment ref="A338" authorId="0" shapeId="0" xr:uid="{9F1FF404-34A3-458C-BD96-FDF7AF732696}">
      <text>
        <r>
          <rPr>
            <sz val="10"/>
            <color indexed="81"/>
            <rFont val="Lucida Console"/>
            <family val="3"/>
          </rPr>
          <t>_x000D_
111336</t>
        </r>
      </text>
    </comment>
    <comment ref="B338" authorId="0" shapeId="0" xr:uid="{FED22A10-94A6-4DE8-BFAC-9F0878DCB471}">
      <text>
        <r>
          <rPr>
            <sz val="10"/>
            <color indexed="81"/>
            <rFont val="Lucida Console"/>
            <family val="3"/>
          </rPr>
          <t>DESCRIÇÃO DETALHADA_x000D_
TUBO QUADRADO DE METALON 100 X 100 X 2 MM - BARRA COM 06 METROS</t>
        </r>
      </text>
    </comment>
    <comment ref="G338" authorId="0" shapeId="0" xr:uid="{2BCCBE87-E7AD-4D48-85E5-ECC8E876AAC9}">
      <text>
        <r>
          <rPr>
            <sz val="10"/>
            <color indexed="81"/>
            <rFont val="Lucida Console"/>
            <family val="3"/>
          </rPr>
          <t>_x000D_
Últ estimativa : 0_x000D_
Enviada em     : 12.05.2020_x000D_
Ata - Venc     : 198/19 - 15.08.2020</t>
        </r>
      </text>
    </comment>
    <comment ref="O338" authorId="0" shapeId="0" xr:uid="{3CA8BB19-B899-4E9E-AE75-DC7E6FE9FE9A}">
      <text>
        <r>
          <rPr>
            <sz val="10"/>
            <color indexed="81"/>
            <rFont val="Lucida Console"/>
            <family val="3"/>
          </rPr>
          <t>_x000D_
Pertencia a ATA nº 198/19_x000D_
Estimativa de Renovação enviada em 12.05.2020 - Qtd _x000D_
PE  46/19 lote _x000D_
03.09.19 = Processo conferido, finalizado.</t>
        </r>
      </text>
    </comment>
    <comment ref="W338" authorId="0" shapeId="0" xr:uid="{16D0D482-42C2-4834-AD7A-FA1B19FAEDD2}">
      <text>
        <r>
          <rPr>
            <sz val="10"/>
            <color indexed="81"/>
            <rFont val="Lucida Console"/>
            <family val="3"/>
          </rPr>
          <t>_x000D_
DM-Serralheria</t>
        </r>
      </text>
    </comment>
    <comment ref="X338" authorId="0" shapeId="0" xr:uid="{F602D3C5-7233-46B5-96A2-55513F5CB1AC}">
      <text>
        <r>
          <rPr>
            <sz val="10"/>
            <color indexed="81"/>
            <rFont val="Lucida Console"/>
            <family val="3"/>
          </rPr>
          <t>_x000D_
METAIS,LAMINAD.,PERFILADOS E ARTEFATOS METALICOS</t>
        </r>
      </text>
    </comment>
    <comment ref="Y338" authorId="0" shapeId="0" xr:uid="{D2C8934C-8C4F-4BC3-B499-7E274F695A69}">
      <text>
        <r>
          <rPr>
            <sz val="10"/>
            <color indexed="81"/>
            <rFont val="Lucida Console"/>
            <family val="3"/>
          </rPr>
          <t>_x000D_
TUBOS MECANICOS</t>
        </r>
      </text>
    </comment>
    <comment ref="AW338" authorId="0" shapeId="0" xr:uid="{323B3AE9-9971-4114-AD77-49CF918E9D60}">
      <text>
        <r>
          <rPr>
            <sz val="10"/>
            <color indexed="81"/>
            <rFont val="Lucida Console"/>
            <family val="3"/>
          </rPr>
          <t>Tempo de Estoque (Meses)_x000D_
_x000D_
622,0</t>
        </r>
      </text>
    </comment>
    <comment ref="A339" authorId="0" shapeId="0" xr:uid="{B508B671-8BC4-478F-A0D5-C2DCD3317711}">
      <text>
        <r>
          <rPr>
            <sz val="10"/>
            <color indexed="81"/>
            <rFont val="Lucida Console"/>
            <family val="3"/>
          </rPr>
          <t>_x000D_
118515</t>
        </r>
      </text>
    </comment>
    <comment ref="B339" authorId="0" shapeId="0" xr:uid="{D0C143F6-5548-48C1-A38D-E03F0322354F}">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339" authorId="0" shapeId="0" xr:uid="{042EDDC3-61F2-4957-BADA-FDC717110ACA}">
      <text>
        <r>
          <rPr>
            <sz val="10"/>
            <color indexed="81"/>
            <rFont val="Lucida Console"/>
            <family val="3"/>
          </rPr>
          <t>_x000D_
Últ estimativa : 400_x000D_
Enviada em     : 19.05.2020_x000D_
Ata - Venc     : 199/19 - 15.08.2020</t>
        </r>
      </text>
    </comment>
    <comment ref="O339" authorId="0" shapeId="0" xr:uid="{5FADA021-5149-45DB-B91D-DFF10E97E012}">
      <text>
        <r>
          <rPr>
            <sz val="10"/>
            <color indexed="81"/>
            <rFont val="Lucida Console"/>
            <family val="3"/>
          </rPr>
          <t>_x000D_
Pertencia a ATA nº 199/19_x000D_
Estimativa de Renovação enviada em 19.05.2020 - Qtd 400_x000D_
PE 199/20 lote 1 (Impróspero)_x000D_
30.12.99 = Pregao fracassado</t>
        </r>
      </text>
    </comment>
    <comment ref="W339" authorId="0" shapeId="0" xr:uid="{14735780-669F-42C4-8AE7-939804CF6C95}">
      <text>
        <r>
          <rPr>
            <sz val="10"/>
            <color indexed="81"/>
            <rFont val="Lucida Console"/>
            <family val="3"/>
          </rPr>
          <t>_x000D_
DM-Construção</t>
        </r>
      </text>
    </comment>
    <comment ref="X339" authorId="0" shapeId="0" xr:uid="{5097C1C4-7E10-4B4E-8ACD-FA9A73C36773}">
      <text>
        <r>
          <rPr>
            <sz val="10"/>
            <color indexed="81"/>
            <rFont val="Lucida Console"/>
            <family val="3"/>
          </rPr>
          <t>_x000D_
MAT.E EQUIP. P/ CONSTR.CIVIL E CONSERV. DE VIAS PUBL.</t>
        </r>
      </text>
    </comment>
    <comment ref="Y339" authorId="0" shapeId="0" xr:uid="{453F5289-3332-470D-8EB1-907F25662874}">
      <text>
        <r>
          <rPr>
            <sz val="10"/>
            <color indexed="81"/>
            <rFont val="Lucida Console"/>
            <family val="3"/>
          </rPr>
          <t>_x000D_
PISOS DE BORRACHA, PVC E OUTROS COLAVEIS</t>
        </r>
      </text>
    </comment>
    <comment ref="AW339" authorId="0" shapeId="0" xr:uid="{58CE7A4A-7ADF-4078-99A9-330338E8331E}">
      <text>
        <r>
          <rPr>
            <sz val="10"/>
            <color indexed="81"/>
            <rFont val="Lucida Console"/>
            <family val="3"/>
          </rPr>
          <t>Tempo de Estoque (Meses)_x000D_
_x000D_
135,9</t>
        </r>
      </text>
    </comment>
    <comment ref="A340" authorId="0" shapeId="0" xr:uid="{47C780CB-DA86-417D-A27C-EA27A664B695}">
      <text>
        <r>
          <rPr>
            <sz val="10"/>
            <color indexed="81"/>
            <rFont val="Lucida Console"/>
            <family val="3"/>
          </rPr>
          <t>_x000D_
118577</t>
        </r>
      </text>
    </comment>
    <comment ref="B340" authorId="0" shapeId="0" xr:uid="{3A2E98F0-7FE0-46F6-8D4B-EE2336D2F350}">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340" authorId="0" shapeId="0" xr:uid="{AFEF28A3-C897-447C-9D8A-77FC6B54E550}">
      <text>
        <r>
          <rPr>
            <sz val="10"/>
            <color indexed="81"/>
            <rFont val="Lucida Console"/>
            <family val="3"/>
          </rPr>
          <t>_x000D_
Últ estimativa : 800_x000D_
Enviada em     : 19.05.2020_x000D_
Ata - Venc     : 199/19 - 15.08.2020</t>
        </r>
      </text>
    </comment>
    <comment ref="O340" authorId="0" shapeId="0" xr:uid="{42C134EB-39F4-4DB6-A3C4-F590A9F2BECB}">
      <text>
        <r>
          <rPr>
            <sz val="10"/>
            <color indexed="81"/>
            <rFont val="Lucida Console"/>
            <family val="3"/>
          </rPr>
          <t>_x000D_
Pertencia a ATA nº 199/19_x000D_
Estimativa de Renovação enviada em 19.05.2020 - Qtd 800_x000D_
PE 199/20 lote 2 (Impróspero)_x000D_
30.12.99 = Pregao fracassado</t>
        </r>
      </text>
    </comment>
    <comment ref="W340" authorId="0" shapeId="0" xr:uid="{86B91279-C98E-43B9-BDC3-6116F8C4088E}">
      <text>
        <r>
          <rPr>
            <sz val="10"/>
            <color indexed="81"/>
            <rFont val="Lucida Console"/>
            <family val="3"/>
          </rPr>
          <t>_x000D_
DM-Construção</t>
        </r>
      </text>
    </comment>
    <comment ref="X340" authorId="0" shapeId="0" xr:uid="{07DEF6F9-6B5D-4B24-B00A-F3966FB63D92}">
      <text>
        <r>
          <rPr>
            <sz val="10"/>
            <color indexed="81"/>
            <rFont val="Lucida Console"/>
            <family val="3"/>
          </rPr>
          <t>_x000D_
MAT.E EQUIP. P/ CONSTR.CIVIL E CONSERV. DE VIAS PUBL.</t>
        </r>
      </text>
    </comment>
    <comment ref="Y340" authorId="0" shapeId="0" xr:uid="{55C7A5DA-AC40-4D2D-81D6-593E79E20219}">
      <text>
        <r>
          <rPr>
            <sz val="10"/>
            <color indexed="81"/>
            <rFont val="Lucida Console"/>
            <family val="3"/>
          </rPr>
          <t>_x000D_
PISOS DE BORRACHA, PVC E OUTROS COLAVEIS</t>
        </r>
      </text>
    </comment>
    <comment ref="AW340" authorId="0" shapeId="0" xr:uid="{CA7453EF-686D-4043-A82B-1F3D6E3BE18A}">
      <text>
        <r>
          <rPr>
            <sz val="10"/>
            <color indexed="81"/>
            <rFont val="Lucida Console"/>
            <family val="3"/>
          </rPr>
          <t>Tempo de Estoque (Meses)_x000D_
_x000D_
2.000,0</t>
        </r>
      </text>
    </comment>
    <comment ref="A341" authorId="0" shapeId="0" xr:uid="{44418359-B0F7-4BD2-BD17-B57B604836EC}">
      <text>
        <r>
          <rPr>
            <sz val="10"/>
            <color indexed="81"/>
            <rFont val="Lucida Console"/>
            <family val="3"/>
          </rPr>
          <t>_x000D_
114772</t>
        </r>
      </text>
    </comment>
    <comment ref="B341" authorId="0" shapeId="0" xr:uid="{1B307D9C-3277-4415-9E63-C9700097E5E5}">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341" authorId="0" shapeId="0" xr:uid="{AFEA65D3-8B2C-4E55-86EB-722F0757ADF2}">
      <text>
        <r>
          <rPr>
            <sz val="10"/>
            <color indexed="81"/>
            <rFont val="Lucida Console"/>
            <family val="3"/>
          </rPr>
          <t>_x000D_
Últ estimativa : 0_x000D_
Enviada em     : 24.10.2019_x000D_
Ata - Venc     : 2/19 - 01.01.2020</t>
        </r>
      </text>
    </comment>
    <comment ref="O341" authorId="0" shapeId="0" xr:uid="{E63B234F-7AFE-4474-8883-12345121ADFD}">
      <text>
        <r>
          <rPr>
            <sz val="10"/>
            <color indexed="81"/>
            <rFont val="Lucida Console"/>
            <family val="3"/>
          </rPr>
          <t>_x000D_
Pertencia a ATA nº 2/19_x000D_
Estimativa de Renovação enviada em 24.10.2019 - Qtd _x000D_
PP 208/18 lote _x000D_
22.01.19 = Processo conferido e finalizado. Ata 2/19.</t>
        </r>
      </text>
    </comment>
    <comment ref="W341" authorId="0" shapeId="0" xr:uid="{45F175A9-D521-49A8-A8CD-01F0A619F087}">
      <text>
        <r>
          <rPr>
            <sz val="10"/>
            <color indexed="81"/>
            <rFont val="Lucida Console"/>
            <family val="3"/>
          </rPr>
          <t>_x000D_
DM-Elétrica</t>
        </r>
      </text>
    </comment>
    <comment ref="X341" authorId="0" shapeId="0" xr:uid="{2CEBEE76-405D-45AC-8936-82159F10E710}">
      <text>
        <r>
          <rPr>
            <sz val="10"/>
            <color indexed="81"/>
            <rFont val="Lucida Console"/>
            <family val="3"/>
          </rPr>
          <t>_x000D_
EQUIP. MAT. P/ GERACAO, TRANSM. DISTR. RETIF...</t>
        </r>
      </text>
    </comment>
    <comment ref="Y341" authorId="0" shapeId="0" xr:uid="{98C1616A-D046-49BA-8159-0BE72B73AA04}">
      <text>
        <r>
          <rPr>
            <sz val="10"/>
            <color indexed="81"/>
            <rFont val="Lucida Console"/>
            <family val="3"/>
          </rPr>
          <t>_x000D_
CAIXAS</t>
        </r>
      </text>
    </comment>
    <comment ref="AW341" authorId="0" shapeId="0" xr:uid="{31008570-5F67-4B13-93E2-2C63C731FCF0}">
      <text>
        <r>
          <rPr>
            <sz val="10"/>
            <color indexed="81"/>
            <rFont val="Lucida Console"/>
            <family val="3"/>
          </rPr>
          <t>Tempo de Estoque (Meses)_x000D_
_x000D_
35,0</t>
        </r>
      </text>
    </comment>
    <comment ref="A342" authorId="0" shapeId="0" xr:uid="{7DC9CD9C-46EC-49D6-9D25-E963F46EA6F2}">
      <text>
        <r>
          <rPr>
            <sz val="10"/>
            <color indexed="81"/>
            <rFont val="Lucida Console"/>
            <family val="3"/>
          </rPr>
          <t>_x000D_
112109</t>
        </r>
      </text>
    </comment>
    <comment ref="B342" authorId="0" shapeId="0" xr:uid="{643F8AC8-4A60-4E48-98EE-E516ECAFCEC7}">
      <text>
        <r>
          <rPr>
            <sz val="10"/>
            <color indexed="81"/>
            <rFont val="Lucida Console"/>
            <family val="3"/>
          </rPr>
          <t>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t>
        </r>
      </text>
    </comment>
    <comment ref="G342" authorId="0" shapeId="0" xr:uid="{7FACEA13-9A32-4D64-AAAA-D1CEA3EE5E99}">
      <text>
        <r>
          <rPr>
            <sz val="10"/>
            <color indexed="81"/>
            <rFont val="Lucida Console"/>
            <family val="3"/>
          </rPr>
          <t>_x000D_
Últ estimativa : 18.000_x000D_
Enviada em     : 16.04.2020_x000D_
Ata - Venc     : 2/21 - 29.06.2021</t>
        </r>
      </text>
    </comment>
    <comment ref="O342" authorId="0" shapeId="0" xr:uid="{FC625B6F-6677-487A-85F1-0D18416C2819}">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342" authorId="0" shapeId="0" xr:uid="{FA1E9A33-34BA-4273-AD16-45AE8FF9075A}">
      <text>
        <r>
          <rPr>
            <sz val="10"/>
            <color indexed="81"/>
            <rFont val="Lucida Console"/>
            <family val="3"/>
          </rPr>
          <t>_x000D_
Administrativo</t>
        </r>
      </text>
    </comment>
    <comment ref="X342" authorId="0" shapeId="0" xr:uid="{AC988611-0D16-4F9F-B680-8ECFC24FACC3}">
      <text>
        <r>
          <rPr>
            <sz val="10"/>
            <color indexed="81"/>
            <rFont val="Lucida Console"/>
            <family val="3"/>
          </rPr>
          <t>_x000D_
MAQ.EQUIP.E MATERIAIS P/ HIGIEN.LIMP.POLIM.E LUBR.</t>
        </r>
      </text>
    </comment>
    <comment ref="Y342" authorId="0" shapeId="0" xr:uid="{17F4D722-FF3A-4920-897D-ECA49184E8D0}">
      <text>
        <r>
          <rPr>
            <sz val="10"/>
            <color indexed="81"/>
            <rFont val="Lucida Console"/>
            <family val="3"/>
          </rPr>
          <t>_x000D_
PRODUTOS DE LIMPEZA</t>
        </r>
      </text>
    </comment>
    <comment ref="AW342" authorId="0" shapeId="0" xr:uid="{23AE5731-0431-4F6A-9C09-276CEFE28DD2}">
      <text>
        <r>
          <rPr>
            <sz val="10"/>
            <color indexed="81"/>
            <rFont val="Lucida Console"/>
            <family val="3"/>
          </rPr>
          <t>Tempo de Estoque (Meses)_x000D_
_x000D_
12.614,0</t>
        </r>
      </text>
    </comment>
    <comment ref="A343" authorId="0" shapeId="0" xr:uid="{75C6A2B9-ECBD-4B4F-9CC8-ECCF1377DD90}">
      <text>
        <r>
          <rPr>
            <sz val="10"/>
            <color indexed="81"/>
            <rFont val="Lucida Console"/>
            <family val="3"/>
          </rPr>
          <t>_x000D_
59400</t>
        </r>
      </text>
    </comment>
    <comment ref="B343" authorId="0" shapeId="0" xr:uid="{79A5178F-75D8-4BEB-BB92-AFB839D0B048}">
      <text>
        <r>
          <rPr>
            <sz val="10"/>
            <color indexed="81"/>
            <rFont val="Lucida Console"/>
            <family val="3"/>
          </rPr>
          <t>DESCRIÇÃO DETALHADA_x000D_
LUVA DE PVC SOLDAVEL DE 32 MM - 1" - MARROM. A MARCA DEVERA VIR LITOGRAFADA NA PECA.</t>
        </r>
      </text>
    </comment>
    <comment ref="G343" authorId="0" shapeId="0" xr:uid="{70705A32-29DC-470E-9B67-FF13E43FFB99}">
      <text>
        <r>
          <rPr>
            <sz val="10"/>
            <color indexed="81"/>
            <rFont val="Lucida Console"/>
            <family val="3"/>
          </rPr>
          <t>_x000D_
Últ estimativa : 0_x000D_
Enviada em     : 14.11.2018_x000D_
Ata - Venc     : 20/18 - 21.01.2019</t>
        </r>
      </text>
    </comment>
    <comment ref="O343" authorId="0" shapeId="0" xr:uid="{AF094598-F30D-4D58-B8FC-F1D97F499129}">
      <text>
        <r>
          <rPr>
            <sz val="10"/>
            <color indexed="81"/>
            <rFont val="Lucida Console"/>
            <family val="3"/>
          </rPr>
          <t>_x000D_
Pertencia a ATA nº 20/18_x000D_
Estimativa de Renovação enviada em 14.11.2018 - Qtd _x000D_
PP  12/19 lote _x000D_
11.07.19 = Processo finalizado. Ata 76/19.</t>
        </r>
      </text>
    </comment>
    <comment ref="W343" authorId="0" shapeId="0" xr:uid="{838DCD7E-500B-41D0-B4F5-2883E85E41D8}">
      <text>
        <r>
          <rPr>
            <sz val="10"/>
            <color indexed="81"/>
            <rFont val="Lucida Console"/>
            <family val="3"/>
          </rPr>
          <t>_x000D_
DM-Hidráulica</t>
        </r>
      </text>
    </comment>
    <comment ref="X343" authorId="0" shapeId="0" xr:uid="{24B72B66-BB03-482D-9430-E172698D0181}">
      <text>
        <r>
          <rPr>
            <sz val="10"/>
            <color indexed="81"/>
            <rFont val="Lucida Console"/>
            <family val="3"/>
          </rPr>
          <t>_x000D_
MATERIAL HIDRAULICO, CANOS, TUBOS, MANGUEIRAS, CONEXOES E ACESS.</t>
        </r>
      </text>
    </comment>
    <comment ref="Y343" authorId="0" shapeId="0" xr:uid="{F8386350-29B5-47B7-AA3A-8401E6A7403D}">
      <text>
        <r>
          <rPr>
            <sz val="10"/>
            <color indexed="81"/>
            <rFont val="Lucida Console"/>
            <family val="3"/>
          </rPr>
          <t>_x000D_
ADAP. LUVAS.TES CURVAS COTOVELOS PLUGS FLANGES.....</t>
        </r>
      </text>
    </comment>
    <comment ref="AW343" authorId="0" shapeId="0" xr:uid="{BA9C2BCA-F23F-45EE-947D-44DD42520306}">
      <text>
        <r>
          <rPr>
            <sz val="10"/>
            <color indexed="81"/>
            <rFont val="Lucida Console"/>
            <family val="3"/>
          </rPr>
          <t>Tempo de Estoque (Meses)_x000D_
_x000D_
138,0</t>
        </r>
      </text>
    </comment>
    <comment ref="A344" authorId="0" shapeId="0" xr:uid="{4278FC36-631D-4ED4-B08A-5630F26804C5}">
      <text>
        <r>
          <rPr>
            <sz val="10"/>
            <color indexed="81"/>
            <rFont val="Lucida Console"/>
            <family val="3"/>
          </rPr>
          <t>_x000D_
63277</t>
        </r>
      </text>
    </comment>
    <comment ref="B344" authorId="0" shapeId="0" xr:uid="{2A37891F-B1F9-43BC-8E0C-1136B7C08049}">
      <text>
        <r>
          <rPr>
            <sz val="10"/>
            <color indexed="81"/>
            <rFont val="Lucida Console"/>
            <family val="3"/>
          </rPr>
          <t xml:space="preserve">DESCRIÇÃO DETALHADA_x000D_
COTOVELO 45 GRAUS EM PVC BRANCO - 50 MM, DE ACORDO COM A NORMA NBR 5688 E A MARCA DEVERA VIR LITOGRAFADA NA PECA  </t>
        </r>
      </text>
    </comment>
    <comment ref="G344" authorId="0" shapeId="0" xr:uid="{9A7DC5FB-CD82-4AD4-AC2C-589F43BF8EA2}">
      <text>
        <r>
          <rPr>
            <sz val="10"/>
            <color indexed="81"/>
            <rFont val="Lucida Console"/>
            <family val="3"/>
          </rPr>
          <t>_x000D_
Últ estimativa : 0_x000D_
Enviada em     : 14.11.2018_x000D_
Ata - Venc     : 20/18 - 21.01.2019</t>
        </r>
      </text>
    </comment>
    <comment ref="O344" authorId="0" shapeId="0" xr:uid="{BE8DA5E2-291E-45EF-9D75-765C5A7736C1}">
      <text>
        <r>
          <rPr>
            <sz val="10"/>
            <color indexed="81"/>
            <rFont val="Lucida Console"/>
            <family val="3"/>
          </rPr>
          <t>_x000D_
Pertencia a ATA nº 20/18_x000D_
Estimativa de Renovação enviada em 14.11.2018 - Qtd _x000D_
PP  12/19 lote _x000D_
11.07.19 = Processo finalizado. Ata 76/19.</t>
        </r>
      </text>
    </comment>
    <comment ref="W344" authorId="0" shapeId="0" xr:uid="{7F030668-35D9-4656-A12C-02702A085F00}">
      <text>
        <r>
          <rPr>
            <sz val="10"/>
            <color indexed="81"/>
            <rFont val="Lucida Console"/>
            <family val="3"/>
          </rPr>
          <t>_x000D_
DM-Hidráulica</t>
        </r>
      </text>
    </comment>
    <comment ref="X344" authorId="0" shapeId="0" xr:uid="{F5057B68-6986-4582-BE9B-15E7D6928981}">
      <text>
        <r>
          <rPr>
            <sz val="10"/>
            <color indexed="81"/>
            <rFont val="Lucida Console"/>
            <family val="3"/>
          </rPr>
          <t>_x000D_
MATERIAL HIDRAULICO, CANOS, TUBOS, MANGUEIRAS, CONEXOES E ACESS.</t>
        </r>
      </text>
    </comment>
    <comment ref="Y344" authorId="0" shapeId="0" xr:uid="{FC822333-A926-4A0D-B66E-D2F665AC1225}">
      <text>
        <r>
          <rPr>
            <sz val="10"/>
            <color indexed="81"/>
            <rFont val="Lucida Console"/>
            <family val="3"/>
          </rPr>
          <t>_x000D_
ADAP. LUVAS.TES CURVAS COTOVELOS PLUGS FLANGES.....</t>
        </r>
      </text>
    </comment>
    <comment ref="AW344" authorId="0" shapeId="0" xr:uid="{0CA9ED51-5D57-4DA2-B0AD-22032BFA8626}">
      <text>
        <r>
          <rPr>
            <sz val="10"/>
            <color indexed="81"/>
            <rFont val="Lucida Console"/>
            <family val="3"/>
          </rPr>
          <t>Tempo de Estoque (Meses)_x000D_
_x000D_
308,0</t>
        </r>
      </text>
    </comment>
    <comment ref="A345" authorId="0" shapeId="0" xr:uid="{D169F1E4-FDF1-47F5-B8F4-BC82CE10E762}">
      <text>
        <r>
          <rPr>
            <sz val="10"/>
            <color indexed="81"/>
            <rFont val="Lucida Console"/>
            <family val="3"/>
          </rPr>
          <t>_x000D_
115805</t>
        </r>
      </text>
    </comment>
    <comment ref="B345" authorId="0" shapeId="0" xr:uid="{401268D4-4A51-4C54-BA80-39EC100BADFD}">
      <text>
        <r>
          <rPr>
            <sz val="10"/>
            <color indexed="81"/>
            <rFont val="Lucida Console"/>
            <family val="3"/>
          </rPr>
          <t xml:space="preserve">DESCRIÇÃO DETALHADA_x000D_
REPARO PARA VALVULA HIDRA MAX, CLEAN PRO E BASE 325 </t>
        </r>
      </text>
    </comment>
    <comment ref="G345" authorId="0" shapeId="0" xr:uid="{32442D7A-7EED-469B-827B-62C9179D2C8B}">
      <text>
        <r>
          <rPr>
            <sz val="10"/>
            <color indexed="81"/>
            <rFont val="Lucida Console"/>
            <family val="3"/>
          </rPr>
          <t>_x000D_
Últ estimativa : 0_x000D_
Enviada em     : 14.11.2018_x000D_
Ata - Venc     : 20/18 - 21.01.2019</t>
        </r>
      </text>
    </comment>
    <comment ref="O345" authorId="0" shapeId="0" xr:uid="{DDC4F967-32E1-4B21-901A-B0BAC321AFC9}">
      <text>
        <r>
          <rPr>
            <sz val="10"/>
            <color indexed="81"/>
            <rFont val="Lucida Console"/>
            <family val="3"/>
          </rPr>
          <t>_x000D_
Pertencia a ATA nº 20/18_x000D_
Estimativa de Renovação enviada em 14.11.2018 - Qtd _x000D_
PP  12/19 lote _x000D_
11.07.19 = Processo finalizado. Ata 76/19.</t>
        </r>
      </text>
    </comment>
    <comment ref="W345" authorId="0" shapeId="0" xr:uid="{E790D3D1-2511-49B5-8AB2-20C17DB907A9}">
      <text>
        <r>
          <rPr>
            <sz val="10"/>
            <color indexed="81"/>
            <rFont val="Lucida Console"/>
            <family val="3"/>
          </rPr>
          <t>_x000D_
DM-Hidráulica</t>
        </r>
      </text>
    </comment>
    <comment ref="X345" authorId="0" shapeId="0" xr:uid="{7BDCB7FB-2112-40CE-86ED-74058118E8F2}">
      <text>
        <r>
          <rPr>
            <sz val="10"/>
            <color indexed="81"/>
            <rFont val="Lucida Console"/>
            <family val="3"/>
          </rPr>
          <t>_x000D_
MATERIAL HIDRAULICO, CANOS, TUBOS, MANGUEIRAS, CONEXOES E ACESS.</t>
        </r>
      </text>
    </comment>
    <comment ref="Y345" authorId="0" shapeId="0" xr:uid="{E20B82EF-FADF-4D42-8AC4-425CCF4F5FEF}">
      <text>
        <r>
          <rPr>
            <sz val="10"/>
            <color indexed="81"/>
            <rFont val="Lucida Console"/>
            <family val="3"/>
          </rPr>
          <t>_x000D_
REGISTROS VALVULAS E BOIAS</t>
        </r>
      </text>
    </comment>
    <comment ref="AW345" authorId="0" shapeId="0" xr:uid="{4B205A88-5400-4F97-A918-879CD63B2DA9}">
      <text>
        <r>
          <rPr>
            <sz val="10"/>
            <color indexed="81"/>
            <rFont val="Lucida Console"/>
            <family val="3"/>
          </rPr>
          <t>Tempo de Estoque (Meses)_x000D_
_x000D_
155,0</t>
        </r>
      </text>
    </comment>
    <comment ref="A346" authorId="0" shapeId="0" xr:uid="{C3C47DD6-4CB5-4F48-B4EF-686FF0659DE1}">
      <text>
        <r>
          <rPr>
            <sz val="10"/>
            <color indexed="81"/>
            <rFont val="Lucida Console"/>
            <family val="3"/>
          </rPr>
          <t>_x000D_
13561</t>
        </r>
      </text>
    </comment>
    <comment ref="B346" authorId="0" shapeId="0" xr:uid="{3ED195A9-1692-4B57-8C17-8593233753FF}">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346" authorId="0" shapeId="0" xr:uid="{9C6AAC14-47FF-4FD7-9F25-784CE68A0CE8}">
      <text>
        <r>
          <rPr>
            <sz val="10"/>
            <color indexed="81"/>
            <rFont val="Lucida Console"/>
            <family val="3"/>
          </rPr>
          <t>_x000D_
Últ estimativa : 200_x000D_
Enviada em     : 24.11.2020_x000D_
Ata - Venc     : 204/18 - 08.10.2019</t>
        </r>
      </text>
    </comment>
    <comment ref="O346" authorId="0" shapeId="0" xr:uid="{A954E9BD-D8C4-49E4-9CB7-A4F3A681431C}">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346" authorId="0" shapeId="0" xr:uid="{3E06F506-FBA4-4B7B-AF64-0B03C7482ADF}">
      <text>
        <r>
          <rPr>
            <sz val="10"/>
            <color indexed="81"/>
            <rFont val="Lucida Console"/>
            <family val="3"/>
          </rPr>
          <t>_x000D_
DM-Hidráulica</t>
        </r>
      </text>
    </comment>
    <comment ref="X346" authorId="0" shapeId="0" xr:uid="{3D40E116-FCB9-4E89-9E43-7BDAA4AED628}">
      <text>
        <r>
          <rPr>
            <sz val="10"/>
            <color indexed="81"/>
            <rFont val="Lucida Console"/>
            <family val="3"/>
          </rPr>
          <t>_x000D_
MATERIAL HIDRAULICO, CANOS, TUBOS, MANGUEIRAS, CONEXOES E ACESS.</t>
        </r>
      </text>
    </comment>
    <comment ref="Y346" authorId="0" shapeId="0" xr:uid="{3958E5A1-7716-4EC5-85D9-9CD61B19F540}">
      <text>
        <r>
          <rPr>
            <sz val="10"/>
            <color indexed="81"/>
            <rFont val="Lucida Console"/>
            <family val="3"/>
          </rPr>
          <t>_x000D_
CANOS E TUBOS PLASTICOS</t>
        </r>
      </text>
    </comment>
    <comment ref="AC346" authorId="0" shapeId="0" xr:uid="{5453753B-F437-41A1-9A4F-54B5490881D9}">
      <text>
        <r>
          <rPr>
            <sz val="10"/>
            <color indexed="81"/>
            <rFont val="Lucida Console"/>
            <family val="3"/>
          </rPr>
          <t>_x000D_
AF  9.648/23 | Vc 24.08.2023 | Saldo    250 | REDE I9 DO BRASIL MATERIAIS ELETRICOS E MONTAGENS INDUSTRIAIS LTDA ( 235922 )</t>
        </r>
      </text>
    </comment>
    <comment ref="AG346" authorId="0" shapeId="0" xr:uid="{1F9A589E-835A-4889-87F4-896C18ED073B}">
      <text>
        <r>
          <rPr>
            <sz val="10"/>
            <color indexed="81"/>
            <rFont val="Lucida Console"/>
            <family val="3"/>
          </rPr>
          <t>_x000D_
AF  9.648/23 | Vc 24.08.2023 | Saldo    250 | REDE I9 DO BRASIL MATERIAIS ELETRICOS E MONTAGENS INDUSTRIAIS LTDA ( 235922 )</t>
        </r>
      </text>
    </comment>
    <comment ref="AW346" authorId="0" shapeId="0" xr:uid="{05032454-D992-4750-A3D6-1E9B36D3B3DF}">
      <text>
        <r>
          <rPr>
            <sz val="10"/>
            <color indexed="81"/>
            <rFont val="Lucida Console"/>
            <family val="3"/>
          </rPr>
          <t>Tempo de Estoque (Meses)_x000D_
_x000D_
54,0</t>
        </r>
      </text>
    </comment>
    <comment ref="A347" authorId="0" shapeId="0" xr:uid="{99BCA03E-6AAF-4B8F-B73F-B678D1F4CCA4}">
      <text>
        <r>
          <rPr>
            <sz val="10"/>
            <color indexed="81"/>
            <rFont val="Lucida Console"/>
            <family val="3"/>
          </rPr>
          <t>_x000D_
116466</t>
        </r>
      </text>
    </comment>
    <comment ref="B347" authorId="0" shapeId="0" xr:uid="{6BDB6484-7A24-4D5A-B3DE-47A31E100459}">
      <text>
        <r>
          <rPr>
            <sz val="10"/>
            <color indexed="81"/>
            <rFont val="Lucida Console"/>
            <family val="3"/>
          </rPr>
          <t>DESCRIÇÃO DETALHADA_x000D_
CANTONEIRA EM ACO PARA FIXACAO DE BALS MEDINDO 47 MM X 20 MM X 25 MM COM 3 FUROS</t>
        </r>
      </text>
    </comment>
    <comment ref="G347" authorId="0" shapeId="0" xr:uid="{49B8D79C-0B44-4A3E-9B4C-A04C9578207E}">
      <text>
        <r>
          <rPr>
            <sz val="10"/>
            <color indexed="81"/>
            <rFont val="Lucida Console"/>
            <family val="3"/>
          </rPr>
          <t>_x000D_
Últ estimativa : 8.500_x000D_
Enviada em     : 25.06.2019_x000D_
Ata - Venc     : 204/18 - 08.10.2019</t>
        </r>
      </text>
    </comment>
    <comment ref="O347" authorId="0" shapeId="0" xr:uid="{0D5A87EB-0677-43AD-85D7-582869206F39}">
      <text>
        <r>
          <rPr>
            <sz val="10"/>
            <color indexed="81"/>
            <rFont val="Lucida Console"/>
            <family val="3"/>
          </rPr>
          <t>_x000D_
Pertencia a ATA nº 204/18_x000D_
Estimativa de Renovação enviada em 25.06.2019 - Qtd 8.500_x000D_
PP 170/18 lote _x000D_
23.10.18 = Processo finalizado. Ata 204/18.</t>
        </r>
      </text>
    </comment>
    <comment ref="W347" authorId="0" shapeId="0" xr:uid="{A14EC8DA-5750-4F09-A95E-695B3C8CC887}">
      <text>
        <r>
          <rPr>
            <sz val="10"/>
            <color indexed="81"/>
            <rFont val="Lucida Console"/>
            <family val="3"/>
          </rPr>
          <t>_x000D_
DM-Serralheria</t>
        </r>
      </text>
    </comment>
    <comment ref="X347" authorId="0" shapeId="0" xr:uid="{4970EB38-FBE1-49BF-BA66-F8D74830CCB7}">
      <text>
        <r>
          <rPr>
            <sz val="10"/>
            <color indexed="81"/>
            <rFont val="Lucida Console"/>
            <family val="3"/>
          </rPr>
          <t>_x000D_
METAIS,LAMINAD.,PERFILADOS E ARTEFATOS METALICOS</t>
        </r>
      </text>
    </comment>
    <comment ref="Y347" authorId="0" shapeId="0" xr:uid="{49BFDB94-11F2-455D-A720-5C05A875042C}">
      <text>
        <r>
          <rPr>
            <sz val="10"/>
            <color indexed="81"/>
            <rFont val="Lucida Console"/>
            <family val="3"/>
          </rPr>
          <t>_x000D_
CANTONEIRAS</t>
        </r>
      </text>
    </comment>
    <comment ref="AW347" authorId="0" shapeId="0" xr:uid="{5FA97D90-6341-4FC0-AA81-DAEB119FD285}">
      <text>
        <r>
          <rPr>
            <sz val="10"/>
            <color indexed="81"/>
            <rFont val="Lucida Console"/>
            <family val="3"/>
          </rPr>
          <t>Tempo de Estoque (Meses)_x000D_
_x000D_
2.339,0</t>
        </r>
      </text>
    </comment>
    <comment ref="A348" authorId="0" shapeId="0" xr:uid="{774765E4-A848-4C24-9CEF-28D2558B07DC}">
      <text>
        <r>
          <rPr>
            <sz val="10"/>
            <color indexed="81"/>
            <rFont val="Lucida Console"/>
            <family val="3"/>
          </rPr>
          <t>_x000D_
82995</t>
        </r>
      </text>
    </comment>
    <comment ref="B348" authorId="0" shapeId="0" xr:uid="{AC8757B3-98C6-4054-AFE6-1820D1879801}">
      <text>
        <r>
          <rPr>
            <sz val="10"/>
            <color indexed="81"/>
            <rFont val="Lucida Console"/>
            <family val="3"/>
          </rPr>
          <t>DESCRIÇÃO DETALHADA_x000D_
GONZO COM ABAS N. 3 (65MM)</t>
        </r>
      </text>
    </comment>
    <comment ref="G348" authorId="0" shapeId="0" xr:uid="{2B6F1BE5-217C-4D08-B2BB-3BFEE821E5AA}">
      <text>
        <r>
          <rPr>
            <sz val="10"/>
            <color indexed="81"/>
            <rFont val="Lucida Console"/>
            <family val="3"/>
          </rPr>
          <t>_x000D_
Últ estimativa : 700_x000D_
Enviada em     : 14.02.2020_x000D_
Ata - Venc     : 206/20 - 16.09.2021</t>
        </r>
      </text>
    </comment>
    <comment ref="O348" authorId="0" shapeId="0" xr:uid="{540DE6AF-D769-4B0B-AA75-D7AE3230BAE1}">
      <text>
        <r>
          <rPr>
            <sz val="10"/>
            <color indexed="81"/>
            <rFont val="Lucida Console"/>
            <family val="3"/>
          </rPr>
          <t>_x000D_
Pertencia a ATA nº 206/20_x000D_
Estimativa de Renovação enviada em 14.02.2020 - Qtd 700_x000D_
PE  28/19 lote _x000D_
24.07.19 = Processo conferido, finalizado.</t>
        </r>
      </text>
    </comment>
    <comment ref="W348" authorId="0" shapeId="0" xr:uid="{127A95E7-5DE3-440A-AEE9-8EA18EA818A1}">
      <text>
        <r>
          <rPr>
            <sz val="10"/>
            <color indexed="81"/>
            <rFont val="Lucida Console"/>
            <family val="3"/>
          </rPr>
          <t>_x000D_
DM-Construção</t>
        </r>
      </text>
    </comment>
    <comment ref="X348" authorId="0" shapeId="0" xr:uid="{C64E7B1F-D27B-41C8-8706-26442837CA54}">
      <text>
        <r>
          <rPr>
            <sz val="10"/>
            <color indexed="81"/>
            <rFont val="Lucida Console"/>
            <family val="3"/>
          </rPr>
          <t>_x000D_
MAT.E EQUIP. P/ CONSTR.CIVIL E CONSERV. DE VIAS PUBL.</t>
        </r>
      </text>
    </comment>
    <comment ref="Y348" authorId="0" shapeId="0" xr:uid="{AD992364-4C7C-440B-95F8-F4DDAE287194}">
      <text>
        <r>
          <rPr>
            <sz val="10"/>
            <color indexed="81"/>
            <rFont val="Lucida Console"/>
            <family val="3"/>
          </rPr>
          <t>_x000D_
FECHADURAS, DOBRADICAS E MACANETAS</t>
        </r>
      </text>
    </comment>
    <comment ref="AW348" authorId="0" shapeId="0" xr:uid="{99AF3E2C-3905-41AE-873D-B398F02036DB}">
      <text>
        <r>
          <rPr>
            <sz val="10"/>
            <color indexed="81"/>
            <rFont val="Lucida Console"/>
            <family val="3"/>
          </rPr>
          <t>Tempo de Estoque (Meses)_x000D_
_x000D_
300,0</t>
        </r>
      </text>
    </comment>
    <comment ref="A349" authorId="0" shapeId="0" xr:uid="{47525519-1A7B-4747-B914-EC6B33637E02}">
      <text>
        <r>
          <rPr>
            <sz val="10"/>
            <color indexed="81"/>
            <rFont val="Lucida Console"/>
            <family val="3"/>
          </rPr>
          <t>_x000D_
136554</t>
        </r>
      </text>
    </comment>
    <comment ref="B349" authorId="0" shapeId="0" xr:uid="{575AD631-6EE8-4A68-BADE-47A06A109C8A}">
      <text>
        <r>
          <rPr>
            <sz val="10"/>
            <color indexed="81"/>
            <rFont val="Lucida Console"/>
            <family val="3"/>
          </rPr>
          <t>DESCRIÇÃO DETALHADA_x000D_
FECHADURA DE SOBREPOR PARA GAVETA, COM CILINDRO, MEDINDO 22 MM DE CORPO, ACABAMENTO NIQUELADO E ROTACAO DA CHAVE 180º COM DOIS PONTOS DE EXTRACAO</t>
        </r>
      </text>
    </comment>
    <comment ref="G349" authorId="0" shapeId="0" xr:uid="{150E0EEE-30BB-48B2-817F-A5D5F28649B7}">
      <text>
        <r>
          <rPr>
            <sz val="10"/>
            <color indexed="81"/>
            <rFont val="Lucida Console"/>
            <family val="3"/>
          </rPr>
          <t>_x000D_
Últ estimativa : 1.500_x000D_
Enviada em     : 12.05.2020_x000D_
Ata - Venc     : 206/20 - 16.09.2021</t>
        </r>
      </text>
    </comment>
    <comment ref="O349" authorId="0" shapeId="0" xr:uid="{3F072163-3228-4C7B-8942-74EA3748F540}">
      <text>
        <r>
          <rPr>
            <sz val="10"/>
            <color indexed="81"/>
            <rFont val="Lucida Console"/>
            <family val="3"/>
          </rPr>
          <t>_x000D_
Pertencia a ATA nº 206/20_x000D_
Estimativa de Renovação enviada em 12.05.2020 - Qtd 1.500_x000D_
PP  95/19 lote _x000D_
29.08.18 = Finalizado</t>
        </r>
      </text>
    </comment>
    <comment ref="W349" authorId="0" shapeId="0" xr:uid="{EA2FFFE5-66DA-4AEC-BC81-6B9030DE3537}">
      <text>
        <r>
          <rPr>
            <sz val="10"/>
            <color indexed="81"/>
            <rFont val="Lucida Console"/>
            <family val="3"/>
          </rPr>
          <t>_x000D_
DM-Construção</t>
        </r>
      </text>
    </comment>
    <comment ref="X349" authorId="0" shapeId="0" xr:uid="{B927D713-FFA4-4DEB-8483-E37E2C252102}">
      <text>
        <r>
          <rPr>
            <sz val="10"/>
            <color indexed="81"/>
            <rFont val="Lucida Console"/>
            <family val="3"/>
          </rPr>
          <t>_x000D_
MAT.E EQUIP. P/ CONSTR.CIVIL E CONSERV. DE VIAS PUBL.</t>
        </r>
      </text>
    </comment>
    <comment ref="Y349" authorId="0" shapeId="0" xr:uid="{E45FE529-070E-44B8-8A03-6DD5DFD05C47}">
      <text>
        <r>
          <rPr>
            <sz val="10"/>
            <color indexed="81"/>
            <rFont val="Lucida Console"/>
            <family val="3"/>
          </rPr>
          <t>_x000D_
FECHADURAS INTERNAS E EXTERNAS</t>
        </r>
      </text>
    </comment>
    <comment ref="AW349" authorId="0" shapeId="0" xr:uid="{C955048D-281D-44A9-814D-F1F7B1CECF6E}">
      <text>
        <r>
          <rPr>
            <sz val="10"/>
            <color indexed="81"/>
            <rFont val="Lucida Console"/>
            <family val="3"/>
          </rPr>
          <t>Tempo de Estoque (Meses)_x000D_
_x000D_
2.000,0</t>
        </r>
      </text>
    </comment>
    <comment ref="A350" authorId="0" shapeId="0" xr:uid="{C956D3BC-D921-4AFE-A605-5150C0978959}">
      <text>
        <r>
          <rPr>
            <sz val="10"/>
            <color indexed="81"/>
            <rFont val="Lucida Console"/>
            <family val="3"/>
          </rPr>
          <t>_x000D_
136555</t>
        </r>
      </text>
    </comment>
    <comment ref="B350" authorId="0" shapeId="0" xr:uid="{C23926BA-7DC8-4AA2-AAF0-80B5920D816B}">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350" authorId="0" shapeId="0" xr:uid="{53457595-70DA-4558-BA34-7A086CECDDE9}">
      <text>
        <r>
          <rPr>
            <sz val="10"/>
            <color indexed="81"/>
            <rFont val="Lucida Console"/>
            <family val="3"/>
          </rPr>
          <t>_x000D_
Últ estimativa : 1.700_x000D_
Enviada em     : 12.05.2020_x000D_
Ata - Venc     : 206/20 - 16.09.2021</t>
        </r>
      </text>
    </comment>
    <comment ref="O350" authorId="0" shapeId="0" xr:uid="{F2AC780F-CF78-478C-9CB6-340637DA5E2D}">
      <text>
        <r>
          <rPr>
            <sz val="10"/>
            <color indexed="81"/>
            <rFont val="Lucida Console"/>
            <family val="3"/>
          </rPr>
          <t>_x000D_
Pertencia a ATA nº 206/20_x000D_
Estimativa de Renovação enviada em 12.05.2020 - Qtd 1.700_x000D_
PP  95/19 lote _x000D_
29.08.18 = Finalizado</t>
        </r>
      </text>
    </comment>
    <comment ref="W350" authorId="0" shapeId="0" xr:uid="{E3D94A6B-E688-474A-BAAD-CCF7520EA31B}">
      <text>
        <r>
          <rPr>
            <sz val="10"/>
            <color indexed="81"/>
            <rFont val="Lucida Console"/>
            <family val="3"/>
          </rPr>
          <t>_x000D_
DM-Construção</t>
        </r>
      </text>
    </comment>
    <comment ref="X350" authorId="0" shapeId="0" xr:uid="{46849A31-F271-4EBD-96C5-CF96E5AADB12}">
      <text>
        <r>
          <rPr>
            <sz val="10"/>
            <color indexed="81"/>
            <rFont val="Lucida Console"/>
            <family val="3"/>
          </rPr>
          <t>_x000D_
MAT.E EQUIP. P/ CONSTR.CIVIL E CONSERV. DE VIAS PUBL.</t>
        </r>
      </text>
    </comment>
    <comment ref="Y350" authorId="0" shapeId="0" xr:uid="{B4EEE768-4F66-474F-B7B7-771FF344A3B3}">
      <text>
        <r>
          <rPr>
            <sz val="10"/>
            <color indexed="81"/>
            <rFont val="Lucida Console"/>
            <family val="3"/>
          </rPr>
          <t>_x000D_
FECHADURAS INTERNAS E EXTERNAS</t>
        </r>
      </text>
    </comment>
    <comment ref="AW350" authorId="0" shapeId="0" xr:uid="{BFB38F76-2970-420A-94C4-1BDE2776670F}">
      <text>
        <r>
          <rPr>
            <sz val="10"/>
            <color indexed="81"/>
            <rFont val="Lucida Console"/>
            <family val="3"/>
          </rPr>
          <t>Tempo de Estoque (Meses)_x000D_
_x000D_
750,0</t>
        </r>
      </text>
    </comment>
    <comment ref="A351" authorId="0" shapeId="0" xr:uid="{8302F756-052F-468E-BE3B-B2955603F3F7}">
      <text>
        <r>
          <rPr>
            <sz val="10"/>
            <color indexed="81"/>
            <rFont val="Lucida Console"/>
            <family val="3"/>
          </rPr>
          <t>_x000D_
28093</t>
        </r>
      </text>
    </comment>
    <comment ref="B351" authorId="0" shapeId="0" xr:uid="{7AFA603B-69BF-4114-8425-50320AA6BC36}">
      <text>
        <r>
          <rPr>
            <sz val="10"/>
            <color indexed="81"/>
            <rFont val="Lucida Console"/>
            <family val="3"/>
          </rPr>
          <t>DESCRIÇÃO DETALHADA_x000D_
TRAVA DE SEGURANCA, CHAVE TETRA, P/ PORTAS</t>
        </r>
      </text>
    </comment>
    <comment ref="G351" authorId="0" shapeId="0" xr:uid="{6E29A96E-BE7D-4B59-8C9E-A237F850C0D3}">
      <text>
        <r>
          <rPr>
            <sz val="10"/>
            <color indexed="81"/>
            <rFont val="Lucida Console"/>
            <family val="3"/>
          </rPr>
          <t>_x000D_
Últ estimativa : 100_x000D_
Enviada em     : 12.05.2020_x000D_
Ata - Venc     : 206/20 - 16.09.2021</t>
        </r>
      </text>
    </comment>
    <comment ref="O351" authorId="0" shapeId="0" xr:uid="{7DC4B239-F7F0-4A56-AF2F-ADBFDF954953}">
      <text>
        <r>
          <rPr>
            <sz val="10"/>
            <color indexed="81"/>
            <rFont val="Lucida Console"/>
            <family val="3"/>
          </rPr>
          <t>_x000D_
Pertencia a ATA nº 206/20_x000D_
Estimativa de Renovação enviada em 12.05.2020 - Qtd 100_x000D_
PP  95/19 lote 9_x000D_
29.08.18 = Finalizado</t>
        </r>
      </text>
    </comment>
    <comment ref="W351" authorId="0" shapeId="0" xr:uid="{9BDDF8E5-3925-4097-9DD0-A9097B920923}">
      <text>
        <r>
          <rPr>
            <sz val="10"/>
            <color indexed="81"/>
            <rFont val="Lucida Console"/>
            <family val="3"/>
          </rPr>
          <t>_x000D_
DM-Marcenaria</t>
        </r>
      </text>
    </comment>
    <comment ref="X351" authorId="0" shapeId="0" xr:uid="{9E691652-0352-4AB4-B830-964BB417462F}">
      <text>
        <r>
          <rPr>
            <sz val="10"/>
            <color indexed="81"/>
            <rFont val="Lucida Console"/>
            <family val="3"/>
          </rPr>
          <t>_x000D_
MAT.E EQUIP. P/ CONSTR.CIVIL E CONSERV. DE VIAS PUBL.</t>
        </r>
      </text>
    </comment>
    <comment ref="Y351" authorId="0" shapeId="0" xr:uid="{C4C3AF17-ED96-4DCB-991F-E88EEBA1FE47}">
      <text>
        <r>
          <rPr>
            <sz val="10"/>
            <color indexed="81"/>
            <rFont val="Lucida Console"/>
            <family val="3"/>
          </rPr>
          <t>_x000D_
MACANETAS, TRINCOS, TRAMELAS E TRANQUETAS</t>
        </r>
      </text>
    </comment>
    <comment ref="AW351" authorId="0" shapeId="0" xr:uid="{1ADF1DBE-3CF5-4792-8A34-18B3BBED9C24}">
      <text>
        <r>
          <rPr>
            <sz val="10"/>
            <color indexed="81"/>
            <rFont val="Lucida Console"/>
            <family val="3"/>
          </rPr>
          <t>Tempo de Estoque (Meses)_x000D_
_x000D_
178,0</t>
        </r>
      </text>
    </comment>
    <comment ref="A352" authorId="0" shapeId="0" xr:uid="{0B99553E-1A36-43A0-AB89-D811E8B0905D}">
      <text>
        <r>
          <rPr>
            <sz val="10"/>
            <color indexed="81"/>
            <rFont val="Lucida Console"/>
            <family val="3"/>
          </rPr>
          <t>_x000D_
105293</t>
        </r>
      </text>
    </comment>
    <comment ref="B352" authorId="0" shapeId="0" xr:uid="{F637CA1B-60D5-45A0-B0D6-5832FF141960}">
      <text>
        <r>
          <rPr>
            <sz val="10"/>
            <color indexed="81"/>
            <rFont val="Lucida Console"/>
            <family val="3"/>
          </rPr>
          <t>DESCRIÇÃO DETALHADA_x000D_
PUXADOR EXTERNO PARA ARMARIO, COM 2 PARAFUSOS - TIPO ALCA - MEDIDA: 14,5 CM X 2,5 CM</t>
        </r>
      </text>
    </comment>
    <comment ref="G352" authorId="0" shapeId="0" xr:uid="{80A98074-BDCA-4669-A602-42EBF247DBE8}">
      <text>
        <r>
          <rPr>
            <sz val="10"/>
            <color indexed="81"/>
            <rFont val="Lucida Console"/>
            <family val="3"/>
          </rPr>
          <t>_x000D_
Últ estimativa : 2.200_x000D_
Enviada em     : 12.05.2020_x000D_
Ata - Venc     : 206/20 - 16.09.2021</t>
        </r>
      </text>
    </comment>
    <comment ref="O352" authorId="0" shapeId="0" xr:uid="{D3EF7D03-2328-4E23-828E-D0DBD6B70C99}">
      <text>
        <r>
          <rPr>
            <sz val="10"/>
            <color indexed="81"/>
            <rFont val="Lucida Console"/>
            <family val="3"/>
          </rPr>
          <t>_x000D_
Pertencia a ATA nº 206/20_x000D_
Estimativa de Renovação enviada em 12.05.2020 - Qtd 2.200_x000D_
PP  95/19 lote _x000D_
29.08.18 = Finalizado</t>
        </r>
      </text>
    </comment>
    <comment ref="W352" authorId="0" shapeId="0" xr:uid="{B8BC4798-05B8-4B5E-92B3-C4698620EA40}">
      <text>
        <r>
          <rPr>
            <sz val="10"/>
            <color indexed="81"/>
            <rFont val="Lucida Console"/>
            <family val="3"/>
          </rPr>
          <t>_x000D_
DM-Marcenaria</t>
        </r>
      </text>
    </comment>
    <comment ref="X352" authorId="0" shapeId="0" xr:uid="{40E09526-215E-42AD-A9F7-AF950A274788}">
      <text>
        <r>
          <rPr>
            <sz val="10"/>
            <color indexed="81"/>
            <rFont val="Lucida Console"/>
            <family val="3"/>
          </rPr>
          <t>_x000D_
MAT.E EQUIP. P/ CONSTR.CIVIL E CONSERV. DE VIAS PUBL.</t>
        </r>
      </text>
    </comment>
    <comment ref="Y352" authorId="0" shapeId="0" xr:uid="{1A6E9267-074A-4C8F-87F7-34169973FBF5}">
      <text>
        <r>
          <rPr>
            <sz val="10"/>
            <color indexed="81"/>
            <rFont val="Lucida Console"/>
            <family val="3"/>
          </rPr>
          <t>_x000D_
MACANETAS, TRINCOS, TRAMELAS E TRANQUETAS</t>
        </r>
      </text>
    </comment>
    <comment ref="AW352" authorId="0" shapeId="0" xr:uid="{DB96B17C-93A0-4741-BC30-1D8A0C212660}">
      <text>
        <r>
          <rPr>
            <sz val="10"/>
            <color indexed="81"/>
            <rFont val="Lucida Console"/>
            <family val="3"/>
          </rPr>
          <t>Tempo de Estoque (Meses)_x000D_
_x000D_
700,0</t>
        </r>
      </text>
    </comment>
    <comment ref="A353" authorId="0" shapeId="0" xr:uid="{C88AF580-87CB-40AF-8F89-91A1147C0898}">
      <text>
        <r>
          <rPr>
            <sz val="10"/>
            <color indexed="81"/>
            <rFont val="Lucida Console"/>
            <family val="3"/>
          </rPr>
          <t>_x000D_
136273</t>
        </r>
      </text>
    </comment>
    <comment ref="B353" authorId="0" shapeId="0" xr:uid="{8386D7FA-BE55-472A-8713-B78481469128}">
      <text>
        <r>
          <rPr>
            <sz val="10"/>
            <color indexed="81"/>
            <rFont val="Lucida Console"/>
            <family val="3"/>
          </rPr>
          <t>DESCRIÇÃO DETALHADA_x000D_
PUXADOR PARA MOVEL EM ABS, BOLA GRANDE, COM PARAFUSO 3,50 X 30 MM, CABECA FLANGE, COR:</t>
        </r>
      </text>
    </comment>
    <comment ref="G353" authorId="0" shapeId="0" xr:uid="{E0635C94-FC53-4D27-9740-3C2D395CAA37}">
      <text>
        <r>
          <rPr>
            <sz val="10"/>
            <color indexed="81"/>
            <rFont val="Lucida Console"/>
            <family val="3"/>
          </rPr>
          <t>_x000D_
Últ estimativa : 2.200_x000D_
Enviada em     : 12.05.2020_x000D_
Ata - Venc     : 206/20 - 16.09.2021</t>
        </r>
      </text>
    </comment>
    <comment ref="O353" authorId="0" shapeId="0" xr:uid="{32EEA455-080C-459B-A94E-ADFEF827A996}">
      <text>
        <r>
          <rPr>
            <sz val="10"/>
            <color indexed="81"/>
            <rFont val="Lucida Console"/>
            <family val="3"/>
          </rPr>
          <t>_x000D_
Pertencia a ATA nº 206/20_x000D_
Estimativa de Renovação enviada em 12.05.2020 - Qtd 2.200_x000D_
PP  95/19 lote _x000D_
29.08.18 = Finalizado</t>
        </r>
      </text>
    </comment>
    <comment ref="W353" authorId="0" shapeId="0" xr:uid="{7E9B3F30-82A9-4C9B-BB7D-126C114F39D1}">
      <text>
        <r>
          <rPr>
            <sz val="10"/>
            <color indexed="81"/>
            <rFont val="Lucida Console"/>
            <family val="3"/>
          </rPr>
          <t>_x000D_
DM-Marcenaria</t>
        </r>
      </text>
    </comment>
    <comment ref="X353" authorId="0" shapeId="0" xr:uid="{562F5A8C-5AD7-4086-B8E7-6D10D46BB161}">
      <text>
        <r>
          <rPr>
            <sz val="10"/>
            <color indexed="81"/>
            <rFont val="Lucida Console"/>
            <family val="3"/>
          </rPr>
          <t>_x000D_
MAT.E EQUIP. P/ CONSTR.CIVIL E CONSERV. DE VIAS PUBL.</t>
        </r>
      </text>
    </comment>
    <comment ref="Y353" authorId="0" shapeId="0" xr:uid="{2F565F73-341F-4FD5-8821-3336074F3BA0}">
      <text>
        <r>
          <rPr>
            <sz val="10"/>
            <color indexed="81"/>
            <rFont val="Lucida Console"/>
            <family val="3"/>
          </rPr>
          <t>_x000D_
MACANETAS, TRINCOS, TRAMELAS E TRANQUETAS</t>
        </r>
      </text>
    </comment>
    <comment ref="AW353" authorId="0" shapeId="0" xr:uid="{8ED25B36-1C47-4B7E-933A-06F35AF260FC}">
      <text>
        <r>
          <rPr>
            <sz val="10"/>
            <color indexed="81"/>
            <rFont val="Lucida Console"/>
            <family val="3"/>
          </rPr>
          <t>Tempo de Estoque (Meses)_x000D_
_x000D_
1.588,0</t>
        </r>
      </text>
    </comment>
    <comment ref="A354" authorId="0" shapeId="0" xr:uid="{E5C1D16A-36FB-47F5-BC14-41D2BE51CD58}">
      <text>
        <r>
          <rPr>
            <sz val="10"/>
            <color indexed="81"/>
            <rFont val="Lucida Console"/>
            <family val="3"/>
          </rPr>
          <t>_x000D_
48901</t>
        </r>
      </text>
    </comment>
    <comment ref="B354" authorId="0" shapeId="0" xr:uid="{7B08E922-F465-485A-8C57-A1A685ECA113}">
      <text>
        <r>
          <rPr>
            <sz val="10"/>
            <color indexed="81"/>
            <rFont val="Lucida Console"/>
            <family val="3"/>
          </rPr>
          <t>DESCRIÇÃO DETALHADA_x000D_
PASTA MOLHA DEDO</t>
        </r>
      </text>
    </comment>
    <comment ref="G354" authorId="0" shapeId="0" xr:uid="{3CEFFFC0-590E-4815-A861-88CDB170E17E}">
      <text>
        <r>
          <rPr>
            <sz val="10"/>
            <color indexed="81"/>
            <rFont val="Lucida Console"/>
            <family val="3"/>
          </rPr>
          <t>_x000D_
Últ estimativa : 100_x000D_
Enviada em     : 02.03.2020_x000D_
Ata - Venc     : 211/20 - 21.09.2021</t>
        </r>
      </text>
    </comment>
    <comment ref="O354" authorId="0" shapeId="0" xr:uid="{2BE7CDAE-9C9B-4A09-A54C-1BCB5C770359}">
      <text>
        <r>
          <rPr>
            <sz val="10"/>
            <color indexed="81"/>
            <rFont val="Lucida Console"/>
            <family val="3"/>
          </rPr>
          <t xml:space="preserve">_x000D_
Pertencia a ATA nº 211/20_x000D_
Estimativa de Renovação enviada em 02.03.2020 - Qtd 100_x000D_
</t>
        </r>
      </text>
    </comment>
    <comment ref="W354" authorId="0" shapeId="0" xr:uid="{62FA7C77-402C-420C-8A49-B5227F767415}">
      <text>
        <r>
          <rPr>
            <sz val="10"/>
            <color indexed="81"/>
            <rFont val="Lucida Console"/>
            <family val="3"/>
          </rPr>
          <t>_x000D_
Pedagógico</t>
        </r>
      </text>
    </comment>
    <comment ref="X354" authorId="0" shapeId="0" xr:uid="{5E9BEB50-4B99-4B56-987D-016374569DB6}">
      <text>
        <r>
          <rPr>
            <sz val="10"/>
            <color indexed="81"/>
            <rFont val="Lucida Console"/>
            <family val="3"/>
          </rPr>
          <t>_x000D_
MAQ., EQUIP., COMP., ACES., MAT. PARA ESCRIT.E ESCOLAR</t>
        </r>
      </text>
    </comment>
    <comment ref="Y354" authorId="0" shapeId="0" xr:uid="{7DC0F5EA-C14B-4EE4-8F0C-AF83E199B333}">
      <text>
        <r>
          <rPr>
            <sz val="10"/>
            <color indexed="81"/>
            <rFont val="Lucida Console"/>
            <family val="3"/>
          </rPr>
          <t>_x000D_
LAPIS, BORRACHA, APONTADORES, REGUAS E CORRETIVOS P/ ESCRIT.</t>
        </r>
      </text>
    </comment>
    <comment ref="AW354" authorId="0" shapeId="0" xr:uid="{07CEDE85-C2E3-4F1A-9C9B-0669B8074D84}">
      <text>
        <r>
          <rPr>
            <sz val="10"/>
            <color indexed="81"/>
            <rFont val="Lucida Console"/>
            <family val="3"/>
          </rPr>
          <t>Tempo de Estoque (Meses)_x000D_
_x000D_
289,0</t>
        </r>
      </text>
    </comment>
    <comment ref="A355" authorId="0" shapeId="0" xr:uid="{1EDBF07F-1820-4C4F-948A-A6CA4C0A1CEB}">
      <text>
        <r>
          <rPr>
            <sz val="10"/>
            <color indexed="81"/>
            <rFont val="Lucida Console"/>
            <family val="3"/>
          </rPr>
          <t>_x000D_
135703</t>
        </r>
      </text>
    </comment>
    <comment ref="B355" authorId="0" shapeId="0" xr:uid="{879D6AF3-533B-4D7F-9113-94F16FD541EE}">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355" authorId="0" shapeId="0" xr:uid="{7C7E1E81-0A8D-451C-8886-F0AC18761EB3}">
      <text>
        <r>
          <rPr>
            <sz val="10"/>
            <color indexed="81"/>
            <rFont val="Lucida Console"/>
            <family val="3"/>
          </rPr>
          <t>_x000D_
Últ estimativa : 17.800_x000D_
Enviada em     : 02.03.2020_x000D_
Ata - Venc     : 211/20 - 21.09.2021</t>
        </r>
      </text>
    </comment>
    <comment ref="O355" authorId="0" shapeId="0" xr:uid="{46302C1E-45E3-44EC-B809-A37822B81A99}">
      <text>
        <r>
          <rPr>
            <sz val="10"/>
            <color indexed="81"/>
            <rFont val="Lucida Console"/>
            <family val="3"/>
          </rPr>
          <t xml:space="preserve">_x000D_
Pertencia a ATA nº 211/20_x000D_
Estimativa de Renovação enviada em 02.03.2020 - Qtd 17.800_x000D_
</t>
        </r>
      </text>
    </comment>
    <comment ref="W355" authorId="0" shapeId="0" xr:uid="{90A4D4AC-89EF-4000-AD58-5E9A6369EA00}">
      <text>
        <r>
          <rPr>
            <sz val="10"/>
            <color indexed="81"/>
            <rFont val="Lucida Console"/>
            <family val="3"/>
          </rPr>
          <t>_x000D_
Pedagógico</t>
        </r>
      </text>
    </comment>
    <comment ref="X355" authorId="0" shapeId="0" xr:uid="{602F9A35-2984-4088-9D5C-4FEDB6FB92C2}">
      <text>
        <r>
          <rPr>
            <sz val="10"/>
            <color indexed="81"/>
            <rFont val="Lucida Console"/>
            <family val="3"/>
          </rPr>
          <t>_x000D_
MAQ., EQUIP., COMP., ACES., MAT. PARA ESCRIT.E ESCOLAR</t>
        </r>
      </text>
    </comment>
    <comment ref="Y355" authorId="0" shapeId="0" xr:uid="{D62EFA03-08B5-4933-868C-A05983A470AC}">
      <text>
        <r>
          <rPr>
            <sz val="10"/>
            <color indexed="81"/>
            <rFont val="Lucida Console"/>
            <family val="3"/>
          </rPr>
          <t>_x000D_
LAPIS, BORRACHA, APONTADORES, REGUAS E CORRETIVOS P/ ESCRIT.</t>
        </r>
      </text>
    </comment>
    <comment ref="AW355" authorId="0" shapeId="0" xr:uid="{0C8C5055-600A-4564-A416-47E5E2CCFA8A}">
      <text>
        <r>
          <rPr>
            <sz val="10"/>
            <color indexed="81"/>
            <rFont val="Lucida Console"/>
            <family val="3"/>
          </rPr>
          <t>Tempo de Estoque (Meses)_x000D_
_x000D_
6.143,0</t>
        </r>
      </text>
    </comment>
    <comment ref="A356" authorId="0" shapeId="0" xr:uid="{2D231348-36FC-4EF9-9609-19194496E88A}">
      <text>
        <r>
          <rPr>
            <sz val="10"/>
            <color indexed="81"/>
            <rFont val="Lucida Console"/>
            <family val="3"/>
          </rPr>
          <t>_x000D_
138465</t>
        </r>
      </text>
    </comment>
    <comment ref="B356" authorId="0" shapeId="0" xr:uid="{A2EB4223-2228-442F-A7F0-214F9CE8EA41}">
      <text>
        <r>
          <rPr>
            <sz val="10"/>
            <color indexed="81"/>
            <rFont val="Lucida Console"/>
            <family val="3"/>
          </rPr>
          <t>DESCRIÇÃO DETALHADA_x000D_
PASTA PLASTICA COM ELASTICO, SEM LOMBADA, MEDINDO 235 MM X 335 MM (VARIACAO DE +/- 2 MM). ATOXICA. ELASTICO DE BORRACHA REVESTIDO COM TECIDO TRANSPASSADO E TERMINAL PLASTICO, DE BOA QUALIDADE. COR: TRANSPARENTE/ CRISTAL.</t>
        </r>
      </text>
    </comment>
    <comment ref="G356" authorId="0" shapeId="0" xr:uid="{1CCA8991-BFAD-4279-955B-1E50F1E366A9}">
      <text>
        <r>
          <rPr>
            <sz val="10"/>
            <color indexed="81"/>
            <rFont val="Lucida Console"/>
            <family val="3"/>
          </rPr>
          <t>_x000D_
Últ estimativa : 9.000_x000D_
Enviada em     : 02.03.2020_x000D_
Ata - Venc     : 211/20 - 21.09.2021</t>
        </r>
      </text>
    </comment>
    <comment ref="O356" authorId="0" shapeId="0" xr:uid="{D5D88C1D-7E4A-42F4-BD8D-C09A73E02748}">
      <text>
        <r>
          <rPr>
            <sz val="10"/>
            <color indexed="81"/>
            <rFont val="Lucida Console"/>
            <family val="3"/>
          </rPr>
          <t xml:space="preserve">_x000D_
Pertencia a ATA nº 211/20_x000D_
Estimativa de Renovação enviada em 02.03.2020 - Qtd 9.000_x000D_
</t>
        </r>
      </text>
    </comment>
    <comment ref="W356" authorId="0" shapeId="0" xr:uid="{67918D4A-5E3D-40EF-8351-0DEE7D82DF24}">
      <text>
        <r>
          <rPr>
            <sz val="10"/>
            <color indexed="81"/>
            <rFont val="Lucida Console"/>
            <family val="3"/>
          </rPr>
          <t>_x000D_
Pedagógico</t>
        </r>
      </text>
    </comment>
    <comment ref="X356" authorId="0" shapeId="0" xr:uid="{19DA6F7C-55D8-499C-8121-D9AB8EC44250}">
      <text>
        <r>
          <rPr>
            <sz val="10"/>
            <color indexed="81"/>
            <rFont val="Lucida Console"/>
            <family val="3"/>
          </rPr>
          <t>_x000D_
MAQ., EQUIP., COMP., ACES., MAT. PARA ESCRIT.E ESCOLAR</t>
        </r>
      </text>
    </comment>
    <comment ref="Y356" authorId="0" shapeId="0" xr:uid="{252D838D-18BF-427F-A042-06EAC81C0649}">
      <text>
        <r>
          <rPr>
            <sz val="10"/>
            <color indexed="81"/>
            <rFont val="Lucida Console"/>
            <family val="3"/>
          </rPr>
          <t>_x000D_
LAPIS, BORRACHA, APONTADORES, REGUAS E CORRETIVOS P/ ESCRIT.</t>
        </r>
      </text>
    </comment>
    <comment ref="AW356" authorId="0" shapeId="0" xr:uid="{71AFFE17-0BB6-4D8C-8E4A-DC97A4EC4337}">
      <text>
        <r>
          <rPr>
            <sz val="10"/>
            <color indexed="81"/>
            <rFont val="Lucida Console"/>
            <family val="3"/>
          </rPr>
          <t>Tempo de Estoque (Meses)_x000D_
_x000D_
4.384,0</t>
        </r>
      </text>
    </comment>
    <comment ref="A357" authorId="0" shapeId="0" xr:uid="{B5FD9A05-1E3F-4047-8270-4A9127B7F333}">
      <text>
        <r>
          <rPr>
            <sz val="10"/>
            <color indexed="81"/>
            <rFont val="Lucida Console"/>
            <family val="3"/>
          </rPr>
          <t>_x000D_
10392</t>
        </r>
      </text>
    </comment>
    <comment ref="B357" authorId="0" shapeId="0" xr:uid="{59638D03-EE2E-40FD-9258-18F86314F78A}">
      <text>
        <r>
          <rPr>
            <sz val="10"/>
            <color indexed="81"/>
            <rFont val="Lucida Console"/>
            <family val="3"/>
          </rPr>
          <t>DESCRIÇÃO DETALHADA_x000D_
CANETA MARCA TEXTO - AMARELA</t>
        </r>
      </text>
    </comment>
    <comment ref="G357" authorId="0" shapeId="0" xr:uid="{0348F093-91A8-4CC8-B014-97FBD295F626}">
      <text>
        <r>
          <rPr>
            <sz val="10"/>
            <color indexed="81"/>
            <rFont val="Lucida Console"/>
            <family val="3"/>
          </rPr>
          <t>_x000D_
Últ estimativa : 5.000_x000D_
Enviada em     : 02.03.2020_x000D_
Ata - Venc     : 211/20 - 21.09.2021</t>
        </r>
      </text>
    </comment>
    <comment ref="O357" authorId="0" shapeId="0" xr:uid="{906B4E81-4128-45DE-9EC5-37EDF40A9C88}">
      <text>
        <r>
          <rPr>
            <sz val="10"/>
            <color indexed="81"/>
            <rFont val="Lucida Console"/>
            <family val="3"/>
          </rPr>
          <t>_x000D_
Pertencia a ATA nº 211/20_x000D_
Estimativa de Renovação enviada em 02.03.2020 - Qtd 5.000_x000D_
PE 127/20 lote _x000D_
10.08.20 = Finalizado</t>
        </r>
      </text>
    </comment>
    <comment ref="W357" authorId="0" shapeId="0" xr:uid="{719BDFCB-AC46-47EE-8EB5-82832F763977}">
      <text>
        <r>
          <rPr>
            <sz val="10"/>
            <color indexed="81"/>
            <rFont val="Lucida Console"/>
            <family val="3"/>
          </rPr>
          <t>_x000D_
Pedagógico</t>
        </r>
      </text>
    </comment>
    <comment ref="X357" authorId="0" shapeId="0" xr:uid="{C8CB825B-E46A-49CC-920D-3BC3B2E9FA57}">
      <text>
        <r>
          <rPr>
            <sz val="10"/>
            <color indexed="81"/>
            <rFont val="Lucida Console"/>
            <family val="3"/>
          </rPr>
          <t>_x000D_
MAQ., EQUIP., COMP., ACES., MAT. PARA ESCRIT.E ESCOLAR</t>
        </r>
      </text>
    </comment>
    <comment ref="Y357" authorId="0" shapeId="0" xr:uid="{661D639C-BDB3-4788-9353-54FAF80BC4AF}">
      <text>
        <r>
          <rPr>
            <sz val="10"/>
            <color indexed="81"/>
            <rFont val="Lucida Console"/>
            <family val="3"/>
          </rPr>
          <t>_x000D_
CANETAS</t>
        </r>
      </text>
    </comment>
    <comment ref="AW357" authorId="0" shapeId="0" xr:uid="{0E9CFECE-58F4-4FEF-BB2C-217789210B3B}">
      <text>
        <r>
          <rPr>
            <sz val="10"/>
            <color indexed="81"/>
            <rFont val="Lucida Console"/>
            <family val="3"/>
          </rPr>
          <t>Tempo de Estoque (Meses)_x000D_
_x000D_
4.300,0</t>
        </r>
      </text>
    </comment>
    <comment ref="A358" authorId="0" shapeId="0" xr:uid="{7938AD5B-B7AF-4B8D-9674-DF80E31FC7A3}">
      <text>
        <r>
          <rPr>
            <sz val="10"/>
            <color indexed="81"/>
            <rFont val="Lucida Console"/>
            <family val="3"/>
          </rPr>
          <t>_x000D_
11590</t>
        </r>
      </text>
    </comment>
    <comment ref="B358" authorId="0" shapeId="0" xr:uid="{D735C356-390A-451E-B146-BBF582A5BDFE}">
      <text>
        <r>
          <rPr>
            <sz val="10"/>
            <color indexed="81"/>
            <rFont val="Lucida Console"/>
            <family val="3"/>
          </rPr>
          <t>DESCRIÇÃO DETALHADA_x000D_
PINCEL ATOMICO PONTA RETANGULAR 5 X 8MM - CHANFRADA COR VERMELHA</t>
        </r>
      </text>
    </comment>
    <comment ref="G358" authorId="0" shapeId="0" xr:uid="{3296FAA1-4D29-41D2-B755-91EF8F9DA187}">
      <text>
        <r>
          <rPr>
            <sz val="10"/>
            <color indexed="81"/>
            <rFont val="Lucida Console"/>
            <family val="3"/>
          </rPr>
          <t>_x000D_
Últ estimativa : 5.000_x000D_
Enviada em     : 02.03.2020_x000D_
Ata - Venc     : 211/20 - 21.09.2021</t>
        </r>
      </text>
    </comment>
    <comment ref="O358" authorId="0" shapeId="0" xr:uid="{C4AC5951-94DA-4438-8173-278359E91EAA}">
      <text>
        <r>
          <rPr>
            <sz val="10"/>
            <color indexed="81"/>
            <rFont val="Lucida Console"/>
            <family val="3"/>
          </rPr>
          <t xml:space="preserve">_x000D_
Pertencia a ATA nº 211/20_x000D_
Estimativa de Renovação enviada em 02.03.2020 - Qtd 5.000_x000D_
</t>
        </r>
      </text>
    </comment>
    <comment ref="W358" authorId="0" shapeId="0" xr:uid="{01B6E043-6D58-4228-B708-36E7DE813DF8}">
      <text>
        <r>
          <rPr>
            <sz val="10"/>
            <color indexed="81"/>
            <rFont val="Lucida Console"/>
            <family val="3"/>
          </rPr>
          <t>_x000D_
Pedagógico</t>
        </r>
      </text>
    </comment>
    <comment ref="X358" authorId="0" shapeId="0" xr:uid="{0FF87701-B09F-40D3-9ED5-01E9D92FAAAD}">
      <text>
        <r>
          <rPr>
            <sz val="10"/>
            <color indexed="81"/>
            <rFont val="Lucida Console"/>
            <family val="3"/>
          </rPr>
          <t>_x000D_
MAQ., EQUIP., COMP., ACES., MAT. PARA ESCRIT.E ESCOLAR</t>
        </r>
      </text>
    </comment>
    <comment ref="Y358" authorId="0" shapeId="0" xr:uid="{B6F22AF6-129F-43CA-8033-27E0BE518E38}">
      <text>
        <r>
          <rPr>
            <sz val="10"/>
            <color indexed="81"/>
            <rFont val="Lucida Console"/>
            <family val="3"/>
          </rPr>
          <t>_x000D_
CANETAS</t>
        </r>
      </text>
    </comment>
    <comment ref="AW358" authorId="0" shapeId="0" xr:uid="{2CDA658B-FBA5-49CD-B669-A5DE420B5BE8}">
      <text>
        <r>
          <rPr>
            <sz val="10"/>
            <color indexed="81"/>
            <rFont val="Lucida Console"/>
            <family val="3"/>
          </rPr>
          <t>Tempo de Estoque (Meses)_x000D_
_x000D_
2.200,0</t>
        </r>
      </text>
    </comment>
    <comment ref="A359" authorId="0" shapeId="0" xr:uid="{F5B350D5-4CAA-464B-9FAE-CFB3F20637F9}">
      <text>
        <r>
          <rPr>
            <sz val="10"/>
            <color indexed="81"/>
            <rFont val="Lucida Console"/>
            <family val="3"/>
          </rPr>
          <t>_x000D_
77755</t>
        </r>
      </text>
    </comment>
    <comment ref="B359" authorId="0" shapeId="0" xr:uid="{42BE741D-1BF5-412A-8273-3515DECEE5CA}">
      <text>
        <r>
          <rPr>
            <sz val="10"/>
            <color indexed="81"/>
            <rFont val="Lucida Console"/>
            <family val="3"/>
          </rPr>
          <t>DESCRIÇÃO DETALHADA_x000D_
PINCEL ATOMICO PONTA RETANGULAR 5 X 8 MM, CHANFRADA - COR PRETA</t>
        </r>
      </text>
    </comment>
    <comment ref="G359" authorId="0" shapeId="0" xr:uid="{8856A7E2-630B-4E90-92E4-253757B2B661}">
      <text>
        <r>
          <rPr>
            <sz val="10"/>
            <color indexed="81"/>
            <rFont val="Lucida Console"/>
            <family val="3"/>
          </rPr>
          <t>_x000D_
Últ estimativa : 5.000_x000D_
Enviada em     : 02.03.2020_x000D_
Ata - Venc     : 211/20 - 21.09.2021</t>
        </r>
      </text>
    </comment>
    <comment ref="O359" authorId="0" shapeId="0" xr:uid="{C757BF0B-8312-4DAE-AB8B-C330D59C83A8}">
      <text>
        <r>
          <rPr>
            <sz val="10"/>
            <color indexed="81"/>
            <rFont val="Lucida Console"/>
            <family val="3"/>
          </rPr>
          <t xml:space="preserve">_x000D_
Pertencia a ATA nº 211/20_x000D_
Estimativa de Renovação enviada em 02.03.2020 - Qtd 5.000_x000D_
</t>
        </r>
      </text>
    </comment>
    <comment ref="W359" authorId="0" shapeId="0" xr:uid="{C2B009A9-7F09-47F4-8B4C-2D6753887B30}">
      <text>
        <r>
          <rPr>
            <sz val="10"/>
            <color indexed="81"/>
            <rFont val="Lucida Console"/>
            <family val="3"/>
          </rPr>
          <t>_x000D_
Pedagógico</t>
        </r>
      </text>
    </comment>
    <comment ref="X359" authorId="0" shapeId="0" xr:uid="{F9964536-E047-4261-A0A0-88675D619B68}">
      <text>
        <r>
          <rPr>
            <sz val="10"/>
            <color indexed="81"/>
            <rFont val="Lucida Console"/>
            <family val="3"/>
          </rPr>
          <t>_x000D_
MAQ., EQUIP., COMP., ACES., MAT. PARA ESCRIT.E ESCOLAR</t>
        </r>
      </text>
    </comment>
    <comment ref="Y359" authorId="0" shapeId="0" xr:uid="{24D9E775-925E-4603-9069-2D940655460B}">
      <text>
        <r>
          <rPr>
            <sz val="10"/>
            <color indexed="81"/>
            <rFont val="Lucida Console"/>
            <family val="3"/>
          </rPr>
          <t>_x000D_
CANETAS</t>
        </r>
      </text>
    </comment>
    <comment ref="AW359" authorId="0" shapeId="0" xr:uid="{5753FBE2-09E4-438E-8F5E-15D63BAA3743}">
      <text>
        <r>
          <rPr>
            <sz val="10"/>
            <color indexed="81"/>
            <rFont val="Lucida Console"/>
            <family val="3"/>
          </rPr>
          <t>Tempo de Estoque (Meses)_x000D_
_x000D_
2.500,0</t>
        </r>
      </text>
    </comment>
    <comment ref="A360" authorId="0" shapeId="0" xr:uid="{D2AECE6E-1151-413D-B180-B2D981D2D18A}">
      <text>
        <r>
          <rPr>
            <sz val="10"/>
            <color indexed="81"/>
            <rFont val="Lucida Console"/>
            <family val="3"/>
          </rPr>
          <t>_x000D_
138459</t>
        </r>
      </text>
    </comment>
    <comment ref="B360" authorId="0" shapeId="0" xr:uid="{616C2F05-FF04-4334-B017-FBA8D93448EF}">
      <text>
        <r>
          <rPr>
            <sz val="10"/>
            <color indexed="81"/>
            <rFont val="Lucida Console"/>
            <family val="3"/>
          </rPr>
          <t>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360" authorId="0" shapeId="0" xr:uid="{C82053A1-12C5-43BB-AA13-E6284CBD4401}">
      <text>
        <r>
          <rPr>
            <sz val="10"/>
            <color indexed="81"/>
            <rFont val="Lucida Console"/>
            <family val="3"/>
          </rPr>
          <t>_x000D_
Últ estimativa : 30.000_x000D_
Enviada em     : 02.03.2020_x000D_
Ata - Venc     : 211/20 - 21.09.2021</t>
        </r>
      </text>
    </comment>
    <comment ref="O360" authorId="0" shapeId="0" xr:uid="{4F4BD797-E987-4FAA-AC22-96D6A464EFAE}">
      <text>
        <r>
          <rPr>
            <sz val="10"/>
            <color indexed="81"/>
            <rFont val="Lucida Console"/>
            <family val="3"/>
          </rPr>
          <t xml:space="preserve">_x000D_
Pertencia a ATA nº 211/20_x000D_
Estimativa de Renovação enviada em 02.03.2020 - Qtd 30.000_x000D_
</t>
        </r>
      </text>
    </comment>
    <comment ref="W360" authorId="0" shapeId="0" xr:uid="{48A00D20-5202-4D6F-8903-0A2841B5D271}">
      <text>
        <r>
          <rPr>
            <sz val="10"/>
            <color indexed="81"/>
            <rFont val="Lucida Console"/>
            <family val="3"/>
          </rPr>
          <t>_x000D_
Pedagógico</t>
        </r>
      </text>
    </comment>
    <comment ref="X360" authorId="0" shapeId="0" xr:uid="{AFC3B99F-D4BB-48D2-96C5-DE70FF1A075E}">
      <text>
        <r>
          <rPr>
            <sz val="10"/>
            <color indexed="81"/>
            <rFont val="Lucida Console"/>
            <family val="3"/>
          </rPr>
          <t>_x000D_
MAQ., EQUIP., COMP., ACES., MAT. PARA ESCRIT.E ESCOLAR</t>
        </r>
      </text>
    </comment>
    <comment ref="Y360" authorId="0" shapeId="0" xr:uid="{D9BB28F2-0F56-452D-B6E5-411F78785B8D}">
      <text>
        <r>
          <rPr>
            <sz val="10"/>
            <color indexed="81"/>
            <rFont val="Lucida Console"/>
            <family val="3"/>
          </rPr>
          <t>_x000D_
CANETAS</t>
        </r>
      </text>
    </comment>
    <comment ref="AW360" authorId="0" shapeId="0" xr:uid="{883A0F99-7E36-4AA3-AC0D-458092544DE4}">
      <text>
        <r>
          <rPr>
            <sz val="10"/>
            <color indexed="81"/>
            <rFont val="Lucida Console"/>
            <family val="3"/>
          </rPr>
          <t>Tempo de Estoque (Meses)_x000D_
_x000D_
36.881,0</t>
        </r>
      </text>
    </comment>
    <comment ref="A361" authorId="0" shapeId="0" xr:uid="{85873151-FC6B-43D2-9793-528BE48E791F}">
      <text>
        <r>
          <rPr>
            <sz val="10"/>
            <color indexed="81"/>
            <rFont val="Lucida Console"/>
            <family val="3"/>
          </rPr>
          <t>_x000D_
138460</t>
        </r>
      </text>
    </comment>
    <comment ref="B361" authorId="0" shapeId="0" xr:uid="{2BEFE990-2C8F-4A73-A23B-1EFE27AF7302}">
      <text>
        <r>
          <rPr>
            <sz val="10"/>
            <color indexed="81"/>
            <rFont val="Lucida Console"/>
            <family val="3"/>
          </rPr>
          <t>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361" authorId="0" shapeId="0" xr:uid="{027A23D5-BA90-4F74-93EE-9BEEA51FDD68}">
      <text>
        <r>
          <rPr>
            <sz val="10"/>
            <color indexed="81"/>
            <rFont val="Lucida Console"/>
            <family val="3"/>
          </rPr>
          <t>_x000D_
Últ estimativa : 18.000_x000D_
Enviada em     : 02.03.2020_x000D_
Ata - Venc     : 211/20 - 21.09.2021</t>
        </r>
      </text>
    </comment>
    <comment ref="O361" authorId="0" shapeId="0" xr:uid="{830F7E50-7256-4FB5-A5FC-9F4DE2218CA7}">
      <text>
        <r>
          <rPr>
            <sz val="10"/>
            <color indexed="81"/>
            <rFont val="Lucida Console"/>
            <family val="3"/>
          </rPr>
          <t xml:space="preserve">_x000D_
Pertencia a ATA nº 211/20_x000D_
Estimativa de Renovação enviada em 02.03.2020 - Qtd 18.000_x000D_
</t>
        </r>
      </text>
    </comment>
    <comment ref="W361" authorId="0" shapeId="0" xr:uid="{4F0EC2F7-0191-4B0D-9499-8FCD76C92E16}">
      <text>
        <r>
          <rPr>
            <sz val="10"/>
            <color indexed="81"/>
            <rFont val="Lucida Console"/>
            <family val="3"/>
          </rPr>
          <t>_x000D_
Pedagógico</t>
        </r>
      </text>
    </comment>
    <comment ref="X361" authorId="0" shapeId="0" xr:uid="{6C53AEF5-5576-40D9-B0E2-1F8C47C808E5}">
      <text>
        <r>
          <rPr>
            <sz val="10"/>
            <color indexed="81"/>
            <rFont val="Lucida Console"/>
            <family val="3"/>
          </rPr>
          <t>_x000D_
MAQ., EQUIP., COMP., ACES., MAT. PARA ESCRIT.E ESCOLAR</t>
        </r>
      </text>
    </comment>
    <comment ref="Y361" authorId="0" shapeId="0" xr:uid="{B6361DDC-421A-4E21-9016-771B6E68FB80}">
      <text>
        <r>
          <rPr>
            <sz val="10"/>
            <color indexed="81"/>
            <rFont val="Lucida Console"/>
            <family val="3"/>
          </rPr>
          <t>_x000D_
CANETAS</t>
        </r>
      </text>
    </comment>
    <comment ref="AW361" authorId="0" shapeId="0" xr:uid="{4C7A292B-8F30-4322-B47B-415A1463AB73}">
      <text>
        <r>
          <rPr>
            <sz val="10"/>
            <color indexed="81"/>
            <rFont val="Lucida Console"/>
            <family val="3"/>
          </rPr>
          <t>Tempo de Estoque (Meses)_x000D_
_x000D_
3.356,0</t>
        </r>
      </text>
    </comment>
    <comment ref="A362" authorId="0" shapeId="0" xr:uid="{467C1819-29A0-4F14-86BA-DCC16F507ED5}">
      <text>
        <r>
          <rPr>
            <sz val="10"/>
            <color indexed="81"/>
            <rFont val="Lucida Console"/>
            <family val="3"/>
          </rPr>
          <t>_x000D_
11857</t>
        </r>
      </text>
    </comment>
    <comment ref="B362" authorId="0" shapeId="0" xr:uid="{7F8D8E63-9A78-4B8A-BF9D-212FD1FB4FC0}">
      <text>
        <r>
          <rPr>
            <sz val="10"/>
            <color indexed="81"/>
            <rFont val="Lucida Console"/>
            <family val="3"/>
          </rPr>
          <t>DESCRIÇÃO DETALHADA_x000D_
ENVELOPE PARDO TIPO SACO - 162 X 229MM- GRAMATURA MINIMA 80 G/M²</t>
        </r>
      </text>
    </comment>
    <comment ref="G362" authorId="0" shapeId="0" xr:uid="{B6F237A4-1E22-44A6-936E-0875DF47D431}">
      <text>
        <r>
          <rPr>
            <sz val="10"/>
            <color indexed="81"/>
            <rFont val="Lucida Console"/>
            <family val="3"/>
          </rPr>
          <t>_x000D_
Últ estimativa : 10.000_x000D_
Enviada em     : 02.03.2020_x000D_
Ata - Venc     : 211/20 - 21.09.2021</t>
        </r>
      </text>
    </comment>
    <comment ref="O362" authorId="0" shapeId="0" xr:uid="{A9C1F0A9-72B6-4DD3-9B24-FAE532DE8AE7}">
      <text>
        <r>
          <rPr>
            <sz val="10"/>
            <color indexed="81"/>
            <rFont val="Lucida Console"/>
            <family val="3"/>
          </rPr>
          <t xml:space="preserve">_x000D_
Pertencia a ATA nº 211/20_x000D_
Estimativa de Renovação enviada em 02.03.2020 - Qtd 10.000_x000D_
</t>
        </r>
      </text>
    </comment>
    <comment ref="W362" authorId="0" shapeId="0" xr:uid="{D2F7327B-4001-44C8-8E98-EE62BC07EAE0}">
      <text>
        <r>
          <rPr>
            <sz val="10"/>
            <color indexed="81"/>
            <rFont val="Lucida Console"/>
            <family val="3"/>
          </rPr>
          <t>_x000D_
Pedagógico</t>
        </r>
      </text>
    </comment>
    <comment ref="X362" authorId="0" shapeId="0" xr:uid="{8550A772-B9E2-4BA5-B86B-76A688CAAC46}">
      <text>
        <r>
          <rPr>
            <sz val="10"/>
            <color indexed="81"/>
            <rFont val="Lucida Console"/>
            <family val="3"/>
          </rPr>
          <t>_x000D_
MAQ., EQUIP., COMP., ACES., MAT. PARA ESCRIT.E ESCOLAR</t>
        </r>
      </text>
    </comment>
    <comment ref="Y362" authorId="0" shapeId="0" xr:uid="{BC2CB4D9-8F4E-42CC-8E73-DBC9C7634A50}">
      <text>
        <r>
          <rPr>
            <sz val="10"/>
            <color indexed="81"/>
            <rFont val="Lucida Console"/>
            <family val="3"/>
          </rPr>
          <t>_x000D_
CAPAS, CLASSIF., PRANCHETAS, CADERNOS, ENVELOPES, PASTAS, FICHAS, LIVROS</t>
        </r>
      </text>
    </comment>
    <comment ref="AW362" authorId="0" shapeId="0" xr:uid="{9386224D-DD63-4F80-B6E8-F6753C0B8C94}">
      <text>
        <r>
          <rPr>
            <sz val="10"/>
            <color indexed="81"/>
            <rFont val="Lucida Console"/>
            <family val="3"/>
          </rPr>
          <t>Tempo de Estoque (Meses)_x000D_
_x000D_
20.140,0</t>
        </r>
      </text>
    </comment>
    <comment ref="A363" authorId="0" shapeId="0" xr:uid="{31DFA8DB-242E-41FE-AD20-DAA75AC4468E}">
      <text>
        <r>
          <rPr>
            <sz val="10"/>
            <color indexed="81"/>
            <rFont val="Lucida Console"/>
            <family val="3"/>
          </rPr>
          <t>_x000D_
12018</t>
        </r>
      </text>
    </comment>
    <comment ref="B363" authorId="0" shapeId="0" xr:uid="{253197DF-8425-4048-B6B0-9FD988CCCF79}">
      <text>
        <r>
          <rPr>
            <sz val="10"/>
            <color indexed="81"/>
            <rFont val="Lucida Console"/>
            <family val="3"/>
          </rPr>
          <t>DESCRIÇÃO DETALHADA_x000D_
LIVRO P/ REGISTRO DE CORRESPONDENCIA - 100 FOLHAS - CAPA DURA - MED. 160 X 220 MM</t>
        </r>
      </text>
    </comment>
    <comment ref="G363" authorId="0" shapeId="0" xr:uid="{90D53418-783D-41F6-8E50-FD33612FD4B8}">
      <text>
        <r>
          <rPr>
            <sz val="10"/>
            <color indexed="81"/>
            <rFont val="Lucida Console"/>
            <family val="3"/>
          </rPr>
          <t>_x000D_
Últ estimativa : 800_x000D_
Enviada em     : 02.03.2020_x000D_
Ata - Venc     : 211/20 - 21.09.2021</t>
        </r>
      </text>
    </comment>
    <comment ref="O363" authorId="0" shapeId="0" xr:uid="{7FD99A4E-6314-4DAD-8AC9-3A89A79057CC}">
      <text>
        <r>
          <rPr>
            <sz val="10"/>
            <color indexed="81"/>
            <rFont val="Lucida Console"/>
            <family val="3"/>
          </rPr>
          <t xml:space="preserve">_x000D_
Pertencia a ATA nº 211/20_x000D_
Estimativa de Renovação enviada em 02.03.2020 - Qtd 800_x000D_
</t>
        </r>
      </text>
    </comment>
    <comment ref="W363" authorId="0" shapeId="0" xr:uid="{5B51AEA5-92FC-4161-8FDE-C17732BFB7DC}">
      <text>
        <r>
          <rPr>
            <sz val="10"/>
            <color indexed="81"/>
            <rFont val="Lucida Console"/>
            <family val="3"/>
          </rPr>
          <t>_x000D_
Pedagógico</t>
        </r>
      </text>
    </comment>
    <comment ref="X363" authorId="0" shapeId="0" xr:uid="{85B5B30A-9E52-4A7D-B269-2B1A109A7D79}">
      <text>
        <r>
          <rPr>
            <sz val="10"/>
            <color indexed="81"/>
            <rFont val="Lucida Console"/>
            <family val="3"/>
          </rPr>
          <t>_x000D_
MAQ., EQUIP., COMP., ACES., MAT. PARA ESCRIT.E ESCOLAR</t>
        </r>
      </text>
    </comment>
    <comment ref="Y363" authorId="0" shapeId="0" xr:uid="{D674901B-420E-4F70-820A-4E973E3178F4}">
      <text>
        <r>
          <rPr>
            <sz val="10"/>
            <color indexed="81"/>
            <rFont val="Lucida Console"/>
            <family val="3"/>
          </rPr>
          <t>_x000D_
CAPAS, CLASSIF., PRANCHETAS, CADERNOS, ENVELOPES, PASTAS, FICHAS, LIVROS</t>
        </r>
      </text>
    </comment>
    <comment ref="AW363" authorId="0" shapeId="0" xr:uid="{FBBA4392-45D3-4D9E-8CEA-31A6928905D5}">
      <text>
        <r>
          <rPr>
            <sz val="10"/>
            <color indexed="81"/>
            <rFont val="Lucida Console"/>
            <family val="3"/>
          </rPr>
          <t>Tempo de Estoque (Meses)_x000D_
_x000D_
2.857,0</t>
        </r>
      </text>
    </comment>
    <comment ref="A364" authorId="0" shapeId="0" xr:uid="{8A0EF366-FBE6-410A-B141-5152F36B6AFC}">
      <text>
        <r>
          <rPr>
            <sz val="10"/>
            <color indexed="81"/>
            <rFont val="Lucida Console"/>
            <family val="3"/>
          </rPr>
          <t>_x000D_
12613</t>
        </r>
      </text>
    </comment>
    <comment ref="B364" authorId="0" shapeId="0" xr:uid="{B1B35D42-784A-47FA-90CC-38892EB0130E}">
      <text>
        <r>
          <rPr>
            <sz val="10"/>
            <color indexed="81"/>
            <rFont val="Lucida Console"/>
            <family val="3"/>
          </rPr>
          <t>DESCRIÇÃO DETALHADA_x000D_
ENVELOPE PARDO TIPO SACO 240 X 340MM- GRAMATURA MINIMA 80 G/M²</t>
        </r>
      </text>
    </comment>
    <comment ref="G364" authorId="0" shapeId="0" xr:uid="{3D0B0700-DF90-4D81-8E90-CF92E7048D71}">
      <text>
        <r>
          <rPr>
            <sz val="10"/>
            <color indexed="81"/>
            <rFont val="Lucida Console"/>
            <family val="3"/>
          </rPr>
          <t>_x000D_
Últ estimativa : 35.000_x000D_
Enviada em     : 02.03.2020_x000D_
Ata - Venc     : 211/20 - 21.09.2021</t>
        </r>
      </text>
    </comment>
    <comment ref="O364" authorId="0" shapeId="0" xr:uid="{5C9EE8F7-FB96-4EAE-9861-5E3C9C299FFF}">
      <text>
        <r>
          <rPr>
            <sz val="10"/>
            <color indexed="81"/>
            <rFont val="Lucida Console"/>
            <family val="3"/>
          </rPr>
          <t xml:space="preserve">_x000D_
Pertencia a ATA nº 211/20_x000D_
Estimativa de Renovação enviada em 02.03.2020 - Qtd 35.000_x000D_
</t>
        </r>
      </text>
    </comment>
    <comment ref="W364" authorId="0" shapeId="0" xr:uid="{A77E7445-903B-4972-A3AC-465540D7801C}">
      <text>
        <r>
          <rPr>
            <sz val="10"/>
            <color indexed="81"/>
            <rFont val="Lucida Console"/>
            <family val="3"/>
          </rPr>
          <t>_x000D_
Pedagógico</t>
        </r>
      </text>
    </comment>
    <comment ref="X364" authorId="0" shapeId="0" xr:uid="{13871A15-FCCA-4522-952B-26495B314929}">
      <text>
        <r>
          <rPr>
            <sz val="10"/>
            <color indexed="81"/>
            <rFont val="Lucida Console"/>
            <family val="3"/>
          </rPr>
          <t>_x000D_
MAQ., EQUIP., COMP., ACES., MAT. PARA ESCRIT.E ESCOLAR</t>
        </r>
      </text>
    </comment>
    <comment ref="Y364" authorId="0" shapeId="0" xr:uid="{3BED79A1-3B83-4B1E-98FA-BCC7D4444818}">
      <text>
        <r>
          <rPr>
            <sz val="10"/>
            <color indexed="81"/>
            <rFont val="Lucida Console"/>
            <family val="3"/>
          </rPr>
          <t>_x000D_
CAPAS, CLASSIF., PRANCHETAS, CADERNOS, ENVELOPES, PASTAS, FICHAS, LIVROS</t>
        </r>
      </text>
    </comment>
    <comment ref="AW364" authorId="0" shapeId="0" xr:uid="{B7451009-BC3A-47A8-BC0B-C0B9F1253BB7}">
      <text>
        <r>
          <rPr>
            <sz val="10"/>
            <color indexed="81"/>
            <rFont val="Lucida Console"/>
            <family val="3"/>
          </rPr>
          <t>Tempo de Estoque (Meses)_x000D_
_x000D_
103.967,0</t>
        </r>
      </text>
    </comment>
    <comment ref="A365" authorId="0" shapeId="0" xr:uid="{10DF7B5A-81C1-4F04-9FA4-BD4D5A116E4D}">
      <text>
        <r>
          <rPr>
            <sz val="10"/>
            <color indexed="81"/>
            <rFont val="Lucida Console"/>
            <family val="3"/>
          </rPr>
          <t>_x000D_
12614</t>
        </r>
      </text>
    </comment>
    <comment ref="B365" authorId="0" shapeId="0" xr:uid="{97E81009-5F60-42C8-BEC6-3A11C257C63E}">
      <text>
        <r>
          <rPr>
            <sz val="10"/>
            <color indexed="81"/>
            <rFont val="Lucida Console"/>
            <family val="3"/>
          </rPr>
          <t>DESCRIÇÃO DETALHADA_x000D_
ENVELOPE PARDO TIPO SACO 310  X 410 MM- GRAMATURA MINIMA 80 G/M²</t>
        </r>
      </text>
    </comment>
    <comment ref="G365" authorId="0" shapeId="0" xr:uid="{E1853393-818A-4C64-9B88-87D88453B048}">
      <text>
        <r>
          <rPr>
            <sz val="10"/>
            <color indexed="81"/>
            <rFont val="Lucida Console"/>
            <family val="3"/>
          </rPr>
          <t>_x000D_
Últ estimativa : 22.000_x000D_
Enviada em     : 02.03.2020_x000D_
Ata - Venc     : 211/20 - 21.09.2021</t>
        </r>
      </text>
    </comment>
    <comment ref="O365" authorId="0" shapeId="0" xr:uid="{F4C23D0B-A2E1-4B40-8BEF-1271C85D8E4F}">
      <text>
        <r>
          <rPr>
            <sz val="10"/>
            <color indexed="81"/>
            <rFont val="Lucida Console"/>
            <family val="3"/>
          </rPr>
          <t xml:space="preserve">_x000D_
Pertencia a ATA nº 211/20_x000D_
Estimativa de Renovação enviada em 02.03.2020 - Qtd 22.000_x000D_
</t>
        </r>
      </text>
    </comment>
    <comment ref="W365" authorId="0" shapeId="0" xr:uid="{D6C091D3-0FDD-4CED-AFA4-B898E2C8992D}">
      <text>
        <r>
          <rPr>
            <sz val="10"/>
            <color indexed="81"/>
            <rFont val="Lucida Console"/>
            <family val="3"/>
          </rPr>
          <t>_x000D_
Pedagógico</t>
        </r>
      </text>
    </comment>
    <comment ref="X365" authorId="0" shapeId="0" xr:uid="{75AFD291-9B47-4E41-9F84-02F06C6AB1E2}">
      <text>
        <r>
          <rPr>
            <sz val="10"/>
            <color indexed="81"/>
            <rFont val="Lucida Console"/>
            <family val="3"/>
          </rPr>
          <t>_x000D_
MAQ., EQUIP., COMP., ACES., MAT. PARA ESCRIT.E ESCOLAR</t>
        </r>
      </text>
    </comment>
    <comment ref="Y365" authorId="0" shapeId="0" xr:uid="{438B1BFF-D1F5-4B0E-9119-CBB66473EADD}">
      <text>
        <r>
          <rPr>
            <sz val="10"/>
            <color indexed="81"/>
            <rFont val="Lucida Console"/>
            <family val="3"/>
          </rPr>
          <t>_x000D_
CAPAS, CLASSIF., PRANCHETAS, CADERNOS, ENVELOPES, PASTAS, FICHAS, LIVROS</t>
        </r>
      </text>
    </comment>
    <comment ref="AW365" authorId="0" shapeId="0" xr:uid="{D4FF76A8-60CF-4966-8C3A-1ACE27003DF6}">
      <text>
        <r>
          <rPr>
            <sz val="10"/>
            <color indexed="81"/>
            <rFont val="Lucida Console"/>
            <family val="3"/>
          </rPr>
          <t>Tempo de Estoque (Meses)_x000D_
_x000D_
1.800,0</t>
        </r>
      </text>
    </comment>
    <comment ref="A366" authorId="0" shapeId="0" xr:uid="{45464265-F4CD-4AEC-AFCC-70765B486F31}">
      <text>
        <r>
          <rPr>
            <sz val="10"/>
            <color indexed="81"/>
            <rFont val="Lucida Console"/>
            <family val="3"/>
          </rPr>
          <t>_x000D_
13768</t>
        </r>
      </text>
    </comment>
    <comment ref="B366" authorId="0" shapeId="0" xr:uid="{99B7E244-7582-4AE3-8A84-64BFDDF10FAC}">
      <text>
        <r>
          <rPr>
            <sz val="10"/>
            <color indexed="81"/>
            <rFont val="Lucida Console"/>
            <family val="3"/>
          </rPr>
          <t>DESCRIÇÃO DETALHADA_x000D_
CAIXA PARA ARQUIVO MORTO EM POLIONDA - MED. 25 ALT X 35 COMP X 13 CM LARG</t>
        </r>
      </text>
    </comment>
    <comment ref="G366" authorId="0" shapeId="0" xr:uid="{FF584077-C834-4126-80E7-BC677F3ADB4D}">
      <text>
        <r>
          <rPr>
            <sz val="10"/>
            <color indexed="81"/>
            <rFont val="Lucida Console"/>
            <family val="3"/>
          </rPr>
          <t>_x000D_
Últ estimativa : 10.000_x000D_
Enviada em     : 02.03.2020_x000D_
Ata - Venc     : 211/20 - 21.09.2021</t>
        </r>
      </text>
    </comment>
    <comment ref="O366" authorId="0" shapeId="0" xr:uid="{192209FE-C81D-4D18-9C10-0A12F2577F81}">
      <text>
        <r>
          <rPr>
            <sz val="10"/>
            <color indexed="81"/>
            <rFont val="Lucida Console"/>
            <family val="3"/>
          </rPr>
          <t xml:space="preserve">_x000D_
Pertencia a ATA nº 211/20_x000D_
Estimativa de Renovação enviada em 02.03.2020 - Qtd 10.000_x000D_
</t>
        </r>
      </text>
    </comment>
    <comment ref="W366" authorId="0" shapeId="0" xr:uid="{25CC6393-3075-4B6E-B0C0-56656A2E471B}">
      <text>
        <r>
          <rPr>
            <sz val="10"/>
            <color indexed="81"/>
            <rFont val="Lucida Console"/>
            <family val="3"/>
          </rPr>
          <t>_x000D_
Pedagógico</t>
        </r>
      </text>
    </comment>
    <comment ref="X366" authorId="0" shapeId="0" xr:uid="{148DBA0F-AF0C-4453-87E4-710C69273069}">
      <text>
        <r>
          <rPr>
            <sz val="10"/>
            <color indexed="81"/>
            <rFont val="Lucida Console"/>
            <family val="3"/>
          </rPr>
          <t>_x000D_
MAQ., EQUIP., COMP., ACES., MAT. PARA ESCRIT.E ESCOLAR</t>
        </r>
      </text>
    </comment>
    <comment ref="Y366" authorId="0" shapeId="0" xr:uid="{94572CA1-77CC-4CF3-AB33-DC94ADB5AE5F}">
      <text>
        <r>
          <rPr>
            <sz val="10"/>
            <color indexed="81"/>
            <rFont val="Lucida Console"/>
            <family val="3"/>
          </rPr>
          <t>_x000D_
CAPAS, CLASSIF., PRANCHETAS, CADERNOS, ENVELOPES, PASTAS, FICHAS, LIVROS</t>
        </r>
      </text>
    </comment>
    <comment ref="AW366" authorId="0" shapeId="0" xr:uid="{14327D95-7508-40C4-B9C4-6D8E4CCDB5AB}">
      <text>
        <r>
          <rPr>
            <sz val="10"/>
            <color indexed="81"/>
            <rFont val="Lucida Console"/>
            <family val="3"/>
          </rPr>
          <t>Tempo de Estoque (Meses)_x000D_
_x000D_
1.086,0</t>
        </r>
      </text>
    </comment>
    <comment ref="A367" authorId="0" shapeId="0" xr:uid="{BBF37DC5-7053-48BB-A83F-5CB3032EB9F3}">
      <text>
        <r>
          <rPr>
            <sz val="10"/>
            <color indexed="81"/>
            <rFont val="Lucida Console"/>
            <family val="3"/>
          </rPr>
          <t>_x000D_
133451</t>
        </r>
      </text>
    </comment>
    <comment ref="B367" authorId="0" shapeId="0" xr:uid="{CD4B4A78-549E-4F89-86AD-9898E54475DB}">
      <text>
        <r>
          <rPr>
            <sz val="10"/>
            <color indexed="81"/>
            <rFont val="Lucida Console"/>
            <family val="3"/>
          </rPr>
          <t>DESCRIÇÃO DETALHADA_x000D_
LIVRO DE ATA, CAPA DURA, COM 100 FOLHAS - MEDIDA: 206 X 300 MM (VARIACAO +/- 6 MM)</t>
        </r>
      </text>
    </comment>
    <comment ref="G367" authorId="0" shapeId="0" xr:uid="{206E8316-27EA-42E9-B86D-EE7939D02BE5}">
      <text>
        <r>
          <rPr>
            <sz val="10"/>
            <color indexed="81"/>
            <rFont val="Lucida Console"/>
            <family val="3"/>
          </rPr>
          <t>_x000D_
Últ estimativa : 0_x000D_
Enviada em     : 02.03.2020_x000D_
Ata - Venc     : 211/20 - 21.09.2021</t>
        </r>
      </text>
    </comment>
    <comment ref="O367" authorId="0" shapeId="0" xr:uid="{9DB611C3-FC47-4426-85F5-ACE44E8DE137}">
      <text>
        <r>
          <rPr>
            <sz val="10"/>
            <color indexed="81"/>
            <rFont val="Lucida Console"/>
            <family val="3"/>
          </rPr>
          <t xml:space="preserve">_x000D_
Pertencia a ATA nº 211/20_x000D_
Estimativa de Renovação enviada em 02.03.2020 - Qtd _x000D_
</t>
        </r>
      </text>
    </comment>
    <comment ref="W367" authorId="0" shapeId="0" xr:uid="{0537E415-1C0B-43D3-ABDB-DBB725E48D83}">
      <text>
        <r>
          <rPr>
            <sz val="10"/>
            <color indexed="81"/>
            <rFont val="Lucida Console"/>
            <family val="3"/>
          </rPr>
          <t>_x000D_
Pedagógico</t>
        </r>
      </text>
    </comment>
    <comment ref="X367" authorId="0" shapeId="0" xr:uid="{13EA95BB-5201-4C73-8A49-D5D1572100DC}">
      <text>
        <r>
          <rPr>
            <sz val="10"/>
            <color indexed="81"/>
            <rFont val="Lucida Console"/>
            <family val="3"/>
          </rPr>
          <t>_x000D_
MAQ., EQUIP., COMP., ACES., MAT. PARA ESCRIT.E ESCOLAR</t>
        </r>
      </text>
    </comment>
    <comment ref="Y367" authorId="0" shapeId="0" xr:uid="{81DFC70C-5583-443D-B502-2AEE9AA589EF}">
      <text>
        <r>
          <rPr>
            <sz val="10"/>
            <color indexed="81"/>
            <rFont val="Lucida Console"/>
            <family val="3"/>
          </rPr>
          <t>_x000D_
CAPAS, CLASSIF., PRANCHETAS, CADERNOS, ENVELOPES, PASTAS, FICHAS, LIVROS</t>
        </r>
      </text>
    </comment>
    <comment ref="AW367" authorId="0" shapeId="0" xr:uid="{EE2D3E67-B0E8-407F-ABC7-D0E187646EFF}">
      <text>
        <r>
          <rPr>
            <sz val="10"/>
            <color indexed="81"/>
            <rFont val="Lucida Console"/>
            <family val="3"/>
          </rPr>
          <t>Tempo de Estoque (Meses)_x000D_
_x000D_
2.195,0</t>
        </r>
      </text>
    </comment>
    <comment ref="A368" authorId="0" shapeId="0" xr:uid="{ABB858C8-F15C-407A-86F2-56081FF5338C}">
      <text>
        <r>
          <rPr>
            <sz val="10"/>
            <color indexed="81"/>
            <rFont val="Lucida Console"/>
            <family val="3"/>
          </rPr>
          <t>_x000D_
139767</t>
        </r>
      </text>
    </comment>
    <comment ref="B368" authorId="0" shapeId="0" xr:uid="{C6EC4FB6-4719-4974-B303-226A6B3EB0BC}">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368" authorId="0" shapeId="0" xr:uid="{A1E12600-C24E-49F9-BDE3-0A4D6D9247F5}">
      <text>
        <r>
          <rPr>
            <sz val="10"/>
            <color indexed="81"/>
            <rFont val="Lucida Console"/>
            <family val="3"/>
          </rPr>
          <t>_x000D_
Últ estimativa : 1.000_x000D_
Enviada em     : 02.03.2020_x000D_
Ata - Venc     : 211/20 - 21.09.2021</t>
        </r>
      </text>
    </comment>
    <comment ref="O368" authorId="0" shapeId="0" xr:uid="{14534E2D-B6A5-4C3F-9DC3-BA683D19B87C}">
      <text>
        <r>
          <rPr>
            <sz val="10"/>
            <color indexed="81"/>
            <rFont val="Lucida Console"/>
            <family val="3"/>
          </rPr>
          <t xml:space="preserve">_x000D_
Pertencia a ATA nº 211/20_x000D_
Estimativa de Renovação enviada em 02.03.2020 - Qtd 1.000_x000D_
</t>
        </r>
      </text>
    </comment>
    <comment ref="W368" authorId="0" shapeId="0" xr:uid="{529EE712-CF51-4A61-8633-BC95B41E50F6}">
      <text>
        <r>
          <rPr>
            <sz val="10"/>
            <color indexed="81"/>
            <rFont val="Lucida Console"/>
            <family val="3"/>
          </rPr>
          <t>_x000D_
Pedagógico</t>
        </r>
      </text>
    </comment>
    <comment ref="X368" authorId="0" shapeId="0" xr:uid="{6708A61C-59D3-4E36-8BB7-79ADA523E45D}">
      <text>
        <r>
          <rPr>
            <sz val="10"/>
            <color indexed="81"/>
            <rFont val="Lucida Console"/>
            <family val="3"/>
          </rPr>
          <t>_x000D_
MAQ., EQUIP., COMP., ACES., MAT. PARA ESCRIT.E ESCOLAR</t>
        </r>
      </text>
    </comment>
    <comment ref="Y368" authorId="0" shapeId="0" xr:uid="{BDD138D7-974F-44B2-8958-372DF53EA9E0}">
      <text>
        <r>
          <rPr>
            <sz val="10"/>
            <color indexed="81"/>
            <rFont val="Lucida Console"/>
            <family val="3"/>
          </rPr>
          <t>_x000D_
CAPAS, CLASSIF., PRANCHETAS, CADERNOS, ENVELOPES, PASTAS, FICHAS, LIVROS</t>
        </r>
      </text>
    </comment>
    <comment ref="AW368" authorId="0" shapeId="0" xr:uid="{F7396CA7-3A9E-4F07-8E19-ED1F21E27785}">
      <text>
        <r>
          <rPr>
            <sz val="10"/>
            <color indexed="81"/>
            <rFont val="Lucida Console"/>
            <family val="3"/>
          </rPr>
          <t>Tempo de Estoque (Meses)_x000D_
_x000D_
1.813,0</t>
        </r>
      </text>
    </comment>
    <comment ref="A369" authorId="0" shapeId="0" xr:uid="{659325F3-512E-4A69-8166-8460591E8F45}">
      <text>
        <r>
          <rPr>
            <sz val="10"/>
            <color indexed="81"/>
            <rFont val="Lucida Console"/>
            <family val="3"/>
          </rPr>
          <t>_x000D_
11072</t>
        </r>
      </text>
    </comment>
    <comment ref="B369" authorId="0" shapeId="0" xr:uid="{C6E7BC0A-8E83-416A-AC59-157A9AA07B7A}">
      <text>
        <r>
          <rPr>
            <sz val="10"/>
            <color indexed="81"/>
            <rFont val="Lucida Console"/>
            <family val="3"/>
          </rPr>
          <t>DESCRIÇÃO DETALHADA_x000D_
EXTRATOR DE GRAMPOS - TIPO ESPATULA</t>
        </r>
      </text>
    </comment>
    <comment ref="G369" authorId="0" shapeId="0" xr:uid="{44B55DF4-FC1A-4BA8-8AB0-089F7EFEF21C}">
      <text>
        <r>
          <rPr>
            <sz val="10"/>
            <color indexed="81"/>
            <rFont val="Lucida Console"/>
            <family val="3"/>
          </rPr>
          <t>_x000D_
Últ estimativa : 500_x000D_
Enviada em     : 02.03.2020_x000D_
Ata - Venc     : 211/20 - 21.09.2021</t>
        </r>
      </text>
    </comment>
    <comment ref="O369" authorId="0" shapeId="0" xr:uid="{589E3CD8-B6C5-4FD5-BA25-38FAD826102E}">
      <text>
        <r>
          <rPr>
            <sz val="10"/>
            <color indexed="81"/>
            <rFont val="Lucida Console"/>
            <family val="3"/>
          </rPr>
          <t xml:space="preserve">_x000D_
Pertencia a ATA nº 211/20_x000D_
Estimativa de Renovação enviada em 02.03.2020 - Qtd 500_x000D_
</t>
        </r>
      </text>
    </comment>
    <comment ref="W369" authorId="0" shapeId="0" xr:uid="{32A755AA-BCF7-4CCD-86C9-9AD077B9DE4C}">
      <text>
        <r>
          <rPr>
            <sz val="10"/>
            <color indexed="81"/>
            <rFont val="Lucida Console"/>
            <family val="3"/>
          </rPr>
          <t>_x000D_
Administrativo</t>
        </r>
      </text>
    </comment>
    <comment ref="X369" authorId="0" shapeId="0" xr:uid="{82B94E0F-1803-4E35-B3D4-61D98A58C370}">
      <text>
        <r>
          <rPr>
            <sz val="10"/>
            <color indexed="81"/>
            <rFont val="Lucida Console"/>
            <family val="3"/>
          </rPr>
          <t>_x000D_
MAQ., EQUIP., COMP., ACES., MAT. PARA ESCRIT.E ESCOLAR</t>
        </r>
      </text>
    </comment>
    <comment ref="Y369" authorId="0" shapeId="0" xr:uid="{AEF7D9D0-F808-4C7B-BA94-C0066962D0B9}">
      <text>
        <r>
          <rPr>
            <sz val="10"/>
            <color indexed="81"/>
            <rFont val="Lucida Console"/>
            <family val="3"/>
          </rPr>
          <t>_x000D_
FURAD.GRAMP.COLCHETE,GRAMPOS,CLIPS,ELAST.BARB.FIT.</t>
        </r>
      </text>
    </comment>
    <comment ref="AW369" authorId="0" shapeId="0" xr:uid="{848700AA-F53F-4C72-8C77-14EB965703CC}">
      <text>
        <r>
          <rPr>
            <sz val="10"/>
            <color indexed="81"/>
            <rFont val="Lucida Console"/>
            <family val="3"/>
          </rPr>
          <t>Tempo de Estoque (Meses)_x000D_
_x000D_
314,0</t>
        </r>
      </text>
    </comment>
    <comment ref="A370" authorId="0" shapeId="0" xr:uid="{7BEFBFC6-B4BF-4141-B5F9-615399166CF9}">
      <text>
        <r>
          <rPr>
            <sz val="10"/>
            <color indexed="81"/>
            <rFont val="Lucida Console"/>
            <family val="3"/>
          </rPr>
          <t>_x000D_
11109</t>
        </r>
      </text>
    </comment>
    <comment ref="B370" authorId="0" shapeId="0" xr:uid="{7EFD6EA2-6A46-4BC2-86CD-48AAB2314815}">
      <text>
        <r>
          <rPr>
            <sz val="10"/>
            <color indexed="81"/>
            <rFont val="Lucida Console"/>
            <family val="3"/>
          </rPr>
          <t>DESCRIÇÃO DETALHADA_x000D_
CLIPS 30 MM DE COMPRIMENTO - CX C/ 100 UN</t>
        </r>
      </text>
    </comment>
    <comment ref="G370" authorId="0" shapeId="0" xr:uid="{B453BED1-0AE3-403F-AAA1-4F4D94A4D531}">
      <text>
        <r>
          <rPr>
            <sz val="10"/>
            <color indexed="81"/>
            <rFont val="Lucida Console"/>
            <family val="3"/>
          </rPr>
          <t>_x000D_
Últ estimativa : 1.000_x000D_
Enviada em     : 02.03.2020_x000D_
Ata - Venc     : 211/20 - 21.09.2021</t>
        </r>
      </text>
    </comment>
    <comment ref="O370" authorId="0" shapeId="0" xr:uid="{844C633A-9EA4-4009-9F06-D357C5C3F306}">
      <text>
        <r>
          <rPr>
            <sz val="10"/>
            <color indexed="81"/>
            <rFont val="Lucida Console"/>
            <family val="3"/>
          </rPr>
          <t xml:space="preserve">_x000D_
Pertencia a ATA nº 211/20_x000D_
Estimativa de Renovação enviada em 02.03.2020 - Qtd 1.000_x000D_
</t>
        </r>
      </text>
    </comment>
    <comment ref="W370" authorId="0" shapeId="0" xr:uid="{4D40CE18-FBCF-4843-82E6-0B12129B7CB2}">
      <text>
        <r>
          <rPr>
            <sz val="10"/>
            <color indexed="81"/>
            <rFont val="Lucida Console"/>
            <family val="3"/>
          </rPr>
          <t>_x000D_
Administrativo</t>
        </r>
      </text>
    </comment>
    <comment ref="X370" authorId="0" shapeId="0" xr:uid="{C387E795-91B0-456C-95A8-B57E6F299566}">
      <text>
        <r>
          <rPr>
            <sz val="10"/>
            <color indexed="81"/>
            <rFont val="Lucida Console"/>
            <family val="3"/>
          </rPr>
          <t>_x000D_
MAQ., EQUIP., COMP., ACES., MAT. PARA ESCRIT.E ESCOLAR</t>
        </r>
      </text>
    </comment>
    <comment ref="Y370" authorId="0" shapeId="0" xr:uid="{D6F39BAF-0101-4644-8FD0-F6FD979C047B}">
      <text>
        <r>
          <rPr>
            <sz val="10"/>
            <color indexed="81"/>
            <rFont val="Lucida Console"/>
            <family val="3"/>
          </rPr>
          <t>_x000D_
FURAD.GRAMP.COLCHETE,GRAMPOS,CLIPS,ELAST.BARB.FIT.</t>
        </r>
      </text>
    </comment>
    <comment ref="AW370" authorId="0" shapeId="0" xr:uid="{902F9C29-4020-418F-B434-506F119CD81D}">
      <text>
        <r>
          <rPr>
            <sz val="10"/>
            <color indexed="81"/>
            <rFont val="Lucida Console"/>
            <family val="3"/>
          </rPr>
          <t>Tempo de Estoque (Meses)_x000D_
_x000D_
600,0</t>
        </r>
      </text>
    </comment>
    <comment ref="A371" authorId="0" shapeId="0" xr:uid="{AF5144F3-5AC9-445B-A3B8-5771C657A7B8}">
      <text>
        <r>
          <rPr>
            <sz val="10"/>
            <color indexed="81"/>
            <rFont val="Lucida Console"/>
            <family val="3"/>
          </rPr>
          <t>_x000D_
17136</t>
        </r>
      </text>
    </comment>
    <comment ref="B371" authorId="0" shapeId="0" xr:uid="{002CA0D3-34F9-4135-9023-A5EBADC9FBD5}">
      <text>
        <r>
          <rPr>
            <sz val="10"/>
            <color indexed="81"/>
            <rFont val="Lucida Console"/>
            <family val="3"/>
          </rPr>
          <t>DESCRIÇÃO DETALHADA_x000D_
GRAMPO 26/6, COBREADO,  P/ GRAMPEADOR - CX C/ 5000 UNIDADES</t>
        </r>
      </text>
    </comment>
    <comment ref="G371" authorId="0" shapeId="0" xr:uid="{39094A27-0C9D-418B-8B6F-66FA70F14AEE}">
      <text>
        <r>
          <rPr>
            <sz val="10"/>
            <color indexed="81"/>
            <rFont val="Lucida Console"/>
            <family val="3"/>
          </rPr>
          <t>_x000D_
Últ estimativa : 2.000_x000D_
Enviada em     : 05.03.2020_x000D_
Ata - Venc     : 211/20 - 21.09.2021</t>
        </r>
      </text>
    </comment>
    <comment ref="O371" authorId="0" shapeId="0" xr:uid="{77747B1C-FD8B-48E0-8C97-B3B853E001E0}">
      <text>
        <r>
          <rPr>
            <sz val="10"/>
            <color indexed="81"/>
            <rFont val="Lucida Console"/>
            <family val="3"/>
          </rPr>
          <t>_x000D_
Pertencia a ATA nº 211/20_x000D_
Estimativa de Renovação enviada em 05.03.2020 - Qtd 2.000_x000D_
PP  92/19 lote _x000D_
26.07.19 = Finalizar - contrato assinado</t>
        </r>
      </text>
    </comment>
    <comment ref="W371" authorId="0" shapeId="0" xr:uid="{3A58EBC3-5BED-4758-BB88-22825BF49D7C}">
      <text>
        <r>
          <rPr>
            <sz val="10"/>
            <color indexed="81"/>
            <rFont val="Lucida Console"/>
            <family val="3"/>
          </rPr>
          <t>_x000D_
Administrativo</t>
        </r>
      </text>
    </comment>
    <comment ref="X371" authorId="0" shapeId="0" xr:uid="{6700C93F-6B5C-4E05-A8F3-0BAC8069C35B}">
      <text>
        <r>
          <rPr>
            <sz val="10"/>
            <color indexed="81"/>
            <rFont val="Lucida Console"/>
            <family val="3"/>
          </rPr>
          <t>_x000D_
MAQ., EQUIP., COMP., ACES., MAT. PARA ESCRIT.E ESCOLAR</t>
        </r>
      </text>
    </comment>
    <comment ref="Y371" authorId="0" shapeId="0" xr:uid="{D7D9AEA6-AF66-4445-9CF8-5098BB6ADDCB}">
      <text>
        <r>
          <rPr>
            <sz val="10"/>
            <color indexed="81"/>
            <rFont val="Lucida Console"/>
            <family val="3"/>
          </rPr>
          <t>_x000D_
FURAD.GRAMP.COLCHETE,GRAMPOS,CLIPS,ELAST.BARB.FIT.</t>
        </r>
      </text>
    </comment>
    <comment ref="AW371" authorId="0" shapeId="0" xr:uid="{10199A99-F30F-4138-9B77-505EAA140297}">
      <text>
        <r>
          <rPr>
            <sz val="10"/>
            <color indexed="81"/>
            <rFont val="Lucida Console"/>
            <family val="3"/>
          </rPr>
          <t>Tempo de Estoque (Meses)_x000D_
_x000D_
377,0</t>
        </r>
      </text>
    </comment>
    <comment ref="A372" authorId="0" shapeId="0" xr:uid="{3A5E0BAE-05EA-41D5-9736-F1E150D47013}">
      <text>
        <r>
          <rPr>
            <sz val="10"/>
            <color indexed="81"/>
            <rFont val="Lucida Console"/>
            <family val="3"/>
          </rPr>
          <t>_x000D_
51579</t>
        </r>
      </text>
    </comment>
    <comment ref="B372" authorId="0" shapeId="0" xr:uid="{6C5FCA22-4570-49DE-B211-6BFDC4FDCEF6}">
      <text>
        <r>
          <rPr>
            <sz val="10"/>
            <color indexed="81"/>
            <rFont val="Lucida Console"/>
            <family val="3"/>
          </rPr>
          <t>DESCRIÇÃO DETALHADA_x000D_
GRAMPEADOR GRANDE, TAMANHO 26/6</t>
        </r>
      </text>
    </comment>
    <comment ref="G372" authorId="0" shapeId="0" xr:uid="{32723168-B3C0-4F91-89E0-DD5518A4C985}">
      <text>
        <r>
          <rPr>
            <sz val="10"/>
            <color indexed="81"/>
            <rFont val="Lucida Console"/>
            <family val="3"/>
          </rPr>
          <t>_x000D_
Últ estimativa : 1.500_x000D_
Enviada em     : 19.12.2019_x000D_
Ata - Venc     : 211/20 - 21.09.2021</t>
        </r>
      </text>
    </comment>
    <comment ref="O372" authorId="0" shapeId="0" xr:uid="{67716926-E5E0-44A1-A4E5-0E96CB0C98E2}">
      <text>
        <r>
          <rPr>
            <sz val="10"/>
            <color indexed="81"/>
            <rFont val="Lucida Console"/>
            <family val="3"/>
          </rPr>
          <t>_x000D_
Pertencia a ATA nº 211/20_x000D_
Estimativa de Renovação enviada em 19.12.2019 - Qtd 1.500_x000D_
PE  61/21 lote _x000D_
30.04.21 = Finalizado. Ata 143/20</t>
        </r>
      </text>
    </comment>
    <comment ref="W372" authorId="0" shapeId="0" xr:uid="{49F311B9-EEDF-474C-96D0-9106D0A089A5}">
      <text>
        <r>
          <rPr>
            <sz val="10"/>
            <color indexed="81"/>
            <rFont val="Lucida Console"/>
            <family val="3"/>
          </rPr>
          <t>_x000D_
Administrativo</t>
        </r>
      </text>
    </comment>
    <comment ref="X372" authorId="0" shapeId="0" xr:uid="{CA05D573-BBB9-4925-93D9-5DAD2C0551F5}">
      <text>
        <r>
          <rPr>
            <sz val="10"/>
            <color indexed="81"/>
            <rFont val="Lucida Console"/>
            <family val="3"/>
          </rPr>
          <t>_x000D_
MAQ., EQUIP., COMP., ACES., MAT. PARA ESCRIT.E ESCOLAR</t>
        </r>
      </text>
    </comment>
    <comment ref="Y372" authorId="0" shapeId="0" xr:uid="{D8A27B9B-3930-42DA-940A-8378448A416E}">
      <text>
        <r>
          <rPr>
            <sz val="10"/>
            <color indexed="81"/>
            <rFont val="Lucida Console"/>
            <family val="3"/>
          </rPr>
          <t>_x000D_
FURAD.GRAMP.COLCHETE,GRAMPOS,CLIPS,ELAST.BARB.FIT.</t>
        </r>
      </text>
    </comment>
    <comment ref="AW372" authorId="0" shapeId="0" xr:uid="{6292028B-7CCB-499F-80CB-34EE995F3E4C}">
      <text>
        <r>
          <rPr>
            <sz val="10"/>
            <color indexed="81"/>
            <rFont val="Lucida Console"/>
            <family val="3"/>
          </rPr>
          <t>Tempo de Estoque (Meses)_x000D_
_x000D_
422,0</t>
        </r>
      </text>
    </comment>
    <comment ref="A373" authorId="0" shapeId="0" xr:uid="{839D3418-9516-4FC3-8729-CF3317ECF8E3}">
      <text>
        <r>
          <rPr>
            <sz val="10"/>
            <color indexed="81"/>
            <rFont val="Lucida Console"/>
            <family val="3"/>
          </rPr>
          <t>_x000D_
10547</t>
        </r>
      </text>
    </comment>
    <comment ref="B373" authorId="0" shapeId="0" xr:uid="{1D3BFABF-8177-4A3C-9072-B73A528CB03F}">
      <text>
        <r>
          <rPr>
            <sz val="10"/>
            <color indexed="81"/>
            <rFont val="Lucida Console"/>
            <family val="3"/>
          </rPr>
          <t>DESCRIÇÃO DETALHADA_x000D_
FITA ADESIVA CREPADA  - 19 MM X 50 M, VARIACAO DE +/- 03MM</t>
        </r>
      </text>
    </comment>
    <comment ref="G373" authorId="0" shapeId="0" xr:uid="{17F32754-1A0A-4A79-B2B8-64F4441D6ABE}">
      <text>
        <r>
          <rPr>
            <sz val="10"/>
            <color indexed="81"/>
            <rFont val="Lucida Console"/>
            <family val="3"/>
          </rPr>
          <t>_x000D_
Últ estimativa : 5.000_x000D_
Enviada em     : 02.03.2020_x000D_
Ata - Venc     : 211/20 - 21.09.2021</t>
        </r>
      </text>
    </comment>
    <comment ref="O373" authorId="0" shapeId="0" xr:uid="{58CF1B85-733E-4D69-88EC-83D69FA4275F}">
      <text>
        <r>
          <rPr>
            <sz val="10"/>
            <color indexed="81"/>
            <rFont val="Lucida Console"/>
            <family val="3"/>
          </rPr>
          <t xml:space="preserve">_x000D_
Pertencia a ATA nº 211/20_x000D_
Estimativa de Renovação enviada em 02.03.2020 - Qtd 5.000_x000D_
</t>
        </r>
      </text>
    </comment>
    <comment ref="W373" authorId="0" shapeId="0" xr:uid="{2EE4F39A-1457-47D0-899A-B52F58D419D9}">
      <text>
        <r>
          <rPr>
            <sz val="10"/>
            <color indexed="81"/>
            <rFont val="Lucida Console"/>
            <family val="3"/>
          </rPr>
          <t>_x000D_
Pedagógico</t>
        </r>
      </text>
    </comment>
    <comment ref="X373" authorId="0" shapeId="0" xr:uid="{B224A091-5539-4218-829E-D0984B67D1E3}">
      <text>
        <r>
          <rPr>
            <sz val="10"/>
            <color indexed="81"/>
            <rFont val="Lucida Console"/>
            <family val="3"/>
          </rPr>
          <t>_x000D_
MAQ., EQUIP., COMP., ACES., MAT. PARA ESCRIT.E ESCOLAR</t>
        </r>
      </text>
    </comment>
    <comment ref="Y373" authorId="0" shapeId="0" xr:uid="{918F1422-C78E-4982-BD99-90C2DD7C50E0}">
      <text>
        <r>
          <rPr>
            <sz val="10"/>
            <color indexed="81"/>
            <rFont val="Lucida Console"/>
            <family val="3"/>
          </rPr>
          <t>_x000D_
ETIQUETA COLAS E FITAS ADESIVAS</t>
        </r>
      </text>
    </comment>
    <comment ref="AW373" authorId="0" shapeId="0" xr:uid="{AD2C3F39-B0BD-49FF-9F75-F298F872EDDF}">
      <text>
        <r>
          <rPr>
            <sz val="10"/>
            <color indexed="81"/>
            <rFont val="Lucida Console"/>
            <family val="3"/>
          </rPr>
          <t>Tempo de Estoque (Meses)_x000D_
_x000D_
7.900,0</t>
        </r>
      </text>
    </comment>
    <comment ref="A374" authorId="0" shapeId="0" xr:uid="{50AD51E3-B2E0-45DA-89CC-74668891E5EA}">
      <text>
        <r>
          <rPr>
            <sz val="10"/>
            <color indexed="81"/>
            <rFont val="Lucida Console"/>
            <family val="3"/>
          </rPr>
          <t>_x000D_
13091</t>
        </r>
      </text>
    </comment>
    <comment ref="B374" authorId="0" shapeId="0" xr:uid="{AEF8E0CC-1106-4595-9BD8-60E2F0BAB79F}">
      <text>
        <r>
          <rPr>
            <sz val="10"/>
            <color indexed="81"/>
            <rFont val="Lucida Console"/>
            <family val="3"/>
          </rPr>
          <t>DESCRIÇÃO DETALHADA_x000D_
ETIQUETA ADESIVA - 36 X 102 MM - FOLHA C/ 24 UNIDADES - TIPO FORMULARIO CONTINUO</t>
        </r>
      </text>
    </comment>
    <comment ref="G374" authorId="0" shapeId="0" xr:uid="{926A9B33-8788-449B-B3CB-13BFAF3A0642}">
      <text>
        <r>
          <rPr>
            <sz val="10"/>
            <color indexed="81"/>
            <rFont val="Lucida Console"/>
            <family val="3"/>
          </rPr>
          <t>_x000D_
Últ estimativa : 6.000_x000D_
Enviada em     : 02.03.2020_x000D_
Ata - Venc     : 211/20 - 21.09.2021</t>
        </r>
      </text>
    </comment>
    <comment ref="O374" authorId="0" shapeId="0" xr:uid="{A54A1DB7-99A4-48F8-BFC8-92F159B06B8B}">
      <text>
        <r>
          <rPr>
            <sz val="10"/>
            <color indexed="81"/>
            <rFont val="Lucida Console"/>
            <family val="3"/>
          </rPr>
          <t xml:space="preserve">_x000D_
Pertencia a ATA nº 211/20_x000D_
Estimativa de Renovação enviada em 02.03.2020 - Qtd 6.000_x000D_
</t>
        </r>
      </text>
    </comment>
    <comment ref="W374" authorId="0" shapeId="0" xr:uid="{880E523C-77CB-4F31-A494-36BF12D4BC3F}">
      <text>
        <r>
          <rPr>
            <sz val="10"/>
            <color indexed="81"/>
            <rFont val="Lucida Console"/>
            <family val="3"/>
          </rPr>
          <t>_x000D_
Pedagógico</t>
        </r>
      </text>
    </comment>
    <comment ref="X374" authorId="0" shapeId="0" xr:uid="{45F94946-A829-4FB8-8E96-25DC4AF1B95E}">
      <text>
        <r>
          <rPr>
            <sz val="10"/>
            <color indexed="81"/>
            <rFont val="Lucida Console"/>
            <family val="3"/>
          </rPr>
          <t>_x000D_
MAQ., EQUIP., COMP., ACES., MAT. PARA ESCRIT.E ESCOLAR</t>
        </r>
      </text>
    </comment>
    <comment ref="Y374" authorId="0" shapeId="0" xr:uid="{98388386-358F-4DA4-84DC-4AA381381EDB}">
      <text>
        <r>
          <rPr>
            <sz val="10"/>
            <color indexed="81"/>
            <rFont val="Lucida Console"/>
            <family val="3"/>
          </rPr>
          <t>_x000D_
ETIQUETA COLAS E FITAS ADESIVAS</t>
        </r>
      </text>
    </comment>
    <comment ref="AW374" authorId="0" shapeId="0" xr:uid="{4A9A9943-64C5-4F04-A26F-21F44333F689}">
      <text>
        <r>
          <rPr>
            <sz val="10"/>
            <color indexed="81"/>
            <rFont val="Lucida Console"/>
            <family val="3"/>
          </rPr>
          <t>Tempo de Estoque (Meses)_x000D_
_x000D_
2.000,0</t>
        </r>
      </text>
    </comment>
    <comment ref="A375" authorId="0" shapeId="0" xr:uid="{19B9127C-140C-4087-8EA9-CB9FC7F597A7}">
      <text>
        <r>
          <rPr>
            <sz val="10"/>
            <color indexed="81"/>
            <rFont val="Lucida Console"/>
            <family val="3"/>
          </rPr>
          <t>_x000D_
132296</t>
        </r>
      </text>
    </comment>
    <comment ref="B375" authorId="0" shapeId="0" xr:uid="{DE497B01-D155-4B16-A02A-1306978FDF71}">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375" authorId="0" shapeId="0" xr:uid="{3EEA9C0F-80B1-4619-85FC-D4CEBF636F45}">
      <text>
        <r>
          <rPr>
            <sz val="10"/>
            <color indexed="81"/>
            <rFont val="Lucida Console"/>
            <family val="3"/>
          </rPr>
          <t>_x000D_
Últ estimativa : 10.000_x000D_
Enviada em     : 02.03.2020_x000D_
Ata - Venc     : 211/20 - 21.09.2021</t>
        </r>
      </text>
    </comment>
    <comment ref="O375" authorId="0" shapeId="0" xr:uid="{65F6DB79-DA33-4A7A-BF13-C4FEC5528B64}">
      <text>
        <r>
          <rPr>
            <sz val="10"/>
            <color indexed="81"/>
            <rFont val="Lucida Console"/>
            <family val="3"/>
          </rPr>
          <t xml:space="preserve">_x000D_
Pertencia a ATA nº 211/20_x000D_
Estimativa de Renovação enviada em 02.03.2020 - Qtd 10.000_x000D_
</t>
        </r>
      </text>
    </comment>
    <comment ref="W375" authorId="0" shapeId="0" xr:uid="{E889AE1E-29E8-4A48-AF0E-00196E172760}">
      <text>
        <r>
          <rPr>
            <sz val="10"/>
            <color indexed="81"/>
            <rFont val="Lucida Console"/>
            <family val="3"/>
          </rPr>
          <t>_x000D_
Pedagógico</t>
        </r>
      </text>
    </comment>
    <comment ref="X375" authorId="0" shapeId="0" xr:uid="{C1903219-8F4F-417F-BA2D-257136E12E57}">
      <text>
        <r>
          <rPr>
            <sz val="10"/>
            <color indexed="81"/>
            <rFont val="Lucida Console"/>
            <family val="3"/>
          </rPr>
          <t>_x000D_
MAQ., EQUIP., COMP., ACES., MAT. PARA ESCRIT.E ESCOLAR</t>
        </r>
      </text>
    </comment>
    <comment ref="Y375" authorId="0" shapeId="0" xr:uid="{26A659D2-8B6E-4980-A20B-3EC70D969D03}">
      <text>
        <r>
          <rPr>
            <sz val="10"/>
            <color indexed="81"/>
            <rFont val="Lucida Console"/>
            <family val="3"/>
          </rPr>
          <t>_x000D_
ETIQUETA COLAS E FITAS ADESIVAS</t>
        </r>
      </text>
    </comment>
    <comment ref="AW375" authorId="0" shapeId="0" xr:uid="{A21A4EB7-2C32-4635-B9B4-E1009E1C3247}">
      <text>
        <r>
          <rPr>
            <sz val="10"/>
            <color indexed="81"/>
            <rFont val="Lucida Console"/>
            <family val="3"/>
          </rPr>
          <t>Tempo de Estoque (Meses)_x000D_
_x000D_
3.019,0</t>
        </r>
      </text>
    </comment>
    <comment ref="A376" authorId="0" shapeId="0" xr:uid="{B0D7747C-DE45-4DDB-B5DC-8F2107AC1716}">
      <text>
        <r>
          <rPr>
            <sz val="10"/>
            <color indexed="81"/>
            <rFont val="Lucida Console"/>
            <family val="3"/>
          </rPr>
          <t>_x000D_
132297</t>
        </r>
      </text>
    </comment>
    <comment ref="B376" authorId="0" shapeId="0" xr:uid="{5DC0A75F-7468-4CB2-98FA-A0A5C1318652}">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376" authorId="0" shapeId="0" xr:uid="{B7237149-0DF4-44CD-9F06-47A0910DE184}">
      <text>
        <r>
          <rPr>
            <sz val="10"/>
            <color indexed="81"/>
            <rFont val="Lucida Console"/>
            <family val="3"/>
          </rPr>
          <t>_x000D_
Últ estimativa : 22.000_x000D_
Enviada em     : 02.03.2020_x000D_
Ata - Venc     : 211/20 - 21.09.2021</t>
        </r>
      </text>
    </comment>
    <comment ref="O376" authorId="0" shapeId="0" xr:uid="{6283EEF9-F386-4BBA-8DA0-980E81A7C602}">
      <text>
        <r>
          <rPr>
            <sz val="10"/>
            <color indexed="81"/>
            <rFont val="Lucida Console"/>
            <family val="3"/>
          </rPr>
          <t xml:space="preserve">_x000D_
Pertencia a ATA nº 211/20_x000D_
Estimativa de Renovação enviada em 02.03.2020 - Qtd 22.000_x000D_
</t>
        </r>
      </text>
    </comment>
    <comment ref="W376" authorId="0" shapeId="0" xr:uid="{7C439FED-A07F-4BDF-88D6-99F38450A821}">
      <text>
        <r>
          <rPr>
            <sz val="10"/>
            <color indexed="81"/>
            <rFont val="Lucida Console"/>
            <family val="3"/>
          </rPr>
          <t>_x000D_
Pedagógico</t>
        </r>
      </text>
    </comment>
    <comment ref="X376" authorId="0" shapeId="0" xr:uid="{D2E1C0AE-8F27-44D3-899E-BB1F4AE71E04}">
      <text>
        <r>
          <rPr>
            <sz val="10"/>
            <color indexed="81"/>
            <rFont val="Lucida Console"/>
            <family val="3"/>
          </rPr>
          <t>_x000D_
MAQ., EQUIP., COMP., ACES., MAT. PARA ESCRIT.E ESCOLAR</t>
        </r>
      </text>
    </comment>
    <comment ref="Y376" authorId="0" shapeId="0" xr:uid="{57C54A54-0E6E-4DE4-915D-10565474F32B}">
      <text>
        <r>
          <rPr>
            <sz val="10"/>
            <color indexed="81"/>
            <rFont val="Lucida Console"/>
            <family val="3"/>
          </rPr>
          <t>_x000D_
ETIQUETA COLAS E FITAS ADESIVAS</t>
        </r>
      </text>
    </comment>
    <comment ref="AW376" authorId="0" shapeId="0" xr:uid="{39B082EF-E441-4797-9B5F-283D333C50CA}">
      <text>
        <r>
          <rPr>
            <sz val="10"/>
            <color indexed="81"/>
            <rFont val="Lucida Console"/>
            <family val="3"/>
          </rPr>
          <t>Tempo de Estoque (Meses)_x000D_
_x000D_
4.000,0</t>
        </r>
      </text>
    </comment>
    <comment ref="A377" authorId="0" shapeId="0" xr:uid="{482163DB-D162-40BE-9614-E0CBCA808428}">
      <text>
        <r>
          <rPr>
            <sz val="10"/>
            <color indexed="81"/>
            <rFont val="Lucida Console"/>
            <family val="3"/>
          </rPr>
          <t>_x000D_
115765</t>
        </r>
      </text>
    </comment>
    <comment ref="B377" authorId="0" shapeId="0" xr:uid="{08D16F01-7AEC-45B7-8C40-5C330D72863E}">
      <text>
        <r>
          <rPr>
            <sz val="10"/>
            <color indexed="81"/>
            <rFont val="Lucida Console"/>
            <family val="3"/>
          </rPr>
          <t>DESCRIÇÃO DETALHADA_x000D_
PLASTICO A3 PARA PLASTIFICACAO - POLASEAL 0,05 MM- 303 X 426 - CAIXA COM 100 UNIDADES</t>
        </r>
      </text>
    </comment>
    <comment ref="G377" authorId="0" shapeId="0" xr:uid="{4BF0302D-7C7E-4949-A301-1B35BD451E30}">
      <text>
        <r>
          <rPr>
            <sz val="10"/>
            <color indexed="81"/>
            <rFont val="Lucida Console"/>
            <family val="3"/>
          </rPr>
          <t>_x000D_
Últ estimativa : 2.000_x000D_
Enviada em     : 02.03.2020_x000D_
Ata - Venc     : 211/20 - 21.09.2021</t>
        </r>
      </text>
    </comment>
    <comment ref="O377" authorId="0" shapeId="0" xr:uid="{E46D1D50-72C0-426B-B89D-71A4C2050B05}">
      <text>
        <r>
          <rPr>
            <sz val="10"/>
            <color indexed="81"/>
            <rFont val="Lucida Console"/>
            <family val="3"/>
          </rPr>
          <t xml:space="preserve">_x000D_
Pertencia a ATA nº 211/20_x000D_
Estimativa de Renovação enviada em 02.03.2020 - Qtd 2.000_x000D_
</t>
        </r>
      </text>
    </comment>
    <comment ref="W377" authorId="0" shapeId="0" xr:uid="{A69C9D1A-98ED-4AB9-B0B0-EB5587D6C15E}">
      <text>
        <r>
          <rPr>
            <sz val="10"/>
            <color indexed="81"/>
            <rFont val="Lucida Console"/>
            <family val="3"/>
          </rPr>
          <t>_x000D_
Pedagógico</t>
        </r>
      </text>
    </comment>
    <comment ref="X377" authorId="0" shapeId="0" xr:uid="{9EC4744D-E07C-48F7-98CB-A5B8FC055A8C}">
      <text>
        <r>
          <rPr>
            <sz val="10"/>
            <color indexed="81"/>
            <rFont val="Lucida Console"/>
            <family val="3"/>
          </rPr>
          <t>_x000D_
MAQ., EQUIP., COMP., ACES., MAT. PARA ESCRIT.E ESCOLAR</t>
        </r>
      </text>
    </comment>
    <comment ref="Y377" authorId="0" shapeId="0" xr:uid="{AC28D396-0AF1-4BA9-ACED-E0402D8FCBA4}">
      <text>
        <r>
          <rPr>
            <sz val="10"/>
            <color indexed="81"/>
            <rFont val="Lucida Console"/>
            <family val="3"/>
          </rPr>
          <t>_x000D_
MATERIAIS P/ PLASTIFICACAO</t>
        </r>
      </text>
    </comment>
    <comment ref="AW377" authorId="0" shapeId="0" xr:uid="{5B7BF072-68B0-4C42-9366-0C3FE9CCE446}">
      <text>
        <r>
          <rPr>
            <sz val="10"/>
            <color indexed="81"/>
            <rFont val="Lucida Console"/>
            <family val="3"/>
          </rPr>
          <t>Tempo de Estoque (Meses)_x000D_
_x000D_
766,0</t>
        </r>
      </text>
    </comment>
    <comment ref="A378" authorId="0" shapeId="0" xr:uid="{FCB4A6FC-C764-4777-91A6-530986137362}">
      <text>
        <r>
          <rPr>
            <sz val="10"/>
            <color indexed="81"/>
            <rFont val="Lucida Console"/>
            <family val="3"/>
          </rPr>
          <t>_x000D_
136941</t>
        </r>
      </text>
    </comment>
    <comment ref="B378" authorId="0" shapeId="0" xr:uid="{2022E539-ACCF-4D26-8033-9D75E79D92B5}">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378" authorId="0" shapeId="0" xr:uid="{9F629ACA-5111-4810-A4E7-2C824F4CF50F}">
      <text>
        <r>
          <rPr>
            <sz val="10"/>
            <color indexed="81"/>
            <rFont val="Lucida Console"/>
            <family val="3"/>
          </rPr>
          <t>_x000D_
Últ estimativa : 2.200_x000D_
Enviada em     : 05.03.2020_x000D_
Ata - Venc     : 211/20 - 21.09.2021</t>
        </r>
      </text>
    </comment>
    <comment ref="O378" authorId="0" shapeId="0" xr:uid="{9D0B6DB8-5D24-48EB-BB62-EFDE40E34433}">
      <text>
        <r>
          <rPr>
            <sz val="10"/>
            <color indexed="81"/>
            <rFont val="Lucida Console"/>
            <family val="3"/>
          </rPr>
          <t>_x000D_
Pertencia a ATA nº 211/20_x000D_
Estimativa de Renovação enviada em 05.03.2020 - Qtd 2.200_x000D_
PP  92/19 lote _x000D_
26.07.19 = Finalizar - contrato assinado</t>
        </r>
      </text>
    </comment>
    <comment ref="W378" authorId="0" shapeId="0" xr:uid="{F9205ED5-990E-4AE9-9816-42E16C5717C6}">
      <text>
        <r>
          <rPr>
            <sz val="10"/>
            <color indexed="81"/>
            <rFont val="Lucida Console"/>
            <family val="3"/>
          </rPr>
          <t>_x000D_
Pedagógico</t>
        </r>
      </text>
    </comment>
    <comment ref="X378" authorId="0" shapeId="0" xr:uid="{9647370E-4816-48D1-A4C8-0AAADD06C5E7}">
      <text>
        <r>
          <rPr>
            <sz val="10"/>
            <color indexed="81"/>
            <rFont val="Lucida Console"/>
            <family val="3"/>
          </rPr>
          <t>_x000D_
MAQ. E EQUIP. P/ IND. GRAFICA COMP. ACESS. E PAPEI</t>
        </r>
      </text>
    </comment>
    <comment ref="Y378" authorId="0" shapeId="0" xr:uid="{95C9D24A-0859-443B-93F1-B5123E4B5840}">
      <text>
        <r>
          <rPr>
            <sz val="10"/>
            <color indexed="81"/>
            <rFont val="Lucida Console"/>
            <family val="3"/>
          </rPr>
          <t>_x000D_
PAPEIS P/ EMBALAGEM E DECORATIVOS</t>
        </r>
      </text>
    </comment>
    <comment ref="AW378" authorId="0" shapeId="0" xr:uid="{44060A3E-9AFF-42AA-90CD-18DFF88F5662}">
      <text>
        <r>
          <rPr>
            <sz val="10"/>
            <color indexed="81"/>
            <rFont val="Lucida Console"/>
            <family val="3"/>
          </rPr>
          <t>Tempo de Estoque (Meses)_x000D_
_x000D_
131,0</t>
        </r>
      </text>
    </comment>
    <comment ref="A379" authorId="0" shapeId="0" xr:uid="{4156015E-6B8F-40EC-BD30-591484282F09}">
      <text>
        <r>
          <rPr>
            <sz val="10"/>
            <color indexed="81"/>
            <rFont val="Lucida Console"/>
            <family val="3"/>
          </rPr>
          <t>_x000D_
17362</t>
        </r>
      </text>
    </comment>
    <comment ref="B379" authorId="0" shapeId="0" xr:uid="{ADF8EA03-599E-4009-8847-A300BB911156}">
      <text>
        <r>
          <rPr>
            <sz val="10"/>
            <color indexed="81"/>
            <rFont val="Lucida Console"/>
            <family val="3"/>
          </rPr>
          <t>DESCRIÇÃO DETALHADA_x000D_
PAPEL CELOFANE - 90 X 100 CM - AMARELO</t>
        </r>
      </text>
    </comment>
    <comment ref="G379" authorId="0" shapeId="0" xr:uid="{4181AF56-6197-4786-BB73-385E3320A2E8}">
      <text>
        <r>
          <rPr>
            <sz val="10"/>
            <color indexed="81"/>
            <rFont val="Lucida Console"/>
            <family val="3"/>
          </rPr>
          <t>_x000D_
Últ estimativa : 10.000_x000D_
Enviada em     : 05.03.2020_x000D_
Ata - Venc     : 211/20 - 21.09.2021</t>
        </r>
      </text>
    </comment>
    <comment ref="O379" authorId="0" shapeId="0" xr:uid="{7113D33A-CD14-4BC9-8A99-D0C40721F0A8}">
      <text>
        <r>
          <rPr>
            <sz val="10"/>
            <color indexed="81"/>
            <rFont val="Lucida Console"/>
            <family val="3"/>
          </rPr>
          <t>_x000D_
Pertencia a ATA nº 211/20_x000D_
Estimativa de Renovação enviada em 05.03.2020 - Qtd 10.000_x000D_
PP  92/19 lote _x000D_
26.07.19 = Finalizar - contrato assinado</t>
        </r>
      </text>
    </comment>
    <comment ref="W379" authorId="0" shapeId="0" xr:uid="{E7FC611C-3FE2-4E0D-96A7-D3EE21F7DEE1}">
      <text>
        <r>
          <rPr>
            <sz val="10"/>
            <color indexed="81"/>
            <rFont val="Lucida Console"/>
            <family val="3"/>
          </rPr>
          <t>_x000D_
Pedagógico</t>
        </r>
      </text>
    </comment>
    <comment ref="X379" authorId="0" shapeId="0" xr:uid="{481B3282-0EBD-43B1-B073-CABB6FE078D3}">
      <text>
        <r>
          <rPr>
            <sz val="10"/>
            <color indexed="81"/>
            <rFont val="Lucida Console"/>
            <family val="3"/>
          </rPr>
          <t>_x000D_
MAQ. E EQUIP. P/ IND. GRAFICA COMP. ACESS. E PAPEI</t>
        </r>
      </text>
    </comment>
    <comment ref="Y379" authorId="0" shapeId="0" xr:uid="{585828BE-F599-45A2-90EE-8C073F6357B8}">
      <text>
        <r>
          <rPr>
            <sz val="10"/>
            <color indexed="81"/>
            <rFont val="Lucida Console"/>
            <family val="3"/>
          </rPr>
          <t>_x000D_
PAPEIS E PAPELOES</t>
        </r>
      </text>
    </comment>
    <comment ref="AW379" authorId="0" shapeId="0" xr:uid="{4657F76B-E956-4C83-91D7-BE525A6B1D22}">
      <text>
        <r>
          <rPr>
            <sz val="10"/>
            <color indexed="81"/>
            <rFont val="Lucida Console"/>
            <family val="3"/>
          </rPr>
          <t>Tempo de Estoque (Meses)_x000D_
_x000D_
1.900,0</t>
        </r>
      </text>
    </comment>
    <comment ref="A380" authorId="0" shapeId="0" xr:uid="{BA7B0D11-6649-406B-AE7E-90627225A96B}">
      <text>
        <r>
          <rPr>
            <sz val="10"/>
            <color indexed="81"/>
            <rFont val="Lucida Console"/>
            <family val="3"/>
          </rPr>
          <t>_x000D_
17370</t>
        </r>
      </text>
    </comment>
    <comment ref="B380" authorId="0" shapeId="0" xr:uid="{BEBA2BFE-1FF4-4BEA-8BF5-72B2A5EFD5F0}">
      <text>
        <r>
          <rPr>
            <sz val="10"/>
            <color indexed="81"/>
            <rFont val="Lucida Console"/>
            <family val="3"/>
          </rPr>
          <t>DESCRIÇÃO DETALHADA_x000D_
PAPEL CELOFANE - 90 X 100 CM - VERDE</t>
        </r>
      </text>
    </comment>
    <comment ref="G380" authorId="0" shapeId="0" xr:uid="{06E87243-1982-4DEC-928E-D9CD360781FF}">
      <text>
        <r>
          <rPr>
            <sz val="10"/>
            <color indexed="81"/>
            <rFont val="Lucida Console"/>
            <family val="3"/>
          </rPr>
          <t>_x000D_
Últ estimativa : 10.000_x000D_
Enviada em     : 05.03.2020_x000D_
Ata - Venc     : 211/20 - 21.09.2021</t>
        </r>
      </text>
    </comment>
    <comment ref="O380" authorId="0" shapeId="0" xr:uid="{24E742A3-CCC3-4B70-9D20-7346C3D7B657}">
      <text>
        <r>
          <rPr>
            <sz val="10"/>
            <color indexed="81"/>
            <rFont val="Lucida Console"/>
            <family val="3"/>
          </rPr>
          <t>_x000D_
Pertencia a ATA nº 211/20_x000D_
Estimativa de Renovação enviada em 05.03.2020 - Qtd 10.000_x000D_
PP  92/19 lote _x000D_
26.07.19 = Finalizar - contrato assinado</t>
        </r>
      </text>
    </comment>
    <comment ref="W380" authorId="0" shapeId="0" xr:uid="{62053AE5-1525-46E7-9A58-AD49B1F16CA4}">
      <text>
        <r>
          <rPr>
            <sz val="10"/>
            <color indexed="81"/>
            <rFont val="Lucida Console"/>
            <family val="3"/>
          </rPr>
          <t>_x000D_
Pedagógico</t>
        </r>
      </text>
    </comment>
    <comment ref="X380" authorId="0" shapeId="0" xr:uid="{F1B04C82-86D8-45C3-84C9-A90792CBDFCC}">
      <text>
        <r>
          <rPr>
            <sz val="10"/>
            <color indexed="81"/>
            <rFont val="Lucida Console"/>
            <family val="3"/>
          </rPr>
          <t>_x000D_
MAQ. E EQUIP. P/ IND. GRAFICA COMP. ACESS. E PAPEI</t>
        </r>
      </text>
    </comment>
    <comment ref="Y380" authorId="0" shapeId="0" xr:uid="{0803BE9E-D5C3-4BE2-BAD2-7D766217F72F}">
      <text>
        <r>
          <rPr>
            <sz val="10"/>
            <color indexed="81"/>
            <rFont val="Lucida Console"/>
            <family val="3"/>
          </rPr>
          <t>_x000D_
PAPEIS E PAPELOES</t>
        </r>
      </text>
    </comment>
    <comment ref="AW380" authorId="0" shapeId="0" xr:uid="{EE624A55-C2B9-4CAF-B804-41689B84AB40}">
      <text>
        <r>
          <rPr>
            <sz val="10"/>
            <color indexed="81"/>
            <rFont val="Lucida Console"/>
            <family val="3"/>
          </rPr>
          <t>Tempo de Estoque (Meses)_x000D_
_x000D_
1.900,0</t>
        </r>
      </text>
    </comment>
    <comment ref="A381" authorId="0" shapeId="0" xr:uid="{EAEAF173-29FB-4237-931F-90759853B13E}">
      <text>
        <r>
          <rPr>
            <sz val="10"/>
            <color indexed="81"/>
            <rFont val="Lucida Console"/>
            <family val="3"/>
          </rPr>
          <t>_x000D_
17371</t>
        </r>
      </text>
    </comment>
    <comment ref="B381" authorId="0" shapeId="0" xr:uid="{81B3A628-EF5C-4814-87EF-DDEC862274E5}">
      <text>
        <r>
          <rPr>
            <sz val="10"/>
            <color indexed="81"/>
            <rFont val="Lucida Console"/>
            <family val="3"/>
          </rPr>
          <t>DESCRIÇÃO DETALHADA_x000D_
PAPEL CELOFANE - 90 X 100 CM - VERMELHO</t>
        </r>
      </text>
    </comment>
    <comment ref="G381" authorId="0" shapeId="0" xr:uid="{7A5FEFE8-6140-4AE8-92DA-FE3D9396846F}">
      <text>
        <r>
          <rPr>
            <sz val="10"/>
            <color indexed="81"/>
            <rFont val="Lucida Console"/>
            <family val="3"/>
          </rPr>
          <t>_x000D_
Últ estimativa : 10.000_x000D_
Enviada em     : 05.03.2020_x000D_
Ata - Venc     : 211/20 - 21.09.2021</t>
        </r>
      </text>
    </comment>
    <comment ref="O381" authorId="0" shapeId="0" xr:uid="{44B5EDB0-7A78-4C78-A26A-DD0876571841}">
      <text>
        <r>
          <rPr>
            <sz val="10"/>
            <color indexed="81"/>
            <rFont val="Lucida Console"/>
            <family val="3"/>
          </rPr>
          <t>_x000D_
Pertencia a ATA nº 211/20_x000D_
Estimativa de Renovação enviada em 05.03.2020 - Qtd 10.000_x000D_
PP  92/19 lote _x000D_
26.07.19 = Finalizar - contrato assinado</t>
        </r>
      </text>
    </comment>
    <comment ref="W381" authorId="0" shapeId="0" xr:uid="{4351FBCE-ADA0-415A-B39E-F091FF98ABD7}">
      <text>
        <r>
          <rPr>
            <sz val="10"/>
            <color indexed="81"/>
            <rFont val="Lucida Console"/>
            <family val="3"/>
          </rPr>
          <t>_x000D_
Pedagógico</t>
        </r>
      </text>
    </comment>
    <comment ref="X381" authorId="0" shapeId="0" xr:uid="{5921BEC6-4DCA-4281-8AC4-505EB709FA98}">
      <text>
        <r>
          <rPr>
            <sz val="10"/>
            <color indexed="81"/>
            <rFont val="Lucida Console"/>
            <family val="3"/>
          </rPr>
          <t>_x000D_
MAQ. E EQUIP. P/ IND. GRAFICA COMP. ACESS. E PAPEI</t>
        </r>
      </text>
    </comment>
    <comment ref="Y381" authorId="0" shapeId="0" xr:uid="{D98E9815-9973-4AC8-BDBA-701CB1C844B8}">
      <text>
        <r>
          <rPr>
            <sz val="10"/>
            <color indexed="81"/>
            <rFont val="Lucida Console"/>
            <family val="3"/>
          </rPr>
          <t>_x000D_
PAPEIS E PAPELOES</t>
        </r>
      </text>
    </comment>
    <comment ref="AW381" authorId="0" shapeId="0" xr:uid="{FE40635B-8B99-4CCC-AA65-9EB657F58AA0}">
      <text>
        <r>
          <rPr>
            <sz val="10"/>
            <color indexed="81"/>
            <rFont val="Lucida Console"/>
            <family val="3"/>
          </rPr>
          <t>Tempo de Estoque (Meses)_x000D_
_x000D_
1.900,0</t>
        </r>
      </text>
    </comment>
    <comment ref="A382" authorId="0" shapeId="0" xr:uid="{45CB40C2-E5DB-45BF-BCF6-DE60225D3F92}">
      <text>
        <r>
          <rPr>
            <sz val="10"/>
            <color indexed="81"/>
            <rFont val="Lucida Console"/>
            <family val="3"/>
          </rPr>
          <t>_x000D_
32927</t>
        </r>
      </text>
    </comment>
    <comment ref="B382" authorId="0" shapeId="0" xr:uid="{5E34C31B-1951-4FE3-8283-01E098885555}">
      <text>
        <r>
          <rPr>
            <sz val="10"/>
            <color indexed="81"/>
            <rFont val="Lucida Console"/>
            <family val="3"/>
          </rPr>
          <t>DESCRIÇÃO DETALHADA_x000D_
PAPEL CELOFANE - 90 X 100 CM - AZUL</t>
        </r>
      </text>
    </comment>
    <comment ref="G382" authorId="0" shapeId="0" xr:uid="{AAA689BD-AA37-49BC-8CA3-D681E03569F8}">
      <text>
        <r>
          <rPr>
            <sz val="10"/>
            <color indexed="81"/>
            <rFont val="Lucida Console"/>
            <family val="3"/>
          </rPr>
          <t>_x000D_
Últ estimativa : 10.000_x000D_
Enviada em     : 05.03.2020_x000D_
Ata - Venc     : 211/20 - 21.09.2021</t>
        </r>
      </text>
    </comment>
    <comment ref="O382" authorId="0" shapeId="0" xr:uid="{439BC8E8-ECB7-4EC5-A3ED-B89901D636DB}">
      <text>
        <r>
          <rPr>
            <sz val="10"/>
            <color indexed="81"/>
            <rFont val="Lucida Console"/>
            <family val="3"/>
          </rPr>
          <t>_x000D_
Pertencia a ATA nº 211/20_x000D_
Estimativa de Renovação enviada em 05.03.2020 - Qtd 10.000_x000D_
PP  92/19 lote _x000D_
26.07.19 = Finalizar - contrato assinado</t>
        </r>
      </text>
    </comment>
    <comment ref="W382" authorId="0" shapeId="0" xr:uid="{4640C245-C02A-4891-B768-5EF632E59B37}">
      <text>
        <r>
          <rPr>
            <sz val="10"/>
            <color indexed="81"/>
            <rFont val="Lucida Console"/>
            <family val="3"/>
          </rPr>
          <t>_x000D_
Pedagógico</t>
        </r>
      </text>
    </comment>
    <comment ref="X382" authorId="0" shapeId="0" xr:uid="{30787A60-9D25-4451-9616-DD2720E060E6}">
      <text>
        <r>
          <rPr>
            <sz val="10"/>
            <color indexed="81"/>
            <rFont val="Lucida Console"/>
            <family val="3"/>
          </rPr>
          <t>_x000D_
MAQ. E EQUIP. P/ IND. GRAFICA COMP. ACESS. E PAPEI</t>
        </r>
      </text>
    </comment>
    <comment ref="Y382" authorId="0" shapeId="0" xr:uid="{A770632A-38AA-4516-A0D2-E971B0C3792B}">
      <text>
        <r>
          <rPr>
            <sz val="10"/>
            <color indexed="81"/>
            <rFont val="Lucida Console"/>
            <family val="3"/>
          </rPr>
          <t>_x000D_
PAPEIS E PAPELOES</t>
        </r>
      </text>
    </comment>
    <comment ref="AW382" authorId="0" shapeId="0" xr:uid="{7D32A903-0FA0-4957-BEFB-7AA9D8631C11}">
      <text>
        <r>
          <rPr>
            <sz val="10"/>
            <color indexed="81"/>
            <rFont val="Lucida Console"/>
            <family val="3"/>
          </rPr>
          <t>Tempo de Estoque (Meses)_x000D_
_x000D_
2.100,0</t>
        </r>
      </text>
    </comment>
    <comment ref="A383" authorId="0" shapeId="0" xr:uid="{7281F7A7-F8CE-4A7A-8718-A6BC66A6C464}">
      <text>
        <r>
          <rPr>
            <sz val="10"/>
            <color indexed="81"/>
            <rFont val="Lucida Console"/>
            <family val="3"/>
          </rPr>
          <t>_x000D_
119595</t>
        </r>
      </text>
    </comment>
    <comment ref="B383" authorId="0" shapeId="0" xr:uid="{03E72DDA-6F35-4721-A418-07366085A30D}">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383" authorId="0" shapeId="0" xr:uid="{B71CEE30-00B1-4013-BA1E-A0C6398E3C43}">
      <text>
        <r>
          <rPr>
            <sz val="10"/>
            <color indexed="81"/>
            <rFont val="Lucida Console"/>
            <family val="3"/>
          </rPr>
          <t>_x000D_
Últ estimativa : 400_x000D_
Enviada em     : 14.05.2021_x000D_
Ata - Venc     : 216/20 - 24.09.2021</t>
        </r>
      </text>
    </comment>
    <comment ref="O383" authorId="0" shapeId="0" xr:uid="{145542E0-68EE-455E-BF9F-4F9E321C5E43}">
      <text>
        <r>
          <rPr>
            <sz val="10"/>
            <color indexed="81"/>
            <rFont val="Lucida Console"/>
            <family val="3"/>
          </rPr>
          <t>_x000D_
Pertencia a ATA nº 216/20_x000D_
Estimativa de Renovação enviada em 14.05.2021 - Qtd 400_x000D_
PE 138/20 lote _x000D_
31.08.20 = Finalizado</t>
        </r>
      </text>
    </comment>
    <comment ref="W383" authorId="0" shapeId="0" xr:uid="{F2301AA2-6C68-44D6-B120-F384347949AF}">
      <text>
        <r>
          <rPr>
            <sz val="10"/>
            <color indexed="81"/>
            <rFont val="Lucida Console"/>
            <family val="3"/>
          </rPr>
          <t>_x000D_
Administrativo</t>
        </r>
      </text>
    </comment>
    <comment ref="X383" authorId="0" shapeId="0" xr:uid="{861B8A16-40ED-4351-B1AE-61635455625D}">
      <text>
        <r>
          <rPr>
            <sz val="10"/>
            <color indexed="81"/>
            <rFont val="Lucida Console"/>
            <family val="3"/>
          </rPr>
          <t>_x000D_
VEST., ART.P/ TOUC.E HIG. PES. MAQ., EQUIP., MAT.E ACES.</t>
        </r>
      </text>
    </comment>
    <comment ref="Y383" authorId="0" shapeId="0" xr:uid="{6053F26C-4819-40A3-AAF7-86A75AB2490C}">
      <text>
        <r>
          <rPr>
            <sz val="10"/>
            <color indexed="81"/>
            <rFont val="Lucida Console"/>
            <family val="3"/>
          </rPr>
          <t>_x000D_
PAPEL HIG., ABSORVENTE INT., PAP.TOA., LENCO DE PAPEL</t>
        </r>
      </text>
    </comment>
    <comment ref="AW383" authorId="0" shapeId="0" xr:uid="{E7E98F70-3103-487D-8272-391CCB515ABB}">
      <text>
        <r>
          <rPr>
            <sz val="10"/>
            <color indexed="81"/>
            <rFont val="Lucida Console"/>
            <family val="3"/>
          </rPr>
          <t>Tempo de Estoque (Meses)_x000D_
_x000D_
311,0</t>
        </r>
      </text>
    </comment>
    <comment ref="A384" authorId="0" shapeId="0" xr:uid="{DE79F747-C92A-4B76-8ACC-B7824C97BDC7}">
      <text>
        <r>
          <rPr>
            <sz val="10"/>
            <color indexed="81"/>
            <rFont val="Lucida Console"/>
            <family val="3"/>
          </rPr>
          <t>_x000D_
54550</t>
        </r>
      </text>
    </comment>
    <comment ref="B384" authorId="0" shapeId="0" xr:uid="{723D904D-E0C4-4898-A900-F9CF1DD117CC}">
      <text>
        <r>
          <rPr>
            <sz val="10"/>
            <color indexed="81"/>
            <rFont val="Lucida Console"/>
            <family val="3"/>
          </rPr>
          <t>DESCRIÇÃO DETALHADA_x000D_
TUBO DE FERRO METALON - 40 X 40 X 1,5MM - BARRA COM 6 METROS</t>
        </r>
      </text>
    </comment>
    <comment ref="G384" authorId="0" shapeId="0" xr:uid="{3E1AB3ED-247E-4A5C-8F3B-6DDA76BD123A}">
      <text>
        <r>
          <rPr>
            <sz val="10"/>
            <color indexed="81"/>
            <rFont val="Lucida Console"/>
            <family val="3"/>
          </rPr>
          <t>_x000D_
Últ estimativa : 700_x000D_
Enviada em     : 19.05.2021_x000D_
Ata - Venc     : 217/20 - 27.09.2021</t>
        </r>
      </text>
    </comment>
    <comment ref="O384" authorId="0" shapeId="0" xr:uid="{D2C44664-362F-48C1-AF37-779E2ADA9C12}">
      <text>
        <r>
          <rPr>
            <sz val="10"/>
            <color indexed="81"/>
            <rFont val="Lucida Console"/>
            <family val="3"/>
          </rPr>
          <t>_x000D_
Pertencia a ATA nº 217/20_x000D_
Estimativa de Renovação enviada em 19.05.2021 - Qtd 700_x000D_
PE  46/19 lote 7_x000D_
03.09.19 = Processo conferido, finalizado.</t>
        </r>
      </text>
    </comment>
    <comment ref="W384" authorId="0" shapeId="0" xr:uid="{B597BD30-BF7C-4A80-8601-1B28B7189F3D}">
      <text>
        <r>
          <rPr>
            <sz val="10"/>
            <color indexed="81"/>
            <rFont val="Lucida Console"/>
            <family val="3"/>
          </rPr>
          <t>_x000D_
DM-Serralheria</t>
        </r>
      </text>
    </comment>
    <comment ref="X384" authorId="0" shapeId="0" xr:uid="{C7091ED2-77BC-4D1A-B1D5-C89B09A1EB9D}">
      <text>
        <r>
          <rPr>
            <sz val="10"/>
            <color indexed="81"/>
            <rFont val="Lucida Console"/>
            <family val="3"/>
          </rPr>
          <t>_x000D_
METAIS,LAMINAD.,PERFILADOS E ARTEFATOS METALICOS</t>
        </r>
      </text>
    </comment>
    <comment ref="Y384" authorId="0" shapeId="0" xr:uid="{CB00F4C0-551C-42EF-9CB0-B78778C61C7E}">
      <text>
        <r>
          <rPr>
            <sz val="10"/>
            <color indexed="81"/>
            <rFont val="Lucida Console"/>
            <family val="3"/>
          </rPr>
          <t>_x000D_
BARRAS DE ACO ESPECIFICOS P/ USOS VARIADOS</t>
        </r>
      </text>
    </comment>
    <comment ref="AW384" authorId="0" shapeId="0" xr:uid="{D1B6A0F9-E363-40D0-AB3A-C8D3E8BAEF18}">
      <text>
        <r>
          <rPr>
            <sz val="10"/>
            <color indexed="81"/>
            <rFont val="Lucida Console"/>
            <family val="3"/>
          </rPr>
          <t>Tempo de Estoque (Meses)_x000D_
_x000D_
655,0</t>
        </r>
      </text>
    </comment>
    <comment ref="A385" authorId="0" shapeId="0" xr:uid="{68C9459B-D8C5-4F23-A294-402479925CEA}">
      <text>
        <r>
          <rPr>
            <sz val="10"/>
            <color indexed="81"/>
            <rFont val="Lucida Console"/>
            <family val="3"/>
          </rPr>
          <t>_x000D_
131482</t>
        </r>
      </text>
    </comment>
    <comment ref="B385" authorId="0" shapeId="0" xr:uid="{F28FC77E-C80B-4672-A077-8A564ECBE7D3}">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385" authorId="0" shapeId="0" xr:uid="{FE6D5053-B9F3-4F52-B3C0-0AB087C18328}">
      <text>
        <r>
          <rPr>
            <sz val="10"/>
            <color indexed="81"/>
            <rFont val="Lucida Console"/>
            <family val="3"/>
          </rPr>
          <t>_x000D_
Últ estimativa : 0_x000D_
Enviada em     : 14.05.2020_x000D_
Ata - Venc     : 220/19 - 08.09.2020</t>
        </r>
      </text>
    </comment>
    <comment ref="O385" authorId="0" shapeId="0" xr:uid="{4431671B-D14F-494A-8467-0C82C56E44F4}">
      <text>
        <r>
          <rPr>
            <sz val="10"/>
            <color indexed="81"/>
            <rFont val="Lucida Console"/>
            <family val="3"/>
          </rPr>
          <t>_x000D_
Pertencia a ATA nº 220/19_x000D_
Estimativa de Renovação enviada em 14.05.2020 - Qtd _x000D_
PE 207/20 lote 6 (Impróspero)_x000D_
19.01.21 = Finalizado</t>
        </r>
      </text>
    </comment>
    <comment ref="W385" authorId="0" shapeId="0" xr:uid="{617A4CE2-F682-4448-915B-AECEFCCD3E3D}">
      <text>
        <r>
          <rPr>
            <sz val="10"/>
            <color indexed="81"/>
            <rFont val="Lucida Console"/>
            <family val="3"/>
          </rPr>
          <t>_x000D_
Administrativo</t>
        </r>
      </text>
    </comment>
    <comment ref="X385" authorId="0" shapeId="0" xr:uid="{9464AA09-44C8-4A2B-AEB4-4597464B4EAB}">
      <text>
        <r>
          <rPr>
            <sz val="10"/>
            <color indexed="81"/>
            <rFont val="Lucida Console"/>
            <family val="3"/>
          </rPr>
          <t>_x000D_
MAQ.EQUIP.E MATERIAIS P/ HIGIEN.LIMP.POLIM.E LUBR.</t>
        </r>
      </text>
    </comment>
    <comment ref="Y385" authorId="0" shapeId="0" xr:uid="{C3C53AA4-A64B-46A9-8F3D-7991348E3B1B}">
      <text>
        <r>
          <rPr>
            <sz val="10"/>
            <color indexed="81"/>
            <rFont val="Lucida Console"/>
            <family val="3"/>
          </rPr>
          <t>_x000D_
VASSOURAS,ESCOVAS,ESFREGOES,RODOS,DESEMTUP.E ESPAN</t>
        </r>
      </text>
    </comment>
    <comment ref="AW385" authorId="0" shapeId="0" xr:uid="{42EF0C01-7E7D-45E1-BEF6-7ED85AC9D418}">
      <text>
        <r>
          <rPr>
            <sz val="10"/>
            <color indexed="81"/>
            <rFont val="Lucida Console"/>
            <family val="3"/>
          </rPr>
          <t>Tempo de Estoque (Meses)_x000D_
_x000D_
94,0</t>
        </r>
      </text>
    </comment>
    <comment ref="A386" authorId="0" shapeId="0" xr:uid="{DE0684A8-D231-43AF-877C-E57ADD535953}">
      <text>
        <r>
          <rPr>
            <sz val="10"/>
            <color indexed="81"/>
            <rFont val="Lucida Console"/>
            <family val="3"/>
          </rPr>
          <t>_x000D_
13991</t>
        </r>
      </text>
    </comment>
    <comment ref="B386" authorId="0" shapeId="0" xr:uid="{A02EAB12-BB78-4717-A957-290F91BB2A0A}">
      <text>
        <r>
          <rPr>
            <sz val="10"/>
            <color indexed="81"/>
            <rFont val="Lucida Console"/>
            <family val="3"/>
          </rPr>
          <t>DESCRIÇÃO DETALHADA_x000D_
CESTO DE PLASTICO P/ LIXO, 6 LITROS - FECHADO</t>
        </r>
      </text>
    </comment>
    <comment ref="G386" authorId="0" shapeId="0" xr:uid="{72735B19-77B2-4F94-A03D-183F23E75A31}">
      <text>
        <r>
          <rPr>
            <sz val="10"/>
            <color indexed="81"/>
            <rFont val="Lucida Console"/>
            <family val="3"/>
          </rPr>
          <t>_x000D_
Últ estimativa : 700_x000D_
Enviada em     : 14.05.2020_x000D_
Ata - Venc     : 220/19 - 08.09.2020</t>
        </r>
      </text>
    </comment>
    <comment ref="O386" authorId="0" shapeId="0" xr:uid="{23E3D172-6D3C-4353-8B44-23EF5B548647}">
      <text>
        <r>
          <rPr>
            <sz val="10"/>
            <color indexed="81"/>
            <rFont val="Lucida Console"/>
            <family val="3"/>
          </rPr>
          <t>_x000D_
Pertencia a ATA nº 220/19_x000D_
Estimativa de Renovação enviada em 14.05.2020 - Qtd 700_x000D_
PE 207/20 lote 2 (Impróspero)_x000D_
19.01.21 = Finalizado</t>
        </r>
      </text>
    </comment>
    <comment ref="W386" authorId="0" shapeId="0" xr:uid="{79F28138-B325-482D-9385-363D27154424}">
      <text>
        <r>
          <rPr>
            <sz val="10"/>
            <color indexed="81"/>
            <rFont val="Lucida Console"/>
            <family val="3"/>
          </rPr>
          <t>_x000D_
Administrativo</t>
        </r>
      </text>
    </comment>
    <comment ref="X386" authorId="0" shapeId="0" xr:uid="{FA97C5AA-4823-4ED1-B1EC-E4401B23C2BF}">
      <text>
        <r>
          <rPr>
            <sz val="10"/>
            <color indexed="81"/>
            <rFont val="Lucida Console"/>
            <family val="3"/>
          </rPr>
          <t>_x000D_
MAQ.EQUIP.E MATERIAIS P/ HIGIEN.LIMP.POLIM.E LUBR.</t>
        </r>
      </text>
    </comment>
    <comment ref="Y386" authorId="0" shapeId="0" xr:uid="{C25D3015-932F-42F6-AD79-0FE24B94E480}">
      <text>
        <r>
          <rPr>
            <sz val="10"/>
            <color indexed="81"/>
            <rFont val="Lucida Console"/>
            <family val="3"/>
          </rPr>
          <t>_x000D_
ESPONJAS,BALDES,SACOS E CESTOS DE LIXO, ETC</t>
        </r>
      </text>
    </comment>
    <comment ref="AW386" authorId="0" shapeId="0" xr:uid="{01806BBC-8DE3-4420-9B17-5B6F59F610CE}">
      <text>
        <r>
          <rPr>
            <sz val="10"/>
            <color indexed="81"/>
            <rFont val="Lucida Console"/>
            <family val="3"/>
          </rPr>
          <t>Tempo de Estoque (Meses)_x000D_
_x000D_
400,0</t>
        </r>
      </text>
    </comment>
    <comment ref="A387" authorId="0" shapeId="0" xr:uid="{1356659B-9909-48B3-88C5-CB021672F529}">
      <text>
        <r>
          <rPr>
            <sz val="10"/>
            <color indexed="81"/>
            <rFont val="Lucida Console"/>
            <family val="3"/>
          </rPr>
          <t>_x000D_
29296</t>
        </r>
      </text>
    </comment>
    <comment ref="B387" authorId="0" shapeId="0" xr:uid="{10896B1F-6341-4CE9-84EB-B8823BF1AEAF}">
      <text>
        <r>
          <rPr>
            <sz val="10"/>
            <color indexed="81"/>
            <rFont val="Lucida Console"/>
            <family val="3"/>
          </rPr>
          <t>DESCRIÇÃO DETALHADA_x000D_
ESTOPA BRANCA - PACOTE C/ 500 GR, NA EMBALAGEM DEVERA CONTER MARCA DO FABRICANTE</t>
        </r>
      </text>
    </comment>
    <comment ref="G387" authorId="0" shapeId="0" xr:uid="{9AC28D30-E9AF-4A91-863C-F1348A4DE1B1}">
      <text>
        <r>
          <rPr>
            <sz val="10"/>
            <color indexed="81"/>
            <rFont val="Lucida Console"/>
            <family val="3"/>
          </rPr>
          <t>_x000D_
Últ estimativa : 300_x000D_
Enviada em     : 14.05.2020_x000D_
Ata - Venc     : 220/19 - 08.09.2020</t>
        </r>
      </text>
    </comment>
    <comment ref="O387" authorId="0" shapeId="0" xr:uid="{C34CFA8A-90B8-47EA-B6FE-09C8DA98E7B8}">
      <text>
        <r>
          <rPr>
            <sz val="10"/>
            <color indexed="81"/>
            <rFont val="Lucida Console"/>
            <family val="3"/>
          </rPr>
          <t>_x000D_
Pertencia a ATA nº 220/19_x000D_
Estimativa de Renovação enviada em 14.05.2020 - Qtd 300_x000D_
PE 207/20 lote 3 (Impróspero)_x000D_
19.01.21 = Finalizado</t>
        </r>
      </text>
    </comment>
    <comment ref="W387" authorId="0" shapeId="0" xr:uid="{FD57B913-39EF-4FB0-A800-E908D0F06BE2}">
      <text>
        <r>
          <rPr>
            <sz val="10"/>
            <color indexed="81"/>
            <rFont val="Lucida Console"/>
            <family val="3"/>
          </rPr>
          <t>_x000D_
Administrativo</t>
        </r>
      </text>
    </comment>
    <comment ref="X387" authorId="0" shapeId="0" xr:uid="{C68A04AF-1C60-4F01-988E-844A3CB10B35}">
      <text>
        <r>
          <rPr>
            <sz val="10"/>
            <color indexed="81"/>
            <rFont val="Lucida Console"/>
            <family val="3"/>
          </rPr>
          <t>_x000D_
MAQ.EQUIP.E MATERIAIS P/ HIGIEN.LIMP.POLIM.E LUBR.</t>
        </r>
      </text>
    </comment>
    <comment ref="Y387" authorId="0" shapeId="0" xr:uid="{3EDE59B8-B49D-4098-9526-C7A4963562EA}">
      <text>
        <r>
          <rPr>
            <sz val="10"/>
            <color indexed="81"/>
            <rFont val="Lucida Console"/>
            <family val="3"/>
          </rPr>
          <t>_x000D_
PANO PARA CHAO, COPA E FLANELA</t>
        </r>
      </text>
    </comment>
    <comment ref="AW387" authorId="0" shapeId="0" xr:uid="{FAA6A7FB-E244-4131-9D0C-4721D811D5F8}">
      <text>
        <r>
          <rPr>
            <sz val="10"/>
            <color indexed="81"/>
            <rFont val="Lucida Console"/>
            <family val="3"/>
          </rPr>
          <t>Tempo de Estoque (Meses)_x000D_
_x000D_
288,0</t>
        </r>
      </text>
    </comment>
    <comment ref="A388" authorId="0" shapeId="0" xr:uid="{FE25AA3C-852B-4BB1-B27C-894391405FAC}">
      <text>
        <r>
          <rPr>
            <sz val="10"/>
            <color indexed="81"/>
            <rFont val="Lucida Console"/>
            <family val="3"/>
          </rPr>
          <t>_x000D_
107483</t>
        </r>
      </text>
    </comment>
    <comment ref="B388" authorId="0" shapeId="0" xr:uid="{A9B8106F-5F6C-4E5F-BBD5-C277A43DF4E3}">
      <text>
        <r>
          <rPr>
            <sz val="10"/>
            <color indexed="81"/>
            <rFont val="Lucida Console"/>
            <family val="3"/>
          </rPr>
          <t>DESCRIÇÃO DETALHADA_x000D_
RELE FOTOELETRICO COM BASE 220 V - 1000 W - TIPO NF</t>
        </r>
      </text>
    </comment>
    <comment ref="G388" authorId="0" shapeId="0" xr:uid="{9A8425E4-35C7-4B68-AA5A-BB7076864D27}">
      <text>
        <r>
          <rPr>
            <sz val="10"/>
            <color indexed="81"/>
            <rFont val="Lucida Console"/>
            <family val="3"/>
          </rPr>
          <t>_x000D_
Últ estimativa : 350_x000D_
Enviada em     : 17.01.2020_x000D_
Ata - Venc     : 228/20 - 05.10.2021</t>
        </r>
      </text>
    </comment>
    <comment ref="O388" authorId="0" shapeId="0" xr:uid="{FFC272C3-8E92-4387-A0F0-312FE9858EB9}">
      <text>
        <r>
          <rPr>
            <sz val="10"/>
            <color indexed="81"/>
            <rFont val="Lucida Console"/>
            <family val="3"/>
          </rPr>
          <t>_x000D_
Pertencia a ATA nº 228/20_x000D_
Estimativa de Renovação enviada em 17.01.2020 - Qtd 350_x000D_
PE 153/20 lote _x000D_
16.09.20 = Finalizado</t>
        </r>
      </text>
    </comment>
    <comment ref="W388" authorId="0" shapeId="0" xr:uid="{070A9447-C9FE-4477-9036-174AD174FD54}">
      <text>
        <r>
          <rPr>
            <sz val="10"/>
            <color indexed="81"/>
            <rFont val="Lucida Console"/>
            <family val="3"/>
          </rPr>
          <t>_x000D_
DM-Elétrica</t>
        </r>
      </text>
    </comment>
    <comment ref="X388" authorId="0" shapeId="0" xr:uid="{BF8AE17F-0162-4F49-AE01-18DDE5DB2BD2}">
      <text>
        <r>
          <rPr>
            <sz val="10"/>
            <color indexed="81"/>
            <rFont val="Lucida Console"/>
            <family val="3"/>
          </rPr>
          <t>_x000D_
EQUIP. MAT. P/ GERACAO, TRANSM. DISTR. RETIF...</t>
        </r>
      </text>
    </comment>
    <comment ref="Y388" authorId="0" shapeId="0" xr:uid="{34DAD10C-C0F2-40BF-92D2-B7BB73090372}">
      <text>
        <r>
          <rPr>
            <sz val="10"/>
            <color indexed="81"/>
            <rFont val="Lucida Console"/>
            <family val="3"/>
          </rPr>
          <t>_x000D_
RELES FOTO-ELETRICOS</t>
        </r>
      </text>
    </comment>
    <comment ref="AW388" authorId="0" shapeId="0" xr:uid="{7CC8E76E-CF88-480F-94B5-C18E02F7F5F9}">
      <text>
        <r>
          <rPr>
            <sz val="10"/>
            <color indexed="81"/>
            <rFont val="Lucida Console"/>
            <family val="3"/>
          </rPr>
          <t>Tempo de Estoque (Meses)_x000D_
_x000D_
251,0</t>
        </r>
      </text>
    </comment>
    <comment ref="A389" authorId="0" shapeId="0" xr:uid="{96B74AF0-3A8B-4B5A-A4B7-60C58AEE10B6}">
      <text>
        <r>
          <rPr>
            <sz val="10"/>
            <color indexed="81"/>
            <rFont val="Lucida Console"/>
            <family val="3"/>
          </rPr>
          <t>_x000D_
107889</t>
        </r>
      </text>
    </comment>
    <comment ref="B389" authorId="0" shapeId="0" xr:uid="{E6EC3B87-6CEC-43AE-8B79-FB29B04DEB4A}">
      <text>
        <r>
          <rPr>
            <sz val="10"/>
            <color indexed="81"/>
            <rFont val="Lucida Console"/>
            <family val="3"/>
          </rPr>
          <t>DESCRIÇÃO DETALHADA_x000D_
CHAVE DE NIVEL TIPO BOIA 15 A 220 V COM CONTATO REVERSIVEL COM CABO DE 2 M.</t>
        </r>
      </text>
    </comment>
    <comment ref="G389" authorId="0" shapeId="0" xr:uid="{2540AFD8-B6B0-44AC-9953-36B539E8FBC2}">
      <text>
        <r>
          <rPr>
            <sz val="10"/>
            <color indexed="81"/>
            <rFont val="Lucida Console"/>
            <family val="3"/>
          </rPr>
          <t>_x000D_
Últ estimativa : 350_x000D_
Enviada em     : 17.01.2020_x000D_
Ata - Venc     : 228/20 - 05.10.2021</t>
        </r>
      </text>
    </comment>
    <comment ref="O389" authorId="0" shapeId="0" xr:uid="{9C749C55-83E1-4B7A-A43E-B2D66ACB9F46}">
      <text>
        <r>
          <rPr>
            <sz val="10"/>
            <color indexed="81"/>
            <rFont val="Lucida Console"/>
            <family val="3"/>
          </rPr>
          <t>_x000D_
Pertencia a ATA nº 228/20_x000D_
Estimativa de Renovação enviada em 17.01.2020 - Qtd 350_x000D_
PE 153/20 lote _x000D_
16.09.20 = Finalizado</t>
        </r>
      </text>
    </comment>
    <comment ref="W389" authorId="0" shapeId="0" xr:uid="{D1ACC743-2F41-4DA6-A988-6382F5F2F87A}">
      <text>
        <r>
          <rPr>
            <sz val="10"/>
            <color indexed="81"/>
            <rFont val="Lucida Console"/>
            <family val="3"/>
          </rPr>
          <t>_x000D_
DM-Elétrica</t>
        </r>
      </text>
    </comment>
    <comment ref="X389" authorId="0" shapeId="0" xr:uid="{DE024698-BA1D-4354-B699-EA2F96C7BCE4}">
      <text>
        <r>
          <rPr>
            <sz val="10"/>
            <color indexed="81"/>
            <rFont val="Lucida Console"/>
            <family val="3"/>
          </rPr>
          <t>_x000D_
EQUIP. MAT. P/ GERACAO, TRANSM. DISTR. RETIF...</t>
        </r>
      </text>
    </comment>
    <comment ref="Y389" authorId="0" shapeId="0" xr:uid="{6A32ABF6-CF97-48AC-9FB0-2830A6453E68}">
      <text>
        <r>
          <rPr>
            <sz val="10"/>
            <color indexed="81"/>
            <rFont val="Lucida Console"/>
            <family val="3"/>
          </rPr>
          <t>_x000D_
CHAVES BOIA</t>
        </r>
      </text>
    </comment>
    <comment ref="AC389" authorId="0" shapeId="0" xr:uid="{EEB80170-FC3C-4473-9F4C-BF9B489804AE}">
      <text>
        <r>
          <rPr>
            <sz val="10"/>
            <color indexed="81"/>
            <rFont val="Lucida Console"/>
            <family val="3"/>
          </rPr>
          <t>_x000D_
AF  9.649/23 | Vc 24.08.2023 | Saldo    200 | REDE I9 DO BRASIL MATERIAIS ELETRICOS E MONTAGENS INDUSTRIAIS LTDA ( 235922 )</t>
        </r>
      </text>
    </comment>
    <comment ref="AG389" authorId="0" shapeId="0" xr:uid="{6F045115-B17B-4C05-B0E5-D7C947A6C808}">
      <text>
        <r>
          <rPr>
            <sz val="10"/>
            <color indexed="81"/>
            <rFont val="Lucida Console"/>
            <family val="3"/>
          </rPr>
          <t>_x000D_
AF  9.649/23 | Vc 24.08.2023 | Saldo    200 | REDE I9 DO BRASIL MATERIAIS ELETRICOS E MONTAGENS INDUSTRIAIS LTDA ( 235922 )</t>
        </r>
      </text>
    </comment>
    <comment ref="AW389" authorId="0" shapeId="0" xr:uid="{6C171D97-9F9E-4FDB-9FC7-F3BD34F11187}">
      <text>
        <r>
          <rPr>
            <sz val="10"/>
            <color indexed="81"/>
            <rFont val="Lucida Console"/>
            <family val="3"/>
          </rPr>
          <t>Tempo de Estoque (Meses)_x000D_
_x000D_
0,0</t>
        </r>
      </text>
    </comment>
    <comment ref="A390" authorId="0" shapeId="0" xr:uid="{D16A7EA4-FB83-46FB-B04D-8EA723E4A509}">
      <text>
        <r>
          <rPr>
            <sz val="10"/>
            <color indexed="81"/>
            <rFont val="Lucida Console"/>
            <family val="3"/>
          </rPr>
          <t>_x000D_
14831</t>
        </r>
      </text>
    </comment>
    <comment ref="B390" authorId="0" shapeId="0" xr:uid="{CA1FC333-C704-494F-9DD9-C3706F77EE48}">
      <text>
        <r>
          <rPr>
            <sz val="10"/>
            <color indexed="81"/>
            <rFont val="Lucida Console"/>
            <family val="3"/>
          </rPr>
          <t>DESCRIÇÃO DETALHADA_x000D_
SOQUETE DE PORCELANA E-27 P/ LAMPADA INCANDESCENTE</t>
        </r>
      </text>
    </comment>
    <comment ref="G390" authorId="0" shapeId="0" xr:uid="{D03B8897-BF5D-4D1F-A2FA-AA23C60FCA7C}">
      <text>
        <r>
          <rPr>
            <sz val="10"/>
            <color indexed="81"/>
            <rFont val="Lucida Console"/>
            <family val="3"/>
          </rPr>
          <t>_x000D_
Últ estimativa : 800_x000D_
Enviada em     : 17.01.2020_x000D_
Ata - Venc     : 228/20 - 05.10.2021</t>
        </r>
      </text>
    </comment>
    <comment ref="O390" authorId="0" shapeId="0" xr:uid="{98EED634-2E66-45FE-8B67-041D058CD640}">
      <text>
        <r>
          <rPr>
            <sz val="10"/>
            <color indexed="81"/>
            <rFont val="Lucida Console"/>
            <family val="3"/>
          </rPr>
          <t>_x000D_
Pertencia a ATA nº 228/20_x000D_
Estimativa de Renovação enviada em 17.01.2020 - Qtd 800_x000D_
PE 153/20 lote _x000D_
16.09.20 = Finalizado</t>
        </r>
      </text>
    </comment>
    <comment ref="W390" authorId="0" shapeId="0" xr:uid="{ACE30295-8B78-4D75-8B0D-337DBA2DA68D}">
      <text>
        <r>
          <rPr>
            <sz val="10"/>
            <color indexed="81"/>
            <rFont val="Lucida Console"/>
            <family val="3"/>
          </rPr>
          <t>_x000D_
DM-Elétrica</t>
        </r>
      </text>
    </comment>
    <comment ref="X390" authorId="0" shapeId="0" xr:uid="{FC7C8938-A2E3-4959-A649-34B835E973D9}">
      <text>
        <r>
          <rPr>
            <sz val="10"/>
            <color indexed="81"/>
            <rFont val="Lucida Console"/>
            <family val="3"/>
          </rPr>
          <t>_x000D_
EQUIP. MAT. P/ GERACAO, TRANSM. DISTR. RETIF...</t>
        </r>
      </text>
    </comment>
    <comment ref="Y390" authorId="0" shapeId="0" xr:uid="{3448CC42-ACBE-40C0-8CBA-4C5576E9125F}">
      <text>
        <r>
          <rPr>
            <sz val="10"/>
            <color indexed="81"/>
            <rFont val="Lucida Console"/>
            <family val="3"/>
          </rPr>
          <t>_x000D_
ACESSORIOS</t>
        </r>
      </text>
    </comment>
    <comment ref="AW390" authorId="0" shapeId="0" xr:uid="{093A22B7-C3F0-4C4D-A9FD-AAA724613A25}">
      <text>
        <r>
          <rPr>
            <sz val="10"/>
            <color indexed="81"/>
            <rFont val="Lucida Console"/>
            <family val="3"/>
          </rPr>
          <t>Tempo de Estoque (Meses)_x000D_
_x000D_
380,0</t>
        </r>
      </text>
    </comment>
    <comment ref="A391" authorId="0" shapeId="0" xr:uid="{3237402B-CCAB-4BFC-BDEE-6BA3D88FC5C0}">
      <text>
        <r>
          <rPr>
            <sz val="10"/>
            <color indexed="81"/>
            <rFont val="Lucida Console"/>
            <family val="3"/>
          </rPr>
          <t>_x000D_
112154</t>
        </r>
      </text>
    </comment>
    <comment ref="B391" authorId="0" shapeId="0" xr:uid="{267E5B56-F7A1-4615-A5D1-6B96361EE826}">
      <text>
        <r>
          <rPr>
            <sz val="10"/>
            <color indexed="81"/>
            <rFont val="Lucida Console"/>
            <family val="3"/>
          </rPr>
          <t>DESCRIÇÃO DETALHADA_x000D_
TOMADA 2P+T DE 20A/250V DE EMBUTIR COM ESPELHO PARA CAIXA 4X2, PADRAO NBR 14136</t>
        </r>
      </text>
    </comment>
    <comment ref="G391" authorId="0" shapeId="0" xr:uid="{BC13B0B3-A313-4CFD-945D-E039EDDDF27B}">
      <text>
        <r>
          <rPr>
            <sz val="10"/>
            <color indexed="81"/>
            <rFont val="Lucida Console"/>
            <family val="3"/>
          </rPr>
          <t>_x000D_
Últ estimativa : 800_x000D_
Enviada em     : 17.01.2020_x000D_
Ata - Venc     : 228/20 - 05.10.2021</t>
        </r>
      </text>
    </comment>
    <comment ref="O391" authorId="0" shapeId="0" xr:uid="{221AF379-5291-4EF6-8795-34F207F47E91}">
      <text>
        <r>
          <rPr>
            <sz val="10"/>
            <color indexed="81"/>
            <rFont val="Lucida Console"/>
            <family val="3"/>
          </rPr>
          <t>_x000D_
Pertencia a ATA nº 228/20_x000D_
Estimativa de Renovação enviada em 17.01.2020 - Qtd 800_x000D_
PE 153/20 lote _x000D_
16.09.20 = Finalizado</t>
        </r>
      </text>
    </comment>
    <comment ref="W391" authorId="0" shapeId="0" xr:uid="{C862D006-0894-44A0-8CB0-F5BA409E5FD1}">
      <text>
        <r>
          <rPr>
            <sz val="10"/>
            <color indexed="81"/>
            <rFont val="Lucida Console"/>
            <family val="3"/>
          </rPr>
          <t>_x000D_
DM-Elétrica</t>
        </r>
      </text>
    </comment>
    <comment ref="X391" authorId="0" shapeId="0" xr:uid="{0C6708CC-DC97-446D-8639-5A069322325C}">
      <text>
        <r>
          <rPr>
            <sz val="10"/>
            <color indexed="81"/>
            <rFont val="Lucida Console"/>
            <family val="3"/>
          </rPr>
          <t>_x000D_
EQUIP. MAT. P/ GERACAO, TRANSM. DISTR. RETIF...</t>
        </r>
      </text>
    </comment>
    <comment ref="Y391" authorId="0" shapeId="0" xr:uid="{739B1F64-4A94-4BD8-A9BE-3D05A2728812}">
      <text>
        <r>
          <rPr>
            <sz val="10"/>
            <color indexed="81"/>
            <rFont val="Lucida Console"/>
            <family val="3"/>
          </rPr>
          <t>_x000D_
TOMADAS DE USO DOMESTICO E INDUSTRIAL</t>
        </r>
      </text>
    </comment>
    <comment ref="AW391" authorId="0" shapeId="0" xr:uid="{D949CA6F-1B9F-4354-B9CA-4A4FFC45071C}">
      <text>
        <r>
          <rPr>
            <sz val="10"/>
            <color indexed="81"/>
            <rFont val="Lucida Console"/>
            <family val="3"/>
          </rPr>
          <t>Tempo de Estoque (Meses)_x000D_
_x000D_
600,0</t>
        </r>
      </text>
    </comment>
    <comment ref="A392" authorId="0" shapeId="0" xr:uid="{199DB256-2A78-4093-B237-501FE76457E0}">
      <text>
        <r>
          <rPr>
            <sz val="10"/>
            <color indexed="81"/>
            <rFont val="Lucida Console"/>
            <family val="3"/>
          </rPr>
          <t>_x000D_
112155</t>
        </r>
      </text>
    </comment>
    <comment ref="B392" authorId="0" shapeId="0" xr:uid="{7E52B451-B1AD-412F-815D-D3C920A8C41A}">
      <text>
        <r>
          <rPr>
            <sz val="10"/>
            <color indexed="81"/>
            <rFont val="Lucida Console"/>
            <family val="3"/>
          </rPr>
          <t>DESCRIÇÃO DETALHADA_x000D_
TOMADA COM 2 TOMADAS 2P+T DE 20A/250V DE EMBUTIR COM ESPELHO PARA CAIXA 4X2, PADRAO NBR 14136</t>
        </r>
      </text>
    </comment>
    <comment ref="G392" authorId="0" shapeId="0" xr:uid="{DE036161-5ADA-467C-B6A9-3B0BCA2E6CB0}">
      <text>
        <r>
          <rPr>
            <sz val="10"/>
            <color indexed="81"/>
            <rFont val="Lucida Console"/>
            <family val="3"/>
          </rPr>
          <t>_x000D_
Últ estimativa : 300_x000D_
Enviada em     : 17.01.2020_x000D_
Ata - Venc     : 228/20 - 05.10.2021</t>
        </r>
      </text>
    </comment>
    <comment ref="O392" authorId="0" shapeId="0" xr:uid="{2EE3411C-4D06-4DE9-9BE7-9249E94FD040}">
      <text>
        <r>
          <rPr>
            <sz val="10"/>
            <color indexed="81"/>
            <rFont val="Lucida Console"/>
            <family val="3"/>
          </rPr>
          <t>_x000D_
Pertencia a ATA nº 228/20_x000D_
Estimativa de Renovação enviada em 17.01.2020 - Qtd 300_x000D_
PE 153/20 lote _x000D_
16.09.20 = Finalizado</t>
        </r>
      </text>
    </comment>
    <comment ref="W392" authorId="0" shapeId="0" xr:uid="{6A52C145-BDDE-45EB-8FC3-7FF49EC5CB4C}">
      <text>
        <r>
          <rPr>
            <sz val="10"/>
            <color indexed="81"/>
            <rFont val="Lucida Console"/>
            <family val="3"/>
          </rPr>
          <t>_x000D_
DM-Elétrica</t>
        </r>
      </text>
    </comment>
    <comment ref="X392" authorId="0" shapeId="0" xr:uid="{5F5551B7-8139-4483-B33D-95726E92A5A6}">
      <text>
        <r>
          <rPr>
            <sz val="10"/>
            <color indexed="81"/>
            <rFont val="Lucida Console"/>
            <family val="3"/>
          </rPr>
          <t>_x000D_
EQUIP. MAT. P/ GERACAO, TRANSM. DISTR. RETIF...</t>
        </r>
      </text>
    </comment>
    <comment ref="Y392" authorId="0" shapeId="0" xr:uid="{2DFF2FFA-3E74-4F1B-B098-CA83DDA75F1D}">
      <text>
        <r>
          <rPr>
            <sz val="10"/>
            <color indexed="81"/>
            <rFont val="Lucida Console"/>
            <family val="3"/>
          </rPr>
          <t>_x000D_
TOMADAS DE USO DOMESTICO E INDUSTRIAL</t>
        </r>
      </text>
    </comment>
    <comment ref="AW392" authorId="0" shapeId="0" xr:uid="{64A8BB8B-AC30-454D-B66B-C2587E25B881}">
      <text>
        <r>
          <rPr>
            <sz val="10"/>
            <color indexed="81"/>
            <rFont val="Lucida Console"/>
            <family val="3"/>
          </rPr>
          <t>Tempo de Estoque (Meses)_x000D_
_x000D_
100,0</t>
        </r>
      </text>
    </comment>
    <comment ref="A393" authorId="0" shapeId="0" xr:uid="{E7443DE0-BDE4-40F2-AF66-D13717B2AB44}">
      <text>
        <r>
          <rPr>
            <sz val="10"/>
            <color indexed="81"/>
            <rFont val="Lucida Console"/>
            <family val="3"/>
          </rPr>
          <t>_x000D_
112156</t>
        </r>
      </text>
    </comment>
    <comment ref="B393" authorId="0" shapeId="0" xr:uid="{40FAC515-3C4D-44DA-AC1D-5F44DC899DB8}">
      <text>
        <r>
          <rPr>
            <sz val="10"/>
            <color indexed="81"/>
            <rFont val="Lucida Console"/>
            <family val="3"/>
          </rPr>
          <t>DESCRIÇÃO DETALHADA_x000D_
TOMADA MOVEL 2P+T NBR 14136 DE 20A/250V</t>
        </r>
      </text>
    </comment>
    <comment ref="G393" authorId="0" shapeId="0" xr:uid="{B48DF8FF-F1D7-4BAB-A1FB-E6725840913F}">
      <text>
        <r>
          <rPr>
            <sz val="10"/>
            <color indexed="81"/>
            <rFont val="Lucida Console"/>
            <family val="3"/>
          </rPr>
          <t>_x000D_
Últ estimativa : 600_x000D_
Enviada em     : 17.01.2020_x000D_
Ata - Venc     : 228/20 - 05.10.2021</t>
        </r>
      </text>
    </comment>
    <comment ref="O393" authorId="0" shapeId="0" xr:uid="{9F22ED47-4C90-4D03-9F53-5552BB05C99B}">
      <text>
        <r>
          <rPr>
            <sz val="10"/>
            <color indexed="81"/>
            <rFont val="Lucida Console"/>
            <family val="3"/>
          </rPr>
          <t>_x000D_
Pertencia a ATA nº 228/20_x000D_
Estimativa de Renovação enviada em 17.01.2020 - Qtd 600_x000D_
PE 153/20 lote _x000D_
16.09.20 = Finalizado</t>
        </r>
      </text>
    </comment>
    <comment ref="W393" authorId="0" shapeId="0" xr:uid="{3BB71012-C49A-48FF-9DA1-BC07D8F0A55C}">
      <text>
        <r>
          <rPr>
            <sz val="10"/>
            <color indexed="81"/>
            <rFont val="Lucida Console"/>
            <family val="3"/>
          </rPr>
          <t>_x000D_
DM-Elétrica</t>
        </r>
      </text>
    </comment>
    <comment ref="X393" authorId="0" shapeId="0" xr:uid="{890F137D-B9F9-4F45-BAEE-C8E485A1CC1D}">
      <text>
        <r>
          <rPr>
            <sz val="10"/>
            <color indexed="81"/>
            <rFont val="Lucida Console"/>
            <family val="3"/>
          </rPr>
          <t>_x000D_
EQUIP. MAT. P/ GERACAO, TRANSM. DISTR. RETIF...</t>
        </r>
      </text>
    </comment>
    <comment ref="Y393" authorId="0" shapeId="0" xr:uid="{64A8D281-F58F-4A42-A2D6-8DEFE3A23892}">
      <text>
        <r>
          <rPr>
            <sz val="10"/>
            <color indexed="81"/>
            <rFont val="Lucida Console"/>
            <family val="3"/>
          </rPr>
          <t>_x000D_
TOMADAS DE USO DOMESTICO E INDUSTRIAL</t>
        </r>
      </text>
    </comment>
    <comment ref="AW393" authorId="0" shapeId="0" xr:uid="{0B20EA84-B9DF-48F5-AE43-9423485A3EDC}">
      <text>
        <r>
          <rPr>
            <sz val="10"/>
            <color indexed="81"/>
            <rFont val="Lucida Console"/>
            <family val="3"/>
          </rPr>
          <t>Tempo de Estoque (Meses)_x000D_
_x000D_
312,0</t>
        </r>
      </text>
    </comment>
    <comment ref="A394" authorId="0" shapeId="0" xr:uid="{408DB194-1B29-411F-A637-AB524F222663}">
      <text>
        <r>
          <rPr>
            <sz val="10"/>
            <color indexed="81"/>
            <rFont val="Lucida Console"/>
            <family val="3"/>
          </rPr>
          <t>_x000D_
112157</t>
        </r>
      </text>
    </comment>
    <comment ref="B394" authorId="0" shapeId="0" xr:uid="{5681C5A3-B7D6-4D7F-BA4A-F9DD670D7D6D}">
      <text>
        <r>
          <rPr>
            <sz val="10"/>
            <color indexed="81"/>
            <rFont val="Lucida Console"/>
            <family val="3"/>
          </rPr>
          <t xml:space="preserve">DESCRIÇÃO DETALHADA_x000D_
TOMADA 2P+T DE 20A/250V DE SOBREPOR COM CAIXA, PADRAO NBR 14136 </t>
        </r>
      </text>
    </comment>
    <comment ref="G394" authorId="0" shapeId="0" xr:uid="{E630CFCC-0CF5-42DC-8754-6EDCDA6823BB}">
      <text>
        <r>
          <rPr>
            <sz val="10"/>
            <color indexed="81"/>
            <rFont val="Lucida Console"/>
            <family val="3"/>
          </rPr>
          <t>_x000D_
Últ estimativa : 200_x000D_
Enviada em     : 17.01.2020_x000D_
Ata - Venc     : 228/20 - 05.10.2021</t>
        </r>
      </text>
    </comment>
    <comment ref="O394" authorId="0" shapeId="0" xr:uid="{EC0DEF3F-7D8F-4C22-8A67-8E33AC379136}">
      <text>
        <r>
          <rPr>
            <sz val="10"/>
            <color indexed="81"/>
            <rFont val="Lucida Console"/>
            <family val="3"/>
          </rPr>
          <t>_x000D_
Pertencia a ATA nº 228/20_x000D_
Estimativa de Renovação enviada em 17.01.2020 - Qtd 200_x000D_
PE 153/20 lote _x000D_
16.09.20 = Finalizado</t>
        </r>
      </text>
    </comment>
    <comment ref="W394" authorId="0" shapeId="0" xr:uid="{02920B64-7012-4AB4-8EE2-098CF919012A}">
      <text>
        <r>
          <rPr>
            <sz val="10"/>
            <color indexed="81"/>
            <rFont val="Lucida Console"/>
            <family val="3"/>
          </rPr>
          <t>_x000D_
DM-Elétrica</t>
        </r>
      </text>
    </comment>
    <comment ref="X394" authorId="0" shapeId="0" xr:uid="{32D23EBB-29C4-4409-AD2C-E5DE67FE4676}">
      <text>
        <r>
          <rPr>
            <sz val="10"/>
            <color indexed="81"/>
            <rFont val="Lucida Console"/>
            <family val="3"/>
          </rPr>
          <t>_x000D_
EQUIP. MAT. P/ GERACAO, TRANSM. DISTR. RETIF...</t>
        </r>
      </text>
    </comment>
    <comment ref="Y394" authorId="0" shapeId="0" xr:uid="{A90AA3BE-27E0-4CF6-9801-0778C1FF48DA}">
      <text>
        <r>
          <rPr>
            <sz val="10"/>
            <color indexed="81"/>
            <rFont val="Lucida Console"/>
            <family val="3"/>
          </rPr>
          <t>_x000D_
TOMADAS DE USO DOMESTICO E INDUSTRIAL</t>
        </r>
      </text>
    </comment>
    <comment ref="AW394" authorId="0" shapeId="0" xr:uid="{04ADB550-B80F-4C85-BC72-2B317837F2AD}">
      <text>
        <r>
          <rPr>
            <sz val="10"/>
            <color indexed="81"/>
            <rFont val="Lucida Console"/>
            <family val="3"/>
          </rPr>
          <t>Tempo de Estoque (Meses)_x000D_
_x000D_
53,0</t>
        </r>
      </text>
    </comment>
    <comment ref="A395" authorId="0" shapeId="0" xr:uid="{C8CBB9F4-A56F-408C-B447-B6CD14DDD367}">
      <text>
        <r>
          <rPr>
            <sz val="10"/>
            <color indexed="81"/>
            <rFont val="Lucida Console"/>
            <family val="3"/>
          </rPr>
          <t>_x000D_
116874</t>
        </r>
      </text>
    </comment>
    <comment ref="B395" authorId="0" shapeId="0" xr:uid="{6E638B28-15FE-44FD-8BAA-15A5185E822F}">
      <text>
        <r>
          <rPr>
            <sz val="10"/>
            <color indexed="81"/>
            <rFont val="Lucida Console"/>
            <family val="3"/>
          </rPr>
          <t>DESCRIÇÃO DETALHADA_x000D_
TOMADA 2P + T DE 10/250V DE EMBUTIR COM ESPELHO PARA CAIXA 4X2, PADRAO NBR 14136</t>
        </r>
      </text>
    </comment>
    <comment ref="G395" authorId="0" shapeId="0" xr:uid="{F36E7486-7D4E-448D-A2B2-49BE48861BE1}">
      <text>
        <r>
          <rPr>
            <sz val="10"/>
            <color indexed="81"/>
            <rFont val="Lucida Console"/>
            <family val="3"/>
          </rPr>
          <t>_x000D_
Últ estimativa : 2.000_x000D_
Enviada em     : 17.01.2020_x000D_
Ata - Venc     : 228/20 - 05.10.2021</t>
        </r>
      </text>
    </comment>
    <comment ref="O395" authorId="0" shapeId="0" xr:uid="{3DDAEF8B-A122-4500-81A4-3B5FABB64026}">
      <text>
        <r>
          <rPr>
            <sz val="10"/>
            <color indexed="81"/>
            <rFont val="Lucida Console"/>
            <family val="3"/>
          </rPr>
          <t>_x000D_
Pertencia a ATA nº 228/20_x000D_
Estimativa de Renovação enviada em 17.01.2020 - Qtd 2.000_x000D_
PE 153/20 lote _x000D_
16.09.20 = Finalizado</t>
        </r>
      </text>
    </comment>
    <comment ref="W395" authorId="0" shapeId="0" xr:uid="{455BF2E8-DD53-42D0-9F10-E79A712E6B6E}">
      <text>
        <r>
          <rPr>
            <sz val="10"/>
            <color indexed="81"/>
            <rFont val="Lucida Console"/>
            <family val="3"/>
          </rPr>
          <t>_x000D_
DM-Elétrica</t>
        </r>
      </text>
    </comment>
    <comment ref="X395" authorId="0" shapeId="0" xr:uid="{BB5CF4F9-6D02-4E92-8DDF-F04F374FEB21}">
      <text>
        <r>
          <rPr>
            <sz val="10"/>
            <color indexed="81"/>
            <rFont val="Lucida Console"/>
            <family val="3"/>
          </rPr>
          <t>_x000D_
EQUIP. MAT. P/ GERACAO, TRANSM. DISTR. RETIF...</t>
        </r>
      </text>
    </comment>
    <comment ref="Y395" authorId="0" shapeId="0" xr:uid="{9CDD7FA6-680E-4830-AD68-C1DC4604063C}">
      <text>
        <r>
          <rPr>
            <sz val="10"/>
            <color indexed="81"/>
            <rFont val="Lucida Console"/>
            <family val="3"/>
          </rPr>
          <t>_x000D_
TOMADAS DE USO DOMESTICO E INDUSTRIAL</t>
        </r>
      </text>
    </comment>
    <comment ref="AW395" authorId="0" shapeId="0" xr:uid="{3394EF3A-B729-4D07-B674-CE0388D35FC6}">
      <text>
        <r>
          <rPr>
            <sz val="10"/>
            <color indexed="81"/>
            <rFont val="Lucida Console"/>
            <family val="3"/>
          </rPr>
          <t>Tempo de Estoque (Meses)_x000D_
_x000D_
703,0</t>
        </r>
      </text>
    </comment>
    <comment ref="A396" authorId="0" shapeId="0" xr:uid="{9001366C-207B-4065-9737-C26B89AD27C8}">
      <text>
        <r>
          <rPr>
            <sz val="10"/>
            <color indexed="81"/>
            <rFont val="Lucida Console"/>
            <family val="3"/>
          </rPr>
          <t>_x000D_
119181</t>
        </r>
      </text>
    </comment>
    <comment ref="B396" authorId="0" shapeId="0" xr:uid="{D3D9D493-C592-4871-B1A3-B09082438782}">
      <text>
        <r>
          <rPr>
            <sz val="10"/>
            <color indexed="81"/>
            <rFont val="Lucida Console"/>
            <family val="3"/>
          </rPr>
          <t>DESCRIÇÃO DETALHADA_x000D_
TOMADA MOVEL PADRAO NBR 14136 2P+T  DE 10A/250V</t>
        </r>
      </text>
    </comment>
    <comment ref="G396" authorId="0" shapeId="0" xr:uid="{698B1282-59C2-40DA-ACAB-DC9CF389A42A}">
      <text>
        <r>
          <rPr>
            <sz val="10"/>
            <color indexed="81"/>
            <rFont val="Lucida Console"/>
            <family val="3"/>
          </rPr>
          <t>_x000D_
Últ estimativa : 1.000_x000D_
Enviada em     : 17.01.2020_x000D_
Ata - Venc     : 228/20 - 05.10.2021</t>
        </r>
      </text>
    </comment>
    <comment ref="O396" authorId="0" shapeId="0" xr:uid="{4DE4EB4D-960E-4A19-A506-E740D79DC277}">
      <text>
        <r>
          <rPr>
            <sz val="10"/>
            <color indexed="81"/>
            <rFont val="Lucida Console"/>
            <family val="3"/>
          </rPr>
          <t>_x000D_
Pertencia a ATA nº 228/20_x000D_
Estimativa de Renovação enviada em 17.01.2020 - Qtd 1.000_x000D_
PE 153/20 lote _x000D_
16.09.20 = Finalizado</t>
        </r>
      </text>
    </comment>
    <comment ref="W396" authorId="0" shapeId="0" xr:uid="{7FC9C045-7C07-40AE-AA6F-C556363B8AD7}">
      <text>
        <r>
          <rPr>
            <sz val="10"/>
            <color indexed="81"/>
            <rFont val="Lucida Console"/>
            <family val="3"/>
          </rPr>
          <t>_x000D_
DM-Elétrica</t>
        </r>
      </text>
    </comment>
    <comment ref="X396" authorId="0" shapeId="0" xr:uid="{7648E608-4634-4572-A3B3-4E58362B95A5}">
      <text>
        <r>
          <rPr>
            <sz val="10"/>
            <color indexed="81"/>
            <rFont val="Lucida Console"/>
            <family val="3"/>
          </rPr>
          <t>_x000D_
EQUIP. MAT. P/ GERACAO, TRANSM. DISTR. RETIF...</t>
        </r>
      </text>
    </comment>
    <comment ref="Y396" authorId="0" shapeId="0" xr:uid="{0ACB6C7A-B146-495B-9AB9-FA5B376A1ED9}">
      <text>
        <r>
          <rPr>
            <sz val="10"/>
            <color indexed="81"/>
            <rFont val="Lucida Console"/>
            <family val="3"/>
          </rPr>
          <t>_x000D_
TOMADAS DE USO DOMESTICO E INDUSTRIAL</t>
        </r>
      </text>
    </comment>
    <comment ref="AW396" authorId="0" shapeId="0" xr:uid="{32BA9FC3-EEF9-4554-8DED-92C937B199F8}">
      <text>
        <r>
          <rPr>
            <sz val="10"/>
            <color indexed="81"/>
            <rFont val="Lucida Console"/>
            <family val="3"/>
          </rPr>
          <t>Tempo de Estoque (Meses)_x000D_
_x000D_
610,0</t>
        </r>
      </text>
    </comment>
    <comment ref="A397" authorId="0" shapeId="0" xr:uid="{ED3BF8AE-E38C-4B8D-8152-01E7BE56DD58}">
      <text>
        <r>
          <rPr>
            <sz val="10"/>
            <color indexed="81"/>
            <rFont val="Lucida Console"/>
            <family val="3"/>
          </rPr>
          <t>_x000D_
136082</t>
        </r>
      </text>
    </comment>
    <comment ref="B397" authorId="0" shapeId="0" xr:uid="{8CE35B06-B208-443A-A812-837027FC7F12}">
      <text>
        <r>
          <rPr>
            <sz val="10"/>
            <color indexed="81"/>
            <rFont val="Lucida Console"/>
            <family val="3"/>
          </rPr>
          <t>DESCRIÇÃO DETALHADA_x000D_
TOMADA PADRAO NBR 14136 COM 2 TOMADAS 2P + T DE 10A/250V DE EMBUTIR COM ESPELHO COR BRANCA PARA CAIXA 4X2.</t>
        </r>
      </text>
    </comment>
    <comment ref="G397" authorId="0" shapeId="0" xr:uid="{DE24C775-9795-463F-9839-BF0D95050657}">
      <text>
        <r>
          <rPr>
            <sz val="10"/>
            <color indexed="81"/>
            <rFont val="Lucida Console"/>
            <family val="3"/>
          </rPr>
          <t>_x000D_
Últ estimativa : 450_x000D_
Enviada em     : 17.01.2020_x000D_
Ata - Venc     : 228/20 - 05.10.2021</t>
        </r>
      </text>
    </comment>
    <comment ref="O397" authorId="0" shapeId="0" xr:uid="{8F62375E-B122-4E33-B8A4-D7503769E94B}">
      <text>
        <r>
          <rPr>
            <sz val="10"/>
            <color indexed="81"/>
            <rFont val="Lucida Console"/>
            <family val="3"/>
          </rPr>
          <t>_x000D_
Pertencia a ATA nº 228/20_x000D_
Estimativa de Renovação enviada em 17.01.2020 - Qtd 450_x000D_
PE 153/20 lote _x000D_
16.09.20 = Finalizado</t>
        </r>
      </text>
    </comment>
    <comment ref="W397" authorId="0" shapeId="0" xr:uid="{E55FD510-71CD-467D-9D46-AEBC7208AF49}">
      <text>
        <r>
          <rPr>
            <sz val="10"/>
            <color indexed="81"/>
            <rFont val="Lucida Console"/>
            <family val="3"/>
          </rPr>
          <t>_x000D_
DM-Elétrica</t>
        </r>
      </text>
    </comment>
    <comment ref="X397" authorId="0" shapeId="0" xr:uid="{B86AD6A7-76BC-444A-B960-076DB26EBA52}">
      <text>
        <r>
          <rPr>
            <sz val="10"/>
            <color indexed="81"/>
            <rFont val="Lucida Console"/>
            <family val="3"/>
          </rPr>
          <t>_x000D_
EQUIP. MAT. P/ GERACAO, TRANSM. DISTR. RETIF...</t>
        </r>
      </text>
    </comment>
    <comment ref="Y397" authorId="0" shapeId="0" xr:uid="{1CE7DDC1-E3FB-4D34-A658-27F29631A4A4}">
      <text>
        <r>
          <rPr>
            <sz val="10"/>
            <color indexed="81"/>
            <rFont val="Lucida Console"/>
            <family val="3"/>
          </rPr>
          <t>_x000D_
TOMADAS DE USO DOMESTICO E INDUSTRIAL</t>
        </r>
      </text>
    </comment>
    <comment ref="AW397" authorId="0" shapeId="0" xr:uid="{78E93ED9-1028-4880-A59C-98A284723F6A}">
      <text>
        <r>
          <rPr>
            <sz val="10"/>
            <color indexed="81"/>
            <rFont val="Lucida Console"/>
            <family val="3"/>
          </rPr>
          <t>Tempo de Estoque (Meses)_x000D_
_x000D_
700,0</t>
        </r>
      </text>
    </comment>
    <comment ref="A398" authorId="0" shapeId="0" xr:uid="{8091AD95-B036-4BE7-9325-5E4F04596EA9}">
      <text>
        <r>
          <rPr>
            <sz val="10"/>
            <color indexed="81"/>
            <rFont val="Lucida Console"/>
            <family val="3"/>
          </rPr>
          <t>_x000D_
136083</t>
        </r>
      </text>
    </comment>
    <comment ref="B398" authorId="0" shapeId="0" xr:uid="{6780C0FC-11BA-4F3D-B483-5B5F4D9825DC}">
      <text>
        <r>
          <rPr>
            <sz val="10"/>
            <color indexed="81"/>
            <rFont val="Lucida Console"/>
            <family val="3"/>
          </rPr>
          <t>DESCRIÇÃO DETALHADA_x000D_
TOMADA PADRAO NBR 14136 2P + T DE 10A/250V DE SOBREPOR COM CAIXA COR BRANCA.</t>
        </r>
      </text>
    </comment>
    <comment ref="G398" authorId="0" shapeId="0" xr:uid="{BEB4F2FD-771F-423B-92C5-CCC1C55832C3}">
      <text>
        <r>
          <rPr>
            <sz val="10"/>
            <color indexed="81"/>
            <rFont val="Lucida Console"/>
            <family val="3"/>
          </rPr>
          <t>_x000D_
Últ estimativa : 400_x000D_
Enviada em     : 17.01.2020_x000D_
Ata - Venc     : 228/20 - 05.10.2021</t>
        </r>
      </text>
    </comment>
    <comment ref="O398" authorId="0" shapeId="0" xr:uid="{C736D9F9-B45A-40AF-91B4-1F4A37D0ADB5}">
      <text>
        <r>
          <rPr>
            <sz val="10"/>
            <color indexed="81"/>
            <rFont val="Lucida Console"/>
            <family val="3"/>
          </rPr>
          <t>_x000D_
Pertencia a ATA nº 228/20_x000D_
Estimativa de Renovação enviada em 17.01.2020 - Qtd 400_x000D_
PE 153/20 lote _x000D_
16.09.20 = Finalizado</t>
        </r>
      </text>
    </comment>
    <comment ref="W398" authorId="0" shapeId="0" xr:uid="{00AF0C8D-38F9-4EEF-B8E3-C45842C2CFEB}">
      <text>
        <r>
          <rPr>
            <sz val="10"/>
            <color indexed="81"/>
            <rFont val="Lucida Console"/>
            <family val="3"/>
          </rPr>
          <t>_x000D_
DM-Elétrica</t>
        </r>
      </text>
    </comment>
    <comment ref="X398" authorId="0" shapeId="0" xr:uid="{E45B6614-C02C-457A-A085-EB7DF9377B65}">
      <text>
        <r>
          <rPr>
            <sz val="10"/>
            <color indexed="81"/>
            <rFont val="Lucida Console"/>
            <family val="3"/>
          </rPr>
          <t>_x000D_
EQUIP. MAT. P/ GERACAO, TRANSM. DISTR. RETIF...</t>
        </r>
      </text>
    </comment>
    <comment ref="Y398" authorId="0" shapeId="0" xr:uid="{706D1A00-C432-4E7C-AB02-412E154CCCF4}">
      <text>
        <r>
          <rPr>
            <sz val="10"/>
            <color indexed="81"/>
            <rFont val="Lucida Console"/>
            <family val="3"/>
          </rPr>
          <t>_x000D_
TOMADAS DE USO DOMESTICO E INDUSTRIAL</t>
        </r>
      </text>
    </comment>
    <comment ref="AW398" authorId="0" shapeId="0" xr:uid="{A11A75D9-A2D6-4185-BCAC-F797F3E45F0E}">
      <text>
        <r>
          <rPr>
            <sz val="10"/>
            <color indexed="81"/>
            <rFont val="Lucida Console"/>
            <family val="3"/>
          </rPr>
          <t>Tempo de Estoque (Meses)_x000D_
_x000D_
436,0</t>
        </r>
      </text>
    </comment>
    <comment ref="A399" authorId="0" shapeId="0" xr:uid="{FB6C704C-D194-4472-9ED7-2653271467F4}">
      <text>
        <r>
          <rPr>
            <sz val="10"/>
            <color indexed="81"/>
            <rFont val="Lucida Console"/>
            <family val="3"/>
          </rPr>
          <t>_x000D_
50797</t>
        </r>
      </text>
    </comment>
    <comment ref="B399" authorId="0" shapeId="0" xr:uid="{531F99E8-0FE9-4ABC-A763-E38C4DC5D06D}">
      <text>
        <r>
          <rPr>
            <sz val="10"/>
            <color indexed="81"/>
            <rFont val="Lucida Console"/>
            <family val="3"/>
          </rPr>
          <t>DESCRIÇÃO DETALHADA_x000D_
CHUVEIRO ELETRICO AUTOMATICO - CORPO EM PLASTICO 220V/5400W</t>
        </r>
      </text>
    </comment>
    <comment ref="G399" authorId="0" shapeId="0" xr:uid="{2FE355A0-C7E9-4C5D-A78A-096B872EE351}">
      <text>
        <r>
          <rPr>
            <sz val="10"/>
            <color indexed="81"/>
            <rFont val="Lucida Console"/>
            <family val="3"/>
          </rPr>
          <t>_x000D_
Últ estimativa : 320_x000D_
Enviada em     : 17.01.2020_x000D_
Ata - Venc     : 228/20 - 05.10.2021</t>
        </r>
      </text>
    </comment>
    <comment ref="O399" authorId="0" shapeId="0" xr:uid="{0EA06255-05CA-4D6D-B4F6-4BA77831A686}">
      <text>
        <r>
          <rPr>
            <sz val="10"/>
            <color indexed="81"/>
            <rFont val="Lucida Console"/>
            <family val="3"/>
          </rPr>
          <t>_x000D_
Pertencia a ATA nº 228/20_x000D_
Estimativa de Renovação enviada em 17.01.2020 - Qtd 320_x000D_
PE 153/20 lote _x000D_
16.09.20 = Finalizado</t>
        </r>
      </text>
    </comment>
    <comment ref="W399" authorId="0" shapeId="0" xr:uid="{5BBABB48-633D-4EAE-9427-0993EC0F34DC}">
      <text>
        <r>
          <rPr>
            <sz val="10"/>
            <color indexed="81"/>
            <rFont val="Lucida Console"/>
            <family val="3"/>
          </rPr>
          <t>_x000D_
DM-Hidráulica</t>
        </r>
      </text>
    </comment>
    <comment ref="X399" authorId="0" shapeId="0" xr:uid="{1E96DA95-C4F5-4A0C-992E-613DAEE82A65}">
      <text>
        <r>
          <rPr>
            <sz val="10"/>
            <color indexed="81"/>
            <rFont val="Lucida Console"/>
            <family val="3"/>
          </rPr>
          <t>_x000D_
MATERIAL HIDRAULICO, CANOS, TUBOS, MANGUEIRAS, CONEXOES E ACESS.</t>
        </r>
      </text>
    </comment>
    <comment ref="Y399" authorId="0" shapeId="0" xr:uid="{0F672781-BA23-4B86-B701-C8AA0409241F}">
      <text>
        <r>
          <rPr>
            <sz val="10"/>
            <color indexed="81"/>
            <rFont val="Lucida Console"/>
            <family val="3"/>
          </rPr>
          <t>_x000D_
CHUVEIROS E DUCHAS</t>
        </r>
      </text>
    </comment>
    <comment ref="AW399" authorId="0" shapeId="0" xr:uid="{46FCCE24-FB37-4C31-B262-0C8D6EF25E18}">
      <text>
        <r>
          <rPr>
            <sz val="10"/>
            <color indexed="81"/>
            <rFont val="Lucida Console"/>
            <family val="3"/>
          </rPr>
          <t>Tempo de Estoque (Meses)_x000D_
_x000D_
108,0</t>
        </r>
      </text>
    </comment>
    <comment ref="A400" authorId="0" shapeId="0" xr:uid="{BCF6B480-8779-4A00-8CFB-B33A1732086E}">
      <text>
        <r>
          <rPr>
            <sz val="10"/>
            <color indexed="81"/>
            <rFont val="Lucida Console"/>
            <family val="3"/>
          </rPr>
          <t>_x000D_
59882</t>
        </r>
      </text>
    </comment>
    <comment ref="B400" authorId="0" shapeId="0" xr:uid="{97F54104-3E58-4D72-A370-D8D760E7CD90}">
      <text>
        <r>
          <rPr>
            <sz val="10"/>
            <color indexed="81"/>
            <rFont val="Lucida Console"/>
            <family val="3"/>
          </rPr>
          <t>DESCRIÇÃO DETALHADA_x000D_
BARRA/FIO REDONDO DE ACO CA 50 P/CONSTRUCAO NBR 7480 - 3/8"BARRA C/ 12 METROS</t>
        </r>
      </text>
    </comment>
    <comment ref="G400" authorId="0" shapeId="0" xr:uid="{11486AC4-2403-4B7F-B151-7607CF266C95}">
      <text>
        <r>
          <rPr>
            <sz val="10"/>
            <color indexed="81"/>
            <rFont val="Lucida Console"/>
            <family val="3"/>
          </rPr>
          <t>_x000D_
Últ estimativa : 3.000_x000D_
Enviada em     : 19.05.2021_x000D_
Ata - Venc     : 233/19 - 21.09.2020</t>
        </r>
      </text>
    </comment>
    <comment ref="O400" authorId="0" shapeId="0" xr:uid="{FDFDE84E-9651-4542-8CE7-F3CC146B0DB6}">
      <text>
        <r>
          <rPr>
            <sz val="10"/>
            <color indexed="81"/>
            <rFont val="Lucida Console"/>
            <family val="3"/>
          </rPr>
          <t>_x000D_
Pertencia a ATA nº 233/19_x000D_
Estimativa de Renovação enviada em 19.05.2021 - Qtd 3.000_x000D_
PP 125/19 lote 10_x000D_
24.09.19 = Finalizar - contrato assinado</t>
        </r>
      </text>
    </comment>
    <comment ref="W400" authorId="0" shapeId="0" xr:uid="{7DAB9458-7B5C-48B5-AA3C-511FB46D8183}">
      <text>
        <r>
          <rPr>
            <sz val="10"/>
            <color indexed="81"/>
            <rFont val="Lucida Console"/>
            <family val="3"/>
          </rPr>
          <t>_x000D_
DM-Construção</t>
        </r>
      </text>
    </comment>
    <comment ref="X400" authorId="0" shapeId="0" xr:uid="{3865BA27-80A3-4C4F-A443-C70A4DD9EC6C}">
      <text>
        <r>
          <rPr>
            <sz val="10"/>
            <color indexed="81"/>
            <rFont val="Lucida Console"/>
            <family val="3"/>
          </rPr>
          <t>_x000D_
METAIS,LAMINAD.,PERFILADOS E ARTEFATOS METALICOS</t>
        </r>
      </text>
    </comment>
    <comment ref="Y400" authorId="0" shapeId="0" xr:uid="{880F632B-D992-43BF-B4DF-7A887F3CD752}">
      <text>
        <r>
          <rPr>
            <sz val="10"/>
            <color indexed="81"/>
            <rFont val="Lucida Console"/>
            <family val="3"/>
          </rPr>
          <t>_x000D_
FERROS E ACOS AVULSOS</t>
        </r>
      </text>
    </comment>
    <comment ref="AW400" authorId="0" shapeId="0" xr:uid="{86DF53A0-8E25-430F-8E54-94FCB915F107}">
      <text>
        <r>
          <rPr>
            <sz val="10"/>
            <color indexed="81"/>
            <rFont val="Lucida Console"/>
            <family val="3"/>
          </rPr>
          <t>Tempo de Estoque (Meses)_x000D_
_x000D_
1.986,0</t>
        </r>
      </text>
    </comment>
    <comment ref="A401" authorId="0" shapeId="0" xr:uid="{4E7BF4BA-9D0D-45F0-AD12-018C143C5355}">
      <text>
        <r>
          <rPr>
            <sz val="10"/>
            <color indexed="81"/>
            <rFont val="Lucida Console"/>
            <family val="3"/>
          </rPr>
          <t>_x000D_
59942</t>
        </r>
      </text>
    </comment>
    <comment ref="B401" authorId="0" shapeId="0" xr:uid="{1AF12A31-6209-4CAE-A255-BC4D027C977F}">
      <text>
        <r>
          <rPr>
            <sz val="10"/>
            <color indexed="81"/>
            <rFont val="Lucida Console"/>
            <family val="3"/>
          </rPr>
          <t>DESCRIÇÃO DETALHADA_x000D_
BARRA/FIO REDONDO DE ACO CA 50 P/CONSTRUCAO NBR 7480 - 5/16" - BARRA C/ 12 METROS</t>
        </r>
      </text>
    </comment>
    <comment ref="G401" authorId="0" shapeId="0" xr:uid="{825867DE-6D91-466A-82B9-DDC264CC89AD}">
      <text>
        <r>
          <rPr>
            <sz val="10"/>
            <color indexed="81"/>
            <rFont val="Lucida Console"/>
            <family val="3"/>
          </rPr>
          <t>_x000D_
Últ estimativa : 1.200_x000D_
Enviada em     : 19.05.2021_x000D_
Ata - Venc     : 233/19 - 21.09.2020</t>
        </r>
      </text>
    </comment>
    <comment ref="O401" authorId="0" shapeId="0" xr:uid="{88985983-4A5A-4380-8A71-9A1DA27CF74F}">
      <text>
        <r>
          <rPr>
            <sz val="10"/>
            <color indexed="81"/>
            <rFont val="Lucida Console"/>
            <family val="3"/>
          </rPr>
          <t>_x000D_
Pertencia a ATA nº 233/19_x000D_
Estimativa de Renovação enviada em 19.05.2021 - Qtd 1.200_x000D_
PP 125/19 lote 10_x000D_
24.09.19 = Finalizar - contrato assinado</t>
        </r>
      </text>
    </comment>
    <comment ref="W401" authorId="0" shapeId="0" xr:uid="{80ACABAC-D752-49DD-AB57-195981A1B676}">
      <text>
        <r>
          <rPr>
            <sz val="10"/>
            <color indexed="81"/>
            <rFont val="Lucida Console"/>
            <family val="3"/>
          </rPr>
          <t>_x000D_
DM-Construção</t>
        </r>
      </text>
    </comment>
    <comment ref="X401" authorId="0" shapeId="0" xr:uid="{F7FAFD76-3B10-4CC5-8095-BC8CE3A9DC06}">
      <text>
        <r>
          <rPr>
            <sz val="10"/>
            <color indexed="81"/>
            <rFont val="Lucida Console"/>
            <family val="3"/>
          </rPr>
          <t>_x000D_
METAIS,LAMINAD.,PERFILADOS E ARTEFATOS METALICOS</t>
        </r>
      </text>
    </comment>
    <comment ref="Y401" authorId="0" shapeId="0" xr:uid="{D8A87DA3-DAF8-4E3C-803B-9B41EDCAF2C5}">
      <text>
        <r>
          <rPr>
            <sz val="10"/>
            <color indexed="81"/>
            <rFont val="Lucida Console"/>
            <family val="3"/>
          </rPr>
          <t>_x000D_
FERROS E ACOS AVULSOS</t>
        </r>
      </text>
    </comment>
    <comment ref="AW401" authorId="0" shapeId="0" xr:uid="{0CA38289-91CD-4EF5-BB94-28831436E302}">
      <text>
        <r>
          <rPr>
            <sz val="10"/>
            <color indexed="81"/>
            <rFont val="Lucida Console"/>
            <family val="3"/>
          </rPr>
          <t>Tempo de Estoque (Meses)_x000D_
_x000D_
508,0</t>
        </r>
      </text>
    </comment>
    <comment ref="A402" authorId="0" shapeId="0" xr:uid="{8B468E36-A659-4E9A-8E99-465DE6B9BD2F}">
      <text>
        <r>
          <rPr>
            <sz val="10"/>
            <color indexed="81"/>
            <rFont val="Lucida Console"/>
            <family val="3"/>
          </rPr>
          <t>_x000D_
64604</t>
        </r>
      </text>
    </comment>
    <comment ref="B402" authorId="0" shapeId="0" xr:uid="{8C395A8C-91D8-4FA5-B3C3-7A5484922C48}">
      <text>
        <r>
          <rPr>
            <sz val="10"/>
            <color indexed="81"/>
            <rFont val="Lucida Console"/>
            <family val="3"/>
          </rPr>
          <t>DESCRIÇÃO DETALHADA_x000D_
BARRA/FIO REDONDO PARA CONSTRUCAO, DE ACO CA50 - NBR 7480 - 1/4"BARRA C/ 12 METROS</t>
        </r>
      </text>
    </comment>
    <comment ref="G402" authorId="0" shapeId="0" xr:uid="{B5F7BD5D-71D0-43DB-A2CA-688A75FE5F22}">
      <text>
        <r>
          <rPr>
            <sz val="10"/>
            <color indexed="81"/>
            <rFont val="Lucida Console"/>
            <family val="3"/>
          </rPr>
          <t>_x000D_
Últ estimativa : 1.200_x000D_
Enviada em     : 19.05.2021_x000D_
Ata - Venc     : 233/19 - 21.09.2020</t>
        </r>
      </text>
    </comment>
    <comment ref="O402" authorId="0" shapeId="0" xr:uid="{0BE7AAA5-6856-4D5A-B95F-387D2CF0FC7B}">
      <text>
        <r>
          <rPr>
            <sz val="10"/>
            <color indexed="81"/>
            <rFont val="Lucida Console"/>
            <family val="3"/>
          </rPr>
          <t>_x000D_
Pertencia a ATA nº 233/19_x000D_
Estimativa de Renovação enviada em 19.05.2021 - Qtd 1.200_x000D_
PP 125/19 lote 14_x000D_
24.09.19 = Finalizar - contrato assinado</t>
        </r>
      </text>
    </comment>
    <comment ref="W402" authorId="0" shapeId="0" xr:uid="{ECB34735-2FD9-4EC3-B9CC-97D77F9C16B8}">
      <text>
        <r>
          <rPr>
            <sz val="10"/>
            <color indexed="81"/>
            <rFont val="Lucida Console"/>
            <family val="3"/>
          </rPr>
          <t>_x000D_
DM-Construção</t>
        </r>
      </text>
    </comment>
    <comment ref="X402" authorId="0" shapeId="0" xr:uid="{3FD00BC8-9E58-4D99-8D09-3C2968CC7107}">
      <text>
        <r>
          <rPr>
            <sz val="10"/>
            <color indexed="81"/>
            <rFont val="Lucida Console"/>
            <family val="3"/>
          </rPr>
          <t>_x000D_
METAIS,LAMINAD.,PERFILADOS E ARTEFATOS METALICOS</t>
        </r>
      </text>
    </comment>
    <comment ref="Y402" authorId="0" shapeId="0" xr:uid="{6087E3F8-BBEB-42F4-9BCC-01BF5290B66D}">
      <text>
        <r>
          <rPr>
            <sz val="10"/>
            <color indexed="81"/>
            <rFont val="Lucida Console"/>
            <family val="3"/>
          </rPr>
          <t>_x000D_
FERROS E ACOS AVULSOS</t>
        </r>
      </text>
    </comment>
    <comment ref="AW402" authorId="0" shapeId="0" xr:uid="{173489F1-CA97-4EF3-869E-FC9099A684DF}">
      <text>
        <r>
          <rPr>
            <sz val="10"/>
            <color indexed="81"/>
            <rFont val="Lucida Console"/>
            <family val="3"/>
          </rPr>
          <t>Tempo de Estoque (Meses)_x000D_
_x000D_
1.361,0</t>
        </r>
      </text>
    </comment>
    <comment ref="A403" authorId="0" shapeId="0" xr:uid="{6CCB84B5-BE8F-433F-98E5-649B89268C33}">
      <text>
        <r>
          <rPr>
            <sz val="10"/>
            <color indexed="81"/>
            <rFont val="Lucida Console"/>
            <family val="3"/>
          </rPr>
          <t>_x000D_
64605</t>
        </r>
      </text>
    </comment>
    <comment ref="B403" authorId="0" shapeId="0" xr:uid="{545791B1-6814-4756-8316-DDFE43D785F3}">
      <text>
        <r>
          <rPr>
            <sz val="10"/>
            <color indexed="81"/>
            <rFont val="Lucida Console"/>
            <family val="3"/>
          </rPr>
          <t>DESCRIÇÃO DETALHADA_x000D_
BARRA/FIO REDONDO PARA CONSTRUCAO, DE ACO CA50 - NBR 7480 - 3/16" - BARRA COM 12 METROS</t>
        </r>
      </text>
    </comment>
    <comment ref="G403" authorId="0" shapeId="0" xr:uid="{1C14E15D-7899-4B48-A17B-36B9275E36C6}">
      <text>
        <r>
          <rPr>
            <sz val="10"/>
            <color indexed="81"/>
            <rFont val="Lucida Console"/>
            <family val="3"/>
          </rPr>
          <t>_x000D_
Últ estimativa : 800_x000D_
Enviada em     : 19.05.2021_x000D_
Ata - Venc     : 233/19 - 21.09.2020</t>
        </r>
      </text>
    </comment>
    <comment ref="O403" authorId="0" shapeId="0" xr:uid="{D3538ECA-A575-4B8A-8FE9-B71F24B07039}">
      <text>
        <r>
          <rPr>
            <sz val="10"/>
            <color indexed="81"/>
            <rFont val="Lucida Console"/>
            <family val="3"/>
          </rPr>
          <t>_x000D_
Pertencia a ATA nº 233/19_x000D_
Estimativa de Renovação enviada em 19.05.2021 - Qtd 800_x000D_
PP 125/19 lote 15_x000D_
24.09.19 = Finalizar - contrato assinado</t>
        </r>
      </text>
    </comment>
    <comment ref="W403" authorId="0" shapeId="0" xr:uid="{E4224E31-7DC3-42E0-ADE7-D4D80EFF9D28}">
      <text>
        <r>
          <rPr>
            <sz val="10"/>
            <color indexed="81"/>
            <rFont val="Lucida Console"/>
            <family val="3"/>
          </rPr>
          <t>_x000D_
DM-Construção</t>
        </r>
      </text>
    </comment>
    <comment ref="X403" authorId="0" shapeId="0" xr:uid="{46F9EAD4-6E70-4EC5-BDA6-AFE381BDB48D}">
      <text>
        <r>
          <rPr>
            <sz val="10"/>
            <color indexed="81"/>
            <rFont val="Lucida Console"/>
            <family val="3"/>
          </rPr>
          <t>_x000D_
METAIS,LAMINAD.,PERFILADOS E ARTEFATOS METALICOS</t>
        </r>
      </text>
    </comment>
    <comment ref="Y403" authorId="0" shapeId="0" xr:uid="{E3AB2CA1-5010-40C8-A756-833572B4E1F5}">
      <text>
        <r>
          <rPr>
            <sz val="10"/>
            <color indexed="81"/>
            <rFont val="Lucida Console"/>
            <family val="3"/>
          </rPr>
          <t>_x000D_
FERROS E ACOS AVULSOS</t>
        </r>
      </text>
    </comment>
    <comment ref="AW403" authorId="0" shapeId="0" xr:uid="{F82F8022-1F44-4CEB-9DC1-BF94AC161BEA}">
      <text>
        <r>
          <rPr>
            <sz val="10"/>
            <color indexed="81"/>
            <rFont val="Lucida Console"/>
            <family val="3"/>
          </rPr>
          <t>Tempo de Estoque (Meses)_x000D_
_x000D_
1.020,0</t>
        </r>
      </text>
    </comment>
    <comment ref="A404" authorId="0" shapeId="0" xr:uid="{1912EFF8-A786-49A7-96F6-9C18F102EE5E}">
      <text>
        <r>
          <rPr>
            <sz val="10"/>
            <color indexed="81"/>
            <rFont val="Lucida Console"/>
            <family val="3"/>
          </rPr>
          <t>_x000D_
64627</t>
        </r>
      </text>
    </comment>
    <comment ref="B404" authorId="0" shapeId="0" xr:uid="{9202735D-C7B5-4B11-B2CD-BA505B30B8EB}">
      <text>
        <r>
          <rPr>
            <sz val="10"/>
            <color indexed="81"/>
            <rFont val="Lucida Console"/>
            <family val="3"/>
          </rPr>
          <t>DESCRIÇÃO DETALHADA_x000D_
FERRO REDONDO - 1/2" - MECANICO - BARRA COM 06 METROS</t>
        </r>
      </text>
    </comment>
    <comment ref="G404" authorId="0" shapeId="0" xr:uid="{586060D5-F567-45FD-AF09-CB1FD542DF34}">
      <text>
        <r>
          <rPr>
            <sz val="10"/>
            <color indexed="81"/>
            <rFont val="Lucida Console"/>
            <family val="3"/>
          </rPr>
          <t>_x000D_
Últ estimativa : 800_x000D_
Enviada em     : 19.05.2021_x000D_
Ata - Venc     : 233/19 - 21.09.2020</t>
        </r>
      </text>
    </comment>
    <comment ref="O404" authorId="0" shapeId="0" xr:uid="{449FBEA4-1AEA-45D6-B2C0-E29DECCB055B}">
      <text>
        <r>
          <rPr>
            <sz val="10"/>
            <color indexed="81"/>
            <rFont val="Lucida Console"/>
            <family val="3"/>
          </rPr>
          <t>_x000D_
Pertencia a ATA nº 233/19_x000D_
Estimativa de Renovação enviada em 19.05.2021 - Qtd 800_x000D_
PP 125/19 lote _x000D_
24.09.19 = Finalizar - contrato assinado</t>
        </r>
      </text>
    </comment>
    <comment ref="W404" authorId="0" shapeId="0" xr:uid="{89DACE35-6306-4FA0-A2E8-8DDE2CD8C27A}">
      <text>
        <r>
          <rPr>
            <sz val="10"/>
            <color indexed="81"/>
            <rFont val="Lucida Console"/>
            <family val="3"/>
          </rPr>
          <t>_x000D_
DM-Construção</t>
        </r>
      </text>
    </comment>
    <comment ref="X404" authorId="0" shapeId="0" xr:uid="{329F35B1-F6D5-4249-A69D-56B3DBAF2F98}">
      <text>
        <r>
          <rPr>
            <sz val="10"/>
            <color indexed="81"/>
            <rFont val="Lucida Console"/>
            <family val="3"/>
          </rPr>
          <t>_x000D_
METAIS,LAMINAD.,PERFILADOS E ARTEFATOS METALICOS</t>
        </r>
      </text>
    </comment>
    <comment ref="Y404" authorId="0" shapeId="0" xr:uid="{BCD084E7-C8B6-4D98-990C-6552ADABCBE7}">
      <text>
        <r>
          <rPr>
            <sz val="10"/>
            <color indexed="81"/>
            <rFont val="Lucida Console"/>
            <family val="3"/>
          </rPr>
          <t>_x000D_
FERROS E ACOS AVULSOS</t>
        </r>
      </text>
    </comment>
    <comment ref="AW404" authorId="0" shapeId="0" xr:uid="{46A8084A-3F15-446E-B1E3-E5096A5B00A7}">
      <text>
        <r>
          <rPr>
            <sz val="10"/>
            <color indexed="81"/>
            <rFont val="Lucida Console"/>
            <family val="3"/>
          </rPr>
          <t>Tempo de Estoque (Meses)_x000D_
_x000D_
2.121,0</t>
        </r>
      </text>
    </comment>
    <comment ref="A405" authorId="0" shapeId="0" xr:uid="{F83A3A80-F7DD-4CAF-87B9-6EEF447EE435}">
      <text>
        <r>
          <rPr>
            <sz val="10"/>
            <color indexed="81"/>
            <rFont val="Lucida Console"/>
            <family val="3"/>
          </rPr>
          <t>_x000D_
64860</t>
        </r>
      </text>
    </comment>
    <comment ref="B405" authorId="0" shapeId="0" xr:uid="{3CB26CB8-7B8D-4841-98D5-71A4B8312105}">
      <text>
        <r>
          <rPr>
            <sz val="10"/>
            <color indexed="81"/>
            <rFont val="Lucida Console"/>
            <family val="3"/>
          </rPr>
          <t>DESCRIÇÃO DETALHADA_x000D_
FERRO CHATO 1 1/2" X 1/8" BARRA C/ 06 METROS</t>
        </r>
      </text>
    </comment>
    <comment ref="G405" authorId="0" shapeId="0" xr:uid="{9CD2B4D4-FB13-4615-AE9B-7ADF54A2CE58}">
      <text>
        <r>
          <rPr>
            <sz val="10"/>
            <color indexed="81"/>
            <rFont val="Lucida Console"/>
            <family val="3"/>
          </rPr>
          <t>_x000D_
Últ estimativa : 500_x000D_
Enviada em     : 19.05.2021_x000D_
Ata - Venc     : 233/19 - 21.09.2020</t>
        </r>
      </text>
    </comment>
    <comment ref="O405" authorId="0" shapeId="0" xr:uid="{ACD579B9-A963-4684-84F5-BB195ECCF616}">
      <text>
        <r>
          <rPr>
            <sz val="10"/>
            <color indexed="81"/>
            <rFont val="Lucida Console"/>
            <family val="3"/>
          </rPr>
          <t>_x000D_
Pertencia a ATA nº 233/19_x000D_
Estimativa de Renovação enviada em 19.05.2021 - Qtd 500_x000D_
PP 125/19 lote _x000D_
24.09.19 = Finalizar - contrato assinado</t>
        </r>
      </text>
    </comment>
    <comment ref="W405" authorId="0" shapeId="0" xr:uid="{A42027D4-DC7D-4A79-A1C5-9B471B48D397}">
      <text>
        <r>
          <rPr>
            <sz val="10"/>
            <color indexed="81"/>
            <rFont val="Lucida Console"/>
            <family val="3"/>
          </rPr>
          <t>_x000D_
DM-Construção</t>
        </r>
      </text>
    </comment>
    <comment ref="X405" authorId="0" shapeId="0" xr:uid="{2725577D-8718-4A36-ACBC-1FAD7E620A62}">
      <text>
        <r>
          <rPr>
            <sz val="10"/>
            <color indexed="81"/>
            <rFont val="Lucida Console"/>
            <family val="3"/>
          </rPr>
          <t>_x000D_
METAIS,LAMINAD.,PERFILADOS E ARTEFATOS METALICOS</t>
        </r>
      </text>
    </comment>
    <comment ref="Y405" authorId="0" shapeId="0" xr:uid="{F5E2B8A4-81A8-4D57-B425-B79E13C78C1E}">
      <text>
        <r>
          <rPr>
            <sz val="10"/>
            <color indexed="81"/>
            <rFont val="Lucida Console"/>
            <family val="3"/>
          </rPr>
          <t>_x000D_
FERROS E ACOS AVULSOS</t>
        </r>
      </text>
    </comment>
    <comment ref="AW405" authorId="0" shapeId="0" xr:uid="{E3DDD81F-AEA0-4AA3-B61C-6597AEB1CFDE}">
      <text>
        <r>
          <rPr>
            <sz val="10"/>
            <color indexed="81"/>
            <rFont val="Lucida Console"/>
            <family val="3"/>
          </rPr>
          <t>Tempo de Estoque (Meses)_x000D_
_x000D_
106,0</t>
        </r>
      </text>
    </comment>
    <comment ref="A406" authorId="0" shapeId="0" xr:uid="{A763817B-5539-48EE-A315-D383CCBB18D4}">
      <text>
        <r>
          <rPr>
            <sz val="10"/>
            <color indexed="81"/>
            <rFont val="Lucida Console"/>
            <family val="3"/>
          </rPr>
          <t>_x000D_
64861</t>
        </r>
      </text>
    </comment>
    <comment ref="B406" authorId="0" shapeId="0" xr:uid="{040755A5-CF6B-416E-8E0F-9B796164401C}">
      <text>
        <r>
          <rPr>
            <sz val="10"/>
            <color indexed="81"/>
            <rFont val="Lucida Console"/>
            <family val="3"/>
          </rPr>
          <t>DESCRIÇÃO DETALHADA_x000D_
FERRO CHATO 3/4" X 1/8" BARRA C/ 06 METROS</t>
        </r>
      </text>
    </comment>
    <comment ref="G406" authorId="0" shapeId="0" xr:uid="{9F4027F7-964F-4A64-800C-6AC042E60391}">
      <text>
        <r>
          <rPr>
            <sz val="10"/>
            <color indexed="81"/>
            <rFont val="Lucida Console"/>
            <family val="3"/>
          </rPr>
          <t>_x000D_
Últ estimativa : 500_x000D_
Enviada em     : 19.05.2021_x000D_
Ata - Venc     : 233/19 - 21.09.2020</t>
        </r>
      </text>
    </comment>
    <comment ref="O406" authorId="0" shapeId="0" xr:uid="{8900897C-8EF6-4E40-BBB6-5C08884EF49F}">
      <text>
        <r>
          <rPr>
            <sz val="10"/>
            <color indexed="81"/>
            <rFont val="Lucida Console"/>
            <family val="3"/>
          </rPr>
          <t>_x000D_
Pertencia a ATA nº 233/19_x000D_
Estimativa de Renovação enviada em 19.05.2021 - Qtd 500_x000D_
PP 125/19 lote _x000D_
24.09.19 = Finalizar - contrato assinado</t>
        </r>
      </text>
    </comment>
    <comment ref="W406" authorId="0" shapeId="0" xr:uid="{92861C3F-CA64-49AE-A648-B01CBED94663}">
      <text>
        <r>
          <rPr>
            <sz val="10"/>
            <color indexed="81"/>
            <rFont val="Lucida Console"/>
            <family val="3"/>
          </rPr>
          <t>_x000D_
DM-Construção</t>
        </r>
      </text>
    </comment>
    <comment ref="X406" authorId="0" shapeId="0" xr:uid="{8BBD95AD-E5F4-48A6-A38A-FFB243DB2321}">
      <text>
        <r>
          <rPr>
            <sz val="10"/>
            <color indexed="81"/>
            <rFont val="Lucida Console"/>
            <family val="3"/>
          </rPr>
          <t>_x000D_
METAIS,LAMINAD.,PERFILADOS E ARTEFATOS METALICOS</t>
        </r>
      </text>
    </comment>
    <comment ref="Y406" authorId="0" shapeId="0" xr:uid="{ED1302A7-7944-49F4-A08B-A1CE97A40DC0}">
      <text>
        <r>
          <rPr>
            <sz val="10"/>
            <color indexed="81"/>
            <rFont val="Lucida Console"/>
            <family val="3"/>
          </rPr>
          <t>_x000D_
FERROS E ACOS AVULSOS</t>
        </r>
      </text>
    </comment>
    <comment ref="AW406" authorId="0" shapeId="0" xr:uid="{D1ADA161-34D2-431E-9CEE-B809D0BA4080}">
      <text>
        <r>
          <rPr>
            <sz val="10"/>
            <color indexed="81"/>
            <rFont val="Lucida Console"/>
            <family val="3"/>
          </rPr>
          <t>Tempo de Estoque (Meses)_x000D_
_x000D_
1.790,0</t>
        </r>
      </text>
    </comment>
    <comment ref="A407" authorId="0" shapeId="0" xr:uid="{49CB60C2-DB55-4460-95E3-FACD67AD460C}">
      <text>
        <r>
          <rPr>
            <sz val="10"/>
            <color indexed="81"/>
            <rFont val="Lucida Console"/>
            <family val="3"/>
          </rPr>
          <t>_x000D_
77786</t>
        </r>
      </text>
    </comment>
    <comment ref="B407" authorId="0" shapeId="0" xr:uid="{B831B060-37A0-45EE-B47C-DCE92B3AB07F}">
      <text>
        <r>
          <rPr>
            <sz val="10"/>
            <color indexed="81"/>
            <rFont val="Lucida Console"/>
            <family val="3"/>
          </rPr>
          <t>DESCRIÇÃO DETALHADA_x000D_
FERRO "U" PENDURAL, MED. 40 MM DE LARGURA X 7 MM DE ESPESSURA X 40 CM DE COMPRIMENTO</t>
        </r>
      </text>
    </comment>
    <comment ref="G407" authorId="0" shapeId="0" xr:uid="{9A79FC43-9794-4ADA-AEA9-88C50BA56063}">
      <text>
        <r>
          <rPr>
            <sz val="10"/>
            <color indexed="81"/>
            <rFont val="Lucida Console"/>
            <family val="3"/>
          </rPr>
          <t>_x000D_
Últ estimativa : 0_x000D_
Enviada em     : 20.05.2020_x000D_
Ata - Venc     : 233/19 - 21.09.2020</t>
        </r>
      </text>
    </comment>
    <comment ref="O407" authorId="0" shapeId="0" xr:uid="{089C8105-3AC0-492D-A0F2-E290E4A6CD4D}">
      <text>
        <r>
          <rPr>
            <sz val="10"/>
            <color indexed="81"/>
            <rFont val="Lucida Console"/>
            <family val="3"/>
          </rPr>
          <t>_x000D_
Pertencia a ATA nº 233/19_x000D_
Estimativa de Renovação enviada em 20.05.2020 - Qtd _x000D_
PP 125/19 lote _x000D_
24.09.19 = Finalizar - contrato assinado</t>
        </r>
      </text>
    </comment>
    <comment ref="W407" authorId="0" shapeId="0" xr:uid="{DBF0AFEB-58E0-4982-87B1-C36454BE8594}">
      <text>
        <r>
          <rPr>
            <sz val="10"/>
            <color indexed="81"/>
            <rFont val="Lucida Console"/>
            <family val="3"/>
          </rPr>
          <t>_x000D_
DM-Construção</t>
        </r>
      </text>
    </comment>
    <comment ref="X407" authorId="0" shapeId="0" xr:uid="{DAF39ED5-8DDD-4A8E-985F-35390DF733E8}">
      <text>
        <r>
          <rPr>
            <sz val="10"/>
            <color indexed="81"/>
            <rFont val="Lucida Console"/>
            <family val="3"/>
          </rPr>
          <t>_x000D_
METAIS,LAMINAD.,PERFILADOS E ARTEFATOS METALICOS</t>
        </r>
      </text>
    </comment>
    <comment ref="Y407" authorId="0" shapeId="0" xr:uid="{7FA0AC21-20D2-4AED-A3F7-2D62DBC947AF}">
      <text>
        <r>
          <rPr>
            <sz val="10"/>
            <color indexed="81"/>
            <rFont val="Lucida Console"/>
            <family val="3"/>
          </rPr>
          <t>_x000D_
FERROS E ACOS AVULSOS</t>
        </r>
      </text>
    </comment>
    <comment ref="AW407" authorId="0" shapeId="0" xr:uid="{3824CCF9-E860-4883-9A92-937A0BB9CD7D}">
      <text>
        <r>
          <rPr>
            <sz val="10"/>
            <color indexed="81"/>
            <rFont val="Lucida Console"/>
            <family val="3"/>
          </rPr>
          <t>Tempo de Estoque (Meses)_x000D_
_x000D_
50,0</t>
        </r>
      </text>
    </comment>
    <comment ref="A408" authorId="0" shapeId="0" xr:uid="{CB54AA59-10F4-4368-80BF-4A65F5F10526}">
      <text>
        <r>
          <rPr>
            <sz val="10"/>
            <color indexed="81"/>
            <rFont val="Lucida Console"/>
            <family val="3"/>
          </rPr>
          <t>_x000D_
61046</t>
        </r>
      </text>
    </comment>
    <comment ref="B408" authorId="0" shapeId="0" xr:uid="{5A9F1F26-713A-4CA0-B862-64D28DC7474A}">
      <text>
        <r>
          <rPr>
            <sz val="10"/>
            <color indexed="81"/>
            <rFont val="Lucida Console"/>
            <family val="3"/>
          </rPr>
          <t>DESCRIÇÃO DETALHADA_x000D_
CANTONEIRA DE FERRO 2" X 1/8" - BARRA COM 06 METROS</t>
        </r>
      </text>
    </comment>
    <comment ref="G408" authorId="0" shapeId="0" xr:uid="{72CEF39D-6220-49B8-B796-7DFA93DCE4A5}">
      <text>
        <r>
          <rPr>
            <sz val="10"/>
            <color indexed="81"/>
            <rFont val="Lucida Console"/>
            <family val="3"/>
          </rPr>
          <t>_x000D_
Últ estimativa : 0_x000D_
Enviada em     : 20.05.2020_x000D_
Ata - Venc     : 233/19 - 21.09.2020</t>
        </r>
      </text>
    </comment>
    <comment ref="O408" authorId="0" shapeId="0" xr:uid="{4C7906B8-4707-4C51-8926-DCFFA4F7E365}">
      <text>
        <r>
          <rPr>
            <sz val="10"/>
            <color indexed="81"/>
            <rFont val="Lucida Console"/>
            <family val="3"/>
          </rPr>
          <t>_x000D_
Pertencia a ATA nº 233/19_x000D_
Estimativa de Renovação enviada em 20.05.2020 - Qtd _x000D_
PP 125/19 lote _x000D_
24.09.19 = Finalizar - contrato assinado</t>
        </r>
      </text>
    </comment>
    <comment ref="W408" authorId="0" shapeId="0" xr:uid="{6450B357-8DFA-413E-AC97-E892EFE98C32}">
      <text>
        <r>
          <rPr>
            <sz val="10"/>
            <color indexed="81"/>
            <rFont val="Lucida Console"/>
            <family val="3"/>
          </rPr>
          <t>_x000D_
DM-Serralheria</t>
        </r>
      </text>
    </comment>
    <comment ref="X408" authorId="0" shapeId="0" xr:uid="{F57ECAE0-B30F-45AF-9E48-C612C65356DC}">
      <text>
        <r>
          <rPr>
            <sz val="10"/>
            <color indexed="81"/>
            <rFont val="Lucida Console"/>
            <family val="3"/>
          </rPr>
          <t>_x000D_
METAIS,LAMINAD.,PERFILADOS E ARTEFATOS METALICOS</t>
        </r>
      </text>
    </comment>
    <comment ref="Y408" authorId="0" shapeId="0" xr:uid="{BDC5426D-DE44-45C2-9B3A-471A8C37F30E}">
      <text>
        <r>
          <rPr>
            <sz val="10"/>
            <color indexed="81"/>
            <rFont val="Lucida Console"/>
            <family val="3"/>
          </rPr>
          <t>_x000D_
CANTONEIRAS</t>
        </r>
      </text>
    </comment>
    <comment ref="AW408" authorId="0" shapeId="0" xr:uid="{1F790BC4-1AA6-45F2-8252-883AEF360038}">
      <text>
        <r>
          <rPr>
            <sz val="10"/>
            <color indexed="81"/>
            <rFont val="Lucida Console"/>
            <family val="3"/>
          </rPr>
          <t>Tempo de Estoque (Meses)_x000D_
_x000D_
496,0</t>
        </r>
      </text>
    </comment>
    <comment ref="A409" authorId="0" shapeId="0" xr:uid="{547766B1-1AEA-4E53-BEA9-6ADA24057A47}">
      <text>
        <r>
          <rPr>
            <sz val="10"/>
            <color indexed="81"/>
            <rFont val="Lucida Console"/>
            <family val="3"/>
          </rPr>
          <t>_x000D_
64607</t>
        </r>
      </text>
    </comment>
    <comment ref="B409" authorId="0" shapeId="0" xr:uid="{643FC8B2-6FB2-4419-B6BC-FE5126086489}">
      <text>
        <r>
          <rPr>
            <sz val="10"/>
            <color indexed="81"/>
            <rFont val="Lucida Console"/>
            <family val="3"/>
          </rPr>
          <t>DESCRIÇÃO DETALHADA_x000D_
CANTONEIRA DE FERRO - BARRA COM 6 M - 1" X 1/8"</t>
        </r>
      </text>
    </comment>
    <comment ref="G409" authorId="0" shapeId="0" xr:uid="{D56D524A-8061-468A-AAD7-F0EDC2D9C2FF}">
      <text>
        <r>
          <rPr>
            <sz val="10"/>
            <color indexed="81"/>
            <rFont val="Lucida Console"/>
            <family val="3"/>
          </rPr>
          <t>_x000D_
Últ estimativa : 500_x000D_
Enviada em     : 20.05.2020_x000D_
Ata - Venc     : 233/19 - 21.09.2020</t>
        </r>
      </text>
    </comment>
    <comment ref="O409" authorId="0" shapeId="0" xr:uid="{C9D906B9-70ED-486B-A359-A1D06FC86570}">
      <text>
        <r>
          <rPr>
            <sz val="10"/>
            <color indexed="81"/>
            <rFont val="Lucida Console"/>
            <family val="3"/>
          </rPr>
          <t>_x000D_
Pertencia a ATA nº 233/19_x000D_
Estimativa de Renovação enviada em 20.05.2020 - Qtd 500_x000D_
PP 125/19 lote 17_x000D_
24.09.19 = Finalizar - contrato assinado</t>
        </r>
      </text>
    </comment>
    <comment ref="W409" authorId="0" shapeId="0" xr:uid="{1CA1E270-42D1-4F1A-B55D-F06F85EBD7D3}">
      <text>
        <r>
          <rPr>
            <sz val="10"/>
            <color indexed="81"/>
            <rFont val="Lucida Console"/>
            <family val="3"/>
          </rPr>
          <t>_x000D_
DM-Serralheria</t>
        </r>
      </text>
    </comment>
    <comment ref="X409" authorId="0" shapeId="0" xr:uid="{0E833DFE-7FFC-4826-BFE2-14B033F54F2A}">
      <text>
        <r>
          <rPr>
            <sz val="10"/>
            <color indexed="81"/>
            <rFont val="Lucida Console"/>
            <family val="3"/>
          </rPr>
          <t>_x000D_
METAIS,LAMINAD.,PERFILADOS E ARTEFATOS METALICOS</t>
        </r>
      </text>
    </comment>
    <comment ref="Y409" authorId="0" shapeId="0" xr:uid="{6F321FB0-A85F-493F-8275-1554D827C82D}">
      <text>
        <r>
          <rPr>
            <sz val="10"/>
            <color indexed="81"/>
            <rFont val="Lucida Console"/>
            <family val="3"/>
          </rPr>
          <t>_x000D_
CANTONEIRAS</t>
        </r>
      </text>
    </comment>
    <comment ref="AW409" authorId="0" shapeId="0" xr:uid="{DF0D8315-F353-44CC-9010-5392E39D2D02}">
      <text>
        <r>
          <rPr>
            <sz val="10"/>
            <color indexed="81"/>
            <rFont val="Lucida Console"/>
            <family val="3"/>
          </rPr>
          <t>Tempo de Estoque (Meses)_x000D_
_x000D_
1.236,0</t>
        </r>
      </text>
    </comment>
    <comment ref="A410" authorId="0" shapeId="0" xr:uid="{B4E10F7E-C301-4F79-9C3A-09511BCA2F08}">
      <text>
        <r>
          <rPr>
            <sz val="10"/>
            <color indexed="81"/>
            <rFont val="Lucida Console"/>
            <family val="3"/>
          </rPr>
          <t>_x000D_
64609</t>
        </r>
      </text>
    </comment>
    <comment ref="B410" authorId="0" shapeId="0" xr:uid="{9192D9F8-1940-4EA9-93B4-FC927CF605FB}">
      <text>
        <r>
          <rPr>
            <sz val="10"/>
            <color indexed="81"/>
            <rFont val="Lucida Console"/>
            <family val="3"/>
          </rPr>
          <t>DESCRIÇÃO DETALHADA_x000D_
CANTONEIRA DE FERRO - BARRA COM 6 M - 3/4" X 1/8"</t>
        </r>
      </text>
    </comment>
    <comment ref="G410" authorId="0" shapeId="0" xr:uid="{47A9E8E1-DEB9-48FB-9CCB-E61995BCE202}">
      <text>
        <r>
          <rPr>
            <sz val="10"/>
            <color indexed="81"/>
            <rFont val="Lucida Console"/>
            <family val="3"/>
          </rPr>
          <t>_x000D_
Últ estimativa : 300_x000D_
Enviada em     : 20.05.2020_x000D_
Ata - Venc     : 233/19 - 21.09.2020</t>
        </r>
      </text>
    </comment>
    <comment ref="O410" authorId="0" shapeId="0" xr:uid="{F51C061B-E2DB-4A70-B95E-3ED7EF9F7635}">
      <text>
        <r>
          <rPr>
            <sz val="10"/>
            <color indexed="81"/>
            <rFont val="Lucida Console"/>
            <family val="3"/>
          </rPr>
          <t>_x000D_
Pertencia a ATA nº 233/19_x000D_
Estimativa de Renovação enviada em 20.05.2020 - Qtd 300_x000D_
PP 125/19 lote 18_x000D_
24.09.19 = Finalizar - contrato assinado</t>
        </r>
      </text>
    </comment>
    <comment ref="W410" authorId="0" shapeId="0" xr:uid="{525BF038-D58A-4D9E-B932-72BF7B0D2841}">
      <text>
        <r>
          <rPr>
            <sz val="10"/>
            <color indexed="81"/>
            <rFont val="Lucida Console"/>
            <family val="3"/>
          </rPr>
          <t>_x000D_
DM-Serralheria</t>
        </r>
      </text>
    </comment>
    <comment ref="X410" authorId="0" shapeId="0" xr:uid="{0377277B-9473-492D-824C-874DEC55D20A}">
      <text>
        <r>
          <rPr>
            <sz val="10"/>
            <color indexed="81"/>
            <rFont val="Lucida Console"/>
            <family val="3"/>
          </rPr>
          <t>_x000D_
METAIS,LAMINAD.,PERFILADOS E ARTEFATOS METALICOS</t>
        </r>
      </text>
    </comment>
    <comment ref="Y410" authorId="0" shapeId="0" xr:uid="{54C6F1F5-322E-40A4-825C-497D343BFEA1}">
      <text>
        <r>
          <rPr>
            <sz val="10"/>
            <color indexed="81"/>
            <rFont val="Lucida Console"/>
            <family val="3"/>
          </rPr>
          <t>_x000D_
CANTONEIRAS</t>
        </r>
      </text>
    </comment>
    <comment ref="AW410" authorId="0" shapeId="0" xr:uid="{A1CC8DF0-BE41-4EF5-A325-2DCA1C363E63}">
      <text>
        <r>
          <rPr>
            <sz val="10"/>
            <color indexed="81"/>
            <rFont val="Lucida Console"/>
            <family val="3"/>
          </rPr>
          <t>Tempo de Estoque (Meses)_x000D_
_x000D_
435,0</t>
        </r>
      </text>
    </comment>
    <comment ref="A411" authorId="0" shapeId="0" xr:uid="{98E6B3DD-8445-41F1-B960-9738B6F021CA}">
      <text>
        <r>
          <rPr>
            <sz val="10"/>
            <color indexed="81"/>
            <rFont val="Lucida Console"/>
            <family val="3"/>
          </rPr>
          <t>_x000D_
64625</t>
        </r>
      </text>
    </comment>
    <comment ref="B411" authorId="0" shapeId="0" xr:uid="{37A2206B-9D1A-4A95-B1CE-D6EC66B40C9F}">
      <text>
        <r>
          <rPr>
            <sz val="10"/>
            <color indexed="81"/>
            <rFont val="Lucida Console"/>
            <family val="3"/>
          </rPr>
          <t>DESCRIÇÃO DETALHADA_x000D_
FERRO CHATO - 1" X 1/4" - BARRA COM 06 METROS</t>
        </r>
      </text>
    </comment>
    <comment ref="G411" authorId="0" shapeId="0" xr:uid="{AE69D97F-447B-4116-AF76-D63B8AAC8E7D}">
      <text>
        <r>
          <rPr>
            <sz val="10"/>
            <color indexed="81"/>
            <rFont val="Lucida Console"/>
            <family val="3"/>
          </rPr>
          <t>_x000D_
Últ estimativa : 500_x000D_
Enviada em     : 20.05.2020_x000D_
Ata - Venc     : 233/19 - 21.09.2020</t>
        </r>
      </text>
    </comment>
    <comment ref="O411" authorId="0" shapeId="0" xr:uid="{6589A2BA-ECD6-45CD-8153-70BF74899F5C}">
      <text>
        <r>
          <rPr>
            <sz val="10"/>
            <color indexed="81"/>
            <rFont val="Lucida Console"/>
            <family val="3"/>
          </rPr>
          <t xml:space="preserve">_x000D_
Pertencia a ATA nº 233/19_x000D_
Estimativa de Renovação enviada em 20.05.2020 - Qtd 500_x000D_
PE 281/21 lote _x000D_
 = </t>
        </r>
      </text>
    </comment>
    <comment ref="W411" authorId="0" shapeId="0" xr:uid="{1E8DF836-B52D-4FCD-A4AB-60C900D4C0EB}">
      <text>
        <r>
          <rPr>
            <sz val="10"/>
            <color indexed="81"/>
            <rFont val="Lucida Console"/>
            <family val="3"/>
          </rPr>
          <t>_x000D_
DM-Construção</t>
        </r>
      </text>
    </comment>
    <comment ref="X411" authorId="0" shapeId="0" xr:uid="{283475ED-32D2-4FD6-9B2C-D5805CBFF5E3}">
      <text>
        <r>
          <rPr>
            <sz val="10"/>
            <color indexed="81"/>
            <rFont val="Lucida Console"/>
            <family val="3"/>
          </rPr>
          <t>_x000D_
METAIS,LAMINAD.,PERFILADOS E ARTEFATOS METALICOS</t>
        </r>
      </text>
    </comment>
    <comment ref="Y411" authorId="0" shapeId="0" xr:uid="{B7FF1012-FB5C-427D-96A2-1FDDA5AC83B2}">
      <text>
        <r>
          <rPr>
            <sz val="10"/>
            <color indexed="81"/>
            <rFont val="Lucida Console"/>
            <family val="3"/>
          </rPr>
          <t>_x000D_
FERROS E ACOS AVULSOS</t>
        </r>
      </text>
    </comment>
    <comment ref="AW411" authorId="0" shapeId="0" xr:uid="{7E1A8D12-57B6-4470-B8E2-AD0DF141819E}">
      <text>
        <r>
          <rPr>
            <sz val="10"/>
            <color indexed="81"/>
            <rFont val="Lucida Console"/>
            <family val="3"/>
          </rPr>
          <t>Tempo de Estoque (Meses)_x000D_
_x000D_
677,0</t>
        </r>
      </text>
    </comment>
    <comment ref="A412" authorId="0" shapeId="0" xr:uid="{B0951DF8-003B-44D3-BCC7-D06C550B1E24}">
      <text>
        <r>
          <rPr>
            <sz val="10"/>
            <color indexed="81"/>
            <rFont val="Lucida Console"/>
            <family val="3"/>
          </rPr>
          <t>_x000D_
64817</t>
        </r>
      </text>
    </comment>
    <comment ref="B412" authorId="0" shapeId="0" xr:uid="{F696BA39-AE43-46B6-A56A-4E7CB0F4AF5E}">
      <text>
        <r>
          <rPr>
            <sz val="10"/>
            <color indexed="81"/>
            <rFont val="Lucida Console"/>
            <family val="3"/>
          </rPr>
          <t>DESCRIÇÃO DETALHADA_x000D_
FERRO REDONDO 3/8" MECANICO, BARRA C/ 06 METROS</t>
        </r>
      </text>
    </comment>
    <comment ref="G412" authorId="0" shapeId="0" xr:uid="{8F89B0D7-FF5E-4533-A959-E4E144E7BA4D}">
      <text>
        <r>
          <rPr>
            <sz val="10"/>
            <color indexed="81"/>
            <rFont val="Lucida Console"/>
            <family val="3"/>
          </rPr>
          <t>_x000D_
Últ estimativa : 200_x000D_
Enviada em     : 20.05.2020_x000D_
Ata - Venc     : 233/19 - 21.09.2020</t>
        </r>
      </text>
    </comment>
    <comment ref="O412" authorId="0" shapeId="0" xr:uid="{1E8D49EA-5376-4F7E-9122-7C5B7EF622FE}">
      <text>
        <r>
          <rPr>
            <sz val="10"/>
            <color indexed="81"/>
            <rFont val="Lucida Console"/>
            <family val="3"/>
          </rPr>
          <t>_x000D_
Pertencia a ATA nº 233/19_x000D_
Estimativa de Renovação enviada em 20.05.2020 - Qtd 200_x000D_
PP 125/19 lote _x000D_
24.09.19 = Finalizar - contrato assinado</t>
        </r>
      </text>
    </comment>
    <comment ref="W412" authorId="0" shapeId="0" xr:uid="{8EBEE90E-56D3-4AE6-9518-EAF3EACC6D13}">
      <text>
        <r>
          <rPr>
            <sz val="10"/>
            <color indexed="81"/>
            <rFont val="Lucida Console"/>
            <family val="3"/>
          </rPr>
          <t>_x000D_
DM-Construção</t>
        </r>
      </text>
    </comment>
    <comment ref="X412" authorId="0" shapeId="0" xr:uid="{5F20C385-8D11-484A-B449-BAD01494C0FC}">
      <text>
        <r>
          <rPr>
            <sz val="10"/>
            <color indexed="81"/>
            <rFont val="Lucida Console"/>
            <family val="3"/>
          </rPr>
          <t>_x000D_
METAIS,LAMINAD.,PERFILADOS E ARTEFATOS METALICOS</t>
        </r>
      </text>
    </comment>
    <comment ref="Y412" authorId="0" shapeId="0" xr:uid="{F96C6FE5-4CC4-4AD9-B7FA-ADC4E6E5567D}">
      <text>
        <r>
          <rPr>
            <sz val="10"/>
            <color indexed="81"/>
            <rFont val="Lucida Console"/>
            <family val="3"/>
          </rPr>
          <t>_x000D_
FERROS E ACOS AVULSOS</t>
        </r>
      </text>
    </comment>
    <comment ref="AW412" authorId="0" shapeId="0" xr:uid="{1DD8352D-28E6-432E-B4BC-9504694551EE}">
      <text>
        <r>
          <rPr>
            <sz val="10"/>
            <color indexed="81"/>
            <rFont val="Lucida Console"/>
            <family val="3"/>
          </rPr>
          <t>Tempo de Estoque (Meses)_x000D_
_x000D_
86,0</t>
        </r>
      </text>
    </comment>
    <comment ref="A413" authorId="0" shapeId="0" xr:uid="{D5B323E3-893B-4818-951D-BC52C38C0FDD}">
      <text>
        <r>
          <rPr>
            <sz val="10"/>
            <color indexed="81"/>
            <rFont val="Lucida Console"/>
            <family val="3"/>
          </rPr>
          <t>_x000D_
136895</t>
        </r>
      </text>
    </comment>
    <comment ref="B413" authorId="0" shapeId="0" xr:uid="{9E3DF768-D85D-4F64-B076-F1DB4B91B026}">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413" authorId="0" shapeId="0" xr:uid="{C9C7EC9B-9E93-4E09-A8E1-9F9198504AEF}">
      <text>
        <r>
          <rPr>
            <sz val="10"/>
            <color indexed="81"/>
            <rFont val="Lucida Console"/>
            <family val="3"/>
          </rPr>
          <t>_x000D_
Últ estimativa : 1.000_x000D_
Enviada em     : 19.05.2020_x000D_
Ata - Venc     : 234/19 - 21.09.2020</t>
        </r>
      </text>
    </comment>
    <comment ref="O413" authorId="0" shapeId="0" xr:uid="{1DD4769B-CFAF-4CCE-8651-76CCD6F05E40}">
      <text>
        <r>
          <rPr>
            <sz val="10"/>
            <color indexed="81"/>
            <rFont val="Lucida Console"/>
            <family val="3"/>
          </rPr>
          <t>_x000D_
Pertencia a ATA nº 234/19_x000D_
Estimativa de Renovação enviada em 19.05.2020 - Qtd 1.000_x000D_
PE 139/20 lote 3 (Impróspero)_x000D_
01.09.20 = Finalizado</t>
        </r>
      </text>
    </comment>
    <comment ref="W413" authorId="0" shapeId="0" xr:uid="{C1F744DA-0BDB-4D08-99EC-07AE2D92F75F}">
      <text>
        <r>
          <rPr>
            <sz val="10"/>
            <color indexed="81"/>
            <rFont val="Lucida Console"/>
            <family val="3"/>
          </rPr>
          <t>_x000D_
DM-Elétrica</t>
        </r>
      </text>
    </comment>
    <comment ref="X413" authorId="0" shapeId="0" xr:uid="{1BB28C48-0AB4-4D4D-B51A-0FE43B324ED9}">
      <text>
        <r>
          <rPr>
            <sz val="10"/>
            <color indexed="81"/>
            <rFont val="Lucida Console"/>
            <family val="3"/>
          </rPr>
          <t>_x000D_
EQUIP. MAT. P/ GERACAO, TRANSM. DISTR. RETIF...</t>
        </r>
      </text>
    </comment>
    <comment ref="Y413" authorId="0" shapeId="0" xr:uid="{EF1EFEF3-BCA3-4F19-AFD3-1B3F5BD5D723}">
      <text>
        <r>
          <rPr>
            <sz val="10"/>
            <color indexed="81"/>
            <rFont val="Lucida Console"/>
            <family val="3"/>
          </rPr>
          <t>_x000D_
LAMPADAS DE LED</t>
        </r>
      </text>
    </comment>
    <comment ref="AW413" authorId="0" shapeId="0" xr:uid="{95B36B95-D9DF-48C5-8F58-42F55F4A2364}">
      <text>
        <r>
          <rPr>
            <sz val="10"/>
            <color indexed="81"/>
            <rFont val="Lucida Console"/>
            <family val="3"/>
          </rPr>
          <t>Tempo de Estoque (Meses)_x000D_
_x000D_
315,0</t>
        </r>
      </text>
    </comment>
    <comment ref="A414" authorId="0" shapeId="0" xr:uid="{F02FB615-781F-4AEF-B5A9-0355F0C40F41}">
      <text>
        <r>
          <rPr>
            <sz val="10"/>
            <color indexed="81"/>
            <rFont val="Lucida Console"/>
            <family val="3"/>
          </rPr>
          <t>_x000D_
16571</t>
        </r>
      </text>
    </comment>
    <comment ref="B414" authorId="0" shapeId="0" xr:uid="{CD4BE391-8399-4F41-BE5D-8079B975F0F4}">
      <text>
        <r>
          <rPr>
            <sz val="10"/>
            <color indexed="81"/>
            <rFont val="Lucida Console"/>
            <family val="3"/>
          </rPr>
          <t>DESCRIÇÃO DETALHADA_x000D_
INSETICIDA AEROSOL A BASE DE AGUA FR C/ 300 ML</t>
        </r>
      </text>
    </comment>
    <comment ref="G414" authorId="0" shapeId="0" xr:uid="{527DA2B0-35A0-4C4E-9BE4-32CC6B80C100}">
      <text>
        <r>
          <rPr>
            <sz val="10"/>
            <color indexed="81"/>
            <rFont val="Lucida Console"/>
            <family val="3"/>
          </rPr>
          <t>_x000D_
Últ estimativa : 3.800_x000D_
Enviada em     : 18.05.2020_x000D_
Ata - Venc     : 236/19 - 25.09.2020</t>
        </r>
      </text>
    </comment>
    <comment ref="O414" authorId="0" shapeId="0" xr:uid="{03F2FA2C-338E-426A-8638-39B9C445FF54}">
      <text>
        <r>
          <rPr>
            <sz val="10"/>
            <color indexed="81"/>
            <rFont val="Lucida Console"/>
            <family val="3"/>
          </rPr>
          <t>_x000D_
Pertencia a ATA nº 236/19_x000D_
Estimativa de Renovação enviada em 18.05.2020 - Qtd 3.800_x000D_
PE  72/19 lote _x000D_
27.09.19 = Finalizar - contrato assinado</t>
        </r>
      </text>
    </comment>
    <comment ref="W414" authorId="0" shapeId="0" xr:uid="{33A6D9FC-25AD-40F8-9B4A-17833054C3D6}">
      <text>
        <r>
          <rPr>
            <sz val="10"/>
            <color indexed="81"/>
            <rFont val="Lucida Console"/>
            <family val="3"/>
          </rPr>
          <t>_x000D_
Administrativo</t>
        </r>
      </text>
    </comment>
    <comment ref="X414" authorId="0" shapeId="0" xr:uid="{07A2BF77-EB13-4867-BAC8-F9C212D4F84F}">
      <text>
        <r>
          <rPr>
            <sz val="10"/>
            <color indexed="81"/>
            <rFont val="Lucida Console"/>
            <family val="3"/>
          </rPr>
          <t>_x000D_
MAQ.EQUIP.E MAT.P/ CULTURA ANIMAL E VEGETAL</t>
        </r>
      </text>
    </comment>
    <comment ref="Y414" authorId="0" shapeId="0" xr:uid="{33A9ED0A-06D0-45C5-A107-AC14D5733A9A}">
      <text>
        <r>
          <rPr>
            <sz val="10"/>
            <color indexed="81"/>
            <rFont val="Lucida Console"/>
            <family val="3"/>
          </rPr>
          <t>_x000D_
DEFENSIVOS, INSETICIDAS, RATICIDAS E PESTICIDAS</t>
        </r>
      </text>
    </comment>
    <comment ref="AW414" authorId="0" shapeId="0" xr:uid="{0DBFF494-C2E1-4264-B1E0-FF6C18D15545}">
      <text>
        <r>
          <rPr>
            <sz val="10"/>
            <color indexed="81"/>
            <rFont val="Lucida Console"/>
            <family val="3"/>
          </rPr>
          <t>Tempo de Estoque (Meses)_x000D_
_x000D_
2.828,0</t>
        </r>
      </text>
    </comment>
    <comment ref="A415" authorId="0" shapeId="0" xr:uid="{44A5BA4C-2A5A-42A3-AA98-378DFEC1FEEE}">
      <text>
        <r>
          <rPr>
            <sz val="10"/>
            <color indexed="81"/>
            <rFont val="Lucida Console"/>
            <family val="3"/>
          </rPr>
          <t>_x000D_
134546</t>
        </r>
      </text>
    </comment>
    <comment ref="B415" authorId="0" shapeId="0" xr:uid="{1BB57892-EE5F-41C0-9DEC-FCC46F1B4583}">
      <text>
        <r>
          <rPr>
            <sz val="10"/>
            <color indexed="81"/>
            <rFont val="Lucida Console"/>
            <family val="3"/>
          </rPr>
          <t>DESCRIÇÃO DETALHADA_x000D_
PASTILHA CERAMICA, COR AZUL CLARO (PISCINA OU CEU), MEDINDO 10 X 10 CM, ESPESSURA DE 7 MM, UNIDAS POR PONTOS DE COLA.</t>
        </r>
      </text>
    </comment>
    <comment ref="G415" authorId="0" shapeId="0" xr:uid="{E52B3ECE-5B32-47B0-9F83-B0F4C915C1D6}">
      <text>
        <r>
          <rPr>
            <sz val="10"/>
            <color indexed="81"/>
            <rFont val="Lucida Console"/>
            <family val="3"/>
          </rPr>
          <t>_x000D_
Últ estimativa : 700_x000D_
Enviada em     : 19.05.2020_x000D_
Ata - Venc     : 237/20 - 08.10.2021</t>
        </r>
      </text>
    </comment>
    <comment ref="O415" authorId="0" shapeId="0" xr:uid="{1EA6247B-C9B6-4F13-A898-3763780E1160}">
      <text>
        <r>
          <rPr>
            <sz val="10"/>
            <color indexed="81"/>
            <rFont val="Lucida Console"/>
            <family val="3"/>
          </rPr>
          <t>_x000D_
Pertencia a ATA nº 237/20_x000D_
Estimativa de Renovação enviada em 19.05.2020 - Qtd 700_x000D_
PE  48/19 lote _x000D_
23.08.19 = Finalizar - contrato assinado</t>
        </r>
      </text>
    </comment>
    <comment ref="W415" authorId="0" shapeId="0" xr:uid="{381F6138-493D-4624-8E8C-BDE512DEA42A}">
      <text>
        <r>
          <rPr>
            <sz val="10"/>
            <color indexed="81"/>
            <rFont val="Lucida Console"/>
            <family val="3"/>
          </rPr>
          <t>_x000D_
DM-Construção</t>
        </r>
      </text>
    </comment>
    <comment ref="X415" authorId="0" shapeId="0" xr:uid="{54ADCABF-F56F-4DA5-B0DC-B837F21EB7FE}">
      <text>
        <r>
          <rPr>
            <sz val="10"/>
            <color indexed="81"/>
            <rFont val="Lucida Console"/>
            <family val="3"/>
          </rPr>
          <t>_x000D_
MAT.E EQUIP. P/ CONSTR.CIVIL E CONSERV. DE VIAS PUBL.</t>
        </r>
      </text>
    </comment>
    <comment ref="Y415" authorId="0" shapeId="0" xr:uid="{50473B5B-EB8F-404E-A3D4-B811CD522D59}">
      <text>
        <r>
          <rPr>
            <sz val="10"/>
            <color indexed="81"/>
            <rFont val="Lucida Console"/>
            <family val="3"/>
          </rPr>
          <t>_x000D_
AZULEJOS E PASTILHAS</t>
        </r>
      </text>
    </comment>
    <comment ref="AW415" authorId="0" shapeId="0" xr:uid="{F76739BA-5B9D-4F32-B8C4-2D37A5F0F973}">
      <text>
        <r>
          <rPr>
            <sz val="10"/>
            <color indexed="81"/>
            <rFont val="Lucida Console"/>
            <family val="3"/>
          </rPr>
          <t>Tempo de Estoque (Meses)_x000D_
_x000D_
1.035,5</t>
        </r>
      </text>
    </comment>
    <comment ref="A416" authorId="0" shapeId="0" xr:uid="{1B2E3440-A4F8-4750-96C0-CF4907BECD99}">
      <text>
        <r>
          <rPr>
            <sz val="10"/>
            <color indexed="81"/>
            <rFont val="Lucida Console"/>
            <family val="3"/>
          </rPr>
          <t>_x000D_
134547</t>
        </r>
      </text>
    </comment>
    <comment ref="B416" authorId="0" shapeId="0" xr:uid="{BDE01DD4-6EE6-42FE-ADF8-8096B8B00659}">
      <text>
        <r>
          <rPr>
            <sz val="10"/>
            <color indexed="81"/>
            <rFont val="Lucida Console"/>
            <family val="3"/>
          </rPr>
          <t>DESCRIÇÃO DETALHADA_x000D_
PASTILHA CERAMICA, COR AZUL ROYAL, MEDINDO 10 X 10 CM, ESPESSURA DE 7 MM, UNIDAS POR PONTOS DE COLA.</t>
        </r>
      </text>
    </comment>
    <comment ref="G416" authorId="0" shapeId="0" xr:uid="{017704C1-F84F-4ED5-8F5A-80BEC785BF2E}">
      <text>
        <r>
          <rPr>
            <sz val="10"/>
            <color indexed="81"/>
            <rFont val="Lucida Console"/>
            <family val="3"/>
          </rPr>
          <t>_x000D_
Últ estimativa : 900_x000D_
Enviada em     : 19.05.2020_x000D_
Ata - Venc     : 237/20 - 08.10.2021</t>
        </r>
      </text>
    </comment>
    <comment ref="O416" authorId="0" shapeId="0" xr:uid="{50827D9D-150F-4BE7-B6E9-117195097AFD}">
      <text>
        <r>
          <rPr>
            <sz val="10"/>
            <color indexed="81"/>
            <rFont val="Lucida Console"/>
            <family val="3"/>
          </rPr>
          <t>_x000D_
Pertencia a ATA nº 237/20_x000D_
Estimativa de Renovação enviada em 19.05.2020 - Qtd 900_x000D_
PE  48/19 lote _x000D_
23.08.19 = Finalizar - contrato assinado</t>
        </r>
      </text>
    </comment>
    <comment ref="W416" authorId="0" shapeId="0" xr:uid="{3A1AC4F3-697B-4F0F-8F42-95A8E89CC4AF}">
      <text>
        <r>
          <rPr>
            <sz val="10"/>
            <color indexed="81"/>
            <rFont val="Lucida Console"/>
            <family val="3"/>
          </rPr>
          <t>_x000D_
DM-Construção</t>
        </r>
      </text>
    </comment>
    <comment ref="X416" authorId="0" shapeId="0" xr:uid="{2DB8E6DE-32A3-493B-B547-696306ACF5BA}">
      <text>
        <r>
          <rPr>
            <sz val="10"/>
            <color indexed="81"/>
            <rFont val="Lucida Console"/>
            <family val="3"/>
          </rPr>
          <t>_x000D_
MAT.E EQUIP. P/ CONSTR.CIVIL E CONSERV. DE VIAS PUBL.</t>
        </r>
      </text>
    </comment>
    <comment ref="Y416" authorId="0" shapeId="0" xr:uid="{C742D6E0-29DB-45AA-B81C-0AD0FD25155E}">
      <text>
        <r>
          <rPr>
            <sz val="10"/>
            <color indexed="81"/>
            <rFont val="Lucida Console"/>
            <family val="3"/>
          </rPr>
          <t>_x000D_
AZULEJOS E PASTILHAS</t>
        </r>
      </text>
    </comment>
    <comment ref="AW416" authorId="0" shapeId="0" xr:uid="{FB51833E-DA28-4EB2-9CCD-87D5D5B94C96}">
      <text>
        <r>
          <rPr>
            <sz val="10"/>
            <color indexed="81"/>
            <rFont val="Lucida Console"/>
            <family val="3"/>
          </rPr>
          <t>Tempo de Estoque (Meses)_x000D_
_x000D_
1.095,4</t>
        </r>
      </text>
    </comment>
    <comment ref="A417" authorId="0" shapeId="0" xr:uid="{49ACC53E-38BE-4E45-8C72-41542A4A93CA}">
      <text>
        <r>
          <rPr>
            <sz val="10"/>
            <color indexed="81"/>
            <rFont val="Lucida Console"/>
            <family val="3"/>
          </rPr>
          <t>_x000D_
134548</t>
        </r>
      </text>
    </comment>
    <comment ref="B417" authorId="0" shapeId="0" xr:uid="{525D98B8-38E7-48FD-9543-21593399ED8E}">
      <text>
        <r>
          <rPr>
            <sz val="10"/>
            <color indexed="81"/>
            <rFont val="Lucida Console"/>
            <family val="3"/>
          </rPr>
          <t>DESCRIÇÃO DETALHADA_x000D_
PASTILHA CERAMICA, COR BRANCA, MEDINDO 10 X 10 CM, ESPESSURA DE 7 MM, UNIDAS POR PONTOS DE COLA.</t>
        </r>
      </text>
    </comment>
    <comment ref="G417" authorId="0" shapeId="0" xr:uid="{4854B21E-13FB-4B0E-A1B8-B76A857C3C01}">
      <text>
        <r>
          <rPr>
            <sz val="10"/>
            <color indexed="81"/>
            <rFont val="Lucida Console"/>
            <family val="3"/>
          </rPr>
          <t>_x000D_
Últ estimativa : 2.500_x000D_
Enviada em     : 19.05.2020_x000D_
Ata - Venc     : 237/20 - 08.10.2021</t>
        </r>
      </text>
    </comment>
    <comment ref="O417" authorId="0" shapeId="0" xr:uid="{4580ED57-5A29-4FC0-B7FC-CC975FD19906}">
      <text>
        <r>
          <rPr>
            <sz val="10"/>
            <color indexed="81"/>
            <rFont val="Lucida Console"/>
            <family val="3"/>
          </rPr>
          <t>_x000D_
Pertencia a ATA nº 237/20_x000D_
Estimativa de Renovação enviada em 19.05.2020 - Qtd 2.500_x000D_
PE  48/19 lote _x000D_
23.08.19 = Finalizar - contrato assinado</t>
        </r>
      </text>
    </comment>
    <comment ref="W417" authorId="0" shapeId="0" xr:uid="{6400C1BA-51F7-4E00-ACF0-5EEA1AC814CF}">
      <text>
        <r>
          <rPr>
            <sz val="10"/>
            <color indexed="81"/>
            <rFont val="Lucida Console"/>
            <family val="3"/>
          </rPr>
          <t>_x000D_
DM-Construção</t>
        </r>
      </text>
    </comment>
    <comment ref="X417" authorId="0" shapeId="0" xr:uid="{750A3E5F-ACD6-42A4-8810-9405419AD6F7}">
      <text>
        <r>
          <rPr>
            <sz val="10"/>
            <color indexed="81"/>
            <rFont val="Lucida Console"/>
            <family val="3"/>
          </rPr>
          <t>_x000D_
MAT.E EQUIP. P/ CONSTR.CIVIL E CONSERV. DE VIAS PUBL.</t>
        </r>
      </text>
    </comment>
    <comment ref="Y417" authorId="0" shapeId="0" xr:uid="{6AB92DBF-7A82-413D-930E-96FC303D4523}">
      <text>
        <r>
          <rPr>
            <sz val="10"/>
            <color indexed="81"/>
            <rFont val="Lucida Console"/>
            <family val="3"/>
          </rPr>
          <t>_x000D_
AZULEJOS E PASTILHAS</t>
        </r>
      </text>
    </comment>
    <comment ref="AW417" authorId="0" shapeId="0" xr:uid="{CE8B860D-A9BC-4236-ACEB-6CD93934E052}">
      <text>
        <r>
          <rPr>
            <sz val="10"/>
            <color indexed="81"/>
            <rFont val="Lucida Console"/>
            <family val="3"/>
          </rPr>
          <t>Tempo de Estoque (Meses)_x000D_
_x000D_
3.021,2</t>
        </r>
      </text>
    </comment>
    <comment ref="A418" authorId="0" shapeId="0" xr:uid="{F22C14B8-CFEC-4EF8-A861-8FDCE8DBD531}">
      <text>
        <r>
          <rPr>
            <sz val="10"/>
            <color indexed="81"/>
            <rFont val="Lucida Console"/>
            <family val="3"/>
          </rPr>
          <t>_x000D_
134549</t>
        </r>
      </text>
    </comment>
    <comment ref="B418" authorId="0" shapeId="0" xr:uid="{997F8662-FB1C-4B55-B663-C0818BE0C702}">
      <text>
        <r>
          <rPr>
            <sz val="10"/>
            <color indexed="81"/>
            <rFont val="Lucida Console"/>
            <family val="3"/>
          </rPr>
          <t>DESCRIÇÃO DETALHADA_x000D_
PASTILHA CERAMICA, COR VERDE AGUA, MEDINDO 10 X 10 CM, ESPESSURA DE 7 MM, UNIDAS POR PONTOS DE COLA.</t>
        </r>
      </text>
    </comment>
    <comment ref="G418" authorId="0" shapeId="0" xr:uid="{4D76F486-7982-44A6-A3D7-878D727C2365}">
      <text>
        <r>
          <rPr>
            <sz val="10"/>
            <color indexed="81"/>
            <rFont val="Lucida Console"/>
            <family val="3"/>
          </rPr>
          <t>_x000D_
Últ estimativa : 700_x000D_
Enviada em     : 19.05.2020_x000D_
Ata - Venc     : 237/20 - 08.10.2021</t>
        </r>
      </text>
    </comment>
    <comment ref="O418" authorId="0" shapeId="0" xr:uid="{B9A6C2C8-3060-462E-BD0A-AA98D79906B8}">
      <text>
        <r>
          <rPr>
            <sz val="10"/>
            <color indexed="81"/>
            <rFont val="Lucida Console"/>
            <family val="3"/>
          </rPr>
          <t>_x000D_
Pertencia a ATA nº 237/20_x000D_
Estimativa de Renovação enviada em 19.05.2020 - Qtd 700_x000D_
PE  48/19 lote _x000D_
23.08.19 = Finalizar - contrato assinado</t>
        </r>
      </text>
    </comment>
    <comment ref="W418" authorId="0" shapeId="0" xr:uid="{FC77865A-33BD-4992-96F9-D88992411541}">
      <text>
        <r>
          <rPr>
            <sz val="10"/>
            <color indexed="81"/>
            <rFont val="Lucida Console"/>
            <family val="3"/>
          </rPr>
          <t>_x000D_
DM-Construção</t>
        </r>
      </text>
    </comment>
    <comment ref="X418" authorId="0" shapeId="0" xr:uid="{636245F2-7239-432D-A201-032DE4AD5A3F}">
      <text>
        <r>
          <rPr>
            <sz val="10"/>
            <color indexed="81"/>
            <rFont val="Lucida Console"/>
            <family val="3"/>
          </rPr>
          <t>_x000D_
MAT.E EQUIP. P/ CONSTR.CIVIL E CONSERV. DE VIAS PUBL.</t>
        </r>
      </text>
    </comment>
    <comment ref="Y418" authorId="0" shapeId="0" xr:uid="{043BBE7E-8845-473E-85EA-9128186CCAF6}">
      <text>
        <r>
          <rPr>
            <sz val="10"/>
            <color indexed="81"/>
            <rFont val="Lucida Console"/>
            <family val="3"/>
          </rPr>
          <t>_x000D_
AZULEJOS E PASTILHAS</t>
        </r>
      </text>
    </comment>
    <comment ref="AW418" authorId="0" shapeId="0" xr:uid="{25E7F68F-5C15-4B74-A0F5-D5A7567BCD6E}">
      <text>
        <r>
          <rPr>
            <sz val="10"/>
            <color indexed="81"/>
            <rFont val="Lucida Console"/>
            <family val="3"/>
          </rPr>
          <t>Tempo de Estoque (Meses)_x000D_
_x000D_
1.451,2</t>
        </r>
      </text>
    </comment>
    <comment ref="A419" authorId="0" shapeId="0" xr:uid="{0E2F9B61-0C98-435A-9855-822627F5AA15}">
      <text>
        <r>
          <rPr>
            <sz val="10"/>
            <color indexed="81"/>
            <rFont val="Lucida Console"/>
            <family val="3"/>
          </rPr>
          <t>_x000D_
12847</t>
        </r>
      </text>
    </comment>
    <comment ref="B419" authorId="0" shapeId="0" xr:uid="{F4EA9BE1-6B94-4C50-9E0B-E6879D7B2B6B}">
      <text>
        <r>
          <rPr>
            <sz val="10"/>
            <color indexed="81"/>
            <rFont val="Lucida Console"/>
            <family val="3"/>
          </rPr>
          <t>DESCRIÇÃO DETALHADA_x000D_
ROLO DE ESPUMA PARA PINTURA - 4 CM</t>
        </r>
      </text>
    </comment>
    <comment ref="G419" authorId="0" shapeId="0" xr:uid="{4365FBCF-0B65-461D-811A-B8C7F23DB368}">
      <text>
        <r>
          <rPr>
            <sz val="10"/>
            <color indexed="81"/>
            <rFont val="Lucida Console"/>
            <family val="3"/>
          </rPr>
          <t>_x000D_
Últ estimativa : 3.000_x000D_
Enviada em     : 12.05.2020_x000D_
Ata - Venc     : 254/20 - 28.10.2021</t>
        </r>
      </text>
    </comment>
    <comment ref="O419" authorId="0" shapeId="0" xr:uid="{0B21B73F-39A9-4331-A414-0BCAD8B70E0B}">
      <text>
        <r>
          <rPr>
            <sz val="10"/>
            <color indexed="81"/>
            <rFont val="Lucida Console"/>
            <family val="3"/>
          </rPr>
          <t>_x000D_
Pertencia a ATA nº 254/20_x000D_
Estimativa de Renovação enviada em 12.05.2020 - Qtd 3.000_x000D_
PE 147/20 lote _x000D_
04.09.20 = Finalizado. Ata 254/20</t>
        </r>
      </text>
    </comment>
    <comment ref="W419" authorId="0" shapeId="0" xr:uid="{D048F627-0137-4A18-8112-D559C6A3C2F4}">
      <text>
        <r>
          <rPr>
            <sz val="10"/>
            <color indexed="81"/>
            <rFont val="Lucida Console"/>
            <family val="3"/>
          </rPr>
          <t>_x000D_
DM-Pintura</t>
        </r>
      </text>
    </comment>
    <comment ref="X419" authorId="0" shapeId="0" xr:uid="{49153DC8-FF2B-4E3C-AB86-A8F4093A3EC0}">
      <text>
        <r>
          <rPr>
            <sz val="10"/>
            <color indexed="81"/>
            <rFont val="Lucida Console"/>
            <family val="3"/>
          </rPr>
          <t>_x000D_
EQUIP. E MATERIAIS P/PINTURAS E IMPERMEABILIZACAO</t>
        </r>
      </text>
    </comment>
    <comment ref="Y419" authorId="0" shapeId="0" xr:uid="{72248FC3-7F7A-415F-9E1F-99D327885189}">
      <text>
        <r>
          <rPr>
            <sz val="10"/>
            <color indexed="81"/>
            <rFont val="Lucida Console"/>
            <family val="3"/>
          </rPr>
          <t>_x000D_
MATERIAIS PARA PINTURA</t>
        </r>
      </text>
    </comment>
    <comment ref="AW419" authorId="0" shapeId="0" xr:uid="{19E727CD-43F5-46F2-B6D9-4C39ED849D13}">
      <text>
        <r>
          <rPr>
            <sz val="10"/>
            <color indexed="81"/>
            <rFont val="Lucida Console"/>
            <family val="3"/>
          </rPr>
          <t>Tempo de Estoque (Meses)_x000D_
_x000D_
1.847,0</t>
        </r>
      </text>
    </comment>
    <comment ref="A420" authorId="0" shapeId="0" xr:uid="{455F151B-7AD5-4560-8E7A-C21C6CEDDEFE}">
      <text>
        <r>
          <rPr>
            <sz val="10"/>
            <color indexed="81"/>
            <rFont val="Lucida Console"/>
            <family val="3"/>
          </rPr>
          <t>_x000D_
24204</t>
        </r>
      </text>
    </comment>
    <comment ref="B420" authorId="0" shapeId="0" xr:uid="{B2276AF8-C608-413F-8ABD-9581B42151F8}">
      <text>
        <r>
          <rPr>
            <sz val="10"/>
            <color indexed="81"/>
            <rFont val="Lucida Console"/>
            <family val="3"/>
          </rPr>
          <t>DESCRIÇÃO DETALHADA_x000D_
ROLO DE LA DE CARNEIRO P/ PINTURA - 9 CM C/ CABO</t>
        </r>
      </text>
    </comment>
    <comment ref="G420" authorId="0" shapeId="0" xr:uid="{08D8F036-3B10-4C8C-BC1E-0DB07EE1952E}">
      <text>
        <r>
          <rPr>
            <sz val="10"/>
            <color indexed="81"/>
            <rFont val="Lucida Console"/>
            <family val="3"/>
          </rPr>
          <t>_x000D_
Últ estimativa : 600_x000D_
Enviada em     : 12.05.2020_x000D_
Ata - Venc     : 254/20 - 28.10.2021</t>
        </r>
      </text>
    </comment>
    <comment ref="O420" authorId="0" shapeId="0" xr:uid="{938C217C-E57D-4D4F-917D-21B25006B541}">
      <text>
        <r>
          <rPr>
            <sz val="10"/>
            <color indexed="81"/>
            <rFont val="Lucida Console"/>
            <family val="3"/>
          </rPr>
          <t>_x000D_
Pertencia a ATA nº 254/20_x000D_
Estimativa de Renovação enviada em 12.05.2020 - Qtd 600_x000D_
PE 147/20 lote _x000D_
04.09.20 = Finalizado. Ata 254/20</t>
        </r>
      </text>
    </comment>
    <comment ref="W420" authorId="0" shapeId="0" xr:uid="{24DE6373-8862-4023-85A6-F49911539228}">
      <text>
        <r>
          <rPr>
            <sz val="10"/>
            <color indexed="81"/>
            <rFont val="Lucida Console"/>
            <family val="3"/>
          </rPr>
          <t>_x000D_
DM-Pintura</t>
        </r>
      </text>
    </comment>
    <comment ref="X420" authorId="0" shapeId="0" xr:uid="{F66D8C34-7F63-462B-8DC0-FD2F91BABBF4}">
      <text>
        <r>
          <rPr>
            <sz val="10"/>
            <color indexed="81"/>
            <rFont val="Lucida Console"/>
            <family val="3"/>
          </rPr>
          <t>_x000D_
EQUIP. E MATERIAIS P/PINTURAS E IMPERMEABILIZACAO</t>
        </r>
      </text>
    </comment>
    <comment ref="Y420" authorId="0" shapeId="0" xr:uid="{0D02B8B7-126C-418B-9351-E76C7C6BFB9D}">
      <text>
        <r>
          <rPr>
            <sz val="10"/>
            <color indexed="81"/>
            <rFont val="Lucida Console"/>
            <family val="3"/>
          </rPr>
          <t>_x000D_
MATERIAIS PARA PINTURA</t>
        </r>
      </text>
    </comment>
    <comment ref="AW420" authorId="0" shapeId="0" xr:uid="{1440CD92-0D31-40D2-861B-33217C1DEFF4}">
      <text>
        <r>
          <rPr>
            <sz val="10"/>
            <color indexed="81"/>
            <rFont val="Lucida Console"/>
            <family val="3"/>
          </rPr>
          <t>Tempo de Estoque (Meses)_x000D_
_x000D_
500,0</t>
        </r>
      </text>
    </comment>
    <comment ref="A421" authorId="0" shapeId="0" xr:uid="{E3FA4701-7852-47EF-BFC3-60D5FAC3442E}">
      <text>
        <r>
          <rPr>
            <sz val="10"/>
            <color indexed="81"/>
            <rFont val="Lucida Console"/>
            <family val="3"/>
          </rPr>
          <t>_x000D_
88839</t>
        </r>
      </text>
    </comment>
    <comment ref="B421" authorId="0" shapeId="0" xr:uid="{DB311EC7-C720-4714-9B2D-A5056AF446DD}">
      <text>
        <r>
          <rPr>
            <sz val="10"/>
            <color indexed="81"/>
            <rFont val="Lucida Console"/>
            <family val="3"/>
          </rPr>
          <t>DESCRIÇÃO DETALHADA_x000D_
SELADOR ACRILICO - LATA COM 18 LITROS</t>
        </r>
      </text>
    </comment>
    <comment ref="G421" authorId="0" shapeId="0" xr:uid="{84E2B89B-7022-4955-A2A9-70E51522BDAB}">
      <text>
        <r>
          <rPr>
            <sz val="10"/>
            <color indexed="81"/>
            <rFont val="Lucida Console"/>
            <family val="3"/>
          </rPr>
          <t>_x000D_
Últ estimativa : 60_x000D_
Enviada em     : 12.05.2020_x000D_
Ata - Venc     : 254/20 - 28.10.2021</t>
        </r>
      </text>
    </comment>
    <comment ref="O421" authorId="0" shapeId="0" xr:uid="{AE25DAF7-1A3E-4F5C-BE17-71781FBFA3F1}">
      <text>
        <r>
          <rPr>
            <sz val="10"/>
            <color indexed="81"/>
            <rFont val="Lucida Console"/>
            <family val="3"/>
          </rPr>
          <t>_x000D_
Pertencia a ATA nº 254/20_x000D_
Estimativa de Renovação enviada em 12.05.2020 - Qtd 60_x000D_
PE 147/20 lote _x000D_
04.09.20 = Finalizado. Ata 254/20</t>
        </r>
      </text>
    </comment>
    <comment ref="W421" authorId="0" shapeId="0" xr:uid="{A2FC0ED3-F702-4282-A2E6-DD94EC868AB6}">
      <text>
        <r>
          <rPr>
            <sz val="10"/>
            <color indexed="81"/>
            <rFont val="Lucida Console"/>
            <family val="3"/>
          </rPr>
          <t>_x000D_
DM-Pintura</t>
        </r>
      </text>
    </comment>
    <comment ref="X421" authorId="0" shapeId="0" xr:uid="{A2983C60-7C1E-48C9-BEA5-D4B1B561639B}">
      <text>
        <r>
          <rPr>
            <sz val="10"/>
            <color indexed="81"/>
            <rFont val="Lucida Console"/>
            <family val="3"/>
          </rPr>
          <t>_x000D_
EQUIP. E MATERIAIS P/PINTURAS E IMPERMEABILIZACAO</t>
        </r>
      </text>
    </comment>
    <comment ref="Y421" authorId="0" shapeId="0" xr:uid="{C5774D7D-8BCA-452D-9292-C4A768860D40}">
      <text>
        <r>
          <rPr>
            <sz val="10"/>
            <color indexed="81"/>
            <rFont val="Lucida Console"/>
            <family val="3"/>
          </rPr>
          <t>_x000D_
SELADORES</t>
        </r>
      </text>
    </comment>
    <comment ref="AW421" authorId="0" shapeId="0" xr:uid="{967EA830-E97B-4E63-925C-7195DE4CABAC}">
      <text>
        <r>
          <rPr>
            <sz val="10"/>
            <color indexed="81"/>
            <rFont val="Lucida Console"/>
            <family val="3"/>
          </rPr>
          <t>Tempo de Estoque (Meses)_x000D_
_x000D_
51,0</t>
        </r>
      </text>
    </comment>
    <comment ref="A422" authorId="0" shapeId="0" xr:uid="{875D5DFD-2D73-4538-9EBE-82C299AC7930}">
      <text>
        <r>
          <rPr>
            <sz val="10"/>
            <color indexed="81"/>
            <rFont val="Lucida Console"/>
            <family val="3"/>
          </rPr>
          <t>_x000D_
128287</t>
        </r>
      </text>
    </comment>
    <comment ref="B422" authorId="0" shapeId="0" xr:uid="{94387737-6C44-4EEB-B168-EE2DADE6FF00}">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422" authorId="0" shapeId="0" xr:uid="{075B783C-EC61-4527-8E72-A147A8130673}">
      <text>
        <r>
          <rPr>
            <sz val="10"/>
            <color indexed="81"/>
            <rFont val="Lucida Console"/>
            <family val="3"/>
          </rPr>
          <t>_x000D_
Últ estimativa : 600_x000D_
Enviada em     : 12.05.2020_x000D_
Ata - Venc     : 254/20 - 28.10.2021</t>
        </r>
      </text>
    </comment>
    <comment ref="O422" authorId="0" shapeId="0" xr:uid="{90183FDB-964F-497B-B489-1D83E12549A7}">
      <text>
        <r>
          <rPr>
            <sz val="10"/>
            <color indexed="81"/>
            <rFont val="Lucida Console"/>
            <family val="3"/>
          </rPr>
          <t>_x000D_
Pertencia a ATA nº 254/20_x000D_
Estimativa de Renovação enviada em 12.05.2020 - Qtd 600_x000D_
PE 147/20 lote _x000D_
04.09.20 = Finalizado. Ata 254/20</t>
        </r>
      </text>
    </comment>
    <comment ref="W422" authorId="0" shapeId="0" xr:uid="{ED7BAED9-2D4A-4CB6-BC6A-82C33ECD1CDF}">
      <text>
        <r>
          <rPr>
            <sz val="10"/>
            <color indexed="81"/>
            <rFont val="Lucida Console"/>
            <family val="3"/>
          </rPr>
          <t>_x000D_
DM-Pintura</t>
        </r>
      </text>
    </comment>
    <comment ref="X422" authorId="0" shapeId="0" xr:uid="{E111D7A1-203D-48C1-83AE-5DD6EAE5261D}">
      <text>
        <r>
          <rPr>
            <sz val="10"/>
            <color indexed="81"/>
            <rFont val="Lucida Console"/>
            <family val="3"/>
          </rPr>
          <t>_x000D_
EQUIP. E MATERIAIS P/PINTURAS E IMPERMEABILIZACAO</t>
        </r>
      </text>
    </comment>
    <comment ref="Y422" authorId="0" shapeId="0" xr:uid="{1BA613A3-C932-410F-BF0A-581968AA04B5}">
      <text>
        <r>
          <rPr>
            <sz val="10"/>
            <color indexed="81"/>
            <rFont val="Lucida Console"/>
            <family val="3"/>
          </rPr>
          <t>_x000D_
REMOVED.,DILUENT.,DECAPANTES MATER.P/LIMP. E PINT.</t>
        </r>
      </text>
    </comment>
    <comment ref="AW422" authorId="0" shapeId="0" xr:uid="{41BD9AFB-06C7-4181-9ABB-B98CEC91F1AB}">
      <text>
        <r>
          <rPr>
            <sz val="10"/>
            <color indexed="81"/>
            <rFont val="Lucida Console"/>
            <family val="3"/>
          </rPr>
          <t>Tempo de Estoque (Meses)_x000D_
_x000D_
677,0</t>
        </r>
      </text>
    </comment>
    <comment ref="A423" authorId="0" shapeId="0" xr:uid="{E56DE4A7-2C1C-4C8B-ADEC-0E3589F629E6}">
      <text>
        <r>
          <rPr>
            <sz val="10"/>
            <color indexed="81"/>
            <rFont val="Lucida Console"/>
            <family val="3"/>
          </rPr>
          <t>_x000D_
13066</t>
        </r>
      </text>
    </comment>
    <comment ref="B423" authorId="0" shapeId="0" xr:uid="{67CAE4B9-1E34-47B0-BA7C-DE54B0E6265C}">
      <text>
        <r>
          <rPr>
            <sz val="10"/>
            <color indexed="81"/>
            <rFont val="Lucida Console"/>
            <family val="3"/>
          </rPr>
          <t>DESCRIÇÃO DETALHADA_x000D_
LIXA D'AGUA EM FOLHA 225 X 275 MM GRAO 150</t>
        </r>
      </text>
    </comment>
    <comment ref="G423" authorId="0" shapeId="0" xr:uid="{C8D8DB2B-F6F6-474F-8C6C-088FDC83DB4B}">
      <text>
        <r>
          <rPr>
            <sz val="10"/>
            <color indexed="81"/>
            <rFont val="Lucida Console"/>
            <family val="3"/>
          </rPr>
          <t>_x000D_
Últ estimativa : 300_x000D_
Enviada em     : 12.05.2020_x000D_
Ata - Venc     : 254/20 - 28.10.2021</t>
        </r>
      </text>
    </comment>
    <comment ref="O423" authorId="0" shapeId="0" xr:uid="{3D123FBE-30AE-4C4E-AFA4-2327D8AFC38D}">
      <text>
        <r>
          <rPr>
            <sz val="10"/>
            <color indexed="81"/>
            <rFont val="Lucida Console"/>
            <family val="3"/>
          </rPr>
          <t>_x000D_
Pertencia a ATA nº 254/20_x000D_
Estimativa de Renovação enviada em 12.05.2020 - Qtd 300_x000D_
PE 147/20 lote _x000D_
04.09.20 = Finalizado. Ata 254/20</t>
        </r>
      </text>
    </comment>
    <comment ref="W423" authorId="0" shapeId="0" xr:uid="{1FCA7BA6-5A6B-4DE5-B758-48996C148625}">
      <text>
        <r>
          <rPr>
            <sz val="10"/>
            <color indexed="81"/>
            <rFont val="Lucida Console"/>
            <family val="3"/>
          </rPr>
          <t>_x000D_
DM-Serralheria</t>
        </r>
      </text>
    </comment>
    <comment ref="X423" authorId="0" shapeId="0" xr:uid="{D2A05FF2-E021-4F46-A203-61D92968213C}">
      <text>
        <r>
          <rPr>
            <sz val="10"/>
            <color indexed="81"/>
            <rFont val="Lucida Console"/>
            <family val="3"/>
          </rPr>
          <t>_x000D_
ABRASIVOS</t>
        </r>
      </text>
    </comment>
    <comment ref="Y423" authorId="0" shapeId="0" xr:uid="{9ECF4C34-1234-483B-A9C8-46E0B4B3C803}">
      <text>
        <r>
          <rPr>
            <sz val="10"/>
            <color indexed="81"/>
            <rFont val="Lucida Console"/>
            <family val="3"/>
          </rPr>
          <t>_x000D_
LIXAS EM FOLHA</t>
        </r>
      </text>
    </comment>
    <comment ref="AW423" authorId="0" shapeId="0" xr:uid="{7B86CAE0-F270-4B1B-B4FB-6081DA71F236}">
      <text>
        <r>
          <rPr>
            <sz val="10"/>
            <color indexed="81"/>
            <rFont val="Lucida Console"/>
            <family val="3"/>
          </rPr>
          <t>Tempo de Estoque (Meses)_x000D_
_x000D_
855,0</t>
        </r>
      </text>
    </comment>
    <comment ref="A424" authorId="0" shapeId="0" xr:uid="{843A941F-8470-43CF-A753-A9E1D95C03D7}">
      <text>
        <r>
          <rPr>
            <sz val="10"/>
            <color indexed="81"/>
            <rFont val="Lucida Console"/>
            <family val="3"/>
          </rPr>
          <t>_x000D_
13087</t>
        </r>
      </text>
    </comment>
    <comment ref="B424" authorId="0" shapeId="0" xr:uid="{B5676D6F-B271-4367-B185-92427914BC5B}">
      <text>
        <r>
          <rPr>
            <sz val="10"/>
            <color indexed="81"/>
            <rFont val="Lucida Console"/>
            <family val="3"/>
          </rPr>
          <t>DESCRIÇÃO DETALHADA_x000D_
LIXA D'AGUA EM FOLHA 225 X 275 MM GRAO 220</t>
        </r>
      </text>
    </comment>
    <comment ref="G424" authorId="0" shapeId="0" xr:uid="{18B43C7E-39D2-47E0-9CE8-9D829D3883B2}">
      <text>
        <r>
          <rPr>
            <sz val="10"/>
            <color indexed="81"/>
            <rFont val="Lucida Console"/>
            <family val="3"/>
          </rPr>
          <t>_x000D_
Últ estimativa : 300_x000D_
Enviada em     : 12.05.2020_x000D_
Ata - Venc     : 254/20 - 28.10.2021</t>
        </r>
      </text>
    </comment>
    <comment ref="O424" authorId="0" shapeId="0" xr:uid="{3EB65904-2137-4863-9AEF-C594C58014E3}">
      <text>
        <r>
          <rPr>
            <sz val="10"/>
            <color indexed="81"/>
            <rFont val="Lucida Console"/>
            <family val="3"/>
          </rPr>
          <t>_x000D_
Pertencia a ATA nº 254/20_x000D_
Estimativa de Renovação enviada em 12.05.2020 - Qtd 300_x000D_
PE 147/20 lote _x000D_
04.09.20 = Finalizado. Ata 254/20</t>
        </r>
      </text>
    </comment>
    <comment ref="W424" authorId="0" shapeId="0" xr:uid="{8D4BFBEA-8E8F-496C-B533-AC40DB7D5395}">
      <text>
        <r>
          <rPr>
            <sz val="10"/>
            <color indexed="81"/>
            <rFont val="Lucida Console"/>
            <family val="3"/>
          </rPr>
          <t>_x000D_
DM-Serralheria</t>
        </r>
      </text>
    </comment>
    <comment ref="X424" authorId="0" shapeId="0" xr:uid="{7780D6FA-A88D-48ED-9268-A9A5846A8033}">
      <text>
        <r>
          <rPr>
            <sz val="10"/>
            <color indexed="81"/>
            <rFont val="Lucida Console"/>
            <family val="3"/>
          </rPr>
          <t>_x000D_
ABRASIVOS</t>
        </r>
      </text>
    </comment>
    <comment ref="Y424" authorId="0" shapeId="0" xr:uid="{9911F47A-9E56-4F48-A9D1-E1EB49AAA6C2}">
      <text>
        <r>
          <rPr>
            <sz val="10"/>
            <color indexed="81"/>
            <rFont val="Lucida Console"/>
            <family val="3"/>
          </rPr>
          <t>_x000D_
LIXAS EM FOLHA</t>
        </r>
      </text>
    </comment>
    <comment ref="AW424" authorId="0" shapeId="0" xr:uid="{284225E4-C97D-4E8C-97B3-BD434E25129F}">
      <text>
        <r>
          <rPr>
            <sz val="10"/>
            <color indexed="81"/>
            <rFont val="Lucida Console"/>
            <family val="3"/>
          </rPr>
          <t>Tempo de Estoque (Meses)_x000D_
_x000D_
222,0</t>
        </r>
      </text>
    </comment>
    <comment ref="A425" authorId="0" shapeId="0" xr:uid="{134B9C0B-8F72-4DCE-88D7-9B4CE538C039}">
      <text>
        <r>
          <rPr>
            <sz val="10"/>
            <color indexed="81"/>
            <rFont val="Lucida Console"/>
            <family val="3"/>
          </rPr>
          <t>_x000D_
13088</t>
        </r>
      </text>
    </comment>
    <comment ref="B425" authorId="0" shapeId="0" xr:uid="{92C640AE-0870-4192-8F50-57F3563D74D1}">
      <text>
        <r>
          <rPr>
            <sz val="10"/>
            <color indexed="81"/>
            <rFont val="Lucida Console"/>
            <family val="3"/>
          </rPr>
          <t>DESCRIÇÃO DETALHADA_x000D_
LIXA D'AGUA EM FOLHA 225 X 275 MM GRAO 320</t>
        </r>
      </text>
    </comment>
    <comment ref="G425" authorId="0" shapeId="0" xr:uid="{D859A353-6BF4-4515-8D3E-C24874B3C4B7}">
      <text>
        <r>
          <rPr>
            <sz val="10"/>
            <color indexed="81"/>
            <rFont val="Lucida Console"/>
            <family val="3"/>
          </rPr>
          <t>_x000D_
Últ estimativa : 0_x000D_
Enviada em     : 12.05.2020_x000D_
Ata - Venc     : 254/20 - 28.10.2021</t>
        </r>
      </text>
    </comment>
    <comment ref="O425" authorId="0" shapeId="0" xr:uid="{D8380E2A-6C12-43CF-BAC0-76748AFEB688}">
      <text>
        <r>
          <rPr>
            <sz val="10"/>
            <color indexed="81"/>
            <rFont val="Lucida Console"/>
            <family val="3"/>
          </rPr>
          <t>_x000D_
Pertencia a ATA nº 254/20_x000D_
Estimativa de Renovação enviada em 12.05.2020 - Qtd _x000D_
PE 147/20 lote _x000D_
04.09.20 = Finalizado. Ata 254/20</t>
        </r>
      </text>
    </comment>
    <comment ref="W425" authorId="0" shapeId="0" xr:uid="{2941D102-C864-4F50-8AE8-F0F37528E388}">
      <text>
        <r>
          <rPr>
            <sz val="10"/>
            <color indexed="81"/>
            <rFont val="Lucida Console"/>
            <family val="3"/>
          </rPr>
          <t>_x000D_
DM-Serralheria</t>
        </r>
      </text>
    </comment>
    <comment ref="X425" authorId="0" shapeId="0" xr:uid="{BDAB4AA8-565F-406B-B8CB-6725E6D4A1F4}">
      <text>
        <r>
          <rPr>
            <sz val="10"/>
            <color indexed="81"/>
            <rFont val="Lucida Console"/>
            <family val="3"/>
          </rPr>
          <t>_x000D_
ABRASIVOS</t>
        </r>
      </text>
    </comment>
    <comment ref="Y425" authorId="0" shapeId="0" xr:uid="{47F17AFE-4393-4375-BBE4-432156F423B4}">
      <text>
        <r>
          <rPr>
            <sz val="10"/>
            <color indexed="81"/>
            <rFont val="Lucida Console"/>
            <family val="3"/>
          </rPr>
          <t>_x000D_
LIXAS EM FOLHA</t>
        </r>
      </text>
    </comment>
    <comment ref="AW425" authorId="0" shapeId="0" xr:uid="{A87985F5-F0EA-44AF-AB90-AAC256468741}">
      <text>
        <r>
          <rPr>
            <sz val="10"/>
            <color indexed="81"/>
            <rFont val="Lucida Console"/>
            <family val="3"/>
          </rPr>
          <t>Tempo de Estoque (Meses)_x000D_
_x000D_
50,0</t>
        </r>
      </text>
    </comment>
    <comment ref="A426" authorId="0" shapeId="0" xr:uid="{B175C574-67E1-48A1-A273-E7452EB5396A}">
      <text>
        <r>
          <rPr>
            <sz val="10"/>
            <color indexed="81"/>
            <rFont val="Lucida Console"/>
            <family val="3"/>
          </rPr>
          <t>_x000D_
13101</t>
        </r>
      </text>
    </comment>
    <comment ref="B426" authorId="0" shapeId="0" xr:uid="{C3959517-C9D6-44CB-B7E4-55A15956B025}">
      <text>
        <r>
          <rPr>
            <sz val="10"/>
            <color indexed="81"/>
            <rFont val="Lucida Console"/>
            <family val="3"/>
          </rPr>
          <t>DESCRIÇÃO DETALHADA_x000D_
LIXA P/ FERRO E METAIS EM FOLHA DE 225 X 275 MM N° 36</t>
        </r>
      </text>
    </comment>
    <comment ref="G426" authorId="0" shapeId="0" xr:uid="{661B1674-7B66-4561-980B-0AF6B1164F9A}">
      <text>
        <r>
          <rPr>
            <sz val="10"/>
            <color indexed="81"/>
            <rFont val="Lucida Console"/>
            <family val="3"/>
          </rPr>
          <t>_x000D_
Últ estimativa : 0_x000D_
Enviada em     : 12.05.2020_x000D_
Ata - Venc     : 254/20 - 28.10.2021</t>
        </r>
      </text>
    </comment>
    <comment ref="O426" authorId="0" shapeId="0" xr:uid="{204A48F1-C11D-4580-A79A-1B869A38A1E1}">
      <text>
        <r>
          <rPr>
            <sz val="10"/>
            <color indexed="81"/>
            <rFont val="Lucida Console"/>
            <family val="3"/>
          </rPr>
          <t>_x000D_
Pertencia a ATA nº 254/20_x000D_
Estimativa de Renovação enviada em 12.05.2020 - Qtd _x000D_
PE 147/20 lote _x000D_
04.09.20 = Finalizado. Ata 254/20</t>
        </r>
      </text>
    </comment>
    <comment ref="W426" authorId="0" shapeId="0" xr:uid="{959D2900-6C67-4808-8920-5C3C99B12FF7}">
      <text>
        <r>
          <rPr>
            <sz val="10"/>
            <color indexed="81"/>
            <rFont val="Lucida Console"/>
            <family val="3"/>
          </rPr>
          <t>_x000D_
DM-Serralheria</t>
        </r>
      </text>
    </comment>
    <comment ref="X426" authorId="0" shapeId="0" xr:uid="{4F0C9CC8-9475-4D2E-BBDD-B95BA88C5685}">
      <text>
        <r>
          <rPr>
            <sz val="10"/>
            <color indexed="81"/>
            <rFont val="Lucida Console"/>
            <family val="3"/>
          </rPr>
          <t>_x000D_
ABRASIVOS</t>
        </r>
      </text>
    </comment>
    <comment ref="Y426" authorId="0" shapeId="0" xr:uid="{9102E285-25BF-4237-8F5A-AE826AFFDD08}">
      <text>
        <r>
          <rPr>
            <sz val="10"/>
            <color indexed="81"/>
            <rFont val="Lucida Console"/>
            <family val="3"/>
          </rPr>
          <t>_x000D_
LIXAS EM FOLHA</t>
        </r>
      </text>
    </comment>
    <comment ref="AW426" authorId="0" shapeId="0" xr:uid="{899145C7-8218-4C31-8915-26BBEDE2F2C8}">
      <text>
        <r>
          <rPr>
            <sz val="10"/>
            <color indexed="81"/>
            <rFont val="Lucida Console"/>
            <family val="3"/>
          </rPr>
          <t>Tempo de Estoque (Meses)_x000D_
_x000D_
85,0</t>
        </r>
      </text>
    </comment>
    <comment ref="A427" authorId="0" shapeId="0" xr:uid="{54186780-9466-44AD-AFE7-6A92930B93DF}">
      <text>
        <r>
          <rPr>
            <sz val="10"/>
            <color indexed="81"/>
            <rFont val="Lucida Console"/>
            <family val="3"/>
          </rPr>
          <t>_x000D_
13109</t>
        </r>
      </text>
    </comment>
    <comment ref="B427" authorId="0" shapeId="0" xr:uid="{E1D375E7-6D30-49A1-AA1D-6F15DCC09DAF}">
      <text>
        <r>
          <rPr>
            <sz val="10"/>
            <color indexed="81"/>
            <rFont val="Lucida Console"/>
            <family val="3"/>
          </rPr>
          <t>DESCRIÇÃO DETALHADA_x000D_
LIXA P/ FERRO E METAIS EM FOLHA DE 225 X 275 MM N° 60</t>
        </r>
      </text>
    </comment>
    <comment ref="G427" authorId="0" shapeId="0" xr:uid="{9DC226DE-0E9A-4E9E-BA4D-9DD5DD480026}">
      <text>
        <r>
          <rPr>
            <sz val="10"/>
            <color indexed="81"/>
            <rFont val="Lucida Console"/>
            <family val="3"/>
          </rPr>
          <t>_x000D_
Últ estimativa : 400_x000D_
Enviada em     : 24.10.2019_x000D_
Ata - Venc     : 254/20 - 28.10.2021</t>
        </r>
      </text>
    </comment>
    <comment ref="O427" authorId="0" shapeId="0" xr:uid="{D0874E54-2DDA-4E33-BBD0-043BC4D11757}">
      <text>
        <r>
          <rPr>
            <sz val="10"/>
            <color indexed="81"/>
            <rFont val="Lucida Console"/>
            <family val="3"/>
          </rPr>
          <t>_x000D_
Pertencia a ATA nº 254/20_x000D_
Estimativa de Renovação enviada em 24.10.2019 - Qtd 400_x000D_
PE 147/20 lote _x000D_
04.09.20 = Finalizado. Ata 254/20</t>
        </r>
      </text>
    </comment>
    <comment ref="W427" authorId="0" shapeId="0" xr:uid="{99E41022-1C3F-41F7-8D18-B4AA4EC3E47F}">
      <text>
        <r>
          <rPr>
            <sz val="10"/>
            <color indexed="81"/>
            <rFont val="Lucida Console"/>
            <family val="3"/>
          </rPr>
          <t>_x000D_
DM-Serralheria</t>
        </r>
      </text>
    </comment>
    <comment ref="X427" authorId="0" shapeId="0" xr:uid="{7E33E2F3-FA51-4CFB-ACC0-83F33D900B83}">
      <text>
        <r>
          <rPr>
            <sz val="10"/>
            <color indexed="81"/>
            <rFont val="Lucida Console"/>
            <family val="3"/>
          </rPr>
          <t>_x000D_
ABRASIVOS</t>
        </r>
      </text>
    </comment>
    <comment ref="Y427" authorId="0" shapeId="0" xr:uid="{E4D99C7B-B36A-4074-A844-A27CA99D7D56}">
      <text>
        <r>
          <rPr>
            <sz val="10"/>
            <color indexed="81"/>
            <rFont val="Lucida Console"/>
            <family val="3"/>
          </rPr>
          <t>_x000D_
LIXAS EM FOLHA</t>
        </r>
      </text>
    </comment>
    <comment ref="AW427" authorId="0" shapeId="0" xr:uid="{310D0A58-6BB6-46C4-995E-F85D17C35A0E}">
      <text>
        <r>
          <rPr>
            <sz val="10"/>
            <color indexed="81"/>
            <rFont val="Lucida Console"/>
            <family val="3"/>
          </rPr>
          <t>Tempo de Estoque (Meses)_x000D_
_x000D_
0,0</t>
        </r>
      </text>
    </comment>
    <comment ref="A428" authorId="0" shapeId="0" xr:uid="{1C8511A3-26C1-4638-B74D-6FE0C6F074C1}">
      <text>
        <r>
          <rPr>
            <sz val="10"/>
            <color indexed="81"/>
            <rFont val="Lucida Console"/>
            <family val="3"/>
          </rPr>
          <t>_x000D_
13218</t>
        </r>
      </text>
    </comment>
    <comment ref="B428" authorId="0" shapeId="0" xr:uid="{36D267E5-F4C7-4E31-8CB7-9FF716F8E41C}">
      <text>
        <r>
          <rPr>
            <sz val="10"/>
            <color indexed="81"/>
            <rFont val="Lucida Console"/>
            <family val="3"/>
          </rPr>
          <t>DESCRIÇÃO DETALHADA_x000D_
LIXA D'AGUA EM FOLHA 225 X 275 MM GRAO 100</t>
        </r>
      </text>
    </comment>
    <comment ref="G428" authorId="0" shapeId="0" xr:uid="{A66698C1-E4F0-4DF6-92B3-6D6D26A86403}">
      <text>
        <r>
          <rPr>
            <sz val="10"/>
            <color indexed="81"/>
            <rFont val="Lucida Console"/>
            <family val="3"/>
          </rPr>
          <t>_x000D_
Últ estimativa : 0_x000D_
Enviada em     : 12.05.2020_x000D_
Ata - Venc     : 254/20 - 28.10.2021</t>
        </r>
      </text>
    </comment>
    <comment ref="O428" authorId="0" shapeId="0" xr:uid="{F16F779B-0358-4D4F-9F75-32F41EB3C821}">
      <text>
        <r>
          <rPr>
            <sz val="10"/>
            <color indexed="81"/>
            <rFont val="Lucida Console"/>
            <family val="3"/>
          </rPr>
          <t>_x000D_
Pertencia a ATA nº 254/20_x000D_
Estimativa de Renovação enviada em 12.05.2020 - Qtd _x000D_
PE 147/20 lote _x000D_
04.09.20 = Finalizado. Ata 254/20</t>
        </r>
      </text>
    </comment>
    <comment ref="W428" authorId="0" shapeId="0" xr:uid="{E47387E8-AF8E-42B7-A779-46AF51612B97}">
      <text>
        <r>
          <rPr>
            <sz val="10"/>
            <color indexed="81"/>
            <rFont val="Lucida Console"/>
            <family val="3"/>
          </rPr>
          <t>_x000D_
DM-Serralheria</t>
        </r>
      </text>
    </comment>
    <comment ref="X428" authorId="0" shapeId="0" xr:uid="{33F02C9A-EDA8-4E5A-9A3B-C505AA1D5725}">
      <text>
        <r>
          <rPr>
            <sz val="10"/>
            <color indexed="81"/>
            <rFont val="Lucida Console"/>
            <family val="3"/>
          </rPr>
          <t>_x000D_
ABRASIVOS</t>
        </r>
      </text>
    </comment>
    <comment ref="Y428" authorId="0" shapeId="0" xr:uid="{787552A4-C15F-4F36-B5E2-527E25F18DE2}">
      <text>
        <r>
          <rPr>
            <sz val="10"/>
            <color indexed="81"/>
            <rFont val="Lucida Console"/>
            <family val="3"/>
          </rPr>
          <t>_x000D_
LIXAS EM FOLHA</t>
        </r>
      </text>
    </comment>
    <comment ref="AW428" authorId="0" shapeId="0" xr:uid="{569E7FD4-2B8A-49F6-AB0F-98B7482888AB}">
      <text>
        <r>
          <rPr>
            <sz val="10"/>
            <color indexed="81"/>
            <rFont val="Lucida Console"/>
            <family val="3"/>
          </rPr>
          <t>Tempo de Estoque (Meses)_x000D_
_x000D_
204,0</t>
        </r>
      </text>
    </comment>
    <comment ref="A429" authorId="0" shapeId="0" xr:uid="{7FB1066D-D854-428D-AF6F-E5DBEAC6A3B1}">
      <text>
        <r>
          <rPr>
            <sz val="10"/>
            <color indexed="81"/>
            <rFont val="Lucida Console"/>
            <family val="3"/>
          </rPr>
          <t>_x000D_
17662</t>
        </r>
      </text>
    </comment>
    <comment ref="B429" authorId="0" shapeId="0" xr:uid="{0AB8085B-1025-4D89-A838-22EB81776202}">
      <text>
        <r>
          <rPr>
            <sz val="10"/>
            <color indexed="81"/>
            <rFont val="Lucida Console"/>
            <family val="3"/>
          </rPr>
          <t>DESCRIÇÃO DETALHADA_x000D_
LIXA D'AGUA EM FOLHA 225 X 275 MM GRAO 120</t>
        </r>
      </text>
    </comment>
    <comment ref="G429" authorId="0" shapeId="0" xr:uid="{2BED9A85-FA16-46FC-B7DD-92B0D2FA1E88}">
      <text>
        <r>
          <rPr>
            <sz val="10"/>
            <color indexed="81"/>
            <rFont val="Lucida Console"/>
            <family val="3"/>
          </rPr>
          <t>_x000D_
Últ estimativa : 0_x000D_
Enviada em     : 12.05.2020_x000D_
Ata - Venc     : 254/20 - 28.10.2021</t>
        </r>
      </text>
    </comment>
    <comment ref="O429" authorId="0" shapeId="0" xr:uid="{4D051382-7D1D-4490-96AE-AFC07717ED49}">
      <text>
        <r>
          <rPr>
            <sz val="10"/>
            <color indexed="81"/>
            <rFont val="Lucida Console"/>
            <family val="3"/>
          </rPr>
          <t>_x000D_
Pertencia a ATA nº 254/20_x000D_
Estimativa de Renovação enviada em 12.05.2020 - Qtd _x000D_
PE 147/20 lote _x000D_
04.09.20 = Finalizado. Ata 254/20</t>
        </r>
      </text>
    </comment>
    <comment ref="W429" authorId="0" shapeId="0" xr:uid="{824DF592-55DD-4CBC-A621-7D2BB3A8A489}">
      <text>
        <r>
          <rPr>
            <sz val="10"/>
            <color indexed="81"/>
            <rFont val="Lucida Console"/>
            <family val="3"/>
          </rPr>
          <t>_x000D_
DM-Serralheria</t>
        </r>
      </text>
    </comment>
    <comment ref="X429" authorId="0" shapeId="0" xr:uid="{695FB3DC-8293-4A6D-AC8D-841856C3F667}">
      <text>
        <r>
          <rPr>
            <sz val="10"/>
            <color indexed="81"/>
            <rFont val="Lucida Console"/>
            <family val="3"/>
          </rPr>
          <t>_x000D_
ABRASIVOS</t>
        </r>
      </text>
    </comment>
    <comment ref="Y429" authorId="0" shapeId="0" xr:uid="{20F265D2-AFF2-42A8-8230-F872CCDC1A7D}">
      <text>
        <r>
          <rPr>
            <sz val="10"/>
            <color indexed="81"/>
            <rFont val="Lucida Console"/>
            <family val="3"/>
          </rPr>
          <t>_x000D_
LIXAS EM FOLHA</t>
        </r>
      </text>
    </comment>
    <comment ref="AW429" authorId="0" shapeId="0" xr:uid="{DCB2482D-224C-4F5E-8C1B-3F7BBF69F823}">
      <text>
        <r>
          <rPr>
            <sz val="10"/>
            <color indexed="81"/>
            <rFont val="Lucida Console"/>
            <family val="3"/>
          </rPr>
          <t>Tempo de Estoque (Meses)_x000D_
_x000D_
1.410,0</t>
        </r>
      </text>
    </comment>
    <comment ref="A430" authorId="0" shapeId="0" xr:uid="{D0E41810-0E10-4D66-964E-3EA6FEEEE1F7}">
      <text>
        <r>
          <rPr>
            <sz val="10"/>
            <color indexed="81"/>
            <rFont val="Lucida Console"/>
            <family val="3"/>
          </rPr>
          <t>_x000D_
17696</t>
        </r>
      </text>
    </comment>
    <comment ref="B430" authorId="0" shapeId="0" xr:uid="{08C91753-538E-4D38-B072-D7A94BDC509E}">
      <text>
        <r>
          <rPr>
            <sz val="10"/>
            <color indexed="81"/>
            <rFont val="Lucida Console"/>
            <family val="3"/>
          </rPr>
          <t>DESCRIÇÃO DETALHADA_x000D_
LIXA P/ FERRO E METAIS EM FOLHA DE 225 X 275 MM - N.º 220</t>
        </r>
      </text>
    </comment>
    <comment ref="G430" authorId="0" shapeId="0" xr:uid="{1D8FD229-0F89-46B6-8AC4-C92016BE279A}">
      <text>
        <r>
          <rPr>
            <sz val="10"/>
            <color indexed="81"/>
            <rFont val="Lucida Console"/>
            <family val="3"/>
          </rPr>
          <t>_x000D_
Últ estimativa : 0_x000D_
Enviada em     : 12.05.2020_x000D_
Ata - Venc     : 254/20 - 28.10.2021</t>
        </r>
      </text>
    </comment>
    <comment ref="O430" authorId="0" shapeId="0" xr:uid="{9D087B2C-45DC-4D2E-AD67-4A1278635F47}">
      <text>
        <r>
          <rPr>
            <sz val="10"/>
            <color indexed="81"/>
            <rFont val="Lucida Console"/>
            <family val="3"/>
          </rPr>
          <t>_x000D_
Pertencia a ATA nº 254/20_x000D_
Estimativa de Renovação enviada em 12.05.2020 - Qtd _x000D_
PE 147/20 lote _x000D_
04.09.20 = Finalizado. Ata 254/20</t>
        </r>
      </text>
    </comment>
    <comment ref="W430" authorId="0" shapeId="0" xr:uid="{70C0480D-002D-4485-92A2-EB4C977F7623}">
      <text>
        <r>
          <rPr>
            <sz val="10"/>
            <color indexed="81"/>
            <rFont val="Lucida Console"/>
            <family val="3"/>
          </rPr>
          <t>_x000D_
DM-Serralheria</t>
        </r>
      </text>
    </comment>
    <comment ref="X430" authorId="0" shapeId="0" xr:uid="{9F168908-44FD-440D-A4DC-4FB8F3298C59}">
      <text>
        <r>
          <rPr>
            <sz val="10"/>
            <color indexed="81"/>
            <rFont val="Lucida Console"/>
            <family val="3"/>
          </rPr>
          <t>_x000D_
ABRASIVOS</t>
        </r>
      </text>
    </comment>
    <comment ref="Y430" authorId="0" shapeId="0" xr:uid="{87F4C08E-972C-408E-9CCD-50B87CD35DB5}">
      <text>
        <r>
          <rPr>
            <sz val="10"/>
            <color indexed="81"/>
            <rFont val="Lucida Console"/>
            <family val="3"/>
          </rPr>
          <t>_x000D_
LIXAS EM FOLHA</t>
        </r>
      </text>
    </comment>
    <comment ref="AW430" authorId="0" shapeId="0" xr:uid="{A2D2B31F-3F73-41C4-A88A-1D460D47B1B5}">
      <text>
        <r>
          <rPr>
            <sz val="10"/>
            <color indexed="81"/>
            <rFont val="Lucida Console"/>
            <family val="3"/>
          </rPr>
          <t>Tempo de Estoque (Meses)_x000D_
_x000D_
0,0</t>
        </r>
      </text>
    </comment>
    <comment ref="A431" authorId="0" shapeId="0" xr:uid="{891E8CA5-474A-4393-BE3D-ECEBCF0BB54D}">
      <text>
        <r>
          <rPr>
            <sz val="10"/>
            <color indexed="81"/>
            <rFont val="Lucida Console"/>
            <family val="3"/>
          </rPr>
          <t>_x000D_
17698</t>
        </r>
      </text>
    </comment>
    <comment ref="B431" authorId="0" shapeId="0" xr:uid="{5D359A58-1D45-4A07-BF0A-83823F4BB12A}">
      <text>
        <r>
          <rPr>
            <sz val="10"/>
            <color indexed="81"/>
            <rFont val="Lucida Console"/>
            <family val="3"/>
          </rPr>
          <t>DESCRIÇÃO DETALHADA_x000D_
LIXA P/ FERRO E METAIS EM FOLHA DE 200 X 275 MM - Nº 120</t>
        </r>
      </text>
    </comment>
    <comment ref="G431" authorId="0" shapeId="0" xr:uid="{D281C386-4CE7-4A30-9837-2CE71E4C9847}">
      <text>
        <r>
          <rPr>
            <sz val="10"/>
            <color indexed="81"/>
            <rFont val="Lucida Console"/>
            <family val="3"/>
          </rPr>
          <t>_x000D_
Últ estimativa : 200_x000D_
Enviada em     : 12.05.2020_x000D_
Ata - Venc     : 254/20 - 28.10.2021</t>
        </r>
      </text>
    </comment>
    <comment ref="O431" authorId="0" shapeId="0" xr:uid="{3DC786A8-A6F1-4C9A-B2DC-261D1B6ED777}">
      <text>
        <r>
          <rPr>
            <sz val="10"/>
            <color indexed="81"/>
            <rFont val="Lucida Console"/>
            <family val="3"/>
          </rPr>
          <t>_x000D_
Pertencia a ATA nº 254/20_x000D_
Estimativa de Renovação enviada em 12.05.2020 - Qtd 200_x000D_
PE 147/20 lote _x000D_
04.09.20 = Finalizado. Ata 254/20</t>
        </r>
      </text>
    </comment>
    <comment ref="W431" authorId="0" shapeId="0" xr:uid="{9BC4A643-6C25-4973-86BE-3AF3482CEDBD}">
      <text>
        <r>
          <rPr>
            <sz val="10"/>
            <color indexed="81"/>
            <rFont val="Lucida Console"/>
            <family val="3"/>
          </rPr>
          <t>_x000D_
DM-Serralheria</t>
        </r>
      </text>
    </comment>
    <comment ref="X431" authorId="0" shapeId="0" xr:uid="{3A008D4C-E503-450A-AD39-DA68CABEBE84}">
      <text>
        <r>
          <rPr>
            <sz val="10"/>
            <color indexed="81"/>
            <rFont val="Lucida Console"/>
            <family val="3"/>
          </rPr>
          <t>_x000D_
ABRASIVOS</t>
        </r>
      </text>
    </comment>
    <comment ref="Y431" authorId="0" shapeId="0" xr:uid="{18E6D16D-66CB-4271-9428-081321945D39}">
      <text>
        <r>
          <rPr>
            <sz val="10"/>
            <color indexed="81"/>
            <rFont val="Lucida Console"/>
            <family val="3"/>
          </rPr>
          <t>_x000D_
LIXAS EM FOLHA</t>
        </r>
      </text>
    </comment>
    <comment ref="AW431" authorId="0" shapeId="0" xr:uid="{4334C669-08A8-4988-8160-E4399E262BEB}">
      <text>
        <r>
          <rPr>
            <sz val="10"/>
            <color indexed="81"/>
            <rFont val="Lucida Console"/>
            <family val="3"/>
          </rPr>
          <t>Tempo de Estoque (Meses)_x000D_
_x000D_
546,0</t>
        </r>
      </text>
    </comment>
    <comment ref="A432" authorId="0" shapeId="0" xr:uid="{29C6394A-D2D4-4204-9960-30597A3DD2E7}">
      <text>
        <r>
          <rPr>
            <sz val="10"/>
            <color indexed="81"/>
            <rFont val="Lucida Console"/>
            <family val="3"/>
          </rPr>
          <t>_x000D_
35550</t>
        </r>
      </text>
    </comment>
    <comment ref="B432" authorId="0" shapeId="0" xr:uid="{31C1DCB0-213F-4246-82DB-52ED4B928231}">
      <text>
        <r>
          <rPr>
            <sz val="10"/>
            <color indexed="81"/>
            <rFont val="Lucida Console"/>
            <family val="3"/>
          </rPr>
          <t>DESCRIÇÃO DETALHADA_x000D_
LIXA DE PAPEL P/ MADEIRA EM FOLHA DE 225 X 275 MM - N°100</t>
        </r>
      </text>
    </comment>
    <comment ref="G432" authorId="0" shapeId="0" xr:uid="{CAFE2368-886B-4733-98DB-08C28B257C87}">
      <text>
        <r>
          <rPr>
            <sz val="10"/>
            <color indexed="81"/>
            <rFont val="Lucida Console"/>
            <family val="3"/>
          </rPr>
          <t>_x000D_
Últ estimativa : 0_x000D_
Enviada em     : 12.05.2020_x000D_
Ata - Venc     : 254/20 - 28.10.2021</t>
        </r>
      </text>
    </comment>
    <comment ref="O432" authorId="0" shapeId="0" xr:uid="{9BD85C65-63F0-4969-80B7-7AF750003196}">
      <text>
        <r>
          <rPr>
            <sz val="10"/>
            <color indexed="81"/>
            <rFont val="Lucida Console"/>
            <family val="3"/>
          </rPr>
          <t>_x000D_
Pertencia a ATA nº 254/20_x000D_
Estimativa de Renovação enviada em 12.05.2020 - Qtd _x000D_
PE 147/20 lote _x000D_
04.09.20 = Finalizado. Ata 254/20</t>
        </r>
      </text>
    </comment>
    <comment ref="W432" authorId="0" shapeId="0" xr:uid="{4927700B-AFB6-4B7A-8910-C477725781A5}">
      <text>
        <r>
          <rPr>
            <sz val="10"/>
            <color indexed="81"/>
            <rFont val="Lucida Console"/>
            <family val="3"/>
          </rPr>
          <t>_x000D_
DM-Serralheria</t>
        </r>
      </text>
    </comment>
    <comment ref="X432" authorId="0" shapeId="0" xr:uid="{E5034FEA-0228-45CA-BA32-72EC5F37BB33}">
      <text>
        <r>
          <rPr>
            <sz val="10"/>
            <color indexed="81"/>
            <rFont val="Lucida Console"/>
            <family val="3"/>
          </rPr>
          <t>_x000D_
ABRASIVOS</t>
        </r>
      </text>
    </comment>
    <comment ref="Y432" authorId="0" shapeId="0" xr:uid="{3C104181-CFCB-4E74-BC8B-190C6CA3B736}">
      <text>
        <r>
          <rPr>
            <sz val="10"/>
            <color indexed="81"/>
            <rFont val="Lucida Console"/>
            <family val="3"/>
          </rPr>
          <t>_x000D_
LIXAS EM FOLHA</t>
        </r>
      </text>
    </comment>
    <comment ref="AW432" authorId="0" shapeId="0" xr:uid="{44A7D2FF-E370-4B3B-9A66-759376AF1745}">
      <text>
        <r>
          <rPr>
            <sz val="10"/>
            <color indexed="81"/>
            <rFont val="Lucida Console"/>
            <family val="3"/>
          </rPr>
          <t>Tempo de Estoque (Meses)_x000D_
_x000D_
39,0</t>
        </r>
      </text>
    </comment>
    <comment ref="A433" authorId="0" shapeId="0" xr:uid="{D9F5B9B3-420A-4F0D-B843-FFD87D13D25B}">
      <text>
        <r>
          <rPr>
            <sz val="10"/>
            <color indexed="81"/>
            <rFont val="Lucida Console"/>
            <family val="3"/>
          </rPr>
          <t>_x000D_
35554</t>
        </r>
      </text>
    </comment>
    <comment ref="B433" authorId="0" shapeId="0" xr:uid="{B50A6F64-F7A4-4DBF-9BEF-1FEF45B337BF}">
      <text>
        <r>
          <rPr>
            <sz val="10"/>
            <color indexed="81"/>
            <rFont val="Lucida Console"/>
            <family val="3"/>
          </rPr>
          <t>DESCRIÇÃO DETALHADA_x000D_
LIXA DE PAPEL P/ MADEIRA EM FOLHA DE 225 X 275 MM - N° 80</t>
        </r>
      </text>
    </comment>
    <comment ref="G433" authorId="0" shapeId="0" xr:uid="{FBC74DA3-5826-4B6E-8D94-A9404CB97AF8}">
      <text>
        <r>
          <rPr>
            <sz val="10"/>
            <color indexed="81"/>
            <rFont val="Lucida Console"/>
            <family val="3"/>
          </rPr>
          <t>_x000D_
Últ estimativa : 0_x000D_
Enviada em     : 12.05.2020_x000D_
Ata - Venc     : 254/20 - 28.10.2021</t>
        </r>
      </text>
    </comment>
    <comment ref="O433" authorId="0" shapeId="0" xr:uid="{DD4C08B8-E5BD-4F87-A818-6554258D9500}">
      <text>
        <r>
          <rPr>
            <sz val="10"/>
            <color indexed="81"/>
            <rFont val="Lucida Console"/>
            <family val="3"/>
          </rPr>
          <t>_x000D_
Pertencia a ATA nº 254/20_x000D_
Estimativa de Renovação enviada em 12.05.2020 - Qtd _x000D_
PE 147/20 lote _x000D_
04.09.20 = Finalizado. Ata 254/20</t>
        </r>
      </text>
    </comment>
    <comment ref="W433" authorId="0" shapeId="0" xr:uid="{17581126-DD07-450F-81BC-336E527C04E1}">
      <text>
        <r>
          <rPr>
            <sz val="10"/>
            <color indexed="81"/>
            <rFont val="Lucida Console"/>
            <family val="3"/>
          </rPr>
          <t>_x000D_
DM-Serralheria</t>
        </r>
      </text>
    </comment>
    <comment ref="X433" authorId="0" shapeId="0" xr:uid="{DA7073B8-C73C-4898-9606-454843B138D4}">
      <text>
        <r>
          <rPr>
            <sz val="10"/>
            <color indexed="81"/>
            <rFont val="Lucida Console"/>
            <family val="3"/>
          </rPr>
          <t>_x000D_
ABRASIVOS</t>
        </r>
      </text>
    </comment>
    <comment ref="Y433" authorId="0" shapeId="0" xr:uid="{105E8367-1FC9-4CCB-A078-3EC4F601117F}">
      <text>
        <r>
          <rPr>
            <sz val="10"/>
            <color indexed="81"/>
            <rFont val="Lucida Console"/>
            <family val="3"/>
          </rPr>
          <t>_x000D_
LIXAS EM FOLHA</t>
        </r>
      </text>
    </comment>
    <comment ref="AW433" authorId="0" shapeId="0" xr:uid="{B09A5775-2A3C-4248-854C-C8A95586B154}">
      <text>
        <r>
          <rPr>
            <sz val="10"/>
            <color indexed="81"/>
            <rFont val="Lucida Console"/>
            <family val="3"/>
          </rPr>
          <t>Tempo de Estoque (Meses)_x000D_
_x000D_
20,0</t>
        </r>
      </text>
    </comment>
    <comment ref="A434" authorId="0" shapeId="0" xr:uid="{007CE093-B9FB-4346-BD9C-8136E9DE0B06}">
      <text>
        <r>
          <rPr>
            <sz val="10"/>
            <color indexed="81"/>
            <rFont val="Lucida Console"/>
            <family val="3"/>
          </rPr>
          <t>_x000D_
35555</t>
        </r>
      </text>
    </comment>
    <comment ref="B434" authorId="0" shapeId="0" xr:uid="{F6786111-9D3F-4D0D-83F4-CC2391249FAC}">
      <text>
        <r>
          <rPr>
            <sz val="10"/>
            <color indexed="81"/>
            <rFont val="Lucida Console"/>
            <family val="3"/>
          </rPr>
          <t>DESCRIÇÃO DETALHADA_x000D_
LIXA DE PAPEL P/ MADEIRA EM FOLHA DE 225 X 275 MM - N° 120</t>
        </r>
      </text>
    </comment>
    <comment ref="G434" authorId="0" shapeId="0" xr:uid="{8BE90E9D-3333-4367-9F43-F723394AFC5A}">
      <text>
        <r>
          <rPr>
            <sz val="10"/>
            <color indexed="81"/>
            <rFont val="Lucida Console"/>
            <family val="3"/>
          </rPr>
          <t>_x000D_
Últ estimativa : 0_x000D_
Enviada em     : 12.05.2020_x000D_
Ata - Venc     : 254/20 - 28.10.2021</t>
        </r>
      </text>
    </comment>
    <comment ref="O434" authorId="0" shapeId="0" xr:uid="{9ACA68A1-851D-4D53-8D13-9C92F06CAEBB}">
      <text>
        <r>
          <rPr>
            <sz val="10"/>
            <color indexed="81"/>
            <rFont val="Lucida Console"/>
            <family val="3"/>
          </rPr>
          <t>_x000D_
Pertencia a ATA nº 254/20_x000D_
Estimativa de Renovação enviada em 12.05.2020 - Qtd _x000D_
PE 147/20 lote _x000D_
04.09.20 = Finalizado. Ata 254/20</t>
        </r>
      </text>
    </comment>
    <comment ref="W434" authorId="0" shapeId="0" xr:uid="{3890B07B-7A4E-4E6B-80FF-C275EEBBCC1F}">
      <text>
        <r>
          <rPr>
            <sz val="10"/>
            <color indexed="81"/>
            <rFont val="Lucida Console"/>
            <family val="3"/>
          </rPr>
          <t>_x000D_
DM-Serralheria</t>
        </r>
      </text>
    </comment>
    <comment ref="X434" authorId="0" shapeId="0" xr:uid="{1B6F60C8-7DD6-4A5D-A1AA-6606CC22CDF8}">
      <text>
        <r>
          <rPr>
            <sz val="10"/>
            <color indexed="81"/>
            <rFont val="Lucida Console"/>
            <family val="3"/>
          </rPr>
          <t>_x000D_
ABRASIVOS</t>
        </r>
      </text>
    </comment>
    <comment ref="Y434" authorId="0" shapeId="0" xr:uid="{18D06B7C-3F3E-4AFF-BC9D-8B2DBE8BE0B4}">
      <text>
        <r>
          <rPr>
            <sz val="10"/>
            <color indexed="81"/>
            <rFont val="Lucida Console"/>
            <family val="3"/>
          </rPr>
          <t>_x000D_
LIXAS EM FOLHA</t>
        </r>
      </text>
    </comment>
    <comment ref="AW434" authorId="0" shapeId="0" xr:uid="{54A35C52-C9FA-453B-93F3-8B166F51CB15}">
      <text>
        <r>
          <rPr>
            <sz val="10"/>
            <color indexed="81"/>
            <rFont val="Lucida Console"/>
            <family val="3"/>
          </rPr>
          <t>Tempo de Estoque (Meses)_x000D_
_x000D_
63,0</t>
        </r>
      </text>
    </comment>
    <comment ref="A435" authorId="0" shapeId="0" xr:uid="{BBFB9672-0A4C-4D33-81CD-12AF9B100C36}">
      <text>
        <r>
          <rPr>
            <sz val="10"/>
            <color indexed="81"/>
            <rFont val="Lucida Console"/>
            <family val="3"/>
          </rPr>
          <t>_x000D_
71697</t>
        </r>
      </text>
    </comment>
    <comment ref="B435" authorId="0" shapeId="0" xr:uid="{5D8B70B5-2F5B-4A4D-B0C3-D22F30024590}">
      <text>
        <r>
          <rPr>
            <sz val="10"/>
            <color indexed="81"/>
            <rFont val="Lucida Console"/>
            <family val="3"/>
          </rPr>
          <t>DESCRIÇÃO DETALHADA_x000D_
LIXA PARA PAREDE - 60</t>
        </r>
      </text>
    </comment>
    <comment ref="G435" authorId="0" shapeId="0" xr:uid="{3840998F-F545-4684-BF22-3144BD8619E9}">
      <text>
        <r>
          <rPr>
            <sz val="10"/>
            <color indexed="81"/>
            <rFont val="Lucida Console"/>
            <family val="3"/>
          </rPr>
          <t>_x000D_
Últ estimativa : 1.500_x000D_
Enviada em     : 24.10.2019_x000D_
Ata - Venc     : 254/20 - 28.10.2021</t>
        </r>
      </text>
    </comment>
    <comment ref="O435" authorId="0" shapeId="0" xr:uid="{215F1C3B-DA37-482F-BA34-D14A462FBB19}">
      <text>
        <r>
          <rPr>
            <sz val="10"/>
            <color indexed="81"/>
            <rFont val="Lucida Console"/>
            <family val="3"/>
          </rPr>
          <t>_x000D_
Pertencia a ATA nº 254/20_x000D_
Estimativa de Renovação enviada em 24.10.2019 - Qtd 1.500_x000D_
PE 147/20 lote _x000D_
04.09.20 = Finalizado. Ata 254/20</t>
        </r>
      </text>
    </comment>
    <comment ref="W435" authorId="0" shapeId="0" xr:uid="{2D0A7901-259D-443F-9720-63A75A626145}">
      <text>
        <r>
          <rPr>
            <sz val="10"/>
            <color indexed="81"/>
            <rFont val="Lucida Console"/>
            <family val="3"/>
          </rPr>
          <t>_x000D_
DM-Serralheria</t>
        </r>
      </text>
    </comment>
    <comment ref="X435" authorId="0" shapeId="0" xr:uid="{73AAB1FF-1F9A-4240-9F0C-371387220B13}">
      <text>
        <r>
          <rPr>
            <sz val="10"/>
            <color indexed="81"/>
            <rFont val="Lucida Console"/>
            <family val="3"/>
          </rPr>
          <t>_x000D_
ABRASIVOS</t>
        </r>
      </text>
    </comment>
    <comment ref="Y435" authorId="0" shapeId="0" xr:uid="{6DCFFA80-0CC7-4FC1-AD6A-32B0006B8867}">
      <text>
        <r>
          <rPr>
            <sz val="10"/>
            <color indexed="81"/>
            <rFont val="Lucida Console"/>
            <family val="3"/>
          </rPr>
          <t>_x000D_
LIXAS EM FOLHA</t>
        </r>
      </text>
    </comment>
    <comment ref="AW435" authorId="0" shapeId="0" xr:uid="{F928050A-E102-4EBD-A246-1D41773D46F3}">
      <text>
        <r>
          <rPr>
            <sz val="10"/>
            <color indexed="81"/>
            <rFont val="Lucida Console"/>
            <family val="3"/>
          </rPr>
          <t>Tempo de Estoque (Meses)_x000D_
_x000D_
1.894,0</t>
        </r>
      </text>
    </comment>
    <comment ref="A436" authorId="0" shapeId="0" xr:uid="{692E2F79-7BDC-4721-99BE-58DA7D24861C}">
      <text>
        <r>
          <rPr>
            <sz val="10"/>
            <color indexed="81"/>
            <rFont val="Lucida Console"/>
            <family val="3"/>
          </rPr>
          <t>_x000D_
88838</t>
        </r>
      </text>
    </comment>
    <comment ref="B436" authorId="0" shapeId="0" xr:uid="{0415C096-C22C-48E8-9D52-36C1451D5ED0}">
      <text>
        <r>
          <rPr>
            <sz val="10"/>
            <color indexed="81"/>
            <rFont val="Lucida Console"/>
            <family val="3"/>
          </rPr>
          <t>DESCRIÇÃO DETALHADA_x000D_
LIXA PARA PAREDE - 120</t>
        </r>
      </text>
    </comment>
    <comment ref="G436" authorId="0" shapeId="0" xr:uid="{CEF01543-AB16-4CD0-8D7A-5D33587C0672}">
      <text>
        <r>
          <rPr>
            <sz val="10"/>
            <color indexed="81"/>
            <rFont val="Lucida Console"/>
            <family val="3"/>
          </rPr>
          <t>_x000D_
Últ estimativa : 0_x000D_
Enviada em     : 12.05.2020_x000D_
Ata - Venc     : 254/20 - 28.10.2021</t>
        </r>
      </text>
    </comment>
    <comment ref="O436" authorId="0" shapeId="0" xr:uid="{3493C6EC-ECEA-4888-B878-C73A07CD32D9}">
      <text>
        <r>
          <rPr>
            <sz val="10"/>
            <color indexed="81"/>
            <rFont val="Lucida Console"/>
            <family val="3"/>
          </rPr>
          <t>_x000D_
Pertencia a ATA nº 254/20_x000D_
Estimativa de Renovação enviada em 12.05.2020 - Qtd _x000D_
PE 147/20 lote _x000D_
04.09.20 = Finalizado. Ata 254/20</t>
        </r>
      </text>
    </comment>
    <comment ref="W436" authorId="0" shapeId="0" xr:uid="{D319B38D-7A12-4BAE-850A-ECC2815414BE}">
      <text>
        <r>
          <rPr>
            <sz val="10"/>
            <color indexed="81"/>
            <rFont val="Lucida Console"/>
            <family val="3"/>
          </rPr>
          <t>_x000D_
DM-Serralheria</t>
        </r>
      </text>
    </comment>
    <comment ref="X436" authorId="0" shapeId="0" xr:uid="{E909A47E-8F93-46A9-83AE-72D039015F75}">
      <text>
        <r>
          <rPr>
            <sz val="10"/>
            <color indexed="81"/>
            <rFont val="Lucida Console"/>
            <family val="3"/>
          </rPr>
          <t>_x000D_
ABRASIVOS</t>
        </r>
      </text>
    </comment>
    <comment ref="Y436" authorId="0" shapeId="0" xr:uid="{0E69E6AD-CE55-46B4-825A-A6EDC89D3249}">
      <text>
        <r>
          <rPr>
            <sz val="10"/>
            <color indexed="81"/>
            <rFont val="Lucida Console"/>
            <family val="3"/>
          </rPr>
          <t>_x000D_
LIXAS EM FOLHA</t>
        </r>
      </text>
    </comment>
    <comment ref="AW436" authorId="0" shapeId="0" xr:uid="{BE59D851-A630-4F6D-BFF8-0981F91EF6D9}">
      <text>
        <r>
          <rPr>
            <sz val="10"/>
            <color indexed="81"/>
            <rFont val="Lucida Console"/>
            <family val="3"/>
          </rPr>
          <t>Tempo de Estoque (Meses)_x000D_
_x000D_
2.384,0</t>
        </r>
      </text>
    </comment>
    <comment ref="A437" authorId="0" shapeId="0" xr:uid="{0297EC14-C465-4F98-B1F9-F03515DF8188}">
      <text>
        <r>
          <rPr>
            <sz val="10"/>
            <color indexed="81"/>
            <rFont val="Lucida Console"/>
            <family val="3"/>
          </rPr>
          <t>_x000D_
58706</t>
        </r>
      </text>
    </comment>
    <comment ref="B437" authorId="0" shapeId="0" xr:uid="{1A26C3EA-AFD4-495B-86ED-BCA161272265}">
      <text>
        <r>
          <rPr>
            <sz val="10"/>
            <color indexed="81"/>
            <rFont val="Lucida Console"/>
            <family val="3"/>
          </rPr>
          <t>DESCRIÇÃO DETALHADA_x000D_
PONTALETE DE CEDRINHO 3" X 3" - COM 03 METROS DE COMPRIMENTO</t>
        </r>
      </text>
    </comment>
    <comment ref="G437" authorId="0" shapeId="0" xr:uid="{85DFD639-2B53-4125-94AA-C27B2E4D450E}">
      <text>
        <r>
          <rPr>
            <sz val="10"/>
            <color indexed="81"/>
            <rFont val="Lucida Console"/>
            <family val="3"/>
          </rPr>
          <t>_x000D_
Últ estimativa : 0_x000D_
Enviada em     : 25.06.2020_x000D_
Ata - Venc     : 257/19 - 15.10.2020</t>
        </r>
      </text>
    </comment>
    <comment ref="O437" authorId="0" shapeId="0" xr:uid="{55F1961D-8D4B-48CD-B7DF-7330DE01CEDB}">
      <text>
        <r>
          <rPr>
            <sz val="10"/>
            <color indexed="81"/>
            <rFont val="Lucida Console"/>
            <family val="3"/>
          </rPr>
          <t xml:space="preserve">_x000D_
Pertencia a ATA nº 257/19_x000D_
Estimativa de Renovação enviada em 25.06.2020 - Qtd _x000D_
PP 111/19 lote _x000D_
18.09.19 = </t>
        </r>
      </text>
    </comment>
    <comment ref="W437" authorId="0" shapeId="0" xr:uid="{8FB6C83B-36FA-4428-A302-97BC0DB5C33B}">
      <text>
        <r>
          <rPr>
            <sz val="10"/>
            <color indexed="81"/>
            <rFont val="Lucida Console"/>
            <family val="3"/>
          </rPr>
          <t>_x000D_
DM-Construção</t>
        </r>
      </text>
    </comment>
    <comment ref="X437" authorId="0" shapeId="0" xr:uid="{9D259520-F737-467C-9A96-B5FF7BBB0D19}">
      <text>
        <r>
          <rPr>
            <sz val="10"/>
            <color indexed="81"/>
            <rFont val="Lucida Console"/>
            <family val="3"/>
          </rPr>
          <t>_x000D_
MADEIRAS,LAMINADOS,COMPENSADOS E AGLOMERADOS</t>
        </r>
      </text>
    </comment>
    <comment ref="Y437" authorId="0" shapeId="0" xr:uid="{E7525DBA-CBEF-46AD-8DA9-F09D3F4075FF}">
      <text>
        <r>
          <rPr>
            <sz val="10"/>
            <color indexed="81"/>
            <rFont val="Lucida Console"/>
            <family val="3"/>
          </rPr>
          <t>_x000D_
PONTALETES, CAIBROS, PRANCHAS E VIGAS</t>
        </r>
      </text>
    </comment>
    <comment ref="AW437" authorId="0" shapeId="0" xr:uid="{835A1808-B681-4CFE-A7CE-421C3808A6DC}">
      <text>
        <r>
          <rPr>
            <sz val="10"/>
            <color indexed="81"/>
            <rFont val="Lucida Console"/>
            <family val="3"/>
          </rPr>
          <t>Tempo de Estoque (Meses)_x000D_
_x000D_
0,0</t>
        </r>
      </text>
    </comment>
    <comment ref="A438" authorId="0" shapeId="0" xr:uid="{66DED715-4252-4B8F-8FEF-4C43FE4BAB14}">
      <text>
        <r>
          <rPr>
            <sz val="10"/>
            <color indexed="81"/>
            <rFont val="Lucida Console"/>
            <family val="3"/>
          </rPr>
          <t>_x000D_
130695</t>
        </r>
      </text>
    </comment>
    <comment ref="B438" authorId="0" shapeId="0" xr:uid="{28F26013-0306-4679-84AD-8012B42F4206}">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438" authorId="0" shapeId="0" xr:uid="{9CF8B39E-5B59-489C-BF91-B41D566B7F8B}">
      <text>
        <r>
          <rPr>
            <sz val="10"/>
            <color indexed="81"/>
            <rFont val="Lucida Console"/>
            <family val="3"/>
          </rPr>
          <t>_x000D_
Últ estimativa : 3.000_x000D_
Enviada em     : 18.08.2020_x000D_
Ata - Venc     : 274/20 - 12.11.2021</t>
        </r>
      </text>
    </comment>
    <comment ref="O438" authorId="0" shapeId="0" xr:uid="{54D3FA8A-2DC7-442B-BA50-A2F99662C4F0}">
      <text>
        <r>
          <rPr>
            <sz val="10"/>
            <color indexed="81"/>
            <rFont val="Lucida Console"/>
            <family val="3"/>
          </rPr>
          <t xml:space="preserve">_x000D_
Pertencia a ATA nº 274/20_x000D_
Estimativa de Renovação enviada em 18.08.2020 - Qtd 3.000_x000D_
PE 187/21 lote _x000D_
 = </t>
        </r>
      </text>
    </comment>
    <comment ref="W438" authorId="0" shapeId="0" xr:uid="{0629EED3-A725-408C-91CA-2F5E776FF18B}">
      <text>
        <r>
          <rPr>
            <sz val="10"/>
            <color indexed="81"/>
            <rFont val="Lucida Console"/>
            <family val="3"/>
          </rPr>
          <t>_x000D_
Administrativo</t>
        </r>
      </text>
    </comment>
    <comment ref="X438" authorId="0" shapeId="0" xr:uid="{F8333B25-0F10-4C8F-ACCE-6A4D4FA179FE}">
      <text>
        <r>
          <rPr>
            <sz val="10"/>
            <color indexed="81"/>
            <rFont val="Lucida Console"/>
            <family val="3"/>
          </rPr>
          <t>_x000D_
VEST., ART.P/ TOUC.E HIG. PES. MAQ., EQUIP., MAT.E ACES.</t>
        </r>
      </text>
    </comment>
    <comment ref="Y438" authorId="0" shapeId="0" xr:uid="{B73FAC94-AFF9-460F-82B6-59D490E0AF3A}">
      <text>
        <r>
          <rPr>
            <sz val="10"/>
            <color indexed="81"/>
            <rFont val="Lucida Console"/>
            <family val="3"/>
          </rPr>
          <t>_x000D_
PAPEL HIG., ABSORVENTE INT., PAP.TOA., LENCO DE PAPEL</t>
        </r>
      </text>
    </comment>
    <comment ref="AW438" authorId="0" shapeId="0" xr:uid="{21FDC2CA-2E9B-4258-A14E-8256A7098CD6}">
      <text>
        <r>
          <rPr>
            <sz val="10"/>
            <color indexed="81"/>
            <rFont val="Lucida Console"/>
            <family val="3"/>
          </rPr>
          <t>Tempo de Estoque (Meses)_x000D_
_x000D_
2.080,0</t>
        </r>
      </text>
    </comment>
    <comment ref="A439" authorId="0" shapeId="0" xr:uid="{9C04B116-44D0-41B9-9FBD-92E8657B741D}">
      <text>
        <r>
          <rPr>
            <sz val="10"/>
            <color indexed="81"/>
            <rFont val="Lucida Console"/>
            <family val="3"/>
          </rPr>
          <t>_x000D_
12754</t>
        </r>
      </text>
    </comment>
    <comment ref="B439" authorId="0" shapeId="0" xr:uid="{02121D52-5F11-46C9-8018-2E1B49EDDBEA}">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439" authorId="0" shapeId="0" xr:uid="{52288248-C6DD-48C1-9E8B-F172251307C2}">
      <text>
        <r>
          <rPr>
            <sz val="10"/>
            <color indexed="81"/>
            <rFont val="Lucida Console"/>
            <family val="3"/>
          </rPr>
          <t>_x000D_
Últ estimativa : 1.000_x000D_
Enviada em     : 14.05.2020_x000D_
Ata - Venc     : 275/20 - 15.11.2021</t>
        </r>
      </text>
    </comment>
    <comment ref="O439" authorId="0" shapeId="0" xr:uid="{B5B08DA4-C8AB-4F63-A428-0E3DA93F9721}">
      <text>
        <r>
          <rPr>
            <sz val="10"/>
            <color indexed="81"/>
            <rFont val="Lucida Console"/>
            <family val="3"/>
          </rPr>
          <t>_x000D_
Pertencia a ATA nº 275/20_x000D_
Estimativa de Renovação enviada em 14.05.2020 - Qtd 1.000_x000D_
PP  86/19 lote 5_x000D_
11.10.19 = Processo finalizado</t>
        </r>
      </text>
    </comment>
    <comment ref="W439" authorId="0" shapeId="0" xr:uid="{D7723561-7203-4966-9E70-F06F3004FF0F}">
      <text>
        <r>
          <rPr>
            <sz val="10"/>
            <color indexed="81"/>
            <rFont val="Lucida Console"/>
            <family val="3"/>
          </rPr>
          <t>_x000D_
Administrativo</t>
        </r>
      </text>
    </comment>
    <comment ref="X439" authorId="0" shapeId="0" xr:uid="{380E1D65-9CFF-4A7C-B470-168F56CE0838}">
      <text>
        <r>
          <rPr>
            <sz val="10"/>
            <color indexed="81"/>
            <rFont val="Lucida Console"/>
            <family val="3"/>
          </rPr>
          <t>_x000D_
MAQ.EQUIP.E MATERIAIS P/ HIGIEN.LIMP.POLIM.E LUBR.</t>
        </r>
      </text>
    </comment>
    <comment ref="Y439" authorId="0" shapeId="0" xr:uid="{EC100AEB-C0DC-4CAD-AD8E-7D65644DBF5D}">
      <text>
        <r>
          <rPr>
            <sz val="10"/>
            <color indexed="81"/>
            <rFont val="Lucida Console"/>
            <family val="3"/>
          </rPr>
          <t>_x000D_
ESPONJAS,BALDES,SACOS E CESTOS DE LIXO, ETC</t>
        </r>
      </text>
    </comment>
    <comment ref="AW439" authorId="0" shapeId="0" xr:uid="{2F928410-B585-48C0-A42B-297C93A630FD}">
      <text>
        <r>
          <rPr>
            <sz val="10"/>
            <color indexed="81"/>
            <rFont val="Lucida Console"/>
            <family val="3"/>
          </rPr>
          <t>Tempo de Estoque (Meses)_x000D_
_x000D_
311,0</t>
        </r>
      </text>
    </comment>
    <comment ref="A440" authorId="0" shapeId="0" xr:uid="{CD060F88-21C2-4C56-A503-1A2A554EE888}">
      <text>
        <r>
          <rPr>
            <sz val="10"/>
            <color indexed="81"/>
            <rFont val="Lucida Console"/>
            <family val="3"/>
          </rPr>
          <t>_x000D_
81131</t>
        </r>
      </text>
    </comment>
    <comment ref="B440" authorId="0" shapeId="0" xr:uid="{719994A6-E0B3-40E2-BFAC-9B24B76F5B79}">
      <text>
        <r>
          <rPr>
            <sz val="10"/>
            <color indexed="81"/>
            <rFont val="Lucida Console"/>
            <family val="3"/>
          </rPr>
          <t xml:space="preserve">DESCRIÇÃO DETALHADA_x000D_
PALHA DE ACO Nº 01 - PACOTE COM 25  A 30 GRAMAS  </t>
        </r>
      </text>
    </comment>
    <comment ref="G440" authorId="0" shapeId="0" xr:uid="{0D3A4379-4E1B-407C-8E74-A6FD73942EBB}">
      <text>
        <r>
          <rPr>
            <sz val="10"/>
            <color indexed="81"/>
            <rFont val="Lucida Console"/>
            <family val="3"/>
          </rPr>
          <t>_x000D_
Últ estimativa : 150_x000D_
Enviada em     : 14.05.2020_x000D_
Ata - Venc     : 275/20 - 15.11.2021</t>
        </r>
      </text>
    </comment>
    <comment ref="O440" authorId="0" shapeId="0" xr:uid="{01F7A177-AC9D-43ED-80A6-9F8607E3B62D}">
      <text>
        <r>
          <rPr>
            <sz val="10"/>
            <color indexed="81"/>
            <rFont val="Lucida Console"/>
            <family val="3"/>
          </rPr>
          <t>_x000D_
Pertencia a ATA nº 275/20_x000D_
Estimativa de Renovação enviada em 14.05.2020 - Qtd 150_x000D_
PP  86/19 lote _x000D_
11.10.19 = Processo finalizado</t>
        </r>
      </text>
    </comment>
    <comment ref="W440" authorId="0" shapeId="0" xr:uid="{AAD33A37-9F5C-44BD-A1AF-2E00D07C58B3}">
      <text>
        <r>
          <rPr>
            <sz val="10"/>
            <color indexed="81"/>
            <rFont val="Lucida Console"/>
            <family val="3"/>
          </rPr>
          <t>_x000D_
Administrativo</t>
        </r>
      </text>
    </comment>
    <comment ref="X440" authorId="0" shapeId="0" xr:uid="{E9892F5C-0672-4F10-AF07-A0DAC865E052}">
      <text>
        <r>
          <rPr>
            <sz val="10"/>
            <color indexed="81"/>
            <rFont val="Lucida Console"/>
            <family val="3"/>
          </rPr>
          <t>_x000D_
MAQ.EQUIP.E MATERIAIS P/ HIGIEN.LIMP.POLIM.E LUBR.</t>
        </r>
      </text>
    </comment>
    <comment ref="Y440" authorId="0" shapeId="0" xr:uid="{75AB4A1D-F70D-4F46-80FA-F3F31984A104}">
      <text>
        <r>
          <rPr>
            <sz val="10"/>
            <color indexed="81"/>
            <rFont val="Lucida Console"/>
            <family val="3"/>
          </rPr>
          <t>_x000D_
ESPONJAS,BALDES,SACOS E CESTOS DE LIXO, ETC</t>
        </r>
      </text>
    </comment>
    <comment ref="AW440" authorId="0" shapeId="0" xr:uid="{31729543-294D-40D1-9A16-080E5FCD8470}">
      <text>
        <r>
          <rPr>
            <sz val="10"/>
            <color indexed="81"/>
            <rFont val="Lucida Console"/>
            <family val="3"/>
          </rPr>
          <t>Tempo de Estoque (Meses)_x000D_
_x000D_
70,0</t>
        </r>
      </text>
    </comment>
    <comment ref="A441" authorId="0" shapeId="0" xr:uid="{49341234-283D-43A3-83F6-1500E8CA4933}">
      <text>
        <r>
          <rPr>
            <sz val="10"/>
            <color indexed="81"/>
            <rFont val="Lucida Console"/>
            <family val="3"/>
          </rPr>
          <t>_x000D_
134373</t>
        </r>
      </text>
    </comment>
    <comment ref="B441" authorId="0" shapeId="0" xr:uid="{C616BFD3-35F7-48C3-8A64-4A8E2F0292AD}">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441" authorId="0" shapeId="0" xr:uid="{5D5ED488-D8B9-4D3F-9ECD-B85E266B4C67}">
      <text>
        <r>
          <rPr>
            <sz val="10"/>
            <color indexed="81"/>
            <rFont val="Lucida Console"/>
            <family val="3"/>
          </rPr>
          <t>_x000D_
Últ estimativa : 30.000_x000D_
Enviada em     : 19.05.2020_x000D_
Ata - Venc     : 281/20 - 15.11.2021</t>
        </r>
      </text>
    </comment>
    <comment ref="O441" authorId="0" shapeId="0" xr:uid="{A61AC077-B7EC-4A9E-86D5-F71E557AA485}">
      <text>
        <r>
          <rPr>
            <sz val="10"/>
            <color indexed="81"/>
            <rFont val="Lucida Console"/>
            <family val="3"/>
          </rPr>
          <t>_x000D_
Pertencia a ATA nº 281/20_x000D_
Estimativa de Renovação enviada em 19.05.2020 - Qtd 30.000_x000D_
PP  77/19 lote _x000D_
26.09.19 = Finalizar contrato assinado.</t>
        </r>
      </text>
    </comment>
    <comment ref="W441" authorId="0" shapeId="0" xr:uid="{4CBF7014-A71D-4786-9DD4-82E4F9505BBE}">
      <text>
        <r>
          <rPr>
            <sz val="10"/>
            <color indexed="81"/>
            <rFont val="Lucida Console"/>
            <family val="3"/>
          </rPr>
          <t>_x000D_
DM-Elétrica</t>
        </r>
      </text>
    </comment>
    <comment ref="X441" authorId="0" shapeId="0" xr:uid="{B2F293F6-95E9-4C6D-9ED0-58759DA7C80E}">
      <text>
        <r>
          <rPr>
            <sz val="10"/>
            <color indexed="81"/>
            <rFont val="Lucida Console"/>
            <family val="3"/>
          </rPr>
          <t>_x000D_
EQUIP. MAT. P/ GERACAO, TRANSM. DISTR. RETIF...</t>
        </r>
      </text>
    </comment>
    <comment ref="Y441" authorId="0" shapeId="0" xr:uid="{24CE7DAC-A0EF-4321-9C7B-5F835CBA4678}">
      <text>
        <r>
          <rPr>
            <sz val="10"/>
            <color indexed="81"/>
            <rFont val="Lucida Console"/>
            <family val="3"/>
          </rPr>
          <t>_x000D_
LAMPADAS DE LED</t>
        </r>
      </text>
    </comment>
    <comment ref="AW441" authorId="0" shapeId="0" xr:uid="{8427C7F4-7A01-46D4-AA8C-125A7EA0D1B3}">
      <text>
        <r>
          <rPr>
            <sz val="10"/>
            <color indexed="81"/>
            <rFont val="Lucida Console"/>
            <family val="3"/>
          </rPr>
          <t>Tempo de Estoque (Meses)_x000D_
_x000D_
3.000,0</t>
        </r>
      </text>
    </comment>
    <comment ref="A442" authorId="0" shapeId="0" xr:uid="{8D4849FD-3B1C-4245-91D7-3B26D14578C4}">
      <text>
        <r>
          <rPr>
            <sz val="10"/>
            <color indexed="81"/>
            <rFont val="Lucida Console"/>
            <family val="3"/>
          </rPr>
          <t>_x000D_
135088</t>
        </r>
      </text>
    </comment>
    <comment ref="B442" authorId="0" shapeId="0" xr:uid="{EA2A4F9F-3B82-45E7-9938-0D832A0A6C40}">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442" authorId="0" shapeId="0" xr:uid="{D5A84179-81FE-477F-B1D2-08B7B3A8E4F2}">
      <text>
        <r>
          <rPr>
            <sz val="10"/>
            <color indexed="81"/>
            <rFont val="Lucida Console"/>
            <family val="3"/>
          </rPr>
          <t>_x000D_
Últ estimativa : 500_x000D_
Enviada em     : 19.05.2020_x000D_
Ata - Venc     : 281/20 - 15.11.2021</t>
        </r>
      </text>
    </comment>
    <comment ref="O442" authorId="0" shapeId="0" xr:uid="{D12D260A-37A6-4765-A8BE-7F3EAC26C985}">
      <text>
        <r>
          <rPr>
            <sz val="10"/>
            <color indexed="81"/>
            <rFont val="Lucida Console"/>
            <family val="3"/>
          </rPr>
          <t>_x000D_
Pertencia a ATA nº 281/20_x000D_
Estimativa de Renovação enviada em 19.05.2020 - Qtd 500_x000D_
PP  77/19 lote _x000D_
26.09.19 = Finalizar contrato assinado.</t>
        </r>
      </text>
    </comment>
    <comment ref="W442" authorId="0" shapeId="0" xr:uid="{E8EA6C08-BDF7-4B7C-A037-E1DEE1DA5963}">
      <text>
        <r>
          <rPr>
            <sz val="10"/>
            <color indexed="81"/>
            <rFont val="Lucida Console"/>
            <family val="3"/>
          </rPr>
          <t>_x000D_
DM-Elétrica</t>
        </r>
      </text>
    </comment>
    <comment ref="X442" authorId="0" shapeId="0" xr:uid="{B2E9A605-FF50-43FE-8E70-BD2A40611BA2}">
      <text>
        <r>
          <rPr>
            <sz val="10"/>
            <color indexed="81"/>
            <rFont val="Lucida Console"/>
            <family val="3"/>
          </rPr>
          <t>_x000D_
EQUIP. MAT. P/ GERACAO, TRANSM. DISTR. RETIF...</t>
        </r>
      </text>
    </comment>
    <comment ref="Y442" authorId="0" shapeId="0" xr:uid="{337F4940-AF32-4F42-A0E9-958FFC375AF8}">
      <text>
        <r>
          <rPr>
            <sz val="10"/>
            <color indexed="81"/>
            <rFont val="Lucida Console"/>
            <family val="3"/>
          </rPr>
          <t>_x000D_
LAMPADAS DE LED</t>
        </r>
      </text>
    </comment>
    <comment ref="AW442" authorId="0" shapeId="0" xr:uid="{CF739DF5-3C7F-47F4-A4F0-FBA1BDDCCA68}">
      <text>
        <r>
          <rPr>
            <sz val="10"/>
            <color indexed="81"/>
            <rFont val="Lucida Console"/>
            <family val="3"/>
          </rPr>
          <t>Tempo de Estoque (Meses)_x000D_
_x000D_
654,0</t>
        </r>
      </text>
    </comment>
    <comment ref="A443" authorId="0" shapeId="0" xr:uid="{5B26F024-9A61-410B-BE34-7421EDAAE01E}">
      <text>
        <r>
          <rPr>
            <sz val="10"/>
            <color indexed="81"/>
            <rFont val="Lucida Console"/>
            <family val="3"/>
          </rPr>
          <t>_x000D_
130572</t>
        </r>
      </text>
    </comment>
    <comment ref="B443" authorId="0" shapeId="0" xr:uid="{2F4F3EE4-3139-446E-91D0-69D80D55F53C}">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443" authorId="0" shapeId="0" xr:uid="{5B91D252-CB5E-499F-89F1-58292AAA9EA3}">
      <text>
        <r>
          <rPr>
            <sz val="10"/>
            <color indexed="81"/>
            <rFont val="Lucida Console"/>
            <family val="3"/>
          </rPr>
          <t>_x000D_
Últ estimativa : _x000D_
Enviada em     : 19.05.2020_x000D_
Ata - Venc     : 289/20 - 22.11.2021</t>
        </r>
      </text>
    </comment>
    <comment ref="O443" authorId="0" shapeId="0" xr:uid="{BE225D91-1343-4CE2-9168-74C83E941B9A}">
      <text>
        <r>
          <rPr>
            <sz val="10"/>
            <color indexed="81"/>
            <rFont val="Lucida Console"/>
            <family val="3"/>
          </rPr>
          <t>_x000D_
Pertencia a ATA nº 289/20_x000D_
Estimativa de Renovação enviada em 19.05.2020 - Qtd _x000D_
PE 192/20 lote _x000D_
05.11.20 = Finalizado</t>
        </r>
      </text>
    </comment>
    <comment ref="W443" authorId="0" shapeId="0" xr:uid="{325F8F7A-07CD-406B-BC1E-CAD2FF2B9EC8}">
      <text>
        <r>
          <rPr>
            <sz val="10"/>
            <color indexed="81"/>
            <rFont val="Lucida Console"/>
            <family val="3"/>
          </rPr>
          <t>_x000D_
SegMedTra</t>
        </r>
      </text>
    </comment>
    <comment ref="X443" authorId="0" shapeId="0" xr:uid="{11B59BF3-72B5-4686-B793-D78B7A42CEC3}">
      <text>
        <r>
          <rPr>
            <sz val="10"/>
            <color indexed="81"/>
            <rFont val="Lucida Console"/>
            <family val="3"/>
          </rPr>
          <t>_x000D_
EQUIP PROT IND, INST MAT P/ SINAL, CONTR, COMB ...</t>
        </r>
      </text>
    </comment>
    <comment ref="Y443" authorId="0" shapeId="0" xr:uid="{ACB8D313-D953-466A-8F2D-975DE3882AB4}">
      <text>
        <r>
          <rPr>
            <sz val="10"/>
            <color indexed="81"/>
            <rFont val="Lucida Console"/>
            <family val="3"/>
          </rPr>
          <t>_x000D_
CALCADOS, LUVAS, OCULOS, MASCARAS, CAPACETES, CASSETETE</t>
        </r>
      </text>
    </comment>
    <comment ref="AW443" authorId="0" shapeId="0" xr:uid="{21F7F796-8C61-41FA-AB38-BB71A2258875}">
      <text>
        <r>
          <rPr>
            <sz val="10"/>
            <color indexed="81"/>
            <rFont val="Lucida Console"/>
            <family val="3"/>
          </rPr>
          <t>Tempo de Estoque (Meses)_x000D_
_x000D_
20,0</t>
        </r>
      </text>
    </comment>
    <comment ref="A444" authorId="0" shapeId="0" xr:uid="{AAD72349-0AFE-46A6-A85E-CFF17F9620CF}">
      <text>
        <r>
          <rPr>
            <sz val="10"/>
            <color indexed="81"/>
            <rFont val="Lucida Console"/>
            <family val="3"/>
          </rPr>
          <t>_x000D_
15813</t>
        </r>
      </text>
    </comment>
    <comment ref="B444" authorId="0" shapeId="0" xr:uid="{A63E6B64-4821-44C1-9DBA-EC29E6918E88}">
      <text>
        <r>
          <rPr>
            <sz val="10"/>
            <color indexed="81"/>
            <rFont val="Lucida Console"/>
            <family val="3"/>
          </rPr>
          <t>DESCRIÇÃO DETALHADA_x000D_
TIJOLO COMUM DE BARRO MEDINDO 20 X 9 X 4 CM</t>
        </r>
      </text>
    </comment>
    <comment ref="G444" authorId="0" shapeId="0" xr:uid="{D6CC6B91-DA6C-47C9-98FB-0678B15AA657}">
      <text>
        <r>
          <rPr>
            <sz val="10"/>
            <color indexed="81"/>
            <rFont val="Lucida Console"/>
            <family val="3"/>
          </rPr>
          <t>_x000D_
Últ estimativa : 8.000_x000D_
Enviada em     : 22.04.2021_x000D_
Ata - Venc     : 292/19 - 17.12.2020</t>
        </r>
      </text>
    </comment>
    <comment ref="O444" authorId="0" shapeId="0" xr:uid="{E2BAAC02-D379-465B-B9E2-1E413D68C6C3}">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444" authorId="0" shapeId="0" xr:uid="{DBBDD7C2-61CC-434C-928E-9AB3A0E90582}">
      <text>
        <r>
          <rPr>
            <sz val="10"/>
            <color indexed="81"/>
            <rFont val="Lucida Console"/>
            <family val="3"/>
          </rPr>
          <t>_x000D_
DM-Construção</t>
        </r>
      </text>
    </comment>
    <comment ref="X444" authorId="0" shapeId="0" xr:uid="{F47E9198-86F9-48FF-AEAB-7B4D7D8C7CDC}">
      <text>
        <r>
          <rPr>
            <sz val="10"/>
            <color indexed="81"/>
            <rFont val="Lucida Console"/>
            <family val="3"/>
          </rPr>
          <t>_x000D_
MAT.E EQUIP. P/ CONSTR.CIVIL E CONSERV. DE VIAS PUBL.</t>
        </r>
      </text>
    </comment>
    <comment ref="Y444" authorId="0" shapeId="0" xr:uid="{F4E37681-D2E8-4C39-8E1E-0C03E7EB8A7D}">
      <text>
        <r>
          <rPr>
            <sz val="10"/>
            <color indexed="81"/>
            <rFont val="Lucida Console"/>
            <family val="3"/>
          </rPr>
          <t>_x000D_
TIJOLOS E BLOCOS DE VIDRO E CERAMICAS</t>
        </r>
      </text>
    </comment>
    <comment ref="AW444" authorId="0" shapeId="0" xr:uid="{10110C23-C919-49C9-A15C-8A46D23C3A24}">
      <text>
        <r>
          <rPr>
            <sz val="10"/>
            <color indexed="81"/>
            <rFont val="Lucida Console"/>
            <family val="3"/>
          </rPr>
          <t>Tempo de Estoque (Meses)_x000D_
_x000D_
3.965,0</t>
        </r>
      </text>
    </comment>
    <comment ref="A445" authorId="0" shapeId="0" xr:uid="{A9F61ECF-8462-471F-8CD1-82EB098ADD22}">
      <text>
        <r>
          <rPr>
            <sz val="10"/>
            <color indexed="81"/>
            <rFont val="Lucida Console"/>
            <family val="3"/>
          </rPr>
          <t>_x000D_
114297</t>
        </r>
      </text>
    </comment>
    <comment ref="B445" authorId="0" shapeId="0" xr:uid="{69EF9BD3-C55C-476A-B3CE-A66720E663EF}">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445" authorId="0" shapeId="0" xr:uid="{ED01A483-2941-426A-B593-21E3433164B0}">
      <text>
        <r>
          <rPr>
            <sz val="10"/>
            <color indexed="81"/>
            <rFont val="Lucida Console"/>
            <family val="3"/>
          </rPr>
          <t>_x000D_
Últ estimativa : 0_x000D_
Enviada em     : 08.09.2020_x000D_
Ata - Venc     : 292/19 - 17.12.2020</t>
        </r>
      </text>
    </comment>
    <comment ref="O445" authorId="0" shapeId="0" xr:uid="{C66D4729-A40C-4A05-A180-22A5B2900875}">
      <text>
        <r>
          <rPr>
            <sz val="10"/>
            <color indexed="81"/>
            <rFont val="Lucida Console"/>
            <family val="3"/>
          </rPr>
          <t>_x000D_
Pertencia a ATA nº 292/19_x000D_
Estimativa de Renovação enviada em 08.09.2020 - Qtd _x000D_
PE  26/21 lote 23 (Impróspero)_x000D_
16.03.21 = Processo finalizado. Ata 105/21.</t>
        </r>
      </text>
    </comment>
    <comment ref="W445" authorId="0" shapeId="0" xr:uid="{718D09E3-03AE-4B9C-A6F1-C1544D074B5B}">
      <text>
        <r>
          <rPr>
            <sz val="10"/>
            <color indexed="81"/>
            <rFont val="Lucida Console"/>
            <family val="3"/>
          </rPr>
          <t>_x000D_
DM-Construção</t>
        </r>
      </text>
    </comment>
    <comment ref="X445" authorId="0" shapeId="0" xr:uid="{B3909295-B2E6-4A44-917B-87495CB0B133}">
      <text>
        <r>
          <rPr>
            <sz val="10"/>
            <color indexed="81"/>
            <rFont val="Lucida Console"/>
            <family val="3"/>
          </rPr>
          <t>_x000D_
MAT.E EQUIP. P/ CONSTR.CIVIL E CONSERV. DE VIAS PUBL.</t>
        </r>
      </text>
    </comment>
    <comment ref="Y445" authorId="0" shapeId="0" xr:uid="{2A7D2366-771D-499D-B30B-4F1EF52BFB87}">
      <text>
        <r>
          <rPr>
            <sz val="10"/>
            <color indexed="81"/>
            <rFont val="Lucida Console"/>
            <family val="3"/>
          </rPr>
          <t>_x000D_
TELHAS. CUMEEIRAS E ELEM. DE TELH. E CHAP. DE CIM. AMIANT</t>
        </r>
      </text>
    </comment>
    <comment ref="AW445" authorId="0" shapeId="0" xr:uid="{E21A57E1-07C4-4E0C-A82B-3A6217802BBF}">
      <text>
        <r>
          <rPr>
            <sz val="10"/>
            <color indexed="81"/>
            <rFont val="Lucida Console"/>
            <family val="3"/>
          </rPr>
          <t>Tempo de Estoque (Meses)_x000D_
_x000D_
4.224,0</t>
        </r>
      </text>
    </comment>
    <comment ref="A446" authorId="0" shapeId="0" xr:uid="{CA425045-F7CC-41E5-9EE9-28321A3FCDC6}">
      <text>
        <r>
          <rPr>
            <sz val="10"/>
            <color indexed="81"/>
            <rFont val="Lucida Console"/>
            <family val="3"/>
          </rPr>
          <t>_x000D_
63382</t>
        </r>
      </text>
    </comment>
    <comment ref="B446" authorId="0" shapeId="0" xr:uid="{EB95F413-1D27-4B26-A220-E9C20465B4A2}">
      <text>
        <r>
          <rPr>
            <sz val="10"/>
            <color indexed="81"/>
            <rFont val="Lucida Console"/>
            <family val="3"/>
          </rPr>
          <t>DESCRIÇÃO DETALHADA_x000D_
MASSA PARA CALAFETAR A BASE DE POLIBUTENO EM FILETES - CAIXA C/ 350 G</t>
        </r>
      </text>
    </comment>
    <comment ref="G446" authorId="0" shapeId="0" xr:uid="{33CF7ECD-09D2-4B7D-9115-025E803574BE}">
      <text>
        <r>
          <rPr>
            <sz val="10"/>
            <color indexed="81"/>
            <rFont val="Lucida Console"/>
            <family val="3"/>
          </rPr>
          <t>_x000D_
Últ estimativa : 0_x000D_
Enviada em     : 08.09.2020_x000D_
Ata - Venc     : 292/19 - 17.12.2020</t>
        </r>
      </text>
    </comment>
    <comment ref="O446" authorId="0" shapeId="0" xr:uid="{8CF4E6DC-3924-4864-A20F-166C5F515074}">
      <text>
        <r>
          <rPr>
            <sz val="10"/>
            <color indexed="81"/>
            <rFont val="Lucida Console"/>
            <family val="3"/>
          </rPr>
          <t>_x000D_
Pertencia a ATA nº 292/19_x000D_
Estimativa de Renovação enviada em 08.09.2020 - Qtd _x000D_
PE  26/21 lote 15 (Impróspero)_x000D_
16.03.21 = Processo finalizado. Ata 105/21.</t>
        </r>
      </text>
    </comment>
    <comment ref="W446" authorId="0" shapeId="0" xr:uid="{43AD23D1-9507-40A1-8892-B6D2CCC81B6A}">
      <text>
        <r>
          <rPr>
            <sz val="10"/>
            <color indexed="81"/>
            <rFont val="Lucida Console"/>
            <family val="3"/>
          </rPr>
          <t>_x000D_
DM-Construção</t>
        </r>
      </text>
    </comment>
    <comment ref="X446" authorId="0" shapeId="0" xr:uid="{A6839C4A-AEB5-46CB-BBDD-7C66A28F8A17}">
      <text>
        <r>
          <rPr>
            <sz val="10"/>
            <color indexed="81"/>
            <rFont val="Lucida Console"/>
            <family val="3"/>
          </rPr>
          <t>_x000D_
MAT.E EQUIP. P/ CONSTR.CIVIL E CONSERV. DE VIAS PUBL.</t>
        </r>
      </text>
    </comment>
    <comment ref="Y446" authorId="0" shapeId="0" xr:uid="{16A7C71E-2A28-4A8B-9230-B4BCD110E6CA}">
      <text>
        <r>
          <rPr>
            <sz val="10"/>
            <color indexed="81"/>
            <rFont val="Lucida Console"/>
            <family val="3"/>
          </rPr>
          <t>_x000D_
IMPERMEABILIZANTES, ADITIVOS E ADESIVOS</t>
        </r>
      </text>
    </comment>
    <comment ref="AW446" authorId="0" shapeId="0" xr:uid="{71171043-F053-4833-90E8-45ED92D825A0}">
      <text>
        <r>
          <rPr>
            <sz val="10"/>
            <color indexed="81"/>
            <rFont val="Lucida Console"/>
            <family val="3"/>
          </rPr>
          <t>Tempo de Estoque (Meses)_x000D_
_x000D_
214,0</t>
        </r>
      </text>
    </comment>
    <comment ref="A447" authorId="0" shapeId="0" xr:uid="{2BAB649B-3715-4D9D-AE25-F336CE1D0FCA}">
      <text>
        <r>
          <rPr>
            <sz val="10"/>
            <color indexed="81"/>
            <rFont val="Lucida Console"/>
            <family val="3"/>
          </rPr>
          <t>_x000D_
102277</t>
        </r>
      </text>
    </comment>
    <comment ref="B447" authorId="0" shapeId="0" xr:uid="{85CB0199-2842-4D2C-A742-06BD927E5F28}">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447" authorId="0" shapeId="0" xr:uid="{0821A1DE-760A-43D5-8B24-38734C2803F9}">
      <text>
        <r>
          <rPr>
            <sz val="10"/>
            <color indexed="81"/>
            <rFont val="Lucida Console"/>
            <family val="3"/>
          </rPr>
          <t>_x000D_
Últ estimativa : 200_x000D_
Enviada em     : 08.09.2020_x000D_
Ata - Venc     : 292/19 - 17.12.2020</t>
        </r>
      </text>
    </comment>
    <comment ref="O447" authorId="0" shapeId="0" xr:uid="{3D926C14-E2A1-41BA-BF9B-777F6480CD35}">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447" authorId="0" shapeId="0" xr:uid="{FE60BECF-F5BB-4DF1-A06F-0C56A3848BE3}">
      <text>
        <r>
          <rPr>
            <sz val="10"/>
            <color indexed="81"/>
            <rFont val="Lucida Console"/>
            <family val="3"/>
          </rPr>
          <t>_x000D_
DM-Serralheria</t>
        </r>
      </text>
    </comment>
    <comment ref="X447" authorId="0" shapeId="0" xr:uid="{923E9034-76CC-4405-B588-4A7735911B66}">
      <text>
        <r>
          <rPr>
            <sz val="10"/>
            <color indexed="81"/>
            <rFont val="Lucida Console"/>
            <family val="3"/>
          </rPr>
          <t>_x000D_
METAIS,LAMINAD.,PERFILADOS E ARTEFATOS METALICOS</t>
        </r>
      </text>
    </comment>
    <comment ref="Y447" authorId="0" shapeId="0" xr:uid="{EBBB72FF-7775-4499-8631-D4AB07B2F580}">
      <text>
        <r>
          <rPr>
            <sz val="10"/>
            <color indexed="81"/>
            <rFont val="Lucida Console"/>
            <family val="3"/>
          </rPr>
          <t>_x000D_
BARRAS DE ACO ESPECIFICOS P/ USOS VARIADOS</t>
        </r>
      </text>
    </comment>
    <comment ref="AW447" authorId="0" shapeId="0" xr:uid="{15827CF7-E88D-41FB-B8F4-B68C935095B2}">
      <text>
        <r>
          <rPr>
            <sz val="10"/>
            <color indexed="81"/>
            <rFont val="Lucida Console"/>
            <family val="3"/>
          </rPr>
          <t>Tempo de Estoque (Meses)_x000D_
_x000D_
162,0</t>
        </r>
      </text>
    </comment>
    <comment ref="A448" authorId="0" shapeId="0" xr:uid="{0B91997F-CDA8-40D2-8BAE-E6058BD2D568}">
      <text>
        <r>
          <rPr>
            <sz val="10"/>
            <color indexed="81"/>
            <rFont val="Lucida Console"/>
            <family val="3"/>
          </rPr>
          <t>_x000D_
134545</t>
        </r>
      </text>
    </comment>
    <comment ref="B448" authorId="0" shapeId="0" xr:uid="{1A963224-F6E7-417D-8C0F-09DD254749C3}">
      <text>
        <r>
          <rPr>
            <sz val="10"/>
            <color indexed="81"/>
            <rFont val="Lucida Console"/>
            <family val="3"/>
          </rPr>
          <t>DESCRIÇÃO DETALHADA_x000D_
PASTILHA CERAMICA, COR AMARELO CANARIO, MEDINDO 10 X 10 CM, ESPESSURA DE 7 MM, UNIDAS POR PONTOS DE COLA.</t>
        </r>
      </text>
    </comment>
    <comment ref="G448" authorId="0" shapeId="0" xr:uid="{FFBB6B1B-1AE8-4EA5-A564-7600E554BF6A}">
      <text>
        <r>
          <rPr>
            <sz val="10"/>
            <color indexed="81"/>
            <rFont val="Lucida Console"/>
            <family val="3"/>
          </rPr>
          <t>_x000D_
Últ estimativa : 0_x000D_
Enviada em     : 08.09.2020_x000D_
Ata - Venc     : 292/19 - 17.12.2020</t>
        </r>
      </text>
    </comment>
    <comment ref="O448" authorId="0" shapeId="0" xr:uid="{930B89C7-3679-4FC8-B4B6-AAB23BDC7E89}">
      <text>
        <r>
          <rPr>
            <sz val="10"/>
            <color indexed="81"/>
            <rFont val="Lucida Console"/>
            <family val="3"/>
          </rPr>
          <t>_x000D_
Pertencia a ATA nº 292/19_x000D_
Estimativa de Renovação enviada em 08.09.2020 - Qtd _x000D_
PE  26/21 lote _x000D_
16.03.21 = Processo finalizado. Ata 105/21.</t>
        </r>
      </text>
    </comment>
    <comment ref="W448" authorId="0" shapeId="0" xr:uid="{2E76FB6B-5934-4432-9D32-4F9121B8FA94}">
      <text>
        <r>
          <rPr>
            <sz val="10"/>
            <color indexed="81"/>
            <rFont val="Lucida Console"/>
            <family val="3"/>
          </rPr>
          <t>_x000D_
DM-Construção</t>
        </r>
      </text>
    </comment>
    <comment ref="X448" authorId="0" shapeId="0" xr:uid="{19DC21C2-A43E-470F-BB6E-16887DF4EDA2}">
      <text>
        <r>
          <rPr>
            <sz val="10"/>
            <color indexed="81"/>
            <rFont val="Lucida Console"/>
            <family val="3"/>
          </rPr>
          <t>_x000D_
MAT.E EQUIP. P/ CONSTR.CIVIL E CONSERV. DE VIAS PUBL.</t>
        </r>
      </text>
    </comment>
    <comment ref="Y448" authorId="0" shapeId="0" xr:uid="{7F97A9B3-4358-478E-966A-74437BB55F55}">
      <text>
        <r>
          <rPr>
            <sz val="10"/>
            <color indexed="81"/>
            <rFont val="Lucida Console"/>
            <family val="3"/>
          </rPr>
          <t>_x000D_
AZULEJOS E PASTILHAS</t>
        </r>
      </text>
    </comment>
    <comment ref="AW448" authorId="0" shapeId="0" xr:uid="{EA1EC09F-4ACE-41CA-BF39-0E31CA20B14B}">
      <text>
        <r>
          <rPr>
            <sz val="10"/>
            <color indexed="81"/>
            <rFont val="Lucida Console"/>
            <family val="3"/>
          </rPr>
          <t>Tempo de Estoque (Meses)_x000D_
_x000D_
894,8</t>
        </r>
      </text>
    </comment>
    <comment ref="A449" authorId="0" shapeId="0" xr:uid="{550814A2-C588-44E6-A9FF-441A43F88B42}">
      <text>
        <r>
          <rPr>
            <sz val="10"/>
            <color indexed="81"/>
            <rFont val="Lucida Console"/>
            <family val="3"/>
          </rPr>
          <t>_x000D_
134544</t>
        </r>
      </text>
    </comment>
    <comment ref="B449" authorId="0" shapeId="0" xr:uid="{1EC584C4-B30F-4C70-80F1-1F37E846B1FA}">
      <text>
        <r>
          <rPr>
            <sz val="10"/>
            <color indexed="81"/>
            <rFont val="Lucida Console"/>
            <family val="3"/>
          </rPr>
          <t>DESCRIÇÃO DETALHADA_x000D_
REVESTIMENTO CERAMICO, BRANCO BRILHANTE, 32 X 56 CM (VARIACAO +/- 2 CM).</t>
        </r>
      </text>
    </comment>
    <comment ref="G449" authorId="0" shapeId="0" xr:uid="{2C2AD00E-6699-4270-890D-CD3B5D307038}">
      <text>
        <r>
          <rPr>
            <sz val="10"/>
            <color indexed="81"/>
            <rFont val="Lucida Console"/>
            <family val="3"/>
          </rPr>
          <t>_x000D_
Últ estimativa : 3.500_x000D_
Enviada em     : 22.04.2021_x000D_
Ata - Venc     : 292/19 - 17.12.2020</t>
        </r>
      </text>
    </comment>
    <comment ref="O449" authorId="0" shapeId="0" xr:uid="{6D6C61A1-D598-400B-A256-BFBC9BEA1646}">
      <text>
        <r>
          <rPr>
            <sz val="10"/>
            <color indexed="81"/>
            <rFont val="Lucida Console"/>
            <family val="3"/>
          </rPr>
          <t>_x000D_
Pertencia a ATA nº 292/19_x000D_
Estimativa de Renovação enviada em 22.04.2021 - Qtd 3.500_x000D_
PE  26/21 lote _x000D_
16.03.21 = Processo finalizado. Ata 105/21.</t>
        </r>
      </text>
    </comment>
    <comment ref="W449" authorId="0" shapeId="0" xr:uid="{5FA23DE5-3FA8-45B7-A322-F927723BB868}">
      <text>
        <r>
          <rPr>
            <sz val="10"/>
            <color indexed="81"/>
            <rFont val="Lucida Console"/>
            <family val="3"/>
          </rPr>
          <t>_x000D_
DM-Construção</t>
        </r>
      </text>
    </comment>
    <comment ref="X449" authorId="0" shapeId="0" xr:uid="{DDFC73B8-7AE4-45C5-8B76-6B6BDEAF1AD4}">
      <text>
        <r>
          <rPr>
            <sz val="10"/>
            <color indexed="81"/>
            <rFont val="Lucida Console"/>
            <family val="3"/>
          </rPr>
          <t>_x000D_
MAT.E EQUIP. P/ CONSTR.CIVIL E CONSERV. DE VIAS PUBL.</t>
        </r>
      </text>
    </comment>
    <comment ref="Y449" authorId="0" shapeId="0" xr:uid="{08CF8A8C-E30A-45A7-BC85-3093F23CB04B}">
      <text>
        <r>
          <rPr>
            <sz val="10"/>
            <color indexed="81"/>
            <rFont val="Lucida Console"/>
            <family val="3"/>
          </rPr>
          <t>_x000D_
PISOS DE BORRACHA, PVC E OUTROS COLAVEIS</t>
        </r>
      </text>
    </comment>
    <comment ref="AW449" authorId="0" shapeId="0" xr:uid="{970F30E3-1551-4840-B92A-000A8A30D556}">
      <text>
        <r>
          <rPr>
            <sz val="10"/>
            <color indexed="81"/>
            <rFont val="Lucida Console"/>
            <family val="3"/>
          </rPr>
          <t>Tempo de Estoque (Meses)_x000D_
_x000D_
2.655,3</t>
        </r>
      </text>
    </comment>
    <comment ref="A450" authorId="0" shapeId="0" xr:uid="{F95F98D5-41AE-45EE-9DDE-72EEF0089E9D}">
      <text>
        <r>
          <rPr>
            <sz val="10"/>
            <color indexed="81"/>
            <rFont val="Lucida Console"/>
            <family val="3"/>
          </rPr>
          <t>_x000D_
12835</t>
        </r>
      </text>
    </comment>
    <comment ref="B450" authorId="0" shapeId="0" xr:uid="{27374333-D26C-46F5-82CA-5B77B19D63BF}">
      <text>
        <r>
          <rPr>
            <sz val="10"/>
            <color indexed="81"/>
            <rFont val="Lucida Console"/>
            <family val="3"/>
          </rPr>
          <t>DESCRIÇÃO DETALHADA_x000D_
ADAPTADOR DE PVC SOLDAVEL MARROM 3/4". A MARCA DEVERA VIR LITOGRAFADA NA PECA.</t>
        </r>
      </text>
    </comment>
    <comment ref="G450" authorId="0" shapeId="0" xr:uid="{0D6DFB9B-8EF0-49A7-A371-E9722C7A3EAC}">
      <text>
        <r>
          <rPr>
            <sz val="10"/>
            <color indexed="81"/>
            <rFont val="Lucida Console"/>
            <family val="3"/>
          </rPr>
          <t>_x000D_
Últ estimativa : 600_x000D_
Enviada em     : 24.11.2020_x000D_
Ata - Venc     : 293/20 - 30.11.2021</t>
        </r>
      </text>
    </comment>
    <comment ref="O450" authorId="0" shapeId="0" xr:uid="{1DF5F1E1-276E-495F-BA01-52D39E3C7E0A}">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450" authorId="0" shapeId="0" xr:uid="{64485DB2-63EE-47CE-9D13-7B2AFFFA2F49}">
      <text>
        <r>
          <rPr>
            <sz val="10"/>
            <color indexed="81"/>
            <rFont val="Lucida Console"/>
            <family val="3"/>
          </rPr>
          <t>_x000D_
DM-Hidráulica</t>
        </r>
      </text>
    </comment>
    <comment ref="X450" authorId="0" shapeId="0" xr:uid="{16B50EC7-6793-438C-82C3-A6F62A85E200}">
      <text>
        <r>
          <rPr>
            <sz val="10"/>
            <color indexed="81"/>
            <rFont val="Lucida Console"/>
            <family val="3"/>
          </rPr>
          <t>_x000D_
MATERIAL HIDRAULICO, CANOS, TUBOS, MANGUEIRAS, CONEXOES E ACESS.</t>
        </r>
      </text>
    </comment>
    <comment ref="Y450" authorId="0" shapeId="0" xr:uid="{44731865-4447-4E51-B896-32CD83E0E9DB}">
      <text>
        <r>
          <rPr>
            <sz val="10"/>
            <color indexed="81"/>
            <rFont val="Lucida Console"/>
            <family val="3"/>
          </rPr>
          <t>_x000D_
ADAP. LUVAS.TES CURVAS COTOVELOS PLUGS FLANGES.....</t>
        </r>
      </text>
    </comment>
    <comment ref="AW450" authorId="0" shapeId="0" xr:uid="{248FB2F5-1025-4695-8C8D-512B59B1DA3D}">
      <text>
        <r>
          <rPr>
            <sz val="10"/>
            <color indexed="81"/>
            <rFont val="Lucida Console"/>
            <family val="3"/>
          </rPr>
          <t>Tempo de Estoque (Meses)_x000D_
_x000D_
459,0</t>
        </r>
      </text>
    </comment>
    <comment ref="A451" authorId="0" shapeId="0" xr:uid="{A4C3D5B0-776E-436F-8088-3E295B2CE0EC}">
      <text>
        <r>
          <rPr>
            <sz val="10"/>
            <color indexed="81"/>
            <rFont val="Lucida Console"/>
            <family val="3"/>
          </rPr>
          <t>_x000D_
135414</t>
        </r>
      </text>
    </comment>
    <comment ref="B451" authorId="0" shapeId="0" xr:uid="{EE6340FF-2325-483A-B73B-FED085624A5B}">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451" authorId="0" shapeId="0" xr:uid="{4519312B-0DEF-4439-A516-CDCBEB8EE7E7}">
      <text>
        <r>
          <rPr>
            <sz val="10"/>
            <color indexed="81"/>
            <rFont val="Lucida Console"/>
            <family val="3"/>
          </rPr>
          <t>_x000D_
Últ estimativa : 250_x000D_
Enviada em     : 25.09.2019_x000D_
Ata - Venc     : 293/20 - 30.11.2021</t>
        </r>
      </text>
    </comment>
    <comment ref="O451" authorId="0" shapeId="0" xr:uid="{48AEB95E-A60C-4D1F-93DB-B46C50C95274}">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451" authorId="0" shapeId="0" xr:uid="{36050D93-BD42-460F-A02C-25697FA5D03B}">
      <text>
        <r>
          <rPr>
            <sz val="10"/>
            <color indexed="81"/>
            <rFont val="Lucida Console"/>
            <family val="3"/>
          </rPr>
          <t>_x000D_
DM-Hidráulica</t>
        </r>
      </text>
    </comment>
    <comment ref="X451" authorId="0" shapeId="0" xr:uid="{37E7860E-826E-4EA6-A5BB-4642F6983BB8}">
      <text>
        <r>
          <rPr>
            <sz val="10"/>
            <color indexed="81"/>
            <rFont val="Lucida Console"/>
            <family val="3"/>
          </rPr>
          <t>_x000D_
MATERIAL HIDRAULICO, CANOS, TUBOS, MANGUEIRAS, CONEXOES E ACESS.</t>
        </r>
      </text>
    </comment>
    <comment ref="Y451" authorId="0" shapeId="0" xr:uid="{6287CC50-4E12-47E7-889B-D18BA341A486}">
      <text>
        <r>
          <rPr>
            <sz val="10"/>
            <color indexed="81"/>
            <rFont val="Lucida Console"/>
            <family val="3"/>
          </rPr>
          <t>_x000D_
TORNEIRAS VOLANTES CANOPLAS E ACESS. P/ MANGUEIRA</t>
        </r>
      </text>
    </comment>
    <comment ref="AW451" authorId="0" shapeId="0" xr:uid="{1AC18F38-AC8D-497F-815B-47F75684B841}">
      <text>
        <r>
          <rPr>
            <sz val="10"/>
            <color indexed="81"/>
            <rFont val="Lucida Console"/>
            <family val="3"/>
          </rPr>
          <t>Tempo de Estoque (Meses)_x000D_
_x000D_
432,0</t>
        </r>
      </text>
    </comment>
    <comment ref="A452" authorId="0" shapeId="0" xr:uid="{19BB5707-9061-4B29-8942-764355BDF5F7}">
      <text>
        <r>
          <rPr>
            <sz val="10"/>
            <color indexed="81"/>
            <rFont val="Lucida Console"/>
            <family val="3"/>
          </rPr>
          <t>_x000D_
28181</t>
        </r>
      </text>
    </comment>
    <comment ref="B452" authorId="0" shapeId="0" xr:uid="{A59FDC74-B433-4114-AA7A-570670C457A5}">
      <text>
        <r>
          <rPr>
            <sz val="10"/>
            <color indexed="81"/>
            <rFont val="Lucida Console"/>
            <family val="3"/>
          </rPr>
          <t>DESCRIÇÃO DETALHADA_x000D_
ADAPTADOR DE PVC RIGIDO MARROM DE 2" SOLDAVEL. A MARCA DEVERA VIR LITOGRAFADA NA PECA.</t>
        </r>
      </text>
    </comment>
    <comment ref="G452" authorId="0" shapeId="0" xr:uid="{BDD21DCC-882A-4377-8CF4-E2C66BC1CCE2}">
      <text>
        <r>
          <rPr>
            <sz val="10"/>
            <color indexed="81"/>
            <rFont val="Lucida Console"/>
            <family val="3"/>
          </rPr>
          <t>_x000D_
Últ estimativa : 20_x000D_
Enviada em     : 24.10.2019_x000D_
Ata - Venc     : 293/20 - 30.11.2021</t>
        </r>
      </text>
    </comment>
    <comment ref="O452" authorId="0" shapeId="0" xr:uid="{23FDDA89-A17F-4551-9342-83F7CC855220}">
      <text>
        <r>
          <rPr>
            <sz val="10"/>
            <color indexed="81"/>
            <rFont val="Lucida Console"/>
            <family val="3"/>
          </rPr>
          <t>_x000D_
Pertencia a ATA nº 293/20_x000D_
Estimativa de Renovação enviada em 24.10.2019 - Qtd 20_x000D_
PE  16/20 lote 31_x000D_
18.05.20 = Processo conferido, finalizado.</t>
        </r>
      </text>
    </comment>
    <comment ref="W452" authorId="0" shapeId="0" xr:uid="{1E7B1663-B532-44A7-BF17-0581F04D9AD4}">
      <text>
        <r>
          <rPr>
            <sz val="10"/>
            <color indexed="81"/>
            <rFont val="Lucida Console"/>
            <family val="3"/>
          </rPr>
          <t>_x000D_
DM-Hidráulica</t>
        </r>
      </text>
    </comment>
    <comment ref="X452" authorId="0" shapeId="0" xr:uid="{7F7E5CCD-DFE4-4FC5-950B-E185FB9D778D}">
      <text>
        <r>
          <rPr>
            <sz val="10"/>
            <color indexed="81"/>
            <rFont val="Lucida Console"/>
            <family val="3"/>
          </rPr>
          <t>_x000D_
MATERIAL HIDRAULICO, CANOS, TUBOS, MANGUEIRAS, CONEXOES E ACESS.</t>
        </r>
      </text>
    </comment>
    <comment ref="Y452" authorId="0" shapeId="0" xr:uid="{E4997108-EB27-4963-AEAD-0E868D85D14E}">
      <text>
        <r>
          <rPr>
            <sz val="10"/>
            <color indexed="81"/>
            <rFont val="Lucida Console"/>
            <family val="3"/>
          </rPr>
          <t>_x000D_
ADAP. LUVAS.TES CURVAS COTOVELOS PLUGS FLANGES.....</t>
        </r>
      </text>
    </comment>
    <comment ref="AW452" authorId="0" shapeId="0" xr:uid="{1614CABC-2089-4A56-BB2C-3F4635AB4AF6}">
      <text>
        <r>
          <rPr>
            <sz val="10"/>
            <color indexed="81"/>
            <rFont val="Lucida Console"/>
            <family val="3"/>
          </rPr>
          <t>Tempo de Estoque (Meses)_x000D_
_x000D_
12,0</t>
        </r>
      </text>
    </comment>
    <comment ref="A453" authorId="0" shapeId="0" xr:uid="{EAC069D4-7ADE-4D41-84B3-7203F09CA6C5}">
      <text>
        <r>
          <rPr>
            <sz val="10"/>
            <color indexed="81"/>
            <rFont val="Lucida Console"/>
            <family val="3"/>
          </rPr>
          <t>_x000D_
136553</t>
        </r>
      </text>
    </comment>
    <comment ref="B453" authorId="0" shapeId="0" xr:uid="{9520A739-3F47-405B-BF16-7692CBBFCBFB}">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453" authorId="0" shapeId="0" xr:uid="{F5A9FBC1-BC47-45AD-B05A-EB5D0A384993}">
      <text>
        <r>
          <rPr>
            <sz val="10"/>
            <color indexed="81"/>
            <rFont val="Lucida Console"/>
            <family val="3"/>
          </rPr>
          <t>_x000D_
Últ estimativa : 5.000_x000D_
Enviada em     : 08.09.2020_x000D_
Ata - Venc     : 296/20 - 30.11.2021</t>
        </r>
      </text>
    </comment>
    <comment ref="O453" authorId="0" shapeId="0" xr:uid="{61851F29-2DD9-45A3-9E52-194D2DCBBEA1}">
      <text>
        <r>
          <rPr>
            <sz val="10"/>
            <color indexed="81"/>
            <rFont val="Lucida Console"/>
            <family val="3"/>
          </rPr>
          <t>_x000D_
Pertencia a ATA nº 296/20_x000D_
Estimativa de Renovação enviada em 08.09.2020 - Qtd 5.000_x000D_
PE  28/19 lote _x000D_
24.07.19 = Processo conferido, finalizado.</t>
        </r>
      </text>
    </comment>
    <comment ref="W453" authorId="0" shapeId="0" xr:uid="{25EBF586-AA7D-41A1-8FF6-CAE7C0A8776C}">
      <text>
        <r>
          <rPr>
            <sz val="10"/>
            <color indexed="81"/>
            <rFont val="Lucida Console"/>
            <family val="3"/>
          </rPr>
          <t>_x000D_
DM-Construção</t>
        </r>
      </text>
    </comment>
    <comment ref="X453" authorId="0" shapeId="0" xr:uid="{90D5B48A-D942-41BD-8B9D-359B20C50F8D}">
      <text>
        <r>
          <rPr>
            <sz val="10"/>
            <color indexed="81"/>
            <rFont val="Lucida Console"/>
            <family val="3"/>
          </rPr>
          <t>_x000D_
MAT.E EQUIP. P/ CONSTR.CIVIL E CONSERV. DE VIAS PUBL.</t>
        </r>
      </text>
    </comment>
    <comment ref="Y453" authorId="0" shapeId="0" xr:uid="{24B9309E-FFB2-4CBE-8C2E-A4BABE657C75}">
      <text>
        <r>
          <rPr>
            <sz val="10"/>
            <color indexed="81"/>
            <rFont val="Lucida Console"/>
            <family val="3"/>
          </rPr>
          <t>_x000D_
DOBRADICAS DE FERRO, METAL E PLASTICO</t>
        </r>
      </text>
    </comment>
    <comment ref="AW453" authorId="0" shapeId="0" xr:uid="{0AFFDC33-15DB-4E9B-84B9-BFFAD68BDB62}">
      <text>
        <r>
          <rPr>
            <sz val="10"/>
            <color indexed="81"/>
            <rFont val="Lucida Console"/>
            <family val="3"/>
          </rPr>
          <t>Tempo de Estoque (Meses)_x000D_
_x000D_
1.500,0</t>
        </r>
      </text>
    </comment>
    <comment ref="A454" authorId="0" shapeId="0" xr:uid="{F9CB0256-F185-400F-B159-EFD19B3108F5}">
      <text>
        <r>
          <rPr>
            <sz val="10"/>
            <color indexed="81"/>
            <rFont val="Lucida Console"/>
            <family val="3"/>
          </rPr>
          <t>_x000D_
136556</t>
        </r>
      </text>
    </comment>
    <comment ref="B454" authorId="0" shapeId="0" xr:uid="{A5DB74B6-F478-4B62-977D-702A02B6AA48}">
      <text>
        <r>
          <rPr>
            <sz val="10"/>
            <color indexed="81"/>
            <rFont val="Lucida Console"/>
            <family val="3"/>
          </rPr>
          <t>DESCRIÇÃO DETALHADA_x000D_
DOBRADICA PARA PORTA EM ACO ZINCADO, MEDIDAS 3.1/2" X 2.1/4", ESPESSURA MINIMA DE 1,5 MM</t>
        </r>
      </text>
    </comment>
    <comment ref="G454" authorId="0" shapeId="0" xr:uid="{CFBC4146-A1F3-4D11-9771-44FA59179255}">
      <text>
        <r>
          <rPr>
            <sz val="10"/>
            <color indexed="81"/>
            <rFont val="Lucida Console"/>
            <family val="3"/>
          </rPr>
          <t>_x000D_
Últ estimativa : 1.500_x000D_
Enviada em     : 08.09.2020_x000D_
Ata - Venc     : 296/20 - 30.11.2021</t>
        </r>
      </text>
    </comment>
    <comment ref="O454" authorId="0" shapeId="0" xr:uid="{28167AE9-9CB8-40D6-99DD-DA3DCF95A624}">
      <text>
        <r>
          <rPr>
            <sz val="10"/>
            <color indexed="81"/>
            <rFont val="Lucida Console"/>
            <family val="3"/>
          </rPr>
          <t>_x000D_
Pertencia a ATA nº 296/20_x000D_
Estimativa de Renovação enviada em 08.09.2020 - Qtd 1.500_x000D_
PE  28/19 lote _x000D_
24.07.19 = Processo conferido, finalizado.</t>
        </r>
      </text>
    </comment>
    <comment ref="W454" authorId="0" shapeId="0" xr:uid="{3075CD81-971B-45A1-83C9-78B11563D45C}">
      <text>
        <r>
          <rPr>
            <sz val="10"/>
            <color indexed="81"/>
            <rFont val="Lucida Console"/>
            <family val="3"/>
          </rPr>
          <t>_x000D_
DM-Construção</t>
        </r>
      </text>
    </comment>
    <comment ref="X454" authorId="0" shapeId="0" xr:uid="{DE97EF5B-C97C-41B4-B97D-5C1C19922EAA}">
      <text>
        <r>
          <rPr>
            <sz val="10"/>
            <color indexed="81"/>
            <rFont val="Lucida Console"/>
            <family val="3"/>
          </rPr>
          <t>_x000D_
MAT.E EQUIP. P/ CONSTR.CIVIL E CONSERV. DE VIAS PUBL.</t>
        </r>
      </text>
    </comment>
    <comment ref="Y454" authorId="0" shapeId="0" xr:uid="{681FCFDA-7EB2-44DD-BD7D-FE1181FA7DD0}">
      <text>
        <r>
          <rPr>
            <sz val="10"/>
            <color indexed="81"/>
            <rFont val="Lucida Console"/>
            <family val="3"/>
          </rPr>
          <t>_x000D_
DOBRADICAS DE FERRO, METAL E PLASTICO</t>
        </r>
      </text>
    </comment>
    <comment ref="AC454" authorId="0" shapeId="0" xr:uid="{9439670B-479E-4285-81E7-890889685606}">
      <text>
        <r>
          <rPr>
            <sz val="10"/>
            <color indexed="81"/>
            <rFont val="Lucida Console"/>
            <family val="3"/>
          </rPr>
          <t>_x000D_
AF 11.869/23 | Vc 10.10.2023 | Saldo  2.000 | DIPAR FERRAGENS LTDA ( 158993 )</t>
        </r>
      </text>
    </comment>
    <comment ref="AG454" authorId="0" shapeId="0" xr:uid="{F94D3797-4E91-46B2-8F62-A02A453B8075}">
      <text>
        <r>
          <rPr>
            <sz val="10"/>
            <color indexed="81"/>
            <rFont val="Lucida Console"/>
            <family val="3"/>
          </rPr>
          <t>_x000D_
AF 11.869/23 | Vc 10.10.2023 | Saldo  2.000 | DIPAR FERRAGENS LTDA ( 158993 )</t>
        </r>
      </text>
    </comment>
    <comment ref="AW454" authorId="0" shapeId="0" xr:uid="{6A70F9C8-D38A-407F-9775-10395486DDBD}">
      <text>
        <r>
          <rPr>
            <sz val="10"/>
            <color indexed="81"/>
            <rFont val="Lucida Console"/>
            <family val="3"/>
          </rPr>
          <t>Tempo de Estoque (Meses)_x000D_
_x000D_
2.000,0</t>
        </r>
      </text>
    </comment>
    <comment ref="A455" authorId="0" shapeId="0" xr:uid="{E342DF52-CDD8-48AE-B93E-7C1015FBD8B3}">
      <text>
        <r>
          <rPr>
            <sz val="10"/>
            <color indexed="81"/>
            <rFont val="Lucida Console"/>
            <family val="3"/>
          </rPr>
          <t>_x000D_
122818</t>
        </r>
      </text>
    </comment>
    <comment ref="B455" authorId="0" shapeId="0" xr:uid="{6A827596-8912-4271-AE72-B845BC3AF193}">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455" authorId="0" shapeId="0" xr:uid="{7A42A7A4-39C0-4271-87F9-A9B3E46E2E3A}">
      <text>
        <r>
          <rPr>
            <sz val="10"/>
            <color indexed="81"/>
            <rFont val="Lucida Console"/>
            <family val="3"/>
          </rPr>
          <t>_x000D_
Últ estimativa : 5.000_x000D_
Enviada em     : 08.09.2020_x000D_
Ata - Venc     : 296/20 - 30.11.2021</t>
        </r>
      </text>
    </comment>
    <comment ref="O455" authorId="0" shapeId="0" xr:uid="{FB0A6129-B629-4517-8199-3684B3C4F047}">
      <text>
        <r>
          <rPr>
            <sz val="10"/>
            <color indexed="81"/>
            <rFont val="Lucida Console"/>
            <family val="3"/>
          </rPr>
          <t>_x000D_
Pertencia a ATA nº 296/20_x000D_
Estimativa de Renovação enviada em 08.09.2020 - Qtd 5.000_x000D_
PP 192/19 lote _x000D_
09.01.20 = Finalizar - contrato assinado.</t>
        </r>
      </text>
    </comment>
    <comment ref="W455" authorId="0" shapeId="0" xr:uid="{83EFA16D-AF5F-4A4F-A4A4-9D5452A501CF}">
      <text>
        <r>
          <rPr>
            <sz val="10"/>
            <color indexed="81"/>
            <rFont val="Lucida Console"/>
            <family val="3"/>
          </rPr>
          <t>_x000D_
DM-Construção</t>
        </r>
      </text>
    </comment>
    <comment ref="X455" authorId="0" shapeId="0" xr:uid="{F9E0AD6A-CA60-44E9-AAAF-2A774077C8EE}">
      <text>
        <r>
          <rPr>
            <sz val="10"/>
            <color indexed="81"/>
            <rFont val="Lucida Console"/>
            <family val="3"/>
          </rPr>
          <t>_x000D_
MAT.E EQUIP. P/ CONSTR.CIVIL E CONSERV. DE VIAS PUBL.</t>
        </r>
      </text>
    </comment>
    <comment ref="Y455" authorId="0" shapeId="0" xr:uid="{A14EB69D-C080-4B38-A8F5-CAE95ECBEA8B}">
      <text>
        <r>
          <rPr>
            <sz val="10"/>
            <color indexed="81"/>
            <rFont val="Lucida Console"/>
            <family val="3"/>
          </rPr>
          <t>_x000D_
PISOS DE BORRACHA, PVC E OUTROS COLAVEIS</t>
        </r>
      </text>
    </comment>
    <comment ref="AW455" authorId="0" shapeId="0" xr:uid="{DC413D33-A6E9-4FD0-AD9C-DFEA1E0AAFDA}">
      <text>
        <r>
          <rPr>
            <sz val="10"/>
            <color indexed="81"/>
            <rFont val="Lucida Console"/>
            <family val="3"/>
          </rPr>
          <t>Tempo de Estoque (Meses)_x000D_
_x000D_
2.259,3</t>
        </r>
      </text>
    </comment>
    <comment ref="A456" authorId="0" shapeId="0" xr:uid="{6DE2D8A5-1B75-45F2-A361-59144D19143A}">
      <text>
        <r>
          <rPr>
            <sz val="10"/>
            <color indexed="81"/>
            <rFont val="Lucida Console"/>
            <family val="3"/>
          </rPr>
          <t>_x000D_
125262</t>
        </r>
      </text>
    </comment>
    <comment ref="B456" authorId="0" shapeId="0" xr:uid="{E426936E-A6B5-4302-B85B-1C2F30C2AAAA}">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456" authorId="0" shapeId="0" xr:uid="{5FDF4268-D1FE-4996-A8B8-CB3FAD7F41C1}">
      <text>
        <r>
          <rPr>
            <sz val="10"/>
            <color indexed="81"/>
            <rFont val="Lucida Console"/>
            <family val="3"/>
          </rPr>
          <t>_x000D_
Últ estimativa : 5.000_x000D_
Enviada em     : 08.09.2020_x000D_
Ata - Venc     : 296/20 - 30.11.2021</t>
        </r>
      </text>
    </comment>
    <comment ref="O456" authorId="0" shapeId="0" xr:uid="{A35E0CE7-663C-4453-B104-6F90C3C3F4EF}">
      <text>
        <r>
          <rPr>
            <sz val="10"/>
            <color indexed="81"/>
            <rFont val="Lucida Console"/>
            <family val="3"/>
          </rPr>
          <t>_x000D_
Pertencia a ATA nº 296/20_x000D_
Estimativa de Renovação enviada em 08.09.2020 - Qtd 5.000_x000D_
PP 192/19 lote _x000D_
09.01.20 = Finalizar - contrato assinado.</t>
        </r>
      </text>
    </comment>
    <comment ref="W456" authorId="0" shapeId="0" xr:uid="{7D1AFDE2-2F3C-4A41-937F-48EFE8908940}">
      <text>
        <r>
          <rPr>
            <sz val="10"/>
            <color indexed="81"/>
            <rFont val="Lucida Console"/>
            <family val="3"/>
          </rPr>
          <t>_x000D_
DM-Construção</t>
        </r>
      </text>
    </comment>
    <comment ref="X456" authorId="0" shapeId="0" xr:uid="{650E7787-5960-4E07-A0ED-B7D09BAE28BE}">
      <text>
        <r>
          <rPr>
            <sz val="10"/>
            <color indexed="81"/>
            <rFont val="Lucida Console"/>
            <family val="3"/>
          </rPr>
          <t>_x000D_
MAT.E EQUIP. P/ CONSTR.CIVIL E CONSERV. DE VIAS PUBL.</t>
        </r>
      </text>
    </comment>
    <comment ref="Y456" authorId="0" shapeId="0" xr:uid="{DAB2294D-D8CC-4D70-987F-26D6E71C5756}">
      <text>
        <r>
          <rPr>
            <sz val="10"/>
            <color indexed="81"/>
            <rFont val="Lucida Console"/>
            <family val="3"/>
          </rPr>
          <t>_x000D_
PISOS DE BORRACHA, PVC E OUTROS COLAVEIS</t>
        </r>
      </text>
    </comment>
    <comment ref="AW456" authorId="0" shapeId="0" xr:uid="{25E4F449-1F87-4A53-ACA9-F55980071141}">
      <text>
        <r>
          <rPr>
            <sz val="10"/>
            <color indexed="81"/>
            <rFont val="Lucida Console"/>
            <family val="3"/>
          </rPr>
          <t>Tempo de Estoque (Meses)_x000D_
_x000D_
2.038,6</t>
        </r>
      </text>
    </comment>
    <comment ref="A457" authorId="0" shapeId="0" xr:uid="{9C9258FB-35ED-4BB3-81DD-9AD0E32A2915}">
      <text>
        <r>
          <rPr>
            <sz val="10"/>
            <color indexed="81"/>
            <rFont val="Lucida Console"/>
            <family val="3"/>
          </rPr>
          <t>_x000D_
12877</t>
        </r>
      </text>
    </comment>
    <comment ref="B457" authorId="0" shapeId="0" xr:uid="{411FC117-8B2A-4C57-81EB-582F671B6840}">
      <text>
        <r>
          <rPr>
            <sz val="10"/>
            <color indexed="81"/>
            <rFont val="Lucida Console"/>
            <family val="3"/>
          </rPr>
          <t>DESCRIÇÃO DETALHADA_x000D_
TINTA LATEX PVA BRANCO, LATA COM 18 LITROS</t>
        </r>
      </text>
    </comment>
    <comment ref="G457" authorId="0" shapeId="0" xr:uid="{4AAF59B9-C386-4A0E-A1F8-81622DA88F64}">
      <text>
        <r>
          <rPr>
            <sz val="10"/>
            <color indexed="81"/>
            <rFont val="Lucida Console"/>
            <family val="3"/>
          </rPr>
          <t>_x000D_
Últ estimativa : 200_x000D_
Enviada em     : 12.05.2020_x000D_
Ata - Venc     : 304/20 - 15.12.2021</t>
        </r>
      </text>
    </comment>
    <comment ref="O457" authorId="0" shapeId="0" xr:uid="{F77263DA-A870-4250-81D4-64C43964F497}">
      <text>
        <r>
          <rPr>
            <sz val="10"/>
            <color indexed="81"/>
            <rFont val="Lucida Console"/>
            <family val="3"/>
          </rPr>
          <t>_x000D_
Pertencia a ATA nº 304/20_x000D_
Estimativa de Renovação enviada em 12.05.2020 - Qtd 200_x000D_
PE 147/20 lote 5 (Impróspero)_x000D_
04.09.20 = Finalizado. Ata 254/20</t>
        </r>
      </text>
    </comment>
    <comment ref="W457" authorId="0" shapeId="0" xr:uid="{B1EEA07A-C047-4AFC-9852-2AB27A84E45A}">
      <text>
        <r>
          <rPr>
            <sz val="10"/>
            <color indexed="81"/>
            <rFont val="Lucida Console"/>
            <family val="3"/>
          </rPr>
          <t>_x000D_
DM-Pintura</t>
        </r>
      </text>
    </comment>
    <comment ref="X457" authorId="0" shapeId="0" xr:uid="{1CF33F39-2DB4-413F-A00A-39BF16AD9E99}">
      <text>
        <r>
          <rPr>
            <sz val="10"/>
            <color indexed="81"/>
            <rFont val="Lucida Console"/>
            <family val="3"/>
          </rPr>
          <t>_x000D_
EQUIP. E MATERIAIS P/PINTURAS E IMPERMEABILIZACAO</t>
        </r>
      </text>
    </comment>
    <comment ref="Y457" authorId="0" shapeId="0" xr:uid="{7DCBED3F-8733-4F8F-A6C1-BD29257AD264}">
      <text>
        <r>
          <rPr>
            <sz val="10"/>
            <color indexed="81"/>
            <rFont val="Lucida Console"/>
            <family val="3"/>
          </rPr>
          <t>_x000D_
TINTAS LATEX</t>
        </r>
      </text>
    </comment>
    <comment ref="AW457" authorId="0" shapeId="0" xr:uid="{19C77E85-B586-46AB-B4BA-DF498ED003C3}">
      <text>
        <r>
          <rPr>
            <sz val="10"/>
            <color indexed="81"/>
            <rFont val="Lucida Console"/>
            <family val="3"/>
          </rPr>
          <t>Tempo de Estoque (Meses)_x000D_
_x000D_
500,0</t>
        </r>
      </text>
    </comment>
    <comment ref="A458" authorId="0" shapeId="0" xr:uid="{7718FA54-B3D4-4DCF-AB39-378A42E96694}">
      <text>
        <r>
          <rPr>
            <sz val="10"/>
            <color indexed="81"/>
            <rFont val="Lucida Console"/>
            <family val="3"/>
          </rPr>
          <t>_x000D_
93139</t>
        </r>
      </text>
    </comment>
    <comment ref="B458" authorId="0" shapeId="0" xr:uid="{0293356A-4719-4BAC-827B-BB02F5602D4C}">
      <text>
        <r>
          <rPr>
            <sz val="10"/>
            <color indexed="81"/>
            <rFont val="Lucida Console"/>
            <family val="3"/>
          </rPr>
          <t xml:space="preserve">DESCRIÇÃO DETALHADA_x000D_
FITA PLASTICA P/ ISOLAMENTO DE TRAFEGO PRETA/AMARELA - ROLO COM 100 M </t>
        </r>
      </text>
    </comment>
    <comment ref="G458" authorId="0" shapeId="0" xr:uid="{C1B7E63C-7D25-4856-95FF-8379B41304BB}">
      <text>
        <r>
          <rPr>
            <sz val="10"/>
            <color indexed="81"/>
            <rFont val="Lucida Console"/>
            <family val="3"/>
          </rPr>
          <t>_x000D_
Últ estimativa : 100_x000D_
Enviada em     : 20.01.2020_x000D_
Ata - Venc     : 31/21 - 03.02.2022</t>
        </r>
      </text>
    </comment>
    <comment ref="O458" authorId="0" shapeId="0" xr:uid="{1C07CE39-E2A4-43F1-A506-BBCF1461F22E}">
      <text>
        <r>
          <rPr>
            <sz val="10"/>
            <color indexed="81"/>
            <rFont val="Lucida Console"/>
            <family val="3"/>
          </rPr>
          <t>_x000D_
Pertencia a ATA nº 31/21_x000D_
Estimativa de Renovação enviada em 20.01.2020 - Qtd 100_x000D_
PE 222/20 lote _x000D_
15.12.20 = Finalizado</t>
        </r>
      </text>
    </comment>
    <comment ref="W458" authorId="0" shapeId="0" xr:uid="{CAF096EA-1F01-4E60-9FC4-CFF531C2A987}">
      <text>
        <r>
          <rPr>
            <sz val="10"/>
            <color indexed="81"/>
            <rFont val="Lucida Console"/>
            <family val="3"/>
          </rPr>
          <t>_x000D_
SegMedTra</t>
        </r>
      </text>
    </comment>
    <comment ref="X458" authorId="0" shapeId="0" xr:uid="{34819B84-C834-4C7D-9FED-78D7860A9F0E}">
      <text>
        <r>
          <rPr>
            <sz val="10"/>
            <color indexed="81"/>
            <rFont val="Lucida Console"/>
            <family val="3"/>
          </rPr>
          <t>_x000D_
EQUIP PROT IND, INST MAT P/ SINAL, CONTR, COMB ...</t>
        </r>
      </text>
    </comment>
    <comment ref="Y458" authorId="0" shapeId="0" xr:uid="{5AAD1A8C-4AAF-4A11-BCAC-F76CF45D9F18}">
      <text>
        <r>
          <rPr>
            <sz val="10"/>
            <color indexed="81"/>
            <rFont val="Lucida Console"/>
            <family val="3"/>
          </rPr>
          <t>_x000D_
EQUIPAMENTOS E ACESSORIOS DE SEGURANCA EXTERNA</t>
        </r>
      </text>
    </comment>
    <comment ref="AW458" authorId="0" shapeId="0" xr:uid="{EB0027C4-3FFD-467B-976C-93211076460F}">
      <text>
        <r>
          <rPr>
            <sz val="10"/>
            <color indexed="81"/>
            <rFont val="Lucida Console"/>
            <family val="3"/>
          </rPr>
          <t>Tempo de Estoque (Meses)_x000D_
_x000D_
150,0</t>
        </r>
      </text>
    </comment>
    <comment ref="A459" authorId="0" shapeId="0" xr:uid="{9886AF8B-B6A1-400D-B0ED-1DAE6BDD6D89}">
      <text>
        <r>
          <rPr>
            <sz val="10"/>
            <color indexed="81"/>
            <rFont val="Lucida Console"/>
            <family val="3"/>
          </rPr>
          <t>_x000D_
109848</t>
        </r>
      </text>
    </comment>
    <comment ref="B459" authorId="0" shapeId="0" xr:uid="{73ED8B8A-AD46-4AFF-923F-EDC5294CDDB2}">
      <text>
        <r>
          <rPr>
            <sz val="10"/>
            <color indexed="81"/>
            <rFont val="Lucida Console"/>
            <family val="3"/>
          </rPr>
          <t>DESCRIÇÃO DETALHADA_x000D_
TEXTURA ACRILICA GRAFIATO HIDROREPELENTE NA COR BRANCA - BARRICA COM 25 KG.</t>
        </r>
      </text>
    </comment>
    <comment ref="G459" authorId="0" shapeId="0" xr:uid="{369758C2-FB55-4B67-92BB-DD4170195822}">
      <text>
        <r>
          <rPr>
            <sz val="10"/>
            <color indexed="81"/>
            <rFont val="Lucida Console"/>
            <family val="3"/>
          </rPr>
          <t>_x000D_
Últ estimativa : 120_x000D_
Enviada em     : 20.01.2020_x000D_
Ata - Venc     : 31/21 - 03.02.2022</t>
        </r>
      </text>
    </comment>
    <comment ref="O459" authorId="0" shapeId="0" xr:uid="{D19678B1-293A-4FB0-9F1F-89A6DCE3761A}">
      <text>
        <r>
          <rPr>
            <sz val="10"/>
            <color indexed="81"/>
            <rFont val="Lucida Console"/>
            <family val="3"/>
          </rPr>
          <t>_x000D_
Pertencia a ATA nº 31/21_x000D_
Estimativa de Renovação enviada em 20.01.2020 - Qtd 120_x000D_
PE 222/20 lote _x000D_
15.12.20 = Finalizado</t>
        </r>
      </text>
    </comment>
    <comment ref="W459" authorId="0" shapeId="0" xr:uid="{F781E728-09B0-4110-8F1E-C24542180845}">
      <text>
        <r>
          <rPr>
            <sz val="10"/>
            <color indexed="81"/>
            <rFont val="Lucida Console"/>
            <family val="3"/>
          </rPr>
          <t>_x000D_
DM-Pintura</t>
        </r>
      </text>
    </comment>
    <comment ref="X459" authorId="0" shapeId="0" xr:uid="{B716371F-FB97-4473-BB3A-4AB825814FF1}">
      <text>
        <r>
          <rPr>
            <sz val="10"/>
            <color indexed="81"/>
            <rFont val="Lucida Console"/>
            <family val="3"/>
          </rPr>
          <t>_x000D_
EQUIP. E MATERIAIS P/PINTURAS E IMPERMEABILIZACAO</t>
        </r>
      </text>
    </comment>
    <comment ref="Y459" authorId="0" shapeId="0" xr:uid="{587D9CCE-6D89-4D33-8D74-B6AE6E30AEAA}">
      <text>
        <r>
          <rPr>
            <sz val="10"/>
            <color indexed="81"/>
            <rFont val="Lucida Console"/>
            <family val="3"/>
          </rPr>
          <t>_x000D_
TINTAS DIVERSAS</t>
        </r>
      </text>
    </comment>
    <comment ref="AC459" authorId="0" shapeId="0" xr:uid="{150CE987-A886-45B5-917D-9F378CBCB211}">
      <text>
        <r>
          <rPr>
            <sz val="10"/>
            <color indexed="81"/>
            <rFont val="Lucida Console"/>
            <family val="3"/>
          </rPr>
          <t>_x000D_
AF 11.598/23 | Vc 18.10.2023 | Saldo    200 | DURA TINTAS E REVESTIMENTOS LTDA ( 22353 )</t>
        </r>
      </text>
    </comment>
    <comment ref="AG459" authorId="0" shapeId="0" xr:uid="{D599B9FC-A933-4176-8194-4F6C1CFDDCFB}">
      <text>
        <r>
          <rPr>
            <sz val="10"/>
            <color indexed="81"/>
            <rFont val="Lucida Console"/>
            <family val="3"/>
          </rPr>
          <t>_x000D_
AF 11.598/23 | Vc 18.10.2023 | Saldo    200 | DURA TINTAS E REVESTIMENTOS LTDA ( 22353 )</t>
        </r>
      </text>
    </comment>
    <comment ref="AW459" authorId="0" shapeId="0" xr:uid="{006FDC8C-68D6-4549-A5B0-86AEB4A07BBD}">
      <text>
        <r>
          <rPr>
            <sz val="10"/>
            <color indexed="81"/>
            <rFont val="Lucida Console"/>
            <family val="3"/>
          </rPr>
          <t>Tempo de Estoque (Meses)_x000D_
_x000D_
207,0</t>
        </r>
      </text>
    </comment>
    <comment ref="A460" authorId="0" shapeId="0" xr:uid="{D5D124F5-0378-4F19-BB73-930FF158D103}">
      <text>
        <r>
          <rPr>
            <sz val="10"/>
            <color indexed="81"/>
            <rFont val="Lucida Console"/>
            <family val="3"/>
          </rPr>
          <t>_x000D_
13558</t>
        </r>
      </text>
    </comment>
    <comment ref="B460" authorId="0" shapeId="0" xr:uid="{7982CBC0-98BF-4470-8A56-84E430BC8265}">
      <text>
        <r>
          <rPr>
            <sz val="10"/>
            <color indexed="81"/>
            <rFont val="Lucida Console"/>
            <family val="3"/>
          </rPr>
          <t>DESCRIÇÃO DETALHADA_x000D_
TUBO DE PVC RIGIDO SOLDAVEL 2" X 06 M (P/ESGOTO) - BRANCO - NBR 5688</t>
        </r>
      </text>
    </comment>
    <comment ref="G460" authorId="0" shapeId="0" xr:uid="{6BF6B6FF-87FC-40CE-8D39-445E4C51BF81}">
      <text>
        <r>
          <rPr>
            <sz val="10"/>
            <color indexed="81"/>
            <rFont val="Lucida Console"/>
            <family val="3"/>
          </rPr>
          <t>_x000D_
Últ estimativa : 100_x000D_
Enviada em     : 24.11.2020_x000D_
Ata - Venc     : 39/20 - 01.03.2021</t>
        </r>
      </text>
    </comment>
    <comment ref="O460" authorId="0" shapeId="0" xr:uid="{9C524449-947D-496D-949A-439B2DE7CD80}">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460" authorId="0" shapeId="0" xr:uid="{7BFFC9D3-7FB3-4D05-BD12-E22BCBFE5A0A}">
      <text>
        <r>
          <rPr>
            <sz val="10"/>
            <color indexed="81"/>
            <rFont val="Lucida Console"/>
            <family val="3"/>
          </rPr>
          <t>_x000D_
DM-Hidráulica</t>
        </r>
      </text>
    </comment>
    <comment ref="X460" authorId="0" shapeId="0" xr:uid="{0B7C7682-C16B-4CA3-85AA-9B5A5B423A88}">
      <text>
        <r>
          <rPr>
            <sz val="10"/>
            <color indexed="81"/>
            <rFont val="Lucida Console"/>
            <family val="3"/>
          </rPr>
          <t>_x000D_
MATERIAL HIDRAULICO, CANOS, TUBOS, MANGUEIRAS, CONEXOES E ACESS.</t>
        </r>
      </text>
    </comment>
    <comment ref="Y460" authorId="0" shapeId="0" xr:uid="{C2279388-E9B8-4E36-9EDD-8056A0402371}">
      <text>
        <r>
          <rPr>
            <sz val="10"/>
            <color indexed="81"/>
            <rFont val="Lucida Console"/>
            <family val="3"/>
          </rPr>
          <t>_x000D_
CANOS E TUBOS PLASTICOS</t>
        </r>
      </text>
    </comment>
    <comment ref="AC460" authorId="0" shapeId="0" xr:uid="{B6CDC8E3-2CF2-4DFB-BFB8-94BA00C0BC8E}">
      <text>
        <r>
          <rPr>
            <sz val="10"/>
            <color indexed="81"/>
            <rFont val="Lucida Console"/>
            <family val="3"/>
          </rPr>
          <t>_x000D_
AF  9.646/23 | Vc 24.08.2023 | Saldo     50 | REDE I9 DO BRASIL MATERIAIS ELETRICOS E MONTAGENS INDUSTRIAIS LTDA ( 235922 )</t>
        </r>
      </text>
    </comment>
    <comment ref="AG460" authorId="0" shapeId="0" xr:uid="{FECC4EA2-ABE0-4500-80D1-35ABBB7CCEFF}">
      <text>
        <r>
          <rPr>
            <sz val="10"/>
            <color indexed="81"/>
            <rFont val="Lucida Console"/>
            <family val="3"/>
          </rPr>
          <t>_x000D_
AF  9.646/23 | Vc 24.08.2023 | Saldo     50 | REDE I9 DO BRASIL MATERIAIS ELETRICOS E MONTAGENS INDUSTRIAIS LTDA ( 235922 )</t>
        </r>
      </text>
    </comment>
    <comment ref="AW460" authorId="0" shapeId="0" xr:uid="{9CEA7B8D-C8EE-4AFE-AC07-7570A5823AB9}">
      <text>
        <r>
          <rPr>
            <sz val="10"/>
            <color indexed="81"/>
            <rFont val="Lucida Console"/>
            <family val="3"/>
          </rPr>
          <t>Tempo de Estoque (Meses)_x000D_
_x000D_
106,0</t>
        </r>
      </text>
    </comment>
    <comment ref="A461" authorId="0" shapeId="0" xr:uid="{2BC9C8E6-F81F-4810-AE3C-B3DDFA62B347}">
      <text>
        <r>
          <rPr>
            <sz val="10"/>
            <color indexed="81"/>
            <rFont val="Lucida Console"/>
            <family val="3"/>
          </rPr>
          <t>_x000D_
13559</t>
        </r>
      </text>
    </comment>
    <comment ref="B461" authorId="0" shapeId="0" xr:uid="{AA31C958-E766-44CB-8512-F6C48B75F887}">
      <text>
        <r>
          <rPr>
            <sz val="10"/>
            <color indexed="81"/>
            <rFont val="Lucida Console"/>
            <family val="3"/>
          </rPr>
          <t>DESCRIÇÃO DETALHADA_x000D_
TUBO DE PVC RIGIDO SOLDAVEL DE 100 MM - 4" X 6 M (P/ESGOTO)- BRANCO - NBR 5688</t>
        </r>
      </text>
    </comment>
    <comment ref="G461" authorId="0" shapeId="0" xr:uid="{5F232031-56D4-42AB-8D79-F2F469CB3742}">
      <text>
        <r>
          <rPr>
            <sz val="10"/>
            <color indexed="81"/>
            <rFont val="Lucida Console"/>
            <family val="3"/>
          </rPr>
          <t>_x000D_
Últ estimativa : 200_x000D_
Enviada em     : 24.11.2020_x000D_
Ata - Venc     : 39/20 - 01.03.2021</t>
        </r>
      </text>
    </comment>
    <comment ref="O461" authorId="0" shapeId="0" xr:uid="{D556D7A8-2958-46B8-BC9C-ADA0A4E0CE6C}">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461" authorId="0" shapeId="0" xr:uid="{5BFEFCAA-914A-4D87-B164-76C426DD9EC4}">
      <text>
        <r>
          <rPr>
            <sz val="10"/>
            <color indexed="81"/>
            <rFont val="Lucida Console"/>
            <family val="3"/>
          </rPr>
          <t>_x000D_
DM-Hidráulica</t>
        </r>
      </text>
    </comment>
    <comment ref="X461" authorId="0" shapeId="0" xr:uid="{A6681616-33A6-4950-8F71-493068E51266}">
      <text>
        <r>
          <rPr>
            <sz val="10"/>
            <color indexed="81"/>
            <rFont val="Lucida Console"/>
            <family val="3"/>
          </rPr>
          <t>_x000D_
MATERIAL HIDRAULICO, CANOS, TUBOS, MANGUEIRAS, CONEXOES E ACESS.</t>
        </r>
      </text>
    </comment>
    <comment ref="Y461" authorId="0" shapeId="0" xr:uid="{419855C2-662F-4756-B705-41B82F5C7827}">
      <text>
        <r>
          <rPr>
            <sz val="10"/>
            <color indexed="81"/>
            <rFont val="Lucida Console"/>
            <family val="3"/>
          </rPr>
          <t>_x000D_
CANOS E TUBOS PLASTICOS</t>
        </r>
      </text>
    </comment>
    <comment ref="AW461" authorId="0" shapeId="0" xr:uid="{DFE36340-00D5-4776-8E01-2F1EF0D5E05B}">
      <text>
        <r>
          <rPr>
            <sz val="10"/>
            <color indexed="81"/>
            <rFont val="Lucida Console"/>
            <family val="3"/>
          </rPr>
          <t>Tempo de Estoque (Meses)_x000D_
_x000D_
190,0</t>
        </r>
      </text>
    </comment>
    <comment ref="A462" authorId="0" shapeId="0" xr:uid="{FBE2ECC8-B329-46B0-8FDD-E41F6E9200D0}">
      <text>
        <r>
          <rPr>
            <sz val="10"/>
            <color indexed="81"/>
            <rFont val="Lucida Console"/>
            <family val="3"/>
          </rPr>
          <t>_x000D_
13560</t>
        </r>
      </text>
    </comment>
    <comment ref="B462" authorId="0" shapeId="0" xr:uid="{4B5187BE-7E42-403C-A4C1-41D7399F3FEB}">
      <text>
        <r>
          <rPr>
            <sz val="10"/>
            <color indexed="81"/>
            <rFont val="Lucida Console"/>
            <family val="3"/>
          </rPr>
          <t>DESCRIÇÃO DETALHADA_x000D_
TUBO DE PVC RIGIDO SOLDAVEL DE 32 MM - 1" X 06 M  - CLASSE15 MARROM - NBR 5648</t>
        </r>
      </text>
    </comment>
    <comment ref="G462" authorId="0" shapeId="0" xr:uid="{A027F944-2C9D-4303-BBF1-398C3D84B36B}">
      <text>
        <r>
          <rPr>
            <sz val="10"/>
            <color indexed="81"/>
            <rFont val="Lucida Console"/>
            <family val="3"/>
          </rPr>
          <t>_x000D_
Últ estimativa : 50_x000D_
Enviada em     : 24.11.2020_x000D_
Ata - Venc     : 39/20 - 01.03.2021</t>
        </r>
      </text>
    </comment>
    <comment ref="O462" authorId="0" shapeId="0" xr:uid="{1CACEAEA-E983-46BF-BC60-BEFEFBD2DDBF}">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462" authorId="0" shapeId="0" xr:uid="{FBFE3692-B1E9-4484-B8FE-AAF40E9B3D0B}">
      <text>
        <r>
          <rPr>
            <sz val="10"/>
            <color indexed="81"/>
            <rFont val="Lucida Console"/>
            <family val="3"/>
          </rPr>
          <t>_x000D_
DM-Hidráulica</t>
        </r>
      </text>
    </comment>
    <comment ref="X462" authorId="0" shapeId="0" xr:uid="{CDE13FD1-E905-4E48-97C4-21B676B1B7A9}">
      <text>
        <r>
          <rPr>
            <sz val="10"/>
            <color indexed="81"/>
            <rFont val="Lucida Console"/>
            <family val="3"/>
          </rPr>
          <t>_x000D_
MATERIAL HIDRAULICO, CANOS, TUBOS, MANGUEIRAS, CONEXOES E ACESS.</t>
        </r>
      </text>
    </comment>
    <comment ref="Y462" authorId="0" shapeId="0" xr:uid="{02447AAE-9D90-4DF5-A4E8-E5B3C088A55F}">
      <text>
        <r>
          <rPr>
            <sz val="10"/>
            <color indexed="81"/>
            <rFont val="Lucida Console"/>
            <family val="3"/>
          </rPr>
          <t>_x000D_
CANOS E TUBOS PLASTICOS</t>
        </r>
      </text>
    </comment>
    <comment ref="AW462" authorId="0" shapeId="0" xr:uid="{0B4A8539-150D-43EA-BB99-FA4B483FAE5A}">
      <text>
        <r>
          <rPr>
            <sz val="10"/>
            <color indexed="81"/>
            <rFont val="Lucida Console"/>
            <family val="3"/>
          </rPr>
          <t>Tempo de Estoque (Meses)_x000D_
_x000D_
62,0</t>
        </r>
      </text>
    </comment>
    <comment ref="A463" authorId="0" shapeId="0" xr:uid="{3AD00196-EB61-47A4-868D-34CC56840C89}">
      <text>
        <r>
          <rPr>
            <sz val="10"/>
            <color indexed="81"/>
            <rFont val="Lucida Console"/>
            <family val="3"/>
          </rPr>
          <t>_x000D_
13562</t>
        </r>
      </text>
    </comment>
    <comment ref="B463" authorId="0" shapeId="0" xr:uid="{1761C6CF-9FE5-46D6-AFF9-BB2B938A07F9}">
      <text>
        <r>
          <rPr>
            <sz val="10"/>
            <color indexed="81"/>
            <rFont val="Lucida Console"/>
            <family val="3"/>
          </rPr>
          <t>DESCRIÇÃO DETALHADA_x000D_
TUBO DE PVC RIGIDO SOLDAVEL DE 25 MM  - 3/4" X 06 M - CLASSE 15 MARROM - NBR 5648 - A MARCA DEVERA SER LITOGRAFADA NO PRODUTO</t>
        </r>
      </text>
    </comment>
    <comment ref="G463" authorId="0" shapeId="0" xr:uid="{2DBA83F0-1B5C-49FA-84DB-3E34B8DCA002}">
      <text>
        <r>
          <rPr>
            <sz val="10"/>
            <color indexed="81"/>
            <rFont val="Lucida Console"/>
            <family val="3"/>
          </rPr>
          <t>_x000D_
Últ estimativa : 1.000_x000D_
Enviada em     : 24.11.2020_x000D_
Ata - Venc     : 39/20 - 01.03.2021</t>
        </r>
      </text>
    </comment>
    <comment ref="O463" authorId="0" shapeId="0" xr:uid="{4F551FFB-1808-4FAB-8ED8-FA7DDA07F1CC}">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463" authorId="0" shapeId="0" xr:uid="{DCE0D72A-C453-4F80-AE02-B7D72719BA31}">
      <text>
        <r>
          <rPr>
            <sz val="10"/>
            <color indexed="81"/>
            <rFont val="Lucida Console"/>
            <family val="3"/>
          </rPr>
          <t>_x000D_
DM-Hidráulica</t>
        </r>
      </text>
    </comment>
    <comment ref="X463" authorId="0" shapeId="0" xr:uid="{0E69DD21-4603-48DD-B078-98CFAFBB2668}">
      <text>
        <r>
          <rPr>
            <sz val="10"/>
            <color indexed="81"/>
            <rFont val="Lucida Console"/>
            <family val="3"/>
          </rPr>
          <t>_x000D_
MATERIAL HIDRAULICO, CANOS, TUBOS, MANGUEIRAS, CONEXOES E ACESS.</t>
        </r>
      </text>
    </comment>
    <comment ref="Y463" authorId="0" shapeId="0" xr:uid="{026668BC-C9AD-4586-8FED-5C3ED77FD514}">
      <text>
        <r>
          <rPr>
            <sz val="10"/>
            <color indexed="81"/>
            <rFont val="Lucida Console"/>
            <family val="3"/>
          </rPr>
          <t>_x000D_
CANOS E TUBOS PLASTICOS</t>
        </r>
      </text>
    </comment>
    <comment ref="AC463" authorId="0" shapeId="0" xr:uid="{90C555D4-C1BD-4100-9B49-0E94E0FBC5D8}">
      <text>
        <r>
          <rPr>
            <sz val="10"/>
            <color indexed="81"/>
            <rFont val="Lucida Console"/>
            <family val="3"/>
          </rPr>
          <t>_x000D_
AF  9.672/23 | Vc 24.08.2023 | Saldo    400 | REDE I9 DO BRASIL MATERIAIS ELETRICOS E MONTAGENS INDUSTRIAIS LTDA ( 235922 )</t>
        </r>
      </text>
    </comment>
    <comment ref="AG463" authorId="0" shapeId="0" xr:uid="{BF858F88-1D68-4EF2-91F3-3AB14D414B65}">
      <text>
        <r>
          <rPr>
            <sz val="10"/>
            <color indexed="81"/>
            <rFont val="Lucida Console"/>
            <family val="3"/>
          </rPr>
          <t>_x000D_
AF  9.672/23 | Vc 24.08.2023 | Saldo    400 | REDE I9 DO BRASIL MATERIAIS ELETRICOS E MONTAGENS INDUSTRIAIS LTDA ( 235922 )</t>
        </r>
      </text>
    </comment>
    <comment ref="AW463" authorId="0" shapeId="0" xr:uid="{E2BB8BA0-4720-4283-92D3-F7A4F6259B74}">
      <text>
        <r>
          <rPr>
            <sz val="10"/>
            <color indexed="81"/>
            <rFont val="Lucida Console"/>
            <family val="3"/>
          </rPr>
          <t>Tempo de Estoque (Meses)_x000D_
_x000D_
308,0</t>
        </r>
      </text>
    </comment>
    <comment ref="A464" authorId="0" shapeId="0" xr:uid="{708216B3-15D1-4062-83C8-28CC03B8F8D8}">
      <text>
        <r>
          <rPr>
            <sz val="10"/>
            <color indexed="81"/>
            <rFont val="Lucida Console"/>
            <family val="3"/>
          </rPr>
          <t>_x000D_
59018</t>
        </r>
      </text>
    </comment>
    <comment ref="B464" authorId="0" shapeId="0" xr:uid="{A1B159E4-3E29-4192-BE4E-7B9D896D68E1}">
      <text>
        <r>
          <rPr>
            <sz val="10"/>
            <color indexed="81"/>
            <rFont val="Lucida Console"/>
            <family val="3"/>
          </rPr>
          <t>DESCRIÇÃO DETALHADA_x000D_
CANTONEIRA DE FERRO - 1.1/2" X 1/8" BARRA COM 06 METROS</t>
        </r>
      </text>
    </comment>
    <comment ref="G464" authorId="0" shapeId="0" xr:uid="{6CF6662C-ACBA-4DCA-A230-4967116517B6}">
      <text>
        <r>
          <rPr>
            <sz val="10"/>
            <color indexed="81"/>
            <rFont val="Lucida Console"/>
            <family val="3"/>
          </rPr>
          <t>_x000D_
Últ estimativa : 300_x000D_
Enviada em     : 25.06.2019_x000D_
Ata - Venc     : 39/20 - 01.03.2021</t>
        </r>
      </text>
    </comment>
    <comment ref="O464" authorId="0" shapeId="0" xr:uid="{BB51931D-2491-481E-B915-6957CB48DA4E}">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464" authorId="0" shapeId="0" xr:uid="{135508AB-0DE1-4BC0-8F95-0DADB9E79A6E}">
      <text>
        <r>
          <rPr>
            <sz val="10"/>
            <color indexed="81"/>
            <rFont val="Lucida Console"/>
            <family val="3"/>
          </rPr>
          <t>_x000D_
DM-Serralheria</t>
        </r>
      </text>
    </comment>
    <comment ref="X464" authorId="0" shapeId="0" xr:uid="{FC19DC9A-B7A7-4E9A-A4D5-69525EE8CD54}">
      <text>
        <r>
          <rPr>
            <sz val="10"/>
            <color indexed="81"/>
            <rFont val="Lucida Console"/>
            <family val="3"/>
          </rPr>
          <t>_x000D_
METAIS,LAMINAD.,PERFILADOS E ARTEFATOS METALICOS</t>
        </r>
      </text>
    </comment>
    <comment ref="Y464" authorId="0" shapeId="0" xr:uid="{9DA60486-B595-4F0E-B038-FCC390470723}">
      <text>
        <r>
          <rPr>
            <sz val="10"/>
            <color indexed="81"/>
            <rFont val="Lucida Console"/>
            <family val="3"/>
          </rPr>
          <t>_x000D_
CANTONEIRAS</t>
        </r>
      </text>
    </comment>
    <comment ref="AW464" authorId="0" shapeId="0" xr:uid="{5BA1517C-D14C-41EF-8E52-C60E494B5F1D}">
      <text>
        <r>
          <rPr>
            <sz val="10"/>
            <color indexed="81"/>
            <rFont val="Lucida Console"/>
            <family val="3"/>
          </rPr>
          <t>Tempo de Estoque (Meses)_x000D_
_x000D_
732,0</t>
        </r>
      </text>
    </comment>
    <comment ref="A465" authorId="0" shapeId="0" xr:uid="{8B0E23EA-757E-4AA0-9F52-60EA19132C0B}">
      <text>
        <r>
          <rPr>
            <sz val="10"/>
            <color indexed="81"/>
            <rFont val="Lucida Console"/>
            <family val="3"/>
          </rPr>
          <t>_x000D_
88740</t>
        </r>
      </text>
    </comment>
    <comment ref="B465" authorId="0" shapeId="0" xr:uid="{8AEFC8C5-BF26-41E7-916C-6874CB44CE5A}">
      <text>
        <r>
          <rPr>
            <sz val="10"/>
            <color indexed="81"/>
            <rFont val="Lucida Console"/>
            <family val="3"/>
          </rPr>
          <t>DESCRIÇÃO DETALHADA_x000D_
DISJUNTOR NORMA DIN CURVA C PADRAO, BIPOLAR, 63 AMPERES</t>
        </r>
      </text>
    </comment>
    <comment ref="G465" authorId="0" shapeId="0" xr:uid="{BE40CB89-9139-4DFA-A4C4-7640404EAC38}">
      <text>
        <r>
          <rPr>
            <sz val="10"/>
            <color indexed="81"/>
            <rFont val="Lucida Console"/>
            <family val="3"/>
          </rPr>
          <t>_x000D_
Últ estimativa : 0_x000D_
Enviada em     : 23.09.2020_x000D_
Ata - Venc     : 39/21 - 10.02.2022</t>
        </r>
      </text>
    </comment>
    <comment ref="O465" authorId="0" shapeId="0" xr:uid="{5E07AD28-2019-46FD-916C-341D58704A55}">
      <text>
        <r>
          <rPr>
            <sz val="10"/>
            <color indexed="81"/>
            <rFont val="Lucida Console"/>
            <family val="3"/>
          </rPr>
          <t>_x000D_
Pertencia a ATA nº 39/21_x000D_
Estimativa de Renovação enviada em 23.09.2020 - Qtd _x000D_
PP 241/19 lote _x000D_
21.02.20 = Processo conferido, finalizado.</t>
        </r>
      </text>
    </comment>
    <comment ref="W465" authorId="0" shapeId="0" xr:uid="{047D81A8-A00A-4453-9DAA-731C5592D63D}">
      <text>
        <r>
          <rPr>
            <sz val="10"/>
            <color indexed="81"/>
            <rFont val="Lucida Console"/>
            <family val="3"/>
          </rPr>
          <t>_x000D_
DM-Elétrica</t>
        </r>
      </text>
    </comment>
    <comment ref="X465" authorId="0" shapeId="0" xr:uid="{D3C48667-73EF-4285-9DB6-44F8048E3281}">
      <text>
        <r>
          <rPr>
            <sz val="10"/>
            <color indexed="81"/>
            <rFont val="Lucida Console"/>
            <family val="3"/>
          </rPr>
          <t>_x000D_
EQUIP. MAT. P/ GERACAO, TRANSM. DISTR. RETIF...</t>
        </r>
      </text>
    </comment>
    <comment ref="Y465" authorId="0" shapeId="0" xr:uid="{E3C5B1A6-42D5-49E3-B386-7F4D258D7369}">
      <text>
        <r>
          <rPr>
            <sz val="10"/>
            <color indexed="81"/>
            <rFont val="Lucida Console"/>
            <family val="3"/>
          </rPr>
          <t>_x000D_
DISJUNTORES</t>
        </r>
      </text>
    </comment>
    <comment ref="AW465" authorId="0" shapeId="0" xr:uid="{5A2B92CC-55A7-47DF-851C-268216F0582F}">
      <text>
        <r>
          <rPr>
            <sz val="10"/>
            <color indexed="81"/>
            <rFont val="Lucida Console"/>
            <family val="3"/>
          </rPr>
          <t>Tempo de Estoque (Meses)_x000D_
_x000D_
74,0</t>
        </r>
      </text>
    </comment>
    <comment ref="A466" authorId="0" shapeId="0" xr:uid="{DBE481A5-E001-49A7-9F52-E29B59B1BEA9}">
      <text>
        <r>
          <rPr>
            <sz val="10"/>
            <color indexed="81"/>
            <rFont val="Lucida Console"/>
            <family val="3"/>
          </rPr>
          <t>_x000D_
88744</t>
        </r>
      </text>
    </comment>
    <comment ref="B466" authorId="0" shapeId="0" xr:uid="{074E6731-6152-4E7E-9A92-98A3B3EF89C2}">
      <text>
        <r>
          <rPr>
            <sz val="10"/>
            <color indexed="81"/>
            <rFont val="Lucida Console"/>
            <family val="3"/>
          </rPr>
          <t>DESCRIÇÃO DETALHADA_x000D_
DISJUNTOR NORMA DIN CURVA C PADRAO, TRIPOLAR, 63 AMPERES</t>
        </r>
      </text>
    </comment>
    <comment ref="G466" authorId="0" shapeId="0" xr:uid="{2E1229AA-B8F2-4796-B79A-B7A3BE040BF5}">
      <text>
        <r>
          <rPr>
            <sz val="10"/>
            <color indexed="81"/>
            <rFont val="Lucida Console"/>
            <family val="3"/>
          </rPr>
          <t>_x000D_
Últ estimativa : 30_x000D_
Enviada em     : 23.09.2020_x000D_
Ata - Venc     : 39/21 - 10.02.2022</t>
        </r>
      </text>
    </comment>
    <comment ref="O466" authorId="0" shapeId="0" xr:uid="{2E76DD79-AB39-44BF-91A6-83796F09F808}">
      <text>
        <r>
          <rPr>
            <sz val="10"/>
            <color indexed="81"/>
            <rFont val="Lucida Console"/>
            <family val="3"/>
          </rPr>
          <t>_x000D_
Pertencia a ATA nº 39/21_x000D_
Estimativa de Renovação enviada em 23.09.2020 - Qtd 30_x000D_
PP 241/19 lote _x000D_
21.02.20 = Processo conferido, finalizado.</t>
        </r>
      </text>
    </comment>
    <comment ref="W466" authorId="0" shapeId="0" xr:uid="{B2577B53-578C-4B82-A35B-09AFBD9AA3F4}">
      <text>
        <r>
          <rPr>
            <sz val="10"/>
            <color indexed="81"/>
            <rFont val="Lucida Console"/>
            <family val="3"/>
          </rPr>
          <t>_x000D_
DM-Elétrica</t>
        </r>
      </text>
    </comment>
    <comment ref="X466" authorId="0" shapeId="0" xr:uid="{21B05C0E-67AF-4061-81C4-CBD2B6A9A011}">
      <text>
        <r>
          <rPr>
            <sz val="10"/>
            <color indexed="81"/>
            <rFont val="Lucida Console"/>
            <family val="3"/>
          </rPr>
          <t>_x000D_
EQUIP. MAT. P/ GERACAO, TRANSM. DISTR. RETIF...</t>
        </r>
      </text>
    </comment>
    <comment ref="Y466" authorId="0" shapeId="0" xr:uid="{5D1D3380-DD5E-45F6-89E2-6BDB6133CA86}">
      <text>
        <r>
          <rPr>
            <sz val="10"/>
            <color indexed="81"/>
            <rFont val="Lucida Console"/>
            <family val="3"/>
          </rPr>
          <t>_x000D_
DISJUNTORES</t>
        </r>
      </text>
    </comment>
    <comment ref="AW466" authorId="0" shapeId="0" xr:uid="{7349B0BB-192A-4BC3-A140-F1AC517AAD42}">
      <text>
        <r>
          <rPr>
            <sz val="10"/>
            <color indexed="81"/>
            <rFont val="Lucida Console"/>
            <family val="3"/>
          </rPr>
          <t>Tempo de Estoque (Meses)_x000D_
_x000D_
30,0</t>
        </r>
      </text>
    </comment>
    <comment ref="A467" authorId="0" shapeId="0" xr:uid="{C87029A3-5C85-4E95-B1CB-1B536CD5E850}">
      <text>
        <r>
          <rPr>
            <sz val="10"/>
            <color indexed="81"/>
            <rFont val="Lucida Console"/>
            <family val="3"/>
          </rPr>
          <t>_x000D_
88745</t>
        </r>
      </text>
    </comment>
    <comment ref="B467" authorId="0" shapeId="0" xr:uid="{77F19139-15C5-4087-AFA6-09D186125598}">
      <text>
        <r>
          <rPr>
            <sz val="10"/>
            <color indexed="81"/>
            <rFont val="Lucida Console"/>
            <family val="3"/>
          </rPr>
          <t>DESCRIÇÃO DETALHADA_x000D_
DISJUNTOR NORMA DIN CURVA C PADRAO, TRIPOLAR, 80 AMPERES</t>
        </r>
      </text>
    </comment>
    <comment ref="G467" authorId="0" shapeId="0" xr:uid="{885D22D6-EE94-470C-A5D4-76E36CA2A8A3}">
      <text>
        <r>
          <rPr>
            <sz val="10"/>
            <color indexed="81"/>
            <rFont val="Lucida Console"/>
            <family val="3"/>
          </rPr>
          <t>_x000D_
Últ estimativa : 50_x000D_
Enviada em     : 23.09.2020_x000D_
Ata - Venc     : 39/21 - 10.02.2022</t>
        </r>
      </text>
    </comment>
    <comment ref="O467" authorId="0" shapeId="0" xr:uid="{D3BC6822-BF83-4A56-B62F-11008A73B85E}">
      <text>
        <r>
          <rPr>
            <sz val="10"/>
            <color indexed="81"/>
            <rFont val="Lucida Console"/>
            <family val="3"/>
          </rPr>
          <t>_x000D_
Pertencia a ATA nº 39/21_x000D_
Estimativa de Renovação enviada em 23.09.2020 - Qtd 50_x000D_
PE 248/20 lote _x000D_
21.01.21 = Finalizado</t>
        </r>
      </text>
    </comment>
    <comment ref="W467" authorId="0" shapeId="0" xr:uid="{E562C6CA-8C51-4CC8-B2F2-B325740D3983}">
      <text>
        <r>
          <rPr>
            <sz val="10"/>
            <color indexed="81"/>
            <rFont val="Lucida Console"/>
            <family val="3"/>
          </rPr>
          <t>_x000D_
DM-Elétrica</t>
        </r>
      </text>
    </comment>
    <comment ref="X467" authorId="0" shapeId="0" xr:uid="{AC632EC6-F3C1-44BC-996F-1BF3E96B94DA}">
      <text>
        <r>
          <rPr>
            <sz val="10"/>
            <color indexed="81"/>
            <rFont val="Lucida Console"/>
            <family val="3"/>
          </rPr>
          <t>_x000D_
EQUIP. MAT. P/ GERACAO, TRANSM. DISTR. RETIF...</t>
        </r>
      </text>
    </comment>
    <comment ref="Y467" authorId="0" shapeId="0" xr:uid="{74A960FB-CDB0-4035-9D80-EC389772C7CE}">
      <text>
        <r>
          <rPr>
            <sz val="10"/>
            <color indexed="81"/>
            <rFont val="Lucida Console"/>
            <family val="3"/>
          </rPr>
          <t>_x000D_
DISJUNTORES</t>
        </r>
      </text>
    </comment>
    <comment ref="AW467" authorId="0" shapeId="0" xr:uid="{6664950A-F60B-49A0-9314-2CC8A1FCF022}">
      <text>
        <r>
          <rPr>
            <sz val="10"/>
            <color indexed="81"/>
            <rFont val="Lucida Console"/>
            <family val="3"/>
          </rPr>
          <t>Tempo de Estoque (Meses)_x000D_
_x000D_
87,0</t>
        </r>
      </text>
    </comment>
    <comment ref="A468" authorId="0" shapeId="0" xr:uid="{FF39D6C9-D185-4705-B022-45E354D60455}">
      <text>
        <r>
          <rPr>
            <sz val="10"/>
            <color indexed="81"/>
            <rFont val="Lucida Console"/>
            <family val="3"/>
          </rPr>
          <t>_x000D_
88746</t>
        </r>
      </text>
    </comment>
    <comment ref="B468" authorId="0" shapeId="0" xr:uid="{01149E7E-27CF-4A75-A99C-E71D401BBB58}">
      <text>
        <r>
          <rPr>
            <sz val="10"/>
            <color indexed="81"/>
            <rFont val="Lucida Console"/>
            <family val="3"/>
          </rPr>
          <t>DESCRIÇÃO DETALHADA_x000D_
DISJUNTOR NORMA DIN CURVA C PADRAO, TRIPOLAR, 100 AMPERES</t>
        </r>
      </text>
    </comment>
    <comment ref="G468" authorId="0" shapeId="0" xr:uid="{C1264630-D19B-4862-BCB2-FC4DC2D32919}">
      <text>
        <r>
          <rPr>
            <sz val="10"/>
            <color indexed="81"/>
            <rFont val="Lucida Console"/>
            <family val="3"/>
          </rPr>
          <t>_x000D_
Últ estimativa : 0_x000D_
Enviada em     : 23.09.2020_x000D_
Ata - Venc     : 39/21 - 10.02.2022</t>
        </r>
      </text>
    </comment>
    <comment ref="O468" authorId="0" shapeId="0" xr:uid="{59810DB5-A24F-4E7E-9A43-9054F80635D9}">
      <text>
        <r>
          <rPr>
            <sz val="10"/>
            <color indexed="81"/>
            <rFont val="Lucida Console"/>
            <family val="3"/>
          </rPr>
          <t>_x000D_
Pertencia a ATA nº 39/21_x000D_
Estimativa de Renovação enviada em 23.09.2020 - Qtd _x000D_
PP 241/19 lote _x000D_
21.02.20 = Processo conferido, finalizado.</t>
        </r>
      </text>
    </comment>
    <comment ref="W468" authorId="0" shapeId="0" xr:uid="{5CB2E5A1-3428-4EF8-B80C-5383C3B0D93B}">
      <text>
        <r>
          <rPr>
            <sz val="10"/>
            <color indexed="81"/>
            <rFont val="Lucida Console"/>
            <family val="3"/>
          </rPr>
          <t>_x000D_
DM-Elétrica</t>
        </r>
      </text>
    </comment>
    <comment ref="X468" authorId="0" shapeId="0" xr:uid="{A7ACB056-8158-491F-B440-C58030348418}">
      <text>
        <r>
          <rPr>
            <sz val="10"/>
            <color indexed="81"/>
            <rFont val="Lucida Console"/>
            <family val="3"/>
          </rPr>
          <t>_x000D_
EQUIP. MAT. P/ GERACAO, TRANSM. DISTR. RETIF...</t>
        </r>
      </text>
    </comment>
    <comment ref="Y468" authorId="0" shapeId="0" xr:uid="{F070EA2F-CE38-47D9-B403-EFBF5FEFAA58}">
      <text>
        <r>
          <rPr>
            <sz val="10"/>
            <color indexed="81"/>
            <rFont val="Lucida Console"/>
            <family val="3"/>
          </rPr>
          <t>_x000D_
DISJUNTORES</t>
        </r>
      </text>
    </comment>
    <comment ref="AW468" authorId="0" shapeId="0" xr:uid="{44AC4C34-6BA0-40E1-840D-B77FF377155A}">
      <text>
        <r>
          <rPr>
            <sz val="10"/>
            <color indexed="81"/>
            <rFont val="Lucida Console"/>
            <family val="3"/>
          </rPr>
          <t>Tempo de Estoque (Meses)_x000D_
_x000D_
42,0</t>
        </r>
      </text>
    </comment>
    <comment ref="A469" authorId="0" shapeId="0" xr:uid="{190F048E-F138-4EF0-83EA-9ED291D26399}">
      <text>
        <r>
          <rPr>
            <sz val="10"/>
            <color indexed="81"/>
            <rFont val="Lucida Console"/>
            <family val="3"/>
          </rPr>
          <t>_x000D_
102820</t>
        </r>
      </text>
    </comment>
    <comment ref="B469" authorId="0" shapeId="0" xr:uid="{D02A6448-CCDA-4EAE-8294-60F4F083F4BB}">
      <text>
        <r>
          <rPr>
            <sz val="10"/>
            <color indexed="81"/>
            <rFont val="Lucida Console"/>
            <family val="3"/>
          </rPr>
          <t>DESCRIÇÃO DETALHADA_x000D_
DISJUNTOR TRIPOLAR IN = 125A, TENSAO MINIMA DE OPERACAO 240V, CURVA C, NBR 60947-2 - CATEGORIA "A"</t>
        </r>
      </text>
    </comment>
    <comment ref="G469" authorId="0" shapeId="0" xr:uid="{C74629E1-561D-47FB-9BE4-91592B96DE17}">
      <text>
        <r>
          <rPr>
            <sz val="10"/>
            <color indexed="81"/>
            <rFont val="Lucida Console"/>
            <family val="3"/>
          </rPr>
          <t>_x000D_
Últ estimativa : 0_x000D_
Enviada em     : 23.09.2020_x000D_
Ata - Venc     : 39/21 - 10.02.2022</t>
        </r>
      </text>
    </comment>
    <comment ref="O469" authorId="0" shapeId="0" xr:uid="{1C0B1EEC-34D8-44E9-B354-35892AB62108}">
      <text>
        <r>
          <rPr>
            <sz val="10"/>
            <color indexed="81"/>
            <rFont val="Lucida Console"/>
            <family val="3"/>
          </rPr>
          <t>_x000D_
Pertencia a ATA nº 39/21_x000D_
Estimativa de Renovação enviada em 23.09.2020 - Qtd _x000D_
PP 241/19 lote _x000D_
21.02.20 = Processo conferido, finalizado.</t>
        </r>
      </text>
    </comment>
    <comment ref="W469" authorId="0" shapeId="0" xr:uid="{8ED9F8C0-213C-4415-B9B6-294999A29DC6}">
      <text>
        <r>
          <rPr>
            <sz val="10"/>
            <color indexed="81"/>
            <rFont val="Lucida Console"/>
            <family val="3"/>
          </rPr>
          <t>_x000D_
DM-Elétrica</t>
        </r>
      </text>
    </comment>
    <comment ref="X469" authorId="0" shapeId="0" xr:uid="{C2EE861F-8832-44CE-8B79-D31BB43C9755}">
      <text>
        <r>
          <rPr>
            <sz val="10"/>
            <color indexed="81"/>
            <rFont val="Lucida Console"/>
            <family val="3"/>
          </rPr>
          <t>_x000D_
EQUIP. MAT. P/ GERACAO, TRANSM. DISTR. RETIF...</t>
        </r>
      </text>
    </comment>
    <comment ref="Y469" authorId="0" shapeId="0" xr:uid="{CE0B11F6-9A94-4753-9E53-D55DC941F86C}">
      <text>
        <r>
          <rPr>
            <sz val="10"/>
            <color indexed="81"/>
            <rFont val="Lucida Console"/>
            <family val="3"/>
          </rPr>
          <t>_x000D_
DISJUNTORES</t>
        </r>
      </text>
    </comment>
    <comment ref="AW469" authorId="0" shapeId="0" xr:uid="{D3AE643C-7963-4FB9-BB89-A2C53649E0E2}">
      <text>
        <r>
          <rPr>
            <sz val="10"/>
            <color indexed="81"/>
            <rFont val="Lucida Console"/>
            <family val="3"/>
          </rPr>
          <t>Tempo de Estoque (Meses)_x000D_
_x000D_
20,0</t>
        </r>
      </text>
    </comment>
    <comment ref="A470" authorId="0" shapeId="0" xr:uid="{8EDC258F-84A2-46E0-B895-D40B4A50707D}">
      <text>
        <r>
          <rPr>
            <sz val="10"/>
            <color indexed="81"/>
            <rFont val="Lucida Console"/>
            <family val="3"/>
          </rPr>
          <t>_x000D_
129961</t>
        </r>
      </text>
    </comment>
    <comment ref="B470" authorId="0" shapeId="0" xr:uid="{A2E8129A-0318-432D-9E7F-44736CD0E759}">
      <text>
        <r>
          <rPr>
            <sz val="10"/>
            <color indexed="81"/>
            <rFont val="Lucida Console"/>
            <family val="3"/>
          </rPr>
          <t>DESCRIÇÃO DETALHADA_x000D_
DISJUNTOR TRIPOLAR IN 350 A, TENSAO MINIMA DE OPERACAO 220 V, CURVA C, NBR 60947-2, CATEGORIA A</t>
        </r>
      </text>
    </comment>
    <comment ref="G470" authorId="0" shapeId="0" xr:uid="{9E0A4E8E-5BB0-42C7-888B-38B25BD4A9FD}">
      <text>
        <r>
          <rPr>
            <sz val="10"/>
            <color indexed="81"/>
            <rFont val="Lucida Console"/>
            <family val="3"/>
          </rPr>
          <t>_x000D_
Últ estimativa : 0_x000D_
Enviada em     : 23.09.2020_x000D_
Ata - Venc     : 39/21 - 10.02.2022</t>
        </r>
      </text>
    </comment>
    <comment ref="O470" authorId="0" shapeId="0" xr:uid="{86240081-D852-4B46-908F-1D2AC574F14F}">
      <text>
        <r>
          <rPr>
            <sz val="10"/>
            <color indexed="81"/>
            <rFont val="Lucida Console"/>
            <family val="3"/>
          </rPr>
          <t>_x000D_
Pertencia a ATA nº 39/21_x000D_
Estimativa de Renovação enviada em 23.09.2020 - Qtd _x000D_
PP 241/19 lote _x000D_
21.02.20 = Processo conferido, finalizado.</t>
        </r>
      </text>
    </comment>
    <comment ref="W470" authorId="0" shapeId="0" xr:uid="{E1A26834-B63A-46CA-AE97-8CB2DB824B32}">
      <text>
        <r>
          <rPr>
            <sz val="10"/>
            <color indexed="81"/>
            <rFont val="Lucida Console"/>
            <family val="3"/>
          </rPr>
          <t>_x000D_
DM-Elétrica</t>
        </r>
      </text>
    </comment>
    <comment ref="X470" authorId="0" shapeId="0" xr:uid="{4FCD6E35-FD37-4CF9-BB3A-6F9B711C4394}">
      <text>
        <r>
          <rPr>
            <sz val="10"/>
            <color indexed="81"/>
            <rFont val="Lucida Console"/>
            <family val="3"/>
          </rPr>
          <t>_x000D_
EQUIP. MAT. P/ GERACAO, TRANSM. DISTR. RETIF...</t>
        </r>
      </text>
    </comment>
    <comment ref="Y470" authorId="0" shapeId="0" xr:uid="{E597D5EF-D29B-420A-AC2E-80CCC10D7046}">
      <text>
        <r>
          <rPr>
            <sz val="10"/>
            <color indexed="81"/>
            <rFont val="Lucida Console"/>
            <family val="3"/>
          </rPr>
          <t>_x000D_
DISJUNTORES</t>
        </r>
      </text>
    </comment>
    <comment ref="AW470" authorId="0" shapeId="0" xr:uid="{9F07B753-5E26-429C-BF43-33CA30050178}">
      <text>
        <r>
          <rPr>
            <sz val="10"/>
            <color indexed="81"/>
            <rFont val="Lucida Console"/>
            <family val="3"/>
          </rPr>
          <t>Tempo de Estoque (Meses)_x000D_
_x000D_
4,0</t>
        </r>
      </text>
    </comment>
    <comment ref="A471" authorId="0" shapeId="0" xr:uid="{2DF24CA2-E23A-428B-8391-27DBC1B01D75}">
      <text>
        <r>
          <rPr>
            <sz val="10"/>
            <color indexed="81"/>
            <rFont val="Lucida Console"/>
            <family val="3"/>
          </rPr>
          <t>_x000D_
136898</t>
        </r>
      </text>
    </comment>
    <comment ref="B471" authorId="0" shapeId="0" xr:uid="{B00E699A-5AC8-4524-BCF7-D378AF2A248B}">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471" authorId="0" shapeId="0" xr:uid="{8DDC3830-C891-4C02-A890-17D9D417EDB8}">
      <text>
        <r>
          <rPr>
            <sz val="10"/>
            <color indexed="81"/>
            <rFont val="Lucida Console"/>
            <family val="3"/>
          </rPr>
          <t>_x000D_
Últ estimativa : 100_x000D_
Enviada em     : 23.09.2020_x000D_
Ata - Venc     : 39/21 - 10.02.2022</t>
        </r>
      </text>
    </comment>
    <comment ref="O471" authorId="0" shapeId="0" xr:uid="{9237C425-C758-4785-959E-6975C849C1D8}">
      <text>
        <r>
          <rPr>
            <sz val="10"/>
            <color indexed="81"/>
            <rFont val="Lucida Console"/>
            <family val="3"/>
          </rPr>
          <t>_x000D_
Pertencia a ATA nº 39/21_x000D_
Estimativa de Renovação enviada em 23.09.2020 - Qtd 100_x000D_
PP 241/19 lote _x000D_
21.02.20 = Processo conferido, finalizado.</t>
        </r>
      </text>
    </comment>
    <comment ref="W471" authorId="0" shapeId="0" xr:uid="{18B232D7-7FC8-4D55-A02A-3E5ECAF28FD2}">
      <text>
        <r>
          <rPr>
            <sz val="10"/>
            <color indexed="81"/>
            <rFont val="Lucida Console"/>
            <family val="3"/>
          </rPr>
          <t>_x000D_
DM-Elétrica</t>
        </r>
      </text>
    </comment>
    <comment ref="X471" authorId="0" shapeId="0" xr:uid="{4E3A8C0B-F065-4F86-AFB1-3AA208C583F6}">
      <text>
        <r>
          <rPr>
            <sz val="10"/>
            <color indexed="81"/>
            <rFont val="Lucida Console"/>
            <family val="3"/>
          </rPr>
          <t>_x000D_
EQUIP. MAT. P/ GERACAO, TRANSM. DISTR. RETIF...</t>
        </r>
      </text>
    </comment>
    <comment ref="Y471" authorId="0" shapeId="0" xr:uid="{F398432D-AEE9-4864-9AF4-6251086B6728}">
      <text>
        <r>
          <rPr>
            <sz val="10"/>
            <color indexed="81"/>
            <rFont val="Lucida Console"/>
            <family val="3"/>
          </rPr>
          <t>_x000D_
LUMINARIAS E PROJETORES COM EQUIPAMENTO</t>
        </r>
      </text>
    </comment>
    <comment ref="AW471" authorId="0" shapeId="0" xr:uid="{37B64041-A417-43CE-9AAE-8D21733A4F6B}">
      <text>
        <r>
          <rPr>
            <sz val="10"/>
            <color indexed="81"/>
            <rFont val="Lucida Console"/>
            <family val="3"/>
          </rPr>
          <t>Tempo de Estoque (Meses)_x000D_
_x000D_
300,0</t>
        </r>
      </text>
    </comment>
    <comment ref="A472" authorId="0" shapeId="0" xr:uid="{B9855FF8-ABA4-4BDB-94DE-B5042331313D}">
      <text>
        <r>
          <rPr>
            <sz val="10"/>
            <color indexed="81"/>
            <rFont val="Lucida Console"/>
            <family val="3"/>
          </rPr>
          <t>_x000D_
136896</t>
        </r>
      </text>
    </comment>
    <comment ref="B472" authorId="0" shapeId="0" xr:uid="{410FE1A1-86B0-4CEC-9AB2-8977189A0945}">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472" authorId="0" shapeId="0" xr:uid="{976CBA15-C245-4696-BE55-C1BB9050F163}">
      <text>
        <r>
          <rPr>
            <sz val="10"/>
            <color indexed="81"/>
            <rFont val="Lucida Console"/>
            <family val="3"/>
          </rPr>
          <t>_x000D_
Últ estimativa : 1.000_x000D_
Enviada em     : 23.09.2020_x000D_
Ata - Venc     : 39/21 - 10.02.2022</t>
        </r>
      </text>
    </comment>
    <comment ref="O472" authorId="0" shapeId="0" xr:uid="{0B589D65-CAD7-434E-B6F7-96F66EEB6EF9}">
      <text>
        <r>
          <rPr>
            <sz val="10"/>
            <color indexed="81"/>
            <rFont val="Lucida Console"/>
            <family val="3"/>
          </rPr>
          <t>_x000D_
Pertencia a ATA nº 39/21_x000D_
Estimativa de Renovação enviada em 23.09.2020 - Qtd 1.000_x000D_
PP 225/19 lote _x000D_
23.01.20 = Impróspero no PP</t>
        </r>
      </text>
    </comment>
    <comment ref="W472" authorId="0" shapeId="0" xr:uid="{4A7F60D2-DBF9-4E95-8890-E68406157743}">
      <text>
        <r>
          <rPr>
            <sz val="10"/>
            <color indexed="81"/>
            <rFont val="Lucida Console"/>
            <family val="3"/>
          </rPr>
          <t>_x000D_
DM-Elétrica</t>
        </r>
      </text>
    </comment>
    <comment ref="X472" authorId="0" shapeId="0" xr:uid="{F350EB65-C1BC-477C-8F3C-9CF5DD7694A2}">
      <text>
        <r>
          <rPr>
            <sz val="10"/>
            <color indexed="81"/>
            <rFont val="Lucida Console"/>
            <family val="3"/>
          </rPr>
          <t>_x000D_
EQUIP. MAT. P/ GERACAO, TRANSM. DISTR. RETIF...</t>
        </r>
      </text>
    </comment>
    <comment ref="Y472" authorId="0" shapeId="0" xr:uid="{79702C35-B5F4-4155-8623-6DF9D65C18EF}">
      <text>
        <r>
          <rPr>
            <sz val="10"/>
            <color indexed="81"/>
            <rFont val="Lucida Console"/>
            <family val="3"/>
          </rPr>
          <t>_x000D_
LAMPADAS DE LED</t>
        </r>
      </text>
    </comment>
    <comment ref="AW472" authorId="0" shapeId="0" xr:uid="{AA1C8A77-87C5-4D7C-9233-114C194A0098}">
      <text>
        <r>
          <rPr>
            <sz val="10"/>
            <color indexed="81"/>
            <rFont val="Lucida Console"/>
            <family val="3"/>
          </rPr>
          <t>Tempo de Estoque (Meses)_x000D_
_x000D_
527,0</t>
        </r>
      </text>
    </comment>
    <comment ref="A473" authorId="0" shapeId="0" xr:uid="{DF34565D-7C89-4ADF-A870-EE83AFA96257}">
      <text>
        <r>
          <rPr>
            <sz val="10"/>
            <color indexed="81"/>
            <rFont val="Lucida Console"/>
            <family val="3"/>
          </rPr>
          <t>_x000D_
130634</t>
        </r>
      </text>
    </comment>
    <comment ref="B473" authorId="0" shapeId="0" xr:uid="{D914C5D0-E08E-452B-8320-7CA8AEEF7EEC}">
      <text>
        <r>
          <rPr>
            <sz val="10"/>
            <color indexed="81"/>
            <rFont val="Lucida Console"/>
            <family val="3"/>
          </rPr>
          <t>DESCRIÇÃO DETALHADA_x000D_
PLACA DE ISOPOR PARA FORRO, COM APLICACAO DE MASSA ACRILICA (IMPERMEAVEL), COR BRANCO, DIMENSAO: 625 X 1250 X 20 MM - VARIACAO: +/- 10 MM</t>
        </r>
      </text>
    </comment>
    <comment ref="G473" authorId="0" shapeId="0" xr:uid="{FE05F5E4-3E21-4F49-A4D0-8F9C8E22574F}">
      <text>
        <r>
          <rPr>
            <sz val="10"/>
            <color indexed="81"/>
            <rFont val="Lucida Console"/>
            <family val="3"/>
          </rPr>
          <t>_x000D_
Últ estimativa : 700_x000D_
Enviada em     : 24.10.2019_x000D_
Ata - Venc     : 47/19 - 17.02.2020</t>
        </r>
      </text>
    </comment>
    <comment ref="O473" authorId="0" shapeId="0" xr:uid="{5505E76D-8D74-4812-A359-3D49202CCC28}">
      <text>
        <r>
          <rPr>
            <sz val="10"/>
            <color indexed="81"/>
            <rFont val="Lucida Console"/>
            <family val="3"/>
          </rPr>
          <t>_x000D_
Pertencia a ATA nº 47/19_x000D_
Estimativa de Renovação enviada em 24.10.2019 - Qtd 700_x000D_
PE  99/20 lote 26_x000D_
03.08.20 = Finalizado</t>
        </r>
      </text>
    </comment>
    <comment ref="W473" authorId="0" shapeId="0" xr:uid="{4EA5B93B-1D2F-4619-9F30-69502D528908}">
      <text>
        <r>
          <rPr>
            <sz val="10"/>
            <color indexed="81"/>
            <rFont val="Lucida Console"/>
            <family val="3"/>
          </rPr>
          <t>_x000D_
DM-Construção</t>
        </r>
      </text>
    </comment>
    <comment ref="X473" authorId="0" shapeId="0" xr:uid="{912FC8AA-68FE-4C1F-9E60-4453388FB984}">
      <text>
        <r>
          <rPr>
            <sz val="10"/>
            <color indexed="81"/>
            <rFont val="Lucida Console"/>
            <family val="3"/>
          </rPr>
          <t>_x000D_
MAT.E EQUIP. P/ CONSTR.CIVIL E CONSERV. DE VIAS PUBL.</t>
        </r>
      </text>
    </comment>
    <comment ref="Y473" authorId="0" shapeId="0" xr:uid="{D1F68FB5-B568-4ECF-8A69-944FBEA039A9}">
      <text>
        <r>
          <rPr>
            <sz val="10"/>
            <color indexed="81"/>
            <rFont val="Lucida Console"/>
            <family val="3"/>
          </rPr>
          <t>_x000D_
FORROS</t>
        </r>
      </text>
    </comment>
    <comment ref="AW473" authorId="0" shapeId="0" xr:uid="{B379E4FB-9636-4D51-B054-E2FFAB997B8D}">
      <text>
        <r>
          <rPr>
            <sz val="10"/>
            <color indexed="81"/>
            <rFont val="Lucida Console"/>
            <family val="3"/>
          </rPr>
          <t>Tempo de Estoque (Meses)_x000D_
_x000D_
752,0</t>
        </r>
      </text>
    </comment>
    <comment ref="A474" authorId="0" shapeId="0" xr:uid="{4323F9EE-EAC5-4590-AF20-11B58F262DC9}">
      <text>
        <r>
          <rPr>
            <sz val="10"/>
            <color indexed="81"/>
            <rFont val="Lucida Console"/>
            <family val="3"/>
          </rPr>
          <t>_x000D_
115840</t>
        </r>
      </text>
    </comment>
    <comment ref="B474" authorId="0" shapeId="0" xr:uid="{C3BD053E-EE21-4D02-88B6-16E29141DC01}">
      <text>
        <r>
          <rPr>
            <sz val="10"/>
            <color indexed="81"/>
            <rFont val="Lucida Console"/>
            <family val="3"/>
          </rPr>
          <t>DESCRIÇÃO DETALHADA_x000D_
VITRO DE CORRER EM ALUMINIO COM VIDROS E GRADE EM ALUMINIO FOSCO MEDINDO: 2,00 X 1,20M</t>
        </r>
      </text>
    </comment>
    <comment ref="G474" authorId="0" shapeId="0" xr:uid="{1AE8FDEF-89E4-4079-9D0D-D8C0F687FDED}">
      <text>
        <r>
          <rPr>
            <sz val="10"/>
            <color indexed="81"/>
            <rFont val="Lucida Console"/>
            <family val="3"/>
          </rPr>
          <t>_x000D_
Últ estimativa : 0_x000D_
Enviada em     : 24.10.2019_x000D_
Ata - Venc     : 47/19 - 17.02.2020</t>
        </r>
      </text>
    </comment>
    <comment ref="O474" authorId="0" shapeId="0" xr:uid="{DC04991F-3FA1-4899-B0A0-1E66654AD049}">
      <text>
        <r>
          <rPr>
            <sz val="10"/>
            <color indexed="81"/>
            <rFont val="Lucida Console"/>
            <family val="3"/>
          </rPr>
          <t>_x000D_
Pertencia a ATA nº 47/19_x000D_
Estimativa de Renovação enviada em 24.10.2019 - Qtd _x000D_
PE  99/20 lote 22_x000D_
03.08.20 = Finalizado</t>
        </r>
      </text>
    </comment>
    <comment ref="W474" authorId="0" shapeId="0" xr:uid="{1AA9DF62-A9A2-4328-8B6B-0C1667B77F43}">
      <text>
        <r>
          <rPr>
            <sz val="10"/>
            <color indexed="81"/>
            <rFont val="Lucida Console"/>
            <family val="3"/>
          </rPr>
          <t>_x000D_
DM-Construção</t>
        </r>
      </text>
    </comment>
    <comment ref="X474" authorId="0" shapeId="0" xr:uid="{719D19F6-7B97-439B-B8A4-5A308FC3F51A}">
      <text>
        <r>
          <rPr>
            <sz val="10"/>
            <color indexed="81"/>
            <rFont val="Lucida Console"/>
            <family val="3"/>
          </rPr>
          <t>_x000D_
MAT.E EQUIP. P/ CONSTR.CIVIL E CONSERV. DE VIAS PUBL.</t>
        </r>
      </text>
    </comment>
    <comment ref="Y474" authorId="0" shapeId="0" xr:uid="{1E2CF7AD-60EC-493C-AB5B-5A790BEA5431}">
      <text>
        <r>
          <rPr>
            <sz val="10"/>
            <color indexed="81"/>
            <rFont val="Lucida Console"/>
            <family val="3"/>
          </rPr>
          <t>_x000D_
CAIXILHOS, JANELAS E VITROS</t>
        </r>
      </text>
    </comment>
    <comment ref="AW474" authorId="0" shapeId="0" xr:uid="{8C919625-0C4E-43E9-87A0-5378E15C3AE6}">
      <text>
        <r>
          <rPr>
            <sz val="10"/>
            <color indexed="81"/>
            <rFont val="Lucida Console"/>
            <family val="3"/>
          </rPr>
          <t>Tempo de Estoque (Meses)_x000D_
_x000D_
25,0</t>
        </r>
      </text>
    </comment>
    <comment ref="A475" authorId="0" shapeId="0" xr:uid="{D369C729-29DE-442F-9790-0DE286E9A5B4}">
      <text>
        <r>
          <rPr>
            <sz val="10"/>
            <color indexed="81"/>
            <rFont val="Lucida Console"/>
            <family val="3"/>
          </rPr>
          <t>_x000D_
78509</t>
        </r>
      </text>
    </comment>
    <comment ref="B475" authorId="0" shapeId="0" xr:uid="{05B02B40-2BD6-41BF-A78F-B69901EA61CD}">
      <text>
        <r>
          <rPr>
            <sz val="10"/>
            <color indexed="81"/>
            <rFont val="Lucida Console"/>
            <family val="3"/>
          </rPr>
          <t>DESCRIÇÃO DETALHADA_x000D_
TANQUE DE CONCRETO PRE-MOLDADO P/ LAVAGEM DE ROUPAS DE 0,70 X 0,70M</t>
        </r>
      </text>
    </comment>
    <comment ref="G475" authorId="0" shapeId="0" xr:uid="{C8FF8F33-CA86-49B1-8A0F-30B030F8F46A}">
      <text>
        <r>
          <rPr>
            <sz val="10"/>
            <color indexed="81"/>
            <rFont val="Lucida Console"/>
            <family val="3"/>
          </rPr>
          <t>_x000D_
Últ estimativa : 10_x000D_
Enviada em     : 24.10.2019_x000D_
Ata - Venc     : 47/19 - 17.02.2020</t>
        </r>
      </text>
    </comment>
    <comment ref="O475" authorId="0" shapeId="0" xr:uid="{AD15E24E-3A69-4CF0-A061-773E61166235}">
      <text>
        <r>
          <rPr>
            <sz val="10"/>
            <color indexed="81"/>
            <rFont val="Lucida Console"/>
            <family val="3"/>
          </rPr>
          <t>_x000D_
Pertencia a ATA nº 47/19_x000D_
Estimativa de Renovação enviada em 24.10.2019 - Qtd 10_x000D_
PE  99/20 lote 11_x000D_
03.08.20 = Finalizado</t>
        </r>
      </text>
    </comment>
    <comment ref="W475" authorId="0" shapeId="0" xr:uid="{BC5D943C-EF99-4231-89BA-2908D914AFD7}">
      <text>
        <r>
          <rPr>
            <sz val="10"/>
            <color indexed="81"/>
            <rFont val="Lucida Console"/>
            <family val="3"/>
          </rPr>
          <t>_x000D_
DM-Construção</t>
        </r>
      </text>
    </comment>
    <comment ref="X475" authorId="0" shapeId="0" xr:uid="{BCE0EF3B-2FCF-40C4-9399-EC39C47EB759}">
      <text>
        <r>
          <rPr>
            <sz val="10"/>
            <color indexed="81"/>
            <rFont val="Lucida Console"/>
            <family val="3"/>
          </rPr>
          <t>_x000D_
MAT.E EQUIP. P/ CONSTR.CIVIL E CONSERV. DE VIAS PUBL.</t>
        </r>
      </text>
    </comment>
    <comment ref="Y475" authorId="0" shapeId="0" xr:uid="{926BAEAC-65A1-4FAB-83C4-82A69238D8F7}">
      <text>
        <r>
          <rPr>
            <sz val="10"/>
            <color indexed="81"/>
            <rFont val="Lucida Console"/>
            <family val="3"/>
          </rPr>
          <t>_x000D_
TANQUES, LAVATORIOS E PIAS</t>
        </r>
      </text>
    </comment>
    <comment ref="AW475" authorId="0" shapeId="0" xr:uid="{9914AAFB-7F0A-44EB-B406-B214E09BC579}">
      <text>
        <r>
          <rPr>
            <sz val="10"/>
            <color indexed="81"/>
            <rFont val="Lucida Console"/>
            <family val="3"/>
          </rPr>
          <t>Tempo de Estoque (Meses)_x000D_
_x000D_
9,0</t>
        </r>
      </text>
    </comment>
    <comment ref="A476" authorId="0" shapeId="0" xr:uid="{FB2EC613-4C7C-4AC5-B10E-B461DBBC2226}">
      <text>
        <r>
          <rPr>
            <sz val="10"/>
            <color indexed="81"/>
            <rFont val="Lucida Console"/>
            <family val="3"/>
          </rPr>
          <t>_x000D_
76218</t>
        </r>
      </text>
    </comment>
    <comment ref="B476" authorId="0" shapeId="0" xr:uid="{6CDB0A90-8691-4DC2-A325-71B143F2A97C}">
      <text>
        <r>
          <rPr>
            <sz val="10"/>
            <color indexed="81"/>
            <rFont val="Lucida Console"/>
            <family val="3"/>
          </rPr>
          <t>DESCRIÇÃO DETALHADA_x000D_
TELHA DE FIBROCIMENTO - 0,90 X 8,20 M - TIPO CANALETE</t>
        </r>
      </text>
    </comment>
    <comment ref="G476" authorId="0" shapeId="0" xr:uid="{CE17D958-15E5-457C-81E1-6DB1D146A53F}">
      <text>
        <r>
          <rPr>
            <sz val="10"/>
            <color indexed="81"/>
            <rFont val="Lucida Console"/>
            <family val="3"/>
          </rPr>
          <t>_x000D_
Últ estimativa : 0_x000D_
Enviada em     : 24.10.2019_x000D_
Ata - Venc     : 47/19 - 17.02.2020</t>
        </r>
      </text>
    </comment>
    <comment ref="O476" authorId="0" shapeId="0" xr:uid="{29A8D6B8-C23E-45E8-B373-B38538CE046D}">
      <text>
        <r>
          <rPr>
            <sz val="10"/>
            <color indexed="81"/>
            <rFont val="Lucida Console"/>
            <family val="3"/>
          </rPr>
          <t>_x000D_
Pertencia a ATA nº 47/19_x000D_
Estimativa de Renovação enviada em 24.10.2019 - Qtd _x000D_
PE  99/20 lote 10_x000D_
03.08.20 = Finalizado</t>
        </r>
      </text>
    </comment>
    <comment ref="W476" authorId="0" shapeId="0" xr:uid="{D93CBC75-44FB-415E-917C-EC41DE7B8BA4}">
      <text>
        <r>
          <rPr>
            <sz val="10"/>
            <color indexed="81"/>
            <rFont val="Lucida Console"/>
            <family val="3"/>
          </rPr>
          <t>_x000D_
DM-Construção</t>
        </r>
      </text>
    </comment>
    <comment ref="X476" authorId="0" shapeId="0" xr:uid="{EB957B93-D160-445C-93A5-9F0C8E3FFA01}">
      <text>
        <r>
          <rPr>
            <sz val="10"/>
            <color indexed="81"/>
            <rFont val="Lucida Console"/>
            <family val="3"/>
          </rPr>
          <t>_x000D_
MAT.E EQUIP. P/ CONSTR.CIVIL E CONSERV. DE VIAS PUBL.</t>
        </r>
      </text>
    </comment>
    <comment ref="Y476" authorId="0" shapeId="0" xr:uid="{A83249A7-DD91-4D3C-882F-0EA4B7DFD8C8}">
      <text>
        <r>
          <rPr>
            <sz val="10"/>
            <color indexed="81"/>
            <rFont val="Lucida Console"/>
            <family val="3"/>
          </rPr>
          <t>_x000D_
TELHAS. CUMEEIRAS E ELEM. DE TELH. E CHAP. DE CIM. AMIANT</t>
        </r>
      </text>
    </comment>
    <comment ref="AW476" authorId="0" shapeId="0" xr:uid="{98871B06-A025-4A8D-8484-7A3D4A92401D}">
      <text>
        <r>
          <rPr>
            <sz val="10"/>
            <color indexed="81"/>
            <rFont val="Lucida Console"/>
            <family val="3"/>
          </rPr>
          <t>Tempo de Estoque (Meses)_x000D_
_x000D_
36,0</t>
        </r>
      </text>
    </comment>
    <comment ref="A477" authorId="0" shapeId="0" xr:uid="{991B952F-51EA-402C-B5B0-76BA71EA2A45}">
      <text>
        <r>
          <rPr>
            <sz val="10"/>
            <color indexed="81"/>
            <rFont val="Lucida Console"/>
            <family val="3"/>
          </rPr>
          <t>_x000D_
125269</t>
        </r>
      </text>
    </comment>
    <comment ref="B477" authorId="0" shapeId="0" xr:uid="{9C358E05-A67D-482E-80F8-9ED082A53DF8}">
      <text>
        <r>
          <rPr>
            <sz val="10"/>
            <color indexed="81"/>
            <rFont val="Lucida Console"/>
            <family val="3"/>
          </rPr>
          <t>DESCRIÇÃO DETALHADA_x000D_
CONECTOR RJ-45 MACHO, PARA CABO UTP CATEGORIA 5E</t>
        </r>
      </text>
    </comment>
    <comment ref="O477" authorId="0" shapeId="0" xr:uid="{4026CCBC-CD64-4B70-9217-EC1515167F4A}">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477" authorId="0" shapeId="0" xr:uid="{DD00DBE7-EEF4-41F8-9B4A-371FBC276BBE}">
      <text>
        <r>
          <rPr>
            <sz val="10"/>
            <color indexed="81"/>
            <rFont val="Lucida Console"/>
            <family val="3"/>
          </rPr>
          <t>_x000D_
Informática</t>
        </r>
      </text>
    </comment>
    <comment ref="X477" authorId="0" shapeId="0" xr:uid="{A9454B9F-776C-446E-9125-AD0D32AC92A8}">
      <text>
        <r>
          <rPr>
            <sz val="10"/>
            <color indexed="81"/>
            <rFont val="Lucida Console"/>
            <family val="3"/>
          </rPr>
          <t>_x000D_
COMPUT.SOFT. PROCES. EQUIP. SUPRI. COMP. ACESS. INFORMAT</t>
        </r>
      </text>
    </comment>
    <comment ref="Y477" authorId="0" shapeId="0" xr:uid="{F37C2B67-1063-40B8-A833-AFBE7D844924}">
      <text>
        <r>
          <rPr>
            <sz val="10"/>
            <color indexed="81"/>
            <rFont val="Lucida Console"/>
            <family val="3"/>
          </rPr>
          <t>_x000D_
CABEAMENTO, CONECTORES E TOMADAS</t>
        </r>
      </text>
    </comment>
    <comment ref="AW477" authorId="0" shapeId="0" xr:uid="{3ABFE129-447C-4F11-A891-CEF8ED4D08B6}">
      <text>
        <r>
          <rPr>
            <sz val="10"/>
            <color indexed="81"/>
            <rFont val="Lucida Console"/>
            <family val="3"/>
          </rPr>
          <t>Tempo de Estoque (Meses)_x000D_
_x000D_
2.965,0</t>
        </r>
      </text>
    </comment>
    <comment ref="A478" authorId="0" shapeId="0" xr:uid="{249D3841-4DE4-47CE-A1E9-9DAD8DB17F9D}">
      <text>
        <r>
          <rPr>
            <sz val="10"/>
            <color indexed="81"/>
            <rFont val="Lucida Console"/>
            <family val="3"/>
          </rPr>
          <t>_x000D_
102000</t>
        </r>
      </text>
    </comment>
    <comment ref="B478" authorId="0" shapeId="0" xr:uid="{0B6173EB-6B13-4B36-BEB2-1AF66A237341}">
      <text>
        <r>
          <rPr>
            <sz val="10"/>
            <color indexed="81"/>
            <rFont val="Lucida Console"/>
            <family val="3"/>
          </rPr>
          <t>DESCRIÇÃO DETALHADA_x000D_
PISO DE CONCRETO, TIPO INTERTRAVADO RETANGULAR, COR NATURAL, DIMENSOES: 200 X 100MM, ESPESSURA: 60MM, RESISTENCIA DE 35MPA</t>
        </r>
      </text>
    </comment>
    <comment ref="G478" authorId="0" shapeId="0" xr:uid="{DD0ED071-DE93-40B0-8E47-D88E05205D4A}">
      <text>
        <r>
          <rPr>
            <sz val="10"/>
            <color indexed="81"/>
            <rFont val="Lucida Console"/>
            <family val="3"/>
          </rPr>
          <t>_x000D_
Últ estimativa : 500_x000D_
Enviada em     : 24.11.2020_x000D_
Ata - Venc     : 54/20 - 12.03.2021</t>
        </r>
      </text>
    </comment>
    <comment ref="O478" authorId="0" shapeId="0" xr:uid="{5C57E1CE-94C9-4BBD-A783-8525CBCFC271}">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478" authorId="0" shapeId="0" xr:uid="{F11EA87D-C795-4C55-B24B-BEA380A299A8}">
      <text>
        <r>
          <rPr>
            <sz val="10"/>
            <color indexed="81"/>
            <rFont val="Lucida Console"/>
            <family val="3"/>
          </rPr>
          <t>_x000D_
DM-Construção</t>
        </r>
      </text>
    </comment>
    <comment ref="X478" authorId="0" shapeId="0" xr:uid="{2C78E04D-994A-43DF-9A63-1EF44FF789A4}">
      <text>
        <r>
          <rPr>
            <sz val="10"/>
            <color indexed="81"/>
            <rFont val="Lucida Console"/>
            <family val="3"/>
          </rPr>
          <t>_x000D_
MAT.E EQUIP. P/ CONSTR.CIVIL E CONSERV. DE VIAS PUBL.</t>
        </r>
      </text>
    </comment>
    <comment ref="Y478" authorId="0" shapeId="0" xr:uid="{38B2B5F7-0D11-47DB-A2D0-374FC329C88A}">
      <text>
        <r>
          <rPr>
            <sz val="10"/>
            <color indexed="81"/>
            <rFont val="Lucida Console"/>
            <family val="3"/>
          </rPr>
          <t>_x000D_
BLOCOS, CANALETAS E ELEMENTOS VAZADOS EM CONCRETO</t>
        </r>
      </text>
    </comment>
    <comment ref="AW478" authorId="0" shapeId="0" xr:uid="{5ADA3B8B-B571-40CC-B7E3-A5BAB27B065A}">
      <text>
        <r>
          <rPr>
            <sz val="10"/>
            <color indexed="81"/>
            <rFont val="Lucida Console"/>
            <family val="3"/>
          </rPr>
          <t>Tempo de Estoque (Meses)_x000D_
_x000D_
759,0</t>
        </r>
      </text>
    </comment>
    <comment ref="A479" authorId="0" shapeId="0" xr:uid="{22BBDF64-98F4-4BFB-A25C-BD736F82850B}">
      <text>
        <r>
          <rPr>
            <sz val="10"/>
            <color indexed="81"/>
            <rFont val="Lucida Console"/>
            <family val="3"/>
          </rPr>
          <t>_x000D_
132623</t>
        </r>
      </text>
    </comment>
    <comment ref="B479" authorId="0" shapeId="0" xr:uid="{1B2B3278-B7C5-4E89-8596-509C2E726E45}">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479" authorId="0" shapeId="0" xr:uid="{BF32ED8E-B8EC-436E-9925-B6155E4EDB27}">
      <text>
        <r>
          <rPr>
            <sz val="10"/>
            <color indexed="81"/>
            <rFont val="Lucida Console"/>
            <family val="3"/>
          </rPr>
          <t>_x000D_
Últ estimativa : 80_x000D_
Enviada em     : 22.04.2021_x000D_
Ata - Venc     : 54/20 - 12.03.2021</t>
        </r>
      </text>
    </comment>
    <comment ref="O479" authorId="0" shapeId="0" xr:uid="{BD0FFC8D-07E7-4282-A9D3-9B5B4EF583F7}">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479" authorId="0" shapeId="0" xr:uid="{79A4B530-C37E-4C73-AC71-DD07817BBE94}">
      <text>
        <r>
          <rPr>
            <sz val="10"/>
            <color indexed="81"/>
            <rFont val="Lucida Console"/>
            <family val="3"/>
          </rPr>
          <t>_x000D_
DM-Construção</t>
        </r>
      </text>
    </comment>
    <comment ref="X479" authorId="0" shapeId="0" xr:uid="{B9B5BDE0-4F60-461B-AF81-DAF99ED73281}">
      <text>
        <r>
          <rPr>
            <sz val="10"/>
            <color indexed="81"/>
            <rFont val="Lucida Console"/>
            <family val="3"/>
          </rPr>
          <t>_x000D_
MAT.E EQUIP. P/ CONSTR.CIVIL E CONSERV. DE VIAS PUBL.</t>
        </r>
      </text>
    </comment>
    <comment ref="Y479" authorId="0" shapeId="0" xr:uid="{CAF58711-1C03-4153-AACD-8913E4B08138}">
      <text>
        <r>
          <rPr>
            <sz val="10"/>
            <color indexed="81"/>
            <rFont val="Lucida Console"/>
            <family val="3"/>
          </rPr>
          <t>_x000D_
BACIAS SANITARIAS E MICTORIOS</t>
        </r>
      </text>
    </comment>
    <comment ref="AW479" authorId="0" shapeId="0" xr:uid="{5C0D0825-D3EE-4BF0-AE14-4EB9260919D9}">
      <text>
        <r>
          <rPr>
            <sz val="10"/>
            <color indexed="81"/>
            <rFont val="Lucida Console"/>
            <family val="3"/>
          </rPr>
          <t>Tempo de Estoque (Meses)_x000D_
_x000D_
65,0</t>
        </r>
      </text>
    </comment>
    <comment ref="A480" authorId="0" shapeId="0" xr:uid="{C0325784-55D8-4FEC-A402-532DD5C3653B}">
      <text>
        <r>
          <rPr>
            <sz val="10"/>
            <color indexed="81"/>
            <rFont val="Lucida Console"/>
            <family val="3"/>
          </rPr>
          <t>_x000D_
100802</t>
        </r>
      </text>
    </comment>
    <comment ref="B480" authorId="0" shapeId="0" xr:uid="{20194D0C-7D0F-4E59-B45A-20BC4CB02A24}">
      <text>
        <r>
          <rPr>
            <sz val="10"/>
            <color indexed="81"/>
            <rFont val="Lucida Console"/>
            <family val="3"/>
          </rPr>
          <t>DESCRIÇÃO DETALHADA_x000D_
SILICONE PARA VEDACAO - TUBO COM NO MINIMO 280G</t>
        </r>
      </text>
    </comment>
    <comment ref="G480" authorId="0" shapeId="0" xr:uid="{48F9E2BB-4605-47B6-96F1-CEA2B35B456B}">
      <text>
        <r>
          <rPr>
            <sz val="10"/>
            <color indexed="81"/>
            <rFont val="Lucida Console"/>
            <family val="3"/>
          </rPr>
          <t>_x000D_
Últ estimativa : 600_x000D_
Enviada em     : 24.11.2020_x000D_
Ata - Venc     : 55/20 - 12.03.2021</t>
        </r>
      </text>
    </comment>
    <comment ref="O480" authorId="0" shapeId="0" xr:uid="{A48FAA49-7B92-46FC-8889-281117965D85}">
      <text>
        <r>
          <rPr>
            <sz val="10"/>
            <color indexed="81"/>
            <rFont val="Lucida Console"/>
            <family val="3"/>
          </rPr>
          <t>_x000D_
Pertencia a ATA nº 55/20_x000D_
Estimativa de Renovação enviada em 24.11.2020 - Qtd 600_x000D_
PE   2/20 lote 19_x000D_
23.04.20 = Processo conferido, finalizado.</t>
        </r>
      </text>
    </comment>
    <comment ref="W480" authorId="0" shapeId="0" xr:uid="{6ABF2B7C-0FA1-4CDC-A805-78F980A2761C}">
      <text>
        <r>
          <rPr>
            <sz val="10"/>
            <color indexed="81"/>
            <rFont val="Lucida Console"/>
            <family val="3"/>
          </rPr>
          <t>_x000D_
DM-Hidráulica</t>
        </r>
      </text>
    </comment>
    <comment ref="X480" authorId="0" shapeId="0" xr:uid="{DFAF50B8-92E3-4862-BCE9-A70232D2A527}">
      <text>
        <r>
          <rPr>
            <sz val="10"/>
            <color indexed="81"/>
            <rFont val="Lucida Console"/>
            <family val="3"/>
          </rPr>
          <t>_x000D_
MATERIAL HIDRAULICO, CANOS, TUBOS, MANGUEIRAS, CONEXOES E ACESS.</t>
        </r>
      </text>
    </comment>
    <comment ref="Y480" authorId="0" shapeId="0" xr:uid="{28FE9B8E-F220-4A8C-B582-22167B1082B3}">
      <text>
        <r>
          <rPr>
            <sz val="10"/>
            <color indexed="81"/>
            <rFont val="Lucida Console"/>
            <family val="3"/>
          </rPr>
          <t>_x000D_
VEDADORES ABRACADEIRAS E COLAS P/ TUBULACAO</t>
        </r>
      </text>
    </comment>
    <comment ref="AW480" authorId="0" shapeId="0" xr:uid="{27DE8E39-10F7-4C33-A3C6-BD67F8603EC4}">
      <text>
        <r>
          <rPr>
            <sz val="10"/>
            <color indexed="81"/>
            <rFont val="Lucida Console"/>
            <family val="3"/>
          </rPr>
          <t>Tempo de Estoque (Meses)_x000D_
_x000D_
794,0</t>
        </r>
      </text>
    </comment>
    <comment ref="A481" authorId="0" shapeId="0" xr:uid="{8D23E66C-36C1-47B0-9EB4-EF92E5BA39B0}">
      <text>
        <r>
          <rPr>
            <sz val="10"/>
            <color indexed="81"/>
            <rFont val="Lucida Console"/>
            <family val="3"/>
          </rPr>
          <t>_x000D_
20144</t>
        </r>
      </text>
    </comment>
    <comment ref="B481" authorId="0" shapeId="0" xr:uid="{0DDF89FA-3F00-4795-A834-C38490FF06EF}">
      <text>
        <r>
          <rPr>
            <sz val="10"/>
            <color indexed="81"/>
            <rFont val="Lucida Console"/>
            <family val="3"/>
          </rPr>
          <t>DESCRIÇÃO DETALHADA_x000D_
BROCA DE ACO RAPIDO HELICOIDAL DE 1/4" C/ HASTE CILINDRICA</t>
        </r>
      </text>
    </comment>
    <comment ref="G481" authorId="0" shapeId="0" xr:uid="{722423D5-828A-49C7-BA29-5B89EDD7BD01}">
      <text>
        <r>
          <rPr>
            <sz val="10"/>
            <color indexed="81"/>
            <rFont val="Lucida Console"/>
            <family val="3"/>
          </rPr>
          <t>_x000D_
Últ estimativa : 1.500_x000D_
Enviada em     : 24.11.2020_x000D_
Ata - Venc     : 55/20 - 12.03.2021</t>
        </r>
      </text>
    </comment>
    <comment ref="O481" authorId="0" shapeId="0" xr:uid="{C6BD65AA-CE1B-403B-B2D7-D07FA0507CAE}">
      <text>
        <r>
          <rPr>
            <sz val="10"/>
            <color indexed="81"/>
            <rFont val="Lucida Console"/>
            <family val="3"/>
          </rPr>
          <t>_x000D_
Pertencia a ATA nº 55/20_x000D_
Estimativa de Renovação enviada em 24.11.2020 - Qtd 1.500_x000D_
PE   2/20 lote _x000D_
23.04.20 = Processo conferido, finalizado.</t>
        </r>
      </text>
    </comment>
    <comment ref="W481" authorId="0" shapeId="0" xr:uid="{4E76EC04-88EC-42E9-8A37-E0D8FE5EE407}">
      <text>
        <r>
          <rPr>
            <sz val="10"/>
            <color indexed="81"/>
            <rFont val="Lucida Console"/>
            <family val="3"/>
          </rPr>
          <t>_x000D_
DM-Serralheria</t>
        </r>
      </text>
    </comment>
    <comment ref="X481" authorId="0" shapeId="0" xr:uid="{ED8867E0-4E75-4B15-85C5-679DEDD39CE3}">
      <text>
        <r>
          <rPr>
            <sz val="10"/>
            <color indexed="81"/>
            <rFont val="Lucida Console"/>
            <family val="3"/>
          </rPr>
          <t>_x000D_
FERRAMENTAS MAQ.FERRAMENTAS,ELETR.PECAS E ACESSORI</t>
        </r>
      </text>
    </comment>
    <comment ref="Y481" authorId="0" shapeId="0" xr:uid="{2ACE7F4E-1C6A-4F3C-A03A-14B400511545}">
      <text>
        <r>
          <rPr>
            <sz val="10"/>
            <color indexed="81"/>
            <rFont val="Lucida Console"/>
            <family val="3"/>
          </rPr>
          <t>_x000D_
BROCAS</t>
        </r>
      </text>
    </comment>
    <comment ref="AW481" authorId="0" shapeId="0" xr:uid="{F6589064-C2F7-4C32-BDF4-3D9A66E24E61}">
      <text>
        <r>
          <rPr>
            <sz val="10"/>
            <color indexed="81"/>
            <rFont val="Lucida Console"/>
            <family val="3"/>
          </rPr>
          <t>Tempo de Estoque (Meses)_x000D_
_x000D_
47,0</t>
        </r>
      </text>
    </comment>
    <comment ref="A482" authorId="0" shapeId="0" xr:uid="{688CD732-A7BA-4B90-B0B5-B7113B9F8826}">
      <text>
        <r>
          <rPr>
            <sz val="10"/>
            <color indexed="81"/>
            <rFont val="Lucida Console"/>
            <family val="3"/>
          </rPr>
          <t>_x000D_
40251</t>
        </r>
      </text>
    </comment>
    <comment ref="B482" authorId="0" shapeId="0" xr:uid="{585224E4-894C-4C55-9EEB-839FF233E34C}">
      <text>
        <r>
          <rPr>
            <sz val="10"/>
            <color indexed="81"/>
            <rFont val="Lucida Console"/>
            <family val="3"/>
          </rPr>
          <t>DESCRIÇÃO DETALHADA_x000D_
DISCO DIAMANTADO (SECO) - DIAMETRO EXTERNO 110 MM E FURO 20MM - CONFORME NORMAS ABNT</t>
        </r>
      </text>
    </comment>
    <comment ref="G482" authorId="0" shapeId="0" xr:uid="{EF01E742-7518-4298-BAA4-EE8C5C72DF9F}">
      <text>
        <r>
          <rPr>
            <sz val="10"/>
            <color indexed="81"/>
            <rFont val="Lucida Console"/>
            <family val="3"/>
          </rPr>
          <t>_x000D_
Últ estimativa : 800_x000D_
Enviada em     : 24.11.2020_x000D_
Ata - Venc     : 55/20 - 12.03.2021</t>
        </r>
      </text>
    </comment>
    <comment ref="O482" authorId="0" shapeId="0" xr:uid="{9DEAB79A-4270-407B-8A16-CAC5C249C7E0}">
      <text>
        <r>
          <rPr>
            <sz val="10"/>
            <color indexed="81"/>
            <rFont val="Lucida Console"/>
            <family val="3"/>
          </rPr>
          <t>_x000D_
Pertencia a ATA nº 55/20_x000D_
Estimativa de Renovação enviada em 24.11.2020 - Qtd 800_x000D_
PE   2/20 lote 17_x000D_
23.04.20 = Processo conferido, finalizado.</t>
        </r>
      </text>
    </comment>
    <comment ref="W482" authorId="0" shapeId="0" xr:uid="{7F8F494F-8AC4-487D-9522-31B10AC9E2AE}">
      <text>
        <r>
          <rPr>
            <sz val="10"/>
            <color indexed="81"/>
            <rFont val="Lucida Console"/>
            <family val="3"/>
          </rPr>
          <t>_x000D_
DM-Serralheria</t>
        </r>
      </text>
    </comment>
    <comment ref="X482" authorId="0" shapeId="0" xr:uid="{DC343152-C5AB-4C9C-8C8F-3BFA2150FC87}">
      <text>
        <r>
          <rPr>
            <sz val="10"/>
            <color indexed="81"/>
            <rFont val="Lucida Console"/>
            <family val="3"/>
          </rPr>
          <t>_x000D_
ABRASIVOS</t>
        </r>
      </text>
    </comment>
    <comment ref="Y482" authorId="0" shapeId="0" xr:uid="{502FBB42-61B4-42A1-B017-C4A0520D4ED9}">
      <text>
        <r>
          <rPr>
            <sz val="10"/>
            <color indexed="81"/>
            <rFont val="Lucida Console"/>
            <family val="3"/>
          </rPr>
          <t>_x000D_
DISCO DE FIBRA</t>
        </r>
      </text>
    </comment>
    <comment ref="AW482" authorId="0" shapeId="0" xr:uid="{8730AC83-1B6F-42E1-B2AD-AEE58F913FC1}">
      <text>
        <r>
          <rPr>
            <sz val="10"/>
            <color indexed="81"/>
            <rFont val="Lucida Console"/>
            <family val="3"/>
          </rPr>
          <t>Tempo de Estoque (Meses)_x000D_
_x000D_
0,0</t>
        </r>
      </text>
    </comment>
    <comment ref="A483" authorId="0" shapeId="0" xr:uid="{98B7F0D9-118E-4F86-A9FD-64403EC35613}">
      <text>
        <r>
          <rPr>
            <sz val="10"/>
            <color indexed="81"/>
            <rFont val="Lucida Console"/>
            <family val="3"/>
          </rPr>
          <t>_x000D_
122305</t>
        </r>
      </text>
    </comment>
    <comment ref="B483" authorId="0" shapeId="0" xr:uid="{F78891D9-4BBA-4C3D-9708-E1A46E16C681}">
      <text>
        <r>
          <rPr>
            <sz val="10"/>
            <color indexed="81"/>
            <rFont val="Lucida Console"/>
            <family val="3"/>
          </rPr>
          <t>DESCRIÇÃO DETALHADA_x000D_
DISCO DE CORTE 4 1/2" DE DIAMETRO EXTERNO, 1/8" DE ESPESSURA E 7/8" DE DIAMETRO DE FURO</t>
        </r>
      </text>
    </comment>
    <comment ref="G483" authorId="0" shapeId="0" xr:uid="{DE523EA5-A093-4AEE-867D-DD170ECA12FF}">
      <text>
        <r>
          <rPr>
            <sz val="10"/>
            <color indexed="81"/>
            <rFont val="Lucida Console"/>
            <family val="3"/>
          </rPr>
          <t>_x000D_
Últ estimativa : 600_x000D_
Enviada em     : 24.11.2020_x000D_
Ata - Venc     : 55/20 - 12.03.2021</t>
        </r>
      </text>
    </comment>
    <comment ref="O483" authorId="0" shapeId="0" xr:uid="{9E78B739-31B0-452E-A2EC-42407834C079}">
      <text>
        <r>
          <rPr>
            <sz val="10"/>
            <color indexed="81"/>
            <rFont val="Lucida Console"/>
            <family val="3"/>
          </rPr>
          <t>_x000D_
Pertencia a ATA nº 55/20_x000D_
Estimativa de Renovação enviada em 24.11.2020 - Qtd 600_x000D_
PE   2/20 lote 24_x000D_
23.04.20 = Processo conferido, finalizado.</t>
        </r>
      </text>
    </comment>
    <comment ref="W483" authorId="0" shapeId="0" xr:uid="{EE91F432-089F-4E0C-9061-B92B1BAEB869}">
      <text>
        <r>
          <rPr>
            <sz val="10"/>
            <color indexed="81"/>
            <rFont val="Lucida Console"/>
            <family val="3"/>
          </rPr>
          <t>_x000D_
DM-Serralheria</t>
        </r>
      </text>
    </comment>
    <comment ref="X483" authorId="0" shapeId="0" xr:uid="{FA259BB8-8B63-4041-B915-E340C32B4D13}">
      <text>
        <r>
          <rPr>
            <sz val="10"/>
            <color indexed="81"/>
            <rFont val="Lucida Console"/>
            <family val="3"/>
          </rPr>
          <t>_x000D_
ABRASIVOS</t>
        </r>
      </text>
    </comment>
    <comment ref="Y483" authorId="0" shapeId="0" xr:uid="{318F89B6-D5E2-4C32-B14C-8945616C7EBF}">
      <text>
        <r>
          <rPr>
            <sz val="10"/>
            <color indexed="81"/>
            <rFont val="Lucida Console"/>
            <family val="3"/>
          </rPr>
          <t>_x000D_
DISCO DE FIBRA</t>
        </r>
      </text>
    </comment>
    <comment ref="AW483" authorId="0" shapeId="0" xr:uid="{BB78E4A0-77E2-4934-A488-4F67F217D84A}">
      <text>
        <r>
          <rPr>
            <sz val="10"/>
            <color indexed="81"/>
            <rFont val="Lucida Console"/>
            <family val="3"/>
          </rPr>
          <t>Tempo de Estoque (Meses)_x000D_
_x000D_
426,0</t>
        </r>
      </text>
    </comment>
    <comment ref="A484" authorId="0" shapeId="0" xr:uid="{3DA46C84-D0CC-499A-B289-D9F11C166590}">
      <text>
        <r>
          <rPr>
            <sz val="10"/>
            <color indexed="81"/>
            <rFont val="Lucida Console"/>
            <family val="3"/>
          </rPr>
          <t>_x000D_
101891</t>
        </r>
      </text>
    </comment>
    <comment ref="B484" authorId="0" shapeId="0" xr:uid="{8875EBC0-8BD6-4A6E-A386-D45C5747F395}">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484" authorId="0" shapeId="0" xr:uid="{18788408-0ED8-4670-B9CB-8D9956E259ED}">
      <text>
        <r>
          <rPr>
            <sz val="10"/>
            <color indexed="81"/>
            <rFont val="Lucida Console"/>
            <family val="3"/>
          </rPr>
          <t>_x000D_
Últ estimativa : 20_x000D_
Enviada em     : 23.09.2020_x000D_
Ata - Venc     : 58/21 - 02.03.2022</t>
        </r>
      </text>
    </comment>
    <comment ref="O484" authorId="0" shapeId="0" xr:uid="{775CBD8A-696C-41D5-B4EC-01B13119B50B}">
      <text>
        <r>
          <rPr>
            <sz val="10"/>
            <color indexed="81"/>
            <rFont val="Lucida Console"/>
            <family val="3"/>
          </rPr>
          <t>_x000D_
Pertencia a ATA nº 58/21_x000D_
Estimativa de Renovação enviada em 23.09.2020 - Qtd 20_x000D_
PE   5/21 lote _x000D_
02.02.21 = Finalizado</t>
        </r>
      </text>
    </comment>
    <comment ref="W484" authorId="0" shapeId="0" xr:uid="{5E956638-1315-4907-A2D9-09D1B8AE7185}">
      <text>
        <r>
          <rPr>
            <sz val="10"/>
            <color indexed="81"/>
            <rFont val="Lucida Console"/>
            <family val="3"/>
          </rPr>
          <t>_x000D_
DM-Elétrica</t>
        </r>
      </text>
    </comment>
    <comment ref="X484" authorId="0" shapeId="0" xr:uid="{437C8255-7866-4F9D-999A-D177CAB4D1D5}">
      <text>
        <r>
          <rPr>
            <sz val="10"/>
            <color indexed="81"/>
            <rFont val="Lucida Console"/>
            <family val="3"/>
          </rPr>
          <t>_x000D_
EQUIP. MAT. P/ GERACAO, TRANSM. DISTR. RETIF...</t>
        </r>
      </text>
    </comment>
    <comment ref="Y484" authorId="0" shapeId="0" xr:uid="{A2741FEC-4D83-4F5D-9E18-9B65D6546561}">
      <text>
        <r>
          <rPr>
            <sz val="10"/>
            <color indexed="81"/>
            <rFont val="Lucida Console"/>
            <family val="3"/>
          </rPr>
          <t>_x000D_
SISTEMAS DE PROTECAO</t>
        </r>
      </text>
    </comment>
    <comment ref="AW484" authorId="0" shapeId="0" xr:uid="{BFB10DC8-2213-4C8D-8E6C-90C817834C88}">
      <text>
        <r>
          <rPr>
            <sz val="10"/>
            <color indexed="81"/>
            <rFont val="Lucida Console"/>
            <family val="3"/>
          </rPr>
          <t>Tempo de Estoque (Meses)_x000D_
_x000D_
33,0</t>
        </r>
      </text>
    </comment>
    <comment ref="A485" authorId="0" shapeId="0" xr:uid="{CAFE3E9E-EE62-45CE-A100-9F495C6F8FA0}">
      <text>
        <r>
          <rPr>
            <sz val="10"/>
            <color indexed="81"/>
            <rFont val="Lucida Console"/>
            <family val="3"/>
          </rPr>
          <t>_x000D_
133301</t>
        </r>
      </text>
    </comment>
    <comment ref="B485" authorId="0" shapeId="0" xr:uid="{3947CEDE-711B-4D31-82DD-1D39C65259DF}">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485" authorId="0" shapeId="0" xr:uid="{D17AB77B-4AB5-4ED4-AEC3-50579941C4B2}">
      <text>
        <r>
          <rPr>
            <sz val="10"/>
            <color indexed="81"/>
            <rFont val="Lucida Console"/>
            <family val="3"/>
          </rPr>
          <t>_x000D_
Últ estimativa : 0_x000D_
Enviada em     : 23.09.2020_x000D_
Ata - Venc     : 58/21 - 02.03.2022</t>
        </r>
      </text>
    </comment>
    <comment ref="O485" authorId="0" shapeId="0" xr:uid="{2457EDB9-6408-4490-A838-318F01E970E5}">
      <text>
        <r>
          <rPr>
            <sz val="10"/>
            <color indexed="81"/>
            <rFont val="Lucida Console"/>
            <family val="3"/>
          </rPr>
          <t>_x000D_
Pertencia a ATA nº 58/21_x000D_
Estimativa de Renovação enviada em 23.09.2020 - Qtd _x000D_
PE   5/21 lote _x000D_
02.02.21 = Finalizado</t>
        </r>
      </text>
    </comment>
    <comment ref="W485" authorId="0" shapeId="0" xr:uid="{49D9A29D-D5F6-45E8-9312-1412A7CBB156}">
      <text>
        <r>
          <rPr>
            <sz val="10"/>
            <color indexed="81"/>
            <rFont val="Lucida Console"/>
            <family val="3"/>
          </rPr>
          <t>_x000D_
DM-Elétrica</t>
        </r>
      </text>
    </comment>
    <comment ref="X485" authorId="0" shapeId="0" xr:uid="{FBD4B645-D73B-44BC-A350-5304E962B942}">
      <text>
        <r>
          <rPr>
            <sz val="10"/>
            <color indexed="81"/>
            <rFont val="Lucida Console"/>
            <family val="3"/>
          </rPr>
          <t>_x000D_
EQUIP. MAT. P/ GERACAO, TRANSM. DISTR. RETIF...</t>
        </r>
      </text>
    </comment>
    <comment ref="Y485" authorId="0" shapeId="0" xr:uid="{2B2A88CC-F0E2-433A-869F-F49BEAD5BADF}">
      <text>
        <r>
          <rPr>
            <sz val="10"/>
            <color indexed="81"/>
            <rFont val="Lucida Console"/>
            <family val="3"/>
          </rPr>
          <t>_x000D_
ACESSORIOS</t>
        </r>
      </text>
    </comment>
    <comment ref="AW485" authorId="0" shapeId="0" xr:uid="{436A1D78-56C7-46C9-A1DC-468D525FF879}">
      <text>
        <r>
          <rPr>
            <sz val="10"/>
            <color indexed="81"/>
            <rFont val="Lucida Console"/>
            <family val="3"/>
          </rPr>
          <t>Tempo de Estoque (Meses)_x000D_
_x000D_
7.000,0</t>
        </r>
      </text>
    </comment>
    <comment ref="A486" authorId="0" shapeId="0" xr:uid="{C0F8D7F1-544A-4507-8A9E-AA5862A0B948}">
      <text>
        <r>
          <rPr>
            <sz val="10"/>
            <color indexed="81"/>
            <rFont val="Lucida Console"/>
            <family val="3"/>
          </rPr>
          <t>_x000D_
113634</t>
        </r>
      </text>
    </comment>
    <comment ref="B486" authorId="0" shapeId="0" xr:uid="{A851266B-A83F-4FE6-A750-0D5C15E1F18F}">
      <text>
        <r>
          <rPr>
            <sz val="10"/>
            <color indexed="81"/>
            <rFont val="Lucida Console"/>
            <family val="3"/>
          </rPr>
          <t>DESCRIÇÃO DETALHADA_x000D_
CAIXA DE PASSAGEM EM CHAPA METALICA DE SOBREPOR COM TAMPA TAMANHO 30 X 30 X 10 CM (PROFUNDIDADE)</t>
        </r>
      </text>
    </comment>
    <comment ref="G486" authorId="0" shapeId="0" xr:uid="{6F33BFC4-43BE-4BE6-8B22-57AC9F100C8A}">
      <text>
        <r>
          <rPr>
            <sz val="10"/>
            <color indexed="81"/>
            <rFont val="Lucida Console"/>
            <family val="3"/>
          </rPr>
          <t>_x000D_
Últ estimativa : 0_x000D_
Enviada em     : 23.09.2020_x000D_
Ata - Venc     : 58/21 - 02.03.2022</t>
        </r>
      </text>
    </comment>
    <comment ref="O486" authorId="0" shapeId="0" xr:uid="{46DEAD72-C019-49F9-835D-2D61F3925D60}">
      <text>
        <r>
          <rPr>
            <sz val="10"/>
            <color indexed="81"/>
            <rFont val="Lucida Console"/>
            <family val="3"/>
          </rPr>
          <t>_x000D_
Pertencia a ATA nº 58/21_x000D_
Estimativa de Renovação enviada em 23.09.2020 - Qtd _x000D_
PE   5/21 lote _x000D_
02.02.21 = Finalizado</t>
        </r>
      </text>
    </comment>
    <comment ref="W486" authorId="0" shapeId="0" xr:uid="{240DB750-CB7E-49A1-AE45-5D72ECCE4282}">
      <text>
        <r>
          <rPr>
            <sz val="10"/>
            <color indexed="81"/>
            <rFont val="Lucida Console"/>
            <family val="3"/>
          </rPr>
          <t>_x000D_
DM-Elétrica</t>
        </r>
      </text>
    </comment>
    <comment ref="X486" authorId="0" shapeId="0" xr:uid="{52C9366A-DEC9-4883-B064-CC75EBBA0AD6}">
      <text>
        <r>
          <rPr>
            <sz val="10"/>
            <color indexed="81"/>
            <rFont val="Lucida Console"/>
            <family val="3"/>
          </rPr>
          <t>_x000D_
EQUIP. MAT. P/ GERACAO, TRANSM. DISTR. RETIF...</t>
        </r>
      </text>
    </comment>
    <comment ref="Y486" authorId="0" shapeId="0" xr:uid="{3EC15DC9-850E-4CFB-9B19-76AFB5C666DB}">
      <text>
        <r>
          <rPr>
            <sz val="10"/>
            <color indexed="81"/>
            <rFont val="Lucida Console"/>
            <family val="3"/>
          </rPr>
          <t>_x000D_
CAIXAS</t>
        </r>
      </text>
    </comment>
    <comment ref="AW486" authorId="0" shapeId="0" xr:uid="{D29FE270-A61F-46BC-B96C-9FDACE2BB7F8}">
      <text>
        <r>
          <rPr>
            <sz val="10"/>
            <color indexed="81"/>
            <rFont val="Lucida Console"/>
            <family val="3"/>
          </rPr>
          <t>Tempo de Estoque (Meses)_x000D_
_x000D_
63,0</t>
        </r>
      </text>
    </comment>
    <comment ref="A487" authorId="0" shapeId="0" xr:uid="{947C6E12-FD00-4C49-A4CD-FE7B28E9C3A9}">
      <text>
        <r>
          <rPr>
            <sz val="10"/>
            <color indexed="81"/>
            <rFont val="Lucida Console"/>
            <family val="3"/>
          </rPr>
          <t>_x000D_
14784</t>
        </r>
      </text>
    </comment>
    <comment ref="B487" authorId="0" shapeId="0" xr:uid="{8E2F061C-F799-44BA-B010-B705D6458737}">
      <text>
        <r>
          <rPr>
            <sz val="10"/>
            <color indexed="81"/>
            <rFont val="Lucida Console"/>
            <family val="3"/>
          </rPr>
          <t>DESCRIÇÃO DETALHADA_x000D_
CURVA 90 GRAUS DE ACO CARBONO GALVANIZADO P/ ELETRODUTO ROSQUEAVEL 3/4"</t>
        </r>
      </text>
    </comment>
    <comment ref="G487" authorId="0" shapeId="0" xr:uid="{CCCFEF8E-D2ED-4393-A374-C2264AD4097A}">
      <text>
        <r>
          <rPr>
            <sz val="10"/>
            <color indexed="81"/>
            <rFont val="Lucida Console"/>
            <family val="3"/>
          </rPr>
          <t>_x000D_
Últ estimativa : 300_x000D_
Enviada em     : 23.09.2020_x000D_
Ata - Venc     : 58/21 - 02.03.2022</t>
        </r>
      </text>
    </comment>
    <comment ref="O487" authorId="0" shapeId="0" xr:uid="{8513CAB6-EFF2-4EB2-8DD7-EFE1FF8E37AA}">
      <text>
        <r>
          <rPr>
            <sz val="10"/>
            <color indexed="81"/>
            <rFont val="Lucida Console"/>
            <family val="3"/>
          </rPr>
          <t>_x000D_
Pertencia a ATA nº 58/21_x000D_
Estimativa de Renovação enviada em 23.09.2020 - Qtd 300_x000D_
PE   5/21 lote _x000D_
02.02.21 = Finalizado</t>
        </r>
      </text>
    </comment>
    <comment ref="W487" authorId="0" shapeId="0" xr:uid="{C7CC80C5-1C78-48BA-9589-0EAFFC7B22B7}">
      <text>
        <r>
          <rPr>
            <sz val="10"/>
            <color indexed="81"/>
            <rFont val="Lucida Console"/>
            <family val="3"/>
          </rPr>
          <t>_x000D_
DM-Elétrica</t>
        </r>
      </text>
    </comment>
    <comment ref="X487" authorId="0" shapeId="0" xr:uid="{9321F46C-5F8F-4A9F-910C-40BF7675D757}">
      <text>
        <r>
          <rPr>
            <sz val="10"/>
            <color indexed="81"/>
            <rFont val="Lucida Console"/>
            <family val="3"/>
          </rPr>
          <t>_x000D_
EQUIP. MAT. P/ GERACAO, TRANSM. DISTR. RETIF...</t>
        </r>
      </text>
    </comment>
    <comment ref="Y487" authorId="0" shapeId="0" xr:uid="{45DFF276-88DD-4D47-B641-4729D182CC5C}">
      <text>
        <r>
          <rPr>
            <sz val="10"/>
            <color indexed="81"/>
            <rFont val="Lucida Console"/>
            <family val="3"/>
          </rPr>
          <t>_x000D_
ELETRODUTOS E ACESSORIOS</t>
        </r>
      </text>
    </comment>
    <comment ref="AW487" authorId="0" shapeId="0" xr:uid="{3F179B5D-7899-43BA-ACB5-81E51AE64F5C}">
      <text>
        <r>
          <rPr>
            <sz val="10"/>
            <color indexed="81"/>
            <rFont val="Lucida Console"/>
            <family val="3"/>
          </rPr>
          <t>Tempo de Estoque (Meses)_x000D_
_x000D_
50,0</t>
        </r>
      </text>
    </comment>
    <comment ref="A488" authorId="0" shapeId="0" xr:uid="{3FC9980E-792B-459A-8646-3E665FADF440}">
      <text>
        <r>
          <rPr>
            <sz val="10"/>
            <color indexed="81"/>
            <rFont val="Lucida Console"/>
            <family val="3"/>
          </rPr>
          <t>_x000D_
60889</t>
        </r>
      </text>
    </comment>
    <comment ref="B488" authorId="0" shapeId="0" xr:uid="{A2131738-3894-486F-9E4F-3C5EE2CCC75C}">
      <text>
        <r>
          <rPr>
            <sz val="10"/>
            <color indexed="81"/>
            <rFont val="Lucida Console"/>
            <family val="3"/>
          </rPr>
          <t>DESCRIÇÃO DETALHADA_x000D_
ELETRODUTO DE FERRO GALVANIZADO - 3/4"</t>
        </r>
      </text>
    </comment>
    <comment ref="G488" authorId="0" shapeId="0" xr:uid="{A48EC794-28F1-4270-8BFE-081C81E4B8CD}">
      <text>
        <r>
          <rPr>
            <sz val="10"/>
            <color indexed="81"/>
            <rFont val="Lucida Console"/>
            <family val="3"/>
          </rPr>
          <t>_x000D_
Últ estimativa : 200_x000D_
Enviada em     : 23.09.2020_x000D_
Ata - Venc     : 58/21 - 02.03.2022</t>
        </r>
      </text>
    </comment>
    <comment ref="O488" authorId="0" shapeId="0" xr:uid="{AAD0AF87-C348-45A2-B5BE-406AC7CCCB4E}">
      <text>
        <r>
          <rPr>
            <sz val="10"/>
            <color indexed="81"/>
            <rFont val="Lucida Console"/>
            <family val="3"/>
          </rPr>
          <t>_x000D_
Pertencia a ATA nº 58/21_x000D_
Estimativa de Renovação enviada em 23.09.2020 - Qtd 200_x000D_
PE   5/21 lote _x000D_
02.02.21 = Finalizado</t>
        </r>
      </text>
    </comment>
    <comment ref="W488" authorId="0" shapeId="0" xr:uid="{6DFA02A1-24BA-46FC-9D31-460DD9C3E18E}">
      <text>
        <r>
          <rPr>
            <sz val="10"/>
            <color indexed="81"/>
            <rFont val="Lucida Console"/>
            <family val="3"/>
          </rPr>
          <t>_x000D_
DM-Elétrica</t>
        </r>
      </text>
    </comment>
    <comment ref="X488" authorId="0" shapeId="0" xr:uid="{7BEA059E-E57F-4964-BAC2-2311635FC73D}">
      <text>
        <r>
          <rPr>
            <sz val="10"/>
            <color indexed="81"/>
            <rFont val="Lucida Console"/>
            <family val="3"/>
          </rPr>
          <t>_x000D_
EQUIP. MAT. P/ GERACAO, TRANSM. DISTR. RETIF...</t>
        </r>
      </text>
    </comment>
    <comment ref="Y488" authorId="0" shapeId="0" xr:uid="{F2497482-A9D5-483E-AC0C-F8490901F80D}">
      <text>
        <r>
          <rPr>
            <sz val="10"/>
            <color indexed="81"/>
            <rFont val="Lucida Console"/>
            <family val="3"/>
          </rPr>
          <t>_x000D_
ELETRODUTOS E ACESSORIOS</t>
        </r>
      </text>
    </comment>
    <comment ref="AW488" authorId="0" shapeId="0" xr:uid="{4EF99A3A-067A-4C06-A764-F90F726768B1}">
      <text>
        <r>
          <rPr>
            <sz val="10"/>
            <color indexed="81"/>
            <rFont val="Lucida Console"/>
            <family val="3"/>
          </rPr>
          <t>Tempo de Estoque (Meses)_x000D_
_x000D_
708,0</t>
        </r>
      </text>
    </comment>
    <comment ref="A489" authorId="0" shapeId="0" xr:uid="{51AE5CCA-8405-47BB-BF25-5F87F78C9741}">
      <text>
        <r>
          <rPr>
            <sz val="10"/>
            <color indexed="81"/>
            <rFont val="Lucida Console"/>
            <family val="3"/>
          </rPr>
          <t>_x000D_
99787</t>
        </r>
      </text>
    </comment>
    <comment ref="B489" authorId="0" shapeId="0" xr:uid="{600B995F-C7CD-42CE-B643-96814EFF9962}">
      <text>
        <r>
          <rPr>
            <sz val="10"/>
            <color indexed="81"/>
            <rFont val="Lucida Console"/>
            <family val="3"/>
          </rPr>
          <t>DESCRIÇÃO DETALHADA_x000D_
ELETRODUTO DE ACO CARBONO GALVANIZADO A FOGO - DIAMETRO 1 1/2" - BARRA COM 3 M</t>
        </r>
      </text>
    </comment>
    <comment ref="G489" authorId="0" shapeId="0" xr:uid="{D157E5A7-F6BC-4167-8E21-351A7C1AD67F}">
      <text>
        <r>
          <rPr>
            <sz val="10"/>
            <color indexed="81"/>
            <rFont val="Lucida Console"/>
            <family val="3"/>
          </rPr>
          <t>_x000D_
Últ estimativa : 0_x000D_
Enviada em     : 23.09.2020_x000D_
Ata - Venc     : 58/21 - 02.03.2022</t>
        </r>
      </text>
    </comment>
    <comment ref="O489" authorId="0" shapeId="0" xr:uid="{161D25EE-054A-4601-80B5-8FDF9D9D976F}">
      <text>
        <r>
          <rPr>
            <sz val="10"/>
            <color indexed="81"/>
            <rFont val="Lucida Console"/>
            <family val="3"/>
          </rPr>
          <t>_x000D_
Pertencia a ATA nº 58/21_x000D_
Estimativa de Renovação enviada em 23.09.2020 - Qtd _x000D_
PE   5/21 lote _x000D_
02.02.21 = Finalizado</t>
        </r>
      </text>
    </comment>
    <comment ref="W489" authorId="0" shapeId="0" xr:uid="{62C49191-CD22-4C2F-BB94-8EDBDB648C81}">
      <text>
        <r>
          <rPr>
            <sz val="10"/>
            <color indexed="81"/>
            <rFont val="Lucida Console"/>
            <family val="3"/>
          </rPr>
          <t>_x000D_
DM-Elétrica</t>
        </r>
      </text>
    </comment>
    <comment ref="X489" authorId="0" shapeId="0" xr:uid="{59F15B22-DB5D-4BE1-A455-D4F0DB2504FF}">
      <text>
        <r>
          <rPr>
            <sz val="10"/>
            <color indexed="81"/>
            <rFont val="Lucida Console"/>
            <family val="3"/>
          </rPr>
          <t>_x000D_
EQUIP. MAT. P/ GERACAO, TRANSM. DISTR. RETIF...</t>
        </r>
      </text>
    </comment>
    <comment ref="Y489" authorId="0" shapeId="0" xr:uid="{70CF21A4-2658-4C15-9B76-80F6037E206C}">
      <text>
        <r>
          <rPr>
            <sz val="10"/>
            <color indexed="81"/>
            <rFont val="Lucida Console"/>
            <family val="3"/>
          </rPr>
          <t>_x000D_
ELETRODUTOS E ACESSORIOS</t>
        </r>
      </text>
    </comment>
    <comment ref="AW489" authorId="0" shapeId="0" xr:uid="{DB0F9922-DA0E-40B7-9150-0541B5B4D4FD}">
      <text>
        <r>
          <rPr>
            <sz val="10"/>
            <color indexed="81"/>
            <rFont val="Lucida Console"/>
            <family val="3"/>
          </rPr>
          <t>Tempo de Estoque (Meses)_x000D_
_x000D_
76,0</t>
        </r>
      </text>
    </comment>
    <comment ref="A490" authorId="0" shapeId="0" xr:uid="{BE41A53D-21C5-4A07-9532-A6493736A759}">
      <text>
        <r>
          <rPr>
            <sz val="10"/>
            <color indexed="81"/>
            <rFont val="Lucida Console"/>
            <family val="3"/>
          </rPr>
          <t>_x000D_
15267</t>
        </r>
      </text>
    </comment>
    <comment ref="B490" authorId="0" shapeId="0" xr:uid="{1DF82AEC-7E33-4B46-94AE-A2F9B266D33A}">
      <text>
        <r>
          <rPr>
            <sz val="10"/>
            <color indexed="81"/>
            <rFont val="Lucida Console"/>
            <family val="3"/>
          </rPr>
          <t>DESCRIÇÃO DETALHADA_x000D_
CONECTOR TIPO SPLIT BOLT-SIMPLES/SIMPLES P/ 2 CABOS DE COBRE DE 10MM2</t>
        </r>
      </text>
    </comment>
    <comment ref="G490" authorId="0" shapeId="0" xr:uid="{71D74496-2AD4-44F7-8D0D-F60097C8BE02}">
      <text>
        <r>
          <rPr>
            <sz val="10"/>
            <color indexed="81"/>
            <rFont val="Lucida Console"/>
            <family val="3"/>
          </rPr>
          <t>_x000D_
Últ estimativa : 0_x000D_
Enviada em     : 23.09.2020_x000D_
Ata - Venc     : 58/21 - 02.03.2022</t>
        </r>
      </text>
    </comment>
    <comment ref="O490" authorId="0" shapeId="0" xr:uid="{6500B277-16F6-43E5-AABB-5B2ADDCF0BD4}">
      <text>
        <r>
          <rPr>
            <sz val="10"/>
            <color indexed="81"/>
            <rFont val="Lucida Console"/>
            <family val="3"/>
          </rPr>
          <t>_x000D_
Pertencia a ATA nº 58/21_x000D_
Estimativa de Renovação enviada em 23.09.2020 - Qtd _x000D_
PE   5/21 lote _x000D_
02.02.21 = Finalizado</t>
        </r>
      </text>
    </comment>
    <comment ref="W490" authorId="0" shapeId="0" xr:uid="{1B120291-D111-4B87-9F77-14AB2694525C}">
      <text>
        <r>
          <rPr>
            <sz val="10"/>
            <color indexed="81"/>
            <rFont val="Lucida Console"/>
            <family val="3"/>
          </rPr>
          <t>_x000D_
DM-Elétrica</t>
        </r>
      </text>
    </comment>
    <comment ref="X490" authorId="0" shapeId="0" xr:uid="{E6130A9F-7490-409A-B08B-45EDFA2356AF}">
      <text>
        <r>
          <rPr>
            <sz val="10"/>
            <color indexed="81"/>
            <rFont val="Lucida Console"/>
            <family val="3"/>
          </rPr>
          <t>_x000D_
EQUIP. MAT. P/ GERACAO, TRANSM. DISTR. RETIF...</t>
        </r>
      </text>
    </comment>
    <comment ref="Y490" authorId="0" shapeId="0" xr:uid="{95948CFA-2AD0-4131-B29A-54722A1061C2}">
      <text>
        <r>
          <rPr>
            <sz val="10"/>
            <color indexed="81"/>
            <rFont val="Lucida Console"/>
            <family val="3"/>
          </rPr>
          <t>_x000D_
CONECTORES</t>
        </r>
      </text>
    </comment>
    <comment ref="AW490" authorId="0" shapeId="0" xr:uid="{80031F1B-0901-4095-8CAC-8A30FDBBE481}">
      <text>
        <r>
          <rPr>
            <sz val="10"/>
            <color indexed="81"/>
            <rFont val="Lucida Console"/>
            <family val="3"/>
          </rPr>
          <t>Tempo de Estoque (Meses)_x000D_
_x000D_
43,0</t>
        </r>
      </text>
    </comment>
    <comment ref="A491" authorId="0" shapeId="0" xr:uid="{C11E6452-92FF-4E5A-9187-46EFBC8A750F}">
      <text>
        <r>
          <rPr>
            <sz val="10"/>
            <color indexed="81"/>
            <rFont val="Lucida Console"/>
            <family val="3"/>
          </rPr>
          <t>_x000D_
15668</t>
        </r>
      </text>
    </comment>
    <comment ref="B491" authorId="0" shapeId="0" xr:uid="{85B9767B-8AB3-405C-835B-8196AA149804}">
      <text>
        <r>
          <rPr>
            <sz val="10"/>
            <color indexed="81"/>
            <rFont val="Lucida Console"/>
            <family val="3"/>
          </rPr>
          <t>DESCRIÇÃO DETALHADA_x000D_
TERMINAL DE COMPRESSAO TIPO OLHAL P/ CABO DE COBRE 120MM2C/ 1 FURO DE FIXACAO DE COMPRESSAO</t>
        </r>
      </text>
    </comment>
    <comment ref="G491" authorId="0" shapeId="0" xr:uid="{9D948942-0A3C-44E9-AB36-89702C479A94}">
      <text>
        <r>
          <rPr>
            <sz val="10"/>
            <color indexed="81"/>
            <rFont val="Lucida Console"/>
            <family val="3"/>
          </rPr>
          <t>_x000D_
Últ estimativa : 0_x000D_
Enviada em     : 23.09.2020_x000D_
Ata - Venc     : 58/21 - 02.03.2022</t>
        </r>
      </text>
    </comment>
    <comment ref="O491" authorId="0" shapeId="0" xr:uid="{A9C13BA9-2890-4E87-AA8F-C9E16F388ADD}">
      <text>
        <r>
          <rPr>
            <sz val="10"/>
            <color indexed="81"/>
            <rFont val="Lucida Console"/>
            <family val="3"/>
          </rPr>
          <t>_x000D_
Pertencia a ATA nº 58/21_x000D_
Estimativa de Renovação enviada em 23.09.2020 - Qtd _x000D_
PE   5/21 lote _x000D_
02.02.21 = Finalizado</t>
        </r>
      </text>
    </comment>
    <comment ref="W491" authorId="0" shapeId="0" xr:uid="{9B1F55F8-CC22-4CED-940F-1176B8D7343F}">
      <text>
        <r>
          <rPr>
            <sz val="10"/>
            <color indexed="81"/>
            <rFont val="Lucida Console"/>
            <family val="3"/>
          </rPr>
          <t>_x000D_
DM-Elétrica</t>
        </r>
      </text>
    </comment>
    <comment ref="X491" authorId="0" shapeId="0" xr:uid="{29EAA26A-A3D0-470B-98A0-52688AF2D95A}">
      <text>
        <r>
          <rPr>
            <sz val="10"/>
            <color indexed="81"/>
            <rFont val="Lucida Console"/>
            <family val="3"/>
          </rPr>
          <t>_x000D_
EQUIP. MAT. P/ GERACAO, TRANSM. DISTR. RETIF...</t>
        </r>
      </text>
    </comment>
    <comment ref="Y491" authorId="0" shapeId="0" xr:uid="{962F2741-01EC-42A2-8D7A-288408183AD3}">
      <text>
        <r>
          <rPr>
            <sz val="10"/>
            <color indexed="81"/>
            <rFont val="Lucida Console"/>
            <family val="3"/>
          </rPr>
          <t>_x000D_
TERMINAIS</t>
        </r>
      </text>
    </comment>
    <comment ref="AW491" authorId="0" shapeId="0" xr:uid="{A013F193-D763-4326-B008-1D1190D66388}">
      <text>
        <r>
          <rPr>
            <sz val="10"/>
            <color indexed="81"/>
            <rFont val="Lucida Console"/>
            <family val="3"/>
          </rPr>
          <t>Tempo de Estoque (Meses)_x000D_
_x000D_
239,0</t>
        </r>
      </text>
    </comment>
    <comment ref="A492" authorId="0" shapeId="0" xr:uid="{D4FC0C14-FCA6-46B6-A9DE-A868BA857618}">
      <text>
        <r>
          <rPr>
            <sz val="10"/>
            <color indexed="81"/>
            <rFont val="Lucida Console"/>
            <family val="3"/>
          </rPr>
          <t>_x000D_
15672</t>
        </r>
      </text>
    </comment>
    <comment ref="B492" authorId="0" shapeId="0" xr:uid="{9DE0EDE3-A340-498F-985C-7E435FFA1FF9}">
      <text>
        <r>
          <rPr>
            <sz val="10"/>
            <color indexed="81"/>
            <rFont val="Lucida Console"/>
            <family val="3"/>
          </rPr>
          <t>DESCRIÇÃO DETALHADA_x000D_
TERMINAL DE COMPRESSAO TIPO OLHAL P/ CABO DE COBRE 240MM2C/ 1 FURO DE FIXACAO DE COMPRESSAO</t>
        </r>
      </text>
    </comment>
    <comment ref="G492" authorId="0" shapeId="0" xr:uid="{D14BE806-4759-4FE6-A800-A3E61080AED2}">
      <text>
        <r>
          <rPr>
            <sz val="10"/>
            <color indexed="81"/>
            <rFont val="Lucida Console"/>
            <family val="3"/>
          </rPr>
          <t>_x000D_
Últ estimativa : 0_x000D_
Enviada em     : 23.09.2020_x000D_
Ata - Venc     : 58/21 - 02.03.2022</t>
        </r>
      </text>
    </comment>
    <comment ref="O492" authorId="0" shapeId="0" xr:uid="{ABA0FBD4-CC87-4EEB-8D84-6A3F1715E728}">
      <text>
        <r>
          <rPr>
            <sz val="10"/>
            <color indexed="81"/>
            <rFont val="Lucida Console"/>
            <family val="3"/>
          </rPr>
          <t>_x000D_
Pertencia a ATA nº 58/21_x000D_
Estimativa de Renovação enviada em 23.09.2020 - Qtd _x000D_
PE   5/21 lote _x000D_
02.02.21 = Finalizado</t>
        </r>
      </text>
    </comment>
    <comment ref="W492" authorId="0" shapeId="0" xr:uid="{12160B20-FFDB-4918-AC98-2ABCCA388813}">
      <text>
        <r>
          <rPr>
            <sz val="10"/>
            <color indexed="81"/>
            <rFont val="Lucida Console"/>
            <family val="3"/>
          </rPr>
          <t>_x000D_
DM-Elétrica</t>
        </r>
      </text>
    </comment>
    <comment ref="X492" authorId="0" shapeId="0" xr:uid="{A8753604-185B-49C1-ABD7-642E9E6B6208}">
      <text>
        <r>
          <rPr>
            <sz val="10"/>
            <color indexed="81"/>
            <rFont val="Lucida Console"/>
            <family val="3"/>
          </rPr>
          <t>_x000D_
EQUIP. MAT. P/ GERACAO, TRANSM. DISTR. RETIF...</t>
        </r>
      </text>
    </comment>
    <comment ref="Y492" authorId="0" shapeId="0" xr:uid="{DB661D24-D30C-4884-B9B5-E4114A7BED85}">
      <text>
        <r>
          <rPr>
            <sz val="10"/>
            <color indexed="81"/>
            <rFont val="Lucida Console"/>
            <family val="3"/>
          </rPr>
          <t>_x000D_
TERMINAIS</t>
        </r>
      </text>
    </comment>
    <comment ref="AW492" authorId="0" shapeId="0" xr:uid="{D478E6CC-7677-4EBE-80AD-0476F598A045}">
      <text>
        <r>
          <rPr>
            <sz val="10"/>
            <color indexed="81"/>
            <rFont val="Lucida Console"/>
            <family val="3"/>
          </rPr>
          <t>Tempo de Estoque (Meses)_x000D_
_x000D_
500,0</t>
        </r>
      </text>
    </comment>
    <comment ref="A493" authorId="0" shapeId="0" xr:uid="{584D4195-1AF5-46A5-BFF7-EAF4458CC9F0}">
      <text>
        <r>
          <rPr>
            <sz val="10"/>
            <color indexed="81"/>
            <rFont val="Lucida Console"/>
            <family val="3"/>
          </rPr>
          <t>_x000D_
17299</t>
        </r>
      </text>
    </comment>
    <comment ref="B493" authorId="0" shapeId="0" xr:uid="{86170C1C-FB70-4A6E-8C7F-6C33A84AD297}">
      <text>
        <r>
          <rPr>
            <sz val="10"/>
            <color indexed="81"/>
            <rFont val="Lucida Console"/>
            <family val="3"/>
          </rPr>
          <t>DESCRIÇÃO DETALHADA_x000D_
PAPEL MONOLUCIDO - 120 G/M2 660 X 960 MM  - PACOTE C/ 250FOLHAS</t>
        </r>
      </text>
    </comment>
    <comment ref="G493" authorId="0" shapeId="0" xr:uid="{0646309A-1201-46B1-8212-986915129C0E}">
      <text>
        <r>
          <rPr>
            <sz val="10"/>
            <color indexed="81"/>
            <rFont val="Lucida Console"/>
            <family val="3"/>
          </rPr>
          <t>_x000D_
Últ estimativa : 60_x000D_
Enviada em     : 05.03.2020_x000D_
Ata - Venc     : 61/18 - 12.03.2019</t>
        </r>
      </text>
    </comment>
    <comment ref="O493" authorId="0" shapeId="0" xr:uid="{7B101C11-6C39-40FF-B774-C0BAE2D58FCC}">
      <text>
        <r>
          <rPr>
            <sz val="10"/>
            <color indexed="81"/>
            <rFont val="Lucida Console"/>
            <family val="3"/>
          </rPr>
          <t>_x000D_
Pertencia a ATA nº 61/18_x000D_
Estimativa de Renovação enviada em 05.03.2020 - Qtd 60_x000D_
PE 127/20 lote 24_x000D_
10.08.20 = Finalizado</t>
        </r>
      </text>
    </comment>
    <comment ref="W493" authorId="0" shapeId="0" xr:uid="{733D015D-38C0-4B64-803C-84A25B95AE2B}">
      <text>
        <r>
          <rPr>
            <sz val="10"/>
            <color indexed="81"/>
            <rFont val="Lucida Console"/>
            <family val="3"/>
          </rPr>
          <t>_x000D_
Pedagógico</t>
        </r>
      </text>
    </comment>
    <comment ref="X493" authorId="0" shapeId="0" xr:uid="{7307C7FB-19DE-4CD1-AD98-4BD8B41F1A01}">
      <text>
        <r>
          <rPr>
            <sz val="10"/>
            <color indexed="81"/>
            <rFont val="Lucida Console"/>
            <family val="3"/>
          </rPr>
          <t>_x000D_
MAQ. E EQUIP. P/ IND. GRAFICA COMP. ACESS. E PAPEI</t>
        </r>
      </text>
    </comment>
    <comment ref="Y493" authorId="0" shapeId="0" xr:uid="{BD9870FB-EAD7-46F2-935D-F8CE5721F5A1}">
      <text>
        <r>
          <rPr>
            <sz val="10"/>
            <color indexed="81"/>
            <rFont val="Lucida Console"/>
            <family val="3"/>
          </rPr>
          <t>_x000D_
PAPEIS PARA INDUSTRIA GRAFICA</t>
        </r>
      </text>
    </comment>
    <comment ref="AW493" authorId="0" shapeId="0" xr:uid="{E37A04B3-04E8-438A-9D8A-BF509A4D8DA5}">
      <text>
        <r>
          <rPr>
            <sz val="10"/>
            <color indexed="81"/>
            <rFont val="Lucida Console"/>
            <family val="3"/>
          </rPr>
          <t>Tempo de Estoque (Meses)_x000D_
_x000D_
22,0</t>
        </r>
      </text>
    </comment>
    <comment ref="A494" authorId="0" shapeId="0" xr:uid="{A930DF4A-4589-4827-A629-713527AFD0BC}">
      <text>
        <r>
          <rPr>
            <sz val="10"/>
            <color indexed="81"/>
            <rFont val="Lucida Console"/>
            <family val="3"/>
          </rPr>
          <t>_x000D_
140028</t>
        </r>
      </text>
    </comment>
    <comment ref="B494" authorId="0" shapeId="0" xr:uid="{1373A512-B809-4FCF-B423-E4B120066BBA}">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494" authorId="0" shapeId="0" xr:uid="{0C889A6B-708A-46F3-8DBA-E7499D709727}">
      <text>
        <r>
          <rPr>
            <sz val="10"/>
            <color indexed="81"/>
            <rFont val="Lucida Console"/>
            <family val="3"/>
          </rPr>
          <t>_x000D_
Últ estimativa : 0_x000D_
Enviada em     : 12.11.2020_x000D_
Ata - Venc     : 61/21 - 04.03.2022</t>
        </r>
      </text>
    </comment>
    <comment ref="O494" authorId="0" shapeId="0" xr:uid="{38E0A160-BF99-4EFA-897D-E5A22AC2BF33}">
      <text>
        <r>
          <rPr>
            <sz val="10"/>
            <color indexed="81"/>
            <rFont val="Lucida Console"/>
            <family val="3"/>
          </rPr>
          <t>_x000D_
Pertencia a ATA nº 61/21_x000D_
Estimativa de Renovação enviada em 12.11.2020 - Qtd _x000D_
PE  11/21 lote _x000D_
19.02.21 = Finalizado</t>
        </r>
      </text>
    </comment>
    <comment ref="W494" authorId="0" shapeId="0" xr:uid="{195B286D-DE01-49CB-9FA3-91C7893AFC65}">
      <text>
        <r>
          <rPr>
            <sz val="10"/>
            <color indexed="81"/>
            <rFont val="Lucida Console"/>
            <family val="3"/>
          </rPr>
          <t>_x000D_
DM-Elétrica</t>
        </r>
      </text>
    </comment>
    <comment ref="X494" authorId="0" shapeId="0" xr:uid="{FB906569-E390-4D65-9854-2931CDA6CCFF}">
      <text>
        <r>
          <rPr>
            <sz val="10"/>
            <color indexed="81"/>
            <rFont val="Lucida Console"/>
            <family val="3"/>
          </rPr>
          <t>_x000D_
EQUIP. MAT. P/ GERACAO, TRANSM. DISTR. RETIF...</t>
        </r>
      </text>
    </comment>
    <comment ref="Y494" authorId="0" shapeId="0" xr:uid="{B1CC35C7-8F15-4FF8-A1EF-12CA74BE141F}">
      <text>
        <r>
          <rPr>
            <sz val="10"/>
            <color indexed="81"/>
            <rFont val="Lucida Console"/>
            <family val="3"/>
          </rPr>
          <t>_x000D_
FIOS E CABOS ELETRICOS</t>
        </r>
      </text>
    </comment>
    <comment ref="AW494" authorId="0" shapeId="0" xr:uid="{811500D9-F516-408E-96DC-D3B06B7DAD44}">
      <text>
        <r>
          <rPr>
            <sz val="10"/>
            <color indexed="81"/>
            <rFont val="Lucida Console"/>
            <family val="3"/>
          </rPr>
          <t>Tempo de Estoque (Meses)_x000D_
_x000D_
843,0</t>
        </r>
      </text>
    </comment>
    <comment ref="A495" authorId="0" shapeId="0" xr:uid="{D096DDC6-9C63-43B9-96B4-00DD6E337EDA}">
      <text>
        <r>
          <rPr>
            <sz val="10"/>
            <color indexed="81"/>
            <rFont val="Lucida Console"/>
            <family val="3"/>
          </rPr>
          <t>_x000D_
140030</t>
        </r>
      </text>
    </comment>
    <comment ref="B495" authorId="0" shapeId="0" xr:uid="{3C12DFB6-EA95-43CE-A96A-8708D651CCB7}">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495" authorId="0" shapeId="0" xr:uid="{DC789650-3274-4560-924C-E96AE0DB1522}">
      <text>
        <r>
          <rPr>
            <sz val="10"/>
            <color indexed="81"/>
            <rFont val="Lucida Console"/>
            <family val="3"/>
          </rPr>
          <t>_x000D_
Últ estimativa : 200_x000D_
Enviada em     : 12.11.2020_x000D_
Ata - Venc     : 61/21 - 04.03.2022</t>
        </r>
      </text>
    </comment>
    <comment ref="O495" authorId="0" shapeId="0" xr:uid="{23D82D1C-F441-44A2-A102-2467DB8377BD}">
      <text>
        <r>
          <rPr>
            <sz val="10"/>
            <color indexed="81"/>
            <rFont val="Lucida Console"/>
            <family val="3"/>
          </rPr>
          <t>_x000D_
Pertencia a ATA nº 61/21_x000D_
Estimativa de Renovação enviada em 12.11.2020 - Qtd 200_x000D_
PE  11/21 lote _x000D_
19.02.21 = Finalizado</t>
        </r>
      </text>
    </comment>
    <comment ref="W495" authorId="0" shapeId="0" xr:uid="{A554B6C7-0EA6-4D30-9684-99E1170EBC94}">
      <text>
        <r>
          <rPr>
            <sz val="10"/>
            <color indexed="81"/>
            <rFont val="Lucida Console"/>
            <family val="3"/>
          </rPr>
          <t>_x000D_
DM-Elétrica</t>
        </r>
      </text>
    </comment>
    <comment ref="X495" authorId="0" shapeId="0" xr:uid="{DC7E310D-5446-41B5-B385-1C5283F154C3}">
      <text>
        <r>
          <rPr>
            <sz val="10"/>
            <color indexed="81"/>
            <rFont val="Lucida Console"/>
            <family val="3"/>
          </rPr>
          <t>_x000D_
EQUIP. MAT. P/ GERACAO, TRANSM. DISTR. RETIF...</t>
        </r>
      </text>
    </comment>
    <comment ref="Y495" authorId="0" shapeId="0" xr:uid="{B43E7BD1-0745-4AE4-B2B5-8EAB5A812744}">
      <text>
        <r>
          <rPr>
            <sz val="10"/>
            <color indexed="81"/>
            <rFont val="Lucida Console"/>
            <family val="3"/>
          </rPr>
          <t>_x000D_
FIOS E CABOS ELETRICOS</t>
        </r>
      </text>
    </comment>
    <comment ref="AW495" authorId="0" shapeId="0" xr:uid="{BCA3D07F-FD1C-48E6-A649-D5120A1D8628}">
      <text>
        <r>
          <rPr>
            <sz val="10"/>
            <color indexed="81"/>
            <rFont val="Lucida Console"/>
            <family val="3"/>
          </rPr>
          <t>Tempo de Estoque (Meses)_x000D_
_x000D_
60,0</t>
        </r>
      </text>
    </comment>
    <comment ref="A496" authorId="0" shapeId="0" xr:uid="{147060AD-4A8D-4914-8527-5935EC005B95}">
      <text>
        <r>
          <rPr>
            <sz val="10"/>
            <color indexed="81"/>
            <rFont val="Lucida Console"/>
            <family val="3"/>
          </rPr>
          <t>_x000D_
140032</t>
        </r>
      </text>
    </comment>
    <comment ref="B496" authorId="0" shapeId="0" xr:uid="{6F325972-C416-49BC-BD6D-47F5EC31C578}">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496" authorId="0" shapeId="0" xr:uid="{D16AD864-7B5A-4408-B30C-7B813266A1E8}">
      <text>
        <r>
          <rPr>
            <sz val="10"/>
            <color indexed="81"/>
            <rFont val="Lucida Console"/>
            <family val="3"/>
          </rPr>
          <t>_x000D_
Últ estimativa : 600_x000D_
Enviada em     : 12.11.2020_x000D_
Ata - Venc     : 61/21 - 04.03.2022</t>
        </r>
      </text>
    </comment>
    <comment ref="O496" authorId="0" shapeId="0" xr:uid="{998C977E-DE55-4222-8DE3-52DB80C3876D}">
      <text>
        <r>
          <rPr>
            <sz val="10"/>
            <color indexed="81"/>
            <rFont val="Lucida Console"/>
            <family val="3"/>
          </rPr>
          <t>_x000D_
Pertencia a ATA nº 61/21_x000D_
Estimativa de Renovação enviada em 12.11.2020 - Qtd 600_x000D_
PE  11/21 lote _x000D_
19.02.21 = Finalizado</t>
        </r>
      </text>
    </comment>
    <comment ref="W496" authorId="0" shapeId="0" xr:uid="{D0DA7D0E-38D7-4A22-A04F-19C87ED2A500}">
      <text>
        <r>
          <rPr>
            <sz val="10"/>
            <color indexed="81"/>
            <rFont val="Lucida Console"/>
            <family val="3"/>
          </rPr>
          <t>_x000D_
DM-Elétrica</t>
        </r>
      </text>
    </comment>
    <comment ref="X496" authorId="0" shapeId="0" xr:uid="{FAABD8A2-92B0-4553-AD99-62032CDD27DF}">
      <text>
        <r>
          <rPr>
            <sz val="10"/>
            <color indexed="81"/>
            <rFont val="Lucida Console"/>
            <family val="3"/>
          </rPr>
          <t>_x000D_
EQUIP. MAT. P/ GERACAO, TRANSM. DISTR. RETIF...</t>
        </r>
      </text>
    </comment>
    <comment ref="Y496" authorId="0" shapeId="0" xr:uid="{E8DAA90C-06CF-49B8-BDB6-E75CEC8EF430}">
      <text>
        <r>
          <rPr>
            <sz val="10"/>
            <color indexed="81"/>
            <rFont val="Lucida Console"/>
            <family val="3"/>
          </rPr>
          <t>_x000D_
FIOS E CABOS ELETRICOS</t>
        </r>
      </text>
    </comment>
    <comment ref="AW496" authorId="0" shapeId="0" xr:uid="{6419F628-56B3-4744-93E5-43F28A901461}">
      <text>
        <r>
          <rPr>
            <sz val="10"/>
            <color indexed="81"/>
            <rFont val="Lucida Console"/>
            <family val="3"/>
          </rPr>
          <t>Tempo de Estoque (Meses)_x000D_
_x000D_
444,0</t>
        </r>
      </text>
    </comment>
    <comment ref="A497" authorId="0" shapeId="0" xr:uid="{E1378FE5-9C7B-4153-B64D-28B99B173381}">
      <text>
        <r>
          <rPr>
            <sz val="10"/>
            <color indexed="81"/>
            <rFont val="Lucida Console"/>
            <family val="3"/>
          </rPr>
          <t>_x000D_
140033</t>
        </r>
      </text>
    </comment>
    <comment ref="B497" authorId="0" shapeId="0" xr:uid="{6D50BBF2-B1A0-4520-A6E5-31F60CD5DEF4}">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497" authorId="0" shapeId="0" xr:uid="{F1A62C20-63C8-464D-9031-EE07C9A17134}">
      <text>
        <r>
          <rPr>
            <sz val="10"/>
            <color indexed="81"/>
            <rFont val="Lucida Console"/>
            <family val="3"/>
          </rPr>
          <t>_x000D_
Últ estimativa : 400_x000D_
Enviada em     : 12.11.2020_x000D_
Ata - Venc     : 61/21 - 04.03.2022</t>
        </r>
      </text>
    </comment>
    <comment ref="O497" authorId="0" shapeId="0" xr:uid="{A28EB4DA-94B2-4617-961C-1476A1979B5B}">
      <text>
        <r>
          <rPr>
            <sz val="10"/>
            <color indexed="81"/>
            <rFont val="Lucida Console"/>
            <family val="3"/>
          </rPr>
          <t>_x000D_
Pertencia a ATA nº 61/21_x000D_
Estimativa de Renovação enviada em 12.11.2020 - Qtd 400_x000D_
PE  11/21 lote _x000D_
19.02.21 = Finalizado</t>
        </r>
      </text>
    </comment>
    <comment ref="W497" authorId="0" shapeId="0" xr:uid="{4B8E847E-745D-41CE-9F9F-6B89B92BD525}">
      <text>
        <r>
          <rPr>
            <sz val="10"/>
            <color indexed="81"/>
            <rFont val="Lucida Console"/>
            <family val="3"/>
          </rPr>
          <t>_x000D_
DM-Elétrica</t>
        </r>
      </text>
    </comment>
    <comment ref="X497" authorId="0" shapeId="0" xr:uid="{BF6D296A-FCBC-41F2-91BE-CF056CE57BB9}">
      <text>
        <r>
          <rPr>
            <sz val="10"/>
            <color indexed="81"/>
            <rFont val="Lucida Console"/>
            <family val="3"/>
          </rPr>
          <t>_x000D_
EQUIP. MAT. P/ GERACAO, TRANSM. DISTR. RETIF...</t>
        </r>
      </text>
    </comment>
    <comment ref="Y497" authorId="0" shapeId="0" xr:uid="{45C1ECBA-8C5A-4118-B7B6-F64C1526E1E8}">
      <text>
        <r>
          <rPr>
            <sz val="10"/>
            <color indexed="81"/>
            <rFont val="Lucida Console"/>
            <family val="3"/>
          </rPr>
          <t>_x000D_
FIOS E CABOS ELETRICOS</t>
        </r>
      </text>
    </comment>
    <comment ref="AW497" authorId="0" shapeId="0" xr:uid="{3F7C081E-8808-434E-9B94-1D8681429C9F}">
      <text>
        <r>
          <rPr>
            <sz val="10"/>
            <color indexed="81"/>
            <rFont val="Lucida Console"/>
            <family val="3"/>
          </rPr>
          <t>Tempo de Estoque (Meses)_x000D_
_x000D_
235,0</t>
        </r>
      </text>
    </comment>
    <comment ref="A498" authorId="0" shapeId="0" xr:uid="{B16D5896-DCB6-4C7D-AC82-54DE6454DE81}">
      <text>
        <r>
          <rPr>
            <sz val="10"/>
            <color indexed="81"/>
            <rFont val="Lucida Console"/>
            <family val="3"/>
          </rPr>
          <t>_x000D_
140035</t>
        </r>
      </text>
    </comment>
    <comment ref="B498" authorId="0" shapeId="0" xr:uid="{476ABFA5-38B3-4241-BDEF-E68A40400539}">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498" authorId="0" shapeId="0" xr:uid="{1C67D453-FF75-4DA7-9F1B-0CD8BB4C94AE}">
      <text>
        <r>
          <rPr>
            <sz val="10"/>
            <color indexed="81"/>
            <rFont val="Lucida Console"/>
            <family val="3"/>
          </rPr>
          <t>_x000D_
Últ estimativa : 101_x000D_
Enviada em     : 12.11.2020_x000D_
Ata - Venc     : 61/21 - 04.03.2022</t>
        </r>
      </text>
    </comment>
    <comment ref="O498" authorId="0" shapeId="0" xr:uid="{C73F8B98-B61F-49C4-B816-F5992440FECB}">
      <text>
        <r>
          <rPr>
            <sz val="10"/>
            <color indexed="81"/>
            <rFont val="Lucida Console"/>
            <family val="3"/>
          </rPr>
          <t>_x000D_
Pertencia a ATA nº 61/21_x000D_
Estimativa de Renovação enviada em 12.11.2020 - Qtd 101_x000D_
PE  11/21 lote _x000D_
19.02.21 = Finalizado</t>
        </r>
      </text>
    </comment>
    <comment ref="W498" authorId="0" shapeId="0" xr:uid="{422CDF5C-F15F-406B-8C22-7F27F5256630}">
      <text>
        <r>
          <rPr>
            <sz val="10"/>
            <color indexed="81"/>
            <rFont val="Lucida Console"/>
            <family val="3"/>
          </rPr>
          <t>_x000D_
DM-Elétrica</t>
        </r>
      </text>
    </comment>
    <comment ref="X498" authorId="0" shapeId="0" xr:uid="{C97B64FC-9690-497D-8B97-19C50F641C53}">
      <text>
        <r>
          <rPr>
            <sz val="10"/>
            <color indexed="81"/>
            <rFont val="Lucida Console"/>
            <family val="3"/>
          </rPr>
          <t>_x000D_
EQUIP. MAT. P/ GERACAO, TRANSM. DISTR. RETIF...</t>
        </r>
      </text>
    </comment>
    <comment ref="Y498" authorId="0" shapeId="0" xr:uid="{0C937950-D4B6-4AAD-B6FF-3F3FA8741069}">
      <text>
        <r>
          <rPr>
            <sz val="10"/>
            <color indexed="81"/>
            <rFont val="Lucida Console"/>
            <family val="3"/>
          </rPr>
          <t>_x000D_
FIOS E CABOS ELETRICOS</t>
        </r>
      </text>
    </comment>
    <comment ref="AW498" authorId="0" shapeId="0" xr:uid="{9E6B3A72-2DD6-4F1C-A544-7C37071E8397}">
      <text>
        <r>
          <rPr>
            <sz val="10"/>
            <color indexed="81"/>
            <rFont val="Lucida Console"/>
            <family val="3"/>
          </rPr>
          <t>Tempo de Estoque (Meses)_x000D_
_x000D_
11,0</t>
        </r>
      </text>
    </comment>
    <comment ref="A499" authorId="0" shapeId="0" xr:uid="{B94FCC95-6C10-4187-873C-7F6646488E72}">
      <text>
        <r>
          <rPr>
            <sz val="10"/>
            <color indexed="81"/>
            <rFont val="Lucida Console"/>
            <family val="3"/>
          </rPr>
          <t>_x000D_
140036</t>
        </r>
      </text>
    </comment>
    <comment ref="B499" authorId="0" shapeId="0" xr:uid="{56D45C9A-3929-4F20-906C-4DF78244DDCC}">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499" authorId="0" shapeId="0" xr:uid="{E8B82F66-7AF2-4B02-8292-33E5208BD04C}">
      <text>
        <r>
          <rPr>
            <sz val="10"/>
            <color indexed="81"/>
            <rFont val="Lucida Console"/>
            <family val="3"/>
          </rPr>
          <t>_x000D_
Últ estimativa : 360_x000D_
Enviada em     : 12.11.2020_x000D_
Ata - Venc     : 61/21 - 04.03.2022</t>
        </r>
      </text>
    </comment>
    <comment ref="O499" authorId="0" shapeId="0" xr:uid="{4E9F6BFA-A70C-4C61-84BE-8B8A2FF4AD3C}">
      <text>
        <r>
          <rPr>
            <sz val="10"/>
            <color indexed="81"/>
            <rFont val="Lucida Console"/>
            <family val="3"/>
          </rPr>
          <t xml:space="preserve">_x000D_
Pertencia a ATA nº 61/21_x000D_
Estimativa de Renovação enviada em 12.11.2020 - Qtd 360_x000D_
PE  31/22 lote _x000D_
 = </t>
        </r>
      </text>
    </comment>
    <comment ref="W499" authorId="0" shapeId="0" xr:uid="{4A07E87F-AF9B-4B85-830E-967D650DE557}">
      <text>
        <r>
          <rPr>
            <sz val="10"/>
            <color indexed="81"/>
            <rFont val="Lucida Console"/>
            <family val="3"/>
          </rPr>
          <t>_x000D_
DM-Elétrica</t>
        </r>
      </text>
    </comment>
    <comment ref="X499" authorId="0" shapeId="0" xr:uid="{1A4E2546-C935-443A-A4FC-08BDBA978A57}">
      <text>
        <r>
          <rPr>
            <sz val="10"/>
            <color indexed="81"/>
            <rFont val="Lucida Console"/>
            <family val="3"/>
          </rPr>
          <t>_x000D_
EQUIP. MAT. P/ GERACAO, TRANSM. DISTR. RETIF...</t>
        </r>
      </text>
    </comment>
    <comment ref="Y499" authorId="0" shapeId="0" xr:uid="{79959665-D216-45C3-8288-1F2152C58B5C}">
      <text>
        <r>
          <rPr>
            <sz val="10"/>
            <color indexed="81"/>
            <rFont val="Lucida Console"/>
            <family val="3"/>
          </rPr>
          <t>_x000D_
FIOS E CABOS ELETRICOS</t>
        </r>
      </text>
    </comment>
    <comment ref="Z499" authorId="0" shapeId="0" xr:uid="{02F835A4-2CE2-4C89-96EE-EDFE515DB577}">
      <text>
        <r>
          <rPr>
            <sz val="10"/>
            <color indexed="81"/>
            <rFont val="Lucida Console"/>
            <family val="3"/>
          </rPr>
          <t>_x000D_
RC  1.376 / 23  Qtde: 19_x000D_
RC  2.375 / 23  Qtde: 150</t>
        </r>
      </text>
    </comment>
    <comment ref="AW499" authorId="0" shapeId="0" xr:uid="{A45B3738-F63D-4C9A-8393-D7B4FB478E85}">
      <text>
        <r>
          <rPr>
            <sz val="10"/>
            <color indexed="81"/>
            <rFont val="Lucida Console"/>
            <family val="3"/>
          </rPr>
          <t>Tempo de Estoque (Meses)_x000D_
_x000D_
169,0</t>
        </r>
      </text>
    </comment>
    <comment ref="A500" authorId="0" shapeId="0" xr:uid="{E93F635F-3A5B-4DA9-B787-D43B2B0247B4}">
      <text>
        <r>
          <rPr>
            <sz val="10"/>
            <color indexed="81"/>
            <rFont val="Lucida Console"/>
            <family val="3"/>
          </rPr>
          <t>_x000D_
140038</t>
        </r>
      </text>
    </comment>
    <comment ref="B500" authorId="0" shapeId="0" xr:uid="{D467BC06-BC19-442F-ABBF-D62334619817}">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500" authorId="0" shapeId="0" xr:uid="{E650B6D5-28CE-4E1B-BA26-CB63369B8A47}">
      <text>
        <r>
          <rPr>
            <sz val="10"/>
            <color indexed="81"/>
            <rFont val="Lucida Console"/>
            <family val="3"/>
          </rPr>
          <t>_x000D_
Últ estimativa : 200_x000D_
Enviada em     : 12.11.2020_x000D_
Ata - Venc     : 61/21 - 04.03.2022</t>
        </r>
      </text>
    </comment>
    <comment ref="O500" authorId="0" shapeId="0" xr:uid="{41BD25CD-ACC9-469A-BD36-564BE881AC58}">
      <text>
        <r>
          <rPr>
            <sz val="10"/>
            <color indexed="81"/>
            <rFont val="Lucida Console"/>
            <family val="3"/>
          </rPr>
          <t>_x000D_
Pertencia a ATA nº 61/21_x000D_
Estimativa de Renovação enviada em 12.11.2020 - Qtd 200_x000D_
PE  11/21 lote _x000D_
19.02.21 = Finalizado</t>
        </r>
      </text>
    </comment>
    <comment ref="W500" authorId="0" shapeId="0" xr:uid="{FAEEDBCD-9DC2-4DE2-B2A5-8DD043007411}">
      <text>
        <r>
          <rPr>
            <sz val="10"/>
            <color indexed="81"/>
            <rFont val="Lucida Console"/>
            <family val="3"/>
          </rPr>
          <t>_x000D_
DM-Elétrica</t>
        </r>
      </text>
    </comment>
    <comment ref="X500" authorId="0" shapeId="0" xr:uid="{EF1B1552-48FA-41B8-ADA8-71C9AECDD7A7}">
      <text>
        <r>
          <rPr>
            <sz val="10"/>
            <color indexed="81"/>
            <rFont val="Lucida Console"/>
            <family val="3"/>
          </rPr>
          <t>_x000D_
EQUIP. MAT. P/ GERACAO, TRANSM. DISTR. RETIF...</t>
        </r>
      </text>
    </comment>
    <comment ref="Y500" authorId="0" shapeId="0" xr:uid="{93DF7403-E4ED-4B38-8198-91331A1DA848}">
      <text>
        <r>
          <rPr>
            <sz val="10"/>
            <color indexed="81"/>
            <rFont val="Lucida Console"/>
            <family val="3"/>
          </rPr>
          <t>_x000D_
FIOS E CABOS ELETRICOS</t>
        </r>
      </text>
    </comment>
    <comment ref="Z500" authorId="0" shapeId="0" xr:uid="{EB55BB3F-9D63-4958-9B26-139FD7AB0C9A}">
      <text>
        <r>
          <rPr>
            <sz val="10"/>
            <color indexed="81"/>
            <rFont val="Lucida Console"/>
            <family val="3"/>
          </rPr>
          <t>_x000D_
RC  1.376 / 23  Qtde: 29_x000D_
RC  2.383 / 23  Qtde: 50</t>
        </r>
      </text>
    </comment>
    <comment ref="AW500" authorId="0" shapeId="0" xr:uid="{BEC0D908-AE17-4FEC-9DBF-1046E5242625}">
      <text>
        <r>
          <rPr>
            <sz val="10"/>
            <color indexed="81"/>
            <rFont val="Lucida Console"/>
            <family val="3"/>
          </rPr>
          <t>Tempo de Estoque (Meses)_x000D_
_x000D_
79,0</t>
        </r>
      </text>
    </comment>
    <comment ref="A501" authorId="0" shapeId="0" xr:uid="{6C5E119E-D068-4182-AA60-A81D31C2FA0B}">
      <text>
        <r>
          <rPr>
            <sz val="10"/>
            <color indexed="81"/>
            <rFont val="Lucida Console"/>
            <family val="3"/>
          </rPr>
          <t>_x000D_
140042</t>
        </r>
      </text>
    </comment>
    <comment ref="B501" authorId="0" shapeId="0" xr:uid="{2E93AFFC-6E96-4705-870C-5E67EA693536}">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501" authorId="0" shapeId="0" xr:uid="{267B1E43-EF10-49B7-98EC-C89EE8F60F05}">
      <text>
        <r>
          <rPr>
            <sz val="10"/>
            <color indexed="81"/>
            <rFont val="Lucida Console"/>
            <family val="3"/>
          </rPr>
          <t>_x000D_
Últ estimativa : 10.000_x000D_
Enviada em     : 12.11.2020_x000D_
Ata - Venc     : 61/21 - 04.03.2022</t>
        </r>
      </text>
    </comment>
    <comment ref="O501" authorId="0" shapeId="0" xr:uid="{140DAA39-39BD-402D-8BFB-34E2F3FE8A8E}">
      <text>
        <r>
          <rPr>
            <sz val="10"/>
            <color indexed="81"/>
            <rFont val="Lucida Console"/>
            <family val="3"/>
          </rPr>
          <t>_x000D_
Pertencia a ATA nº 61/21_x000D_
Estimativa de Renovação enviada em 12.11.2020 - Qtd 10.000_x000D_
PE  11/21 lote _x000D_
19.02.21 = Finalizado</t>
        </r>
      </text>
    </comment>
    <comment ref="W501" authorId="0" shapeId="0" xr:uid="{C36FD61B-8574-463D-9E2D-FDFBAE5B6C44}">
      <text>
        <r>
          <rPr>
            <sz val="10"/>
            <color indexed="81"/>
            <rFont val="Lucida Console"/>
            <family val="3"/>
          </rPr>
          <t>_x000D_
DM-Elétrica</t>
        </r>
      </text>
    </comment>
    <comment ref="X501" authorId="0" shapeId="0" xr:uid="{2AA4941B-B31D-42AE-AE67-9C89198E2228}">
      <text>
        <r>
          <rPr>
            <sz val="10"/>
            <color indexed="81"/>
            <rFont val="Lucida Console"/>
            <family val="3"/>
          </rPr>
          <t>_x000D_
EQUIP. MAT. P/ GERACAO, TRANSM. DISTR. RETIF...</t>
        </r>
      </text>
    </comment>
    <comment ref="Y501" authorId="0" shapeId="0" xr:uid="{4F354F26-1AF6-4478-81C1-AB27738C821F}">
      <text>
        <r>
          <rPr>
            <sz val="10"/>
            <color indexed="81"/>
            <rFont val="Lucida Console"/>
            <family val="3"/>
          </rPr>
          <t>_x000D_
FIOS E CABOS ELETRICOS</t>
        </r>
      </text>
    </comment>
    <comment ref="AW501" authorId="0" shapeId="0" xr:uid="{C2376356-F20E-4962-9CE5-F960FDD19CCE}">
      <text>
        <r>
          <rPr>
            <sz val="10"/>
            <color indexed="81"/>
            <rFont val="Lucida Console"/>
            <family val="3"/>
          </rPr>
          <t>Tempo de Estoque (Meses)_x000D_
_x000D_
3.000,0</t>
        </r>
      </text>
    </comment>
    <comment ref="A502" authorId="0" shapeId="0" xr:uid="{69065513-1979-4242-BBF3-8F7206B381DC}">
      <text>
        <r>
          <rPr>
            <sz val="10"/>
            <color indexed="81"/>
            <rFont val="Lucida Console"/>
            <family val="3"/>
          </rPr>
          <t>_x000D_
140043</t>
        </r>
      </text>
    </comment>
    <comment ref="B502" authorId="0" shapeId="0" xr:uid="{04E9DBCE-7A88-4E1E-B0B5-6CEAF4EF38A5}">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502" authorId="0" shapeId="0" xr:uid="{C733724E-ADFA-44B8-B54A-1C84CEBE0F94}">
      <text>
        <r>
          <rPr>
            <sz val="10"/>
            <color indexed="81"/>
            <rFont val="Lucida Console"/>
            <family val="3"/>
          </rPr>
          <t>_x000D_
Últ estimativa : 4.000_x000D_
Enviada em     : 12.11.2020_x000D_
Ata - Venc     : 61/21 - 04.03.2022</t>
        </r>
      </text>
    </comment>
    <comment ref="O502" authorId="0" shapeId="0" xr:uid="{7A1C1900-4334-4E63-BA20-0C94DFEA1487}">
      <text>
        <r>
          <rPr>
            <sz val="10"/>
            <color indexed="81"/>
            <rFont val="Lucida Console"/>
            <family val="3"/>
          </rPr>
          <t>_x000D_
Pertencia a ATA nº 61/21_x000D_
Estimativa de Renovação enviada em 12.11.2020 - Qtd 4.000_x000D_
PE  11/21 lote _x000D_
19.02.21 = Finalizado</t>
        </r>
      </text>
    </comment>
    <comment ref="W502" authorId="0" shapeId="0" xr:uid="{935FB591-5051-43E9-8CF6-3593689974D9}">
      <text>
        <r>
          <rPr>
            <sz val="10"/>
            <color indexed="81"/>
            <rFont val="Lucida Console"/>
            <family val="3"/>
          </rPr>
          <t>_x000D_
DM-Elétrica</t>
        </r>
      </text>
    </comment>
    <comment ref="X502" authorId="0" shapeId="0" xr:uid="{8DEF5592-4A09-46DB-BE84-EBDA6C6E7DCB}">
      <text>
        <r>
          <rPr>
            <sz val="10"/>
            <color indexed="81"/>
            <rFont val="Lucida Console"/>
            <family val="3"/>
          </rPr>
          <t>_x000D_
EQUIP. MAT. P/ GERACAO, TRANSM. DISTR. RETIF...</t>
        </r>
      </text>
    </comment>
    <comment ref="Y502" authorId="0" shapeId="0" xr:uid="{3105BB5E-2485-4D5F-8602-135F9372D93F}">
      <text>
        <r>
          <rPr>
            <sz val="10"/>
            <color indexed="81"/>
            <rFont val="Lucida Console"/>
            <family val="3"/>
          </rPr>
          <t>_x000D_
FIOS E CABOS ELETRICOS</t>
        </r>
      </text>
    </comment>
    <comment ref="Z502" authorId="0" shapeId="0" xr:uid="{9234511D-AE69-463C-893F-4BFAA09CA1EE}">
      <text>
        <r>
          <rPr>
            <sz val="10"/>
            <color indexed="81"/>
            <rFont val="Lucida Console"/>
            <family val="3"/>
          </rPr>
          <t>_x000D_
RC  1.929 / 23  Qtde: 800_x000D_
RC  2.697 / 23  Qtde: 1.000</t>
        </r>
      </text>
    </comment>
    <comment ref="AW502" authorId="0" shapeId="0" xr:uid="{684E02F2-1558-484C-866F-1AD91D9AA136}">
      <text>
        <r>
          <rPr>
            <sz val="10"/>
            <color indexed="81"/>
            <rFont val="Lucida Console"/>
            <family val="3"/>
          </rPr>
          <t>Tempo de Estoque (Meses)_x000D_
_x000D_
1.800,0</t>
        </r>
      </text>
    </comment>
    <comment ref="A503" authorId="0" shapeId="0" xr:uid="{26298EBB-D598-4C18-A7AC-25409795A506}">
      <text>
        <r>
          <rPr>
            <sz val="10"/>
            <color indexed="81"/>
            <rFont val="Lucida Console"/>
            <family val="3"/>
          </rPr>
          <t>_x000D_
140047</t>
        </r>
      </text>
    </comment>
    <comment ref="B503" authorId="0" shapeId="0" xr:uid="{CB0DAEEF-1E13-4605-B122-262C38C8D6DF}">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503" authorId="0" shapeId="0" xr:uid="{AD2833A8-927F-4CE3-8447-61C738BC881A}">
      <text>
        <r>
          <rPr>
            <sz val="10"/>
            <color indexed="81"/>
            <rFont val="Lucida Console"/>
            <family val="3"/>
          </rPr>
          <t>_x000D_
Últ estimativa : 0_x000D_
Enviada em     : 12.11.2020_x000D_
Ata - Venc     : 61/21 - 04.03.2022</t>
        </r>
      </text>
    </comment>
    <comment ref="O503" authorId="0" shapeId="0" xr:uid="{FD675F6C-C596-4196-97AC-BD834F66038D}">
      <text>
        <r>
          <rPr>
            <sz val="10"/>
            <color indexed="81"/>
            <rFont val="Lucida Console"/>
            <family val="3"/>
          </rPr>
          <t>_x000D_
Pertencia a ATA nº 61/21_x000D_
Estimativa de Renovação enviada em 12.11.2020 - Qtd _x000D_
PE  11/21 lote _x000D_
19.02.21 = Finalizado</t>
        </r>
      </text>
    </comment>
    <comment ref="W503" authorId="0" shapeId="0" xr:uid="{8D434B33-502E-4BC9-8520-1F12E5511DC5}">
      <text>
        <r>
          <rPr>
            <sz val="10"/>
            <color indexed="81"/>
            <rFont val="Lucida Console"/>
            <family val="3"/>
          </rPr>
          <t>_x000D_
DM-Elétrica</t>
        </r>
      </text>
    </comment>
    <comment ref="X503" authorId="0" shapeId="0" xr:uid="{014154E3-9A51-4257-A27F-68050FDEC5D8}">
      <text>
        <r>
          <rPr>
            <sz val="10"/>
            <color indexed="81"/>
            <rFont val="Lucida Console"/>
            <family val="3"/>
          </rPr>
          <t>_x000D_
EQUIP. MAT. P/ GERACAO, TRANSM. DISTR. RETIF...</t>
        </r>
      </text>
    </comment>
    <comment ref="Y503" authorId="0" shapeId="0" xr:uid="{F1ED5DCD-8A28-4AB1-8DBC-D34DFABF6EAF}">
      <text>
        <r>
          <rPr>
            <sz val="10"/>
            <color indexed="81"/>
            <rFont val="Lucida Console"/>
            <family val="3"/>
          </rPr>
          <t>_x000D_
FIOS E CABOS ELETRICOS</t>
        </r>
      </text>
    </comment>
    <comment ref="AW503" authorId="0" shapeId="0" xr:uid="{16421D57-467A-4DCF-B1F0-A9E67232DAB0}">
      <text>
        <r>
          <rPr>
            <sz val="10"/>
            <color indexed="81"/>
            <rFont val="Lucida Console"/>
            <family val="3"/>
          </rPr>
          <t>Tempo de Estoque (Meses)_x000D_
_x000D_
129,0</t>
        </r>
      </text>
    </comment>
    <comment ref="A504" authorId="0" shapeId="0" xr:uid="{9416E002-114D-4AC3-B27E-B272CE6A42DD}">
      <text>
        <r>
          <rPr>
            <sz val="10"/>
            <color indexed="81"/>
            <rFont val="Lucida Console"/>
            <family val="3"/>
          </rPr>
          <t>_x000D_
140048</t>
        </r>
      </text>
    </comment>
    <comment ref="B504" authorId="0" shapeId="0" xr:uid="{44521315-BAB4-41E3-B1C4-D7A27F7951C3}">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504" authorId="0" shapeId="0" xr:uid="{3BE68435-D67B-489B-9A0C-38F00C3352BB}">
      <text>
        <r>
          <rPr>
            <sz val="10"/>
            <color indexed="81"/>
            <rFont val="Lucida Console"/>
            <family val="3"/>
          </rPr>
          <t>_x000D_
Últ estimativa : 6.000_x000D_
Enviada em     : 12.11.2020_x000D_
Ata - Venc     : 61/21 - 04.03.2022</t>
        </r>
      </text>
    </comment>
    <comment ref="O504" authorId="0" shapeId="0" xr:uid="{2D115782-F88D-45FE-9F53-78CAADF4071F}">
      <text>
        <r>
          <rPr>
            <sz val="10"/>
            <color indexed="81"/>
            <rFont val="Lucida Console"/>
            <family val="3"/>
          </rPr>
          <t>_x000D_
Pertencia a ATA nº 61/21_x000D_
Estimativa de Renovação enviada em 12.11.2020 - Qtd 6.000_x000D_
PE  11/21 lote _x000D_
19.02.21 = Finalizado</t>
        </r>
      </text>
    </comment>
    <comment ref="W504" authorId="0" shapeId="0" xr:uid="{6B925F12-BC7B-4829-88F6-FCCFEA36CD33}">
      <text>
        <r>
          <rPr>
            <sz val="10"/>
            <color indexed="81"/>
            <rFont val="Lucida Console"/>
            <family val="3"/>
          </rPr>
          <t>_x000D_
DM-Elétrica</t>
        </r>
      </text>
    </comment>
    <comment ref="X504" authorId="0" shapeId="0" xr:uid="{310CC312-E7F1-48A3-B647-BDFBF32BC534}">
      <text>
        <r>
          <rPr>
            <sz val="10"/>
            <color indexed="81"/>
            <rFont val="Lucida Console"/>
            <family val="3"/>
          </rPr>
          <t>_x000D_
EQUIP. MAT. P/ GERACAO, TRANSM. DISTR. RETIF...</t>
        </r>
      </text>
    </comment>
    <comment ref="Y504" authorId="0" shapeId="0" xr:uid="{626D3770-C918-4CB6-8CE7-371798BCCF45}">
      <text>
        <r>
          <rPr>
            <sz val="10"/>
            <color indexed="81"/>
            <rFont val="Lucida Console"/>
            <family val="3"/>
          </rPr>
          <t>_x000D_
FIOS E CABOS ELETRICOS</t>
        </r>
      </text>
    </comment>
    <comment ref="AW504" authorId="0" shapeId="0" xr:uid="{630767CC-9D0C-48B8-8BAF-DF0CC13E9E66}">
      <text>
        <r>
          <rPr>
            <sz val="10"/>
            <color indexed="81"/>
            <rFont val="Lucida Console"/>
            <family val="3"/>
          </rPr>
          <t>Tempo de Estoque (Meses)_x000D_
_x000D_
2.000,0</t>
        </r>
      </text>
    </comment>
    <comment ref="A505" authorId="0" shapeId="0" xr:uid="{D64E08B5-4132-4641-82E5-11B2ACA79E53}">
      <text>
        <r>
          <rPr>
            <sz val="10"/>
            <color indexed="81"/>
            <rFont val="Lucida Console"/>
            <family val="3"/>
          </rPr>
          <t>_x000D_
140049</t>
        </r>
      </text>
    </comment>
    <comment ref="B505" authorId="0" shapeId="0" xr:uid="{7BA10AF8-C973-4617-B5E4-6C9B64FF1044}">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505" authorId="0" shapeId="0" xr:uid="{34F24B29-33AE-47A2-9B9D-56EBE5B43B75}">
      <text>
        <r>
          <rPr>
            <sz val="10"/>
            <color indexed="81"/>
            <rFont val="Lucida Console"/>
            <family val="3"/>
          </rPr>
          <t>_x000D_
Últ estimativa : 1.200_x000D_
Enviada em     : 12.11.2020_x000D_
Ata - Venc     : 61/21 - 04.03.2022</t>
        </r>
      </text>
    </comment>
    <comment ref="O505" authorId="0" shapeId="0" xr:uid="{55F5E8CF-C73C-40FE-98D9-03CEFA068886}">
      <text>
        <r>
          <rPr>
            <sz val="10"/>
            <color indexed="81"/>
            <rFont val="Lucida Console"/>
            <family val="3"/>
          </rPr>
          <t>_x000D_
Pertencia a ATA nº 61/21_x000D_
Estimativa de Renovação enviada em 12.11.2020 - Qtd 1.200_x000D_
PE  11/21 lote _x000D_
19.02.21 = Finalizado</t>
        </r>
      </text>
    </comment>
    <comment ref="W505" authorId="0" shapeId="0" xr:uid="{44AC86FC-0083-4788-A5AB-302647A88F67}">
      <text>
        <r>
          <rPr>
            <sz val="10"/>
            <color indexed="81"/>
            <rFont val="Lucida Console"/>
            <family val="3"/>
          </rPr>
          <t>_x000D_
DM-Elétrica</t>
        </r>
      </text>
    </comment>
    <comment ref="X505" authorId="0" shapeId="0" xr:uid="{E16865F2-6D49-4905-804C-1BB971FCB392}">
      <text>
        <r>
          <rPr>
            <sz val="10"/>
            <color indexed="81"/>
            <rFont val="Lucida Console"/>
            <family val="3"/>
          </rPr>
          <t>_x000D_
EQUIP. MAT. P/ GERACAO, TRANSM. DISTR. RETIF...</t>
        </r>
      </text>
    </comment>
    <comment ref="Y505" authorId="0" shapeId="0" xr:uid="{017C5FF5-8BB0-4E53-8192-7C85AFAED60A}">
      <text>
        <r>
          <rPr>
            <sz val="10"/>
            <color indexed="81"/>
            <rFont val="Lucida Console"/>
            <family val="3"/>
          </rPr>
          <t>_x000D_
FIOS E CABOS ELETRICOS</t>
        </r>
      </text>
    </comment>
    <comment ref="AW505" authorId="0" shapeId="0" xr:uid="{949B9294-B64D-40D3-B45B-1BBB18992B4C}">
      <text>
        <r>
          <rPr>
            <sz val="10"/>
            <color indexed="81"/>
            <rFont val="Lucida Console"/>
            <family val="3"/>
          </rPr>
          <t>Tempo de Estoque (Meses)_x000D_
_x000D_
496,0</t>
        </r>
      </text>
    </comment>
    <comment ref="A506" authorId="0" shapeId="0" xr:uid="{46F4E7F3-6C28-45CC-BF15-008A06C46710}">
      <text>
        <r>
          <rPr>
            <sz val="10"/>
            <color indexed="81"/>
            <rFont val="Lucida Console"/>
            <family val="3"/>
          </rPr>
          <t>_x000D_
140050</t>
        </r>
      </text>
    </comment>
    <comment ref="B506" authorId="0" shapeId="0" xr:uid="{EC3104D3-2125-417D-85B0-824271F703C4}">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506" authorId="0" shapeId="0" xr:uid="{9F3CD581-D523-474F-B627-DEBD91330FC7}">
      <text>
        <r>
          <rPr>
            <sz val="10"/>
            <color indexed="81"/>
            <rFont val="Lucida Console"/>
            <family val="3"/>
          </rPr>
          <t>_x000D_
Últ estimativa : 1.200_x000D_
Enviada em     : 12.11.2020_x000D_
Ata - Venc     : 61/21 - 04.03.2022</t>
        </r>
      </text>
    </comment>
    <comment ref="O506" authorId="0" shapeId="0" xr:uid="{38746D35-F0B8-4539-9493-C7D3B5B02327}">
      <text>
        <r>
          <rPr>
            <sz val="10"/>
            <color indexed="81"/>
            <rFont val="Lucida Console"/>
            <family val="3"/>
          </rPr>
          <t>_x000D_
Pertencia a ATA nº 61/21_x000D_
Estimativa de Renovação enviada em 12.11.2020 - Qtd 1.200_x000D_
PE  11/21 lote _x000D_
19.02.21 = Finalizado</t>
        </r>
      </text>
    </comment>
    <comment ref="W506" authorId="0" shapeId="0" xr:uid="{D3BC3B59-6794-4657-9BE3-B216376E705A}">
      <text>
        <r>
          <rPr>
            <sz val="10"/>
            <color indexed="81"/>
            <rFont val="Lucida Console"/>
            <family val="3"/>
          </rPr>
          <t>_x000D_
DM-Elétrica</t>
        </r>
      </text>
    </comment>
    <comment ref="X506" authorId="0" shapeId="0" xr:uid="{452AE970-B193-49D9-8198-F52D42FB4DE7}">
      <text>
        <r>
          <rPr>
            <sz val="10"/>
            <color indexed="81"/>
            <rFont val="Lucida Console"/>
            <family val="3"/>
          </rPr>
          <t>_x000D_
EQUIP. MAT. P/ GERACAO, TRANSM. DISTR. RETIF...</t>
        </r>
      </text>
    </comment>
    <comment ref="Y506" authorId="0" shapeId="0" xr:uid="{EBACD7E6-1695-42D2-883F-0D4A89086ADE}">
      <text>
        <r>
          <rPr>
            <sz val="10"/>
            <color indexed="81"/>
            <rFont val="Lucida Console"/>
            <family val="3"/>
          </rPr>
          <t>_x000D_
FIOS E CABOS ELETRICOS</t>
        </r>
      </text>
    </comment>
    <comment ref="AW506" authorId="0" shapeId="0" xr:uid="{D3B73A57-68DD-4405-8E31-2DF0D8BE4717}">
      <text>
        <r>
          <rPr>
            <sz val="10"/>
            <color indexed="81"/>
            <rFont val="Lucida Console"/>
            <family val="3"/>
          </rPr>
          <t>Tempo de Estoque (Meses)_x000D_
_x000D_
1.485,0</t>
        </r>
      </text>
    </comment>
    <comment ref="A507" authorId="0" shapeId="0" xr:uid="{4B0800F7-CC8C-4FD0-960D-97E79A271A2C}">
      <text>
        <r>
          <rPr>
            <sz val="10"/>
            <color indexed="81"/>
            <rFont val="Lucida Console"/>
            <family val="3"/>
          </rPr>
          <t>_x000D_
140051</t>
        </r>
      </text>
    </comment>
    <comment ref="B507" authorId="0" shapeId="0" xr:uid="{5570C2D4-AC89-4752-82C1-7ED1098D3279}">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507" authorId="0" shapeId="0" xr:uid="{91964665-555A-47BF-9A48-1436F47A78F4}">
      <text>
        <r>
          <rPr>
            <sz val="10"/>
            <color indexed="81"/>
            <rFont val="Lucida Console"/>
            <family val="3"/>
          </rPr>
          <t>_x000D_
Últ estimativa : 900_x000D_
Enviada em     : 12.11.2020_x000D_
Ata - Venc     : 61/21 - 04.03.2022</t>
        </r>
      </text>
    </comment>
    <comment ref="O507" authorId="0" shapeId="0" xr:uid="{E0784A71-BD6B-4591-A6AA-74843286F92D}">
      <text>
        <r>
          <rPr>
            <sz val="10"/>
            <color indexed="81"/>
            <rFont val="Lucida Console"/>
            <family val="3"/>
          </rPr>
          <t>_x000D_
Pertencia a ATA nº 61/21_x000D_
Estimativa de Renovação enviada em 12.11.2020 - Qtd 900_x000D_
PE  11/21 lote _x000D_
19.02.21 = Finalizado</t>
        </r>
      </text>
    </comment>
    <comment ref="W507" authorId="0" shapeId="0" xr:uid="{7FED9F52-996F-45BA-91F4-1ED5AB9B4634}">
      <text>
        <r>
          <rPr>
            <sz val="10"/>
            <color indexed="81"/>
            <rFont val="Lucida Console"/>
            <family val="3"/>
          </rPr>
          <t>_x000D_
DM-Elétrica</t>
        </r>
      </text>
    </comment>
    <comment ref="X507" authorId="0" shapeId="0" xr:uid="{DE4FF61F-8FAB-4716-A96A-65CA689B40D0}">
      <text>
        <r>
          <rPr>
            <sz val="10"/>
            <color indexed="81"/>
            <rFont val="Lucida Console"/>
            <family val="3"/>
          </rPr>
          <t>_x000D_
EQUIP. MAT. P/ GERACAO, TRANSM. DISTR. RETIF...</t>
        </r>
      </text>
    </comment>
    <comment ref="Y507" authorId="0" shapeId="0" xr:uid="{EC2E3FF6-A927-47FB-9866-81A72E1535D5}">
      <text>
        <r>
          <rPr>
            <sz val="10"/>
            <color indexed="81"/>
            <rFont val="Lucida Console"/>
            <family val="3"/>
          </rPr>
          <t>_x000D_
FIOS E CABOS ELETRICOS</t>
        </r>
      </text>
    </comment>
    <comment ref="AW507" authorId="0" shapeId="0" xr:uid="{4C3E7594-5708-4BF5-AF71-2DA2330235C0}">
      <text>
        <r>
          <rPr>
            <sz val="10"/>
            <color indexed="81"/>
            <rFont val="Lucida Console"/>
            <family val="3"/>
          </rPr>
          <t>Tempo de Estoque (Meses)_x000D_
_x000D_
1.428,0</t>
        </r>
      </text>
    </comment>
    <comment ref="A508" authorId="0" shapeId="0" xr:uid="{6D199E1B-73C6-4729-86C9-3A32BB154F82}">
      <text>
        <r>
          <rPr>
            <sz val="10"/>
            <color indexed="81"/>
            <rFont val="Lucida Console"/>
            <family val="3"/>
          </rPr>
          <t>_x000D_
140052</t>
        </r>
      </text>
    </comment>
    <comment ref="B508" authorId="0" shapeId="0" xr:uid="{99175CAF-726E-4787-BBC4-E962B034C029}">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508" authorId="0" shapeId="0" xr:uid="{FC17D166-1636-4481-BC31-AE78B1C00A01}">
      <text>
        <r>
          <rPr>
            <sz val="10"/>
            <color indexed="81"/>
            <rFont val="Lucida Console"/>
            <family val="3"/>
          </rPr>
          <t>_x000D_
Últ estimativa : 1.200_x000D_
Enviada em     : 12.11.2020_x000D_
Ata - Venc     : 61/21 - 04.03.2022</t>
        </r>
      </text>
    </comment>
    <comment ref="O508" authorId="0" shapeId="0" xr:uid="{F9355DA5-EE8A-4F26-BA06-18FB9E0223CA}">
      <text>
        <r>
          <rPr>
            <sz val="10"/>
            <color indexed="81"/>
            <rFont val="Lucida Console"/>
            <family val="3"/>
          </rPr>
          <t>_x000D_
Pertencia a ATA nº 61/21_x000D_
Estimativa de Renovação enviada em 12.11.2020 - Qtd 1.200_x000D_
PE  11/21 lote _x000D_
19.02.21 = Finalizado</t>
        </r>
      </text>
    </comment>
    <comment ref="W508" authorId="0" shapeId="0" xr:uid="{9DF5DCC7-02AB-4361-AFAE-2498E40C9B07}">
      <text>
        <r>
          <rPr>
            <sz val="10"/>
            <color indexed="81"/>
            <rFont val="Lucida Console"/>
            <family val="3"/>
          </rPr>
          <t>_x000D_
DM-Elétrica</t>
        </r>
      </text>
    </comment>
    <comment ref="X508" authorId="0" shapeId="0" xr:uid="{88E98EFB-93CD-4D6F-BEA0-E4FBE25019F4}">
      <text>
        <r>
          <rPr>
            <sz val="10"/>
            <color indexed="81"/>
            <rFont val="Lucida Console"/>
            <family val="3"/>
          </rPr>
          <t>_x000D_
EQUIP. MAT. P/ GERACAO, TRANSM. DISTR. RETIF...</t>
        </r>
      </text>
    </comment>
    <comment ref="Y508" authorId="0" shapeId="0" xr:uid="{C22C0F29-867C-4785-8EEF-74F8C6665307}">
      <text>
        <r>
          <rPr>
            <sz val="10"/>
            <color indexed="81"/>
            <rFont val="Lucida Console"/>
            <family val="3"/>
          </rPr>
          <t>_x000D_
FIOS E CABOS ELETRICOS</t>
        </r>
      </text>
    </comment>
    <comment ref="AW508" authorId="0" shapeId="0" xr:uid="{EE4A891B-AAD8-4268-9BBE-32000E865BBE}">
      <text>
        <r>
          <rPr>
            <sz val="10"/>
            <color indexed="81"/>
            <rFont val="Lucida Console"/>
            <family val="3"/>
          </rPr>
          <t>Tempo de Estoque (Meses)_x000D_
_x000D_
1.000,0</t>
        </r>
      </text>
    </comment>
    <comment ref="A509" authorId="0" shapeId="0" xr:uid="{DAC2A0D0-D724-46D0-9064-0199D0B55778}">
      <text>
        <r>
          <rPr>
            <sz val="10"/>
            <color indexed="81"/>
            <rFont val="Lucida Console"/>
            <family val="3"/>
          </rPr>
          <t>_x000D_
140053</t>
        </r>
      </text>
    </comment>
    <comment ref="B509" authorId="0" shapeId="0" xr:uid="{DD3E31E8-D4BE-4E9F-B54C-FB16BB5C0D7F}">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509" authorId="0" shapeId="0" xr:uid="{0136FD0B-A7FB-4D73-A0CA-1EC242B87EA9}">
      <text>
        <r>
          <rPr>
            <sz val="10"/>
            <color indexed="81"/>
            <rFont val="Lucida Console"/>
            <family val="3"/>
          </rPr>
          <t>_x000D_
Últ estimativa : 500_x000D_
Enviada em     : 12.11.2020_x000D_
Ata - Venc     : 61/21 - 04.03.2022</t>
        </r>
      </text>
    </comment>
    <comment ref="O509" authorId="0" shapeId="0" xr:uid="{C03BE5FD-6595-4EC0-A940-F8D5E333823D}">
      <text>
        <r>
          <rPr>
            <sz val="10"/>
            <color indexed="81"/>
            <rFont val="Lucida Console"/>
            <family val="3"/>
          </rPr>
          <t xml:space="preserve">_x000D_
Pertencia a ATA nº 61/21_x000D_
Estimativa de Renovação enviada em 12.11.2020 - Qtd 500_x000D_
PE  31/22 lote _x000D_
 = </t>
        </r>
      </text>
    </comment>
    <comment ref="W509" authorId="0" shapeId="0" xr:uid="{EA74C6C9-B7AF-4439-BFFE-46ED33265C4C}">
      <text>
        <r>
          <rPr>
            <sz val="10"/>
            <color indexed="81"/>
            <rFont val="Lucida Console"/>
            <family val="3"/>
          </rPr>
          <t>_x000D_
DM-Elétrica</t>
        </r>
      </text>
    </comment>
    <comment ref="X509" authorId="0" shapeId="0" xr:uid="{CF74C7B1-D6AC-4114-97E2-4C9891C257EE}">
      <text>
        <r>
          <rPr>
            <sz val="10"/>
            <color indexed="81"/>
            <rFont val="Lucida Console"/>
            <family val="3"/>
          </rPr>
          <t>_x000D_
EQUIP. MAT. P/ GERACAO, TRANSM. DISTR. RETIF...</t>
        </r>
      </text>
    </comment>
    <comment ref="Y509" authorId="0" shapeId="0" xr:uid="{74B0F7FB-3EB5-400D-ABC6-309855738981}">
      <text>
        <r>
          <rPr>
            <sz val="10"/>
            <color indexed="81"/>
            <rFont val="Lucida Console"/>
            <family val="3"/>
          </rPr>
          <t>_x000D_
FIOS E CABOS ELETRICOS</t>
        </r>
      </text>
    </comment>
    <comment ref="Z509" authorId="0" shapeId="0" xr:uid="{D5099EFB-77BD-4FAE-901E-4F5C46E1B885}">
      <text>
        <r>
          <rPr>
            <sz val="10"/>
            <color indexed="81"/>
            <rFont val="Lucida Console"/>
            <family val="3"/>
          </rPr>
          <t>_x000D_
RC  1.929 / 23  Qtde: 500_x000D_
RC  2.697 / 23  Qtde: 700</t>
        </r>
      </text>
    </comment>
    <comment ref="AW509" authorId="0" shapeId="0" xr:uid="{953C0C61-1899-4FF6-A58C-E05A23AA719F}">
      <text>
        <r>
          <rPr>
            <sz val="10"/>
            <color indexed="81"/>
            <rFont val="Lucida Console"/>
            <family val="3"/>
          </rPr>
          <t>Tempo de Estoque (Meses)_x000D_
_x000D_
1.200,0</t>
        </r>
      </text>
    </comment>
    <comment ref="A510" authorId="0" shapeId="0" xr:uid="{96714493-A8A5-440A-9979-298BD04F3DF1}">
      <text>
        <r>
          <rPr>
            <sz val="10"/>
            <color indexed="81"/>
            <rFont val="Lucida Console"/>
            <family val="3"/>
          </rPr>
          <t>_x000D_
140054</t>
        </r>
      </text>
    </comment>
    <comment ref="B510" authorId="0" shapeId="0" xr:uid="{7BAC5276-CEF7-4053-93B5-9CFD6FBA8368}">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510" authorId="0" shapeId="0" xr:uid="{F949A7C5-409B-490A-BAAA-A8A049A78B61}">
      <text>
        <r>
          <rPr>
            <sz val="10"/>
            <color indexed="81"/>
            <rFont val="Lucida Console"/>
            <family val="3"/>
          </rPr>
          <t>_x000D_
Últ estimativa : 300_x000D_
Enviada em     : 12.11.2020_x000D_
Ata - Venc     : 61/21 - 04.03.2022</t>
        </r>
      </text>
    </comment>
    <comment ref="O510" authorId="0" shapeId="0" xr:uid="{516E4BE6-410E-431C-A3F8-ED0D6B2595F3}">
      <text>
        <r>
          <rPr>
            <sz val="10"/>
            <color indexed="81"/>
            <rFont val="Lucida Console"/>
            <family val="3"/>
          </rPr>
          <t>_x000D_
Pertencia a ATA nº 61/21_x000D_
Estimativa de Renovação enviada em 12.11.2020 - Qtd 300_x000D_
PE  11/21 lote _x000D_
19.02.21 = Finalizado</t>
        </r>
      </text>
    </comment>
    <comment ref="W510" authorId="0" shapeId="0" xr:uid="{006BB3CE-FC73-4D3F-A669-805A514E87AE}">
      <text>
        <r>
          <rPr>
            <sz val="10"/>
            <color indexed="81"/>
            <rFont val="Lucida Console"/>
            <family val="3"/>
          </rPr>
          <t>_x000D_
DM-Elétrica</t>
        </r>
      </text>
    </comment>
    <comment ref="X510" authorId="0" shapeId="0" xr:uid="{D533CE40-C5F7-4B73-9B8A-81A399E237E2}">
      <text>
        <r>
          <rPr>
            <sz val="10"/>
            <color indexed="81"/>
            <rFont val="Lucida Console"/>
            <family val="3"/>
          </rPr>
          <t>_x000D_
EQUIP. MAT. P/ GERACAO, TRANSM. DISTR. RETIF...</t>
        </r>
      </text>
    </comment>
    <comment ref="Y510" authorId="0" shapeId="0" xr:uid="{39B1E2EB-CE7E-48ED-9C91-45EEFCE4AD7B}">
      <text>
        <r>
          <rPr>
            <sz val="10"/>
            <color indexed="81"/>
            <rFont val="Lucida Console"/>
            <family val="3"/>
          </rPr>
          <t>_x000D_
FIOS E CABOS ELETRICOS</t>
        </r>
      </text>
    </comment>
    <comment ref="AW510" authorId="0" shapeId="0" xr:uid="{CD0C6E86-F799-40F8-A006-466E289E1036}">
      <text>
        <r>
          <rPr>
            <sz val="10"/>
            <color indexed="81"/>
            <rFont val="Lucida Console"/>
            <family val="3"/>
          </rPr>
          <t>Tempo de Estoque (Meses)_x000D_
_x000D_
707,0</t>
        </r>
      </text>
    </comment>
    <comment ref="A511" authorId="0" shapeId="0" xr:uid="{074C7D10-C1F5-46B4-8E68-F5DC3658BA11}">
      <text>
        <r>
          <rPr>
            <sz val="10"/>
            <color indexed="81"/>
            <rFont val="Lucida Console"/>
            <family val="3"/>
          </rPr>
          <t>_x000D_
140055</t>
        </r>
      </text>
    </comment>
    <comment ref="B511" authorId="0" shapeId="0" xr:uid="{A55396B7-647D-4AAE-A746-B0FAD492EA98}">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511" authorId="0" shapeId="0" xr:uid="{CD9E870B-38A1-433B-AC75-325B6E3F4D99}">
      <text>
        <r>
          <rPr>
            <sz val="10"/>
            <color indexed="81"/>
            <rFont val="Lucida Console"/>
            <family val="3"/>
          </rPr>
          <t>_x000D_
Últ estimativa : 400_x000D_
Enviada em     : 12.11.2020_x000D_
Ata - Venc     : 61/21 - 04.03.2022</t>
        </r>
      </text>
    </comment>
    <comment ref="O511" authorId="0" shapeId="0" xr:uid="{4AED086B-4C42-4171-B4D2-F7001DD6C727}">
      <text>
        <r>
          <rPr>
            <sz val="10"/>
            <color indexed="81"/>
            <rFont val="Lucida Console"/>
            <family val="3"/>
          </rPr>
          <t>_x000D_
Pertencia a ATA nº 61/21_x000D_
Estimativa de Renovação enviada em 12.11.2020 - Qtd 400_x000D_
PE  11/21 lote _x000D_
19.02.21 = Finalizado</t>
        </r>
      </text>
    </comment>
    <comment ref="W511" authorId="0" shapeId="0" xr:uid="{BFDF3284-2F2A-4937-A240-1A5142ACD37B}">
      <text>
        <r>
          <rPr>
            <sz val="10"/>
            <color indexed="81"/>
            <rFont val="Lucida Console"/>
            <family val="3"/>
          </rPr>
          <t>_x000D_
DM-Elétrica</t>
        </r>
      </text>
    </comment>
    <comment ref="X511" authorId="0" shapeId="0" xr:uid="{7059D9F8-8EEA-46F1-BFCB-96B9D519353B}">
      <text>
        <r>
          <rPr>
            <sz val="10"/>
            <color indexed="81"/>
            <rFont val="Lucida Console"/>
            <family val="3"/>
          </rPr>
          <t>_x000D_
EQUIP. MAT. P/ GERACAO, TRANSM. DISTR. RETIF...</t>
        </r>
      </text>
    </comment>
    <comment ref="Y511" authorId="0" shapeId="0" xr:uid="{A0F3CC10-8A4B-426B-96C7-812877AAD7D0}">
      <text>
        <r>
          <rPr>
            <sz val="10"/>
            <color indexed="81"/>
            <rFont val="Lucida Console"/>
            <family val="3"/>
          </rPr>
          <t>_x000D_
FIOS E CABOS ELETRICOS</t>
        </r>
      </text>
    </comment>
    <comment ref="AW511" authorId="0" shapeId="0" xr:uid="{91D0EC32-93A6-4A8E-BDE6-D1D20639B8A9}">
      <text>
        <r>
          <rPr>
            <sz val="10"/>
            <color indexed="81"/>
            <rFont val="Lucida Console"/>
            <family val="3"/>
          </rPr>
          <t>Tempo de Estoque (Meses)_x000D_
_x000D_
5.710,0</t>
        </r>
      </text>
    </comment>
    <comment ref="A512" authorId="0" shapeId="0" xr:uid="{62D1D170-3AF0-47E7-82DC-C1835B7CC4FC}">
      <text>
        <r>
          <rPr>
            <sz val="10"/>
            <color indexed="81"/>
            <rFont val="Lucida Console"/>
            <family val="3"/>
          </rPr>
          <t>_x000D_
140056</t>
        </r>
      </text>
    </comment>
    <comment ref="B512" authorId="0" shapeId="0" xr:uid="{9FFC9A84-E26A-4441-805F-8D2A2C33A1FB}">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512" authorId="0" shapeId="0" xr:uid="{FCDA164C-AAA8-4484-A05F-00F0AB7FA73A}">
      <text>
        <r>
          <rPr>
            <sz val="10"/>
            <color indexed="81"/>
            <rFont val="Lucida Console"/>
            <family val="3"/>
          </rPr>
          <t>_x000D_
Últ estimativa : 300_x000D_
Enviada em     : 12.11.2020_x000D_
Ata - Venc     : 61/21 - 04.03.2022</t>
        </r>
      </text>
    </comment>
    <comment ref="O512" authorId="0" shapeId="0" xr:uid="{3A60BA05-654E-4A43-A62C-F94E9550606F}">
      <text>
        <r>
          <rPr>
            <sz val="10"/>
            <color indexed="81"/>
            <rFont val="Lucida Console"/>
            <family val="3"/>
          </rPr>
          <t>_x000D_
Pertencia a ATA nº 61/21_x000D_
Estimativa de Renovação enviada em 12.11.2020 - Qtd 300_x000D_
PE  11/21 lote _x000D_
19.02.21 = Finalizado</t>
        </r>
      </text>
    </comment>
    <comment ref="W512" authorId="0" shapeId="0" xr:uid="{81B6A2A0-5062-4902-9158-CD98A7F957DE}">
      <text>
        <r>
          <rPr>
            <sz val="10"/>
            <color indexed="81"/>
            <rFont val="Lucida Console"/>
            <family val="3"/>
          </rPr>
          <t>_x000D_
DM-Elétrica</t>
        </r>
      </text>
    </comment>
    <comment ref="X512" authorId="0" shapeId="0" xr:uid="{B10DD49F-C997-4DC0-A397-22948BDE2600}">
      <text>
        <r>
          <rPr>
            <sz val="10"/>
            <color indexed="81"/>
            <rFont val="Lucida Console"/>
            <family val="3"/>
          </rPr>
          <t>_x000D_
EQUIP. MAT. P/ GERACAO, TRANSM. DISTR. RETIF...</t>
        </r>
      </text>
    </comment>
    <comment ref="Y512" authorId="0" shapeId="0" xr:uid="{D7154DDD-D30B-45F9-AC06-911EDC1D96FE}">
      <text>
        <r>
          <rPr>
            <sz val="10"/>
            <color indexed="81"/>
            <rFont val="Lucida Console"/>
            <family val="3"/>
          </rPr>
          <t>_x000D_
FIOS E CABOS ELETRICOS</t>
        </r>
      </text>
    </comment>
    <comment ref="AW512" authorId="0" shapeId="0" xr:uid="{6CEC1F1B-33EB-42B2-AF99-10E494D19C44}">
      <text>
        <r>
          <rPr>
            <sz val="10"/>
            <color indexed="81"/>
            <rFont val="Lucida Console"/>
            <family val="3"/>
          </rPr>
          <t>Tempo de Estoque (Meses)_x000D_
_x000D_
1.635,0</t>
        </r>
      </text>
    </comment>
    <comment ref="A513" authorId="0" shapeId="0" xr:uid="{829AA13E-9D87-4D2D-90A1-AAF8CE630F4F}">
      <text>
        <r>
          <rPr>
            <sz val="10"/>
            <color indexed="81"/>
            <rFont val="Lucida Console"/>
            <family val="3"/>
          </rPr>
          <t>_x000D_
140057</t>
        </r>
      </text>
    </comment>
    <comment ref="B513" authorId="0" shapeId="0" xr:uid="{E1C8BC09-8D16-43F2-94AE-FFA1D74E0D9A}">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513" authorId="0" shapeId="0" xr:uid="{E7149CB0-56A1-47E9-AEB5-B54C07AA666B}">
      <text>
        <r>
          <rPr>
            <sz val="10"/>
            <color indexed="81"/>
            <rFont val="Lucida Console"/>
            <family val="3"/>
          </rPr>
          <t>_x000D_
Últ estimativa : 300_x000D_
Enviada em     : 12.11.2020_x000D_
Ata - Venc     : 61/21 - 04.03.2022</t>
        </r>
      </text>
    </comment>
    <comment ref="O513" authorId="0" shapeId="0" xr:uid="{33CD193A-8000-4B9D-9ECB-E64B8F369ADB}">
      <text>
        <r>
          <rPr>
            <sz val="10"/>
            <color indexed="81"/>
            <rFont val="Lucida Console"/>
            <family val="3"/>
          </rPr>
          <t>_x000D_
Pertencia a ATA nº 61/21_x000D_
Estimativa de Renovação enviada em 12.11.2020 - Qtd 300_x000D_
PE  11/21 lote _x000D_
19.02.21 = Finalizado</t>
        </r>
      </text>
    </comment>
    <comment ref="W513" authorId="0" shapeId="0" xr:uid="{F3B96DAB-0CB6-48FF-8167-DFE9F98C6485}">
      <text>
        <r>
          <rPr>
            <sz val="10"/>
            <color indexed="81"/>
            <rFont val="Lucida Console"/>
            <family val="3"/>
          </rPr>
          <t>_x000D_
DM-Elétrica</t>
        </r>
      </text>
    </comment>
    <comment ref="X513" authorId="0" shapeId="0" xr:uid="{D62070C7-88EB-4865-954C-EEC09CB66B7F}">
      <text>
        <r>
          <rPr>
            <sz val="10"/>
            <color indexed="81"/>
            <rFont val="Lucida Console"/>
            <family val="3"/>
          </rPr>
          <t>_x000D_
EQUIP. MAT. P/ GERACAO, TRANSM. DISTR. RETIF...</t>
        </r>
      </text>
    </comment>
    <comment ref="Y513" authorId="0" shapeId="0" xr:uid="{8A89D0A0-8759-4E59-B631-C27A84ACFB2E}">
      <text>
        <r>
          <rPr>
            <sz val="10"/>
            <color indexed="81"/>
            <rFont val="Lucida Console"/>
            <family val="3"/>
          </rPr>
          <t>_x000D_
FIOS E CABOS ELETRICOS</t>
        </r>
      </text>
    </comment>
    <comment ref="AW513" authorId="0" shapeId="0" xr:uid="{034DE429-9199-4BB1-8478-7474375987C8}">
      <text>
        <r>
          <rPr>
            <sz val="10"/>
            <color indexed="81"/>
            <rFont val="Lucida Console"/>
            <family val="3"/>
          </rPr>
          <t>Tempo de Estoque (Meses)_x000D_
_x000D_
474,0</t>
        </r>
      </text>
    </comment>
    <comment ref="A514" authorId="0" shapeId="0" xr:uid="{1FB2831C-7FB7-4D0C-B0EC-009B43F0AE90}">
      <text>
        <r>
          <rPr>
            <sz val="10"/>
            <color indexed="81"/>
            <rFont val="Lucida Console"/>
            <family val="3"/>
          </rPr>
          <t>_x000D_
140058</t>
        </r>
      </text>
    </comment>
    <comment ref="B514" authorId="0" shapeId="0" xr:uid="{8E590458-95B0-4437-93FB-A79A51D2BF14}">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514" authorId="0" shapeId="0" xr:uid="{7010CF48-76DF-4288-A65D-7E150F91162C}">
      <text>
        <r>
          <rPr>
            <sz val="10"/>
            <color indexed="81"/>
            <rFont val="Lucida Console"/>
            <family val="3"/>
          </rPr>
          <t>_x000D_
Últ estimativa : 0_x000D_
Enviada em     : 12.11.2020_x000D_
Ata - Venc     : 61/21 - 04.03.2022</t>
        </r>
      </text>
    </comment>
    <comment ref="O514" authorId="0" shapeId="0" xr:uid="{69CE5A70-1502-4E3C-9FBF-EA6A5DBCEB74}">
      <text>
        <r>
          <rPr>
            <sz val="10"/>
            <color indexed="81"/>
            <rFont val="Lucida Console"/>
            <family val="3"/>
          </rPr>
          <t>_x000D_
Pertencia a ATA nº 61/21_x000D_
Estimativa de Renovação enviada em 12.11.2020 - Qtd _x000D_
PE  11/21 lote _x000D_
19.02.21 = Finalizado</t>
        </r>
      </text>
    </comment>
    <comment ref="W514" authorId="0" shapeId="0" xr:uid="{18799162-32AF-4795-B212-D7010F7B2F9B}">
      <text>
        <r>
          <rPr>
            <sz val="10"/>
            <color indexed="81"/>
            <rFont val="Lucida Console"/>
            <family val="3"/>
          </rPr>
          <t>_x000D_
DM-Elétrica</t>
        </r>
      </text>
    </comment>
    <comment ref="X514" authorId="0" shapeId="0" xr:uid="{06EE1458-DAD6-4AB6-9118-1DB4D173E0FD}">
      <text>
        <r>
          <rPr>
            <sz val="10"/>
            <color indexed="81"/>
            <rFont val="Lucida Console"/>
            <family val="3"/>
          </rPr>
          <t>_x000D_
EQUIP. MAT. P/ GERACAO, TRANSM. DISTR. RETIF...</t>
        </r>
      </text>
    </comment>
    <comment ref="Y514" authorId="0" shapeId="0" xr:uid="{356AADDB-9CE9-47BE-ABB5-2CFB2842C700}">
      <text>
        <r>
          <rPr>
            <sz val="10"/>
            <color indexed="81"/>
            <rFont val="Lucida Console"/>
            <family val="3"/>
          </rPr>
          <t>_x000D_
FIOS E CABOS ELETRICOS</t>
        </r>
      </text>
    </comment>
    <comment ref="AW514" authorId="0" shapeId="0" xr:uid="{5CE3E5B1-032F-46A8-8F52-8536FB9DC628}">
      <text>
        <r>
          <rPr>
            <sz val="10"/>
            <color indexed="81"/>
            <rFont val="Lucida Console"/>
            <family val="3"/>
          </rPr>
          <t>Tempo de Estoque (Meses)_x000D_
_x000D_
272,0</t>
        </r>
      </text>
    </comment>
    <comment ref="A515" authorId="0" shapeId="0" xr:uid="{F4159CE5-B8DF-4D75-B245-DC1BC0F2865D}">
      <text>
        <r>
          <rPr>
            <sz val="10"/>
            <color indexed="81"/>
            <rFont val="Lucida Console"/>
            <family val="3"/>
          </rPr>
          <t>_x000D_
140059</t>
        </r>
      </text>
    </comment>
    <comment ref="B515" authorId="0" shapeId="0" xr:uid="{6BB277AE-9A43-4553-8798-3900E38A041F}">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515" authorId="0" shapeId="0" xr:uid="{D7D0A073-3D0E-4709-814B-130B1F71967F}">
      <text>
        <r>
          <rPr>
            <sz val="10"/>
            <color indexed="81"/>
            <rFont val="Lucida Console"/>
            <family val="3"/>
          </rPr>
          <t>_x000D_
Últ estimativa : 400_x000D_
Enviada em     : 12.11.2020_x000D_
Ata - Venc     : 61/21 - 04.03.2022</t>
        </r>
      </text>
    </comment>
    <comment ref="O515" authorId="0" shapeId="0" xr:uid="{C294BC95-CCDD-4B99-9B50-2B74F3390BF3}">
      <text>
        <r>
          <rPr>
            <sz val="10"/>
            <color indexed="81"/>
            <rFont val="Lucida Console"/>
            <family val="3"/>
          </rPr>
          <t xml:space="preserve">_x000D_
Pertencia a ATA nº 61/21_x000D_
Estimativa de Renovação enviada em 12.11.2020 - Qtd 400_x000D_
PE  31/22 lote _x000D_
 = </t>
        </r>
      </text>
    </comment>
    <comment ref="W515" authorId="0" shapeId="0" xr:uid="{0BE556C2-1301-484B-9163-1F11900F9850}">
      <text>
        <r>
          <rPr>
            <sz val="10"/>
            <color indexed="81"/>
            <rFont val="Lucida Console"/>
            <family val="3"/>
          </rPr>
          <t>_x000D_
DM-Elétrica</t>
        </r>
      </text>
    </comment>
    <comment ref="X515" authorId="0" shapeId="0" xr:uid="{9B521B57-239F-41A4-82C7-6D1D18F5A097}">
      <text>
        <r>
          <rPr>
            <sz val="10"/>
            <color indexed="81"/>
            <rFont val="Lucida Console"/>
            <family val="3"/>
          </rPr>
          <t>_x000D_
EQUIP. MAT. P/ GERACAO, TRANSM. DISTR. RETIF...</t>
        </r>
      </text>
    </comment>
    <comment ref="Y515" authorId="0" shapeId="0" xr:uid="{5D8F5FE2-67BB-4BE4-A9E2-4F4B3B766717}">
      <text>
        <r>
          <rPr>
            <sz val="10"/>
            <color indexed="81"/>
            <rFont val="Lucida Console"/>
            <family val="3"/>
          </rPr>
          <t>_x000D_
FIOS E CABOS ELETRICOS</t>
        </r>
      </text>
    </comment>
    <comment ref="Z515" authorId="0" shapeId="0" xr:uid="{5D68EEE2-3E8C-44C9-B047-9B92EA5360B9}">
      <text>
        <r>
          <rPr>
            <sz val="10"/>
            <color indexed="81"/>
            <rFont val="Lucida Console"/>
            <family val="3"/>
          </rPr>
          <t>_x000D_
RC  1.929 / 23  Qtde: 500_x000D_
RC  2.957 / 23  Qtde: 1.000</t>
        </r>
      </text>
    </comment>
    <comment ref="AW515" authorId="0" shapeId="0" xr:uid="{7FD5D752-D4E0-40C8-B651-445220F61B82}">
      <text>
        <r>
          <rPr>
            <sz val="10"/>
            <color indexed="81"/>
            <rFont val="Lucida Console"/>
            <family val="3"/>
          </rPr>
          <t>Tempo de Estoque (Meses)_x000D_
_x000D_
1.999,0</t>
        </r>
      </text>
    </comment>
    <comment ref="A516" authorId="0" shapeId="0" xr:uid="{EAE2EC6C-C5E7-4E65-9DD8-5FFFA8DE6227}">
      <text>
        <r>
          <rPr>
            <sz val="10"/>
            <color indexed="81"/>
            <rFont val="Lucida Console"/>
            <family val="3"/>
          </rPr>
          <t>_x000D_
140060</t>
        </r>
      </text>
    </comment>
    <comment ref="B516" authorId="0" shapeId="0" xr:uid="{40C7BD38-C5A7-416A-8285-D7D9FF92AA6F}">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516" authorId="0" shapeId="0" xr:uid="{02E9D4DB-4463-49E4-B995-E631D7A102B2}">
      <text>
        <r>
          <rPr>
            <sz val="10"/>
            <color indexed="81"/>
            <rFont val="Lucida Console"/>
            <family val="3"/>
          </rPr>
          <t>_x000D_
Últ estimativa : 300_x000D_
Enviada em     : 12.11.2020_x000D_
Ata - Venc     : 61/21 - 04.03.2022</t>
        </r>
      </text>
    </comment>
    <comment ref="O516" authorId="0" shapeId="0" xr:uid="{A90C5120-7CB5-4C46-8D74-A7ACAD2311CF}">
      <text>
        <r>
          <rPr>
            <sz val="10"/>
            <color indexed="81"/>
            <rFont val="Lucida Console"/>
            <family val="3"/>
          </rPr>
          <t>_x000D_
Pertencia a ATA nº 61/21_x000D_
Estimativa de Renovação enviada em 12.11.2020 - Qtd 300_x000D_
PE  11/21 lote _x000D_
19.02.21 = Finalizado</t>
        </r>
      </text>
    </comment>
    <comment ref="W516" authorId="0" shapeId="0" xr:uid="{EFC83B4A-F275-48C6-BD83-F67D230A48BB}">
      <text>
        <r>
          <rPr>
            <sz val="10"/>
            <color indexed="81"/>
            <rFont val="Lucida Console"/>
            <family val="3"/>
          </rPr>
          <t>_x000D_
DM-Elétrica</t>
        </r>
      </text>
    </comment>
    <comment ref="X516" authorId="0" shapeId="0" xr:uid="{65E1616F-1956-427F-B27B-452AD624C666}">
      <text>
        <r>
          <rPr>
            <sz val="10"/>
            <color indexed="81"/>
            <rFont val="Lucida Console"/>
            <family val="3"/>
          </rPr>
          <t>_x000D_
EQUIP. MAT. P/ GERACAO, TRANSM. DISTR. RETIF...</t>
        </r>
      </text>
    </comment>
    <comment ref="Y516" authorId="0" shapeId="0" xr:uid="{36EEF033-B4EA-4408-BC76-53E6F4A55D2C}">
      <text>
        <r>
          <rPr>
            <sz val="10"/>
            <color indexed="81"/>
            <rFont val="Lucida Console"/>
            <family val="3"/>
          </rPr>
          <t>_x000D_
FIOS E CABOS ELETRICOS</t>
        </r>
      </text>
    </comment>
    <comment ref="AW516" authorId="0" shapeId="0" xr:uid="{F6D35013-1567-4257-876E-397AFFC63288}">
      <text>
        <r>
          <rPr>
            <sz val="10"/>
            <color indexed="81"/>
            <rFont val="Lucida Console"/>
            <family val="3"/>
          </rPr>
          <t>Tempo de Estoque (Meses)_x000D_
_x000D_
557,0</t>
        </r>
      </text>
    </comment>
    <comment ref="A517" authorId="0" shapeId="0" xr:uid="{E0A0C67F-6EBC-43D6-92FD-834D5CC24430}">
      <text>
        <r>
          <rPr>
            <sz val="10"/>
            <color indexed="81"/>
            <rFont val="Lucida Console"/>
            <family val="3"/>
          </rPr>
          <t>_x000D_
140061</t>
        </r>
      </text>
    </comment>
    <comment ref="B517" authorId="0" shapeId="0" xr:uid="{E9C81022-7D54-406B-8EFD-E43EB6B62039}">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517" authorId="0" shapeId="0" xr:uid="{F4CCF39B-08CD-442D-A425-EDCDF2AB3F72}">
      <text>
        <r>
          <rPr>
            <sz val="10"/>
            <color indexed="81"/>
            <rFont val="Lucida Console"/>
            <family val="3"/>
          </rPr>
          <t>_x000D_
Últ estimativa : 0_x000D_
Enviada em     : 12.11.2020_x000D_
Ata - Venc     : 61/21 - 04.03.2022</t>
        </r>
      </text>
    </comment>
    <comment ref="O517" authorId="0" shapeId="0" xr:uid="{2871B3C7-AFB1-4DFD-B4F7-5BF3C6B00156}">
      <text>
        <r>
          <rPr>
            <sz val="10"/>
            <color indexed="81"/>
            <rFont val="Lucida Console"/>
            <family val="3"/>
          </rPr>
          <t>_x000D_
Pertencia a ATA nº 61/21_x000D_
Estimativa de Renovação enviada em 12.11.2020 - Qtd _x000D_
PE  11/21 lote _x000D_
19.02.21 = Finalizado</t>
        </r>
      </text>
    </comment>
    <comment ref="W517" authorId="0" shapeId="0" xr:uid="{4A4A1E34-82FD-4F97-BE17-8F012054FF52}">
      <text>
        <r>
          <rPr>
            <sz val="10"/>
            <color indexed="81"/>
            <rFont val="Lucida Console"/>
            <family val="3"/>
          </rPr>
          <t>_x000D_
DM-Elétrica</t>
        </r>
      </text>
    </comment>
    <comment ref="X517" authorId="0" shapeId="0" xr:uid="{7597BA11-24E8-47AB-B366-07712701021C}">
      <text>
        <r>
          <rPr>
            <sz val="10"/>
            <color indexed="81"/>
            <rFont val="Lucida Console"/>
            <family val="3"/>
          </rPr>
          <t>_x000D_
EQUIP. MAT. P/ GERACAO, TRANSM. DISTR. RETIF...</t>
        </r>
      </text>
    </comment>
    <comment ref="Y517" authorId="0" shapeId="0" xr:uid="{EEFE8814-78E8-431B-8403-8C7EBD0C045C}">
      <text>
        <r>
          <rPr>
            <sz val="10"/>
            <color indexed="81"/>
            <rFont val="Lucida Console"/>
            <family val="3"/>
          </rPr>
          <t>_x000D_
FIOS E CABOS ELETRICOS</t>
        </r>
      </text>
    </comment>
    <comment ref="AW517" authorId="0" shapeId="0" xr:uid="{E2CE5F03-0D57-4EB1-A0CC-F915DB88F028}">
      <text>
        <r>
          <rPr>
            <sz val="10"/>
            <color indexed="81"/>
            <rFont val="Lucida Console"/>
            <family val="3"/>
          </rPr>
          <t>Tempo de Estoque (Meses)_x000D_
_x000D_
271,0</t>
        </r>
      </text>
    </comment>
    <comment ref="A518" authorId="0" shapeId="0" xr:uid="{731789E3-8095-448E-828B-9F67F85B54E5}">
      <text>
        <r>
          <rPr>
            <sz val="10"/>
            <color indexed="81"/>
            <rFont val="Lucida Console"/>
            <family val="3"/>
          </rPr>
          <t>_x000D_
140063</t>
        </r>
      </text>
    </comment>
    <comment ref="B518" authorId="0" shapeId="0" xr:uid="{4306E90F-12D8-407D-9981-6E3F197B9B37}">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518" authorId="0" shapeId="0" xr:uid="{658E77AE-488B-474A-99D4-CE2C825AEBF5}">
      <text>
        <r>
          <rPr>
            <sz val="10"/>
            <color indexed="81"/>
            <rFont val="Lucida Console"/>
            <family val="3"/>
          </rPr>
          <t>_x000D_
Últ estimativa : 5.000_x000D_
Enviada em     : 12.11.2020_x000D_
Ata - Venc     : 61/21 - 04.03.2022</t>
        </r>
      </text>
    </comment>
    <comment ref="O518" authorId="0" shapeId="0" xr:uid="{2876D075-DB6F-4568-8521-8F3601A189F5}">
      <text>
        <r>
          <rPr>
            <sz val="10"/>
            <color indexed="81"/>
            <rFont val="Lucida Console"/>
            <family val="3"/>
          </rPr>
          <t>_x000D_
Pertencia a ATA nº 61/21_x000D_
Estimativa de Renovação enviada em 12.11.2020 - Qtd 5.000_x000D_
PE  11/21 lote _x000D_
19.02.21 = Finalizado</t>
        </r>
      </text>
    </comment>
    <comment ref="W518" authorId="0" shapeId="0" xr:uid="{8CFBD9F8-1F05-4776-B65B-374CF6170B17}">
      <text>
        <r>
          <rPr>
            <sz val="10"/>
            <color indexed="81"/>
            <rFont val="Lucida Console"/>
            <family val="3"/>
          </rPr>
          <t>_x000D_
DM-Elétrica</t>
        </r>
      </text>
    </comment>
    <comment ref="X518" authorId="0" shapeId="0" xr:uid="{45724AF7-22AA-468E-827B-9814AC7D460D}">
      <text>
        <r>
          <rPr>
            <sz val="10"/>
            <color indexed="81"/>
            <rFont val="Lucida Console"/>
            <family val="3"/>
          </rPr>
          <t>_x000D_
EQUIP. MAT. P/ GERACAO, TRANSM. DISTR. RETIF...</t>
        </r>
      </text>
    </comment>
    <comment ref="Y518" authorId="0" shapeId="0" xr:uid="{9E569D5B-50EB-4528-9CF1-E13E32AD6274}">
      <text>
        <r>
          <rPr>
            <sz val="10"/>
            <color indexed="81"/>
            <rFont val="Lucida Console"/>
            <family val="3"/>
          </rPr>
          <t>_x000D_
FIOS E CABOS ELETRICOS</t>
        </r>
      </text>
    </comment>
    <comment ref="AW518" authorId="0" shapeId="0" xr:uid="{F12EE828-DD99-4927-BA35-CA7CD165B83C}">
      <text>
        <r>
          <rPr>
            <sz val="10"/>
            <color indexed="81"/>
            <rFont val="Lucida Console"/>
            <family val="3"/>
          </rPr>
          <t>Tempo de Estoque (Meses)_x000D_
_x000D_
4.000,0</t>
        </r>
      </text>
    </comment>
    <comment ref="A519" authorId="0" shapeId="0" xr:uid="{6ED2F973-197E-42EF-B80F-32E2D121DB45}">
      <text>
        <r>
          <rPr>
            <sz val="10"/>
            <color indexed="81"/>
            <rFont val="Lucida Console"/>
            <family val="3"/>
          </rPr>
          <t>_x000D_
140241</t>
        </r>
      </text>
    </comment>
    <comment ref="B519" authorId="0" shapeId="0" xr:uid="{F5C79350-DEA9-4F19-B944-16CC3BF9E6F9}">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519" authorId="0" shapeId="0" xr:uid="{C80FB0D1-632E-40D3-ADEC-936DA162EDDB}">
      <text>
        <r>
          <rPr>
            <sz val="10"/>
            <color indexed="81"/>
            <rFont val="Lucida Console"/>
            <family val="3"/>
          </rPr>
          <t>_x000D_
Últ estimativa : 900_x000D_
Enviada em     : 12.11.2020_x000D_
Ata - Venc     : 61/21 - 04.03.2022</t>
        </r>
      </text>
    </comment>
    <comment ref="O519" authorId="0" shapeId="0" xr:uid="{77C8DB50-A20F-4470-AB52-4BA5EF81381E}">
      <text>
        <r>
          <rPr>
            <sz val="10"/>
            <color indexed="81"/>
            <rFont val="Lucida Console"/>
            <family val="3"/>
          </rPr>
          <t>_x000D_
Pertencia a ATA nº 61/21_x000D_
Estimativa de Renovação enviada em 12.11.2020 - Qtd 900_x000D_
PE  11/21 lote _x000D_
19.02.21 = Finalizado</t>
        </r>
      </text>
    </comment>
    <comment ref="W519" authorId="0" shapeId="0" xr:uid="{838A9626-913F-4C4C-BA36-583D0B8BBECF}">
      <text>
        <r>
          <rPr>
            <sz val="10"/>
            <color indexed="81"/>
            <rFont val="Lucida Console"/>
            <family val="3"/>
          </rPr>
          <t>_x000D_
DM-Elétrica</t>
        </r>
      </text>
    </comment>
    <comment ref="X519" authorId="0" shapeId="0" xr:uid="{D141E663-4A32-4B8E-8CB7-4F4A66A36750}">
      <text>
        <r>
          <rPr>
            <sz val="10"/>
            <color indexed="81"/>
            <rFont val="Lucida Console"/>
            <family val="3"/>
          </rPr>
          <t>_x000D_
EQUIP. MAT. P/ GERACAO, TRANSM. DISTR. RETIF...</t>
        </r>
      </text>
    </comment>
    <comment ref="Y519" authorId="0" shapeId="0" xr:uid="{ED33B5AC-2437-4B26-87BB-9ED03BB4ACAE}">
      <text>
        <r>
          <rPr>
            <sz val="10"/>
            <color indexed="81"/>
            <rFont val="Lucida Console"/>
            <family val="3"/>
          </rPr>
          <t>_x000D_
FIOS E CABOS ELETRICOS</t>
        </r>
      </text>
    </comment>
    <comment ref="AW519" authorId="0" shapeId="0" xr:uid="{3196AFB6-06EB-4402-8B30-8C9DECC4217C}">
      <text>
        <r>
          <rPr>
            <sz val="10"/>
            <color indexed="81"/>
            <rFont val="Lucida Console"/>
            <family val="3"/>
          </rPr>
          <t>Tempo de Estoque (Meses)_x000D_
_x000D_
500,0</t>
        </r>
      </text>
    </comment>
    <comment ref="A520" authorId="0" shapeId="0" xr:uid="{47B8DA0B-F0AD-4707-8F2B-755464CFD65F}">
      <text>
        <r>
          <rPr>
            <sz val="10"/>
            <color indexed="81"/>
            <rFont val="Lucida Console"/>
            <family val="3"/>
          </rPr>
          <t>_x000D_
140242</t>
        </r>
      </text>
    </comment>
    <comment ref="B520" authorId="0" shapeId="0" xr:uid="{10B9C797-EF68-4B42-B8B8-DF8C77CEEBEC}">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520" authorId="0" shapeId="0" xr:uid="{2C5EFAF3-AAF8-46B8-B749-FF0498BEAC63}">
      <text>
        <r>
          <rPr>
            <sz val="10"/>
            <color indexed="81"/>
            <rFont val="Lucida Console"/>
            <family val="3"/>
          </rPr>
          <t>_x000D_
Últ estimativa : 800_x000D_
Enviada em     : 12.11.2020_x000D_
Ata - Venc     : 61/21 - 04.03.2022</t>
        </r>
      </text>
    </comment>
    <comment ref="O520" authorId="0" shapeId="0" xr:uid="{37A758C2-7D00-483E-AF9C-A89DF5A53835}">
      <text>
        <r>
          <rPr>
            <sz val="10"/>
            <color indexed="81"/>
            <rFont val="Lucida Console"/>
            <family val="3"/>
          </rPr>
          <t>_x000D_
Pertencia a ATA nº 61/21_x000D_
Estimativa de Renovação enviada em 12.11.2020 - Qtd 800_x000D_
PE  11/21 lote _x000D_
19.02.21 = Finalizado</t>
        </r>
      </text>
    </comment>
    <comment ref="W520" authorId="0" shapeId="0" xr:uid="{BAB6494D-443C-4890-8E47-4D90174CAAE3}">
      <text>
        <r>
          <rPr>
            <sz val="10"/>
            <color indexed="81"/>
            <rFont val="Lucida Console"/>
            <family val="3"/>
          </rPr>
          <t>_x000D_
DM-Elétrica</t>
        </r>
      </text>
    </comment>
    <comment ref="X520" authorId="0" shapeId="0" xr:uid="{92122379-0CB8-4678-A162-41C7B78B5993}">
      <text>
        <r>
          <rPr>
            <sz val="10"/>
            <color indexed="81"/>
            <rFont val="Lucida Console"/>
            <family val="3"/>
          </rPr>
          <t>_x000D_
EQUIP. MAT. P/ GERACAO, TRANSM. DISTR. RETIF...</t>
        </r>
      </text>
    </comment>
    <comment ref="Y520" authorId="0" shapeId="0" xr:uid="{E108BF49-FA5A-4716-9A65-CF9A47ECAD74}">
      <text>
        <r>
          <rPr>
            <sz val="10"/>
            <color indexed="81"/>
            <rFont val="Lucida Console"/>
            <family val="3"/>
          </rPr>
          <t>_x000D_
FIOS E CABOS ELETRICOS</t>
        </r>
      </text>
    </comment>
    <comment ref="AW520" authorId="0" shapeId="0" xr:uid="{BE45C65F-9C55-4D63-973A-4BCCC14B172E}">
      <text>
        <r>
          <rPr>
            <sz val="10"/>
            <color indexed="81"/>
            <rFont val="Lucida Console"/>
            <family val="3"/>
          </rPr>
          <t>Tempo de Estoque (Meses)_x000D_
_x000D_
933,0</t>
        </r>
      </text>
    </comment>
    <comment ref="A521" authorId="0" shapeId="0" xr:uid="{BA382E0D-C4F4-4CA6-9787-2F0B85F8542F}">
      <text>
        <r>
          <rPr>
            <sz val="10"/>
            <color indexed="81"/>
            <rFont val="Lucida Console"/>
            <family val="3"/>
          </rPr>
          <t>_x000D_
77819</t>
        </r>
      </text>
    </comment>
    <comment ref="B521" authorId="0" shapeId="0" xr:uid="{6E9E83BA-163A-4A18-AD34-2E19D7272EC4}">
      <text>
        <r>
          <rPr>
            <sz val="10"/>
            <color indexed="81"/>
            <rFont val="Lucida Console"/>
            <family val="3"/>
          </rPr>
          <t>DESCRIÇÃO DETALHADA_x000D_
BOBINA DE SACO PLASTICO PICOTADO PARA EMBALAGEM - MED. 35 X 45 CM</t>
        </r>
      </text>
    </comment>
    <comment ref="G521" authorId="0" shapeId="0" xr:uid="{1680E1BE-7CC3-4608-B116-722EC1BCF78F}">
      <text>
        <r>
          <rPr>
            <sz val="10"/>
            <color indexed="81"/>
            <rFont val="Lucida Console"/>
            <family val="3"/>
          </rPr>
          <t>_x000D_
Últ estimativa : 2.500_x000D_
Enviada em     : 24.11.2020_x000D_
Ata - Venc     : 64/20 - 17.03.2021</t>
        </r>
      </text>
    </comment>
    <comment ref="O521" authorId="0" shapeId="0" xr:uid="{BC0F5D84-9032-4DE0-805C-E282FE5B372B}">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521" authorId="0" shapeId="0" xr:uid="{EF1B50CA-A670-4F9D-8591-E8E85C712C07}">
      <text>
        <r>
          <rPr>
            <sz val="10"/>
            <color indexed="81"/>
            <rFont val="Lucida Console"/>
            <family val="3"/>
          </rPr>
          <t>_x000D_
Administrativo</t>
        </r>
      </text>
    </comment>
    <comment ref="X521" authorId="0" shapeId="0" xr:uid="{0323B5CE-B61B-4230-ADC7-78394790CEA6}">
      <text>
        <r>
          <rPr>
            <sz val="10"/>
            <color indexed="81"/>
            <rFont val="Lucida Console"/>
            <family val="3"/>
          </rPr>
          <t>_x000D_
EQUIP.E MAT. P/REFEITORIO, COPA E COZINHA</t>
        </r>
      </text>
    </comment>
    <comment ref="Y521" authorId="0" shapeId="0" xr:uid="{D2DC51CB-AEF0-4292-863E-DC9920971776}">
      <text>
        <r>
          <rPr>
            <sz val="10"/>
            <color indexed="81"/>
            <rFont val="Lucida Console"/>
            <family val="3"/>
          </rPr>
          <t>_x000D_
EMBALAGENS DIVERSAS</t>
        </r>
      </text>
    </comment>
    <comment ref="AW521" authorId="0" shapeId="0" xr:uid="{7A43196E-3B6E-43C8-9BD9-E7DDBCDC8531}">
      <text>
        <r>
          <rPr>
            <sz val="10"/>
            <color indexed="81"/>
            <rFont val="Lucida Console"/>
            <family val="3"/>
          </rPr>
          <t>Tempo de Estoque (Meses)_x000D_
_x000D_
3.544,0</t>
        </r>
      </text>
    </comment>
    <comment ref="A522" authorId="0" shapeId="0" xr:uid="{7802E9FC-E3DB-4B91-ADEE-8AA99D652A9D}">
      <text>
        <r>
          <rPr>
            <sz val="10"/>
            <color indexed="81"/>
            <rFont val="Lucida Console"/>
            <family val="3"/>
          </rPr>
          <t>_x000D_
115282</t>
        </r>
      </text>
    </comment>
    <comment ref="B522" authorId="0" shapeId="0" xr:uid="{1B816E67-C982-43AC-9419-970CA7B846D7}">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522" authorId="0" shapeId="0" xr:uid="{B7448203-5D80-47E0-B138-F9BFB3FDA737}">
      <text>
        <r>
          <rPr>
            <sz val="10"/>
            <color indexed="81"/>
            <rFont val="Lucida Console"/>
            <family val="3"/>
          </rPr>
          <t>_x000D_
Últ estimativa : 600_x000D_
Enviada em     : 24.11.2020_x000D_
Ata - Venc     : 64/20 - 17.03.2021</t>
        </r>
      </text>
    </comment>
    <comment ref="O522" authorId="0" shapeId="0" xr:uid="{5BC8DE82-7F84-4D65-BF62-84BED8B17349}">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522" authorId="0" shapeId="0" xr:uid="{30765063-994D-4E44-AC0C-B682B1E023C9}">
      <text>
        <r>
          <rPr>
            <sz val="10"/>
            <color indexed="81"/>
            <rFont val="Lucida Console"/>
            <family val="3"/>
          </rPr>
          <t>_x000D_
Administrativo</t>
        </r>
      </text>
    </comment>
    <comment ref="X522" authorId="0" shapeId="0" xr:uid="{120A5166-7F38-484D-9D8A-388CB3CE1E6A}">
      <text>
        <r>
          <rPr>
            <sz val="10"/>
            <color indexed="81"/>
            <rFont val="Lucida Console"/>
            <family val="3"/>
          </rPr>
          <t>_x000D_
EMBALAG., RECIP., ACESSOR., EQUIP., MATER. P/ACONDICIO</t>
        </r>
      </text>
    </comment>
    <comment ref="Y522" authorId="0" shapeId="0" xr:uid="{4E746363-2106-4018-91AD-17630D50411F}">
      <text>
        <r>
          <rPr>
            <sz val="10"/>
            <color indexed="81"/>
            <rFont val="Lucida Console"/>
            <family val="3"/>
          </rPr>
          <t>_x000D_
CARRETEIS E BOBINAS</t>
        </r>
      </text>
    </comment>
    <comment ref="AW522" authorId="0" shapeId="0" xr:uid="{387D432A-F730-4D71-A8C4-5559E8EA2363}">
      <text>
        <r>
          <rPr>
            <sz val="10"/>
            <color indexed="81"/>
            <rFont val="Lucida Console"/>
            <family val="3"/>
          </rPr>
          <t>Tempo de Estoque (Meses)_x000D_
_x000D_
2.080,0</t>
        </r>
      </text>
    </comment>
    <comment ref="A523" authorId="0" shapeId="0" xr:uid="{B18A5126-4546-4E06-A77A-A1659F74704D}">
      <text>
        <r>
          <rPr>
            <sz val="10"/>
            <color indexed="81"/>
            <rFont val="Lucida Console"/>
            <family val="3"/>
          </rPr>
          <t>_x000D_
14921</t>
        </r>
      </text>
    </comment>
    <comment ref="B523" authorId="0" shapeId="0" xr:uid="{D790976E-50BD-4F36-8311-7E5745671952}">
      <text>
        <r>
          <rPr>
            <sz val="10"/>
            <color indexed="81"/>
            <rFont val="Lucida Console"/>
            <family val="3"/>
          </rPr>
          <t>DESCRIÇÃO DETALHADA_x000D_
FITA ISOLANTE 19 MM X 20 M</t>
        </r>
      </text>
    </comment>
    <comment ref="G523" authorId="0" shapeId="0" xr:uid="{92AB0FD8-C31B-446D-B619-7CA8ACEA4400}">
      <text>
        <r>
          <rPr>
            <sz val="10"/>
            <color indexed="81"/>
            <rFont val="Lucida Console"/>
            <family val="3"/>
          </rPr>
          <t>_x000D_
Últ estimativa : 1.500_x000D_
Enviada em     : 19.10.2018_x000D_
Ata - Venc     : 70/19 - 28.02.2020</t>
        </r>
      </text>
    </comment>
    <comment ref="O523" authorId="0" shapeId="0" xr:uid="{CAE8C59E-7949-4953-8C6A-2FA752B5890F}">
      <text>
        <r>
          <rPr>
            <sz val="10"/>
            <color indexed="81"/>
            <rFont val="Lucida Console"/>
            <family val="3"/>
          </rPr>
          <t>_x000D_
Pertencia a ATA nº 70/19_x000D_
Estimativa de Renovação enviada em 19.10.2018 - Qtd 1.500_x000D_
PP  11/19 lote _x000D_
15.03.19 = Finalizar - contrato assinado. Ata 70/19.</t>
        </r>
      </text>
    </comment>
    <comment ref="W523" authorId="0" shapeId="0" xr:uid="{D9D37DF9-D7A0-4EFC-ADC5-0B54115B1803}">
      <text>
        <r>
          <rPr>
            <sz val="10"/>
            <color indexed="81"/>
            <rFont val="Lucida Console"/>
            <family val="3"/>
          </rPr>
          <t>_x000D_
DM-Elétrica</t>
        </r>
      </text>
    </comment>
    <comment ref="X523" authorId="0" shapeId="0" xr:uid="{34EFEAD0-EDC1-4C2E-9EA6-226EBE2FB394}">
      <text>
        <r>
          <rPr>
            <sz val="10"/>
            <color indexed="81"/>
            <rFont val="Lucida Console"/>
            <family val="3"/>
          </rPr>
          <t>_x000D_
EQUIP. MAT. P/ GERACAO, TRANSM. DISTR. RETIF...</t>
        </r>
      </text>
    </comment>
    <comment ref="Y523" authorId="0" shapeId="0" xr:uid="{D875113D-CA71-408D-B36A-64F627243AE9}">
      <text>
        <r>
          <rPr>
            <sz val="10"/>
            <color indexed="81"/>
            <rFont val="Lucida Console"/>
            <family val="3"/>
          </rPr>
          <t>_x000D_
ISOLADORES ELETRICOS E MATERIAIS PARA...</t>
        </r>
      </text>
    </comment>
    <comment ref="AW523" authorId="0" shapeId="0" xr:uid="{19989821-0589-4BEE-BE67-60F9E0C21C93}">
      <text>
        <r>
          <rPr>
            <sz val="10"/>
            <color indexed="81"/>
            <rFont val="Lucida Console"/>
            <family val="3"/>
          </rPr>
          <t>Tempo de Estoque (Meses)_x000D_
_x000D_
1.161,0</t>
        </r>
      </text>
    </comment>
    <comment ref="A524" authorId="0" shapeId="0" xr:uid="{9CDEFF23-2C80-42E7-BA19-F6A191EEA6CC}">
      <text>
        <r>
          <rPr>
            <sz val="10"/>
            <color indexed="81"/>
            <rFont val="Lucida Console"/>
            <family val="3"/>
          </rPr>
          <t>_x000D_
52129</t>
        </r>
      </text>
    </comment>
    <comment ref="B524" authorId="0" shapeId="0" xr:uid="{6C4865E8-18DF-4707-A473-BD9012148E46}">
      <text>
        <r>
          <rPr>
            <sz val="10"/>
            <color indexed="81"/>
            <rFont val="Lucida Console"/>
            <family val="3"/>
          </rPr>
          <t>DESCRIÇÃO DETALHADA_x000D_
DISCO DE CORTE PARA POLICORTE - MED. 10" DIAMETRO EXTERNO -3/4" DIAMETRO INTERNO - 1/8" ESPESSURA</t>
        </r>
      </text>
    </comment>
    <comment ref="G524" authorId="0" shapeId="0" xr:uid="{7BB39256-87CF-4DC4-B6AD-5EA6B9C04D01}">
      <text>
        <r>
          <rPr>
            <sz val="10"/>
            <color indexed="81"/>
            <rFont val="Lucida Console"/>
            <family val="3"/>
          </rPr>
          <t>_x000D_
Últ estimativa : 700_x000D_
Enviada em     : 24.10.2019_x000D_
Ata - Venc     : 70/19 - 28.02.2020</t>
        </r>
      </text>
    </comment>
    <comment ref="O524" authorId="0" shapeId="0" xr:uid="{B1835708-A889-4048-8D74-5C0D614D9914}">
      <text>
        <r>
          <rPr>
            <sz val="10"/>
            <color indexed="81"/>
            <rFont val="Lucida Console"/>
            <family val="3"/>
          </rPr>
          <t>_x000D_
Pertencia a ATA nº 70/19_x000D_
Estimativa de Renovação enviada em 24.10.2019 - Qtd 700_x000D_
PE   2/20 lote 8 (Impróspero)_x000D_
23.04.20 = Processo conferido, finalizado.</t>
        </r>
      </text>
    </comment>
    <comment ref="W524" authorId="0" shapeId="0" xr:uid="{727A1142-490D-484A-8EE0-80284AA1FE5E}">
      <text>
        <r>
          <rPr>
            <sz val="10"/>
            <color indexed="81"/>
            <rFont val="Lucida Console"/>
            <family val="3"/>
          </rPr>
          <t>_x000D_
DM-Serralheria</t>
        </r>
      </text>
    </comment>
    <comment ref="X524" authorId="0" shapeId="0" xr:uid="{E79BA21E-F6D2-4402-AB70-B8E2D429D6CA}">
      <text>
        <r>
          <rPr>
            <sz val="10"/>
            <color indexed="81"/>
            <rFont val="Lucida Console"/>
            <family val="3"/>
          </rPr>
          <t>_x000D_
FERRAMENTAS MAQ.FERRAMENTAS,ELETR.PECAS E ACESSORI</t>
        </r>
      </text>
    </comment>
    <comment ref="Y524" authorId="0" shapeId="0" xr:uid="{C8DF7327-9FB2-412C-AF67-36D7882398D5}">
      <text>
        <r>
          <rPr>
            <sz val="10"/>
            <color indexed="81"/>
            <rFont val="Lucida Console"/>
            <family val="3"/>
          </rPr>
          <t>_x000D_
DISCOS, LAMINAS E FITAS DE SERRAS ELETRICAS</t>
        </r>
      </text>
    </comment>
    <comment ref="AW524" authorId="0" shapeId="0" xr:uid="{B22DB7B4-EAAB-451B-944E-DF7638DD716C}">
      <text>
        <r>
          <rPr>
            <sz val="10"/>
            <color indexed="81"/>
            <rFont val="Lucida Console"/>
            <family val="3"/>
          </rPr>
          <t>Tempo de Estoque (Meses)_x000D_
_x000D_
455,0</t>
        </r>
      </text>
    </comment>
    <comment ref="A525" authorId="0" shapeId="0" xr:uid="{FA5EF2EE-6FFF-4410-AFE6-EBA3CFED7609}">
      <text>
        <r>
          <rPr>
            <sz val="10"/>
            <color indexed="81"/>
            <rFont val="Lucida Console"/>
            <family val="3"/>
          </rPr>
          <t>_x000D_
134560</t>
        </r>
      </text>
    </comment>
    <comment ref="B525" authorId="0" shapeId="0" xr:uid="{616A1E82-CC7E-46D4-89AA-0F0B5AF94791}">
      <text>
        <r>
          <rPr>
            <sz val="10"/>
            <color indexed="81"/>
            <rFont val="Lucida Console"/>
            <family val="3"/>
          </rPr>
          <t>DESCRIÇÃO DETALHADA_x000D_
LAMINA DE SERRA EM ACO RAPIDO BI-METAL 1/2" X 12", 18 DPP (DENTES POR POLEGADA), ESPESSURA DE NO MINIMO 0,6 MM</t>
        </r>
      </text>
    </comment>
    <comment ref="G525" authorId="0" shapeId="0" xr:uid="{24620B8A-2568-4182-95DE-2211F8024CD1}">
      <text>
        <r>
          <rPr>
            <sz val="10"/>
            <color indexed="81"/>
            <rFont val="Lucida Console"/>
            <family val="3"/>
          </rPr>
          <t>_x000D_
Últ estimativa : 700_x000D_
Enviada em     : 24.10.2019_x000D_
Ata - Venc     : 70/19 - 28.02.2020</t>
        </r>
      </text>
    </comment>
    <comment ref="O525" authorId="0" shapeId="0" xr:uid="{9EF40E6A-0097-43DB-8038-8D0607902AB2}">
      <text>
        <r>
          <rPr>
            <sz val="10"/>
            <color indexed="81"/>
            <rFont val="Lucida Console"/>
            <family val="3"/>
          </rPr>
          <t>_x000D_
Pertencia a ATA nº 70/19_x000D_
Estimativa de Renovação enviada em 24.10.2019 - Qtd 700_x000D_
PE   2/20 lote 3 (Impróspero)_x000D_
23.04.20 = Processo conferido, finalizado.</t>
        </r>
      </text>
    </comment>
    <comment ref="W525" authorId="0" shapeId="0" xr:uid="{449B6D56-7482-46D3-91EC-A06C99CFC995}">
      <text>
        <r>
          <rPr>
            <sz val="10"/>
            <color indexed="81"/>
            <rFont val="Lucida Console"/>
            <family val="3"/>
          </rPr>
          <t>_x000D_
DM-Serralheria</t>
        </r>
      </text>
    </comment>
    <comment ref="X525" authorId="0" shapeId="0" xr:uid="{C25054B6-1D0C-4A00-B296-514F95CE699C}">
      <text>
        <r>
          <rPr>
            <sz val="10"/>
            <color indexed="81"/>
            <rFont val="Lucida Console"/>
            <family val="3"/>
          </rPr>
          <t>_x000D_
FERRAMENTAS MAQ.FERRAMENTAS,ELETR.PECAS E ACESSORI</t>
        </r>
      </text>
    </comment>
    <comment ref="Y525" authorId="0" shapeId="0" xr:uid="{6AB73914-8F8F-44E2-87A1-8FAA69B26421}">
      <text>
        <r>
          <rPr>
            <sz val="10"/>
            <color indexed="81"/>
            <rFont val="Lucida Console"/>
            <family val="3"/>
          </rPr>
          <t>_x000D_
DISCOS, LAMINAS E FITAS DE SERRAS ELETRICAS</t>
        </r>
      </text>
    </comment>
    <comment ref="AW525" authorId="0" shapeId="0" xr:uid="{CFE20D47-7183-43E8-A5FD-506D982A00F2}">
      <text>
        <r>
          <rPr>
            <sz val="10"/>
            <color indexed="81"/>
            <rFont val="Lucida Console"/>
            <family val="3"/>
          </rPr>
          <t>Tempo de Estoque (Meses)_x000D_
_x000D_
0,0</t>
        </r>
      </text>
    </comment>
    <comment ref="A526" authorId="0" shapeId="0" xr:uid="{D559C11E-79B3-4FF3-A33E-1D1AA730969C}">
      <text>
        <r>
          <rPr>
            <sz val="10"/>
            <color indexed="81"/>
            <rFont val="Lucida Console"/>
            <family val="3"/>
          </rPr>
          <t>_x000D_
19871</t>
        </r>
      </text>
    </comment>
    <comment ref="B526" authorId="0" shapeId="0" xr:uid="{F4B6C7E4-1A39-466D-A480-5A9BF461F03E}">
      <text>
        <r>
          <rPr>
            <sz val="10"/>
            <color indexed="81"/>
            <rFont val="Lucida Console"/>
            <family val="3"/>
          </rPr>
          <t>DESCRIÇÃO DETALHADA_x000D_
BROCA DE WIDIA 1/4"</t>
        </r>
      </text>
    </comment>
    <comment ref="G526" authorId="0" shapeId="0" xr:uid="{691ECB09-25FA-40FC-9998-719CE18FB8D7}">
      <text>
        <r>
          <rPr>
            <sz val="10"/>
            <color indexed="81"/>
            <rFont val="Lucida Console"/>
            <family val="3"/>
          </rPr>
          <t>_x000D_
Últ estimativa : 150_x000D_
Enviada em     : 24.10.2019_x000D_
Ata - Venc     : 70/19 - 28.02.2020</t>
        </r>
      </text>
    </comment>
    <comment ref="O526" authorId="0" shapeId="0" xr:uid="{A38F1D7A-CC3A-4C2D-A05D-419AC6189AC7}">
      <text>
        <r>
          <rPr>
            <sz val="10"/>
            <color indexed="81"/>
            <rFont val="Lucida Console"/>
            <family val="3"/>
          </rPr>
          <t>_x000D_
Pertencia a ATA nº 70/19_x000D_
Estimativa de Renovação enviada em 24.10.2019 - Qtd 150_x000D_
PE   2/20 lote 3 (Impróspero)_x000D_
23.04.20 = Processo conferido, finalizado.</t>
        </r>
      </text>
    </comment>
    <comment ref="W526" authorId="0" shapeId="0" xr:uid="{2959583D-17C9-44A8-83F3-CDB872807EEF}">
      <text>
        <r>
          <rPr>
            <sz val="10"/>
            <color indexed="81"/>
            <rFont val="Lucida Console"/>
            <family val="3"/>
          </rPr>
          <t>_x000D_
DM-Serralheria</t>
        </r>
      </text>
    </comment>
    <comment ref="X526" authorId="0" shapeId="0" xr:uid="{E7802219-D05A-4661-AA58-37EE3EDDC285}">
      <text>
        <r>
          <rPr>
            <sz val="10"/>
            <color indexed="81"/>
            <rFont val="Lucida Console"/>
            <family val="3"/>
          </rPr>
          <t>_x000D_
FERRAMENTAS MAQ.FERRAMENTAS,ELETR.PECAS E ACESSORI</t>
        </r>
      </text>
    </comment>
    <comment ref="Y526" authorId="0" shapeId="0" xr:uid="{914A3F10-49BF-4B0D-B58D-A780175F12EC}">
      <text>
        <r>
          <rPr>
            <sz val="10"/>
            <color indexed="81"/>
            <rFont val="Lucida Console"/>
            <family val="3"/>
          </rPr>
          <t>_x000D_
BROCAS</t>
        </r>
      </text>
    </comment>
    <comment ref="AW526" authorId="0" shapeId="0" xr:uid="{8590AD81-A24B-4673-BE75-2A9B503346A7}">
      <text>
        <r>
          <rPr>
            <sz val="10"/>
            <color indexed="81"/>
            <rFont val="Lucida Console"/>
            <family val="3"/>
          </rPr>
          <t>Tempo de Estoque (Meses)_x000D_
_x000D_
95,0</t>
        </r>
      </text>
    </comment>
    <comment ref="A527" authorId="0" shapeId="0" xr:uid="{7E6AEA50-C35B-43D2-AFF2-9D6B80515F15}">
      <text>
        <r>
          <rPr>
            <sz val="10"/>
            <color indexed="81"/>
            <rFont val="Lucida Console"/>
            <family val="3"/>
          </rPr>
          <t>_x000D_
20001</t>
        </r>
      </text>
    </comment>
    <comment ref="B527" authorId="0" shapeId="0" xr:uid="{B3DBEC1B-A5C4-4E83-8EEA-79CE0A51380E}">
      <text>
        <r>
          <rPr>
            <sz val="10"/>
            <color indexed="81"/>
            <rFont val="Lucida Console"/>
            <family val="3"/>
          </rPr>
          <t>DESCRIÇÃO DETALHADA_x000D_
BROCA DE ACO RAPIDO HELICOIDAL DE 1/8" COM HASTE CILINDRICA</t>
        </r>
      </text>
    </comment>
    <comment ref="G527" authorId="0" shapeId="0" xr:uid="{ABB33E72-93BA-4077-929C-224401BC0FF5}">
      <text>
        <r>
          <rPr>
            <sz val="10"/>
            <color indexed="81"/>
            <rFont val="Lucida Console"/>
            <family val="3"/>
          </rPr>
          <t>_x000D_
Últ estimativa : 800_x000D_
Enviada em     : 24.10.2019_x000D_
Ata - Venc     : 70/19 - 28.02.2020</t>
        </r>
      </text>
    </comment>
    <comment ref="O527" authorId="0" shapeId="0" xr:uid="{31C6CD8D-F0F6-4873-B9E9-2FB23C90247A}">
      <text>
        <r>
          <rPr>
            <sz val="10"/>
            <color indexed="81"/>
            <rFont val="Lucida Console"/>
            <family val="3"/>
          </rPr>
          <t>_x000D_
Pertencia a ATA nº 70/19_x000D_
Estimativa de Renovação enviada em 24.10.2019 - Qtd 800_x000D_
PE   2/20 lote 3 (Impróspero)_x000D_
23.04.20 = Processo conferido, finalizado.</t>
        </r>
      </text>
    </comment>
    <comment ref="W527" authorId="0" shapeId="0" xr:uid="{45E7FD65-4B7B-45F1-B744-2896D6FC15B3}">
      <text>
        <r>
          <rPr>
            <sz val="10"/>
            <color indexed="81"/>
            <rFont val="Lucida Console"/>
            <family val="3"/>
          </rPr>
          <t>_x000D_
DM-Serralheria</t>
        </r>
      </text>
    </comment>
    <comment ref="X527" authorId="0" shapeId="0" xr:uid="{316D8AE7-58CC-4663-AFB1-5FD99CF8DBFD}">
      <text>
        <r>
          <rPr>
            <sz val="10"/>
            <color indexed="81"/>
            <rFont val="Lucida Console"/>
            <family val="3"/>
          </rPr>
          <t>_x000D_
FERRAMENTAS MAQ.FERRAMENTAS,ELETR.PECAS E ACESSORI</t>
        </r>
      </text>
    </comment>
    <comment ref="Y527" authorId="0" shapeId="0" xr:uid="{5AB9DD9D-836F-4881-A3F2-FD3EFD24D646}">
      <text>
        <r>
          <rPr>
            <sz val="10"/>
            <color indexed="81"/>
            <rFont val="Lucida Console"/>
            <family val="3"/>
          </rPr>
          <t>_x000D_
BROCAS</t>
        </r>
      </text>
    </comment>
    <comment ref="AW527" authorId="0" shapeId="0" xr:uid="{50B4532A-4BB5-44ED-88FC-35FE76512CB1}">
      <text>
        <r>
          <rPr>
            <sz val="10"/>
            <color indexed="81"/>
            <rFont val="Lucida Console"/>
            <family val="3"/>
          </rPr>
          <t>Tempo de Estoque (Meses)_x000D_
_x000D_
0,0</t>
        </r>
      </text>
    </comment>
    <comment ref="A528" authorId="0" shapeId="0" xr:uid="{CD3BCBF5-E214-4F96-9070-E1CC5396F11B}">
      <text>
        <r>
          <rPr>
            <sz val="10"/>
            <color indexed="81"/>
            <rFont val="Lucida Console"/>
            <family val="3"/>
          </rPr>
          <t>_x000D_
20034</t>
        </r>
      </text>
    </comment>
    <comment ref="B528" authorId="0" shapeId="0" xr:uid="{4E7A042A-A837-49D9-8C58-89D916EBE717}">
      <text>
        <r>
          <rPr>
            <sz val="10"/>
            <color indexed="81"/>
            <rFont val="Lucida Console"/>
            <family val="3"/>
          </rPr>
          <t>DESCRIÇÃO DETALHADA_x000D_
BROCA DE ACO RAPIDO HELICOIDAL DE 3/16" COM HASTE CILINDRICA</t>
        </r>
      </text>
    </comment>
    <comment ref="G528" authorId="0" shapeId="0" xr:uid="{C07895F1-7564-44A7-BBC3-845C94ADA43E}">
      <text>
        <r>
          <rPr>
            <sz val="10"/>
            <color indexed="81"/>
            <rFont val="Lucida Console"/>
            <family val="3"/>
          </rPr>
          <t>_x000D_
Últ estimativa : 1.500_x000D_
Enviada em     : 24.10.2019_x000D_
Ata - Venc     : 70/19 - 28.02.2020</t>
        </r>
      </text>
    </comment>
    <comment ref="O528" authorId="0" shapeId="0" xr:uid="{F966FE13-5326-451C-A68B-F987AA1B8E60}">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528" authorId="0" shapeId="0" xr:uid="{FD5F76CB-E479-4B56-8D54-932E1CECD3BF}">
      <text>
        <r>
          <rPr>
            <sz val="10"/>
            <color indexed="81"/>
            <rFont val="Lucida Console"/>
            <family val="3"/>
          </rPr>
          <t>_x000D_
DM-Serralheria</t>
        </r>
      </text>
    </comment>
    <comment ref="X528" authorId="0" shapeId="0" xr:uid="{FC84D1F4-99E3-4CF1-BFA4-2505F5139205}">
      <text>
        <r>
          <rPr>
            <sz val="10"/>
            <color indexed="81"/>
            <rFont val="Lucida Console"/>
            <family val="3"/>
          </rPr>
          <t>_x000D_
FERRAMENTAS MAQ.FERRAMENTAS,ELETR.PECAS E ACESSORI</t>
        </r>
      </text>
    </comment>
    <comment ref="Y528" authorId="0" shapeId="0" xr:uid="{15B31CD3-7EF6-47E7-96B9-E047C81B1807}">
      <text>
        <r>
          <rPr>
            <sz val="10"/>
            <color indexed="81"/>
            <rFont val="Lucida Console"/>
            <family val="3"/>
          </rPr>
          <t>_x000D_
BROCAS</t>
        </r>
      </text>
    </comment>
    <comment ref="AW528" authorId="0" shapeId="0" xr:uid="{CFA672BB-65F0-4C38-B187-AC2462E3DEDA}">
      <text>
        <r>
          <rPr>
            <sz val="10"/>
            <color indexed="81"/>
            <rFont val="Lucida Console"/>
            <family val="3"/>
          </rPr>
          <t>Tempo de Estoque (Meses)_x000D_
_x000D_
241,0</t>
        </r>
      </text>
    </comment>
    <comment ref="A529" authorId="0" shapeId="0" xr:uid="{917DEB18-BA01-4773-9B9A-1C312706237C}">
      <text>
        <r>
          <rPr>
            <sz val="10"/>
            <color indexed="81"/>
            <rFont val="Lucida Console"/>
            <family val="3"/>
          </rPr>
          <t>_x000D_
20035</t>
        </r>
      </text>
    </comment>
    <comment ref="B529" authorId="0" shapeId="0" xr:uid="{D1019364-38C1-484C-B031-403833E83891}">
      <text>
        <r>
          <rPr>
            <sz val="10"/>
            <color indexed="81"/>
            <rFont val="Lucida Console"/>
            <family val="3"/>
          </rPr>
          <t>DESCRIÇÃO DETALHADA_x000D_
BROCA DE ACO RAPIDO HELICOIDAL DE 3/32" COM HASTE CILINDRICA</t>
        </r>
      </text>
    </comment>
    <comment ref="G529" authorId="0" shapeId="0" xr:uid="{E3FC31E1-9E70-40B9-9CE2-82EDEF8F118C}">
      <text>
        <r>
          <rPr>
            <sz val="10"/>
            <color indexed="81"/>
            <rFont val="Lucida Console"/>
            <family val="3"/>
          </rPr>
          <t>_x000D_
Últ estimativa : 230_x000D_
Enviada em     : 24.10.2019_x000D_
Ata - Venc     : 70/19 - 28.02.2020</t>
        </r>
      </text>
    </comment>
    <comment ref="O529" authorId="0" shapeId="0" xr:uid="{227F70EA-7CF2-4C9A-8A12-F39845E3D81E}">
      <text>
        <r>
          <rPr>
            <sz val="10"/>
            <color indexed="81"/>
            <rFont val="Lucida Console"/>
            <family val="3"/>
          </rPr>
          <t>_x000D_
Pertencia a ATA nº 70/19_x000D_
Estimativa de Renovação enviada em 24.10.2019 - Qtd 230_x000D_
PE   2/20 lote 3 (Impróspero)_x000D_
23.04.20 = Processo conferido, finalizado.</t>
        </r>
      </text>
    </comment>
    <comment ref="W529" authorId="0" shapeId="0" xr:uid="{B25C0F9E-B825-4751-8A8E-45BDE96C34BC}">
      <text>
        <r>
          <rPr>
            <sz val="10"/>
            <color indexed="81"/>
            <rFont val="Lucida Console"/>
            <family val="3"/>
          </rPr>
          <t>_x000D_
DM-Serralheria</t>
        </r>
      </text>
    </comment>
    <comment ref="X529" authorId="0" shapeId="0" xr:uid="{652F6825-5F4A-4391-9531-CF0639C98FAE}">
      <text>
        <r>
          <rPr>
            <sz val="10"/>
            <color indexed="81"/>
            <rFont val="Lucida Console"/>
            <family val="3"/>
          </rPr>
          <t>_x000D_
FERRAMENTAS MAQ.FERRAMENTAS,ELETR.PECAS E ACESSORI</t>
        </r>
      </text>
    </comment>
    <comment ref="Y529" authorId="0" shapeId="0" xr:uid="{3615B055-6CF3-4864-A157-58DAEBB8A74B}">
      <text>
        <r>
          <rPr>
            <sz val="10"/>
            <color indexed="81"/>
            <rFont val="Lucida Console"/>
            <family val="3"/>
          </rPr>
          <t>_x000D_
BROCAS</t>
        </r>
      </text>
    </comment>
    <comment ref="AW529" authorId="0" shapeId="0" xr:uid="{6238BD0E-71AC-43B7-9C77-07C2A4A21E9F}">
      <text>
        <r>
          <rPr>
            <sz val="10"/>
            <color indexed="81"/>
            <rFont val="Lucida Console"/>
            <family val="3"/>
          </rPr>
          <t>Tempo de Estoque (Meses)_x000D_
_x000D_
849,0</t>
        </r>
      </text>
    </comment>
    <comment ref="A530" authorId="0" shapeId="0" xr:uid="{07EF7CA4-2040-4FA4-8354-34E6ADE03C36}">
      <text>
        <r>
          <rPr>
            <sz val="10"/>
            <color indexed="81"/>
            <rFont val="Lucida Console"/>
            <family val="3"/>
          </rPr>
          <t>_x000D_
20104</t>
        </r>
      </text>
    </comment>
    <comment ref="B530" authorId="0" shapeId="0" xr:uid="{F3867C99-EDA7-49BB-AF5F-4E1AC7378CCC}">
      <text>
        <r>
          <rPr>
            <sz val="10"/>
            <color indexed="81"/>
            <rFont val="Lucida Console"/>
            <family val="3"/>
          </rPr>
          <t>DESCRIÇÃO DETALHADA_x000D_
BROCA DE ACO RAPIDO HELICOIDAL DE 5/16" COM HASTE CILINDRICA</t>
        </r>
      </text>
    </comment>
    <comment ref="G530" authorId="0" shapeId="0" xr:uid="{A5E72071-95A9-4DF6-9BC8-DCA7FC896922}">
      <text>
        <r>
          <rPr>
            <sz val="10"/>
            <color indexed="81"/>
            <rFont val="Lucida Console"/>
            <family val="3"/>
          </rPr>
          <t>_x000D_
Últ estimativa : 250_x000D_
Enviada em     : 24.10.2019_x000D_
Ata - Venc     : 70/19 - 28.02.2020</t>
        </r>
      </text>
    </comment>
    <comment ref="O530" authorId="0" shapeId="0" xr:uid="{6463F4C5-8281-4F97-B004-C032834C9B0A}">
      <text>
        <r>
          <rPr>
            <sz val="10"/>
            <color indexed="81"/>
            <rFont val="Lucida Console"/>
            <family val="3"/>
          </rPr>
          <t>_x000D_
Pertencia a ATA nº 70/19_x000D_
Estimativa de Renovação enviada em 24.10.2019 - Qtd 250_x000D_
PE   2/20 lote 5 (Impróspero)_x000D_
23.04.20 = Processo conferido, finalizado.</t>
        </r>
      </text>
    </comment>
    <comment ref="W530" authorId="0" shapeId="0" xr:uid="{C39D71C0-36E9-4788-9F01-A66C5D39C92B}">
      <text>
        <r>
          <rPr>
            <sz val="10"/>
            <color indexed="81"/>
            <rFont val="Lucida Console"/>
            <family val="3"/>
          </rPr>
          <t>_x000D_
DM-Serralheria</t>
        </r>
      </text>
    </comment>
    <comment ref="X530" authorId="0" shapeId="0" xr:uid="{73F7D7AD-1C1B-40A3-8040-FC1A98CAA414}">
      <text>
        <r>
          <rPr>
            <sz val="10"/>
            <color indexed="81"/>
            <rFont val="Lucida Console"/>
            <family val="3"/>
          </rPr>
          <t>_x000D_
FERRAMENTAS MAQ.FERRAMENTAS,ELETR.PECAS E ACESSORI</t>
        </r>
      </text>
    </comment>
    <comment ref="Y530" authorId="0" shapeId="0" xr:uid="{97DDFDFB-6745-4AE7-A01B-0270C9F8FD4E}">
      <text>
        <r>
          <rPr>
            <sz val="10"/>
            <color indexed="81"/>
            <rFont val="Lucida Console"/>
            <family val="3"/>
          </rPr>
          <t>_x000D_
BROCAS</t>
        </r>
      </text>
    </comment>
    <comment ref="AW530" authorId="0" shapeId="0" xr:uid="{E231082E-C740-426A-BACC-2BAD3686E387}">
      <text>
        <r>
          <rPr>
            <sz val="10"/>
            <color indexed="81"/>
            <rFont val="Lucida Console"/>
            <family val="3"/>
          </rPr>
          <t>Tempo de Estoque (Meses)_x000D_
_x000D_
284,0</t>
        </r>
      </text>
    </comment>
    <comment ref="A531" authorId="0" shapeId="0" xr:uid="{21CA4A65-3A48-4A18-9BE1-738F8D9A36DB}">
      <text>
        <r>
          <rPr>
            <sz val="10"/>
            <color indexed="81"/>
            <rFont val="Lucida Console"/>
            <family val="3"/>
          </rPr>
          <t>_x000D_
20106</t>
        </r>
      </text>
    </comment>
    <comment ref="B531" authorId="0" shapeId="0" xr:uid="{4ECA4AEC-F00A-43B7-B73A-5D4B721FD83C}">
      <text>
        <r>
          <rPr>
            <sz val="10"/>
            <color indexed="81"/>
            <rFont val="Lucida Console"/>
            <family val="3"/>
          </rPr>
          <t>DESCRIÇÃO DETALHADA_x000D_
BROCA DE ACO RAPIDO HELICOIDAL DE 5/32" COM HASTE CILINDRICA</t>
        </r>
      </text>
    </comment>
    <comment ref="G531" authorId="0" shapeId="0" xr:uid="{0DD2F3D0-0C7F-4953-B270-3FFEDD9C3F25}">
      <text>
        <r>
          <rPr>
            <sz val="10"/>
            <color indexed="81"/>
            <rFont val="Lucida Console"/>
            <family val="3"/>
          </rPr>
          <t>_x000D_
Últ estimativa : 300_x000D_
Enviada em     : 24.10.2019_x000D_
Ata - Venc     : 70/19 - 28.02.2020</t>
        </r>
      </text>
    </comment>
    <comment ref="O531" authorId="0" shapeId="0" xr:uid="{47B87D66-EC5C-4A28-8E9C-01B8A30CCD18}">
      <text>
        <r>
          <rPr>
            <sz val="10"/>
            <color indexed="81"/>
            <rFont val="Lucida Console"/>
            <family val="3"/>
          </rPr>
          <t>_x000D_
Pertencia a ATA nº 70/19_x000D_
Estimativa de Renovação enviada em 24.10.2019 - Qtd 300_x000D_
PE   2/20 lote 3 (Impróspero)_x000D_
23.04.20 = Processo conferido, finalizado.</t>
        </r>
      </text>
    </comment>
    <comment ref="W531" authorId="0" shapeId="0" xr:uid="{D7129DE9-3319-4D24-8FC1-AA24442D648E}">
      <text>
        <r>
          <rPr>
            <sz val="10"/>
            <color indexed="81"/>
            <rFont val="Lucida Console"/>
            <family val="3"/>
          </rPr>
          <t>_x000D_
DM-Serralheria</t>
        </r>
      </text>
    </comment>
    <comment ref="X531" authorId="0" shapeId="0" xr:uid="{D904A4E9-22A4-4EA3-8D5C-163C8114DD65}">
      <text>
        <r>
          <rPr>
            <sz val="10"/>
            <color indexed="81"/>
            <rFont val="Lucida Console"/>
            <family val="3"/>
          </rPr>
          <t>_x000D_
FERRAMENTAS MAQ.FERRAMENTAS,ELETR.PECAS E ACESSORI</t>
        </r>
      </text>
    </comment>
    <comment ref="Y531" authorId="0" shapeId="0" xr:uid="{DE47698E-9E96-4B45-A0A5-A5B9669D1844}">
      <text>
        <r>
          <rPr>
            <sz val="10"/>
            <color indexed="81"/>
            <rFont val="Lucida Console"/>
            <family val="3"/>
          </rPr>
          <t>_x000D_
BROCAS</t>
        </r>
      </text>
    </comment>
    <comment ref="AW531" authorId="0" shapeId="0" xr:uid="{0EAC252E-416C-481C-A275-67008F95B2A7}">
      <text>
        <r>
          <rPr>
            <sz val="10"/>
            <color indexed="81"/>
            <rFont val="Lucida Console"/>
            <family val="3"/>
          </rPr>
          <t>Tempo de Estoque (Meses)_x000D_
_x000D_
518,0</t>
        </r>
      </text>
    </comment>
    <comment ref="A532" authorId="0" shapeId="0" xr:uid="{5A8F190F-3BF5-4888-9A86-842C797C632E}">
      <text>
        <r>
          <rPr>
            <sz val="10"/>
            <color indexed="81"/>
            <rFont val="Lucida Console"/>
            <family val="3"/>
          </rPr>
          <t>_x000D_
19998</t>
        </r>
      </text>
    </comment>
    <comment ref="B532" authorId="0" shapeId="0" xr:uid="{1BDEA200-BDE1-44D2-9594-5E42FDB13814}">
      <text>
        <r>
          <rPr>
            <sz val="10"/>
            <color indexed="81"/>
            <rFont val="Lucida Console"/>
            <family val="3"/>
          </rPr>
          <t>DESCRIÇÃO DETALHADA_x000D_
BROCA DE ACO RAPIDO HELICOIDAL DE 1/2" COM HASTE CILINDRICA</t>
        </r>
      </text>
    </comment>
    <comment ref="G532" authorId="0" shapeId="0" xr:uid="{41FD6073-552C-4A8D-BF43-2D2C6975A664}">
      <text>
        <r>
          <rPr>
            <sz val="10"/>
            <color indexed="81"/>
            <rFont val="Lucida Console"/>
            <family val="3"/>
          </rPr>
          <t>_x000D_
Últ estimativa : 100_x000D_
Enviada em     : 24.10.2019_x000D_
Ata - Venc     : 70/19 - 28.02.2020</t>
        </r>
      </text>
    </comment>
    <comment ref="O532" authorId="0" shapeId="0" xr:uid="{60B5BABE-2211-4C9B-8629-33D2674CD5FD}">
      <text>
        <r>
          <rPr>
            <sz val="10"/>
            <color indexed="81"/>
            <rFont val="Lucida Console"/>
            <family val="3"/>
          </rPr>
          <t>_x000D_
Pertencia a ATA nº 70/19_x000D_
Estimativa de Renovação enviada em 24.10.2019 - Qtd 100_x000D_
PE   2/20 lote _x000D_
23.04.20 = Processo conferido, finalizado.</t>
        </r>
      </text>
    </comment>
    <comment ref="W532" authorId="0" shapeId="0" xr:uid="{6AF8B354-5EFA-4F65-801B-CB1CBE2CFB5A}">
      <text>
        <r>
          <rPr>
            <sz val="10"/>
            <color indexed="81"/>
            <rFont val="Lucida Console"/>
            <family val="3"/>
          </rPr>
          <t>_x000D_
DM-Serralheria</t>
        </r>
      </text>
    </comment>
    <comment ref="X532" authorId="0" shapeId="0" xr:uid="{546A6EDD-CE0E-4C3A-A82D-9D0BBF4EE1FC}">
      <text>
        <r>
          <rPr>
            <sz val="10"/>
            <color indexed="81"/>
            <rFont val="Lucida Console"/>
            <family val="3"/>
          </rPr>
          <t>_x000D_
FERRAMENTAS MAQ.FERRAMENTAS,ELETR.PECAS E ACESSORI</t>
        </r>
      </text>
    </comment>
    <comment ref="Y532" authorId="0" shapeId="0" xr:uid="{9CD06851-339B-4265-91F3-C58C23AB5823}">
      <text>
        <r>
          <rPr>
            <sz val="10"/>
            <color indexed="81"/>
            <rFont val="Lucida Console"/>
            <family val="3"/>
          </rPr>
          <t>_x000D_
BROCAS</t>
        </r>
      </text>
    </comment>
    <comment ref="AW532" authorId="0" shapeId="0" xr:uid="{ED328AD4-E802-4180-9489-3129F13F0761}">
      <text>
        <r>
          <rPr>
            <sz val="10"/>
            <color indexed="81"/>
            <rFont val="Lucida Console"/>
            <family val="3"/>
          </rPr>
          <t>Tempo de Estoque (Meses)_x000D_
_x000D_
0,0</t>
        </r>
      </text>
    </comment>
    <comment ref="A533" authorId="0" shapeId="0" xr:uid="{1B9E41FE-E7D2-4C25-B44A-47DC7EA80461}">
      <text>
        <r>
          <rPr>
            <sz val="10"/>
            <color indexed="81"/>
            <rFont val="Lucida Console"/>
            <family val="3"/>
          </rPr>
          <t>_x000D_
133371</t>
        </r>
      </text>
    </comment>
    <comment ref="B533" authorId="0" shapeId="0" xr:uid="{94CDE2C1-9A2D-423C-BC3F-96831A588BCD}">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533" authorId="0" shapeId="0" xr:uid="{82CFB0EB-D821-4071-BE5D-CB9F250C2F62}">
      <text>
        <r>
          <rPr>
            <sz val="10"/>
            <color indexed="81"/>
            <rFont val="Lucida Console"/>
            <family val="3"/>
          </rPr>
          <t>_x000D_
Últ estimativa : 800_x000D_
Enviada em     : 24.10.2019_x000D_
Ata - Venc     : 75/21 - 15.03.2022</t>
        </r>
      </text>
    </comment>
    <comment ref="O533" authorId="0" shapeId="0" xr:uid="{F24626FF-7BAF-4B8A-BE59-3E94085E0091}">
      <text>
        <r>
          <rPr>
            <sz val="10"/>
            <color indexed="81"/>
            <rFont val="Lucida Console"/>
            <family val="3"/>
          </rPr>
          <t>_x000D_
Pertencia a ATA nº 75/21_x000D_
Estimativa de Renovação enviada em 24.10.2019 - Qtd 800_x000D_
PE   2/20 lote 3 (Impróspero)_x000D_
23.04.20 = Processo conferido, finalizado.</t>
        </r>
      </text>
    </comment>
    <comment ref="W533" authorId="0" shapeId="0" xr:uid="{9976407B-BD40-44B2-9CD7-2DBF7BA47469}">
      <text>
        <r>
          <rPr>
            <sz val="10"/>
            <color indexed="81"/>
            <rFont val="Lucida Console"/>
            <family val="3"/>
          </rPr>
          <t>_x000D_
DM-Serralheria</t>
        </r>
      </text>
    </comment>
    <comment ref="X533" authorId="0" shapeId="0" xr:uid="{91FF4188-8791-42C8-8CDF-12CC4CCC0D4A}">
      <text>
        <r>
          <rPr>
            <sz val="10"/>
            <color indexed="81"/>
            <rFont val="Lucida Console"/>
            <family val="3"/>
          </rPr>
          <t>_x000D_
FERRAMENTAS MAQ.FERRAMENTAS,ELETR.PECAS E ACESSORI</t>
        </r>
      </text>
    </comment>
    <comment ref="Y533" authorId="0" shapeId="0" xr:uid="{2DA84783-A969-47BF-B8B0-1DDC770A44E0}">
      <text>
        <r>
          <rPr>
            <sz val="10"/>
            <color indexed="81"/>
            <rFont val="Lucida Console"/>
            <family val="3"/>
          </rPr>
          <t>_x000D_
ACESSORIOS P/ SOLDA</t>
        </r>
      </text>
    </comment>
    <comment ref="AW533" authorId="0" shapeId="0" xr:uid="{8072B285-FEB3-44C3-9232-7B71CA7B9BF5}">
      <text>
        <r>
          <rPr>
            <sz val="10"/>
            <color indexed="81"/>
            <rFont val="Lucida Console"/>
            <family val="3"/>
          </rPr>
          <t>Tempo de Estoque (Meses)_x000D_
_x000D_
420,0</t>
        </r>
      </text>
    </comment>
    <comment ref="A534" authorId="0" shapeId="0" xr:uid="{D4CC4071-6D6B-4C92-96B0-BE45EC792418}">
      <text>
        <r>
          <rPr>
            <sz val="10"/>
            <color indexed="81"/>
            <rFont val="Lucida Console"/>
            <family val="3"/>
          </rPr>
          <t>_x000D_
13199</t>
        </r>
      </text>
    </comment>
    <comment ref="B534" authorId="0" shapeId="0" xr:uid="{C74CC729-DA2F-46C7-B467-5EE126BAA3D2}">
      <text>
        <r>
          <rPr>
            <sz val="10"/>
            <color indexed="81"/>
            <rFont val="Lucida Console"/>
            <family val="3"/>
          </rPr>
          <t>DESCRIÇÃO DETALHADA_x000D_
DOBRADICA DE FERRO POLIDO 2.1/2"</t>
        </r>
      </text>
    </comment>
    <comment ref="G534" authorId="0" shapeId="0" xr:uid="{C8949B4F-A73B-4617-8E9E-01244FF47543}">
      <text>
        <r>
          <rPr>
            <sz val="10"/>
            <color indexed="81"/>
            <rFont val="Lucida Console"/>
            <family val="3"/>
          </rPr>
          <t>_x000D_
Últ estimativa : 60_x000D_
Enviada em     : 14.02.2020_x000D_
Ata - Venc     : 75/21 - 15.03.2022</t>
        </r>
      </text>
    </comment>
    <comment ref="O534" authorId="0" shapeId="0" xr:uid="{51454E7B-2AA9-4F11-9952-36E07BDD72E5}">
      <text>
        <r>
          <rPr>
            <sz val="10"/>
            <color indexed="81"/>
            <rFont val="Lucida Console"/>
            <family val="3"/>
          </rPr>
          <t>_x000D_
Pertencia a ATA nº 75/21_x000D_
Estimativa de Renovação enviada em 14.02.2020 - Qtd 60_x000D_
PE 247/20 lote _x000D_
18.02.21 = Finalizado</t>
        </r>
      </text>
    </comment>
    <comment ref="W534" authorId="0" shapeId="0" xr:uid="{BC6E3508-367E-48C7-ADC8-435A573C6516}">
      <text>
        <r>
          <rPr>
            <sz val="10"/>
            <color indexed="81"/>
            <rFont val="Lucida Console"/>
            <family val="3"/>
          </rPr>
          <t>_x000D_
DM-Construção</t>
        </r>
      </text>
    </comment>
    <comment ref="X534" authorId="0" shapeId="0" xr:uid="{1A48FE5E-0D82-4400-BD55-B539F7F0ACB6}">
      <text>
        <r>
          <rPr>
            <sz val="10"/>
            <color indexed="81"/>
            <rFont val="Lucida Console"/>
            <family val="3"/>
          </rPr>
          <t>_x000D_
MAT.E EQUIP. P/ CONSTR.CIVIL E CONSERV. DE VIAS PUBL.</t>
        </r>
      </text>
    </comment>
    <comment ref="Y534" authorId="0" shapeId="0" xr:uid="{27005183-5CCC-41C6-8FDA-46F6DBAA9D3A}">
      <text>
        <r>
          <rPr>
            <sz val="10"/>
            <color indexed="81"/>
            <rFont val="Lucida Console"/>
            <family val="3"/>
          </rPr>
          <t>_x000D_
FECHADURAS, DOBRADICAS E MACANETAS</t>
        </r>
      </text>
    </comment>
    <comment ref="AW534" authorId="0" shapeId="0" xr:uid="{F412F839-EB29-444E-A15E-A0CF64C3D264}">
      <text>
        <r>
          <rPr>
            <sz val="10"/>
            <color indexed="81"/>
            <rFont val="Lucida Console"/>
            <family val="3"/>
          </rPr>
          <t>Tempo de Estoque (Meses)_x000D_
_x000D_
30,0</t>
        </r>
      </text>
    </comment>
    <comment ref="A535" authorId="0" shapeId="0" xr:uid="{1A61A7C4-97BC-42AC-ADA7-FBC1A89B43B8}">
      <text>
        <r>
          <rPr>
            <sz val="10"/>
            <color indexed="81"/>
            <rFont val="Lucida Console"/>
            <family val="3"/>
          </rPr>
          <t>_x000D_
35256</t>
        </r>
      </text>
    </comment>
    <comment ref="B535" authorId="0" shapeId="0" xr:uid="{9E2034F1-0C1F-45EB-8BCC-0E8132111D26}">
      <text>
        <r>
          <rPr>
            <sz val="10"/>
            <color indexed="81"/>
            <rFont val="Lucida Console"/>
            <family val="3"/>
          </rPr>
          <t>DESCRIÇÃO DETALHADA_x000D_
CANTONEIRA EM ALUMINIO - 10 MM DE VAO - BR C/ 3 METROS  (P/ACABAMENTO EM PAREDES DE AZULEJO GROSSO)</t>
        </r>
      </text>
    </comment>
    <comment ref="G535" authorId="0" shapeId="0" xr:uid="{A33072F0-BCAF-425A-BD04-8231C0ACA384}">
      <text>
        <r>
          <rPr>
            <sz val="10"/>
            <color indexed="81"/>
            <rFont val="Lucida Console"/>
            <family val="3"/>
          </rPr>
          <t>_x000D_
Últ estimativa : 200_x000D_
Enviada em     : 20.05.2020_x000D_
Ata - Venc     : 75/21 - 15.03.2022</t>
        </r>
      </text>
    </comment>
    <comment ref="O535" authorId="0" shapeId="0" xr:uid="{350332F8-9ED4-40D4-8806-C8862BCF7452}">
      <text>
        <r>
          <rPr>
            <sz val="10"/>
            <color indexed="81"/>
            <rFont val="Lucida Console"/>
            <family val="3"/>
          </rPr>
          <t>_x000D_
Pertencia a ATA nº 75/21_x000D_
Estimativa de Renovação enviada em 20.05.2020 - Qtd 200_x000D_
PE 247/20 lote _x000D_
18.02.21 = Finalizado</t>
        </r>
      </text>
    </comment>
    <comment ref="W535" authorId="0" shapeId="0" xr:uid="{AECB9007-D7FF-4729-A380-30567CAF8DF7}">
      <text>
        <r>
          <rPr>
            <sz val="10"/>
            <color indexed="81"/>
            <rFont val="Lucida Console"/>
            <family val="3"/>
          </rPr>
          <t>_x000D_
DM-Serralheria</t>
        </r>
      </text>
    </comment>
    <comment ref="X535" authorId="0" shapeId="0" xr:uid="{CD0E01EB-8C99-45D7-BBE1-E6C4D3E50225}">
      <text>
        <r>
          <rPr>
            <sz val="10"/>
            <color indexed="81"/>
            <rFont val="Lucida Console"/>
            <family val="3"/>
          </rPr>
          <t>_x000D_
METAIS,LAMINAD.,PERFILADOS E ARTEFATOS METALICOS</t>
        </r>
      </text>
    </comment>
    <comment ref="Y535" authorId="0" shapeId="0" xr:uid="{F25AC14B-62C5-4C98-BDBA-0B2CA2DFFCDB}">
      <text>
        <r>
          <rPr>
            <sz val="10"/>
            <color indexed="81"/>
            <rFont val="Lucida Console"/>
            <family val="3"/>
          </rPr>
          <t>_x000D_
CANTONEIRAS</t>
        </r>
      </text>
    </comment>
    <comment ref="AW535" authorId="0" shapeId="0" xr:uid="{D860B0DE-8103-436E-9CD7-5D72E89B719B}">
      <text>
        <r>
          <rPr>
            <sz val="10"/>
            <color indexed="81"/>
            <rFont val="Lucida Console"/>
            <family val="3"/>
          </rPr>
          <t>Tempo de Estoque (Meses)_x000D_
_x000D_
157,0</t>
        </r>
      </text>
    </comment>
    <comment ref="A536" authorId="0" shapeId="0" xr:uid="{8568FD02-9618-4713-9506-9258F815E53B}">
      <text>
        <r>
          <rPr>
            <sz val="10"/>
            <color indexed="81"/>
            <rFont val="Lucida Console"/>
            <family val="3"/>
          </rPr>
          <t>_x000D_
12830</t>
        </r>
      </text>
    </comment>
    <comment ref="B536" authorId="0" shapeId="0" xr:uid="{0D009061-7F5F-43D5-ACE3-80FE5D2CA53E}">
      <text>
        <r>
          <rPr>
            <sz val="10"/>
            <color indexed="81"/>
            <rFont val="Lucida Console"/>
            <family val="3"/>
          </rPr>
          <t>DESCRIÇÃO DETALHADA_x000D_
ADAPTADOR DE PVC SOLDAVEL MARROM 1.1/2". A MARCA DEVERA VIR LITOGRAFADA NA PECA.</t>
        </r>
      </text>
    </comment>
    <comment ref="G536" authorId="0" shapeId="0" xr:uid="{3A3EB487-E9EC-4915-8781-C501BB110D70}">
      <text>
        <r>
          <rPr>
            <sz val="10"/>
            <color indexed="81"/>
            <rFont val="Lucida Console"/>
            <family val="3"/>
          </rPr>
          <t>_x000D_
Últ estimativa : 600_x000D_
Enviada em     : 24.11.2020_x000D_
Ata - Venc     : 76/19 - 09.03.2020</t>
        </r>
      </text>
    </comment>
    <comment ref="O536" authorId="0" shapeId="0" xr:uid="{2DC6775F-A263-4574-A017-D111845D8666}">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536" authorId="0" shapeId="0" xr:uid="{97570104-8D2F-4206-BE79-965E50D498A9}">
      <text>
        <r>
          <rPr>
            <sz val="10"/>
            <color indexed="81"/>
            <rFont val="Lucida Console"/>
            <family val="3"/>
          </rPr>
          <t>_x000D_
DM-Hidráulica</t>
        </r>
      </text>
    </comment>
    <comment ref="X536" authorId="0" shapeId="0" xr:uid="{07E84EF4-3B8E-4482-B83D-E7F35F7B24BB}">
      <text>
        <r>
          <rPr>
            <sz val="10"/>
            <color indexed="81"/>
            <rFont val="Lucida Console"/>
            <family val="3"/>
          </rPr>
          <t>_x000D_
MATERIAL HIDRAULICO, CANOS, TUBOS, MANGUEIRAS, CONEXOES E ACESS.</t>
        </r>
      </text>
    </comment>
    <comment ref="Y536" authorId="0" shapeId="0" xr:uid="{86DC878A-5C56-49D2-AC11-7B4E76E7B7E9}">
      <text>
        <r>
          <rPr>
            <sz val="10"/>
            <color indexed="81"/>
            <rFont val="Lucida Console"/>
            <family val="3"/>
          </rPr>
          <t>_x000D_
ADAP. LUVAS.TES CURVAS COTOVELOS PLUGS FLANGES.....</t>
        </r>
      </text>
    </comment>
    <comment ref="AW536" authorId="0" shapeId="0" xr:uid="{D8B9EA4B-7386-4709-804D-51C8927DF35A}">
      <text>
        <r>
          <rPr>
            <sz val="10"/>
            <color indexed="81"/>
            <rFont val="Lucida Console"/>
            <family val="3"/>
          </rPr>
          <t>Tempo de Estoque (Meses)_x000D_
_x000D_
1.412,0</t>
        </r>
      </text>
    </comment>
    <comment ref="A537" authorId="0" shapeId="0" xr:uid="{2BC521CC-F3AD-4ECA-8EE6-E57E16DF6954}">
      <text>
        <r>
          <rPr>
            <sz val="10"/>
            <color indexed="81"/>
            <rFont val="Lucida Console"/>
            <family val="3"/>
          </rPr>
          <t>_x000D_
114976</t>
        </r>
      </text>
    </comment>
    <comment ref="B537" authorId="0" shapeId="0" xr:uid="{BB064ED5-A1A5-482E-B86E-810FAB5380C6}">
      <text>
        <r>
          <rPr>
            <sz val="10"/>
            <color indexed="81"/>
            <rFont val="Lucida Console"/>
            <family val="3"/>
          </rPr>
          <t>DESCRIÇÃO DETALHADA_x000D_
CABO DE COBRE FLEXIVEL BITOLA 240 MM2 ISOLACAO 0,6/1KV , TEMPERATURA 70° C, COR PRETA - ANTICHAMA</t>
        </r>
      </text>
    </comment>
    <comment ref="G537" authorId="0" shapeId="0" xr:uid="{A16212F8-16CC-4605-8615-DDABB57E566C}">
      <text>
        <r>
          <rPr>
            <sz val="10"/>
            <color indexed="81"/>
            <rFont val="Lucida Console"/>
            <family val="3"/>
          </rPr>
          <t>_x000D_
Últ estimativa : 0_x000D_
Enviada em     : 20.12.2018_x000D_
Ata - Venc     : 78/18 - 25.03.2019</t>
        </r>
      </text>
    </comment>
    <comment ref="O537" authorId="0" shapeId="0" xr:uid="{7A170286-CDF8-4228-8CD4-78B245CFE4CB}">
      <text>
        <r>
          <rPr>
            <sz val="10"/>
            <color indexed="81"/>
            <rFont val="Lucida Console"/>
            <family val="3"/>
          </rPr>
          <t>_x000D_
Pertencia a ATA nº 78/18_x000D_
Estimativa de Renovação enviada em 20.12.2018 - Qtd _x000D_
PP  11/18 lote _x000D_
09.04.18 = Processo finalizado. Ata 78/18.</t>
        </r>
      </text>
    </comment>
    <comment ref="W537" authorId="0" shapeId="0" xr:uid="{83815235-158F-4A6B-8AF3-3814E1DD4793}">
      <text>
        <r>
          <rPr>
            <sz val="10"/>
            <color indexed="81"/>
            <rFont val="Lucida Console"/>
            <family val="3"/>
          </rPr>
          <t>_x000D_
DM-Elétrica</t>
        </r>
      </text>
    </comment>
    <comment ref="X537" authorId="0" shapeId="0" xr:uid="{FBFF86C2-3300-4728-8EC2-7A5347606BEA}">
      <text>
        <r>
          <rPr>
            <sz val="10"/>
            <color indexed="81"/>
            <rFont val="Lucida Console"/>
            <family val="3"/>
          </rPr>
          <t>_x000D_
EQUIP. MAT. P/ GERACAO, TRANSM. DISTR. RETIF...</t>
        </r>
      </text>
    </comment>
    <comment ref="Y537" authorId="0" shapeId="0" xr:uid="{F75A14D1-33F0-46E1-8197-BAF1616161B6}">
      <text>
        <r>
          <rPr>
            <sz val="10"/>
            <color indexed="81"/>
            <rFont val="Lucida Console"/>
            <family val="3"/>
          </rPr>
          <t>_x000D_
FIOS E CABOS ELETRICOS</t>
        </r>
      </text>
    </comment>
    <comment ref="AW537" authorId="0" shapeId="0" xr:uid="{5BAA8C6A-BF7F-4982-A22B-D09DDDCB647E}">
      <text>
        <r>
          <rPr>
            <sz val="10"/>
            <color indexed="81"/>
            <rFont val="Lucida Console"/>
            <family val="3"/>
          </rPr>
          <t>Tempo de Estoque (Meses)_x000D_
_x000D_
634,0</t>
        </r>
      </text>
    </comment>
    <comment ref="A538" authorId="0" shapeId="0" xr:uid="{8C46EEF0-737F-4857-AC1E-4690032E0901}">
      <text>
        <r>
          <rPr>
            <sz val="10"/>
            <color indexed="81"/>
            <rFont val="Lucida Console"/>
            <family val="3"/>
          </rPr>
          <t>_x000D_
123372</t>
        </r>
      </text>
    </comment>
    <comment ref="B538" authorId="0" shapeId="0" xr:uid="{8AA0B4FC-5B3E-4471-A6F3-6A17E10F35FD}">
      <text>
        <r>
          <rPr>
            <sz val="10"/>
            <color indexed="81"/>
            <rFont val="Lucida Console"/>
            <family val="3"/>
          </rPr>
          <t>DESCRIÇÃO DETALHADA_x000D_
CABO DE COBRE FLEXIVEL BITOLA 95 MM2 , ISOLACAO 0,6/1 KV, COR AZUL - ANTICHAMA</t>
        </r>
      </text>
    </comment>
    <comment ref="G538" authorId="0" shapeId="0" xr:uid="{D12DF0BD-8628-424D-BCC7-FAA21AC959BF}">
      <text>
        <r>
          <rPr>
            <sz val="10"/>
            <color indexed="81"/>
            <rFont val="Lucida Console"/>
            <family val="3"/>
          </rPr>
          <t>_x000D_
Últ estimativa : 0_x000D_
Enviada em     : 20.12.2018_x000D_
Ata - Venc     : 78/18 - 25.03.2019</t>
        </r>
      </text>
    </comment>
    <comment ref="O538" authorId="0" shapeId="0" xr:uid="{918FEA94-0776-41D6-8A5D-9905A2332CE2}">
      <text>
        <r>
          <rPr>
            <sz val="10"/>
            <color indexed="81"/>
            <rFont val="Lucida Console"/>
            <family val="3"/>
          </rPr>
          <t>_x000D_
Pertencia a ATA nº 78/18_x000D_
Estimativa de Renovação enviada em 20.12.2018 - Qtd _x000D_
PP  11/18 lote _x000D_
09.04.18 = Processo finalizado. Ata 78/18.</t>
        </r>
      </text>
    </comment>
    <comment ref="W538" authorId="0" shapeId="0" xr:uid="{E732A2CE-EA14-4E6B-83BF-D153949DD9C9}">
      <text>
        <r>
          <rPr>
            <sz val="10"/>
            <color indexed="81"/>
            <rFont val="Lucida Console"/>
            <family val="3"/>
          </rPr>
          <t>_x000D_
DM-Elétrica</t>
        </r>
      </text>
    </comment>
    <comment ref="X538" authorId="0" shapeId="0" xr:uid="{3DAC19D9-B314-49E9-8DC4-B9A3B7FE447C}">
      <text>
        <r>
          <rPr>
            <sz val="10"/>
            <color indexed="81"/>
            <rFont val="Lucida Console"/>
            <family val="3"/>
          </rPr>
          <t>_x000D_
EQUIP. MAT. P/ GERACAO, TRANSM. DISTR. RETIF...</t>
        </r>
      </text>
    </comment>
    <comment ref="Y538" authorId="0" shapeId="0" xr:uid="{39FF26E4-9A84-4DCA-BD9A-C5A35A1EDC81}">
      <text>
        <r>
          <rPr>
            <sz val="10"/>
            <color indexed="81"/>
            <rFont val="Lucida Console"/>
            <family val="3"/>
          </rPr>
          <t>_x000D_
FIOS E CABOS ELETRICOS</t>
        </r>
      </text>
    </comment>
    <comment ref="AW538" authorId="0" shapeId="0" xr:uid="{5B60A6C3-729D-458D-A739-AEB334D406A6}">
      <text>
        <r>
          <rPr>
            <sz val="10"/>
            <color indexed="81"/>
            <rFont val="Lucida Console"/>
            <family val="3"/>
          </rPr>
          <t>Tempo de Estoque (Meses)_x000D_
_x000D_
651,0</t>
        </r>
      </text>
    </comment>
    <comment ref="A539" authorId="0" shapeId="0" xr:uid="{B9BF9B1E-233F-4260-AEB4-616A5201877F}">
      <text>
        <r>
          <rPr>
            <sz val="10"/>
            <color indexed="81"/>
            <rFont val="Lucida Console"/>
            <family val="3"/>
          </rPr>
          <t>_x000D_
129960</t>
        </r>
      </text>
    </comment>
    <comment ref="B539" authorId="0" shapeId="0" xr:uid="{8D8641D7-F92D-4924-86B4-9F064E16C08D}">
      <text>
        <r>
          <rPr>
            <sz val="10"/>
            <color indexed="81"/>
            <rFont val="Lucida Console"/>
            <family val="3"/>
          </rPr>
          <t>DESCRIÇÃO DETALHADA_x000D_
CABO DE COBRE FLEXIVEL BITOLA 240MM², 750 V, ISOLACAO DE PVC - 70°C - COR AZUL-CLARO</t>
        </r>
      </text>
    </comment>
    <comment ref="G539" authorId="0" shapeId="0" xr:uid="{BBACCEC7-F041-4EBF-90D9-C269C3CFF1CF}">
      <text>
        <r>
          <rPr>
            <sz val="10"/>
            <color indexed="81"/>
            <rFont val="Lucida Console"/>
            <family val="3"/>
          </rPr>
          <t>_x000D_
Últ estimativa : 0_x000D_
Enviada em     : 20.12.2018_x000D_
Ata - Venc     : 78/18 - 25.03.2019</t>
        </r>
      </text>
    </comment>
    <comment ref="O539" authorId="0" shapeId="0" xr:uid="{73540F4A-F50B-4C06-8716-3EF676AFD723}">
      <text>
        <r>
          <rPr>
            <sz val="10"/>
            <color indexed="81"/>
            <rFont val="Lucida Console"/>
            <family val="3"/>
          </rPr>
          <t>_x000D_
Pertencia a ATA nº 78/18_x000D_
Estimativa de Renovação enviada em 20.12.2018 - Qtd _x000D_
PP  11/18 lote _x000D_
09.04.18 = Processo finalizado. Ata 78/18.</t>
        </r>
      </text>
    </comment>
    <comment ref="W539" authorId="0" shapeId="0" xr:uid="{79321E82-E2E2-4997-806D-07E410728D6F}">
      <text>
        <r>
          <rPr>
            <sz val="10"/>
            <color indexed="81"/>
            <rFont val="Lucida Console"/>
            <family val="3"/>
          </rPr>
          <t>_x000D_
DM-Elétrica</t>
        </r>
      </text>
    </comment>
    <comment ref="X539" authorId="0" shapeId="0" xr:uid="{DC24555E-7E1C-495C-9856-59E0CD70FA23}">
      <text>
        <r>
          <rPr>
            <sz val="10"/>
            <color indexed="81"/>
            <rFont val="Lucida Console"/>
            <family val="3"/>
          </rPr>
          <t>_x000D_
EQUIP. MAT. P/ GERACAO, TRANSM. DISTR. RETIF...</t>
        </r>
      </text>
    </comment>
    <comment ref="Y539" authorId="0" shapeId="0" xr:uid="{F195AD77-F2F4-4FE3-823C-E7A133ED2CCE}">
      <text>
        <r>
          <rPr>
            <sz val="10"/>
            <color indexed="81"/>
            <rFont val="Lucida Console"/>
            <family val="3"/>
          </rPr>
          <t>_x000D_
FIOS E CABOS ELETRICOS</t>
        </r>
      </text>
    </comment>
    <comment ref="AW539" authorId="0" shapeId="0" xr:uid="{9999A6CE-8C68-4D5B-8006-4E346923CB0D}">
      <text>
        <r>
          <rPr>
            <sz val="10"/>
            <color indexed="81"/>
            <rFont val="Lucida Console"/>
            <family val="3"/>
          </rPr>
          <t>Tempo de Estoque (Meses)_x000D_
_x000D_
240,0</t>
        </r>
      </text>
    </comment>
    <comment ref="A540" authorId="0" shapeId="0" xr:uid="{DB6CC77D-0C9A-49DB-B554-CCD494DA575F}">
      <text>
        <r>
          <rPr>
            <sz val="10"/>
            <color indexed="81"/>
            <rFont val="Lucida Console"/>
            <family val="3"/>
          </rPr>
          <t>_x000D_
138552</t>
        </r>
      </text>
    </comment>
    <comment ref="B540" authorId="0" shapeId="0" xr:uid="{093ECA15-9DF5-482F-9A6A-97AA47D9BB9C}">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540" authorId="0" shapeId="0" xr:uid="{814A7383-A795-4DD7-AFEE-62B1A9030A70}">
      <text>
        <r>
          <rPr>
            <sz val="10"/>
            <color indexed="81"/>
            <rFont val="Lucida Console"/>
            <family val="3"/>
          </rPr>
          <t>_x000D_
Últ estimativa : 700_x000D_
Enviada em     : 11.11.2020_x000D_
Ata - Venc     : 79/21 - 16.03.2022</t>
        </r>
      </text>
    </comment>
    <comment ref="O540" authorId="0" shapeId="0" xr:uid="{FA9C5ECD-1660-4545-AF01-C5A91E57CA2E}">
      <text>
        <r>
          <rPr>
            <sz val="10"/>
            <color indexed="81"/>
            <rFont val="Lucida Console"/>
            <family val="3"/>
          </rPr>
          <t>_x000D_
Pertencia a ATA nº 79/21_x000D_
Estimativa de Renovação enviada em 11.11.2020 - Qtd 700_x000D_
PE 245/20 lote _x000D_
20.01.21 = Finalizado</t>
        </r>
      </text>
    </comment>
    <comment ref="W540" authorId="0" shapeId="0" xr:uid="{0A5CDC72-F6D5-4850-B9C4-37BFB4D22F76}">
      <text>
        <r>
          <rPr>
            <sz val="10"/>
            <color indexed="81"/>
            <rFont val="Lucida Console"/>
            <family val="3"/>
          </rPr>
          <t>_x000D_
DM-Elétrica</t>
        </r>
      </text>
    </comment>
    <comment ref="X540" authorId="0" shapeId="0" xr:uid="{82F601F6-02CC-409B-98B7-220890439B2C}">
      <text>
        <r>
          <rPr>
            <sz val="10"/>
            <color indexed="81"/>
            <rFont val="Lucida Console"/>
            <family val="3"/>
          </rPr>
          <t>_x000D_
EQUIP. MAT. P/ GERACAO, TRANSM. DISTR. RETIF...</t>
        </r>
      </text>
    </comment>
    <comment ref="Y540" authorId="0" shapeId="0" xr:uid="{EE334D30-C62B-4A0C-B910-C4B06880B482}">
      <text>
        <r>
          <rPr>
            <sz val="10"/>
            <color indexed="81"/>
            <rFont val="Lucida Console"/>
            <family val="3"/>
          </rPr>
          <t>_x000D_
LUMINARIAS E PROJETORES COM EQUIPAMENTO</t>
        </r>
      </text>
    </comment>
    <comment ref="AW540" authorId="0" shapeId="0" xr:uid="{D2301D63-EF38-4F76-A4E8-F5BD18A0A74A}">
      <text>
        <r>
          <rPr>
            <sz val="10"/>
            <color indexed="81"/>
            <rFont val="Lucida Console"/>
            <family val="3"/>
          </rPr>
          <t>Tempo de Estoque (Meses)_x000D_
_x000D_
484,0</t>
        </r>
      </text>
    </comment>
    <comment ref="A541" authorId="0" shapeId="0" xr:uid="{4811EA40-7C4B-4FDE-AD63-A9225579E92C}">
      <text>
        <r>
          <rPr>
            <sz val="10"/>
            <color indexed="81"/>
            <rFont val="Lucida Console"/>
            <family val="3"/>
          </rPr>
          <t>_x000D_
138553</t>
        </r>
      </text>
    </comment>
    <comment ref="B541" authorId="0" shapeId="0" xr:uid="{88EB6FA6-2337-443B-95F7-326175163609}">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541" authorId="0" shapeId="0" xr:uid="{123E0546-B657-4DCE-9ED5-63498AA3447F}">
      <text>
        <r>
          <rPr>
            <sz val="10"/>
            <color indexed="81"/>
            <rFont val="Lucida Console"/>
            <family val="3"/>
          </rPr>
          <t>_x000D_
Últ estimativa : 700_x000D_
Enviada em     : 11.11.2020_x000D_
Ata - Venc     : 79/21 - 16.03.2022</t>
        </r>
      </text>
    </comment>
    <comment ref="O541" authorId="0" shapeId="0" xr:uid="{8571FDA2-896B-4D95-8869-518D2BFA925A}">
      <text>
        <r>
          <rPr>
            <sz val="10"/>
            <color indexed="81"/>
            <rFont val="Lucida Console"/>
            <family val="3"/>
          </rPr>
          <t>_x000D_
Pertencia a ATA nº 79/21_x000D_
Estimativa de Renovação enviada em 11.11.2020 - Qtd 700_x000D_
PE 245/20 lote _x000D_
20.01.21 = Finalizado</t>
        </r>
      </text>
    </comment>
    <comment ref="W541" authorId="0" shapeId="0" xr:uid="{88672EA2-9489-48DD-BD52-672D66F79725}">
      <text>
        <r>
          <rPr>
            <sz val="10"/>
            <color indexed="81"/>
            <rFont val="Lucida Console"/>
            <family val="3"/>
          </rPr>
          <t>_x000D_
DM-Elétrica</t>
        </r>
      </text>
    </comment>
    <comment ref="X541" authorId="0" shapeId="0" xr:uid="{27DE7847-5A70-4F8B-BA0E-453FCA72B3C6}">
      <text>
        <r>
          <rPr>
            <sz val="10"/>
            <color indexed="81"/>
            <rFont val="Lucida Console"/>
            <family val="3"/>
          </rPr>
          <t>_x000D_
EQUIP. MAT. P/ GERACAO, TRANSM. DISTR. RETIF...</t>
        </r>
      </text>
    </comment>
    <comment ref="Y541" authorId="0" shapeId="0" xr:uid="{27FF46F2-238D-4302-9B7E-081F895FD990}">
      <text>
        <r>
          <rPr>
            <sz val="10"/>
            <color indexed="81"/>
            <rFont val="Lucida Console"/>
            <family val="3"/>
          </rPr>
          <t>_x000D_
LUMINARIAS E PROJETORES COM EQUIPAMENTO</t>
        </r>
      </text>
    </comment>
    <comment ref="AW541" authorId="0" shapeId="0" xr:uid="{8F8C7158-2943-4FDC-82E4-55B544A9768B}">
      <text>
        <r>
          <rPr>
            <sz val="10"/>
            <color indexed="81"/>
            <rFont val="Lucida Console"/>
            <family val="3"/>
          </rPr>
          <t>Tempo de Estoque (Meses)_x000D_
_x000D_
660,0</t>
        </r>
      </text>
    </comment>
    <comment ref="A542" authorId="0" shapeId="0" xr:uid="{F8D08B4F-0A8E-4180-BE3D-F746F88781EC}">
      <text>
        <r>
          <rPr>
            <sz val="10"/>
            <color indexed="81"/>
            <rFont val="Lucida Console"/>
            <family val="3"/>
          </rPr>
          <t>_x000D_
138554</t>
        </r>
      </text>
    </comment>
    <comment ref="B542" authorId="0" shapeId="0" xr:uid="{CAE4FBC5-3868-41FF-964A-8B9D1399C0B2}">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542" authorId="0" shapeId="0" xr:uid="{DF284CCA-595D-46D8-9A47-7B81048747BF}">
      <text>
        <r>
          <rPr>
            <sz val="10"/>
            <color indexed="81"/>
            <rFont val="Lucida Console"/>
            <family val="3"/>
          </rPr>
          <t>_x000D_
Últ estimativa : 700_x000D_
Enviada em     : 11.11.2020_x000D_
Ata - Venc     : 79/21 - 16.03.2022</t>
        </r>
      </text>
    </comment>
    <comment ref="O542" authorId="0" shapeId="0" xr:uid="{44EE9223-1B35-4900-A1A0-595A4662D98F}">
      <text>
        <r>
          <rPr>
            <sz val="10"/>
            <color indexed="81"/>
            <rFont val="Lucida Console"/>
            <family val="3"/>
          </rPr>
          <t>_x000D_
Pertencia a ATA nº 79/21_x000D_
Estimativa de Renovação enviada em 11.11.2020 - Qtd 700_x000D_
PE 245/20 lote _x000D_
20.01.21 = Finalizado</t>
        </r>
      </text>
    </comment>
    <comment ref="W542" authorId="0" shapeId="0" xr:uid="{C18D52D9-D875-4955-8BCC-293C245AF49B}">
      <text>
        <r>
          <rPr>
            <sz val="10"/>
            <color indexed="81"/>
            <rFont val="Lucida Console"/>
            <family val="3"/>
          </rPr>
          <t>_x000D_
DM-Elétrica</t>
        </r>
      </text>
    </comment>
    <comment ref="X542" authorId="0" shapeId="0" xr:uid="{8AC48172-2F85-4632-8988-A3854789ACE3}">
      <text>
        <r>
          <rPr>
            <sz val="10"/>
            <color indexed="81"/>
            <rFont val="Lucida Console"/>
            <family val="3"/>
          </rPr>
          <t>_x000D_
EQUIP. MAT. P/ GERACAO, TRANSM. DISTR. RETIF...</t>
        </r>
      </text>
    </comment>
    <comment ref="Y542" authorId="0" shapeId="0" xr:uid="{46AB30C4-7AB4-458D-AE45-00CFF34A558D}">
      <text>
        <r>
          <rPr>
            <sz val="10"/>
            <color indexed="81"/>
            <rFont val="Lucida Console"/>
            <family val="3"/>
          </rPr>
          <t>_x000D_
LUMINARIAS E PROJETORES COM EQUIPAMENTO</t>
        </r>
      </text>
    </comment>
    <comment ref="AW542" authorId="0" shapeId="0" xr:uid="{FFCC98C9-2456-420F-A25C-70317778F642}">
      <text>
        <r>
          <rPr>
            <sz val="10"/>
            <color indexed="81"/>
            <rFont val="Lucida Console"/>
            <family val="3"/>
          </rPr>
          <t>Tempo de Estoque (Meses)_x000D_
_x000D_
248,0</t>
        </r>
      </text>
    </comment>
    <comment ref="A543" authorId="0" shapeId="0" xr:uid="{1C73FC84-546B-4F73-91E1-7C1976B1D43B}">
      <text>
        <r>
          <rPr>
            <sz val="10"/>
            <color indexed="81"/>
            <rFont val="Lucida Console"/>
            <family val="3"/>
          </rPr>
          <t>_x000D_
138551</t>
        </r>
      </text>
    </comment>
    <comment ref="B543" authorId="0" shapeId="0" xr:uid="{3A4400CA-4D89-42F7-A162-FCB69946CF8F}">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543" authorId="0" shapeId="0" xr:uid="{875ED25D-ACDA-4C4C-A955-B0A0DDBDDB98}">
      <text>
        <r>
          <rPr>
            <sz val="10"/>
            <color indexed="81"/>
            <rFont val="Lucida Console"/>
            <family val="3"/>
          </rPr>
          <t>_x000D_
Últ estimativa : 1.000_x000D_
Enviada em     : 11.11.2020_x000D_
Ata - Venc     : 79/21 - 16.03.2022</t>
        </r>
      </text>
    </comment>
    <comment ref="O543" authorId="0" shapeId="0" xr:uid="{5E4FDF98-6FF2-490F-990B-9B947CD0F2CA}">
      <text>
        <r>
          <rPr>
            <sz val="10"/>
            <color indexed="81"/>
            <rFont val="Lucida Console"/>
            <family val="3"/>
          </rPr>
          <t>_x000D_
Pertencia a ATA nº 79/21_x000D_
Estimativa de Renovação enviada em 11.11.2020 - Qtd 1.000_x000D_
PE 245/20 lote _x000D_
20.01.21 = Finalizado</t>
        </r>
      </text>
    </comment>
    <comment ref="W543" authorId="0" shapeId="0" xr:uid="{AB9D4847-E851-4B2F-9A2B-7005DAADB370}">
      <text>
        <r>
          <rPr>
            <sz val="10"/>
            <color indexed="81"/>
            <rFont val="Lucida Console"/>
            <family val="3"/>
          </rPr>
          <t>_x000D_
DM-Elétrica</t>
        </r>
      </text>
    </comment>
    <comment ref="X543" authorId="0" shapeId="0" xr:uid="{7B2DB00C-6E7F-4C88-B1C0-81127BD1F5A2}">
      <text>
        <r>
          <rPr>
            <sz val="10"/>
            <color indexed="81"/>
            <rFont val="Lucida Console"/>
            <family val="3"/>
          </rPr>
          <t>_x000D_
EQUIP. MAT. P/ GERACAO, TRANSM. DISTR. RETIF...</t>
        </r>
      </text>
    </comment>
    <comment ref="Y543" authorId="0" shapeId="0" xr:uid="{B16C927C-7BA8-4D00-A04F-BEE4ACE98DEE}">
      <text>
        <r>
          <rPr>
            <sz val="10"/>
            <color indexed="81"/>
            <rFont val="Lucida Console"/>
            <family val="3"/>
          </rPr>
          <t>_x000D_
LAMPADAS DE LED</t>
        </r>
      </text>
    </comment>
    <comment ref="AW543" authorId="0" shapeId="0" xr:uid="{41BBDE7B-7DA4-4890-BEC1-AF036A6192E8}">
      <text>
        <r>
          <rPr>
            <sz val="10"/>
            <color indexed="81"/>
            <rFont val="Lucida Console"/>
            <family val="3"/>
          </rPr>
          <t>Tempo de Estoque (Meses)_x000D_
_x000D_
500,0</t>
        </r>
      </text>
    </comment>
    <comment ref="A544" authorId="0" shapeId="0" xr:uid="{C51580FC-A26B-4073-BCF0-045A0D43AE11}">
      <text>
        <r>
          <rPr>
            <sz val="10"/>
            <color indexed="81"/>
            <rFont val="Lucida Console"/>
            <family val="3"/>
          </rPr>
          <t>_x000D_
4680</t>
        </r>
      </text>
    </comment>
    <comment ref="B544" authorId="0" shapeId="0" xr:uid="{63FFEBE6-52C9-42F9-8837-A4A6EAD59C0F}">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544" authorId="0" shapeId="0" xr:uid="{F6A59ED4-2C25-457E-A617-A3C2FED2E393}">
      <text>
        <r>
          <rPr>
            <sz val="10"/>
            <color indexed="81"/>
            <rFont val="Lucida Console"/>
            <family val="3"/>
          </rPr>
          <t>_x000D_
Últ estimativa : 18.000_x000D_
Enviada em     : 09.10.2020_x000D_
Ata - Venc     : 8/20 - 14.01.2021</t>
        </r>
      </text>
    </comment>
    <comment ref="O544" authorId="0" shapeId="0" xr:uid="{3CDDDEB4-7BB9-4A80-90B9-5196204892C2}">
      <text>
        <r>
          <rPr>
            <sz val="10"/>
            <color indexed="81"/>
            <rFont val="Lucida Console"/>
            <family val="3"/>
          </rPr>
          <t>_x000D_
Pertencia a ATA nº 8/20_x000D_
Estimativa de Renovação enviada em 09.10.2020 - Qtd 18.000_x000D_
PP 168/19 lote _x000D_
14.01.20 = ARP da SAÚDE</t>
        </r>
      </text>
    </comment>
    <comment ref="W544" authorId="0" shapeId="0" xr:uid="{7E64AB11-0D28-4572-A089-6B8BF3D40538}">
      <text>
        <r>
          <rPr>
            <sz val="10"/>
            <color indexed="81"/>
            <rFont val="Lucida Console"/>
            <family val="3"/>
          </rPr>
          <t>_x000D_
Administrativo</t>
        </r>
      </text>
    </comment>
    <comment ref="X544" authorId="0" shapeId="0" xr:uid="{89AFC01E-0DCF-422A-B14E-3FEBB9441121}">
      <text>
        <r>
          <rPr>
            <sz val="10"/>
            <color indexed="81"/>
            <rFont val="Lucida Console"/>
            <family val="3"/>
          </rPr>
          <t>_x000D_
MATERIAIS DE CONSUMO HOSPITALAR</t>
        </r>
      </text>
    </comment>
    <comment ref="Y544" authorId="0" shapeId="0" xr:uid="{2BF37193-52B2-4B62-BFF8-05864274828C}">
      <text>
        <r>
          <rPr>
            <sz val="10"/>
            <color indexed="81"/>
            <rFont val="Lucida Console"/>
            <family val="3"/>
          </rPr>
          <t>_x000D_
MATERIAIS MEDICO-HOSPITALARES</t>
        </r>
      </text>
    </comment>
    <comment ref="AW544" authorId="0" shapeId="0" xr:uid="{76AB8B3D-187F-4E4C-A279-2A334FA8DDB2}">
      <text>
        <r>
          <rPr>
            <sz val="10"/>
            <color indexed="81"/>
            <rFont val="Lucida Console"/>
            <family val="3"/>
          </rPr>
          <t>Tempo de Estoque (Meses)_x000D_
_x000D_
21.196,0</t>
        </r>
      </text>
    </comment>
    <comment ref="A545" authorId="0" shapeId="0" xr:uid="{9DAD3504-D307-4F4B-8C27-5D73F256D107}">
      <text>
        <r>
          <rPr>
            <sz val="10"/>
            <color indexed="81"/>
            <rFont val="Lucida Console"/>
            <family val="3"/>
          </rPr>
          <t>_x000D_
10359</t>
        </r>
      </text>
    </comment>
    <comment ref="B545" authorId="0" shapeId="0" xr:uid="{2BD32F2D-6A2E-433F-AD9F-6B5E033A222E}">
      <text>
        <r>
          <rPr>
            <sz val="10"/>
            <color indexed="81"/>
            <rFont val="Lucida Console"/>
            <family val="3"/>
          </rPr>
          <t xml:space="preserve">DESCRIÇÃO DETALHADA_x000D_
LEITE EM PO INTEGRAL INSTANTANEO ENRIQUECIDO </t>
        </r>
      </text>
    </comment>
    <comment ref="G545" authorId="0" shapeId="0" xr:uid="{6E6A2F9E-7AC1-4EF9-A839-5E5189B3F0E5}">
      <text>
        <r>
          <rPr>
            <sz val="10"/>
            <color indexed="81"/>
            <rFont val="Lucida Console"/>
            <family val="3"/>
          </rPr>
          <t>_x000D_
Últ estimativa : 3.000_x000D_
Enviada em     : 24.11.2020_x000D_
Ata - Venc     : 81/21 - 17.03.2022</t>
        </r>
      </text>
    </comment>
    <comment ref="O545" authorId="0" shapeId="0" xr:uid="{21C9B74B-FE70-46EA-A43D-1B9ED316F911}">
      <text>
        <r>
          <rPr>
            <sz val="10"/>
            <color indexed="81"/>
            <rFont val="Lucida Console"/>
            <family val="3"/>
          </rPr>
          <t>_x000D_
Pertencia a ATA nº 81/21_x000D_
Estimativa de Renovação enviada em 24.11.2020 - Qtd 3.000_x000D_
PE 250/20 lote 1_x000D_
26.01.21 = Finalizado</t>
        </r>
      </text>
    </comment>
    <comment ref="W545" authorId="0" shapeId="0" xr:uid="{48148CE8-B416-462A-A607-D086E1CC9D3B}">
      <text>
        <r>
          <rPr>
            <sz val="10"/>
            <color indexed="81"/>
            <rFont val="Lucida Console"/>
            <family val="3"/>
          </rPr>
          <t>_x000D_
Administrativo</t>
        </r>
      </text>
    </comment>
    <comment ref="X545" authorId="0" shapeId="0" xr:uid="{FF87AC30-9317-445A-9432-A2C91A4A74FC}">
      <text>
        <r>
          <rPr>
            <sz val="10"/>
            <color indexed="81"/>
            <rFont val="Lucida Console"/>
            <family val="3"/>
          </rPr>
          <t>_x000D_
GENEROS ALIMENTICIOS E BEBIDAS</t>
        </r>
      </text>
    </comment>
    <comment ref="Y545" authorId="0" shapeId="0" xr:uid="{4BFAAD67-3DF6-4528-80DF-76B7994A7285}">
      <text>
        <r>
          <rPr>
            <sz val="10"/>
            <color indexed="81"/>
            <rFont val="Lucida Console"/>
            <family val="3"/>
          </rPr>
          <t>_x000D_
LEITES</t>
        </r>
      </text>
    </comment>
    <comment ref="AW545" authorId="0" shapeId="0" xr:uid="{A055B5FD-BE8E-4F1B-87F6-5514BF1ED6EB}">
      <text>
        <r>
          <rPr>
            <sz val="10"/>
            <color indexed="81"/>
            <rFont val="Lucida Console"/>
            <family val="3"/>
          </rPr>
          <t>Tempo de Estoque (Meses)_x000D_
_x000D_
267,0</t>
        </r>
      </text>
    </comment>
    <comment ref="A546" authorId="0" shapeId="0" xr:uid="{DD40986C-B5FA-444D-89AC-B86AF055A010}">
      <text>
        <r>
          <rPr>
            <sz val="10"/>
            <color indexed="81"/>
            <rFont val="Lucida Console"/>
            <family val="3"/>
          </rPr>
          <t>_x000D_
98359</t>
        </r>
      </text>
    </comment>
    <comment ref="B546" authorId="0" shapeId="0" xr:uid="{AF768860-142B-4448-98B1-D9FD30AE0EA8}">
      <text>
        <r>
          <rPr>
            <sz val="10"/>
            <color indexed="81"/>
            <rFont val="Lucida Console"/>
            <family val="3"/>
          </rPr>
          <t>DESCRIÇÃO DETALHADA_x000D_
FITA DE BORDA EM PVC TEXTURIZADA, 22MM - ROLO COM 300 MTS</t>
        </r>
      </text>
    </comment>
    <comment ref="G546" authorId="0" shapeId="0" xr:uid="{41CADDA3-B10D-4259-9C25-003CBFAED4AA}">
      <text>
        <r>
          <rPr>
            <sz val="10"/>
            <color indexed="81"/>
            <rFont val="Lucida Console"/>
            <family val="3"/>
          </rPr>
          <t>_x000D_
Últ estimativa : 100_x000D_
Enviada em     : 24.11.2020_x000D_
Ata - Venc     : 86/20 - 30.03.2021</t>
        </r>
      </text>
    </comment>
    <comment ref="O546" authorId="0" shapeId="0" xr:uid="{D3194947-46A8-4A33-B614-0C0BA0438D64}">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546" authorId="0" shapeId="0" xr:uid="{E5C76FB9-4F4E-400D-9E63-C5CA3E389162}">
      <text>
        <r>
          <rPr>
            <sz val="10"/>
            <color indexed="81"/>
            <rFont val="Lucida Console"/>
            <family val="3"/>
          </rPr>
          <t>_x000D_
DM-Marcenaria</t>
        </r>
      </text>
    </comment>
    <comment ref="X546" authorId="0" shapeId="0" xr:uid="{DD0D7CA3-EF5A-46BF-9314-66D1116BA50C}">
      <text>
        <r>
          <rPr>
            <sz val="10"/>
            <color indexed="81"/>
            <rFont val="Lucida Console"/>
            <family val="3"/>
          </rPr>
          <t>_x000D_
MOBILIARIO E COFRE</t>
        </r>
      </text>
    </comment>
    <comment ref="Y546" authorId="0" shapeId="0" xr:uid="{19844B93-F63D-4E01-A960-01ABEE27DD05}">
      <text>
        <r>
          <rPr>
            <sz val="10"/>
            <color indexed="81"/>
            <rFont val="Lucida Console"/>
            <family val="3"/>
          </rPr>
          <t>_x000D_
ACESSORIOS</t>
        </r>
      </text>
    </comment>
    <comment ref="AW546" authorId="0" shapeId="0" xr:uid="{3B3D5710-DE8D-4E07-AFF9-7C6E8DE5E72F}">
      <text>
        <r>
          <rPr>
            <sz val="10"/>
            <color indexed="81"/>
            <rFont val="Lucida Console"/>
            <family val="3"/>
          </rPr>
          <t>Tempo de Estoque (Meses)_x000D_
_x000D_
56,0</t>
        </r>
      </text>
    </comment>
    <comment ref="A547" authorId="0" shapeId="0" xr:uid="{3CCCEC68-5B62-40A7-83AE-2FA9DED94DE5}">
      <text>
        <r>
          <rPr>
            <sz val="10"/>
            <color indexed="81"/>
            <rFont val="Lucida Console"/>
            <family val="3"/>
          </rPr>
          <t>_x000D_
74908</t>
        </r>
      </text>
    </comment>
    <comment ref="B547" authorId="0" shapeId="0" xr:uid="{B4B695C4-7020-498C-95CD-9E8D0CBC9FED}">
      <text>
        <r>
          <rPr>
            <sz val="10"/>
            <color indexed="81"/>
            <rFont val="Lucida Console"/>
            <family val="3"/>
          </rPr>
          <t>DESCRIÇÃO DETALHADA_x000D_
VIGA DE GARAPEIRA BRUTA - MEDIDAS: 06 CM X 16 CM X 4,00 M</t>
        </r>
      </text>
    </comment>
    <comment ref="G547" authorId="0" shapeId="0" xr:uid="{A38501A4-109D-4580-9935-A2608B35F0C8}">
      <text>
        <r>
          <rPr>
            <sz val="10"/>
            <color indexed="81"/>
            <rFont val="Lucida Console"/>
            <family val="3"/>
          </rPr>
          <t>_x000D_
Últ estimativa : 200_x000D_
Enviada em     : 24.11.2020_x000D_
Ata - Venc     : 86/20 - 30.03.2021</t>
        </r>
      </text>
    </comment>
    <comment ref="O547" authorId="0" shapeId="0" xr:uid="{AFFD0FBD-A3F2-49BC-AFFD-E820F5AB70DF}">
      <text>
        <r>
          <rPr>
            <sz val="10"/>
            <color indexed="81"/>
            <rFont val="Lucida Console"/>
            <family val="3"/>
          </rPr>
          <t>_x000D_
Pertencia a ATA nº 86/20_x000D_
Estimativa de Renovação enviada em 24.11.2020 - Qtd 200_x000D_
PP 242/19 lote _x000D_
02.03.20 = Abertura 02.03.2020 08:30</t>
        </r>
      </text>
    </comment>
    <comment ref="W547" authorId="0" shapeId="0" xr:uid="{342EC3B9-BE5C-4EDE-A2A2-0DD91B67BF17}">
      <text>
        <r>
          <rPr>
            <sz val="10"/>
            <color indexed="81"/>
            <rFont val="Lucida Console"/>
            <family val="3"/>
          </rPr>
          <t>_x000D_
DM-Construção</t>
        </r>
      </text>
    </comment>
    <comment ref="X547" authorId="0" shapeId="0" xr:uid="{BF04B50B-BD25-475C-8C49-413BC440A95B}">
      <text>
        <r>
          <rPr>
            <sz val="10"/>
            <color indexed="81"/>
            <rFont val="Lucida Console"/>
            <family val="3"/>
          </rPr>
          <t>_x000D_
MADEIRAS,LAMINADOS,COMPENSADOS E AGLOMERADOS</t>
        </r>
      </text>
    </comment>
    <comment ref="Y547" authorId="0" shapeId="0" xr:uid="{04BB1504-4B02-4769-8326-8D1014A39D0B}">
      <text>
        <r>
          <rPr>
            <sz val="10"/>
            <color indexed="81"/>
            <rFont val="Lucida Console"/>
            <family val="3"/>
          </rPr>
          <t>_x000D_
PONTALETES, CAIBROS, PRANCHAS E VIGAS</t>
        </r>
      </text>
    </comment>
    <comment ref="AW547" authorId="0" shapeId="0" xr:uid="{6417C30D-136B-487C-A904-EDE7421F7B2D}">
      <text>
        <r>
          <rPr>
            <sz val="10"/>
            <color indexed="81"/>
            <rFont val="Lucida Console"/>
            <family val="3"/>
          </rPr>
          <t>Tempo de Estoque (Meses)_x000D_
_x000D_
350,0</t>
        </r>
      </text>
    </comment>
    <comment ref="A548" authorId="0" shapeId="0" xr:uid="{CB43FC31-E040-449A-9907-E2E92A06C9C2}">
      <text>
        <r>
          <rPr>
            <sz val="10"/>
            <color indexed="81"/>
            <rFont val="Lucida Console"/>
            <family val="3"/>
          </rPr>
          <t>_x000D_
108711</t>
        </r>
      </text>
    </comment>
    <comment ref="B548" authorId="0" shapeId="0" xr:uid="{DBEC572A-DBF6-41C3-9E23-5FAC45389CEB}">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548" authorId="0" shapeId="0" xr:uid="{A8108E45-83CD-46A0-AD3D-F5FAAAB5726F}">
      <text>
        <r>
          <rPr>
            <sz val="10"/>
            <color indexed="81"/>
            <rFont val="Lucida Console"/>
            <family val="3"/>
          </rPr>
          <t>_x000D_
Últ estimativa : 0_x000D_
Enviada em     : 24.11.2020_x000D_
Ata - Venc     : 87/20 - 31.03.2021</t>
        </r>
      </text>
    </comment>
    <comment ref="O548" authorId="0" shapeId="0" xr:uid="{DEF00F05-6B0B-4440-B938-22EA708CD750}">
      <text>
        <r>
          <rPr>
            <sz val="10"/>
            <color indexed="81"/>
            <rFont val="Lucida Console"/>
            <family val="3"/>
          </rPr>
          <t>_x000D_
Pertencia a ATA nº 87/20_x000D_
Estimativa de Renovação enviada em 24.11.2020 - Qtd _x000D_
PE  10/20 lote 60 (Impróspero)_x000D_
30.04.20 = Processo conferido, finalizado.</t>
        </r>
      </text>
    </comment>
    <comment ref="W548" authorId="0" shapeId="0" xr:uid="{34172E82-3572-4EBD-AB76-672D3BC508F2}">
      <text>
        <r>
          <rPr>
            <sz val="10"/>
            <color indexed="81"/>
            <rFont val="Lucida Console"/>
            <family val="3"/>
          </rPr>
          <t>_x000D_
DM-Hidráulica</t>
        </r>
      </text>
    </comment>
    <comment ref="X548" authorId="0" shapeId="0" xr:uid="{012196CF-1405-4ECC-882D-2F46937F60E8}">
      <text>
        <r>
          <rPr>
            <sz val="10"/>
            <color indexed="81"/>
            <rFont val="Lucida Console"/>
            <family val="3"/>
          </rPr>
          <t>_x000D_
MATERIAL HIDRAULICO, CANOS, TUBOS, MANGUEIRAS, CONEXOES E ACESS.</t>
        </r>
      </text>
    </comment>
    <comment ref="Y548" authorId="0" shapeId="0" xr:uid="{EF189154-7DFB-4BB4-8F5B-8925B5E3D862}">
      <text>
        <r>
          <rPr>
            <sz val="10"/>
            <color indexed="81"/>
            <rFont val="Lucida Console"/>
            <family val="3"/>
          </rPr>
          <t>_x000D_
ARTEF. COMPLEM. P/ PIAS, BIDES, MICTORIOS, BOXES, BEBED.</t>
        </r>
      </text>
    </comment>
    <comment ref="AW548" authorId="0" shapeId="0" xr:uid="{B9C40CC9-54B3-4286-8EBE-92644D0FA6FF}">
      <text>
        <r>
          <rPr>
            <sz val="10"/>
            <color indexed="81"/>
            <rFont val="Lucida Console"/>
            <family val="3"/>
          </rPr>
          <t>Tempo de Estoque (Meses)_x000D_
_x000D_
108,0</t>
        </r>
      </text>
    </comment>
    <comment ref="A549" authorId="0" shapeId="0" xr:uid="{E8D7B3E8-1659-4C2B-A3C9-00FA879F6C9D}">
      <text>
        <r>
          <rPr>
            <sz val="10"/>
            <color indexed="81"/>
            <rFont val="Lucida Console"/>
            <family val="3"/>
          </rPr>
          <t>_x000D_
42854</t>
        </r>
      </text>
    </comment>
    <comment ref="B549" authorId="0" shapeId="0" xr:uid="{229C02F5-D271-45FD-9AD6-6BB987C7AAB5}">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549" authorId="0" shapeId="0" xr:uid="{A4468DCD-EDAA-4EF0-92AA-1BCC0C2698D4}">
      <text>
        <r>
          <rPr>
            <sz val="10"/>
            <color indexed="81"/>
            <rFont val="Lucida Console"/>
            <family val="3"/>
          </rPr>
          <t>_x000D_
Últ estimativa : 500_x000D_
Enviada em     : 24.11.2020_x000D_
Ata - Venc     : 87/20 - 31.03.2021</t>
        </r>
      </text>
    </comment>
    <comment ref="O549" authorId="0" shapeId="0" xr:uid="{37C17EB3-91EF-4C61-8811-C0E6B4A266FD}">
      <text>
        <r>
          <rPr>
            <sz val="10"/>
            <color indexed="81"/>
            <rFont val="Lucida Console"/>
            <family val="3"/>
          </rPr>
          <t>_x000D_
Pertencia a ATA nº 87/20_x000D_
Estimativa de Renovação enviada em 24.11.2020 - Qtd 500_x000D_
PE  10/20 lote 25_x000D_
30.04.20 = Processo conferido, finalizado.</t>
        </r>
      </text>
    </comment>
    <comment ref="W549" authorId="0" shapeId="0" xr:uid="{237DAF03-57FA-4360-9E97-670C20F146B3}">
      <text>
        <r>
          <rPr>
            <sz val="10"/>
            <color indexed="81"/>
            <rFont val="Lucida Console"/>
            <family val="3"/>
          </rPr>
          <t>_x000D_
Administrativo</t>
        </r>
      </text>
    </comment>
    <comment ref="X549" authorId="0" shapeId="0" xr:uid="{85AAE235-75E7-4CE0-85F3-84C8E44901B0}">
      <text>
        <r>
          <rPr>
            <sz val="10"/>
            <color indexed="81"/>
            <rFont val="Lucida Console"/>
            <family val="3"/>
          </rPr>
          <t>_x000D_
EQUIP. P/REFR. PURIF. ADUCAO DE AGUA E TRAT. DE ESGOTO</t>
        </r>
      </text>
    </comment>
    <comment ref="Y549" authorId="0" shapeId="0" xr:uid="{8D597EE8-1CCC-4F83-978B-7AB3CF3F5D08}">
      <text>
        <r>
          <rPr>
            <sz val="10"/>
            <color indexed="81"/>
            <rFont val="Lucida Console"/>
            <family val="3"/>
          </rPr>
          <t>_x000D_
TRATAMENTO E MANUTENCAO DE AGUA EQUIP. PCS. E ACES.</t>
        </r>
      </text>
    </comment>
    <comment ref="AC549" authorId="0" shapeId="0" xr:uid="{F616AE1B-358F-4141-8C90-D4A14CB5A18A}">
      <text>
        <r>
          <rPr>
            <sz val="10"/>
            <color indexed="81"/>
            <rFont val="Lucida Console"/>
            <family val="3"/>
          </rPr>
          <t>_x000D_
AF  9.670/23 | Vc 24.08.2023 | Saldo    500 | DAVOP COMERCIAL LTDA ( 44459 )</t>
        </r>
      </text>
    </comment>
    <comment ref="AG549" authorId="0" shapeId="0" xr:uid="{050E3566-B897-494B-8830-F281F1CD9F6F}">
      <text>
        <r>
          <rPr>
            <sz val="10"/>
            <color indexed="81"/>
            <rFont val="Lucida Console"/>
            <family val="3"/>
          </rPr>
          <t>_x000D_
AF  9.670/23 | Vc 24.08.2023 | Saldo    500 | DAVOP COMERCIAL LTDA ( 44459 )</t>
        </r>
      </text>
    </comment>
    <comment ref="AW549" authorId="0" shapeId="0" xr:uid="{C5EBA3FC-F0F0-4615-9D74-2DBB967C6E02}">
      <text>
        <r>
          <rPr>
            <sz val="10"/>
            <color indexed="81"/>
            <rFont val="Lucida Console"/>
            <family val="3"/>
          </rPr>
          <t>Tempo de Estoque (Meses)_x000D_
_x000D_
293,0</t>
        </r>
      </text>
    </comment>
    <comment ref="A550" authorId="0" shapeId="0" xr:uid="{5FE461FD-2494-4EBF-B36E-814904F9D5A0}">
      <text>
        <r>
          <rPr>
            <sz val="10"/>
            <color indexed="81"/>
            <rFont val="Lucida Console"/>
            <family val="3"/>
          </rPr>
          <t>_x000D_
53446</t>
        </r>
      </text>
    </comment>
    <comment ref="B550" authorId="0" shapeId="0" xr:uid="{A6431E9C-61B0-41D8-8721-B4E448550E39}">
      <text>
        <r>
          <rPr>
            <sz val="10"/>
            <color indexed="81"/>
            <rFont val="Lucida Console"/>
            <family val="3"/>
          </rPr>
          <t>DESCRIÇÃO DETALHADA_x000D_
REJUNTE BRANCO - SACO COM 01 KG</t>
        </r>
      </text>
    </comment>
    <comment ref="G550" authorId="0" shapeId="0" xr:uid="{D8F0E8BA-7EF1-4DE8-B9BD-22938B9D514F}">
      <text>
        <r>
          <rPr>
            <sz val="10"/>
            <color indexed="81"/>
            <rFont val="Lucida Console"/>
            <family val="3"/>
          </rPr>
          <t>_x000D_
Últ estimativa : 3.000_x000D_
Enviada em     : 24.11.2020_x000D_
Ata - Venc     : 87/20 - 31.03.2021</t>
        </r>
      </text>
    </comment>
    <comment ref="M550" authorId="0" shapeId="0" xr:uid="{1D19C5E8-7FA2-4713-9C37-74043AB2D450}">
      <text>
        <r>
          <rPr>
            <sz val="10"/>
            <color indexed="81"/>
            <rFont val="Lucida Console"/>
            <family val="3"/>
          </rPr>
          <t>_x000D_
Validade necessária em meses =&gt; 18,_x000D_
A partir desta planilha limitado até 20.05.2025</t>
        </r>
      </text>
    </comment>
    <comment ref="O550" authorId="0" shapeId="0" xr:uid="{A6E6C1C6-84C3-4840-BFC3-DE1C99E2C4A8}">
      <text>
        <r>
          <rPr>
            <sz val="10"/>
            <color indexed="81"/>
            <rFont val="Lucida Console"/>
            <family val="3"/>
          </rPr>
          <t>_x000D_
Pertencia a ATA nº 87/20_x000D_
Estimativa de Renovação enviada em 24.11.2020 - Qtd 3.000_x000D_
PE  10/20 lote 26_x000D_
30.04.20 = Processo conferido, finalizado.</t>
        </r>
      </text>
    </comment>
    <comment ref="W550" authorId="0" shapeId="0" xr:uid="{0A3CE86C-D70F-4F81-9F85-2D9124311AFB}">
      <text>
        <r>
          <rPr>
            <sz val="10"/>
            <color indexed="81"/>
            <rFont val="Lucida Console"/>
            <family val="3"/>
          </rPr>
          <t>_x000D_
DM-Construção</t>
        </r>
      </text>
    </comment>
    <comment ref="X550" authorId="0" shapeId="0" xr:uid="{BE1D2EA0-3E1E-4AC2-B97E-1AFF2C2D70C9}">
      <text>
        <r>
          <rPr>
            <sz val="10"/>
            <color indexed="81"/>
            <rFont val="Lucida Console"/>
            <family val="3"/>
          </rPr>
          <t>_x000D_
MAT.E EQUIP. P/ CONSTR.CIVIL E CONSERV. DE VIAS PUBL.</t>
        </r>
      </text>
    </comment>
    <comment ref="Y550" authorId="0" shapeId="0" xr:uid="{828ACD96-8873-4251-91C3-77A6F1DBBA2F}">
      <text>
        <r>
          <rPr>
            <sz val="10"/>
            <color indexed="81"/>
            <rFont val="Lucida Console"/>
            <family val="3"/>
          </rPr>
          <t>_x000D_
AZULEJOS E PASTILHAS</t>
        </r>
      </text>
    </comment>
    <comment ref="AW550" authorId="0" shapeId="0" xr:uid="{98433C91-F032-4E2E-BC35-BE5140FDB08D}">
      <text>
        <r>
          <rPr>
            <sz val="10"/>
            <color indexed="81"/>
            <rFont val="Lucida Console"/>
            <family val="3"/>
          </rPr>
          <t>Tempo de Estoque (Meses)_x000D_
_x000D_
1.853,0</t>
        </r>
      </text>
    </comment>
    <comment ref="A551" authorId="0" shapeId="0" xr:uid="{B71390A2-6473-4F59-A91D-874438D13F28}">
      <text>
        <r>
          <rPr>
            <sz val="10"/>
            <color indexed="81"/>
            <rFont val="Lucida Console"/>
            <family val="3"/>
          </rPr>
          <t>_x000D_
57598</t>
        </r>
      </text>
    </comment>
    <comment ref="B551" authorId="0" shapeId="0" xr:uid="{EDDDE1A7-66D6-48E2-87C0-E0DFE4666B29}">
      <text>
        <r>
          <rPr>
            <sz val="10"/>
            <color indexed="81"/>
            <rFont val="Lucida Console"/>
            <family val="3"/>
          </rPr>
          <t>DESCRIÇÃO DETALHADA_x000D_
REJUNTE CINZA CLARO - SC C/ 01 KG</t>
        </r>
      </text>
    </comment>
    <comment ref="G551" authorId="0" shapeId="0" xr:uid="{8E513C6D-0AA9-4244-BA9A-147446DE8C1D}">
      <text>
        <r>
          <rPr>
            <sz val="10"/>
            <color indexed="81"/>
            <rFont val="Lucida Console"/>
            <family val="3"/>
          </rPr>
          <t>_x000D_
Últ estimativa : 1.250_x000D_
Enviada em     : 24.11.2020_x000D_
Ata - Venc     : 87/20 - 31.03.2021</t>
        </r>
      </text>
    </comment>
    <comment ref="O551" authorId="0" shapeId="0" xr:uid="{C347F49E-D357-4968-B4D0-517980404F67}">
      <text>
        <r>
          <rPr>
            <sz val="10"/>
            <color indexed="81"/>
            <rFont val="Lucida Console"/>
            <family val="3"/>
          </rPr>
          <t>_x000D_
Pertencia a ATA nº 87/20_x000D_
Estimativa de Renovação enviada em 24.11.2020 - Qtd 1.250_x000D_
PE  10/20 lote 30_x000D_
30.04.20 = Processo conferido, finalizado.</t>
        </r>
      </text>
    </comment>
    <comment ref="W551" authorId="0" shapeId="0" xr:uid="{8CFE8ED0-2A1B-47DA-915F-79DC6B457E26}">
      <text>
        <r>
          <rPr>
            <sz val="10"/>
            <color indexed="81"/>
            <rFont val="Lucida Console"/>
            <family val="3"/>
          </rPr>
          <t>_x000D_
DM-Construção</t>
        </r>
      </text>
    </comment>
    <comment ref="X551" authorId="0" shapeId="0" xr:uid="{F047C7C4-C46B-4F63-BE30-0EF9D7336B84}">
      <text>
        <r>
          <rPr>
            <sz val="10"/>
            <color indexed="81"/>
            <rFont val="Lucida Console"/>
            <family val="3"/>
          </rPr>
          <t>_x000D_
MAT.E EQUIP. P/ CONSTR.CIVIL E CONSERV. DE VIAS PUBL.</t>
        </r>
      </text>
    </comment>
    <comment ref="Y551" authorId="0" shapeId="0" xr:uid="{A0883174-8D81-462D-89F4-E5A6E3DDCB85}">
      <text>
        <r>
          <rPr>
            <sz val="10"/>
            <color indexed="81"/>
            <rFont val="Lucida Console"/>
            <family val="3"/>
          </rPr>
          <t>_x000D_
AZULEJOS E PASTILHAS</t>
        </r>
      </text>
    </comment>
    <comment ref="AC551" authorId="0" shapeId="0" xr:uid="{D779A384-C243-440F-B138-1C777638C69C}">
      <text>
        <r>
          <rPr>
            <sz val="10"/>
            <color indexed="81"/>
            <rFont val="Lucida Console"/>
            <family val="3"/>
          </rPr>
          <t>_x000D_
AF 10.437/23 | Vc 28.09.2023 | Saldo  1.000 | RELLEK TEK COMERCIAL LTDA ( 162825 )</t>
        </r>
      </text>
    </comment>
    <comment ref="AG551" authorId="0" shapeId="0" xr:uid="{739AF377-A342-46CB-9FB0-6995F7ED6AA0}">
      <text>
        <r>
          <rPr>
            <sz val="10"/>
            <color indexed="81"/>
            <rFont val="Lucida Console"/>
            <family val="3"/>
          </rPr>
          <t>_x000D_
AF 10.437/23 | Vc 28.09.2023 | Saldo  1.000 | RELLEK TEK COMERCIAL LTDA ( 162825 )</t>
        </r>
      </text>
    </comment>
    <comment ref="AW551" authorId="0" shapeId="0" xr:uid="{F2DB160F-9613-4EE4-9806-AAD0295D0151}">
      <text>
        <r>
          <rPr>
            <sz val="10"/>
            <color indexed="81"/>
            <rFont val="Lucida Console"/>
            <family val="3"/>
          </rPr>
          <t>Tempo de Estoque (Meses)_x000D_
_x000D_
160,0</t>
        </r>
      </text>
    </comment>
    <comment ref="A552" authorId="0" shapeId="0" xr:uid="{04835F39-E1EE-422D-8573-D75E5BDCB71C}">
      <text>
        <r>
          <rPr>
            <sz val="10"/>
            <color indexed="81"/>
            <rFont val="Lucida Console"/>
            <family val="3"/>
          </rPr>
          <t>_x000D_
113846</t>
        </r>
      </text>
    </comment>
    <comment ref="B552" authorId="0" shapeId="0" xr:uid="{B542A47B-A8E1-4335-A924-B9CC34C7E68D}">
      <text>
        <r>
          <rPr>
            <sz val="10"/>
            <color indexed="81"/>
            <rFont val="Lucida Console"/>
            <family val="3"/>
          </rPr>
          <t>DESCRIÇÃO DETALHADA_x000D_
REJUNTE BEGE - SACO COM 01 KG</t>
        </r>
      </text>
    </comment>
    <comment ref="G552" authorId="0" shapeId="0" xr:uid="{7BCD797B-65FC-412A-ABB0-9BA42D7DB010}">
      <text>
        <r>
          <rPr>
            <sz val="10"/>
            <color indexed="81"/>
            <rFont val="Lucida Console"/>
            <family val="3"/>
          </rPr>
          <t>_x000D_
Últ estimativa : 1.500_x000D_
Enviada em     : 24.11.2020_x000D_
Ata - Venc     : 87/20 - 31.03.2021</t>
        </r>
      </text>
    </comment>
    <comment ref="M552" authorId="0" shapeId="0" xr:uid="{D4CD6B73-E22E-45B5-96FB-E34683615ABC}">
      <text>
        <r>
          <rPr>
            <sz val="10"/>
            <color indexed="81"/>
            <rFont val="Lucida Console"/>
            <family val="3"/>
          </rPr>
          <t>_x000D_
Validade necessária em meses =&gt; 18,_x000D_
A partir desta planilha limitado até 20.05.2025</t>
        </r>
      </text>
    </comment>
    <comment ref="O552" authorId="0" shapeId="0" xr:uid="{493E8580-DE5E-47A5-8E3F-BE7E28A4378B}">
      <text>
        <r>
          <rPr>
            <sz val="10"/>
            <color indexed="81"/>
            <rFont val="Lucida Console"/>
            <family val="3"/>
          </rPr>
          <t>_x000D_
Pertencia a ATA nº 87/20_x000D_
Estimativa de Renovação enviada em 24.11.2020 - Qtd 1.500_x000D_
PE  10/20 lote 61_x000D_
30.04.20 = Processo conferido, finalizado.</t>
        </r>
      </text>
    </comment>
    <comment ref="W552" authorId="0" shapeId="0" xr:uid="{30463CDC-18FA-4DE5-973C-B0F226147B33}">
      <text>
        <r>
          <rPr>
            <sz val="10"/>
            <color indexed="81"/>
            <rFont val="Lucida Console"/>
            <family val="3"/>
          </rPr>
          <t>_x000D_
DM-Construção</t>
        </r>
      </text>
    </comment>
    <comment ref="X552" authorId="0" shapeId="0" xr:uid="{1042D2EC-F475-4CD5-9AE0-A33AD33ECF79}">
      <text>
        <r>
          <rPr>
            <sz val="10"/>
            <color indexed="81"/>
            <rFont val="Lucida Console"/>
            <family val="3"/>
          </rPr>
          <t>_x000D_
MAT.E EQUIP. P/ CONSTR.CIVIL E CONSERV. DE VIAS PUBL.</t>
        </r>
      </text>
    </comment>
    <comment ref="Y552" authorId="0" shapeId="0" xr:uid="{E3A4659C-1B70-4D5D-A4E4-64BB01C90743}">
      <text>
        <r>
          <rPr>
            <sz val="10"/>
            <color indexed="81"/>
            <rFont val="Lucida Console"/>
            <family val="3"/>
          </rPr>
          <t>_x000D_
AZULEJOS E PASTILHAS</t>
        </r>
      </text>
    </comment>
    <comment ref="AW552" authorId="0" shapeId="0" xr:uid="{21E3162A-B033-4454-9B3B-FDC642329BA5}">
      <text>
        <r>
          <rPr>
            <sz val="10"/>
            <color indexed="81"/>
            <rFont val="Lucida Console"/>
            <family val="3"/>
          </rPr>
          <t>Tempo de Estoque (Meses)_x000D_
_x000D_
2.255,0</t>
        </r>
      </text>
    </comment>
    <comment ref="A553" authorId="0" shapeId="0" xr:uid="{3815835E-44D6-4743-8F1A-85C3683C595B}">
      <text>
        <r>
          <rPr>
            <sz val="10"/>
            <color indexed="81"/>
            <rFont val="Lucida Console"/>
            <family val="3"/>
          </rPr>
          <t>_x000D_
102832</t>
        </r>
      </text>
    </comment>
    <comment ref="B553" authorId="0" shapeId="0" xr:uid="{BD458760-CB7C-47EC-9013-4A857A2D8210}">
      <text>
        <r>
          <rPr>
            <sz val="10"/>
            <color indexed="81"/>
            <rFont val="Lucida Console"/>
            <family val="3"/>
          </rPr>
          <t>DESCRIÇÃO DETALHADA_x000D_
PORTA GRELHA REDONDA, EM PVC, 100MM (4"), ALTURA MINIMA DE 20 MM</t>
        </r>
      </text>
    </comment>
    <comment ref="G553" authorId="0" shapeId="0" xr:uid="{B4F4684F-477A-4C9B-911F-EAAF579C976D}">
      <text>
        <r>
          <rPr>
            <sz val="10"/>
            <color indexed="81"/>
            <rFont val="Lucida Console"/>
            <family val="3"/>
          </rPr>
          <t>_x000D_
Últ estimativa : 0_x000D_
Enviada em     : 24.11.2020_x000D_
Ata - Venc     : 87/20 - 31.03.2021</t>
        </r>
      </text>
    </comment>
    <comment ref="O553" authorId="0" shapeId="0" xr:uid="{36EDC29E-9C25-4E59-BB00-CA2C5CFF357B}">
      <text>
        <r>
          <rPr>
            <sz val="10"/>
            <color indexed="81"/>
            <rFont val="Lucida Console"/>
            <family val="3"/>
          </rPr>
          <t>_x000D_
Pertencia a ATA nº 87/20_x000D_
Estimativa de Renovação enviada em 24.11.2020 - Qtd _x000D_
PE  10/20 lote 55_x000D_
30.04.20 = Processo conferido, finalizado.</t>
        </r>
      </text>
    </comment>
    <comment ref="W553" authorId="0" shapeId="0" xr:uid="{478A0F4E-1169-4565-AC39-298CBF03C27F}">
      <text>
        <r>
          <rPr>
            <sz val="10"/>
            <color indexed="81"/>
            <rFont val="Lucida Console"/>
            <family val="3"/>
          </rPr>
          <t>_x000D_
DM-Construção</t>
        </r>
      </text>
    </comment>
    <comment ref="X553" authorId="0" shapeId="0" xr:uid="{41D8EF23-74FD-4EFF-806F-32CEBC67A230}">
      <text>
        <r>
          <rPr>
            <sz val="10"/>
            <color indexed="81"/>
            <rFont val="Lucida Console"/>
            <family val="3"/>
          </rPr>
          <t>_x000D_
MAT.E EQUIP. P/ CONSTR.CIVIL E CONSERV. DE VIAS PUBL.</t>
        </r>
      </text>
    </comment>
    <comment ref="Y553" authorId="0" shapeId="0" xr:uid="{4B0B664B-DDFD-4B18-851B-DB60802D64F6}">
      <text>
        <r>
          <rPr>
            <sz val="10"/>
            <color indexed="81"/>
            <rFont val="Lucida Console"/>
            <family val="3"/>
          </rPr>
          <t>_x000D_
TAMPOS/GRELHAS P/ USO EM VIAS PUBLICAS</t>
        </r>
      </text>
    </comment>
    <comment ref="AW553" authorId="0" shapeId="0" xr:uid="{4665FC01-F5D9-4F07-A4A0-4EC93304C306}">
      <text>
        <r>
          <rPr>
            <sz val="10"/>
            <color indexed="81"/>
            <rFont val="Lucida Console"/>
            <family val="3"/>
          </rPr>
          <t>Tempo de Estoque (Meses)_x000D_
_x000D_
75,0</t>
        </r>
      </text>
    </comment>
    <comment ref="A554" authorId="0" shapeId="0" xr:uid="{F0F18492-B8E2-4702-96E7-4889EF3929F3}">
      <text>
        <r>
          <rPr>
            <sz val="10"/>
            <color indexed="81"/>
            <rFont val="Lucida Console"/>
            <family val="3"/>
          </rPr>
          <t>_x000D_
54586</t>
        </r>
      </text>
    </comment>
    <comment ref="B554" authorId="0" shapeId="0" xr:uid="{C0DB47C9-885C-4139-A01C-F142BD71C4CF}">
      <text>
        <r>
          <rPr>
            <sz val="10"/>
            <color indexed="81"/>
            <rFont val="Lucida Console"/>
            <family val="3"/>
          </rPr>
          <t>DESCRIÇÃO DETALHADA_x000D_
COTOVELO 45 GRAUS EM PVC - RIGIDO SOLDAVEL - 6"- (150 MM) -ESGOTO</t>
        </r>
      </text>
    </comment>
    <comment ref="G554" authorId="0" shapeId="0" xr:uid="{FB0267C7-F4C7-4099-BC15-0992CFAA63B6}">
      <text>
        <r>
          <rPr>
            <sz val="10"/>
            <color indexed="81"/>
            <rFont val="Lucida Console"/>
            <family val="3"/>
          </rPr>
          <t>_x000D_
Últ estimativa : 30_x000D_
Enviada em     : 24.11.2020_x000D_
Ata - Venc     : 87/20 - 31.03.2021</t>
        </r>
      </text>
    </comment>
    <comment ref="O554" authorId="0" shapeId="0" xr:uid="{810D62DE-EEE4-4E99-8092-E46DA7F0C3A8}">
      <text>
        <r>
          <rPr>
            <sz val="10"/>
            <color indexed="81"/>
            <rFont val="Lucida Console"/>
            <family val="3"/>
          </rPr>
          <t>_x000D_
Pertencia a ATA nº 87/20_x000D_
Estimativa de Renovação enviada em 24.11.2020 - Qtd 30_x000D_
PE  10/20 lote 28_x000D_
30.04.20 = Processo conferido, finalizado.</t>
        </r>
      </text>
    </comment>
    <comment ref="W554" authorId="0" shapeId="0" xr:uid="{F0F81F43-C497-4084-95FC-E2AC3732F3BF}">
      <text>
        <r>
          <rPr>
            <sz val="10"/>
            <color indexed="81"/>
            <rFont val="Lucida Console"/>
            <family val="3"/>
          </rPr>
          <t>_x000D_
DM-Hidráulica</t>
        </r>
      </text>
    </comment>
    <comment ref="X554" authorId="0" shapeId="0" xr:uid="{F8D64C95-577C-4CE9-BA57-89AEFB8D01F7}">
      <text>
        <r>
          <rPr>
            <sz val="10"/>
            <color indexed="81"/>
            <rFont val="Lucida Console"/>
            <family val="3"/>
          </rPr>
          <t>_x000D_
MATERIAL HIDRAULICO, CANOS, TUBOS, MANGUEIRAS, CONEXOES E ACESS.</t>
        </r>
      </text>
    </comment>
    <comment ref="Y554" authorId="0" shapeId="0" xr:uid="{200A3104-1F97-452E-930A-EC354ECF5F12}">
      <text>
        <r>
          <rPr>
            <sz val="10"/>
            <color indexed="81"/>
            <rFont val="Lucida Console"/>
            <family val="3"/>
          </rPr>
          <t>_x000D_
CANOS E TUBOS PLASTICOS</t>
        </r>
      </text>
    </comment>
    <comment ref="AW554" authorId="0" shapeId="0" xr:uid="{D3646974-5EA0-4276-91B9-74FC9BE99996}">
      <text>
        <r>
          <rPr>
            <sz val="10"/>
            <color indexed="81"/>
            <rFont val="Lucida Console"/>
            <family val="3"/>
          </rPr>
          <t>Tempo de Estoque (Meses)_x000D_
_x000D_
10,0</t>
        </r>
      </text>
    </comment>
    <comment ref="A555" authorId="0" shapeId="0" xr:uid="{19802617-D330-4316-9B80-D2040334E4C9}">
      <text>
        <r>
          <rPr>
            <sz val="10"/>
            <color indexed="81"/>
            <rFont val="Lucida Console"/>
            <family val="3"/>
          </rPr>
          <t>_x000D_
54587</t>
        </r>
      </text>
    </comment>
    <comment ref="B555" authorId="0" shapeId="0" xr:uid="{6F0D9D49-C59C-4766-BCF3-92996A0215DF}">
      <text>
        <r>
          <rPr>
            <sz val="10"/>
            <color indexed="81"/>
            <rFont val="Lucida Console"/>
            <family val="3"/>
          </rPr>
          <t>DESCRIÇÃO DETALHADA_x000D_
COTOVELO 90 GRAUS EM PVC - RIGIDO SOLDAVEL - 6"- (150 MM) -ESGOTO</t>
        </r>
      </text>
    </comment>
    <comment ref="G555" authorId="0" shapeId="0" xr:uid="{A831E4D2-08C1-4148-98E6-D363C9D3E601}">
      <text>
        <r>
          <rPr>
            <sz val="10"/>
            <color indexed="81"/>
            <rFont val="Lucida Console"/>
            <family val="3"/>
          </rPr>
          <t>_x000D_
Últ estimativa : 20_x000D_
Enviada em     : 24.11.2020_x000D_
Ata - Venc     : 87/20 - 31.03.2021</t>
        </r>
      </text>
    </comment>
    <comment ref="O555" authorId="0" shapeId="0" xr:uid="{3E01CC9D-CA17-4B64-B795-86E27F055231}">
      <text>
        <r>
          <rPr>
            <sz val="10"/>
            <color indexed="81"/>
            <rFont val="Lucida Console"/>
            <family val="3"/>
          </rPr>
          <t>_x000D_
Pertencia a ATA nº 87/20_x000D_
Estimativa de Renovação enviada em 24.11.2020 - Qtd 20_x000D_
PE  10/20 lote 29_x000D_
30.04.20 = Processo conferido, finalizado.</t>
        </r>
      </text>
    </comment>
    <comment ref="W555" authorId="0" shapeId="0" xr:uid="{F33B2EDC-B879-48B7-96D2-38BB1D6201D1}">
      <text>
        <r>
          <rPr>
            <sz val="10"/>
            <color indexed="81"/>
            <rFont val="Lucida Console"/>
            <family val="3"/>
          </rPr>
          <t>_x000D_
DM-Hidráulica</t>
        </r>
      </text>
    </comment>
    <comment ref="X555" authorId="0" shapeId="0" xr:uid="{9574C1DC-798B-4384-987C-6F982053D231}">
      <text>
        <r>
          <rPr>
            <sz val="10"/>
            <color indexed="81"/>
            <rFont val="Lucida Console"/>
            <family val="3"/>
          </rPr>
          <t>_x000D_
MATERIAL HIDRAULICO, CANOS, TUBOS, MANGUEIRAS, CONEXOES E ACESS.</t>
        </r>
      </text>
    </comment>
    <comment ref="Y555" authorId="0" shapeId="0" xr:uid="{4EDC2872-2EB6-4DA7-93EA-F432D9EB7EF7}">
      <text>
        <r>
          <rPr>
            <sz val="10"/>
            <color indexed="81"/>
            <rFont val="Lucida Console"/>
            <family val="3"/>
          </rPr>
          <t>_x000D_
CANOS E TUBOS PLASTICOS</t>
        </r>
      </text>
    </comment>
    <comment ref="AW555" authorId="0" shapeId="0" xr:uid="{C8B9298D-3E45-4319-93FB-0E629D179300}">
      <text>
        <r>
          <rPr>
            <sz val="10"/>
            <color indexed="81"/>
            <rFont val="Lucida Console"/>
            <family val="3"/>
          </rPr>
          <t>Tempo de Estoque (Meses)_x000D_
_x000D_
27,0</t>
        </r>
      </text>
    </comment>
    <comment ref="A556" authorId="0" shapeId="0" xr:uid="{B40F2742-43C9-453B-BC11-CC9341AA759A}">
      <text>
        <r>
          <rPr>
            <sz val="10"/>
            <color indexed="81"/>
            <rFont val="Lucida Console"/>
            <family val="3"/>
          </rPr>
          <t>_x000D_
60116</t>
        </r>
      </text>
    </comment>
    <comment ref="B556" authorId="0" shapeId="0" xr:uid="{A5D42B60-D70C-4187-8D65-FDF9455D47C3}">
      <text>
        <r>
          <rPr>
            <sz val="10"/>
            <color indexed="81"/>
            <rFont val="Lucida Console"/>
            <family val="3"/>
          </rPr>
          <t>DESCRIÇÃO DETALHADA_x000D_
TUBO DESCARGA PONTA AZUL - 18</t>
        </r>
      </text>
    </comment>
    <comment ref="G556" authorId="0" shapeId="0" xr:uid="{EAC7505A-9E21-4DE9-BAE4-4071775B3FC6}">
      <text>
        <r>
          <rPr>
            <sz val="10"/>
            <color indexed="81"/>
            <rFont val="Lucida Console"/>
            <family val="3"/>
          </rPr>
          <t>_x000D_
Últ estimativa : 170_x000D_
Enviada em     : 24.11.2020_x000D_
Ata - Venc     : 87/20 - 31.03.2021</t>
        </r>
      </text>
    </comment>
    <comment ref="O556" authorId="0" shapeId="0" xr:uid="{EF8688A6-9831-4991-B6C9-6F34038A30AB}">
      <text>
        <r>
          <rPr>
            <sz val="10"/>
            <color indexed="81"/>
            <rFont val="Lucida Console"/>
            <family val="3"/>
          </rPr>
          <t>_x000D_
Pertencia a ATA nº 87/20_x000D_
Estimativa de Renovação enviada em 24.11.2020 - Qtd 170_x000D_
PE  10/20 lote 35_x000D_
30.04.20 = Processo conferido, finalizado.</t>
        </r>
      </text>
    </comment>
    <comment ref="W556" authorId="0" shapeId="0" xr:uid="{B04B9DE2-958D-4F93-985D-80D7D6FAA97B}">
      <text>
        <r>
          <rPr>
            <sz val="10"/>
            <color indexed="81"/>
            <rFont val="Lucida Console"/>
            <family val="3"/>
          </rPr>
          <t>_x000D_
DM-Elétrica</t>
        </r>
      </text>
    </comment>
    <comment ref="X556" authorId="0" shapeId="0" xr:uid="{AF5CD2BA-87EF-4257-9C1E-F5E0D4F15E54}">
      <text>
        <r>
          <rPr>
            <sz val="10"/>
            <color indexed="81"/>
            <rFont val="Lucida Console"/>
            <family val="3"/>
          </rPr>
          <t>_x000D_
MATERIAL HIDRAULICO, CANOS, TUBOS, MANGUEIRAS, CONEXOES E ACESS.</t>
        </r>
      </text>
    </comment>
    <comment ref="Y556" authorId="0" shapeId="0" xr:uid="{628B2BD0-3FA6-4FF6-918F-2B6753ABF05D}">
      <text>
        <r>
          <rPr>
            <sz val="10"/>
            <color indexed="81"/>
            <rFont val="Lucida Console"/>
            <family val="3"/>
          </rPr>
          <t>_x000D_
CANOS E TUBOS DE FERRO E METAL</t>
        </r>
      </text>
    </comment>
    <comment ref="AW556" authorId="0" shapeId="0" xr:uid="{F7BB402F-01DC-4487-B3DB-EA3C96923053}">
      <text>
        <r>
          <rPr>
            <sz val="10"/>
            <color indexed="81"/>
            <rFont val="Lucida Console"/>
            <family val="3"/>
          </rPr>
          <t>Tempo de Estoque (Meses)_x000D_
_x000D_
141,0</t>
        </r>
      </text>
    </comment>
    <comment ref="A557" authorId="0" shapeId="0" xr:uid="{F5A0D0A2-3FCD-4464-9D00-2B2297312329}">
      <text>
        <r>
          <rPr>
            <sz val="10"/>
            <color indexed="81"/>
            <rFont val="Lucida Console"/>
            <family val="3"/>
          </rPr>
          <t>_x000D_
70967</t>
        </r>
      </text>
    </comment>
    <comment ref="B557" authorId="0" shapeId="0" xr:uid="{4DED4CAD-477C-45D2-8AB6-58D4547CBDDB}">
      <text>
        <r>
          <rPr>
            <sz val="10"/>
            <color indexed="81"/>
            <rFont val="Lucida Console"/>
            <family val="3"/>
          </rPr>
          <t>DESCRIÇÃO DETALHADA_x000D_
CANO DE ALUMINIO P/ CHUVEIRO - 40 CM</t>
        </r>
      </text>
    </comment>
    <comment ref="G557" authorId="0" shapeId="0" xr:uid="{B4393C66-137A-4D2E-A722-80D5EBA7538E}">
      <text>
        <r>
          <rPr>
            <sz val="10"/>
            <color indexed="81"/>
            <rFont val="Lucida Console"/>
            <family val="3"/>
          </rPr>
          <t>_x000D_
Últ estimativa : 50_x000D_
Enviada em     : 24.11.2020_x000D_
Ata - Venc     : 87/20 - 31.03.2021</t>
        </r>
      </text>
    </comment>
    <comment ref="O557" authorId="0" shapeId="0" xr:uid="{5B2DF782-BA69-4969-95D5-DC2260016318}">
      <text>
        <r>
          <rPr>
            <sz val="10"/>
            <color indexed="81"/>
            <rFont val="Lucida Console"/>
            <family val="3"/>
          </rPr>
          <t>_x000D_
Pertencia a ATA nº 87/20_x000D_
Estimativa de Renovação enviada em 24.11.2020 - Qtd 50_x000D_
PE  10/20 lote 40_x000D_
30.04.20 = Processo conferido, finalizado.</t>
        </r>
      </text>
    </comment>
    <comment ref="W557" authorId="0" shapeId="0" xr:uid="{EDAF694D-2581-4330-9D7A-F335A8575BDB}">
      <text>
        <r>
          <rPr>
            <sz val="10"/>
            <color indexed="81"/>
            <rFont val="Lucida Console"/>
            <family val="3"/>
          </rPr>
          <t>_x000D_
DM-Elétrica</t>
        </r>
      </text>
    </comment>
    <comment ref="X557" authorId="0" shapeId="0" xr:uid="{CC2BD931-5B21-4953-B43B-3628EBB539CA}">
      <text>
        <r>
          <rPr>
            <sz val="10"/>
            <color indexed="81"/>
            <rFont val="Lucida Console"/>
            <family val="3"/>
          </rPr>
          <t>_x000D_
MATERIAL HIDRAULICO, CANOS, TUBOS, MANGUEIRAS, CONEXOES E ACESS.</t>
        </r>
      </text>
    </comment>
    <comment ref="Y557" authorId="0" shapeId="0" xr:uid="{658B8C7A-E3EF-434B-A7C8-8A47421C0261}">
      <text>
        <r>
          <rPr>
            <sz val="10"/>
            <color indexed="81"/>
            <rFont val="Lucida Console"/>
            <family val="3"/>
          </rPr>
          <t>_x000D_
CANOS E TUBOS DE FERRO E METAL</t>
        </r>
      </text>
    </comment>
    <comment ref="AW557" authorId="0" shapeId="0" xr:uid="{B52B04DB-FADA-43D0-B369-5BC2D928F7F7}">
      <text>
        <r>
          <rPr>
            <sz val="10"/>
            <color indexed="81"/>
            <rFont val="Lucida Console"/>
            <family val="3"/>
          </rPr>
          <t>Tempo de Estoque (Meses)_x000D_
_x000D_
39,0</t>
        </r>
      </text>
    </comment>
    <comment ref="A558" authorId="0" shapeId="0" xr:uid="{C00871D1-B5E5-4BDC-B603-CF6F5B5CAF90}">
      <text>
        <r>
          <rPr>
            <sz val="10"/>
            <color indexed="81"/>
            <rFont val="Lucida Console"/>
            <family val="3"/>
          </rPr>
          <t>_x000D_
12813</t>
        </r>
      </text>
    </comment>
    <comment ref="B558" authorId="0" shapeId="0" xr:uid="{2044BA5A-BA78-44DA-BE31-499C814479BE}">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558" authorId="0" shapeId="0" xr:uid="{230EFBC7-B77F-463D-84E7-A6AC4F713720}">
      <text>
        <r>
          <rPr>
            <sz val="10"/>
            <color indexed="81"/>
            <rFont val="Lucida Console"/>
            <family val="3"/>
          </rPr>
          <t>_x000D_
Últ estimativa : 60_x000D_
Enviada em     : 24.11.2020_x000D_
Ata - Venc     : 87/20 - 31.03.2021</t>
        </r>
      </text>
    </comment>
    <comment ref="O558" authorId="0" shapeId="0" xr:uid="{9160EAD1-E550-456B-8594-1A3B7729A16D}">
      <text>
        <r>
          <rPr>
            <sz val="10"/>
            <color indexed="81"/>
            <rFont val="Lucida Console"/>
            <family val="3"/>
          </rPr>
          <t>_x000D_
Pertencia a ATA nº 87/20_x000D_
Estimativa de Renovação enviada em 24.11.2020 - Qtd 60_x000D_
PE  10/20 lote 1_x000D_
30.04.20 = Processo conferido, finalizado.</t>
        </r>
      </text>
    </comment>
    <comment ref="W558" authorId="0" shapeId="0" xr:uid="{26D87931-5F1C-4107-9455-51F2E71A7728}">
      <text>
        <r>
          <rPr>
            <sz val="10"/>
            <color indexed="81"/>
            <rFont val="Lucida Console"/>
            <family val="3"/>
          </rPr>
          <t>_x000D_
DM-Hidráulica</t>
        </r>
      </text>
    </comment>
    <comment ref="X558" authorId="0" shapeId="0" xr:uid="{2A66E908-5206-44A5-8A9E-927E12FCAC8E}">
      <text>
        <r>
          <rPr>
            <sz val="10"/>
            <color indexed="81"/>
            <rFont val="Lucida Console"/>
            <family val="3"/>
          </rPr>
          <t>_x000D_
MATERIAL HIDRAULICO, CANOS, TUBOS, MANGUEIRAS, CONEXOES E ACESS.</t>
        </r>
      </text>
    </comment>
    <comment ref="Y558" authorId="0" shapeId="0" xr:uid="{CEA40CA0-A8C0-4E0F-8179-C9D0136F84B8}">
      <text>
        <r>
          <rPr>
            <sz val="10"/>
            <color indexed="81"/>
            <rFont val="Lucida Console"/>
            <family val="3"/>
          </rPr>
          <t>_x000D_
ADAP. LUVAS.TES CURVAS COTOVELOS PLUGS FLANGES.....</t>
        </r>
      </text>
    </comment>
    <comment ref="AW558" authorId="0" shapeId="0" xr:uid="{EA981231-5AE3-4C6D-8FF0-950BC7DDA01F}">
      <text>
        <r>
          <rPr>
            <sz val="10"/>
            <color indexed="81"/>
            <rFont val="Lucida Console"/>
            <family val="3"/>
          </rPr>
          <t>Tempo de Estoque (Meses)_x000D_
_x000D_
61,0</t>
        </r>
      </text>
    </comment>
    <comment ref="A559" authorId="0" shapeId="0" xr:uid="{7FA99E9C-F17F-468C-8C6F-8E719562B040}">
      <text>
        <r>
          <rPr>
            <sz val="10"/>
            <color indexed="81"/>
            <rFont val="Lucida Console"/>
            <family val="3"/>
          </rPr>
          <t>_x000D_
12821</t>
        </r>
      </text>
    </comment>
    <comment ref="B559" authorId="0" shapeId="0" xr:uid="{842B062C-F5A8-463F-BC05-57040B9789D8}">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559" authorId="0" shapeId="0" xr:uid="{006B07B6-EC90-41D6-A8DC-AA0F5ED0152F}">
      <text>
        <r>
          <rPr>
            <sz val="10"/>
            <color indexed="81"/>
            <rFont val="Lucida Console"/>
            <family val="3"/>
          </rPr>
          <t>_x000D_
Últ estimativa : 100_x000D_
Enviada em     : 24.11.2020_x000D_
Ata - Venc     : 87/20 - 31.03.2021</t>
        </r>
      </text>
    </comment>
    <comment ref="O559" authorId="0" shapeId="0" xr:uid="{B768ECAE-DAA1-4ADA-9FDF-4C2CFEC795D1}">
      <text>
        <r>
          <rPr>
            <sz val="10"/>
            <color indexed="81"/>
            <rFont val="Lucida Console"/>
            <family val="3"/>
          </rPr>
          <t>_x000D_
Pertencia a ATA nº 87/20_x000D_
Estimativa de Renovação enviada em 24.11.2020 - Qtd 100_x000D_
PE  10/20 lote 2_x000D_
30.04.20 = Processo conferido, finalizado.</t>
        </r>
      </text>
    </comment>
    <comment ref="W559" authorId="0" shapeId="0" xr:uid="{993D7991-6F57-4BA7-BFF1-48266C903A03}">
      <text>
        <r>
          <rPr>
            <sz val="10"/>
            <color indexed="81"/>
            <rFont val="Lucida Console"/>
            <family val="3"/>
          </rPr>
          <t>_x000D_
DM-Hidráulica</t>
        </r>
      </text>
    </comment>
    <comment ref="X559" authorId="0" shapeId="0" xr:uid="{91BA5792-B657-43B8-B8D9-88AC6FEE7A79}">
      <text>
        <r>
          <rPr>
            <sz val="10"/>
            <color indexed="81"/>
            <rFont val="Lucida Console"/>
            <family val="3"/>
          </rPr>
          <t>_x000D_
MATERIAL HIDRAULICO, CANOS, TUBOS, MANGUEIRAS, CONEXOES E ACESS.</t>
        </r>
      </text>
    </comment>
    <comment ref="Y559" authorId="0" shapeId="0" xr:uid="{1CE4E5D3-7257-41D3-AF49-84BA07858F80}">
      <text>
        <r>
          <rPr>
            <sz val="10"/>
            <color indexed="81"/>
            <rFont val="Lucida Console"/>
            <family val="3"/>
          </rPr>
          <t>_x000D_
ADAP. LUVAS.TES CURVAS COTOVELOS PLUGS FLANGES.....</t>
        </r>
      </text>
    </comment>
    <comment ref="AW559" authorId="0" shapeId="0" xr:uid="{D7456E71-0458-4377-9783-6E40DC23CBC4}">
      <text>
        <r>
          <rPr>
            <sz val="10"/>
            <color indexed="81"/>
            <rFont val="Lucida Console"/>
            <family val="3"/>
          </rPr>
          <t>Tempo de Estoque (Meses)_x000D_
_x000D_
137,0</t>
        </r>
      </text>
    </comment>
    <comment ref="A560" authorId="0" shapeId="0" xr:uid="{637A5056-CD5C-499B-A958-41BB3B3BED70}">
      <text>
        <r>
          <rPr>
            <sz val="10"/>
            <color indexed="81"/>
            <rFont val="Lucida Console"/>
            <family val="3"/>
          </rPr>
          <t>_x000D_
12824</t>
        </r>
      </text>
    </comment>
    <comment ref="B560" authorId="0" shapeId="0" xr:uid="{C65C4314-7A0B-4427-A729-9FC03848C208}">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560" authorId="0" shapeId="0" xr:uid="{DADE5E00-7915-4C52-8AC1-FF8B7A96D4F6}">
      <text>
        <r>
          <rPr>
            <sz val="10"/>
            <color indexed="81"/>
            <rFont val="Lucida Console"/>
            <family val="3"/>
          </rPr>
          <t>_x000D_
Últ estimativa : 150_x000D_
Enviada em     : 24.11.2020_x000D_
Ata - Venc     : 87/20 - 31.03.2021</t>
        </r>
      </text>
    </comment>
    <comment ref="O560" authorId="0" shapeId="0" xr:uid="{10C9190C-3D85-45E9-8CD7-1FE533D68C01}">
      <text>
        <r>
          <rPr>
            <sz val="10"/>
            <color indexed="81"/>
            <rFont val="Lucida Console"/>
            <family val="3"/>
          </rPr>
          <t>_x000D_
Pertencia a ATA nº 87/20_x000D_
Estimativa de Renovação enviada em 24.11.2020 - Qtd 150_x000D_
PE  10/20 lote 3_x000D_
30.04.20 = Processo conferido, finalizado.</t>
        </r>
      </text>
    </comment>
    <comment ref="W560" authorId="0" shapeId="0" xr:uid="{7A1AEEAB-B4F6-40DA-806B-664B08B0A2E5}">
      <text>
        <r>
          <rPr>
            <sz val="10"/>
            <color indexed="81"/>
            <rFont val="Lucida Console"/>
            <family val="3"/>
          </rPr>
          <t>_x000D_
DM-Hidráulica</t>
        </r>
      </text>
    </comment>
    <comment ref="X560" authorId="0" shapeId="0" xr:uid="{129E50FC-936B-4931-85A3-FEA354B7121D}">
      <text>
        <r>
          <rPr>
            <sz val="10"/>
            <color indexed="81"/>
            <rFont val="Lucida Console"/>
            <family val="3"/>
          </rPr>
          <t>_x000D_
MATERIAL HIDRAULICO, CANOS, TUBOS, MANGUEIRAS, CONEXOES E ACESS.</t>
        </r>
      </text>
    </comment>
    <comment ref="Y560" authorId="0" shapeId="0" xr:uid="{F602BB15-2CCF-487B-810A-66D3B7412CEF}">
      <text>
        <r>
          <rPr>
            <sz val="10"/>
            <color indexed="81"/>
            <rFont val="Lucida Console"/>
            <family val="3"/>
          </rPr>
          <t>_x000D_
ADAP. LUVAS.TES CURVAS COTOVELOS PLUGS FLANGES.....</t>
        </r>
      </text>
    </comment>
    <comment ref="AW560" authorId="0" shapeId="0" xr:uid="{2BD700F7-6AC5-4E9C-86C8-E1E8EE684858}">
      <text>
        <r>
          <rPr>
            <sz val="10"/>
            <color indexed="81"/>
            <rFont val="Lucida Console"/>
            <family val="3"/>
          </rPr>
          <t>Tempo de Estoque (Meses)_x000D_
_x000D_
92,0</t>
        </r>
      </text>
    </comment>
    <comment ref="A561" authorId="0" shapeId="0" xr:uid="{4E15BA4B-374B-4364-A3FF-3F7BBF76FA04}">
      <text>
        <r>
          <rPr>
            <sz val="10"/>
            <color indexed="81"/>
            <rFont val="Lucida Console"/>
            <family val="3"/>
          </rPr>
          <t>_x000D_
12884</t>
        </r>
      </text>
    </comment>
    <comment ref="B561" authorId="0" shapeId="0" xr:uid="{FD4330DF-ED36-4C26-AEF0-7B6232CCEFF0}">
      <text>
        <r>
          <rPr>
            <sz val="10"/>
            <color indexed="81"/>
            <rFont val="Lucida Console"/>
            <family val="3"/>
          </rPr>
          <t>DESCRIÇÃO DETALHADA_x000D_
COTOVELO 90 GRAUS EM PVC RIGIDO SOLDAVEL DE 4" (ESGOTO)</t>
        </r>
      </text>
    </comment>
    <comment ref="G561" authorId="0" shapeId="0" xr:uid="{D158723C-83D1-43B7-88EA-78D20F0F46EB}">
      <text>
        <r>
          <rPr>
            <sz val="10"/>
            <color indexed="81"/>
            <rFont val="Lucida Console"/>
            <family val="3"/>
          </rPr>
          <t>_x000D_
Últ estimativa : 400_x000D_
Enviada em     : 24.11.2020_x000D_
Ata - Venc     : 87/20 - 31.03.2021</t>
        </r>
      </text>
    </comment>
    <comment ref="O561" authorId="0" shapeId="0" xr:uid="{09BA529B-8065-48D2-91A2-5CD107214879}">
      <text>
        <r>
          <rPr>
            <sz val="10"/>
            <color indexed="81"/>
            <rFont val="Lucida Console"/>
            <family val="3"/>
          </rPr>
          <t>_x000D_
Pertencia a ATA nº 87/20_x000D_
Estimativa de Renovação enviada em 24.11.2020 - Qtd 400_x000D_
PE  10/20 lote 4_x000D_
30.04.20 = Processo conferido, finalizado.</t>
        </r>
      </text>
    </comment>
    <comment ref="W561" authorId="0" shapeId="0" xr:uid="{5739136D-36C4-4020-B066-BCCEFEF92FAD}">
      <text>
        <r>
          <rPr>
            <sz val="10"/>
            <color indexed="81"/>
            <rFont val="Lucida Console"/>
            <family val="3"/>
          </rPr>
          <t>_x000D_
DM-Hidráulica</t>
        </r>
      </text>
    </comment>
    <comment ref="X561" authorId="0" shapeId="0" xr:uid="{1C06ED13-E11B-45DD-814D-3D75D2D862ED}">
      <text>
        <r>
          <rPr>
            <sz val="10"/>
            <color indexed="81"/>
            <rFont val="Lucida Console"/>
            <family val="3"/>
          </rPr>
          <t>_x000D_
MATERIAL HIDRAULICO, CANOS, TUBOS, MANGUEIRAS, CONEXOES E ACESS.</t>
        </r>
      </text>
    </comment>
    <comment ref="Y561" authorId="0" shapeId="0" xr:uid="{8F6E82C0-5357-4C22-8B71-8D6671403C29}">
      <text>
        <r>
          <rPr>
            <sz val="10"/>
            <color indexed="81"/>
            <rFont val="Lucida Console"/>
            <family val="3"/>
          </rPr>
          <t>_x000D_
ADAP. LUVAS.TES CURVAS COTOVELOS PLUGS FLANGES.....</t>
        </r>
      </text>
    </comment>
    <comment ref="AW561" authorId="0" shapeId="0" xr:uid="{E591D6C3-A66B-4DB0-9151-6558CD708007}">
      <text>
        <r>
          <rPr>
            <sz val="10"/>
            <color indexed="81"/>
            <rFont val="Lucida Console"/>
            <family val="3"/>
          </rPr>
          <t>Tempo de Estoque (Meses)_x000D_
_x000D_
88,0</t>
        </r>
      </text>
    </comment>
    <comment ref="A562" authorId="0" shapeId="0" xr:uid="{32CF16AF-FE50-4E81-9847-FD2C2C603760}">
      <text>
        <r>
          <rPr>
            <sz val="10"/>
            <color indexed="81"/>
            <rFont val="Lucida Console"/>
            <family val="3"/>
          </rPr>
          <t>_x000D_
12891</t>
        </r>
      </text>
    </comment>
    <comment ref="B562" authorId="0" shapeId="0" xr:uid="{18F12326-C0D8-4254-B861-DF7537144F9A}">
      <text>
        <r>
          <rPr>
            <sz val="10"/>
            <color indexed="81"/>
            <rFont val="Lucida Console"/>
            <family val="3"/>
          </rPr>
          <t>DESCRIÇÃO DETALHADA_x000D_
COTOVELO 90 GRAUS EM PVC RIGIDO SOLDAVEL MARROM DE 32 MM (1"). A MARCA DEVERA VIR LITOGRAFADA NA PECA.</t>
        </r>
      </text>
    </comment>
    <comment ref="G562" authorId="0" shapeId="0" xr:uid="{C7A0D811-F74D-4117-B739-B9CCD3CDEBB1}">
      <text>
        <r>
          <rPr>
            <sz val="10"/>
            <color indexed="81"/>
            <rFont val="Lucida Console"/>
            <family val="3"/>
          </rPr>
          <t>_x000D_
Últ estimativa : 100_x000D_
Enviada em     : 24.11.2020_x000D_
Ata - Venc     : 87/20 - 31.03.2021</t>
        </r>
      </text>
    </comment>
    <comment ref="O562" authorId="0" shapeId="0" xr:uid="{A6F0A507-8797-4A36-B865-B9E876BD5ECC}">
      <text>
        <r>
          <rPr>
            <sz val="10"/>
            <color indexed="81"/>
            <rFont val="Lucida Console"/>
            <family val="3"/>
          </rPr>
          <t>_x000D_
Pertencia a ATA nº 87/20_x000D_
Estimativa de Renovação enviada em 24.11.2020 - Qtd 100_x000D_
PE  10/20 lote 5_x000D_
30.04.20 = Processo conferido, finalizado.</t>
        </r>
      </text>
    </comment>
    <comment ref="W562" authorId="0" shapeId="0" xr:uid="{3BEC9FE8-BD9F-4653-8DAC-DD623978F79F}">
      <text>
        <r>
          <rPr>
            <sz val="10"/>
            <color indexed="81"/>
            <rFont val="Lucida Console"/>
            <family val="3"/>
          </rPr>
          <t>_x000D_
DM-Hidráulica</t>
        </r>
      </text>
    </comment>
    <comment ref="X562" authorId="0" shapeId="0" xr:uid="{DA959000-AA6D-474D-A034-2574BC1987AA}">
      <text>
        <r>
          <rPr>
            <sz val="10"/>
            <color indexed="81"/>
            <rFont val="Lucida Console"/>
            <family val="3"/>
          </rPr>
          <t>_x000D_
MATERIAL HIDRAULICO, CANOS, TUBOS, MANGUEIRAS, CONEXOES E ACESS.</t>
        </r>
      </text>
    </comment>
    <comment ref="Y562" authorId="0" shapeId="0" xr:uid="{BE6DAF29-3D80-4AAF-B266-1215EB45C8E6}">
      <text>
        <r>
          <rPr>
            <sz val="10"/>
            <color indexed="81"/>
            <rFont val="Lucida Console"/>
            <family val="3"/>
          </rPr>
          <t>_x000D_
ADAP. LUVAS.TES CURVAS COTOVELOS PLUGS FLANGES.....</t>
        </r>
      </text>
    </comment>
    <comment ref="AW562" authorId="0" shapeId="0" xr:uid="{5C977BFA-12CA-4AF2-9242-97D36720A99D}">
      <text>
        <r>
          <rPr>
            <sz val="10"/>
            <color indexed="81"/>
            <rFont val="Lucida Console"/>
            <family val="3"/>
          </rPr>
          <t>Tempo de Estoque (Meses)_x000D_
_x000D_
154,0</t>
        </r>
      </text>
    </comment>
    <comment ref="A563" authorId="0" shapeId="0" xr:uid="{A2BFBC11-E3CE-4732-A5DF-9BBC0465834B}">
      <text>
        <r>
          <rPr>
            <sz val="10"/>
            <color indexed="81"/>
            <rFont val="Lucida Console"/>
            <family val="3"/>
          </rPr>
          <t>_x000D_
25523</t>
        </r>
      </text>
    </comment>
    <comment ref="B563" authorId="0" shapeId="0" xr:uid="{A4123476-5867-49C4-B4CE-FACF1C177A80}">
      <text>
        <r>
          <rPr>
            <sz val="10"/>
            <color indexed="81"/>
            <rFont val="Lucida Console"/>
            <family val="3"/>
          </rPr>
          <t>DESCRIÇÃO DETALHADA_x000D_
COTOVELO EM PVC AZUL-COLA E ROSCA DE 3/4"</t>
        </r>
      </text>
    </comment>
    <comment ref="G563" authorId="0" shapeId="0" xr:uid="{59C16626-ABAA-4164-A160-CD4160DAB474}">
      <text>
        <r>
          <rPr>
            <sz val="10"/>
            <color indexed="81"/>
            <rFont val="Lucida Console"/>
            <family val="3"/>
          </rPr>
          <t>_x000D_
Últ estimativa : 0_x000D_
Enviada em     : 24.11.2020_x000D_
Ata - Venc     : 87/20 - 31.03.2021</t>
        </r>
      </text>
    </comment>
    <comment ref="O563" authorId="0" shapeId="0" xr:uid="{E6790A98-21A4-4A7D-BFC0-75B4A797D224}">
      <text>
        <r>
          <rPr>
            <sz val="10"/>
            <color indexed="81"/>
            <rFont val="Lucida Console"/>
            <family val="3"/>
          </rPr>
          <t>_x000D_
Pertencia a ATA nº 87/20_x000D_
Estimativa de Renovação enviada em 24.11.2020 - Qtd _x000D_
PE  10/20 lote 15_x000D_
30.04.20 = Processo conferido, finalizado.</t>
        </r>
      </text>
    </comment>
    <comment ref="W563" authorId="0" shapeId="0" xr:uid="{52F6D943-5836-47A3-BF44-963E536FC60A}">
      <text>
        <r>
          <rPr>
            <sz val="10"/>
            <color indexed="81"/>
            <rFont val="Lucida Console"/>
            <family val="3"/>
          </rPr>
          <t>_x000D_
DM-Hidráulica</t>
        </r>
      </text>
    </comment>
    <comment ref="X563" authorId="0" shapeId="0" xr:uid="{5545961D-9034-46EC-8482-BFA723F22A64}">
      <text>
        <r>
          <rPr>
            <sz val="10"/>
            <color indexed="81"/>
            <rFont val="Lucida Console"/>
            <family val="3"/>
          </rPr>
          <t>_x000D_
MATERIAL HIDRAULICO, CANOS, TUBOS, MANGUEIRAS, CONEXOES E ACESS.</t>
        </r>
      </text>
    </comment>
    <comment ref="Y563" authorId="0" shapeId="0" xr:uid="{4F145B57-A4BF-4165-B77E-2910389915F0}">
      <text>
        <r>
          <rPr>
            <sz val="10"/>
            <color indexed="81"/>
            <rFont val="Lucida Console"/>
            <family val="3"/>
          </rPr>
          <t>_x000D_
ADAP. LUVAS.TES CURVAS COTOVELOS PLUGS FLANGES.....</t>
        </r>
      </text>
    </comment>
    <comment ref="AW563" authorId="0" shapeId="0" xr:uid="{0C67BA08-537E-466D-B257-D119547F10AB}">
      <text>
        <r>
          <rPr>
            <sz val="10"/>
            <color indexed="81"/>
            <rFont val="Lucida Console"/>
            <family val="3"/>
          </rPr>
          <t>Tempo de Estoque (Meses)_x000D_
_x000D_
692,0</t>
        </r>
      </text>
    </comment>
    <comment ref="A564" authorId="0" shapeId="0" xr:uid="{66163CDD-48A8-4BC5-9F47-5E4E86E109C9}">
      <text>
        <r>
          <rPr>
            <sz val="10"/>
            <color indexed="81"/>
            <rFont val="Lucida Console"/>
            <family val="3"/>
          </rPr>
          <t>_x000D_
28184</t>
        </r>
      </text>
    </comment>
    <comment ref="B564" authorId="0" shapeId="0" xr:uid="{89C04CE6-1FEC-45B8-983B-3F4B21DE2010}">
      <text>
        <r>
          <rPr>
            <sz val="10"/>
            <color indexed="81"/>
            <rFont val="Lucida Console"/>
            <family val="3"/>
          </rPr>
          <t>DESCRIÇÃO DETALHADA_x000D_
ADAPTADOR EM PVC RIGIDO SOLDAVEL MARROM DE 1". A MARCA DEVERA VIR LITOGRAFADA NA PECA.</t>
        </r>
      </text>
    </comment>
    <comment ref="G564" authorId="0" shapeId="0" xr:uid="{861BE122-C898-418C-BF3F-521A8358AA1D}">
      <text>
        <r>
          <rPr>
            <sz val="10"/>
            <color indexed="81"/>
            <rFont val="Lucida Console"/>
            <family val="3"/>
          </rPr>
          <t>_x000D_
Últ estimativa : 150_x000D_
Enviada em     : 24.11.2020_x000D_
Ata - Venc     : 87/20 - 31.03.2021</t>
        </r>
      </text>
    </comment>
    <comment ref="O564" authorId="0" shapeId="0" xr:uid="{710DC171-3757-4A43-8C73-33CD1E5F88BB}">
      <text>
        <r>
          <rPr>
            <sz val="10"/>
            <color indexed="81"/>
            <rFont val="Lucida Console"/>
            <family val="3"/>
          </rPr>
          <t>_x000D_
Pertencia a ATA nº 87/20_x000D_
Estimativa de Renovação enviada em 24.11.2020 - Qtd 150_x000D_
PE  10/20 lote 8_x000D_
30.04.20 = Processo conferido, finalizado.</t>
        </r>
      </text>
    </comment>
    <comment ref="W564" authorId="0" shapeId="0" xr:uid="{79883291-1C29-42AD-BAAE-691F52CD4AD2}">
      <text>
        <r>
          <rPr>
            <sz val="10"/>
            <color indexed="81"/>
            <rFont val="Lucida Console"/>
            <family val="3"/>
          </rPr>
          <t>_x000D_
DM-Hidráulica</t>
        </r>
      </text>
    </comment>
    <comment ref="X564" authorId="0" shapeId="0" xr:uid="{AB20AD87-EC68-4066-A31E-B5AF69CF20BE}">
      <text>
        <r>
          <rPr>
            <sz val="10"/>
            <color indexed="81"/>
            <rFont val="Lucida Console"/>
            <family val="3"/>
          </rPr>
          <t>_x000D_
MATERIAL HIDRAULICO, CANOS, TUBOS, MANGUEIRAS, CONEXOES E ACESS.</t>
        </r>
      </text>
    </comment>
    <comment ref="Y564" authorId="0" shapeId="0" xr:uid="{D906D7FA-205E-4BBE-83FF-441549FB1224}">
      <text>
        <r>
          <rPr>
            <sz val="10"/>
            <color indexed="81"/>
            <rFont val="Lucida Console"/>
            <family val="3"/>
          </rPr>
          <t>_x000D_
ADAP. LUVAS.TES CURVAS COTOVELOS PLUGS FLANGES.....</t>
        </r>
      </text>
    </comment>
    <comment ref="AW564" authorId="0" shapeId="0" xr:uid="{92CFBAE3-AA31-48E4-8205-44443A400CC5}">
      <text>
        <r>
          <rPr>
            <sz val="10"/>
            <color indexed="81"/>
            <rFont val="Lucida Console"/>
            <family val="3"/>
          </rPr>
          <t>Tempo de Estoque (Meses)_x000D_
_x000D_
380,0</t>
        </r>
      </text>
    </comment>
    <comment ref="A565" authorId="0" shapeId="0" xr:uid="{846EC0B0-E7DA-4463-AF7D-35D8CED5DF24}">
      <text>
        <r>
          <rPr>
            <sz val="10"/>
            <color indexed="81"/>
            <rFont val="Lucida Console"/>
            <family val="3"/>
          </rPr>
          <t>_x000D_
59097</t>
        </r>
      </text>
    </comment>
    <comment ref="B565" authorId="0" shapeId="0" xr:uid="{4010D860-03B4-480C-8EB4-292CE9C0192F}">
      <text>
        <r>
          <rPr>
            <sz val="10"/>
            <color indexed="81"/>
            <rFont val="Lucida Console"/>
            <family val="3"/>
          </rPr>
          <t>DESCRIÇÃO DETALHADA_x000D_
TUBO DE PVC BRANCO PARA ESGOTO, DE 150 MM - 6" X 06 M, DE ACORDO COM A NORMA NBR 5688 E A MARCA DEVERA VIR LITOGRAFADA NA PECA</t>
        </r>
      </text>
    </comment>
    <comment ref="G565" authorId="0" shapeId="0" xr:uid="{C36A7BCE-7D71-4ABF-BDC2-FF1B90F5F855}">
      <text>
        <r>
          <rPr>
            <sz val="10"/>
            <color indexed="81"/>
            <rFont val="Lucida Console"/>
            <family val="3"/>
          </rPr>
          <t>_x000D_
Últ estimativa : 50_x000D_
Enviada em     : 24.11.2020_x000D_
Ata - Venc     : 87/20 - 31.03.2021</t>
        </r>
      </text>
    </comment>
    <comment ref="O565" authorId="0" shapeId="0" xr:uid="{FA85C163-864C-4E4A-BF0B-D11CC489B626}">
      <text>
        <r>
          <rPr>
            <sz val="10"/>
            <color indexed="81"/>
            <rFont val="Lucida Console"/>
            <family val="3"/>
          </rPr>
          <t>_x000D_
Pertencia a ATA nº 87/20_x000D_
Estimativa de Renovação enviada em 24.11.2020 - Qtd 50_x000D_
PE  10/20 lote 33_x000D_
30.04.20 = Processo conferido, finalizado.</t>
        </r>
      </text>
    </comment>
    <comment ref="W565" authorId="0" shapeId="0" xr:uid="{EECF57D1-2035-4277-ACBC-49352FED3AAB}">
      <text>
        <r>
          <rPr>
            <sz val="10"/>
            <color indexed="81"/>
            <rFont val="Lucida Console"/>
            <family val="3"/>
          </rPr>
          <t>_x000D_
DM-Hidráulica</t>
        </r>
      </text>
    </comment>
    <comment ref="X565" authorId="0" shapeId="0" xr:uid="{78E589D4-EED6-4ADA-A155-893A4A48308D}">
      <text>
        <r>
          <rPr>
            <sz val="10"/>
            <color indexed="81"/>
            <rFont val="Lucida Console"/>
            <family val="3"/>
          </rPr>
          <t>_x000D_
MATERIAL HIDRAULICO, CANOS, TUBOS, MANGUEIRAS, CONEXOES E ACESS.</t>
        </r>
      </text>
    </comment>
    <comment ref="Y565" authorId="0" shapeId="0" xr:uid="{C63FAD97-7B80-4E97-828E-B2C69D690EFB}">
      <text>
        <r>
          <rPr>
            <sz val="10"/>
            <color indexed="81"/>
            <rFont val="Lucida Console"/>
            <family val="3"/>
          </rPr>
          <t>_x000D_
ADAP. LUVAS.TES CURVAS COTOVELOS PLUGS FLANGES.....</t>
        </r>
      </text>
    </comment>
    <comment ref="AC565" authorId="0" shapeId="0" xr:uid="{A73320C8-147F-4C88-8668-6C64643187B8}">
      <text>
        <r>
          <rPr>
            <sz val="10"/>
            <color indexed="81"/>
            <rFont val="Lucida Console"/>
            <family val="3"/>
          </rPr>
          <t>_x000D_
AF  9.656/23 | Vc 24.08.2023 | Saldo    100 | REDE I9 DO BRASIL MATERIAIS ELETRICOS E MONTAGENS INDUSTRIAIS LTDA ( 235922 )</t>
        </r>
      </text>
    </comment>
    <comment ref="AG565" authorId="0" shapeId="0" xr:uid="{0A476771-CD1F-41AA-953F-C89D35F64627}">
      <text>
        <r>
          <rPr>
            <sz val="10"/>
            <color indexed="81"/>
            <rFont val="Lucida Console"/>
            <family val="3"/>
          </rPr>
          <t>_x000D_
AF  9.656/23 | Vc 24.08.2023 | Saldo    100 | REDE I9 DO BRASIL MATERIAIS ELETRICOS E MONTAGENS INDUSTRIAIS LTDA ( 235922 )</t>
        </r>
      </text>
    </comment>
    <comment ref="AW565" authorId="0" shapeId="0" xr:uid="{ED45AA0C-0071-4ECA-A5A8-B7C913767F0D}">
      <text>
        <r>
          <rPr>
            <sz val="10"/>
            <color indexed="81"/>
            <rFont val="Lucida Console"/>
            <family val="3"/>
          </rPr>
          <t>Tempo de Estoque (Meses)_x000D_
_x000D_
0,0</t>
        </r>
      </text>
    </comment>
    <comment ref="A566" authorId="0" shapeId="0" xr:uid="{6FF53686-9335-42B7-B7AF-2AF9371695D7}">
      <text>
        <r>
          <rPr>
            <sz val="10"/>
            <color indexed="81"/>
            <rFont val="Lucida Console"/>
            <family val="3"/>
          </rPr>
          <t>_x000D_
64636</t>
        </r>
      </text>
    </comment>
    <comment ref="B566" authorId="0" shapeId="0" xr:uid="{128D014A-A56C-4ACD-961E-AEE10CBA4FBD}">
      <text>
        <r>
          <rPr>
            <sz val="10"/>
            <color indexed="81"/>
            <rFont val="Lucida Console"/>
            <family val="3"/>
          </rPr>
          <t>DESCRIÇÃO DETALHADA_x000D_
LUVA DE REDUCAO EM PVC RIGIDO - MARROM - SOLDAVEL - 1.1/2"X 3/4" - PARA AGUA</t>
        </r>
      </text>
    </comment>
    <comment ref="G566" authorId="0" shapeId="0" xr:uid="{FBCEA945-987E-4C38-B2C7-D74B52324485}">
      <text>
        <r>
          <rPr>
            <sz val="10"/>
            <color indexed="81"/>
            <rFont val="Lucida Console"/>
            <family val="3"/>
          </rPr>
          <t>_x000D_
Últ estimativa : 150_x000D_
Enviada em     : 24.11.2020_x000D_
Ata - Venc     : 87/20 - 31.03.2021</t>
        </r>
      </text>
    </comment>
    <comment ref="O566" authorId="0" shapeId="0" xr:uid="{D5BEC983-5A9A-46B2-8853-17D8322D2C19}">
      <text>
        <r>
          <rPr>
            <sz val="10"/>
            <color indexed="81"/>
            <rFont val="Lucida Console"/>
            <family val="3"/>
          </rPr>
          <t>_x000D_
Pertencia a ATA nº 87/20_x000D_
Estimativa de Renovação enviada em 24.11.2020 - Qtd 150_x000D_
PE  10/20 lote 38_x000D_
30.04.20 = Processo conferido, finalizado.</t>
        </r>
      </text>
    </comment>
    <comment ref="W566" authorId="0" shapeId="0" xr:uid="{074C5E02-91FC-44F1-AAB6-5FFAD4BA730C}">
      <text>
        <r>
          <rPr>
            <sz val="10"/>
            <color indexed="81"/>
            <rFont val="Lucida Console"/>
            <family val="3"/>
          </rPr>
          <t>_x000D_
DM-Hidráulica</t>
        </r>
      </text>
    </comment>
    <comment ref="X566" authorId="0" shapeId="0" xr:uid="{505596A9-9E67-42A2-BAA1-D8F9719CBD81}">
      <text>
        <r>
          <rPr>
            <sz val="10"/>
            <color indexed="81"/>
            <rFont val="Lucida Console"/>
            <family val="3"/>
          </rPr>
          <t>_x000D_
MATERIAL HIDRAULICO, CANOS, TUBOS, MANGUEIRAS, CONEXOES E ACESS.</t>
        </r>
      </text>
    </comment>
    <comment ref="Y566" authorId="0" shapeId="0" xr:uid="{9EAAF78E-D47C-4568-BCD4-C3F483EA535F}">
      <text>
        <r>
          <rPr>
            <sz val="10"/>
            <color indexed="81"/>
            <rFont val="Lucida Console"/>
            <family val="3"/>
          </rPr>
          <t>_x000D_
ADAP. LUVAS.TES CURVAS COTOVELOS PLUGS FLANGES.....</t>
        </r>
      </text>
    </comment>
    <comment ref="AW566" authorId="0" shapeId="0" xr:uid="{E9A3710C-90D2-47D0-878F-F8B79861E930}">
      <text>
        <r>
          <rPr>
            <sz val="10"/>
            <color indexed="81"/>
            <rFont val="Lucida Console"/>
            <family val="3"/>
          </rPr>
          <t>Tempo de Estoque (Meses)_x000D_
_x000D_
41,0</t>
        </r>
      </text>
    </comment>
    <comment ref="A567" authorId="0" shapeId="0" xr:uid="{34446BC4-4991-4D50-9270-27C7495BBA53}">
      <text>
        <r>
          <rPr>
            <sz val="10"/>
            <color indexed="81"/>
            <rFont val="Lucida Console"/>
            <family val="3"/>
          </rPr>
          <t>_x000D_
64647</t>
        </r>
      </text>
    </comment>
    <comment ref="B567" authorId="0" shapeId="0" xr:uid="{3E4E7907-C831-49FA-BDB0-4EBF4086A645}">
      <text>
        <r>
          <rPr>
            <sz val="10"/>
            <color indexed="81"/>
            <rFont val="Lucida Console"/>
            <family val="3"/>
          </rPr>
          <t>DESCRIÇÃO DETALHADA_x000D_
TE DE REDUCAO EM PVC RIGIDO - SOLDAVEL - 150 X 100 MM - 6"X 4" - PARA ESGOTO</t>
        </r>
      </text>
    </comment>
    <comment ref="G567" authorId="0" shapeId="0" xr:uid="{36DBA601-2D8C-4A0B-B9C9-2B01118DD43C}">
      <text>
        <r>
          <rPr>
            <sz val="10"/>
            <color indexed="81"/>
            <rFont val="Lucida Console"/>
            <family val="3"/>
          </rPr>
          <t>_x000D_
Últ estimativa : 30_x000D_
Enviada em     : 24.11.2020_x000D_
Ata - Venc     : 87/20 - 31.03.2021</t>
        </r>
      </text>
    </comment>
    <comment ref="O567" authorId="0" shapeId="0" xr:uid="{B29EAAE6-39C7-4952-8A94-B7809E19BF43}">
      <text>
        <r>
          <rPr>
            <sz val="10"/>
            <color indexed="81"/>
            <rFont val="Lucida Console"/>
            <family val="3"/>
          </rPr>
          <t>_x000D_
Pertencia a ATA nº 87/20_x000D_
Estimativa de Renovação enviada em 24.11.2020 - Qtd 30_x000D_
PE  10/20 lote 39_x000D_
30.04.20 = Processo conferido, finalizado.</t>
        </r>
      </text>
    </comment>
    <comment ref="W567" authorId="0" shapeId="0" xr:uid="{FDA338B0-8718-4051-A6CC-2B2D801A378A}">
      <text>
        <r>
          <rPr>
            <sz val="10"/>
            <color indexed="81"/>
            <rFont val="Lucida Console"/>
            <family val="3"/>
          </rPr>
          <t>_x000D_
DM-Hidráulica</t>
        </r>
      </text>
    </comment>
    <comment ref="X567" authorId="0" shapeId="0" xr:uid="{9C020320-0FF4-4881-8513-3EA5CD473A25}">
      <text>
        <r>
          <rPr>
            <sz val="10"/>
            <color indexed="81"/>
            <rFont val="Lucida Console"/>
            <family val="3"/>
          </rPr>
          <t>_x000D_
MATERIAL HIDRAULICO, CANOS, TUBOS, MANGUEIRAS, CONEXOES E ACESS.</t>
        </r>
      </text>
    </comment>
    <comment ref="Y567" authorId="0" shapeId="0" xr:uid="{1DFEBF53-35A6-4AFD-9186-C07F53D80B30}">
      <text>
        <r>
          <rPr>
            <sz val="10"/>
            <color indexed="81"/>
            <rFont val="Lucida Console"/>
            <family val="3"/>
          </rPr>
          <t>_x000D_
ADAP. LUVAS.TES CURVAS COTOVELOS PLUGS FLANGES.....</t>
        </r>
      </text>
    </comment>
    <comment ref="AW567" authorId="0" shapeId="0" xr:uid="{7EA672ED-5E1D-4727-965B-4905699FDA90}">
      <text>
        <r>
          <rPr>
            <sz val="10"/>
            <color indexed="81"/>
            <rFont val="Lucida Console"/>
            <family val="3"/>
          </rPr>
          <t>Tempo de Estoque (Meses)_x000D_
_x000D_
18,0</t>
        </r>
      </text>
    </comment>
    <comment ref="A568" authorId="0" shapeId="0" xr:uid="{0633DE71-7283-47E3-9087-F64628C44E83}">
      <text>
        <r>
          <rPr>
            <sz val="10"/>
            <color indexed="81"/>
            <rFont val="Lucida Console"/>
            <family val="3"/>
          </rPr>
          <t>_x000D_
74979</t>
        </r>
      </text>
    </comment>
    <comment ref="B568" authorId="0" shapeId="0" xr:uid="{C3D47C37-C8DB-4385-9D18-6A940B42BDDE}">
      <text>
        <r>
          <rPr>
            <sz val="10"/>
            <color indexed="81"/>
            <rFont val="Lucida Console"/>
            <family val="3"/>
          </rPr>
          <t>DESCRIÇÃO DETALHADA_x000D_
LUVA DESLIZANTE EM PVC COM ANEL - MARROM - 1 1/2"</t>
        </r>
      </text>
    </comment>
    <comment ref="G568" authorId="0" shapeId="0" xr:uid="{040ABA21-39F6-4576-BD3E-BDD06D905307}">
      <text>
        <r>
          <rPr>
            <sz val="10"/>
            <color indexed="81"/>
            <rFont val="Lucida Console"/>
            <family val="3"/>
          </rPr>
          <t>_x000D_
Últ estimativa : 100_x000D_
Enviada em     : 24.11.2020_x000D_
Ata - Venc     : 87/20 - 31.03.2021</t>
        </r>
      </text>
    </comment>
    <comment ref="O568" authorId="0" shapeId="0" xr:uid="{82C8D740-363B-45F8-9CFE-1C715C66DC83}">
      <text>
        <r>
          <rPr>
            <sz val="10"/>
            <color indexed="81"/>
            <rFont val="Lucida Console"/>
            <family val="3"/>
          </rPr>
          <t>_x000D_
Pertencia a ATA nº 87/20_x000D_
Estimativa de Renovação enviada em 24.11.2020 - Qtd 100_x000D_
PE  10/20 lote 42_x000D_
30.04.20 = Processo conferido, finalizado.</t>
        </r>
      </text>
    </comment>
    <comment ref="W568" authorId="0" shapeId="0" xr:uid="{5246A627-07C4-4985-BDC0-DA0A7B1D3EA0}">
      <text>
        <r>
          <rPr>
            <sz val="10"/>
            <color indexed="81"/>
            <rFont val="Lucida Console"/>
            <family val="3"/>
          </rPr>
          <t>_x000D_
DM-Hidráulica</t>
        </r>
      </text>
    </comment>
    <comment ref="X568" authorId="0" shapeId="0" xr:uid="{8F65CADA-26B6-446D-87B5-5B2F53178E92}">
      <text>
        <r>
          <rPr>
            <sz val="10"/>
            <color indexed="81"/>
            <rFont val="Lucida Console"/>
            <family val="3"/>
          </rPr>
          <t>_x000D_
MATERIAL HIDRAULICO, CANOS, TUBOS, MANGUEIRAS, CONEXOES E ACESS.</t>
        </r>
      </text>
    </comment>
    <comment ref="Y568" authorId="0" shapeId="0" xr:uid="{2EC32059-CD1B-411F-99E8-B83BF44CC37A}">
      <text>
        <r>
          <rPr>
            <sz val="10"/>
            <color indexed="81"/>
            <rFont val="Lucida Console"/>
            <family val="3"/>
          </rPr>
          <t>_x000D_
ADAP. LUVAS.TES CURVAS COTOVELOS PLUGS FLANGES.....</t>
        </r>
      </text>
    </comment>
    <comment ref="AW568" authorId="0" shapeId="0" xr:uid="{782CB1D0-3500-42B2-B231-54B78C45CDBF}">
      <text>
        <r>
          <rPr>
            <sz val="10"/>
            <color indexed="81"/>
            <rFont val="Lucida Console"/>
            <family val="3"/>
          </rPr>
          <t>Tempo de Estoque (Meses)_x000D_
_x000D_
169,0</t>
        </r>
      </text>
    </comment>
    <comment ref="A569" authorId="0" shapeId="0" xr:uid="{8AB3CD60-94E5-4956-B1BC-39A9AFC6BF8F}">
      <text>
        <r>
          <rPr>
            <sz val="10"/>
            <color indexed="81"/>
            <rFont val="Lucida Console"/>
            <family val="3"/>
          </rPr>
          <t>_x000D_
125173</t>
        </r>
      </text>
    </comment>
    <comment ref="B569" authorId="0" shapeId="0" xr:uid="{CF00C2FD-9048-410C-804C-B6FC78D734A3}">
      <text>
        <r>
          <rPr>
            <sz val="10"/>
            <color indexed="81"/>
            <rFont val="Lucida Console"/>
            <family val="3"/>
          </rPr>
          <t>DESCRIÇÃO DETALHADA_x000D_
LUVA DE REDUCAO DE ESGOTO 2" X 1.1/2, MEDINDO 40 X 50 MM DE ACORDO COM NBR 5688, LITOGRAFADO NA PECA.</t>
        </r>
      </text>
    </comment>
    <comment ref="G569" authorId="0" shapeId="0" xr:uid="{D23110B2-EF84-4B35-80F5-3A9BA549608B}">
      <text>
        <r>
          <rPr>
            <sz val="10"/>
            <color indexed="81"/>
            <rFont val="Lucida Console"/>
            <family val="3"/>
          </rPr>
          <t>_x000D_
Últ estimativa : 150_x000D_
Enviada em     : 24.11.2020_x000D_
Ata - Venc     : 87/20 - 31.03.2021</t>
        </r>
      </text>
    </comment>
    <comment ref="O569" authorId="0" shapeId="0" xr:uid="{D695F1D6-0564-461A-8EC6-32175996EF2D}">
      <text>
        <r>
          <rPr>
            <sz val="10"/>
            <color indexed="81"/>
            <rFont val="Lucida Console"/>
            <family val="3"/>
          </rPr>
          <t>_x000D_
Pertencia a ATA nº 87/20_x000D_
Estimativa de Renovação enviada em 24.11.2020 - Qtd 150_x000D_
PE  10/20 lote 67_x000D_
30.04.20 = Processo conferido, finalizado.</t>
        </r>
      </text>
    </comment>
    <comment ref="W569" authorId="0" shapeId="0" xr:uid="{2D5CE3B4-9691-41CB-B8CF-8161ADD0214A}">
      <text>
        <r>
          <rPr>
            <sz val="10"/>
            <color indexed="81"/>
            <rFont val="Lucida Console"/>
            <family val="3"/>
          </rPr>
          <t>_x000D_
DM-Hidráulica</t>
        </r>
      </text>
    </comment>
    <comment ref="X569" authorId="0" shapeId="0" xr:uid="{384250F8-5961-4E84-9DBB-8038999D2F02}">
      <text>
        <r>
          <rPr>
            <sz val="10"/>
            <color indexed="81"/>
            <rFont val="Lucida Console"/>
            <family val="3"/>
          </rPr>
          <t>_x000D_
MATERIAL HIDRAULICO, CANOS, TUBOS, MANGUEIRAS, CONEXOES E ACESS.</t>
        </r>
      </text>
    </comment>
    <comment ref="Y569" authorId="0" shapeId="0" xr:uid="{54F9283C-7C7B-4452-808D-3B3DA9C97917}">
      <text>
        <r>
          <rPr>
            <sz val="10"/>
            <color indexed="81"/>
            <rFont val="Lucida Console"/>
            <family val="3"/>
          </rPr>
          <t>_x000D_
ADAP. LUVAS.TES CURVAS COTOVELOS PLUGS FLANGES.....</t>
        </r>
      </text>
    </comment>
    <comment ref="AW569" authorId="0" shapeId="0" xr:uid="{F8FC7C3F-EE93-4BF0-AB18-8C3925A9DE73}">
      <text>
        <r>
          <rPr>
            <sz val="10"/>
            <color indexed="81"/>
            <rFont val="Lucida Console"/>
            <family val="3"/>
          </rPr>
          <t>Tempo de Estoque (Meses)_x000D_
_x000D_
185,0</t>
        </r>
      </text>
    </comment>
    <comment ref="A570" authorId="0" shapeId="0" xr:uid="{30074A25-BCF8-47A4-AF88-91CB8C1B7F52}">
      <text>
        <r>
          <rPr>
            <sz val="10"/>
            <color indexed="81"/>
            <rFont val="Lucida Console"/>
            <family val="3"/>
          </rPr>
          <t>_x000D_
135300</t>
        </r>
      </text>
    </comment>
    <comment ref="B570" authorId="0" shapeId="0" xr:uid="{70FD2D6E-3D69-4DDD-B6B4-1403ACAA48F3}">
      <text>
        <r>
          <rPr>
            <sz val="10"/>
            <color indexed="81"/>
            <rFont val="Lucida Console"/>
            <family val="3"/>
          </rPr>
          <t>DESCRIÇÃO DETALHADA_x000D_
COTOVELO 45°, EM PVC SOLDAVEL PARA AGUA, MARROM, 1 1/2" (50 MM), DE ACORDO COM A NBR 5648. TODAS AS INFORMACOES DEVERAO ESTAR LITOGRAFADAS NA PECA.</t>
        </r>
      </text>
    </comment>
    <comment ref="G570" authorId="0" shapeId="0" xr:uid="{2B708578-AF8B-4EC2-8368-2170168E6C61}">
      <text>
        <r>
          <rPr>
            <sz val="10"/>
            <color indexed="81"/>
            <rFont val="Lucida Console"/>
            <family val="3"/>
          </rPr>
          <t>_x000D_
Últ estimativa : 150_x000D_
Enviada em     : 24.11.2020_x000D_
Ata - Venc     : 87/20 - 31.03.2021</t>
        </r>
      </text>
    </comment>
    <comment ref="O570" authorId="0" shapeId="0" xr:uid="{9064C866-28D1-403C-A329-1CE08F7B4535}">
      <text>
        <r>
          <rPr>
            <sz val="10"/>
            <color indexed="81"/>
            <rFont val="Lucida Console"/>
            <family val="3"/>
          </rPr>
          <t>_x000D_
Pertencia a ATA nº 87/20_x000D_
Estimativa de Renovação enviada em 24.11.2020 - Qtd 150_x000D_
PE  10/20 lote 77_x000D_
30.04.20 = Processo conferido, finalizado.</t>
        </r>
      </text>
    </comment>
    <comment ref="W570" authorId="0" shapeId="0" xr:uid="{DBC008D4-6FEA-4809-BF55-D37CB61CEEF1}">
      <text>
        <r>
          <rPr>
            <sz val="10"/>
            <color indexed="81"/>
            <rFont val="Lucida Console"/>
            <family val="3"/>
          </rPr>
          <t>_x000D_
DM-Hidráulica</t>
        </r>
      </text>
    </comment>
    <comment ref="X570" authorId="0" shapeId="0" xr:uid="{2A8C3C68-1356-466A-89AB-C4EDE8FDF3D6}">
      <text>
        <r>
          <rPr>
            <sz val="10"/>
            <color indexed="81"/>
            <rFont val="Lucida Console"/>
            <family val="3"/>
          </rPr>
          <t>_x000D_
MATERIAL HIDRAULICO, CANOS, TUBOS, MANGUEIRAS, CONEXOES E ACESS.</t>
        </r>
      </text>
    </comment>
    <comment ref="Y570" authorId="0" shapeId="0" xr:uid="{EF5F28FE-40F6-4360-9A55-D1EB136EA03C}">
      <text>
        <r>
          <rPr>
            <sz val="10"/>
            <color indexed="81"/>
            <rFont val="Lucida Console"/>
            <family val="3"/>
          </rPr>
          <t>_x000D_
ADAP. LUVAS.TES CURVAS COTOVELOS PLUGS FLANGES.....</t>
        </r>
      </text>
    </comment>
    <comment ref="AW570" authorId="0" shapeId="0" xr:uid="{2ED72EE4-0A54-4BDC-B04C-71DAD2031FBB}">
      <text>
        <r>
          <rPr>
            <sz val="10"/>
            <color indexed="81"/>
            <rFont val="Lucida Console"/>
            <family val="3"/>
          </rPr>
          <t>Tempo de Estoque (Meses)_x000D_
_x000D_
323,0</t>
        </r>
      </text>
    </comment>
    <comment ref="A571" authorId="0" shapeId="0" xr:uid="{C607E6B7-D075-4128-85F0-2F788A450B67}">
      <text>
        <r>
          <rPr>
            <sz val="10"/>
            <color indexed="81"/>
            <rFont val="Lucida Console"/>
            <family val="3"/>
          </rPr>
          <t>_x000D_
135301</t>
        </r>
      </text>
    </comment>
    <comment ref="B571" authorId="0" shapeId="0" xr:uid="{9CFB3CFE-386E-4900-A1C0-0DF803208DA2}">
      <text>
        <r>
          <rPr>
            <sz val="10"/>
            <color indexed="81"/>
            <rFont val="Lucida Console"/>
            <family val="3"/>
          </rPr>
          <t>DESCRIÇÃO DETALHADA_x000D_
COTOVELO DE 45°, EM PVC BRANCO, PARA ESGOTO, DE 4" (100 MM), DE ACORDO COM A NORMA NBR 5688. TODAS AS INFORMACOES DEVERAO ESTAR LITOGRAFADAS NA PECA.</t>
        </r>
      </text>
    </comment>
    <comment ref="G571" authorId="0" shapeId="0" xr:uid="{823C295D-0411-4DBE-AE0D-C6AF7A43452C}">
      <text>
        <r>
          <rPr>
            <sz val="10"/>
            <color indexed="81"/>
            <rFont val="Lucida Console"/>
            <family val="3"/>
          </rPr>
          <t>_x000D_
Últ estimativa : 400_x000D_
Enviada em     : 24.11.2020_x000D_
Ata - Venc     : 87/20 - 31.03.2021</t>
        </r>
      </text>
    </comment>
    <comment ref="O571" authorId="0" shapeId="0" xr:uid="{62178C7E-6B15-47EF-972B-143B172EA1CB}">
      <text>
        <r>
          <rPr>
            <sz val="10"/>
            <color indexed="81"/>
            <rFont val="Lucida Console"/>
            <family val="3"/>
          </rPr>
          <t xml:space="preserve">_x000D_
Pertencia a ATA nº 87/20_x000D_
Estimativa de Renovação enviada em 24.11.2020 - Qtd 400_x000D_
PE 182/21 lote _x000D_
 = </t>
        </r>
      </text>
    </comment>
    <comment ref="W571" authorId="0" shapeId="0" xr:uid="{C76AA7AD-EA60-4FF6-AB07-0728749341E7}">
      <text>
        <r>
          <rPr>
            <sz val="10"/>
            <color indexed="81"/>
            <rFont val="Lucida Console"/>
            <family val="3"/>
          </rPr>
          <t>_x000D_
DM-Hidráulica</t>
        </r>
      </text>
    </comment>
    <comment ref="X571" authorId="0" shapeId="0" xr:uid="{C0FA6E94-CEEA-4DF7-829D-C38EE934D5F7}">
      <text>
        <r>
          <rPr>
            <sz val="10"/>
            <color indexed="81"/>
            <rFont val="Lucida Console"/>
            <family val="3"/>
          </rPr>
          <t>_x000D_
MATERIAL HIDRAULICO, CANOS, TUBOS, MANGUEIRAS, CONEXOES E ACESS.</t>
        </r>
      </text>
    </comment>
    <comment ref="Y571" authorId="0" shapeId="0" xr:uid="{BFE23D06-F726-4426-9788-91CFD8DBB1EE}">
      <text>
        <r>
          <rPr>
            <sz val="10"/>
            <color indexed="81"/>
            <rFont val="Lucida Console"/>
            <family val="3"/>
          </rPr>
          <t>_x000D_
ADAP. LUVAS.TES CURVAS COTOVELOS PLUGS FLANGES.....</t>
        </r>
      </text>
    </comment>
    <comment ref="AW571" authorId="0" shapeId="0" xr:uid="{0B752D71-14A6-46FC-B9AD-7F352CDAF9E5}">
      <text>
        <r>
          <rPr>
            <sz val="10"/>
            <color indexed="81"/>
            <rFont val="Lucida Console"/>
            <family val="3"/>
          </rPr>
          <t>Tempo de Estoque (Meses)_x000D_
_x000D_
345,0</t>
        </r>
      </text>
    </comment>
    <comment ref="A572" authorId="0" shapeId="0" xr:uid="{B1694856-45DE-4287-A382-4A8451311F4C}">
      <text>
        <r>
          <rPr>
            <sz val="10"/>
            <color indexed="81"/>
            <rFont val="Lucida Console"/>
            <family val="3"/>
          </rPr>
          <t>_x000D_
135302</t>
        </r>
      </text>
    </comment>
    <comment ref="B572" authorId="0" shapeId="0" xr:uid="{AF9D7CEA-3EC1-4F33-8E61-FF596CC2A924}">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572" authorId="0" shapeId="0" xr:uid="{284368A3-92AC-4289-8817-83BF860EE743}">
      <text>
        <r>
          <rPr>
            <sz val="10"/>
            <color indexed="81"/>
            <rFont val="Lucida Console"/>
            <family val="3"/>
          </rPr>
          <t>_x000D_
Últ estimativa : 0_x000D_
Enviada em     : 24.11.2020_x000D_
Ata - Venc     : 87/20 - 31.03.2021</t>
        </r>
      </text>
    </comment>
    <comment ref="O572" authorId="0" shapeId="0" xr:uid="{DBE14454-8F08-436A-8677-FF475EEF5B97}">
      <text>
        <r>
          <rPr>
            <sz val="10"/>
            <color indexed="81"/>
            <rFont val="Lucida Console"/>
            <family val="3"/>
          </rPr>
          <t>_x000D_
Pertencia a ATA nº 87/20_x000D_
Estimativa de Renovação enviada em 24.11.2020 - Qtd _x000D_
PE  10/20 lote 79_x000D_
30.04.20 = Processo conferido, finalizado.</t>
        </r>
      </text>
    </comment>
    <comment ref="W572" authorId="0" shapeId="0" xr:uid="{F93ABDA4-6329-4726-AB70-F3AC63C99C42}">
      <text>
        <r>
          <rPr>
            <sz val="10"/>
            <color indexed="81"/>
            <rFont val="Lucida Console"/>
            <family val="3"/>
          </rPr>
          <t>_x000D_
DM-Hidráulica</t>
        </r>
      </text>
    </comment>
    <comment ref="X572" authorId="0" shapeId="0" xr:uid="{EE97E9F1-818B-48C6-9A69-409EC8C335D4}">
      <text>
        <r>
          <rPr>
            <sz val="10"/>
            <color indexed="81"/>
            <rFont val="Lucida Console"/>
            <family val="3"/>
          </rPr>
          <t>_x000D_
MATERIAL HIDRAULICO, CANOS, TUBOS, MANGUEIRAS, CONEXOES E ACESS.</t>
        </r>
      </text>
    </comment>
    <comment ref="Y572" authorId="0" shapeId="0" xr:uid="{6C4B31C1-6B9C-4AC0-B5F1-C5A8FA15D76F}">
      <text>
        <r>
          <rPr>
            <sz val="10"/>
            <color indexed="81"/>
            <rFont val="Lucida Console"/>
            <family val="3"/>
          </rPr>
          <t>_x000D_
ADAP. LUVAS.TES CURVAS COTOVELOS PLUGS FLANGES.....</t>
        </r>
      </text>
    </comment>
    <comment ref="AW572" authorId="0" shapeId="0" xr:uid="{5DBEAF69-BAE0-47E2-A383-3EE6A763BF99}">
      <text>
        <r>
          <rPr>
            <sz val="10"/>
            <color indexed="81"/>
            <rFont val="Lucida Console"/>
            <family val="3"/>
          </rPr>
          <t>Tempo de Estoque (Meses)_x000D_
_x000D_
593,0</t>
        </r>
      </text>
    </comment>
    <comment ref="A573" authorId="0" shapeId="0" xr:uid="{19DDEBF8-9AD9-41FE-A689-7C429C135485}">
      <text>
        <r>
          <rPr>
            <sz val="10"/>
            <color indexed="81"/>
            <rFont val="Lucida Console"/>
            <family val="3"/>
          </rPr>
          <t>_x000D_
13092</t>
        </r>
      </text>
    </comment>
    <comment ref="B573" authorId="0" shapeId="0" xr:uid="{AAC89160-0CC5-4FF4-B990-32F29221EECB}">
      <text>
        <r>
          <rPr>
            <sz val="10"/>
            <color indexed="81"/>
            <rFont val="Lucida Console"/>
            <family val="3"/>
          </rPr>
          <t>DESCRIÇÃO DETALHADA_x000D_
CAIXA SIFONADA REDONDA EM PVC RIGIDO DE 100 X 100 X 50 MM - 4" X 4"X 2"</t>
        </r>
      </text>
    </comment>
    <comment ref="G573" authorId="0" shapeId="0" xr:uid="{0EEC99AF-E006-4975-A06C-8424A5F7904E}">
      <text>
        <r>
          <rPr>
            <sz val="10"/>
            <color indexed="81"/>
            <rFont val="Lucida Console"/>
            <family val="3"/>
          </rPr>
          <t>_x000D_
Últ estimativa : 250_x000D_
Enviada em     : 24.11.2020_x000D_
Ata - Venc     : 87/20 - 31.03.2021</t>
        </r>
      </text>
    </comment>
    <comment ref="O573" authorId="0" shapeId="0" xr:uid="{69162570-069A-4434-B23C-87D6267D0653}">
      <text>
        <r>
          <rPr>
            <sz val="10"/>
            <color indexed="81"/>
            <rFont val="Lucida Console"/>
            <family val="3"/>
          </rPr>
          <t>_x000D_
Pertencia a ATA nº 87/20_x000D_
Estimativa de Renovação enviada em 24.11.2020 - Qtd 250_x000D_
PE  10/20 lote 7_x000D_
30.04.20 = Processo conferido, finalizado.</t>
        </r>
      </text>
    </comment>
    <comment ref="W573" authorId="0" shapeId="0" xr:uid="{2D2F6AE3-3730-417D-8A00-F7500AD3660F}">
      <text>
        <r>
          <rPr>
            <sz val="10"/>
            <color indexed="81"/>
            <rFont val="Lucida Console"/>
            <family val="3"/>
          </rPr>
          <t>_x000D_
DM-Hidráulica</t>
        </r>
      </text>
    </comment>
    <comment ref="X573" authorId="0" shapeId="0" xr:uid="{D1DE0C57-7952-4616-8380-A7D0FB9BA87A}">
      <text>
        <r>
          <rPr>
            <sz val="10"/>
            <color indexed="81"/>
            <rFont val="Lucida Console"/>
            <family val="3"/>
          </rPr>
          <t>_x000D_
MATERIAL HIDRAULICO, CANOS, TUBOS, MANGUEIRAS, CONEXOES E ACESS.</t>
        </r>
      </text>
    </comment>
    <comment ref="Y573" authorId="0" shapeId="0" xr:uid="{F41F548D-C61A-4E55-B761-222DDE3CBC5A}">
      <text>
        <r>
          <rPr>
            <sz val="10"/>
            <color indexed="81"/>
            <rFont val="Lucida Console"/>
            <family val="3"/>
          </rPr>
          <t>_x000D_
RALOS SIFOES E CAIXAS</t>
        </r>
      </text>
    </comment>
    <comment ref="AW573" authorId="0" shapeId="0" xr:uid="{F97955D6-296A-424E-A7C3-9C473FA89217}">
      <text>
        <r>
          <rPr>
            <sz val="10"/>
            <color indexed="81"/>
            <rFont val="Lucida Console"/>
            <family val="3"/>
          </rPr>
          <t>Tempo de Estoque (Meses)_x000D_
_x000D_
180,0</t>
        </r>
      </text>
    </comment>
    <comment ref="A574" authorId="0" shapeId="0" xr:uid="{21BF5E13-203A-4157-86B7-C90D41C6A2E2}">
      <text>
        <r>
          <rPr>
            <sz val="10"/>
            <color indexed="81"/>
            <rFont val="Lucida Console"/>
            <family val="3"/>
          </rPr>
          <t>_x000D_
138055</t>
        </r>
      </text>
    </comment>
    <comment ref="B574" authorId="0" shapeId="0" xr:uid="{B856613D-CDA9-4A05-8B1F-D229FCB0ECD7}">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574" authorId="0" shapeId="0" xr:uid="{14170CE8-910C-4721-9677-667032FC53A7}">
      <text>
        <r>
          <rPr>
            <sz val="10"/>
            <color indexed="81"/>
            <rFont val="Lucida Console"/>
            <family val="3"/>
          </rPr>
          <t>_x000D_
Últ estimativa : 500_x000D_
Enviada em     : 24.11.2020_x000D_
Ata - Venc     : 87/20 - 31.03.2021</t>
        </r>
      </text>
    </comment>
    <comment ref="O574" authorId="0" shapeId="0" xr:uid="{4ABC4CAC-32B1-4849-9E45-C9019085EB38}">
      <text>
        <r>
          <rPr>
            <sz val="10"/>
            <color indexed="81"/>
            <rFont val="Lucida Console"/>
            <family val="3"/>
          </rPr>
          <t xml:space="preserve">_x000D_
Pertencia a ATA nº 87/20_x000D_
Estimativa de Renovação enviada em 24.11.2020 - Qtd 500_x000D_
PE 182/21 lote _x000D_
 = </t>
        </r>
      </text>
    </comment>
    <comment ref="W574" authorId="0" shapeId="0" xr:uid="{C3C642CA-4972-4A59-AB04-C5A6C086C5AB}">
      <text>
        <r>
          <rPr>
            <sz val="10"/>
            <color indexed="81"/>
            <rFont val="Lucida Console"/>
            <family val="3"/>
          </rPr>
          <t>_x000D_
DM-Hidráulica</t>
        </r>
      </text>
    </comment>
    <comment ref="X574" authorId="0" shapeId="0" xr:uid="{CEDED5B7-3BFC-4000-A893-3246D28E0560}">
      <text>
        <r>
          <rPr>
            <sz val="10"/>
            <color indexed="81"/>
            <rFont val="Lucida Console"/>
            <family val="3"/>
          </rPr>
          <t>_x000D_
MATERIAL HIDRAULICO, CANOS, TUBOS, MANGUEIRAS, CONEXOES E ACESS.</t>
        </r>
      </text>
    </comment>
    <comment ref="Y574" authorId="0" shapeId="0" xr:uid="{EBA76B06-D869-4EE2-877F-BD2D44383B8F}">
      <text>
        <r>
          <rPr>
            <sz val="10"/>
            <color indexed="81"/>
            <rFont val="Lucida Console"/>
            <family val="3"/>
          </rPr>
          <t>_x000D_
RALOS SIFOES E CAIXAS</t>
        </r>
      </text>
    </comment>
    <comment ref="AW574" authorId="0" shapeId="0" xr:uid="{0B6F2DA1-2C5D-4702-AC96-3F8A5CF52911}">
      <text>
        <r>
          <rPr>
            <sz val="10"/>
            <color indexed="81"/>
            <rFont val="Lucida Console"/>
            <family val="3"/>
          </rPr>
          <t>Tempo de Estoque (Meses)_x000D_
_x000D_
100,0</t>
        </r>
      </text>
    </comment>
    <comment ref="A575" authorId="0" shapeId="0" xr:uid="{365A909D-E9D0-4924-A84F-DACA38814547}">
      <text>
        <r>
          <rPr>
            <sz val="10"/>
            <color indexed="81"/>
            <rFont val="Lucida Console"/>
            <family val="3"/>
          </rPr>
          <t>_x000D_
24500</t>
        </r>
      </text>
    </comment>
    <comment ref="B575" authorId="0" shapeId="0" xr:uid="{B001F0CA-7202-41BC-A024-9E346982ECC5}">
      <text>
        <r>
          <rPr>
            <sz val="10"/>
            <color indexed="81"/>
            <rFont val="Lucida Console"/>
            <family val="3"/>
          </rPr>
          <t>DESCRIÇÃO DETALHADA_x000D_
CANOPLA COMPLETA P/ VALVULA DE DESCARGA</t>
        </r>
      </text>
    </comment>
    <comment ref="G575" authorId="0" shapeId="0" xr:uid="{BECDE4FD-BA29-429F-B981-633B1FDC75DB}">
      <text>
        <r>
          <rPr>
            <sz val="10"/>
            <color indexed="81"/>
            <rFont val="Lucida Console"/>
            <family val="3"/>
          </rPr>
          <t>_x000D_
Últ estimativa : 250_x000D_
Enviada em     : 24.11.2020_x000D_
Ata - Venc     : 87/20 - 31.03.2021</t>
        </r>
      </text>
    </comment>
    <comment ref="O575" authorId="0" shapeId="0" xr:uid="{4ABBAB75-681D-4D09-8DBC-1F1A6227F8FF}">
      <text>
        <r>
          <rPr>
            <sz val="10"/>
            <color indexed="81"/>
            <rFont val="Lucida Console"/>
            <family val="3"/>
          </rPr>
          <t>_x000D_
Pertencia a ATA nº 87/20_x000D_
Estimativa de Renovação enviada em 24.11.2020 - Qtd 250_x000D_
PE  10/20 lote _x000D_
30.04.20 = Processo conferido, finalizado.</t>
        </r>
      </text>
    </comment>
    <comment ref="W575" authorId="0" shapeId="0" xr:uid="{B2A758C2-7267-436A-8900-B8CA6E8E397F}">
      <text>
        <r>
          <rPr>
            <sz val="10"/>
            <color indexed="81"/>
            <rFont val="Lucida Console"/>
            <family val="3"/>
          </rPr>
          <t>_x000D_
DM-Hidráulica</t>
        </r>
      </text>
    </comment>
    <comment ref="X575" authorId="0" shapeId="0" xr:uid="{E65EC5B9-EE30-4539-993B-8D76AB7DE54F}">
      <text>
        <r>
          <rPr>
            <sz val="10"/>
            <color indexed="81"/>
            <rFont val="Lucida Console"/>
            <family val="3"/>
          </rPr>
          <t>_x000D_
MATERIAL HIDRAULICO, CANOS, TUBOS, MANGUEIRAS, CONEXOES E ACESS.</t>
        </r>
      </text>
    </comment>
    <comment ref="Y575" authorId="0" shapeId="0" xr:uid="{AA882768-B090-4D64-A346-DB3D0461B491}">
      <text>
        <r>
          <rPr>
            <sz val="10"/>
            <color indexed="81"/>
            <rFont val="Lucida Console"/>
            <family val="3"/>
          </rPr>
          <t>_x000D_
TORNEIRAS VOLANTES CANOPLAS E ACESS. P/ MANGUEIRA</t>
        </r>
      </text>
    </comment>
    <comment ref="AW575" authorId="0" shapeId="0" xr:uid="{8EAF1905-29D3-4759-842F-8AE845E73115}">
      <text>
        <r>
          <rPr>
            <sz val="10"/>
            <color indexed="81"/>
            <rFont val="Lucida Console"/>
            <family val="3"/>
          </rPr>
          <t>Tempo de Estoque (Meses)_x000D_
_x000D_
0,0</t>
        </r>
      </text>
    </comment>
    <comment ref="A576" authorId="0" shapeId="0" xr:uid="{71369DE2-8A02-4FC8-A1FA-F1FBD794C1FE}">
      <text>
        <r>
          <rPr>
            <sz val="10"/>
            <color indexed="81"/>
            <rFont val="Lucida Console"/>
            <family val="3"/>
          </rPr>
          <t>_x000D_
13117</t>
        </r>
      </text>
    </comment>
    <comment ref="B576" authorId="0" shapeId="0" xr:uid="{170E8E24-7090-473D-B3B3-9732F2B2D8B8}">
      <text>
        <r>
          <rPr>
            <sz val="10"/>
            <color indexed="81"/>
            <rFont val="Lucida Console"/>
            <family val="3"/>
          </rPr>
          <t>DESCRIÇÃO DETALHADA_x000D_
REGISTRO DE PRESSAO 3/4" COM CANOPLA</t>
        </r>
      </text>
    </comment>
    <comment ref="G576" authorId="0" shapeId="0" xr:uid="{0E9891A1-9F74-4ED5-B14D-C01AC4F285DC}">
      <text>
        <r>
          <rPr>
            <sz val="10"/>
            <color indexed="81"/>
            <rFont val="Lucida Console"/>
            <family val="3"/>
          </rPr>
          <t>_x000D_
Últ estimativa : 50_x000D_
Enviada em     : 24.11.2020_x000D_
Ata - Venc     : 87/20 - 31.03.2021</t>
        </r>
      </text>
    </comment>
    <comment ref="O576" authorId="0" shapeId="0" xr:uid="{60B8AD01-9B47-4F43-8817-8EE6CE154CE4}">
      <text>
        <r>
          <rPr>
            <sz val="10"/>
            <color indexed="81"/>
            <rFont val="Lucida Console"/>
            <family val="3"/>
          </rPr>
          <t>_x000D_
Pertencia a ATA nº 87/20_x000D_
Estimativa de Renovação enviada em 24.11.2020 - Qtd 50_x000D_
PE  10/20 lote _x000D_
30.04.20 = Processo conferido, finalizado.</t>
        </r>
      </text>
    </comment>
    <comment ref="W576" authorId="0" shapeId="0" xr:uid="{B2143511-F1F2-4DA3-92E4-2CEE609E1D31}">
      <text>
        <r>
          <rPr>
            <sz val="10"/>
            <color indexed="81"/>
            <rFont val="Lucida Console"/>
            <family val="3"/>
          </rPr>
          <t>_x000D_
DM-Hidráulica</t>
        </r>
      </text>
    </comment>
    <comment ref="X576" authorId="0" shapeId="0" xr:uid="{9C7E7919-788B-43E7-A2F3-2FD1AFA73046}">
      <text>
        <r>
          <rPr>
            <sz val="10"/>
            <color indexed="81"/>
            <rFont val="Lucida Console"/>
            <family val="3"/>
          </rPr>
          <t>_x000D_
MATERIAL HIDRAULICO, CANOS, TUBOS, MANGUEIRAS, CONEXOES E ACESS.</t>
        </r>
      </text>
    </comment>
    <comment ref="Y576" authorId="0" shapeId="0" xr:uid="{F0C8D92A-1802-4BF1-AAE7-0B30AB27B574}">
      <text>
        <r>
          <rPr>
            <sz val="10"/>
            <color indexed="81"/>
            <rFont val="Lucida Console"/>
            <family val="3"/>
          </rPr>
          <t>_x000D_
REGISTROS VALVULAS E BOIAS</t>
        </r>
      </text>
    </comment>
    <comment ref="AW576" authorId="0" shapeId="0" xr:uid="{6DB688FC-CD18-45EE-A201-9E67DEFE2A1E}">
      <text>
        <r>
          <rPr>
            <sz val="10"/>
            <color indexed="81"/>
            <rFont val="Lucida Console"/>
            <family val="3"/>
          </rPr>
          <t>Tempo de Estoque (Meses)_x000D_
_x000D_
104,0</t>
        </r>
      </text>
    </comment>
    <comment ref="A577" authorId="0" shapeId="0" xr:uid="{C6BF2223-F80E-42F4-BA92-98436BCA0B63}">
      <text>
        <r>
          <rPr>
            <sz val="10"/>
            <color indexed="81"/>
            <rFont val="Lucida Console"/>
            <family val="3"/>
          </rPr>
          <t>_x000D_
15066</t>
        </r>
      </text>
    </comment>
    <comment ref="B577" authorId="0" shapeId="0" xr:uid="{5A2BE6A9-512E-4C1F-929E-CA3FB2F78AE5}">
      <text>
        <r>
          <rPr>
            <sz val="10"/>
            <color indexed="81"/>
            <rFont val="Lucida Console"/>
            <family val="3"/>
          </rPr>
          <t>DESCRIÇÃO DETALHADA_x000D_
REPARO P/ VALVULA DE DESCARGA 1 1/2" (MARCA DOCOL)</t>
        </r>
      </text>
    </comment>
    <comment ref="G577" authorId="0" shapeId="0" xr:uid="{2AB97F51-11E9-4A73-92B0-EB2F5BD14A9B}">
      <text>
        <r>
          <rPr>
            <sz val="10"/>
            <color indexed="81"/>
            <rFont val="Lucida Console"/>
            <family val="3"/>
          </rPr>
          <t>_x000D_
Últ estimativa : 150_x000D_
Enviada em     : 24.11.2020_x000D_
Ata - Venc     : 87/20 - 31.03.2021</t>
        </r>
      </text>
    </comment>
    <comment ref="O577" authorId="0" shapeId="0" xr:uid="{80F0C1A2-3179-4755-8860-C14B933785B9}">
      <text>
        <r>
          <rPr>
            <sz val="10"/>
            <color indexed="81"/>
            <rFont val="Lucida Console"/>
            <family val="3"/>
          </rPr>
          <t>_x000D_
Pertencia a ATA nº 87/20_x000D_
Estimativa de Renovação enviada em 24.11.2020 - Qtd 150_x000D_
PE  10/20 lote 10_x000D_
30.04.20 = Processo conferido, finalizado.</t>
        </r>
      </text>
    </comment>
    <comment ref="W577" authorId="0" shapeId="0" xr:uid="{2ED31121-9519-4BBC-AB6B-C83D74E841C7}">
      <text>
        <r>
          <rPr>
            <sz val="10"/>
            <color indexed="81"/>
            <rFont val="Lucida Console"/>
            <family val="3"/>
          </rPr>
          <t>_x000D_
DM-Hidráulica</t>
        </r>
      </text>
    </comment>
    <comment ref="X577" authorId="0" shapeId="0" xr:uid="{E6B58B30-2EC3-4100-B4DA-B69EDF081C2E}">
      <text>
        <r>
          <rPr>
            <sz val="10"/>
            <color indexed="81"/>
            <rFont val="Lucida Console"/>
            <family val="3"/>
          </rPr>
          <t>_x000D_
MATERIAL HIDRAULICO, CANOS, TUBOS, MANGUEIRAS, CONEXOES E ACESS.</t>
        </r>
      </text>
    </comment>
    <comment ref="Y577" authorId="0" shapeId="0" xr:uid="{B0C5B16B-8A5C-4239-86EF-8847765A8135}">
      <text>
        <r>
          <rPr>
            <sz val="10"/>
            <color indexed="81"/>
            <rFont val="Lucida Console"/>
            <family val="3"/>
          </rPr>
          <t>_x000D_
REGISTROS VALVULAS E BOIAS</t>
        </r>
      </text>
    </comment>
    <comment ref="AW577" authorId="0" shapeId="0" xr:uid="{BE455132-DA69-4C5D-8FC1-BF9FC6DFE871}">
      <text>
        <r>
          <rPr>
            <sz val="10"/>
            <color indexed="81"/>
            <rFont val="Lucida Console"/>
            <family val="3"/>
          </rPr>
          <t>Tempo de Estoque (Meses)_x000D_
_x000D_
129,0</t>
        </r>
      </text>
    </comment>
    <comment ref="A578" authorId="0" shapeId="0" xr:uid="{0CC2F1AD-1B80-4413-976D-0B65DEE0C5E7}">
      <text>
        <r>
          <rPr>
            <sz val="10"/>
            <color indexed="81"/>
            <rFont val="Lucida Console"/>
            <family val="3"/>
          </rPr>
          <t>_x000D_
25630</t>
        </r>
      </text>
    </comment>
    <comment ref="B578" authorId="0" shapeId="0" xr:uid="{DAFF8F16-A4E9-42AB-9499-DFC06E7DC089}">
      <text>
        <r>
          <rPr>
            <sz val="10"/>
            <color indexed="81"/>
            <rFont val="Lucida Console"/>
            <family val="3"/>
          </rPr>
          <t>DESCRIÇÃO DETALHADA_x000D_
REGISTRO DE GAVETA EM LIGA DE COBRE DE 3/4" C/ CANOPLA</t>
        </r>
      </text>
    </comment>
    <comment ref="G578" authorId="0" shapeId="0" xr:uid="{3DD1392F-A325-4795-B757-7E4B47D6C6FC}">
      <text>
        <r>
          <rPr>
            <sz val="10"/>
            <color indexed="81"/>
            <rFont val="Lucida Console"/>
            <family val="3"/>
          </rPr>
          <t>_x000D_
Últ estimativa : 150_x000D_
Enviada em     : 24.11.2020_x000D_
Ata - Venc     : 87/20 - 31.03.2021</t>
        </r>
      </text>
    </comment>
    <comment ref="O578" authorId="0" shapeId="0" xr:uid="{82792C86-E588-4DEB-9836-549F3654A704}">
      <text>
        <r>
          <rPr>
            <sz val="10"/>
            <color indexed="81"/>
            <rFont val="Lucida Console"/>
            <family val="3"/>
          </rPr>
          <t>_x000D_
Pertencia a ATA nº 87/20_x000D_
Estimativa de Renovação enviada em 24.11.2020 - Qtd 150_x000D_
PE  10/20 lote 16_x000D_
30.04.20 = Processo conferido, finalizado.</t>
        </r>
      </text>
    </comment>
    <comment ref="W578" authorId="0" shapeId="0" xr:uid="{9AF0D759-8166-4FDD-8D51-E3DE51569F9E}">
      <text>
        <r>
          <rPr>
            <sz val="10"/>
            <color indexed="81"/>
            <rFont val="Lucida Console"/>
            <family val="3"/>
          </rPr>
          <t>_x000D_
DM-Hidráulica</t>
        </r>
      </text>
    </comment>
    <comment ref="X578" authorId="0" shapeId="0" xr:uid="{9E318172-E9E9-4ACF-BA88-8EB81C6B613D}">
      <text>
        <r>
          <rPr>
            <sz val="10"/>
            <color indexed="81"/>
            <rFont val="Lucida Console"/>
            <family val="3"/>
          </rPr>
          <t>_x000D_
MATERIAL HIDRAULICO, CANOS, TUBOS, MANGUEIRAS, CONEXOES E ACESS.</t>
        </r>
      </text>
    </comment>
    <comment ref="Y578" authorId="0" shapeId="0" xr:uid="{F1330358-BCC0-414C-8BB8-1859A4099733}">
      <text>
        <r>
          <rPr>
            <sz val="10"/>
            <color indexed="81"/>
            <rFont val="Lucida Console"/>
            <family val="3"/>
          </rPr>
          <t>_x000D_
REGISTROS VALVULAS E BOIAS</t>
        </r>
      </text>
    </comment>
    <comment ref="AW578" authorId="0" shapeId="0" xr:uid="{F14EFBF0-8BB9-4C46-965A-FFFC34E4FDC6}">
      <text>
        <r>
          <rPr>
            <sz val="10"/>
            <color indexed="81"/>
            <rFont val="Lucida Console"/>
            <family val="3"/>
          </rPr>
          <t>Tempo de Estoque (Meses)_x000D_
_x000D_
124,0</t>
        </r>
      </text>
    </comment>
    <comment ref="A579" authorId="0" shapeId="0" xr:uid="{C81A3FA6-B6B9-4BA2-91CB-B88F1F30CB36}">
      <text>
        <r>
          <rPr>
            <sz val="10"/>
            <color indexed="81"/>
            <rFont val="Lucida Console"/>
            <family val="3"/>
          </rPr>
          <t>_x000D_
80385</t>
        </r>
      </text>
    </comment>
    <comment ref="B579" authorId="0" shapeId="0" xr:uid="{00E96B5C-18C7-40D0-8E97-F17F0D795EF5}">
      <text>
        <r>
          <rPr>
            <sz val="10"/>
            <color indexed="81"/>
            <rFont val="Lucida Console"/>
            <family val="3"/>
          </rPr>
          <t>DESCRIÇÃO DETALHADA_x000D_
CONJUNTO DE CRUZETA, MOLA E PARAFUSO PARA VALVULA DE DESCARGA</t>
        </r>
      </text>
    </comment>
    <comment ref="G579" authorId="0" shapeId="0" xr:uid="{DA7DD356-6ECB-4CDD-9473-0379985A50F8}">
      <text>
        <r>
          <rPr>
            <sz val="10"/>
            <color indexed="81"/>
            <rFont val="Lucida Console"/>
            <family val="3"/>
          </rPr>
          <t>_x000D_
Últ estimativa : 50_x000D_
Enviada em     : 24.11.2020_x000D_
Ata - Venc     : 87/20 - 31.03.2021</t>
        </r>
      </text>
    </comment>
    <comment ref="O579" authorId="0" shapeId="0" xr:uid="{DE6351AE-9CCC-4056-803B-F9B9BB1EBE8A}">
      <text>
        <r>
          <rPr>
            <sz val="10"/>
            <color indexed="81"/>
            <rFont val="Lucida Console"/>
            <family val="3"/>
          </rPr>
          <t>_x000D_
Pertencia a ATA nº 87/20_x000D_
Estimativa de Renovação enviada em 24.11.2020 - Qtd 50_x000D_
PE  10/20 lote 43_x000D_
30.04.20 = Processo conferido, finalizado.</t>
        </r>
      </text>
    </comment>
    <comment ref="W579" authorId="0" shapeId="0" xr:uid="{D9D7CE07-6A00-4DD0-B704-32BA17BE7C97}">
      <text>
        <r>
          <rPr>
            <sz val="10"/>
            <color indexed="81"/>
            <rFont val="Lucida Console"/>
            <family val="3"/>
          </rPr>
          <t>_x000D_
DM-Hidráulica</t>
        </r>
      </text>
    </comment>
    <comment ref="X579" authorId="0" shapeId="0" xr:uid="{0ABB753E-8C5B-4568-AC35-3AC2BF6C7FAD}">
      <text>
        <r>
          <rPr>
            <sz val="10"/>
            <color indexed="81"/>
            <rFont val="Lucida Console"/>
            <family val="3"/>
          </rPr>
          <t>_x000D_
MATERIAL HIDRAULICO, CANOS, TUBOS, MANGUEIRAS, CONEXOES E ACESS.</t>
        </r>
      </text>
    </comment>
    <comment ref="Y579" authorId="0" shapeId="0" xr:uid="{F60C667E-B443-4A68-BCAD-056CCAF0FEA6}">
      <text>
        <r>
          <rPr>
            <sz val="10"/>
            <color indexed="81"/>
            <rFont val="Lucida Console"/>
            <family val="3"/>
          </rPr>
          <t>_x000D_
REGISTROS VALVULAS E BOIAS</t>
        </r>
      </text>
    </comment>
    <comment ref="AW579" authorId="0" shapeId="0" xr:uid="{B30AA3BD-9C6C-40D8-A240-39656A7A00FC}">
      <text>
        <r>
          <rPr>
            <sz val="10"/>
            <color indexed="81"/>
            <rFont val="Lucida Console"/>
            <family val="3"/>
          </rPr>
          <t>Tempo de Estoque (Meses)_x000D_
_x000D_
20,0</t>
        </r>
      </text>
    </comment>
    <comment ref="A580" authorId="0" shapeId="0" xr:uid="{0F830555-7F83-439F-829B-6992BDC52D1A}">
      <text>
        <r>
          <rPr>
            <sz val="10"/>
            <color indexed="81"/>
            <rFont val="Lucida Console"/>
            <family val="3"/>
          </rPr>
          <t>_x000D_
80390</t>
        </r>
      </text>
    </comment>
    <comment ref="B580" authorId="0" shapeId="0" xr:uid="{12A01D9A-0778-4180-8E9A-A2B5C65C9139}">
      <text>
        <r>
          <rPr>
            <sz val="10"/>
            <color indexed="81"/>
            <rFont val="Lucida Console"/>
            <family val="3"/>
          </rPr>
          <t>DESCRIÇÃO DETALHADA_x000D_
VALVULA AMERICANA 3 1/2" X 1 1/2" EM INOX</t>
        </r>
      </text>
    </comment>
    <comment ref="G580" authorId="0" shapeId="0" xr:uid="{38B20826-095C-4473-B99B-729AFA1D067E}">
      <text>
        <r>
          <rPr>
            <sz val="10"/>
            <color indexed="81"/>
            <rFont val="Lucida Console"/>
            <family val="3"/>
          </rPr>
          <t>_x000D_
Últ estimativa : 150_x000D_
Enviada em     : 24.11.2020_x000D_
Ata - Venc     : 87/20 - 31.03.2021</t>
        </r>
      </text>
    </comment>
    <comment ref="O580" authorId="0" shapeId="0" xr:uid="{84FB9BB0-BE81-494D-8281-6B4B048AFDA9}">
      <text>
        <r>
          <rPr>
            <sz val="10"/>
            <color indexed="81"/>
            <rFont val="Lucida Console"/>
            <family val="3"/>
          </rPr>
          <t xml:space="preserve">_x000D_
Pertencia a ATA nº 87/20_x000D_
Estimativa de Renovação enviada em 24.11.2020 - Qtd 150_x000D_
PE 182/21 lote _x000D_
 = </t>
        </r>
      </text>
    </comment>
    <comment ref="W580" authorId="0" shapeId="0" xr:uid="{851D7261-82CD-4304-A3A0-2F9534BA06B8}">
      <text>
        <r>
          <rPr>
            <sz val="10"/>
            <color indexed="81"/>
            <rFont val="Lucida Console"/>
            <family val="3"/>
          </rPr>
          <t>_x000D_
DM-Hidráulica</t>
        </r>
      </text>
    </comment>
    <comment ref="X580" authorId="0" shapeId="0" xr:uid="{6C684E25-82D2-437D-BDFC-C4A9EE48C199}">
      <text>
        <r>
          <rPr>
            <sz val="10"/>
            <color indexed="81"/>
            <rFont val="Lucida Console"/>
            <family val="3"/>
          </rPr>
          <t>_x000D_
MATERIAL HIDRAULICO, CANOS, TUBOS, MANGUEIRAS, CONEXOES E ACESS.</t>
        </r>
      </text>
    </comment>
    <comment ref="Y580" authorId="0" shapeId="0" xr:uid="{5DE18EC5-898D-4619-97B4-804620F3AF8D}">
      <text>
        <r>
          <rPr>
            <sz val="10"/>
            <color indexed="81"/>
            <rFont val="Lucida Console"/>
            <family val="3"/>
          </rPr>
          <t>_x000D_
REGISTROS VALVULAS E BOIAS</t>
        </r>
      </text>
    </comment>
    <comment ref="AW580" authorId="0" shapeId="0" xr:uid="{415725E3-C433-4A2B-ADC0-D80B89260AC5}">
      <text>
        <r>
          <rPr>
            <sz val="10"/>
            <color indexed="81"/>
            <rFont val="Lucida Console"/>
            <family val="3"/>
          </rPr>
          <t>Tempo de Estoque (Meses)_x000D_
_x000D_
75,0</t>
        </r>
      </text>
    </comment>
    <comment ref="A581" authorId="0" shapeId="0" xr:uid="{A9017D4C-54CE-4586-A984-21C8758442F5}">
      <text>
        <r>
          <rPr>
            <sz val="10"/>
            <color indexed="81"/>
            <rFont val="Lucida Console"/>
            <family val="3"/>
          </rPr>
          <t>_x000D_
81807</t>
        </r>
      </text>
    </comment>
    <comment ref="B581" authorId="0" shapeId="0" xr:uid="{5AA53A1F-191E-4883-84B1-836D85349581}">
      <text>
        <r>
          <rPr>
            <sz val="10"/>
            <color indexed="81"/>
            <rFont val="Lucida Console"/>
            <family val="3"/>
          </rPr>
          <t>DESCRIÇÃO DETALHADA_x000D_
REPARO PARA VALVULA HYDRA LUXO - REF. 4686924</t>
        </r>
      </text>
    </comment>
    <comment ref="G581" authorId="0" shapeId="0" xr:uid="{7B25661C-5E73-4EF3-A8BA-79135653D626}">
      <text>
        <r>
          <rPr>
            <sz val="10"/>
            <color indexed="81"/>
            <rFont val="Lucida Console"/>
            <family val="3"/>
          </rPr>
          <t>_x000D_
Últ estimativa : 50_x000D_
Enviada em     : 24.11.2020_x000D_
Ata - Venc     : 87/20 - 31.03.2021</t>
        </r>
      </text>
    </comment>
    <comment ref="O581" authorId="0" shapeId="0" xr:uid="{961F530D-885F-40C8-A500-0EA239A92C6C}">
      <text>
        <r>
          <rPr>
            <sz val="10"/>
            <color indexed="81"/>
            <rFont val="Lucida Console"/>
            <family val="3"/>
          </rPr>
          <t xml:space="preserve">_x000D_
Pertencia a ATA nº 87/20_x000D_
Estimativa de Renovação enviada em 24.11.2020 - Qtd 50_x000D_
PE 182/21 lote _x000D_
 = </t>
        </r>
      </text>
    </comment>
    <comment ref="W581" authorId="0" shapeId="0" xr:uid="{C85DC2A6-FC87-4BED-8A2A-08536913F364}">
      <text>
        <r>
          <rPr>
            <sz val="10"/>
            <color indexed="81"/>
            <rFont val="Lucida Console"/>
            <family val="3"/>
          </rPr>
          <t>_x000D_
DM-Hidráulica</t>
        </r>
      </text>
    </comment>
    <comment ref="X581" authorId="0" shapeId="0" xr:uid="{59C5F440-3313-4FDF-BD0F-ECE7D3812269}">
      <text>
        <r>
          <rPr>
            <sz val="10"/>
            <color indexed="81"/>
            <rFont val="Lucida Console"/>
            <family val="3"/>
          </rPr>
          <t>_x000D_
MATERIAL HIDRAULICO, CANOS, TUBOS, MANGUEIRAS, CONEXOES E ACESS.</t>
        </r>
      </text>
    </comment>
    <comment ref="Y581" authorId="0" shapeId="0" xr:uid="{946689FC-A3BB-450A-8C2D-15C98D4D7E28}">
      <text>
        <r>
          <rPr>
            <sz val="10"/>
            <color indexed="81"/>
            <rFont val="Lucida Console"/>
            <family val="3"/>
          </rPr>
          <t>_x000D_
REGISTROS VALVULAS E BOIAS</t>
        </r>
      </text>
    </comment>
    <comment ref="AW581" authorId="0" shapeId="0" xr:uid="{88E0E39A-9334-47C6-85A8-6CB9B815ECF0}">
      <text>
        <r>
          <rPr>
            <sz val="10"/>
            <color indexed="81"/>
            <rFont val="Lucida Console"/>
            <family val="3"/>
          </rPr>
          <t>Tempo de Estoque (Meses)_x000D_
_x000D_
31,0</t>
        </r>
      </text>
    </comment>
    <comment ref="A582" authorId="0" shapeId="0" xr:uid="{AAFE28AF-53F1-43F3-91B0-8457ECD22F1C}">
      <text>
        <r>
          <rPr>
            <sz val="10"/>
            <color indexed="81"/>
            <rFont val="Lucida Console"/>
            <family val="3"/>
          </rPr>
          <t>_x000D_
81808</t>
        </r>
      </text>
    </comment>
    <comment ref="B582" authorId="0" shapeId="0" xr:uid="{995F8C07-1548-452C-9653-F6814087B144}">
      <text>
        <r>
          <rPr>
            <sz val="10"/>
            <color indexed="81"/>
            <rFont val="Lucida Console"/>
            <family val="3"/>
          </rPr>
          <t>DESCRIÇÃO DETALHADA_x000D_
REPARO ACIONADOR PARA VALVULA DE DESCARGA HYDRA LUXO - REF. 4336004</t>
        </r>
      </text>
    </comment>
    <comment ref="G582" authorId="0" shapeId="0" xr:uid="{59BED25D-6681-4ED9-862D-230929404BD7}">
      <text>
        <r>
          <rPr>
            <sz val="10"/>
            <color indexed="81"/>
            <rFont val="Lucida Console"/>
            <family val="3"/>
          </rPr>
          <t>_x000D_
Últ estimativa : 20_x000D_
Enviada em     : 24.11.2020_x000D_
Ata - Venc     : 87/20 - 31.03.2021</t>
        </r>
      </text>
    </comment>
    <comment ref="O582" authorId="0" shapeId="0" xr:uid="{8154FCF8-AFF5-471F-B020-F98510ED8EC9}">
      <text>
        <r>
          <rPr>
            <sz val="10"/>
            <color indexed="81"/>
            <rFont val="Lucida Console"/>
            <family val="3"/>
          </rPr>
          <t>_x000D_
Pertencia a ATA nº 87/20_x000D_
Estimativa de Renovação enviada em 24.11.2020 - Qtd 20_x000D_
PE  10/20 lote _x000D_
30.04.20 = Processo conferido, finalizado.</t>
        </r>
      </text>
    </comment>
    <comment ref="W582" authorId="0" shapeId="0" xr:uid="{631C0570-9139-46FD-8BAE-7224BBA45C57}">
      <text>
        <r>
          <rPr>
            <sz val="10"/>
            <color indexed="81"/>
            <rFont val="Lucida Console"/>
            <family val="3"/>
          </rPr>
          <t>_x000D_
DM-Hidráulica</t>
        </r>
      </text>
    </comment>
    <comment ref="X582" authorId="0" shapeId="0" xr:uid="{867E5664-BC05-4B9F-970F-09E9D8E5ECFF}">
      <text>
        <r>
          <rPr>
            <sz val="10"/>
            <color indexed="81"/>
            <rFont val="Lucida Console"/>
            <family val="3"/>
          </rPr>
          <t>_x000D_
MATERIAL HIDRAULICO, CANOS, TUBOS, MANGUEIRAS, CONEXOES E ACESS.</t>
        </r>
      </text>
    </comment>
    <comment ref="Y582" authorId="0" shapeId="0" xr:uid="{306B7ED2-D290-4D19-8762-7CC6A7E6C055}">
      <text>
        <r>
          <rPr>
            <sz val="10"/>
            <color indexed="81"/>
            <rFont val="Lucida Console"/>
            <family val="3"/>
          </rPr>
          <t>_x000D_
REGISTROS VALVULAS E BOIAS</t>
        </r>
      </text>
    </comment>
    <comment ref="AW582" authorId="0" shapeId="0" xr:uid="{3E8D924F-6EB6-4302-AF9C-C70261D6FDBC}">
      <text>
        <r>
          <rPr>
            <sz val="10"/>
            <color indexed="81"/>
            <rFont val="Lucida Console"/>
            <family val="3"/>
          </rPr>
          <t>Tempo de Estoque (Meses)_x000D_
_x000D_
36,0</t>
        </r>
      </text>
    </comment>
    <comment ref="A583" authorId="0" shapeId="0" xr:uid="{28348CBA-DDF3-4512-8787-C5D38E36799B}">
      <text>
        <r>
          <rPr>
            <sz val="10"/>
            <color indexed="81"/>
            <rFont val="Lucida Console"/>
            <family val="3"/>
          </rPr>
          <t>_x000D_
95209</t>
        </r>
      </text>
    </comment>
    <comment ref="B583" authorId="0" shapeId="0" xr:uid="{F75D0C8D-7BD2-4DD0-B653-14A60904CA79}">
      <text>
        <r>
          <rPr>
            <sz val="10"/>
            <color indexed="81"/>
            <rFont val="Lucida Console"/>
            <family val="3"/>
          </rPr>
          <t>DESCRIÇÃO DETALHADA_x000D_
VALVULA EM PVC PARA LAVATORIO 1" SEM LADRAO</t>
        </r>
      </text>
    </comment>
    <comment ref="G583" authorId="0" shapeId="0" xr:uid="{D40EA9AF-AECA-48DB-9BAD-267B5A6EB2B1}">
      <text>
        <r>
          <rPr>
            <sz val="10"/>
            <color indexed="81"/>
            <rFont val="Lucida Console"/>
            <family val="3"/>
          </rPr>
          <t>_x000D_
Últ estimativa : 150_x000D_
Enviada em     : 24.11.2020_x000D_
Ata - Venc     : 87/20 - 31.03.2021</t>
        </r>
      </text>
    </comment>
    <comment ref="O583" authorId="0" shapeId="0" xr:uid="{47E03D38-A474-4DCC-A559-926467977D1D}">
      <text>
        <r>
          <rPr>
            <sz val="10"/>
            <color indexed="81"/>
            <rFont val="Lucida Console"/>
            <family val="3"/>
          </rPr>
          <t>_x000D_
Pertencia a ATA nº 87/20_x000D_
Estimativa de Renovação enviada em 24.11.2020 - Qtd 150_x000D_
PE  10/20 lote 52_x000D_
30.04.20 = Processo conferido, finalizado.</t>
        </r>
      </text>
    </comment>
    <comment ref="W583" authorId="0" shapeId="0" xr:uid="{D1129029-1665-441D-B75D-37728BE9EE4B}">
      <text>
        <r>
          <rPr>
            <sz val="10"/>
            <color indexed="81"/>
            <rFont val="Lucida Console"/>
            <family val="3"/>
          </rPr>
          <t>_x000D_
DM-Hidráulica</t>
        </r>
      </text>
    </comment>
    <comment ref="X583" authorId="0" shapeId="0" xr:uid="{851C0B28-B048-49D0-B839-97B5EF61A023}">
      <text>
        <r>
          <rPr>
            <sz val="10"/>
            <color indexed="81"/>
            <rFont val="Lucida Console"/>
            <family val="3"/>
          </rPr>
          <t>_x000D_
MATERIAL HIDRAULICO, CANOS, TUBOS, MANGUEIRAS, CONEXOES E ACESS.</t>
        </r>
      </text>
    </comment>
    <comment ref="Y583" authorId="0" shapeId="0" xr:uid="{F7A5C881-4C6C-4CEC-85C6-E73A375C2D66}">
      <text>
        <r>
          <rPr>
            <sz val="10"/>
            <color indexed="81"/>
            <rFont val="Lucida Console"/>
            <family val="3"/>
          </rPr>
          <t>_x000D_
REGISTROS VALVULAS E BOIAS</t>
        </r>
      </text>
    </comment>
    <comment ref="AW583" authorId="0" shapeId="0" xr:uid="{C1D12698-1F04-4E55-8F1C-86B854794BB7}">
      <text>
        <r>
          <rPr>
            <sz val="10"/>
            <color indexed="81"/>
            <rFont val="Lucida Console"/>
            <family val="3"/>
          </rPr>
          <t>Tempo de Estoque (Meses)_x000D_
_x000D_
0,0</t>
        </r>
      </text>
    </comment>
    <comment ref="A584" authorId="0" shapeId="0" xr:uid="{DEE0AFED-6D2D-4543-989A-1A157389E0F8}">
      <text>
        <r>
          <rPr>
            <sz val="10"/>
            <color indexed="81"/>
            <rFont val="Lucida Console"/>
            <family val="3"/>
          </rPr>
          <t>_x000D_
59069</t>
        </r>
      </text>
    </comment>
    <comment ref="B584" authorId="0" shapeId="0" xr:uid="{323C8BFD-708A-4012-B403-17485978F1D4}">
      <text>
        <r>
          <rPr>
            <sz val="10"/>
            <color indexed="81"/>
            <rFont val="Lucida Console"/>
            <family val="3"/>
          </rPr>
          <t>DESCRIÇÃO DETALHADA_x000D_
TE DE REDUCAO EM PVC SOLDAVEL, ROSCA, DE 25 MM - 1/2" - AZUL</t>
        </r>
      </text>
    </comment>
    <comment ref="G584" authorId="0" shapeId="0" xr:uid="{2C84681E-5591-4ECA-A28B-30AE8653B6C7}">
      <text>
        <r>
          <rPr>
            <sz val="10"/>
            <color indexed="81"/>
            <rFont val="Lucida Console"/>
            <family val="3"/>
          </rPr>
          <t>_x000D_
Últ estimativa : 200_x000D_
Enviada em     : 24.11.2020_x000D_
Ata - Venc     : 87/20 - 31.03.2021</t>
        </r>
      </text>
    </comment>
    <comment ref="O584" authorId="0" shapeId="0" xr:uid="{0B5C904E-DCDA-48B0-A828-36916C248854}">
      <text>
        <r>
          <rPr>
            <sz val="10"/>
            <color indexed="81"/>
            <rFont val="Lucida Console"/>
            <family val="3"/>
          </rPr>
          <t>_x000D_
Pertencia a ATA nº 87/20_x000D_
Estimativa de Renovação enviada em 24.11.2020 - Qtd 200_x000D_
PE  10/20 lote _x000D_
30.04.20 = Processo conferido, finalizado.</t>
        </r>
      </text>
    </comment>
    <comment ref="W584" authorId="0" shapeId="0" xr:uid="{EA3BF7AA-41CB-4894-B56F-C4F63F8E4F72}">
      <text>
        <r>
          <rPr>
            <sz val="10"/>
            <color indexed="81"/>
            <rFont val="Lucida Console"/>
            <family val="3"/>
          </rPr>
          <t>_x000D_
DM-Hidráulica</t>
        </r>
      </text>
    </comment>
    <comment ref="X584" authorId="0" shapeId="0" xr:uid="{5CB68A50-7375-422A-A511-FE05738D70FB}">
      <text>
        <r>
          <rPr>
            <sz val="10"/>
            <color indexed="81"/>
            <rFont val="Lucida Console"/>
            <family val="3"/>
          </rPr>
          <t>_x000D_
MATERIAL HIDRAULICO, CANOS, TUBOS, MANGUEIRAS, CONEXOES E ACESS.</t>
        </r>
      </text>
    </comment>
    <comment ref="Y584" authorId="0" shapeId="0" xr:uid="{0B148730-431B-4610-8DEF-5F99E99DB914}">
      <text>
        <r>
          <rPr>
            <sz val="10"/>
            <color indexed="81"/>
            <rFont val="Lucida Console"/>
            <family val="3"/>
          </rPr>
          <t>_x000D_
ADAP. LUVAS.TES CURVAS COTOVELOS PLUGS FLANGES.....</t>
        </r>
      </text>
    </comment>
    <comment ref="AW584" authorId="0" shapeId="0" xr:uid="{4385EB75-138E-4A63-912B-2904A37BF013}">
      <text>
        <r>
          <rPr>
            <sz val="10"/>
            <color indexed="81"/>
            <rFont val="Lucida Console"/>
            <family val="3"/>
          </rPr>
          <t>Tempo de Estoque (Meses)_x000D_
_x000D_
117,0</t>
        </r>
      </text>
    </comment>
    <comment ref="A585" authorId="0" shapeId="0" xr:uid="{E8AC8C13-7AF7-4B0F-88E7-B3030AAC2B40}">
      <text>
        <r>
          <rPr>
            <sz val="10"/>
            <color indexed="81"/>
            <rFont val="Lucida Console"/>
            <family val="3"/>
          </rPr>
          <t>_x000D_
102588</t>
        </r>
      </text>
    </comment>
    <comment ref="B585" authorId="0" shapeId="0" xr:uid="{B23389A0-8478-48B8-98E0-A74EB5BACE2C}">
      <text>
        <r>
          <rPr>
            <sz val="10"/>
            <color indexed="81"/>
            <rFont val="Lucida Console"/>
            <family val="3"/>
          </rPr>
          <t>DESCRIÇÃO DETALHADA_x000D_
GRELHA P/RALO EM INOX, 100MM (4"), COM DISPOSITIVO DE VEDACAO P/INSETOS</t>
        </r>
      </text>
    </comment>
    <comment ref="G585" authorId="0" shapeId="0" xr:uid="{308CDCDC-1F61-4814-8345-FE345F31EFA1}">
      <text>
        <r>
          <rPr>
            <sz val="10"/>
            <color indexed="81"/>
            <rFont val="Lucida Console"/>
            <family val="3"/>
          </rPr>
          <t>_x000D_
Últ estimativa : 0_x000D_
Enviada em     : 24.11.2020_x000D_
Ata - Venc     : 87/20 - 31.03.2021</t>
        </r>
      </text>
    </comment>
    <comment ref="O585" authorId="0" shapeId="0" xr:uid="{613CA710-D10F-47DE-8A99-4B518A25D8A5}">
      <text>
        <r>
          <rPr>
            <sz val="10"/>
            <color indexed="81"/>
            <rFont val="Lucida Console"/>
            <family val="3"/>
          </rPr>
          <t xml:space="preserve">_x000D_
Pertencia a ATA nº 87/20_x000D_
Estimativa de Renovação enviada em 24.11.2020 - Qtd _x000D_
PE 182/21 lote _x000D_
 = </t>
        </r>
      </text>
    </comment>
    <comment ref="W585" authorId="0" shapeId="0" xr:uid="{9833B606-664A-453E-A66E-CD8F00496358}">
      <text>
        <r>
          <rPr>
            <sz val="10"/>
            <color indexed="81"/>
            <rFont val="Lucida Console"/>
            <family val="3"/>
          </rPr>
          <t>_x000D_
DM-Hidráulica</t>
        </r>
      </text>
    </comment>
    <comment ref="X585" authorId="0" shapeId="0" xr:uid="{3804D4E9-2204-457A-86F0-AB6FD8315004}">
      <text>
        <r>
          <rPr>
            <sz val="10"/>
            <color indexed="81"/>
            <rFont val="Lucida Console"/>
            <family val="3"/>
          </rPr>
          <t>_x000D_
MATERIAL HIDRAULICO, CANOS, TUBOS, MANGUEIRAS, CONEXOES E ACESS.</t>
        </r>
      </text>
    </comment>
    <comment ref="Y585" authorId="0" shapeId="0" xr:uid="{3A5AD5D5-B403-4BF1-84C9-4084FEA91B86}">
      <text>
        <r>
          <rPr>
            <sz val="10"/>
            <color indexed="81"/>
            <rFont val="Lucida Console"/>
            <family val="3"/>
          </rPr>
          <t>_x000D_
RALOS SIFOES E CAIXAS</t>
        </r>
      </text>
    </comment>
    <comment ref="AW585" authorId="0" shapeId="0" xr:uid="{62A0BAD2-7814-4909-9605-3F0F3E0FF0C9}">
      <text>
        <r>
          <rPr>
            <sz val="10"/>
            <color indexed="81"/>
            <rFont val="Lucida Console"/>
            <family val="3"/>
          </rPr>
          <t>Tempo de Estoque (Meses)_x000D_
_x000D_
350,0</t>
        </r>
      </text>
    </comment>
    <comment ref="A586" authorId="0" shapeId="0" xr:uid="{6D4F585B-7A6B-4C50-9321-751F8892F809}">
      <text>
        <r>
          <rPr>
            <sz val="10"/>
            <color indexed="81"/>
            <rFont val="Lucida Console"/>
            <family val="3"/>
          </rPr>
          <t>_x000D_
13186</t>
        </r>
      </text>
    </comment>
    <comment ref="B586" authorId="0" shapeId="0" xr:uid="{345BFDD3-90E3-4A20-8997-63D899EBCC69}">
      <text>
        <r>
          <rPr>
            <sz val="10"/>
            <color indexed="81"/>
            <rFont val="Lucida Console"/>
            <family val="3"/>
          </rPr>
          <t>DESCRIÇÃO DETALHADA_x000D_
COLA P/ MADEIRA - 1 LITRO</t>
        </r>
      </text>
    </comment>
    <comment ref="G586" authorId="0" shapeId="0" xr:uid="{9337EED4-CAA3-4B8F-BA32-A96761EAAD5D}">
      <text>
        <r>
          <rPr>
            <sz val="10"/>
            <color indexed="81"/>
            <rFont val="Lucida Console"/>
            <family val="3"/>
          </rPr>
          <t>_x000D_
Últ estimativa : 100_x000D_
Enviada em     : 17.12.2020_x000D_
Ata - Venc     : 88/20 - 01.04.2021</t>
        </r>
      </text>
    </comment>
    <comment ref="O586" authorId="0" shapeId="0" xr:uid="{5D1660FD-D85F-44C1-8D6F-18B73904B99A}">
      <text>
        <r>
          <rPr>
            <sz val="10"/>
            <color indexed="81"/>
            <rFont val="Lucida Console"/>
            <family val="3"/>
          </rPr>
          <t>_x000D_
Pertencia a ATA nº 88/20_x000D_
Estimativa de Renovação enviada em 17.12.2020 - Qtd 100_x000D_
PE   6/20 lote 5_x000D_
28.04.21 = Processo conferido, finalizado.</t>
        </r>
      </text>
    </comment>
    <comment ref="W586" authorId="0" shapeId="0" xr:uid="{E203F55C-AE31-4A39-9227-8B4BBAE0C0DF}">
      <text>
        <r>
          <rPr>
            <sz val="10"/>
            <color indexed="81"/>
            <rFont val="Lucida Console"/>
            <family val="3"/>
          </rPr>
          <t>_x000D_
DM-Marcenaria</t>
        </r>
      </text>
    </comment>
    <comment ref="X586" authorId="0" shapeId="0" xr:uid="{543C98CC-F353-4529-AE64-FCBE1F488EFE}">
      <text>
        <r>
          <rPr>
            <sz val="10"/>
            <color indexed="81"/>
            <rFont val="Lucida Console"/>
            <family val="3"/>
          </rPr>
          <t>_x000D_
MADEIRAS,LAMINADOS,COMPENSADOS E AGLOMERADOS</t>
        </r>
      </text>
    </comment>
    <comment ref="Y586" authorId="0" shapeId="0" xr:uid="{741CD4A9-F11D-414E-822E-D9EAF5B4342C}">
      <text>
        <r>
          <rPr>
            <sz val="10"/>
            <color indexed="81"/>
            <rFont val="Lucida Console"/>
            <family val="3"/>
          </rPr>
          <t>_x000D_
ADESIVOS ESPECIFICOS PARA MADEIRA</t>
        </r>
      </text>
    </comment>
    <comment ref="AW586" authorId="0" shapeId="0" xr:uid="{E190CA24-B6D3-4E67-B646-8BCF5824135F}">
      <text>
        <r>
          <rPr>
            <sz val="10"/>
            <color indexed="81"/>
            <rFont val="Lucida Console"/>
            <family val="3"/>
          </rPr>
          <t>Tempo de Estoque (Meses)_x000D_
_x000D_
66,0</t>
        </r>
      </text>
    </comment>
    <comment ref="A587" authorId="0" shapeId="0" xr:uid="{F7968766-923C-4887-9460-3401AABEDA87}">
      <text>
        <r>
          <rPr>
            <sz val="10"/>
            <color indexed="81"/>
            <rFont val="Lucida Console"/>
            <family val="3"/>
          </rPr>
          <t>_x000D_
12856</t>
        </r>
      </text>
    </comment>
    <comment ref="B587" authorId="0" shapeId="0" xr:uid="{8828E41D-7E95-47BB-8E9B-E66CAB1F486C}">
      <text>
        <r>
          <rPr>
            <sz val="10"/>
            <color indexed="81"/>
            <rFont val="Lucida Console"/>
            <family val="3"/>
          </rPr>
          <t>DESCRIÇÃO DETALHADA_x000D_
TRINCHA PARA PINTURA - 2", COM CERDAS 100% NATURAIS</t>
        </r>
      </text>
    </comment>
    <comment ref="G587" authorId="0" shapeId="0" xr:uid="{618ECE64-1F35-4BA8-BD04-D98A4C341E94}">
      <text>
        <r>
          <rPr>
            <sz val="10"/>
            <color indexed="81"/>
            <rFont val="Lucida Console"/>
            <family val="3"/>
          </rPr>
          <t>_x000D_
Últ estimativa : 4.500_x000D_
Enviada em     : 17.12.2020_x000D_
Ata - Venc     : 88/20 - 01.04.2021</t>
        </r>
      </text>
    </comment>
    <comment ref="O587" authorId="0" shapeId="0" xr:uid="{983469E1-9975-43FE-B470-7D6A5CF09EEE}">
      <text>
        <r>
          <rPr>
            <sz val="10"/>
            <color indexed="81"/>
            <rFont val="Lucida Console"/>
            <family val="3"/>
          </rPr>
          <t>_x000D_
Pertencia a ATA nº 88/20_x000D_
Estimativa de Renovação enviada em 17.12.2020 - Qtd 4.500_x000D_
PE   6/20 lote 3_x000D_
28.04.21 = Processo conferido, finalizado.</t>
        </r>
      </text>
    </comment>
    <comment ref="W587" authorId="0" shapeId="0" xr:uid="{BA10B020-0840-4F4F-9F7F-9CFE5F01104E}">
      <text>
        <r>
          <rPr>
            <sz val="10"/>
            <color indexed="81"/>
            <rFont val="Lucida Console"/>
            <family val="3"/>
          </rPr>
          <t>_x000D_
DM-Pintura</t>
        </r>
      </text>
    </comment>
    <comment ref="X587" authorId="0" shapeId="0" xr:uid="{FE2EED63-5A1A-4B87-8CA3-A332F1E96A58}">
      <text>
        <r>
          <rPr>
            <sz val="10"/>
            <color indexed="81"/>
            <rFont val="Lucida Console"/>
            <family val="3"/>
          </rPr>
          <t>_x000D_
EQUIP. E MATERIAIS P/PINTURAS E IMPERMEABILIZACAO</t>
        </r>
      </text>
    </comment>
    <comment ref="Y587" authorId="0" shapeId="0" xr:uid="{908FFA9D-4FEB-41C5-9CF3-CF2366D4CBBF}">
      <text>
        <r>
          <rPr>
            <sz val="10"/>
            <color indexed="81"/>
            <rFont val="Lucida Console"/>
            <family val="3"/>
          </rPr>
          <t>_x000D_
MATERIAIS PARA PINTURA</t>
        </r>
      </text>
    </comment>
    <comment ref="AW587" authorId="0" shapeId="0" xr:uid="{0C4A78A5-4510-49C0-B4D4-8129D8A09DF0}">
      <text>
        <r>
          <rPr>
            <sz val="10"/>
            <color indexed="81"/>
            <rFont val="Lucida Console"/>
            <family val="3"/>
          </rPr>
          <t>Tempo de Estoque (Meses)_x000D_
_x000D_
5.330,0</t>
        </r>
      </text>
    </comment>
    <comment ref="A588" authorId="0" shapeId="0" xr:uid="{15C7A07A-F960-4B4E-B9A3-1D0DFC308233}">
      <text>
        <r>
          <rPr>
            <sz val="10"/>
            <color indexed="81"/>
            <rFont val="Lucida Console"/>
            <family val="3"/>
          </rPr>
          <t>_x000D_
81455</t>
        </r>
      </text>
    </comment>
    <comment ref="B588" authorId="0" shapeId="0" xr:uid="{4445E1D3-9065-45A6-AD3D-0A5B8F1025FB}">
      <text>
        <r>
          <rPr>
            <sz val="10"/>
            <color indexed="81"/>
            <rFont val="Lucida Console"/>
            <family val="3"/>
          </rPr>
          <t>DESCRIÇÃO DETALHADA_x000D_
DISCO DE CORTE 7" X 1/8" X 7/8" (DIAM.EXT X ESPESSURA X DIAM. FURO) - CONFORME NORMAS ABNT</t>
        </r>
      </text>
    </comment>
    <comment ref="G588" authorId="0" shapeId="0" xr:uid="{0DCC18CB-7CB2-4925-87D3-4CAB7ADFDFC2}">
      <text>
        <r>
          <rPr>
            <sz val="10"/>
            <color indexed="81"/>
            <rFont val="Lucida Console"/>
            <family val="3"/>
          </rPr>
          <t>_x000D_
Últ estimativa : 300_x000D_
Enviada em     : 17.12.2020_x000D_
Ata - Venc     : 88/20 - 01.04.2021</t>
        </r>
      </text>
    </comment>
    <comment ref="O588" authorId="0" shapeId="0" xr:uid="{94D27C5D-3306-499F-891A-364EB5BBFEC2}">
      <text>
        <r>
          <rPr>
            <sz val="10"/>
            <color indexed="81"/>
            <rFont val="Lucida Console"/>
            <family val="3"/>
          </rPr>
          <t>_x000D_
Pertencia a ATA nº 88/20_x000D_
Estimativa de Renovação enviada em 17.12.2020 - Qtd 300_x000D_
PE   6/20 lote 15_x000D_
28.04.21 = Processo conferido, finalizado.</t>
        </r>
      </text>
    </comment>
    <comment ref="W588" authorId="0" shapeId="0" xr:uid="{51FC4DFE-6459-4107-A6BA-C02843433B5F}">
      <text>
        <r>
          <rPr>
            <sz val="10"/>
            <color indexed="81"/>
            <rFont val="Lucida Console"/>
            <family val="3"/>
          </rPr>
          <t>_x000D_
DM-Serralheria</t>
        </r>
      </text>
    </comment>
    <comment ref="X588" authorId="0" shapeId="0" xr:uid="{BEF427CF-C0F7-4853-97CC-6AD41A8A9BA9}">
      <text>
        <r>
          <rPr>
            <sz val="10"/>
            <color indexed="81"/>
            <rFont val="Lucida Console"/>
            <family val="3"/>
          </rPr>
          <t>_x000D_
ABRASIVOS</t>
        </r>
      </text>
    </comment>
    <comment ref="Y588" authorId="0" shapeId="0" xr:uid="{D0DFB104-3755-4D13-8FC1-B37341C68A99}">
      <text>
        <r>
          <rPr>
            <sz val="10"/>
            <color indexed="81"/>
            <rFont val="Lucida Console"/>
            <family val="3"/>
          </rPr>
          <t>_x000D_
DISCO DE FIBRA</t>
        </r>
      </text>
    </comment>
    <comment ref="AW588" authorId="0" shapeId="0" xr:uid="{B57FFC65-0A0F-4E00-A081-FEB689C9C3DD}">
      <text>
        <r>
          <rPr>
            <sz val="10"/>
            <color indexed="81"/>
            <rFont val="Lucida Console"/>
            <family val="3"/>
          </rPr>
          <t>Tempo de Estoque (Meses)_x000D_
_x000D_
81,0</t>
        </r>
      </text>
    </comment>
    <comment ref="A589" authorId="0" shapeId="0" xr:uid="{F4DC1014-516F-492E-B593-1B9349731FA1}">
      <text>
        <r>
          <rPr>
            <sz val="10"/>
            <color indexed="81"/>
            <rFont val="Lucida Console"/>
            <family val="3"/>
          </rPr>
          <t>_x000D_
17562</t>
        </r>
      </text>
    </comment>
    <comment ref="B589" authorId="0" shapeId="0" xr:uid="{4265956D-D0F0-4A9E-AC54-A0EBB8135806}">
      <text>
        <r>
          <rPr>
            <sz val="10"/>
            <color indexed="81"/>
            <rFont val="Lucida Console"/>
            <family val="3"/>
          </rPr>
          <t>DESCRIÇÃO DETALHADA_x000D_
DISCO DE DESBASTE 7" X 1/4" X 7/8" - CONFORME NORMAS DA ABNT</t>
        </r>
      </text>
    </comment>
    <comment ref="G589" authorId="0" shapeId="0" xr:uid="{E986F361-0106-49C7-9D2C-204ED0ED06FB}">
      <text>
        <r>
          <rPr>
            <sz val="10"/>
            <color indexed="81"/>
            <rFont val="Lucida Console"/>
            <family val="3"/>
          </rPr>
          <t>_x000D_
Últ estimativa : 0_x000D_
Enviada em     : 17.12.2020_x000D_
Ata - Venc     : 88/20 - 01.04.2021</t>
        </r>
      </text>
    </comment>
    <comment ref="O589" authorId="0" shapeId="0" xr:uid="{61C8E4A3-BAAD-4494-B2DA-490AE1885AA5}">
      <text>
        <r>
          <rPr>
            <sz val="10"/>
            <color indexed="81"/>
            <rFont val="Lucida Console"/>
            <family val="3"/>
          </rPr>
          <t>_x000D_
Pertencia a ATA nº 88/20_x000D_
Estimativa de Renovação enviada em 17.12.2020 - Qtd _x000D_
PE   6/20 lote 9_x000D_
28.04.21 = Processo conferido, finalizado.</t>
        </r>
      </text>
    </comment>
    <comment ref="W589" authorId="0" shapeId="0" xr:uid="{E083DBA3-4C26-4658-AD81-203CFC59D8B4}">
      <text>
        <r>
          <rPr>
            <sz val="10"/>
            <color indexed="81"/>
            <rFont val="Lucida Console"/>
            <family val="3"/>
          </rPr>
          <t>_x000D_
DM-Serralheria</t>
        </r>
      </text>
    </comment>
    <comment ref="X589" authorId="0" shapeId="0" xr:uid="{4EB3102A-E61B-446C-9954-A0ED5EA1E07E}">
      <text>
        <r>
          <rPr>
            <sz val="10"/>
            <color indexed="81"/>
            <rFont val="Lucida Console"/>
            <family val="3"/>
          </rPr>
          <t>_x000D_
ABRASIVOS</t>
        </r>
      </text>
    </comment>
    <comment ref="Y589" authorId="0" shapeId="0" xr:uid="{C9A94805-3094-4418-8F80-974E6C2489FA}">
      <text>
        <r>
          <rPr>
            <sz val="10"/>
            <color indexed="81"/>
            <rFont val="Lucida Console"/>
            <family val="3"/>
          </rPr>
          <t>_x000D_
REBOLOS RESINOIDES</t>
        </r>
      </text>
    </comment>
    <comment ref="AW589" authorId="0" shapeId="0" xr:uid="{0F9B9F56-2381-4A11-BE07-4E1C73DC53DD}">
      <text>
        <r>
          <rPr>
            <sz val="10"/>
            <color indexed="81"/>
            <rFont val="Lucida Console"/>
            <family val="3"/>
          </rPr>
          <t>Tempo de Estoque (Meses)_x000D_
_x000D_
443,0</t>
        </r>
      </text>
    </comment>
    <comment ref="A590" authorId="0" shapeId="0" xr:uid="{6CCA9F8C-AC11-4E39-AEA2-B51841956C3D}">
      <text>
        <r>
          <rPr>
            <sz val="10"/>
            <color indexed="81"/>
            <rFont val="Lucida Console"/>
            <family val="3"/>
          </rPr>
          <t>_x000D_
54144</t>
        </r>
      </text>
    </comment>
    <comment ref="B590" authorId="0" shapeId="0" xr:uid="{BF51E962-61B7-4A37-82A3-70C3ECC96B58}">
      <text>
        <r>
          <rPr>
            <sz val="10"/>
            <color indexed="81"/>
            <rFont val="Lucida Console"/>
            <family val="3"/>
          </rPr>
          <t>DESCRIÇÃO DETALHADA_x000D_
JUNCAO INTERNA "I" - 38 X 38 MM</t>
        </r>
      </text>
    </comment>
    <comment ref="G590" authorId="0" shapeId="0" xr:uid="{3CD527EC-78CA-48F9-A741-38A760D51813}">
      <text>
        <r>
          <rPr>
            <sz val="10"/>
            <color indexed="81"/>
            <rFont val="Lucida Console"/>
            <family val="3"/>
          </rPr>
          <t>_x000D_
Últ estimativa : 0_x000D_
Enviada em     : 23.09.2020_x000D_
Ata - Venc     : 9/20 - 14.01.2021</t>
        </r>
      </text>
    </comment>
    <comment ref="O590" authorId="0" shapeId="0" xr:uid="{5A250B00-07FF-447F-A6D8-5B254A80317D}">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0" authorId="0" shapeId="0" xr:uid="{9B88A2B7-AD0B-4586-913D-030BFC841D44}">
      <text>
        <r>
          <rPr>
            <sz val="10"/>
            <color indexed="81"/>
            <rFont val="Lucida Console"/>
            <family val="3"/>
          </rPr>
          <t>_x000D_
DM-Elétrica</t>
        </r>
      </text>
    </comment>
    <comment ref="X590" authorId="0" shapeId="0" xr:uid="{ACF375D5-028C-4C0C-8394-650FFDA0C246}">
      <text>
        <r>
          <rPr>
            <sz val="10"/>
            <color indexed="81"/>
            <rFont val="Lucida Console"/>
            <family val="3"/>
          </rPr>
          <t>_x000D_
EQUIP. MAT. P/ GERACAO, TRANSM. DISTR. RETIF...</t>
        </r>
      </text>
    </comment>
    <comment ref="Y590" authorId="0" shapeId="0" xr:uid="{AF05AEB9-EB57-497E-B855-97EA7F5A3336}">
      <text>
        <r>
          <rPr>
            <sz val="10"/>
            <color indexed="81"/>
            <rFont val="Lucida Console"/>
            <family val="3"/>
          </rPr>
          <t>_x000D_
ELETRODUTOS E ACESSORIOS</t>
        </r>
      </text>
    </comment>
    <comment ref="AW590" authorId="0" shapeId="0" xr:uid="{BFA57DED-6242-4865-9316-668DF0108731}">
      <text>
        <r>
          <rPr>
            <sz val="10"/>
            <color indexed="81"/>
            <rFont val="Lucida Console"/>
            <family val="3"/>
          </rPr>
          <t>Tempo de Estoque (Meses)_x000D_
_x000D_
326,0</t>
        </r>
      </text>
    </comment>
    <comment ref="A591" authorId="0" shapeId="0" xr:uid="{188231A8-65B3-49F2-A50E-238AB539EF0A}">
      <text>
        <r>
          <rPr>
            <sz val="10"/>
            <color indexed="81"/>
            <rFont val="Lucida Console"/>
            <family val="3"/>
          </rPr>
          <t>_x000D_
120995</t>
        </r>
      </text>
    </comment>
    <comment ref="B591" authorId="0" shapeId="0" xr:uid="{1CC17628-EB9E-4AA1-95C8-17144D5B5277}">
      <text>
        <r>
          <rPr>
            <sz val="10"/>
            <color indexed="81"/>
            <rFont val="Lucida Console"/>
            <family val="3"/>
          </rPr>
          <t>DESCRIÇÃO DETALHADA_x000D_
ELETRODUTO CORRUGADO 1" - COR: AMARELA</t>
        </r>
      </text>
    </comment>
    <comment ref="G591" authorId="0" shapeId="0" xr:uid="{87342E24-DE58-40B0-B8A9-BCB0AC76E523}">
      <text>
        <r>
          <rPr>
            <sz val="10"/>
            <color indexed="81"/>
            <rFont val="Lucida Console"/>
            <family val="3"/>
          </rPr>
          <t>_x000D_
Últ estimativa : 0_x000D_
Enviada em     : 23.09.2020_x000D_
Ata - Venc     : 9/20 - 14.01.2021</t>
        </r>
      </text>
    </comment>
    <comment ref="O591" authorId="0" shapeId="0" xr:uid="{56D42A6A-1B55-421B-9B5E-FC28F53E01C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1" authorId="0" shapeId="0" xr:uid="{A6297B2C-2DE2-4858-AD91-34FEBBF6A444}">
      <text>
        <r>
          <rPr>
            <sz val="10"/>
            <color indexed="81"/>
            <rFont val="Lucida Console"/>
            <family val="3"/>
          </rPr>
          <t>_x000D_
DM-Elétrica</t>
        </r>
      </text>
    </comment>
    <comment ref="X591" authorId="0" shapeId="0" xr:uid="{377BE675-06BB-4305-89D5-04E6FFE55FBD}">
      <text>
        <r>
          <rPr>
            <sz val="10"/>
            <color indexed="81"/>
            <rFont val="Lucida Console"/>
            <family val="3"/>
          </rPr>
          <t>_x000D_
EQUIP. MAT. P/ GERACAO, TRANSM. DISTR. RETIF...</t>
        </r>
      </text>
    </comment>
    <comment ref="Y591" authorId="0" shapeId="0" xr:uid="{EF00A806-280B-464F-A253-21211D10BA8B}">
      <text>
        <r>
          <rPr>
            <sz val="10"/>
            <color indexed="81"/>
            <rFont val="Lucida Console"/>
            <family val="3"/>
          </rPr>
          <t>_x000D_
ELETRODUTOS E ACESSORIOS</t>
        </r>
      </text>
    </comment>
    <comment ref="AW591" authorId="0" shapeId="0" xr:uid="{E68BACB0-739E-4A3B-AAE6-137B4BA3255B}">
      <text>
        <r>
          <rPr>
            <sz val="10"/>
            <color indexed="81"/>
            <rFont val="Lucida Console"/>
            <family val="3"/>
          </rPr>
          <t>Tempo de Estoque (Meses)_x000D_
_x000D_
180,0</t>
        </r>
      </text>
    </comment>
    <comment ref="A592" authorId="0" shapeId="0" xr:uid="{E2BA043D-2829-4281-9209-EE7D5CBE6849}">
      <text>
        <r>
          <rPr>
            <sz val="10"/>
            <color indexed="81"/>
            <rFont val="Lucida Console"/>
            <family val="3"/>
          </rPr>
          <t>_x000D_
15656</t>
        </r>
      </text>
    </comment>
    <comment ref="B592" authorId="0" shapeId="0" xr:uid="{A1C28EFE-E130-42B2-86D2-C284F17CA20E}">
      <text>
        <r>
          <rPr>
            <sz val="10"/>
            <color indexed="81"/>
            <rFont val="Lucida Console"/>
            <family val="3"/>
          </rPr>
          <t>DESCRIÇÃO DETALHADA_x000D_
TERMINAL A PRESSAO REFORCADO P/ 1 CABO DE COBRE 95MM2 C/ 1FURO DE FIXACAO</t>
        </r>
      </text>
    </comment>
    <comment ref="G592" authorId="0" shapeId="0" xr:uid="{1406A952-16D5-4690-B169-F7F38A6C8009}">
      <text>
        <r>
          <rPr>
            <sz val="10"/>
            <color indexed="81"/>
            <rFont val="Lucida Console"/>
            <family val="3"/>
          </rPr>
          <t>_x000D_
Últ estimativa : 0_x000D_
Enviada em     : 23.09.2020_x000D_
Ata - Venc     : 9/20 - 14.01.2021</t>
        </r>
      </text>
    </comment>
    <comment ref="O592" authorId="0" shapeId="0" xr:uid="{2BCC6CEE-6A3A-4D5D-BEF2-E63C9474031C}">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2" authorId="0" shapeId="0" xr:uid="{C34BCB27-7876-4D4E-AA7C-F64D40B704D7}">
      <text>
        <r>
          <rPr>
            <sz val="10"/>
            <color indexed="81"/>
            <rFont val="Lucida Console"/>
            <family val="3"/>
          </rPr>
          <t>_x000D_
DM-Elétrica</t>
        </r>
      </text>
    </comment>
    <comment ref="X592" authorId="0" shapeId="0" xr:uid="{29DB2BE7-3AE0-4C7B-ACC8-127460691578}">
      <text>
        <r>
          <rPr>
            <sz val="10"/>
            <color indexed="81"/>
            <rFont val="Lucida Console"/>
            <family val="3"/>
          </rPr>
          <t>_x000D_
EQUIP. MAT. P/ GERACAO, TRANSM. DISTR. RETIF...</t>
        </r>
      </text>
    </comment>
    <comment ref="Y592" authorId="0" shapeId="0" xr:uid="{F3182E7E-6638-486F-AC6E-E22A3191C2C7}">
      <text>
        <r>
          <rPr>
            <sz val="10"/>
            <color indexed="81"/>
            <rFont val="Lucida Console"/>
            <family val="3"/>
          </rPr>
          <t>_x000D_
TERMINAIS</t>
        </r>
      </text>
    </comment>
    <comment ref="AW592" authorId="0" shapeId="0" xr:uid="{32EB7630-9892-4694-BE99-250DC76B424E}">
      <text>
        <r>
          <rPr>
            <sz val="10"/>
            <color indexed="81"/>
            <rFont val="Lucida Console"/>
            <family val="3"/>
          </rPr>
          <t>Tempo de Estoque (Meses)_x000D_
_x000D_
136,0</t>
        </r>
      </text>
    </comment>
    <comment ref="A593" authorId="0" shapeId="0" xr:uid="{D08482A9-0C0F-4B3B-932F-DE27A2057BFC}">
      <text>
        <r>
          <rPr>
            <sz val="10"/>
            <color indexed="81"/>
            <rFont val="Lucida Console"/>
            <family val="3"/>
          </rPr>
          <t>_x000D_
54019</t>
        </r>
      </text>
    </comment>
    <comment ref="B593" authorId="0" shapeId="0" xr:uid="{67E4E16B-9EF1-4C8E-9CB7-B34C8151F438}">
      <text>
        <r>
          <rPr>
            <sz val="10"/>
            <color indexed="81"/>
            <rFont val="Lucida Console"/>
            <family val="3"/>
          </rPr>
          <t>DESCRIÇÃO DETALHADA_x000D_
SAPATA INTERNA 38X38MM, COM CHAPA PARA FIXACAO NA PAREDE MEDINDO 100X100MM COM 04 FUROS DE 5/16 EM SUAS EXTREMIDADES E ESPESSURA MINIMA DE 2MM.</t>
        </r>
      </text>
    </comment>
    <comment ref="G593" authorId="0" shapeId="0" xr:uid="{5AEF590B-1D26-4BC4-A234-D20B23DAD113}">
      <text>
        <r>
          <rPr>
            <sz val="10"/>
            <color indexed="81"/>
            <rFont val="Lucida Console"/>
            <family val="3"/>
          </rPr>
          <t>_x000D_
Últ estimativa : 0_x000D_
Enviada em     : 23.09.2020_x000D_
Ata - Venc     : 9/20 - 14.01.2021</t>
        </r>
      </text>
    </comment>
    <comment ref="O593" authorId="0" shapeId="0" xr:uid="{E0BCE1A9-7B9E-49DD-91DA-1E5C440F751B}">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3" authorId="0" shapeId="0" xr:uid="{3AA4AB7D-6901-44F7-BD92-1C9D5AD06CD2}">
      <text>
        <r>
          <rPr>
            <sz val="10"/>
            <color indexed="81"/>
            <rFont val="Lucida Console"/>
            <family val="3"/>
          </rPr>
          <t>_x000D_
DM-Elétrica</t>
        </r>
      </text>
    </comment>
    <comment ref="X593" authorId="0" shapeId="0" xr:uid="{2E2F25CC-7705-4D33-84B7-E80BA2BB06F5}">
      <text>
        <r>
          <rPr>
            <sz val="10"/>
            <color indexed="81"/>
            <rFont val="Lucida Console"/>
            <family val="3"/>
          </rPr>
          <t>_x000D_
EQUIP. MAT. P/ GERACAO, TRANSM. DISTR. RETIF...</t>
        </r>
      </text>
    </comment>
    <comment ref="Y593" authorId="0" shapeId="0" xr:uid="{CB2A6367-F518-4D99-B0A1-50C5E011357D}">
      <text>
        <r>
          <rPr>
            <sz val="10"/>
            <color indexed="81"/>
            <rFont val="Lucida Console"/>
            <family val="3"/>
          </rPr>
          <t>_x000D_
SUPORTES</t>
        </r>
      </text>
    </comment>
    <comment ref="AW593" authorId="0" shapeId="0" xr:uid="{FBD0AC30-6FBE-4BF3-A352-0DD09007A095}">
      <text>
        <r>
          <rPr>
            <sz val="10"/>
            <color indexed="81"/>
            <rFont val="Lucida Console"/>
            <family val="3"/>
          </rPr>
          <t>Tempo de Estoque (Meses)_x000D_
_x000D_
555,0</t>
        </r>
      </text>
    </comment>
    <comment ref="A594" authorId="0" shapeId="0" xr:uid="{CAC5B491-97ED-4CB2-B4FD-ECB84491C932}">
      <text>
        <r>
          <rPr>
            <sz val="10"/>
            <color indexed="81"/>
            <rFont val="Lucida Console"/>
            <family val="3"/>
          </rPr>
          <t>_x000D_
95229</t>
        </r>
      </text>
    </comment>
    <comment ref="B594" authorId="0" shapeId="0" xr:uid="{28192BAD-4017-481C-B782-A28910F8A8B1}">
      <text>
        <r>
          <rPr>
            <sz val="10"/>
            <color indexed="81"/>
            <rFont val="Lucida Console"/>
            <family val="3"/>
          </rPr>
          <t>DESCRIÇÃO DETALHADA_x000D_
ABRACADEIRA DE NYLON COMPRIMENTO 300 MM</t>
        </r>
      </text>
    </comment>
    <comment ref="G594" authorId="0" shapeId="0" xr:uid="{608FF111-0794-47B1-A6F4-BB65B56331A6}">
      <text>
        <r>
          <rPr>
            <sz val="10"/>
            <color indexed="81"/>
            <rFont val="Lucida Console"/>
            <family val="3"/>
          </rPr>
          <t>_x000D_
Últ estimativa : 0_x000D_
Enviada em     : 23.09.2021_x000D_
Ata - Venc     : 9/20 - 14.01.2021</t>
        </r>
      </text>
    </comment>
    <comment ref="O594" authorId="0" shapeId="0" xr:uid="{38CAFBE7-72C5-4F2F-B33D-4E67683E9B03}">
      <text>
        <r>
          <rPr>
            <sz val="10"/>
            <color indexed="81"/>
            <rFont val="Lucida Console"/>
            <family val="3"/>
          </rPr>
          <t xml:space="preserve">_x000D_
Pertencia a ATA nº 9/20_x000D_
Estimativa de Renovação enviada em 23.09.2021 - Qtd _x000D_
</t>
        </r>
      </text>
    </comment>
    <comment ref="W594" authorId="0" shapeId="0" xr:uid="{E54DCB06-156E-4892-871B-4613A5DCF911}">
      <text>
        <r>
          <rPr>
            <sz val="10"/>
            <color indexed="81"/>
            <rFont val="Lucida Console"/>
            <family val="3"/>
          </rPr>
          <t>_x000D_
DM-Elétrica</t>
        </r>
      </text>
    </comment>
    <comment ref="X594" authorId="0" shapeId="0" xr:uid="{14BE444B-22B7-4A96-B876-06DCC77C417C}">
      <text>
        <r>
          <rPr>
            <sz val="10"/>
            <color indexed="81"/>
            <rFont val="Lucida Console"/>
            <family val="3"/>
          </rPr>
          <t>_x000D_
EQUIP. MAT. P/ GERACAO, TRANSM. DISTR. RETIF...</t>
        </r>
      </text>
    </comment>
    <comment ref="Y594" authorId="0" shapeId="0" xr:uid="{EE0C734F-F513-46BD-8642-8EFB7091BCC6}">
      <text>
        <r>
          <rPr>
            <sz val="10"/>
            <color indexed="81"/>
            <rFont val="Lucida Console"/>
            <family val="3"/>
          </rPr>
          <t>_x000D_
BRACADEIRAS E CINTAS</t>
        </r>
      </text>
    </comment>
    <comment ref="AW594" authorId="0" shapeId="0" xr:uid="{8ECBAEA7-560B-4EEC-8F8C-E77796DCB9D7}">
      <text>
        <r>
          <rPr>
            <sz val="10"/>
            <color indexed="81"/>
            <rFont val="Lucida Console"/>
            <family val="3"/>
          </rPr>
          <t>Tempo de Estoque (Meses)_x000D_
_x000D_
2.000,0</t>
        </r>
      </text>
    </comment>
    <comment ref="A595" authorId="0" shapeId="0" xr:uid="{9C1C07D7-AC85-4DF0-9205-51017DF2E2CB}">
      <text>
        <r>
          <rPr>
            <sz val="10"/>
            <color indexed="81"/>
            <rFont val="Lucida Console"/>
            <family val="3"/>
          </rPr>
          <t>_x000D_
13178</t>
        </r>
      </text>
    </comment>
    <comment ref="B595" authorId="0" shapeId="0" xr:uid="{1B46DB2A-3CF9-4207-9B85-86C59D7A361E}">
      <text>
        <r>
          <rPr>
            <sz val="10"/>
            <color indexed="81"/>
            <rFont val="Lucida Console"/>
            <family val="3"/>
          </rPr>
          <t>DESCRIÇÃO DETALHADA_x000D_
BUCHA DE FIXACAO - N° 06 DE PLASTICO</t>
        </r>
      </text>
    </comment>
    <comment ref="G595" authorId="0" shapeId="0" xr:uid="{FDF5DE20-904C-435C-84B0-67F7781688D1}">
      <text>
        <r>
          <rPr>
            <sz val="10"/>
            <color indexed="81"/>
            <rFont val="Lucida Console"/>
            <family val="3"/>
          </rPr>
          <t>_x000D_
Últ estimativa : 0_x000D_
Enviada em     : 23.09.2020_x000D_
Ata - Venc     : 9/20 - 14.01.2021</t>
        </r>
      </text>
    </comment>
    <comment ref="O595" authorId="0" shapeId="0" xr:uid="{67A2AB64-A434-4A71-97BE-CF0F1B69FB9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5" authorId="0" shapeId="0" xr:uid="{64B5850B-4A14-4BCA-935D-3A7B6991A460}">
      <text>
        <r>
          <rPr>
            <sz val="10"/>
            <color indexed="81"/>
            <rFont val="Lucida Console"/>
            <family val="3"/>
          </rPr>
          <t>_x000D_
DM-Construção</t>
        </r>
      </text>
    </comment>
    <comment ref="X595" authorId="0" shapeId="0" xr:uid="{34376E7E-5A61-46BD-A2B6-9AA6732E5C85}">
      <text>
        <r>
          <rPr>
            <sz val="10"/>
            <color indexed="81"/>
            <rFont val="Lucida Console"/>
            <family val="3"/>
          </rPr>
          <t>_x000D_
PARAFUSOS ELEM. VEDACAO UNIAO CONEX . FIXACAO</t>
        </r>
      </text>
    </comment>
    <comment ref="Y595" authorId="0" shapeId="0" xr:uid="{37D6156D-640B-4CBD-BD51-38A5BB06FCFC}">
      <text>
        <r>
          <rPr>
            <sz val="10"/>
            <color indexed="81"/>
            <rFont val="Lucida Console"/>
            <family val="3"/>
          </rPr>
          <t>_x000D_
BUCHAS CHUMBADORES E GANCHOS</t>
        </r>
      </text>
    </comment>
    <comment ref="AW595" authorId="0" shapeId="0" xr:uid="{EAC22BB3-656D-4331-9B00-4E5AAEE1ABC9}">
      <text>
        <r>
          <rPr>
            <sz val="10"/>
            <color indexed="81"/>
            <rFont val="Lucida Console"/>
            <family val="3"/>
          </rPr>
          <t>Tempo de Estoque (Meses)_x000D_
_x000D_
1.950,0</t>
        </r>
      </text>
    </comment>
    <comment ref="A596" authorId="0" shapeId="0" xr:uid="{212BB875-189C-4347-A890-58D6D027EC45}">
      <text>
        <r>
          <rPr>
            <sz val="10"/>
            <color indexed="81"/>
            <rFont val="Lucida Console"/>
            <family val="3"/>
          </rPr>
          <t>_x000D_
13179</t>
        </r>
      </text>
    </comment>
    <comment ref="B596" authorId="0" shapeId="0" xr:uid="{6119272C-3A96-420C-A886-D52C58A8BA0A}">
      <text>
        <r>
          <rPr>
            <sz val="10"/>
            <color indexed="81"/>
            <rFont val="Lucida Console"/>
            <family val="3"/>
          </rPr>
          <t>DESCRIÇÃO DETALHADA_x000D_
BUCHA DE FIXACAO N° 8 DE PLASTICO</t>
        </r>
      </text>
    </comment>
    <comment ref="G596" authorId="0" shapeId="0" xr:uid="{6103044F-E2B2-4F07-B6C5-9ACEB2D33E70}">
      <text>
        <r>
          <rPr>
            <sz val="10"/>
            <color indexed="81"/>
            <rFont val="Lucida Console"/>
            <family val="3"/>
          </rPr>
          <t>_x000D_
Últ estimativa : 0_x000D_
Enviada em     : 23.09.2020_x000D_
Ata - Venc     : 9/20 - 14.01.2021</t>
        </r>
      </text>
    </comment>
    <comment ref="O596" authorId="0" shapeId="0" xr:uid="{46733D4A-3E00-4F9F-AA6D-5114B82307A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6" authorId="0" shapeId="0" xr:uid="{9248F5B3-1D84-42BC-9FD5-E905298860D2}">
      <text>
        <r>
          <rPr>
            <sz val="10"/>
            <color indexed="81"/>
            <rFont val="Lucida Console"/>
            <family val="3"/>
          </rPr>
          <t>_x000D_
DM-Construção</t>
        </r>
      </text>
    </comment>
    <comment ref="X596" authorId="0" shapeId="0" xr:uid="{2B5F26A7-58EE-4A1F-AB7E-6340559334BD}">
      <text>
        <r>
          <rPr>
            <sz val="10"/>
            <color indexed="81"/>
            <rFont val="Lucida Console"/>
            <family val="3"/>
          </rPr>
          <t>_x000D_
PARAFUSOS ELEM. VEDACAO UNIAO CONEX . FIXACAO</t>
        </r>
      </text>
    </comment>
    <comment ref="Y596" authorId="0" shapeId="0" xr:uid="{342B0598-0F4D-47D2-9FF9-2F1F1A464C60}">
      <text>
        <r>
          <rPr>
            <sz val="10"/>
            <color indexed="81"/>
            <rFont val="Lucida Console"/>
            <family val="3"/>
          </rPr>
          <t>_x000D_
BUCHAS CHUMBADORES E GANCHOS</t>
        </r>
      </text>
    </comment>
    <comment ref="AW596" authorId="0" shapeId="0" xr:uid="{9CEF41CF-D564-4B6F-92EE-BE1CE0FAFE56}">
      <text>
        <r>
          <rPr>
            <sz val="10"/>
            <color indexed="81"/>
            <rFont val="Lucida Console"/>
            <family val="3"/>
          </rPr>
          <t>Tempo de Estoque (Meses)_x000D_
_x000D_
9.557,0</t>
        </r>
      </text>
    </comment>
    <comment ref="A597" authorId="0" shapeId="0" xr:uid="{6DE7DE00-F38B-4ECA-AAC6-A305D3C4D93C}">
      <text>
        <r>
          <rPr>
            <sz val="10"/>
            <color indexed="81"/>
            <rFont val="Lucida Console"/>
            <family val="3"/>
          </rPr>
          <t>_x000D_
29293</t>
        </r>
      </text>
    </comment>
    <comment ref="B597" authorId="0" shapeId="0" xr:uid="{4EA9571D-62A4-4C65-9797-9C035C0B1CB4}">
      <text>
        <r>
          <rPr>
            <sz val="10"/>
            <color indexed="81"/>
            <rFont val="Lucida Console"/>
            <family val="3"/>
          </rPr>
          <t>DESCRIÇÃO DETALHADA_x000D_
BUCHA DE FIXACAO N° 10 - DE NYLON</t>
        </r>
      </text>
    </comment>
    <comment ref="G597" authorId="0" shapeId="0" xr:uid="{6DDB8576-3ABB-40AF-87A1-E95E964BDF5B}">
      <text>
        <r>
          <rPr>
            <sz val="10"/>
            <color indexed="81"/>
            <rFont val="Lucida Console"/>
            <family val="3"/>
          </rPr>
          <t>_x000D_
Últ estimativa : 0_x000D_
Enviada em     : 23.09.2020_x000D_
Ata - Venc     : 9/20 - 14.01.2021</t>
        </r>
      </text>
    </comment>
    <comment ref="O597" authorId="0" shapeId="0" xr:uid="{3EE94C46-E561-40B6-96BD-9B985B73A2A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7" authorId="0" shapeId="0" xr:uid="{630A6E6E-FD54-4594-BE65-86829BB18389}">
      <text>
        <r>
          <rPr>
            <sz val="10"/>
            <color indexed="81"/>
            <rFont val="Lucida Console"/>
            <family val="3"/>
          </rPr>
          <t>_x000D_
DM-Construção</t>
        </r>
      </text>
    </comment>
    <comment ref="X597" authorId="0" shapeId="0" xr:uid="{D31D0C3D-1B2D-4B0C-95EE-4D229A1628D8}">
      <text>
        <r>
          <rPr>
            <sz val="10"/>
            <color indexed="81"/>
            <rFont val="Lucida Console"/>
            <family val="3"/>
          </rPr>
          <t>_x000D_
PARAFUSOS ELEM. VEDACAO UNIAO CONEX . FIXACAO</t>
        </r>
      </text>
    </comment>
    <comment ref="Y597" authorId="0" shapeId="0" xr:uid="{005DD655-EA15-40BF-91D2-143B837FF4DD}">
      <text>
        <r>
          <rPr>
            <sz val="10"/>
            <color indexed="81"/>
            <rFont val="Lucida Console"/>
            <family val="3"/>
          </rPr>
          <t>_x000D_
BUCHAS CHUMBADORES E GANCHOS</t>
        </r>
      </text>
    </comment>
    <comment ref="AW597" authorId="0" shapeId="0" xr:uid="{4F18E909-FBBF-4CCA-A838-3718715B4EBA}">
      <text>
        <r>
          <rPr>
            <sz val="10"/>
            <color indexed="81"/>
            <rFont val="Lucida Console"/>
            <family val="3"/>
          </rPr>
          <t>Tempo de Estoque (Meses)_x000D_
_x000D_
5.000,0</t>
        </r>
      </text>
    </comment>
    <comment ref="A598" authorId="0" shapeId="0" xr:uid="{48174A06-E753-4633-A35D-0860CE00D401}">
      <text>
        <r>
          <rPr>
            <sz val="10"/>
            <color indexed="81"/>
            <rFont val="Lucida Console"/>
            <family val="3"/>
          </rPr>
          <t>_x000D_
106546</t>
        </r>
      </text>
    </comment>
    <comment ref="B598" authorId="0" shapeId="0" xr:uid="{6A4EA4D6-5CFF-4E72-9ED3-8195C7AD3582}">
      <text>
        <r>
          <rPr>
            <sz val="10"/>
            <color indexed="81"/>
            <rFont val="Lucida Console"/>
            <family val="3"/>
          </rPr>
          <t>DESCRIÇÃO DETALHADA_x000D_
CHUMBADOR GALVANIZADO CBA  5/16"  X  3.1/4"</t>
        </r>
      </text>
    </comment>
    <comment ref="G598" authorId="0" shapeId="0" xr:uid="{3692402A-33EC-4851-8141-3331B8C7ED4A}">
      <text>
        <r>
          <rPr>
            <sz val="10"/>
            <color indexed="81"/>
            <rFont val="Lucida Console"/>
            <family val="3"/>
          </rPr>
          <t>_x000D_
Últ estimativa : 0_x000D_
Enviada em     : 23.09.2020_x000D_
Ata - Venc     : 9/20 - 14.01.2021</t>
        </r>
      </text>
    </comment>
    <comment ref="O598" authorId="0" shapeId="0" xr:uid="{8BFE6BEE-F7C6-4020-B085-77A8E5819557}">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8" authorId="0" shapeId="0" xr:uid="{1CC05903-1CC2-457D-BF92-544489EF9613}">
      <text>
        <r>
          <rPr>
            <sz val="10"/>
            <color indexed="81"/>
            <rFont val="Lucida Console"/>
            <family val="3"/>
          </rPr>
          <t>_x000D_
DM-Construção</t>
        </r>
      </text>
    </comment>
    <comment ref="X598" authorId="0" shapeId="0" xr:uid="{3EFE98E4-6216-4043-BF19-EA07EBB4200D}">
      <text>
        <r>
          <rPr>
            <sz val="10"/>
            <color indexed="81"/>
            <rFont val="Lucida Console"/>
            <family val="3"/>
          </rPr>
          <t>_x000D_
PARAFUSOS ELEM. VEDACAO UNIAO CONEX . FIXACAO</t>
        </r>
      </text>
    </comment>
    <comment ref="Y598" authorId="0" shapeId="0" xr:uid="{763B996D-361C-4E44-A31C-05D789294968}">
      <text>
        <r>
          <rPr>
            <sz val="10"/>
            <color indexed="81"/>
            <rFont val="Lucida Console"/>
            <family val="3"/>
          </rPr>
          <t>_x000D_
BUCHAS CHUMBADORES E GANCHOS</t>
        </r>
      </text>
    </comment>
    <comment ref="AW598" authorId="0" shapeId="0" xr:uid="{539B5B35-A2E7-4D6F-A11A-53C4EE24B83F}">
      <text>
        <r>
          <rPr>
            <sz val="10"/>
            <color indexed="81"/>
            <rFont val="Lucida Console"/>
            <family val="3"/>
          </rPr>
          <t>Tempo de Estoque (Meses)_x000D_
_x000D_
931,0</t>
        </r>
      </text>
    </comment>
    <comment ref="A599" authorId="0" shapeId="0" xr:uid="{35598711-B0CE-490A-BAC6-E6DA674154B6}">
      <text>
        <r>
          <rPr>
            <sz val="10"/>
            <color indexed="81"/>
            <rFont val="Lucida Console"/>
            <family val="3"/>
          </rPr>
          <t>_x000D_
134567</t>
        </r>
      </text>
    </comment>
    <comment ref="B599" authorId="0" shapeId="0" xr:uid="{C804EC67-50E8-4072-8F1D-7AD74F63443C}">
      <text>
        <r>
          <rPr>
            <sz val="10"/>
            <color indexed="81"/>
            <rFont val="Lucida Console"/>
            <family val="3"/>
          </rPr>
          <t xml:space="preserve">DESCRIÇÃO DETALHADA_x000D_
BUCHA DE FIXACAO UNIVERSAL Nº 8 DE NYLON PARA BASES OCAS E MACICAS </t>
        </r>
      </text>
    </comment>
    <comment ref="G599" authorId="0" shapeId="0" xr:uid="{FDC47B1E-6941-4F21-8E02-796D623E709F}">
      <text>
        <r>
          <rPr>
            <sz val="10"/>
            <color indexed="81"/>
            <rFont val="Lucida Console"/>
            <family val="3"/>
          </rPr>
          <t>_x000D_
Últ estimativa : 0_x000D_
Enviada em     : 23.09.2020_x000D_
Ata - Venc     : 9/20 - 14.01.2021</t>
        </r>
      </text>
    </comment>
    <comment ref="O599" authorId="0" shapeId="0" xr:uid="{DAF05A83-E2D0-4060-BF72-8ADB13713EC9}">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9" authorId="0" shapeId="0" xr:uid="{33731F2F-5386-4E08-AE0E-FD51D33AA548}">
      <text>
        <r>
          <rPr>
            <sz val="10"/>
            <color indexed="81"/>
            <rFont val="Lucida Console"/>
            <family val="3"/>
          </rPr>
          <t>_x000D_
DM-Construção</t>
        </r>
      </text>
    </comment>
    <comment ref="X599" authorId="0" shapeId="0" xr:uid="{4770CBB7-0710-4B43-8A07-4A0706160BF7}">
      <text>
        <r>
          <rPr>
            <sz val="10"/>
            <color indexed="81"/>
            <rFont val="Lucida Console"/>
            <family val="3"/>
          </rPr>
          <t>_x000D_
PARAFUSOS ELEM. VEDACAO UNIAO CONEX . FIXACAO</t>
        </r>
      </text>
    </comment>
    <comment ref="Y599" authorId="0" shapeId="0" xr:uid="{28739B8E-CC0C-4719-8F95-0CFE583A9A2D}">
      <text>
        <r>
          <rPr>
            <sz val="10"/>
            <color indexed="81"/>
            <rFont val="Lucida Console"/>
            <family val="3"/>
          </rPr>
          <t>_x000D_
BUCHAS CHUMBADORES E GANCHOS</t>
        </r>
      </text>
    </comment>
    <comment ref="AW599" authorId="0" shapeId="0" xr:uid="{29980E41-A864-4F2C-815E-69A613D1D219}">
      <text>
        <r>
          <rPr>
            <sz val="10"/>
            <color indexed="81"/>
            <rFont val="Lucida Console"/>
            <family val="3"/>
          </rPr>
          <t>Tempo de Estoque (Meses)_x000D_
_x000D_
14.107,0</t>
        </r>
      </text>
    </comment>
    <comment ref="A600" authorId="0" shapeId="0" xr:uid="{FF5991A7-6873-4393-BE93-560BAAB75EC5}">
      <text>
        <r>
          <rPr>
            <sz val="10"/>
            <color indexed="81"/>
            <rFont val="Lucida Console"/>
            <family val="3"/>
          </rPr>
          <t>_x000D_
134568</t>
        </r>
      </text>
    </comment>
    <comment ref="B600" authorId="0" shapeId="0" xr:uid="{2E994B73-D1CB-4107-A8F3-7B01E087B473}">
      <text>
        <r>
          <rPr>
            <sz val="10"/>
            <color indexed="81"/>
            <rFont val="Lucida Console"/>
            <family val="3"/>
          </rPr>
          <t xml:space="preserve">DESCRIÇÃO DETALHADA_x000D_
BUCHA DE FIXACAO UNIVERSAL Nº 10 DE NYLON PARA BASES OCAS E MACICAS </t>
        </r>
      </text>
    </comment>
    <comment ref="G600" authorId="0" shapeId="0" xr:uid="{835268C5-1736-4EB2-BE45-1A7558391FDB}">
      <text>
        <r>
          <rPr>
            <sz val="10"/>
            <color indexed="81"/>
            <rFont val="Lucida Console"/>
            <family val="3"/>
          </rPr>
          <t>_x000D_
Últ estimativa : 0_x000D_
Enviada em     : 23.09.2020_x000D_
Ata - Venc     : 9/20 - 14.01.2021</t>
        </r>
      </text>
    </comment>
    <comment ref="O600" authorId="0" shapeId="0" xr:uid="{1ECA6843-1DB5-4582-8552-6569279C60E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00" authorId="0" shapeId="0" xr:uid="{4E257D56-0439-476D-B4BA-AA7A2196B26E}">
      <text>
        <r>
          <rPr>
            <sz val="10"/>
            <color indexed="81"/>
            <rFont val="Lucida Console"/>
            <family val="3"/>
          </rPr>
          <t>_x000D_
DM-Construção</t>
        </r>
      </text>
    </comment>
    <comment ref="X600" authorId="0" shapeId="0" xr:uid="{F4D5087C-83B4-4F92-BC79-16D047DDA8B7}">
      <text>
        <r>
          <rPr>
            <sz val="10"/>
            <color indexed="81"/>
            <rFont val="Lucida Console"/>
            <family val="3"/>
          </rPr>
          <t>_x000D_
PARAFUSOS ELEM. VEDACAO UNIAO CONEX . FIXACAO</t>
        </r>
      </text>
    </comment>
    <comment ref="Y600" authorId="0" shapeId="0" xr:uid="{C8722583-96FD-4702-A24D-678E72550F93}">
      <text>
        <r>
          <rPr>
            <sz val="10"/>
            <color indexed="81"/>
            <rFont val="Lucida Console"/>
            <family val="3"/>
          </rPr>
          <t>_x000D_
BUCHAS CHUMBADORES E GANCHOS</t>
        </r>
      </text>
    </comment>
    <comment ref="AW600" authorId="0" shapeId="0" xr:uid="{4AEF98CB-3434-4A8F-998E-6DA38478ECEA}">
      <text>
        <r>
          <rPr>
            <sz val="10"/>
            <color indexed="81"/>
            <rFont val="Lucida Console"/>
            <family val="3"/>
          </rPr>
          <t>Tempo de Estoque (Meses)_x000D_
_x000D_
6.706,0</t>
        </r>
      </text>
    </comment>
    <comment ref="A601" authorId="0" shapeId="0" xr:uid="{5E3777F4-ED5F-4169-862B-3407F272E31F}">
      <text>
        <r>
          <rPr>
            <sz val="10"/>
            <color indexed="81"/>
            <rFont val="Lucida Console"/>
            <family val="3"/>
          </rPr>
          <t>_x000D_
109944</t>
        </r>
      </text>
    </comment>
    <comment ref="B601" authorId="0" shapeId="0" xr:uid="{4D02B218-EDE3-4835-B756-C458B98B6B78}">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601" authorId="0" shapeId="0" xr:uid="{527250E4-0B46-4ED2-AAFA-C6F6F3ACBD1A}">
      <text>
        <r>
          <rPr>
            <sz val="10"/>
            <color indexed="81"/>
            <rFont val="Lucida Console"/>
            <family val="3"/>
          </rPr>
          <t>_x000D_
Últ estimativa : 500_x000D_
Enviada em     : 24.11.2020_x000D_
Ata - Venc     : 90/21 - 28.03.2022</t>
        </r>
      </text>
    </comment>
    <comment ref="O601" authorId="0" shapeId="0" xr:uid="{8BF07704-9CD9-458F-9C20-583E9191B3F8}">
      <text>
        <r>
          <rPr>
            <sz val="10"/>
            <color indexed="81"/>
            <rFont val="Lucida Console"/>
            <family val="3"/>
          </rPr>
          <t>_x000D_
Pertencia a ATA nº 90/21_x000D_
Estimativa de Renovação enviada em 24.11.2020 - Qtd 500_x000D_
PE  23/21 lote _x000D_
08.03.21 = Processo finalizado. Ata 90/21.</t>
        </r>
      </text>
    </comment>
    <comment ref="W601" authorId="0" shapeId="0" xr:uid="{E922B72E-7551-4F58-A3A8-22DB73CDCD31}">
      <text>
        <r>
          <rPr>
            <sz val="10"/>
            <color indexed="81"/>
            <rFont val="Lucida Console"/>
            <family val="3"/>
          </rPr>
          <t>_x000D_
DM-Marcenaria</t>
        </r>
      </text>
    </comment>
    <comment ref="X601" authorId="0" shapeId="0" xr:uid="{C089DAA3-7124-4BCC-9372-53A780FE6333}">
      <text>
        <r>
          <rPr>
            <sz val="10"/>
            <color indexed="81"/>
            <rFont val="Lucida Console"/>
            <family val="3"/>
          </rPr>
          <t>_x000D_
MADEIRAS,LAMINADOS,COMPENSADOS E AGLOMERADOS</t>
        </r>
      </text>
    </comment>
    <comment ref="Y601" authorId="0" shapeId="0" xr:uid="{330CF2FA-1942-4310-BA35-40DB8D2EAD2A}">
      <text>
        <r>
          <rPr>
            <sz val="10"/>
            <color indexed="81"/>
            <rFont val="Lucida Console"/>
            <family val="3"/>
          </rPr>
          <t>_x000D_
CHAPAS COMPENSADAS RESINADAS/PLASTIFICADAS</t>
        </r>
      </text>
    </comment>
    <comment ref="AW601" authorId="0" shapeId="0" xr:uid="{5892A34C-53D9-4329-A18D-B9C11EF9A82F}">
      <text>
        <r>
          <rPr>
            <sz val="10"/>
            <color indexed="81"/>
            <rFont val="Lucida Console"/>
            <family val="3"/>
          </rPr>
          <t>Tempo de Estoque (Meses)_x000D_
_x000D_
110,0</t>
        </r>
      </text>
    </comment>
    <comment ref="A602" authorId="0" shapeId="0" xr:uid="{155FE2F0-ADDF-4DA6-A43E-D951A8371051}">
      <text>
        <r>
          <rPr>
            <sz val="10"/>
            <color indexed="81"/>
            <rFont val="Lucida Console"/>
            <family val="3"/>
          </rPr>
          <t>_x000D_
26215</t>
        </r>
      </text>
    </comment>
    <comment ref="B602" authorId="0" shapeId="0" xr:uid="{6BF3B70A-0B1D-4C67-87E6-89F2D078CED6}">
      <text>
        <r>
          <rPr>
            <sz val="10"/>
            <color indexed="81"/>
            <rFont val="Lucida Console"/>
            <family val="3"/>
          </rPr>
          <t>DESCRIÇÃO DETALHADA_x000D_
CHAPA DE MADEIRA COMPENSADA NAVAL C/ 2,20 X 1,60 M ESP.20 MM</t>
        </r>
      </text>
    </comment>
    <comment ref="G602" authorId="0" shapeId="0" xr:uid="{DFF22068-21B1-42CA-A799-158FF9183178}">
      <text>
        <r>
          <rPr>
            <sz val="10"/>
            <color indexed="81"/>
            <rFont val="Lucida Console"/>
            <family val="3"/>
          </rPr>
          <t>_x000D_
Últ estimativa : 50_x000D_
Enviada em     : 24.11.2020_x000D_
Ata - Venc     : 90/21 - 27.03.2022</t>
        </r>
      </text>
    </comment>
    <comment ref="O602" authorId="0" shapeId="0" xr:uid="{7C6E480A-4D86-4CF0-B1A6-E8349EF948C8}">
      <text>
        <r>
          <rPr>
            <sz val="10"/>
            <color indexed="81"/>
            <rFont val="Lucida Console"/>
            <family val="3"/>
          </rPr>
          <t>_x000D_
Pertencia a ATA nº 90/21_x000D_
Estimativa de Renovação enviada em 24.11.2020 - Qtd 50_x000D_
PE  23/21 lote _x000D_
08.03.21 = Processo finalizado. Ata 90/21.</t>
        </r>
      </text>
    </comment>
    <comment ref="W602" authorId="0" shapeId="0" xr:uid="{29FD72BF-9027-421E-9BC1-AB31108D6809}">
      <text>
        <r>
          <rPr>
            <sz val="10"/>
            <color indexed="81"/>
            <rFont val="Lucida Console"/>
            <family val="3"/>
          </rPr>
          <t>_x000D_
DM-Marcenaria</t>
        </r>
      </text>
    </comment>
    <comment ref="X602" authorId="0" shapeId="0" xr:uid="{8367A8FD-4E56-4150-A289-A62FECD0400E}">
      <text>
        <r>
          <rPr>
            <sz val="10"/>
            <color indexed="81"/>
            <rFont val="Lucida Console"/>
            <family val="3"/>
          </rPr>
          <t>_x000D_
MADEIRAS,LAMINADOS,COMPENSADOS E AGLOMERADOS</t>
        </r>
      </text>
    </comment>
    <comment ref="Y602" authorId="0" shapeId="0" xr:uid="{B2877005-2001-4293-8531-ECB17A546D6C}">
      <text>
        <r>
          <rPr>
            <sz val="10"/>
            <color indexed="81"/>
            <rFont val="Lucida Console"/>
            <family val="3"/>
          </rPr>
          <t>_x000D_
CHAPAS DE MADEIRA AGLOMERADA E COMPENSADAS</t>
        </r>
      </text>
    </comment>
    <comment ref="AW602" authorId="0" shapeId="0" xr:uid="{66A46625-B707-4D19-87D1-832584CA4EDF}">
      <text>
        <r>
          <rPr>
            <sz val="10"/>
            <color indexed="81"/>
            <rFont val="Lucida Console"/>
            <family val="3"/>
          </rPr>
          <t>Tempo de Estoque (Meses)_x000D_
_x000D_
20,0</t>
        </r>
      </text>
    </comment>
    <comment ref="A603" authorId="0" shapeId="0" xr:uid="{832410F8-9831-4D50-BC96-F4B18706D6B6}">
      <text>
        <r>
          <rPr>
            <sz val="10"/>
            <color indexed="81"/>
            <rFont val="Lucida Console"/>
            <family val="3"/>
          </rPr>
          <t>_x000D_
13655</t>
        </r>
      </text>
    </comment>
    <comment ref="B603" authorId="0" shapeId="0" xr:uid="{B6FF435A-B1AB-49EF-9A7E-EEA641BA2AAD}">
      <text>
        <r>
          <rPr>
            <sz val="10"/>
            <color indexed="81"/>
            <rFont val="Lucida Console"/>
            <family val="3"/>
          </rPr>
          <t>DESCRIÇÃO DETALHADA_x000D_
PASTA DE CARTOLINA PLASTIFICADA MOD. C/ FERRAGEM - PRETA -MED. 33,5 X 23,5 CM (VARIACAO +/- 02 CM)</t>
        </r>
      </text>
    </comment>
    <comment ref="G603" authorId="0" shapeId="0" xr:uid="{6B50994E-C53E-44E3-A27B-8901AA2F92A9}">
      <text>
        <r>
          <rPr>
            <sz val="10"/>
            <color indexed="81"/>
            <rFont val="Lucida Console"/>
            <family val="3"/>
          </rPr>
          <t>_x000D_
Últ estimativa : 14.000_x000D_
Enviada em     : 19.12.2019_x000D_
Ata - Venc     : 99/20 - 23.04.2021</t>
        </r>
      </text>
    </comment>
    <comment ref="O603" authorId="0" shapeId="0" xr:uid="{1EA02241-DF57-4A5C-8577-9692AE14EDA9}">
      <text>
        <r>
          <rPr>
            <sz val="10"/>
            <color indexed="81"/>
            <rFont val="Lucida Console"/>
            <family val="3"/>
          </rPr>
          <t>_x000D_
Pertencia a ATA nº 99/20_x000D_
Estimativa de Renovação enviada em 19.12.2019 - Qtd 14.000_x000D_
PE  61/21 lote 4 (Impróspero)_x000D_
30.04.21 = Finalizado. Ata 143/20</t>
        </r>
      </text>
    </comment>
    <comment ref="W603" authorId="0" shapeId="0" xr:uid="{8520B75E-91CC-48D3-B85C-2F6782DD8DEF}">
      <text>
        <r>
          <rPr>
            <sz val="10"/>
            <color indexed="81"/>
            <rFont val="Lucida Console"/>
            <family val="3"/>
          </rPr>
          <t>_x000D_
Pedagógico</t>
        </r>
      </text>
    </comment>
    <comment ref="X603" authorId="0" shapeId="0" xr:uid="{EC917AE7-1D0C-4FDC-911F-9A681D94D101}">
      <text>
        <r>
          <rPr>
            <sz val="10"/>
            <color indexed="81"/>
            <rFont val="Lucida Console"/>
            <family val="3"/>
          </rPr>
          <t>_x000D_
MAQ., EQUIP., COMP., ACES., MAT. PARA ESCRIT.E ESCOLAR</t>
        </r>
      </text>
    </comment>
    <comment ref="Y603" authorId="0" shapeId="0" xr:uid="{40680F30-B497-4837-B256-1B4BD4866AFF}">
      <text>
        <r>
          <rPr>
            <sz val="10"/>
            <color indexed="81"/>
            <rFont val="Lucida Console"/>
            <family val="3"/>
          </rPr>
          <t>_x000D_
CAPAS, CLASSIF., PRANCHETAS, CADERNOS, ENVELOPES, PASTAS, FICHAS, LIVROS</t>
        </r>
      </text>
    </comment>
    <comment ref="AW603" authorId="0" shapeId="0" xr:uid="{83B2242B-1A6F-4782-B324-D917A5CEEA88}">
      <text>
        <r>
          <rPr>
            <sz val="10"/>
            <color indexed="81"/>
            <rFont val="Lucida Console"/>
            <family val="3"/>
          </rPr>
          <t>Tempo de Estoque (Meses)_x000D_
_x000D_
5.386,0</t>
        </r>
      </text>
    </comment>
    <comment ref="A604" authorId="0" shapeId="0" xr:uid="{92033196-3A60-4787-9DA1-9B69496F83A9}">
      <text>
        <r>
          <rPr>
            <sz val="10"/>
            <color indexed="81"/>
            <rFont val="Lucida Console"/>
            <family val="3"/>
          </rPr>
          <t>_x000D_
17132</t>
        </r>
      </text>
    </comment>
    <comment ref="B604" authorId="0" shapeId="0" xr:uid="{225725F7-C848-4A1D-9FFD-FCC639D2A441}">
      <text>
        <r>
          <rPr>
            <sz val="10"/>
            <color indexed="81"/>
            <rFont val="Lucida Console"/>
            <family val="3"/>
          </rPr>
          <t>DESCRIÇÃO DETALHADA_x000D_
ELASTICO - EMBALAGEM COM 100GR</t>
        </r>
      </text>
    </comment>
    <comment ref="G604" authorId="0" shapeId="0" xr:uid="{DD835FA0-0B33-4242-AC54-DB1B50F3BEEE}">
      <text>
        <r>
          <rPr>
            <sz val="10"/>
            <color indexed="81"/>
            <rFont val="Lucida Console"/>
            <family val="3"/>
          </rPr>
          <t>_x000D_
Últ estimativa : 1.000_x000D_
Enviada em     : 19.12.2019_x000D_
Ata - Venc     : 99/20 - 23.04.2021</t>
        </r>
      </text>
    </comment>
    <comment ref="O604" authorId="0" shapeId="0" xr:uid="{BBE2B9FF-0CD6-4515-AD05-B6A71393B680}">
      <text>
        <r>
          <rPr>
            <sz val="10"/>
            <color indexed="81"/>
            <rFont val="Lucida Console"/>
            <family val="3"/>
          </rPr>
          <t>_x000D_
Pertencia a ATA nº 99/20_x000D_
Estimativa de Renovação enviada em 19.12.2019 - Qtd 1.000_x000D_
PE  61/21 lote 5 (Impróspero)_x000D_
30.04.21 = Finalizado. Ata 143/20</t>
        </r>
      </text>
    </comment>
    <comment ref="W604" authorId="0" shapeId="0" xr:uid="{11B25926-4E8C-4F6A-A883-9B59A2A2C164}">
      <text>
        <r>
          <rPr>
            <sz val="10"/>
            <color indexed="81"/>
            <rFont val="Lucida Console"/>
            <family val="3"/>
          </rPr>
          <t>_x000D_
Administrativo</t>
        </r>
      </text>
    </comment>
    <comment ref="X604" authorId="0" shapeId="0" xr:uid="{CF9CAA61-C198-4877-B905-BA6D3E871BD5}">
      <text>
        <r>
          <rPr>
            <sz val="10"/>
            <color indexed="81"/>
            <rFont val="Lucida Console"/>
            <family val="3"/>
          </rPr>
          <t>_x000D_
MAQ., EQUIP., COMP., ACES., MAT. PARA ESCRIT.E ESCOLAR</t>
        </r>
      </text>
    </comment>
    <comment ref="Y604" authorId="0" shapeId="0" xr:uid="{AEB76D38-73BD-45C4-ACBC-A40FA63EE0BE}">
      <text>
        <r>
          <rPr>
            <sz val="10"/>
            <color indexed="81"/>
            <rFont val="Lucida Console"/>
            <family val="3"/>
          </rPr>
          <t>_x000D_
FURAD.GRAMP.COLCHETE,GRAMPOS,CLIPS,ELAST.BARB.FIT.</t>
        </r>
      </text>
    </comment>
    <comment ref="AW604" authorId="0" shapeId="0" xr:uid="{37734ADC-3116-4BAF-93A5-83502C5B22D3}">
      <text>
        <r>
          <rPr>
            <sz val="10"/>
            <color indexed="81"/>
            <rFont val="Lucida Console"/>
            <family val="3"/>
          </rPr>
          <t>Tempo de Estoque (Meses)_x000D_
_x000D_
1.439,0</t>
        </r>
      </text>
    </comment>
    <comment ref="A605" authorId="0" shapeId="0" xr:uid="{2CDBA497-E9D1-4269-9D1F-67051291966B}">
      <text>
        <r>
          <rPr>
            <sz val="10"/>
            <color indexed="81"/>
            <rFont val="Lucida Console"/>
            <family val="3"/>
          </rPr>
          <t>_x000D_
63591</t>
        </r>
      </text>
    </comment>
    <comment ref="B605" authorId="0" shapeId="0" xr:uid="{06D60932-06B0-41CC-8DE6-799679C7B9A7}">
      <text>
        <r>
          <rPr>
            <sz val="10"/>
            <color indexed="81"/>
            <rFont val="Lucida Console"/>
            <family val="3"/>
          </rPr>
          <t>DESCRIÇÃO DETALHADA_x000D_
PAPEL KRAFT 80G/M2 - 66 CM X 96 CM (PAPEL PARDO)</t>
        </r>
      </text>
    </comment>
    <comment ref="G605" authorId="0" shapeId="0" xr:uid="{9C222493-C02B-4326-BE57-D1079A5DB4BF}">
      <text>
        <r>
          <rPr>
            <sz val="10"/>
            <color indexed="81"/>
            <rFont val="Lucida Console"/>
            <family val="3"/>
          </rPr>
          <t>_x000D_
Últ estimativa : 12.000_x000D_
Enviada em     : 19.12.2019_x000D_
Ata - Venc     : 99/20 - 23.04.2021</t>
        </r>
      </text>
    </comment>
    <comment ref="O605" authorId="0" shapeId="0" xr:uid="{7985AF1F-6216-4D44-83B3-17413ABA6130}">
      <text>
        <r>
          <rPr>
            <sz val="10"/>
            <color indexed="81"/>
            <rFont val="Lucida Console"/>
            <family val="3"/>
          </rPr>
          <t>_x000D_
Pertencia a ATA nº 99/20_x000D_
Estimativa de Renovação enviada em 19.12.2019 - Qtd 12.000_x000D_
PE  61/21 lote 13 (Impróspero)_x000D_
30.04.21 = Finalizado. Ata 143/20</t>
        </r>
      </text>
    </comment>
    <comment ref="W605" authorId="0" shapeId="0" xr:uid="{0BA8B36D-1BD4-4FF2-9BDF-149F463BFB62}">
      <text>
        <r>
          <rPr>
            <sz val="10"/>
            <color indexed="81"/>
            <rFont val="Lucida Console"/>
            <family val="3"/>
          </rPr>
          <t>_x000D_
Pedagógico</t>
        </r>
      </text>
    </comment>
    <comment ref="X605" authorId="0" shapeId="0" xr:uid="{3C2E03A5-1B98-439C-970B-24B114157AA1}">
      <text>
        <r>
          <rPr>
            <sz val="10"/>
            <color indexed="81"/>
            <rFont val="Lucida Console"/>
            <family val="3"/>
          </rPr>
          <t>_x000D_
MAQ. E EQUIP. P/ IND. GRAFICA COMP. ACESS. E PAPEI</t>
        </r>
      </text>
    </comment>
    <comment ref="Y605" authorId="0" shapeId="0" xr:uid="{0CF72382-2028-479A-BF11-1061E8BB40F7}">
      <text>
        <r>
          <rPr>
            <sz val="10"/>
            <color indexed="81"/>
            <rFont val="Lucida Console"/>
            <family val="3"/>
          </rPr>
          <t>_x000D_
PAPEIS P/ EMBALAGEM E DECORATIVOS</t>
        </r>
      </text>
    </comment>
    <comment ref="AW605" authorId="0" shapeId="0" xr:uid="{628BF025-5BAF-4746-B380-BAA36005C98B}">
      <text>
        <r>
          <rPr>
            <sz val="10"/>
            <color indexed="81"/>
            <rFont val="Lucida Console"/>
            <family val="3"/>
          </rPr>
          <t>Tempo de Estoque (Meses)_x000D_
_x000D_
1.000,0</t>
        </r>
      </text>
    </comment>
    <comment ref="A606" authorId="0" shapeId="0" xr:uid="{0885174E-4EE7-41FF-8C87-1D163D3DFE46}">
      <text>
        <r>
          <rPr>
            <sz val="10"/>
            <color indexed="81"/>
            <rFont val="Lucida Console"/>
            <family val="3"/>
          </rPr>
          <t>_x000D_
63385</t>
        </r>
      </text>
    </comment>
    <comment ref="B606" authorId="0" shapeId="0" xr:uid="{88EF7009-50F7-4048-B7FE-01C79238315F}">
      <text>
        <r>
          <rPr>
            <sz val="10"/>
            <color indexed="81"/>
            <rFont val="Lucida Console"/>
            <family val="3"/>
          </rPr>
          <t>DESCRIÇÃO DETALHADA_x000D_
PAPEL SULFITE - 66 X 96 CM  120 G/M2 - BRANCO</t>
        </r>
      </text>
    </comment>
    <comment ref="G606" authorId="0" shapeId="0" xr:uid="{733D23C9-52BD-45A5-89A8-0A9EDFEC8364}">
      <text>
        <r>
          <rPr>
            <sz val="10"/>
            <color indexed="81"/>
            <rFont val="Lucida Console"/>
            <family val="3"/>
          </rPr>
          <t>_x000D_
Últ estimativa : 60.000_x000D_
Enviada em     : 19.12.2019_x000D_
Ata - Venc     : 99/20 - 23.04.2021</t>
        </r>
      </text>
    </comment>
    <comment ref="O606" authorId="0" shapeId="0" xr:uid="{34165D07-1227-4491-80EB-C481FE6058C1}">
      <text>
        <r>
          <rPr>
            <sz val="10"/>
            <color indexed="81"/>
            <rFont val="Lucida Console"/>
            <family val="3"/>
          </rPr>
          <t>_x000D_
Pertencia a ATA nº 99/20_x000D_
Estimativa de Renovação enviada em 19.12.2019 - Qtd 60.000_x000D_
PE  61/21 lote 12 (Impróspero)_x000D_
30.04.21 = Finalizado. Ata 143/20</t>
        </r>
      </text>
    </comment>
    <comment ref="W606" authorId="0" shapeId="0" xr:uid="{4D3B8574-FC96-44CE-B4F7-5F40097A91A3}">
      <text>
        <r>
          <rPr>
            <sz val="10"/>
            <color indexed="81"/>
            <rFont val="Lucida Console"/>
            <family val="3"/>
          </rPr>
          <t>_x000D_
Pedagógico</t>
        </r>
      </text>
    </comment>
    <comment ref="X606" authorId="0" shapeId="0" xr:uid="{6C79385D-6F9A-441C-8730-B27A3B6AF840}">
      <text>
        <r>
          <rPr>
            <sz val="10"/>
            <color indexed="81"/>
            <rFont val="Lucida Console"/>
            <family val="3"/>
          </rPr>
          <t>_x000D_
MAQ. E EQUIP. P/ IND. GRAFICA COMP. ACESS. E PAPEI</t>
        </r>
      </text>
    </comment>
    <comment ref="Y606" authorId="0" shapeId="0" xr:uid="{A37B504D-EEF7-446C-8DC3-E5AA3855456A}">
      <text>
        <r>
          <rPr>
            <sz val="10"/>
            <color indexed="81"/>
            <rFont val="Lucida Console"/>
            <family val="3"/>
          </rPr>
          <t>_x000D_
PAPEIS PARA ESCRITORIO</t>
        </r>
      </text>
    </comment>
    <comment ref="AW606" authorId="0" shapeId="0" xr:uid="{7E0030D0-16B1-43FB-9589-A2E4BF70F8E8}">
      <text>
        <r>
          <rPr>
            <sz val="10"/>
            <color indexed="81"/>
            <rFont val="Lucida Console"/>
            <family val="3"/>
          </rPr>
          <t>Tempo de Estoque (Meses)_x000D_
_x000D_
18.800,0</t>
        </r>
      </text>
    </comment>
    <comment ref="A607" authorId="0" shapeId="0" xr:uid="{5B74A0F1-7D7F-40F4-ADF8-8C31132F7DE1}">
      <text>
        <r>
          <rPr>
            <sz val="10"/>
            <color indexed="81"/>
            <rFont val="Lucida Console"/>
            <family val="3"/>
          </rPr>
          <t>_x000D_
119318</t>
        </r>
      </text>
    </comment>
    <comment ref="B607" authorId="0" shapeId="0" xr:uid="{15079E4A-CE39-4BB6-BB15-8936AEA50A88}">
      <text>
        <r>
          <rPr>
            <sz val="10"/>
            <color indexed="81"/>
            <rFont val="Lucida Console"/>
            <family val="3"/>
          </rPr>
          <t>DESCRIÇÃO DETALHADA_x000D_
TINTA A BASE DE AGUA PARA CARIMBO AUTO ENTINTADO  - FRASCO COM  30 ML - COR PRETA</t>
        </r>
      </text>
    </comment>
    <comment ref="W607" authorId="0" shapeId="0" xr:uid="{D55A1CB7-1CB5-4FC6-87A2-3390237D9B58}">
      <text>
        <r>
          <rPr>
            <sz val="10"/>
            <color indexed="81"/>
            <rFont val="Lucida Console"/>
            <family val="3"/>
          </rPr>
          <t>_x000D_
Administrativo</t>
        </r>
      </text>
    </comment>
    <comment ref="X607" authorId="0" shapeId="0" xr:uid="{E04D85BB-1BD9-4C7D-9997-94B69705B1CB}">
      <text>
        <r>
          <rPr>
            <sz val="10"/>
            <color indexed="81"/>
            <rFont val="Lucida Console"/>
            <family val="3"/>
          </rPr>
          <t>_x000D_
MAQ., EQUIP., COMP., ACES., MAT. PARA ESCRIT.E ESCOLAR</t>
        </r>
      </text>
    </comment>
    <comment ref="Y607" authorId="0" shapeId="0" xr:uid="{6B17B487-C157-4C20-8D45-84FA22BB57A0}">
      <text>
        <r>
          <rPr>
            <sz val="10"/>
            <color indexed="81"/>
            <rFont val="Lucida Console"/>
            <family val="3"/>
          </rPr>
          <t>_x000D_
CARIMBOS, ALMOFADAS, TINTAS E SUPORTES</t>
        </r>
      </text>
    </comment>
    <comment ref="AW607" authorId="0" shapeId="0" xr:uid="{A1BE209B-E2A3-4B3E-9EB3-051FB4E04F36}">
      <text>
        <r>
          <rPr>
            <sz val="10"/>
            <color indexed="81"/>
            <rFont val="Lucida Console"/>
            <family val="3"/>
          </rPr>
          <t>Tempo de Estoque (Meses)_x000D_
_x000D_
50,0</t>
        </r>
      </text>
    </comment>
    <comment ref="A608" authorId="0" shapeId="0" xr:uid="{262F2E12-9BA1-4B6E-A34D-725F36662A41}">
      <text>
        <r>
          <rPr>
            <sz val="10"/>
            <color indexed="81"/>
            <rFont val="Lucida Console"/>
            <family val="3"/>
          </rPr>
          <t>_x000D_
131917</t>
        </r>
      </text>
    </comment>
    <comment ref="B608" authorId="0" shapeId="0" xr:uid="{30B46F18-3CFD-478E-B9E0-0C7B62141506}">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608" authorId="0" shapeId="0" xr:uid="{D6A01E50-26A0-48A0-B5DF-C2FBC7303CD6}">
      <text>
        <r>
          <rPr>
            <sz val="10"/>
            <color indexed="81"/>
            <rFont val="Lucida Console"/>
            <family val="3"/>
          </rPr>
          <t>_x000D_
Pedagógico</t>
        </r>
      </text>
    </comment>
    <comment ref="X608" authorId="0" shapeId="0" xr:uid="{5148D586-367D-46EA-9B17-D2E35D06976E}">
      <text>
        <r>
          <rPr>
            <sz val="10"/>
            <color indexed="81"/>
            <rFont val="Lucida Console"/>
            <family val="3"/>
          </rPr>
          <t>_x000D_
MAQ., EQUIP., COMP., ACES., MAT. PARA ESCRIT.E ESCOLAR</t>
        </r>
      </text>
    </comment>
    <comment ref="Y608" authorId="0" shapeId="0" xr:uid="{852912D6-E41E-4B18-933C-71B4584A0D31}">
      <text>
        <r>
          <rPr>
            <sz val="10"/>
            <color indexed="81"/>
            <rFont val="Lucida Console"/>
            <family val="3"/>
          </rPr>
          <t>_x000D_
LAPIS, BORRACHA, APONTADORES, REGUAS E CORRETIVOS P/ ESCRIT.</t>
        </r>
      </text>
    </comment>
    <comment ref="AW608" authorId="0" shapeId="0" xr:uid="{EFF0CF10-B57E-46A3-9EEB-120EBA20E4B3}">
      <text>
        <r>
          <rPr>
            <sz val="10"/>
            <color indexed="81"/>
            <rFont val="Lucida Console"/>
            <family val="3"/>
          </rPr>
          <t>Tempo de Estoque (Meses)_x000D_
_x000D_
3.605,0</t>
        </r>
      </text>
    </comment>
    <comment ref="A609" authorId="0" shapeId="0" xr:uid="{6E71EF27-C6D1-4DD5-8FBF-68973374F9B3}">
      <text>
        <r>
          <rPr>
            <sz val="10"/>
            <color indexed="81"/>
            <rFont val="Lucida Console"/>
            <family val="3"/>
          </rPr>
          <t>_x000D_
131926</t>
        </r>
      </text>
    </comment>
    <comment ref="B609" authorId="0" shapeId="0" xr:uid="{3088DD0C-99CE-4480-9715-584F053952AA}">
      <text>
        <r>
          <rPr>
            <sz val="10"/>
            <color indexed="81"/>
            <rFont val="Lucida Console"/>
            <family val="3"/>
          </rPr>
          <t>DESCRIÇÃO DETALHADA_x000D_
LAPIS PRETO 6B, MEDINDO 175MM (VARIACAO DE +/-10MM) DE COMPRIMENTO.</t>
        </r>
      </text>
    </comment>
    <comment ref="W609" authorId="0" shapeId="0" xr:uid="{B7E774F1-E326-42C7-831F-260965C1EAA5}">
      <text>
        <r>
          <rPr>
            <sz val="10"/>
            <color indexed="81"/>
            <rFont val="Lucida Console"/>
            <family val="3"/>
          </rPr>
          <t>_x000D_
Pedagógico</t>
        </r>
      </text>
    </comment>
    <comment ref="X609" authorId="0" shapeId="0" xr:uid="{EBC51176-9C0F-4138-AF88-D5CF2EEBBC83}">
      <text>
        <r>
          <rPr>
            <sz val="10"/>
            <color indexed="81"/>
            <rFont val="Lucida Console"/>
            <family val="3"/>
          </rPr>
          <t>_x000D_
MAQ., EQUIP., COMP., ACES., MAT. PARA ESCRIT.E ESCOLAR</t>
        </r>
      </text>
    </comment>
    <comment ref="Y609" authorId="0" shapeId="0" xr:uid="{1189E236-398C-460A-9C15-F8B9B727BB6F}">
      <text>
        <r>
          <rPr>
            <sz val="10"/>
            <color indexed="81"/>
            <rFont val="Lucida Console"/>
            <family val="3"/>
          </rPr>
          <t>_x000D_
LAPIS, BORRACHA, APONTADORES, REGUAS E CORRETIVOS P/ ESCRIT.</t>
        </r>
      </text>
    </comment>
    <comment ref="AW609" authorId="0" shapeId="0" xr:uid="{9727B9FC-16DE-40B9-8544-70047F8099AC}">
      <text>
        <r>
          <rPr>
            <sz val="10"/>
            <color indexed="81"/>
            <rFont val="Lucida Console"/>
            <family val="3"/>
          </rPr>
          <t>Tempo de Estoque (Meses)_x000D_
_x000D_
9.434,0</t>
        </r>
      </text>
    </comment>
    <comment ref="A610" authorId="0" shapeId="0" xr:uid="{8444A6F6-DC3B-47A5-8A47-45216557406E}">
      <text>
        <r>
          <rPr>
            <sz val="10"/>
            <color indexed="81"/>
            <rFont val="Lucida Console"/>
            <family val="3"/>
          </rPr>
          <t>_x000D_
131927</t>
        </r>
      </text>
    </comment>
    <comment ref="B610" authorId="0" shapeId="0" xr:uid="{2DDEF388-F703-46E2-A36B-C83DA59E1502}">
      <text>
        <r>
          <rPr>
            <sz val="10"/>
            <color indexed="81"/>
            <rFont val="Lucida Console"/>
            <family val="3"/>
          </rPr>
          <t>DESCRIÇÃO DETALHADA_x000D_
LAPIS PRETO N.2 JUMBO TRIANGULAR, MEDINDO: 175MM (VARIACAO +/- 10MM)</t>
        </r>
      </text>
    </comment>
    <comment ref="W610" authorId="0" shapeId="0" xr:uid="{C01AF2D6-6A14-4BEC-B3F5-8CBD191859E3}">
      <text>
        <r>
          <rPr>
            <sz val="10"/>
            <color indexed="81"/>
            <rFont val="Lucida Console"/>
            <family val="3"/>
          </rPr>
          <t>_x000D_
Pedagógico</t>
        </r>
      </text>
    </comment>
    <comment ref="X610" authorId="0" shapeId="0" xr:uid="{5FFA2058-C69F-47D3-8CD5-CC342D454665}">
      <text>
        <r>
          <rPr>
            <sz val="10"/>
            <color indexed="81"/>
            <rFont val="Lucida Console"/>
            <family val="3"/>
          </rPr>
          <t>_x000D_
MAQ., EQUIP., COMP., ACES., MAT. PARA ESCRIT.E ESCOLAR</t>
        </r>
      </text>
    </comment>
    <comment ref="Y610" authorId="0" shapeId="0" xr:uid="{6CA7BE45-5C32-4B1A-956C-B215C790B47D}">
      <text>
        <r>
          <rPr>
            <sz val="10"/>
            <color indexed="81"/>
            <rFont val="Lucida Console"/>
            <family val="3"/>
          </rPr>
          <t>_x000D_
LAPIS, BORRACHA, APONTADORES, REGUAS E CORRETIVOS P/ ESCRIT.</t>
        </r>
      </text>
    </comment>
    <comment ref="AW610" authorId="0" shapeId="0" xr:uid="{00E1138F-6152-4B4C-AE72-5327A0A1F0C9}">
      <text>
        <r>
          <rPr>
            <sz val="10"/>
            <color indexed="81"/>
            <rFont val="Lucida Console"/>
            <family val="3"/>
          </rPr>
          <t>Tempo de Estoque (Meses)_x000D_
_x000D_
0,0</t>
        </r>
      </text>
    </comment>
    <comment ref="A611" authorId="0" shapeId="0" xr:uid="{D34F7D36-B157-4CB5-9C1D-105EEED058AE}">
      <text>
        <r>
          <rPr>
            <sz val="10"/>
            <color indexed="81"/>
            <rFont val="Lucida Console"/>
            <family val="3"/>
          </rPr>
          <t>_x000D_
131930</t>
        </r>
      </text>
    </comment>
    <comment ref="B611" authorId="0" shapeId="0" xr:uid="{EA8E1F1F-7F2A-45C3-8E24-B07CAD48CEB7}">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611" authorId="0" shapeId="0" xr:uid="{BF9CAC5D-6BEA-4A89-8A6B-4CA6F2471588}">
      <text>
        <r>
          <rPr>
            <sz val="10"/>
            <color indexed="81"/>
            <rFont val="Lucida Console"/>
            <family val="3"/>
          </rPr>
          <t>_x000D_
Pedagógico</t>
        </r>
      </text>
    </comment>
    <comment ref="X611" authorId="0" shapeId="0" xr:uid="{99345876-463A-458D-AFC8-9079E147A9C5}">
      <text>
        <r>
          <rPr>
            <sz val="10"/>
            <color indexed="81"/>
            <rFont val="Lucida Console"/>
            <family val="3"/>
          </rPr>
          <t>_x000D_
MAQ., EQUIP., COMP., ACES., MAT. PARA ESCRIT.E ESCOLAR</t>
        </r>
      </text>
    </comment>
    <comment ref="Y611" authorId="0" shapeId="0" xr:uid="{077D1108-02CA-43DD-A066-88B66136D178}">
      <text>
        <r>
          <rPr>
            <sz val="10"/>
            <color indexed="81"/>
            <rFont val="Lucida Console"/>
            <family val="3"/>
          </rPr>
          <t>_x000D_
LAPIS, BORRACHA, APONTADORES, REGUAS E CORRETIVOS P/ ESCRIT.</t>
        </r>
      </text>
    </comment>
    <comment ref="AW611" authorId="0" shapeId="0" xr:uid="{075FA2C4-CECB-4559-A690-01217A6B6BE0}">
      <text>
        <r>
          <rPr>
            <sz val="10"/>
            <color indexed="81"/>
            <rFont val="Lucida Console"/>
            <family val="3"/>
          </rPr>
          <t>Tempo de Estoque (Meses)_x000D_
_x000D_
8.272,0</t>
        </r>
      </text>
    </comment>
    <comment ref="A612" authorId="0" shapeId="0" xr:uid="{5D3A9A36-3773-434D-9CC3-4668C0764829}">
      <text>
        <r>
          <rPr>
            <sz val="10"/>
            <color indexed="81"/>
            <rFont val="Lucida Console"/>
            <family val="3"/>
          </rPr>
          <t>_x000D_
131935</t>
        </r>
      </text>
    </comment>
    <comment ref="B612" authorId="0" shapeId="0" xr:uid="{285285B2-0633-4F59-813B-606D9D4A812D}">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612" authorId="0" shapeId="0" xr:uid="{CC72C474-688F-44F3-9E0C-EA44F86772C5}">
      <text>
        <r>
          <rPr>
            <sz val="10"/>
            <color indexed="81"/>
            <rFont val="Lucida Console"/>
            <family val="3"/>
          </rPr>
          <t>_x000D_
Pedagógico</t>
        </r>
      </text>
    </comment>
    <comment ref="X612" authorId="0" shapeId="0" xr:uid="{B899A7DE-00B2-495B-97D3-C89538392BD9}">
      <text>
        <r>
          <rPr>
            <sz val="10"/>
            <color indexed="81"/>
            <rFont val="Lucida Console"/>
            <family val="3"/>
          </rPr>
          <t>_x000D_
MAQ., EQUIP., COMP., ACES., MAT. PARA ESCRIT.E ESCOLAR</t>
        </r>
      </text>
    </comment>
    <comment ref="Y612" authorId="0" shapeId="0" xr:uid="{42C3BBE8-C3DA-4D58-A933-9F1F16D91CA7}">
      <text>
        <r>
          <rPr>
            <sz val="10"/>
            <color indexed="81"/>
            <rFont val="Lucida Console"/>
            <family val="3"/>
          </rPr>
          <t>_x000D_
LAPIS, BORRACHA, APONTADORES, REGUAS E CORRETIVOS P/ ESCRIT.</t>
        </r>
      </text>
    </comment>
    <comment ref="AW612" authorId="0" shapeId="0" xr:uid="{B94E33DF-DF25-46FD-B795-FE8AD8D60571}">
      <text>
        <r>
          <rPr>
            <sz val="10"/>
            <color indexed="81"/>
            <rFont val="Lucida Console"/>
            <family val="3"/>
          </rPr>
          <t>Tempo de Estoque (Meses)_x000D_
_x000D_
2.297,0</t>
        </r>
      </text>
    </comment>
    <comment ref="A613" authorId="0" shapeId="0" xr:uid="{3FA93F1D-8474-4632-861D-86BE32B13677}">
      <text>
        <r>
          <rPr>
            <sz val="10"/>
            <color indexed="81"/>
            <rFont val="Lucida Console"/>
            <family val="3"/>
          </rPr>
          <t>_x000D_
131937</t>
        </r>
      </text>
    </comment>
    <comment ref="B613" authorId="0" shapeId="0" xr:uid="{D64EB496-C267-4CFE-B519-2EEEB4182D24}">
      <text>
        <r>
          <rPr>
            <sz val="10"/>
            <color indexed="81"/>
            <rFont val="Lucida Console"/>
            <family val="3"/>
          </rPr>
          <t xml:space="preserve">DESCRIÇÃO DETALHADA_x000D_
PINCEL PARA PINTURA, CABO EM MADEIRA CURTO, FORMATO BROXA REDONDO, CERDA GRIS, TAMANHO 4. </t>
        </r>
      </text>
    </comment>
    <comment ref="W613" authorId="0" shapeId="0" xr:uid="{5432D15C-154F-4524-B17D-3D987ECB781C}">
      <text>
        <r>
          <rPr>
            <sz val="10"/>
            <color indexed="81"/>
            <rFont val="Lucida Console"/>
            <family val="3"/>
          </rPr>
          <t>_x000D_
Pedagógico</t>
        </r>
      </text>
    </comment>
    <comment ref="X613" authorId="0" shapeId="0" xr:uid="{399DD283-0D3B-4ACD-B3C4-463B5A8A9238}">
      <text>
        <r>
          <rPr>
            <sz val="10"/>
            <color indexed="81"/>
            <rFont val="Lucida Console"/>
            <family val="3"/>
          </rPr>
          <t>_x000D_
MAQ., EQUIP., COMP., ACES., MAT. PARA ESCRIT.E ESCOLAR</t>
        </r>
      </text>
    </comment>
    <comment ref="Y613" authorId="0" shapeId="0" xr:uid="{43B2FEB6-8B5E-48F9-9942-EEAD0F3BE664}">
      <text>
        <r>
          <rPr>
            <sz val="10"/>
            <color indexed="81"/>
            <rFont val="Lucida Console"/>
            <family val="3"/>
          </rPr>
          <t>_x000D_
LAPIS, BORRACHA, APONTADORES, REGUAS E CORRETIVOS P/ ESCRIT.</t>
        </r>
      </text>
    </comment>
    <comment ref="AW613" authorId="0" shapeId="0" xr:uid="{15EFED77-DC0C-483C-B572-2CA082F49E6A}">
      <text>
        <r>
          <rPr>
            <sz val="10"/>
            <color indexed="81"/>
            <rFont val="Lucida Console"/>
            <family val="3"/>
          </rPr>
          <t>Tempo de Estoque (Meses)_x000D_
_x000D_
1.313,0</t>
        </r>
      </text>
    </comment>
    <comment ref="A614" authorId="0" shapeId="0" xr:uid="{4BFB8A6C-B889-4874-A130-85D77B57EC64}">
      <text>
        <r>
          <rPr>
            <sz val="10"/>
            <color indexed="81"/>
            <rFont val="Lucida Console"/>
            <family val="3"/>
          </rPr>
          <t>_x000D_
135297</t>
        </r>
      </text>
    </comment>
    <comment ref="B614" authorId="0" shapeId="0" xr:uid="{96CC1373-DB56-4B6A-A22B-26D886435EAB}">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614" authorId="0" shapeId="0" xr:uid="{19791BD8-0C62-4291-A00B-49A8D1007651}">
      <text>
        <r>
          <rPr>
            <sz val="10"/>
            <color indexed="81"/>
            <rFont val="Lucida Console"/>
            <family val="3"/>
          </rPr>
          <t>_x000D_
Pedagógico</t>
        </r>
      </text>
    </comment>
    <comment ref="X614" authorId="0" shapeId="0" xr:uid="{87BDE20D-E49A-45F7-9C83-E864D3CC2E71}">
      <text>
        <r>
          <rPr>
            <sz val="10"/>
            <color indexed="81"/>
            <rFont val="Lucida Console"/>
            <family val="3"/>
          </rPr>
          <t>_x000D_
MAQ., EQUIP., COMP., ACES., MAT. PARA ESCRIT.E ESCOLAR</t>
        </r>
      </text>
    </comment>
    <comment ref="Y614" authorId="0" shapeId="0" xr:uid="{B5C42C52-13BD-479A-9C75-B04FE4265A81}">
      <text>
        <r>
          <rPr>
            <sz val="10"/>
            <color indexed="81"/>
            <rFont val="Lucida Console"/>
            <family val="3"/>
          </rPr>
          <t>_x000D_
LAPIS, BORRACHA, APONTADORES, REGUAS E CORRETIVOS P/ ESCRIT.</t>
        </r>
      </text>
    </comment>
    <comment ref="AW614" authorId="0" shapeId="0" xr:uid="{1DD5B150-44AC-47EF-8DC7-43F7DBC1EA21}">
      <text>
        <r>
          <rPr>
            <sz val="10"/>
            <color indexed="81"/>
            <rFont val="Lucida Console"/>
            <family val="3"/>
          </rPr>
          <t>Tempo de Estoque (Meses)_x000D_
_x000D_
1.472,0</t>
        </r>
      </text>
    </comment>
    <comment ref="A615" authorId="0" shapeId="0" xr:uid="{2AEFEB3B-386C-4427-9A2A-2BB7EC25F1B0}">
      <text>
        <r>
          <rPr>
            <sz val="10"/>
            <color indexed="81"/>
            <rFont val="Lucida Console"/>
            <family val="3"/>
          </rPr>
          <t>_x000D_
138450</t>
        </r>
      </text>
    </comment>
    <comment ref="B615" authorId="0" shapeId="0" xr:uid="{1D57F1BC-9FF1-4AC7-BE55-023002004CD5}">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615" authorId="0" shapeId="0" xr:uid="{F44E3A7F-37EA-45C1-92A1-B2BEEDAA87D7}">
      <text>
        <r>
          <rPr>
            <sz val="10"/>
            <color indexed="81"/>
            <rFont val="Lucida Console"/>
            <family val="3"/>
          </rPr>
          <t>_x000D_
Pedagógico</t>
        </r>
      </text>
    </comment>
    <comment ref="X615" authorId="0" shapeId="0" xr:uid="{050D769F-570F-4059-8270-2A499FD28B23}">
      <text>
        <r>
          <rPr>
            <sz val="10"/>
            <color indexed="81"/>
            <rFont val="Lucida Console"/>
            <family val="3"/>
          </rPr>
          <t>_x000D_
MAQ., EQUIP., COMP., ACES., MAT. PARA ESCRIT.E ESCOLAR</t>
        </r>
      </text>
    </comment>
    <comment ref="Y615" authorId="0" shapeId="0" xr:uid="{724B19DD-F811-439E-A214-CA18BAE449B5}">
      <text>
        <r>
          <rPr>
            <sz val="10"/>
            <color indexed="81"/>
            <rFont val="Lucida Console"/>
            <family val="3"/>
          </rPr>
          <t>_x000D_
LAPIS, BORRACHA, APONTADORES, REGUAS E CORRETIVOS P/ ESCRIT.</t>
        </r>
      </text>
    </comment>
    <comment ref="AW615" authorId="0" shapeId="0" xr:uid="{65EBD90E-8422-4E44-8F9A-F268E053EAD2}">
      <text>
        <r>
          <rPr>
            <sz val="10"/>
            <color indexed="81"/>
            <rFont val="Lucida Console"/>
            <family val="3"/>
          </rPr>
          <t>Tempo de Estoque (Meses)_x000D_
_x000D_
18.310,0</t>
        </r>
      </text>
    </comment>
    <comment ref="A616" authorId="0" shapeId="0" xr:uid="{26CAAF9C-9822-470E-AEEF-ACE8AC9CFA6E}">
      <text>
        <r>
          <rPr>
            <sz val="10"/>
            <color indexed="81"/>
            <rFont val="Lucida Console"/>
            <family val="3"/>
          </rPr>
          <t>_x000D_
138451</t>
        </r>
      </text>
    </comment>
    <comment ref="B616" authorId="0" shapeId="0" xr:uid="{81B0ECFF-F1E0-4186-8315-7BCCF3B155BA}">
      <text>
        <r>
          <rPr>
            <sz val="10"/>
            <color indexed="81"/>
            <rFont val="Lucida Console"/>
            <family val="3"/>
          </rPr>
          <t>DESCRIÇÃO DETALHADA_x000D_
BORRACHA BRANCA COMUM NUMERO 20 (SEM CINTA), CONFECCIONADA EM MATERIAL NATURAL E MACIO, ATOXICA. APLICAVEL PARA QUALQUER SUPERFICIE E GRADUACAO DE GRAFITE. MEDIDA: 40MM X 30MM X 10MM (VARIACAO +/- 2MM). PRODUTO CERTIFICADO PELO INMETRO.</t>
        </r>
      </text>
    </comment>
    <comment ref="W616" authorId="0" shapeId="0" xr:uid="{026BD638-D682-4CB9-B2EC-3626E9BBC558}">
      <text>
        <r>
          <rPr>
            <sz val="10"/>
            <color indexed="81"/>
            <rFont val="Lucida Console"/>
            <family val="3"/>
          </rPr>
          <t>_x000D_
Pedagógico</t>
        </r>
      </text>
    </comment>
    <comment ref="X616" authorId="0" shapeId="0" xr:uid="{5F4E1F1C-0C88-4FE9-B033-05D92A7B473D}">
      <text>
        <r>
          <rPr>
            <sz val="10"/>
            <color indexed="81"/>
            <rFont val="Lucida Console"/>
            <family val="3"/>
          </rPr>
          <t>_x000D_
MAQ., EQUIP., COMP., ACES., MAT. PARA ESCRIT.E ESCOLAR</t>
        </r>
      </text>
    </comment>
    <comment ref="Y616" authorId="0" shapeId="0" xr:uid="{3747DE7D-0EAE-4D23-9C78-D471B53680F0}">
      <text>
        <r>
          <rPr>
            <sz val="10"/>
            <color indexed="81"/>
            <rFont val="Lucida Console"/>
            <family val="3"/>
          </rPr>
          <t>_x000D_
LAPIS, BORRACHA, APONTADORES, REGUAS E CORRETIVOS P/ ESCRIT.</t>
        </r>
      </text>
    </comment>
    <comment ref="AW616" authorId="0" shapeId="0" xr:uid="{55CC6E4D-1F8F-4BCA-B0FE-42405B31C9DF}">
      <text>
        <r>
          <rPr>
            <sz val="10"/>
            <color indexed="81"/>
            <rFont val="Lucida Console"/>
            <family val="3"/>
          </rPr>
          <t>Tempo de Estoque (Meses)_x000D_
_x000D_
57.521,0</t>
        </r>
      </text>
    </comment>
    <comment ref="A617" authorId="0" shapeId="0" xr:uid="{5869C533-AEF1-455C-A202-A48CBDF6FF67}">
      <text>
        <r>
          <rPr>
            <sz val="10"/>
            <color indexed="81"/>
            <rFont val="Lucida Console"/>
            <family val="3"/>
          </rPr>
          <t>_x000D_
138461</t>
        </r>
      </text>
    </comment>
    <comment ref="B617" authorId="0" shapeId="0" xr:uid="{D6D9224D-DFB3-44AD-9F23-EC0AFDE800E5}">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617" authorId="0" shapeId="0" xr:uid="{C68919FA-9CA3-4F63-8107-8129DD228E90}">
      <text>
        <r>
          <rPr>
            <sz val="10"/>
            <color indexed="81"/>
            <rFont val="Lucida Console"/>
            <family val="3"/>
          </rPr>
          <t>_x000D_
Pedagógico</t>
        </r>
      </text>
    </comment>
    <comment ref="X617" authorId="0" shapeId="0" xr:uid="{EA4E021B-2C08-4E48-A847-4A58686B6851}">
      <text>
        <r>
          <rPr>
            <sz val="10"/>
            <color indexed="81"/>
            <rFont val="Lucida Console"/>
            <family val="3"/>
          </rPr>
          <t>_x000D_
MAQ., EQUIP., COMP., ACES., MAT. PARA ESCRIT.E ESCOLAR</t>
        </r>
      </text>
    </comment>
    <comment ref="Y617" authorId="0" shapeId="0" xr:uid="{8601C8DA-281B-4EAF-998A-62E2D1224D51}">
      <text>
        <r>
          <rPr>
            <sz val="10"/>
            <color indexed="81"/>
            <rFont val="Lucida Console"/>
            <family val="3"/>
          </rPr>
          <t>_x000D_
LAPIS, BORRACHA, APONTADORES, REGUAS E CORRETIVOS P/ ESCRIT.</t>
        </r>
      </text>
    </comment>
    <comment ref="AW617" authorId="0" shapeId="0" xr:uid="{825CD275-F808-4466-8789-F1931640E60A}">
      <text>
        <r>
          <rPr>
            <sz val="10"/>
            <color indexed="81"/>
            <rFont val="Lucida Console"/>
            <family val="3"/>
          </rPr>
          <t>Tempo de Estoque (Meses)_x000D_
_x000D_
4.972,0</t>
        </r>
      </text>
    </comment>
    <comment ref="A618" authorId="0" shapeId="0" xr:uid="{3A7308AE-80B9-4EA3-B91E-89EE726F7EDB}">
      <text>
        <r>
          <rPr>
            <sz val="10"/>
            <color indexed="81"/>
            <rFont val="Lucida Console"/>
            <family val="3"/>
          </rPr>
          <t>_x000D_
138463</t>
        </r>
      </text>
    </comment>
    <comment ref="B618" authorId="0" shapeId="0" xr:uid="{AA02CF49-2CA9-47FE-84F9-4C9A2514C12F}">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618" authorId="0" shapeId="0" xr:uid="{46ECC06E-8BD1-438F-8FEA-EBE191EB065C}">
      <text>
        <r>
          <rPr>
            <sz val="10"/>
            <color indexed="81"/>
            <rFont val="Lucida Console"/>
            <family val="3"/>
          </rPr>
          <t>_x000D_
Pedagógico</t>
        </r>
      </text>
    </comment>
    <comment ref="X618" authorId="0" shapeId="0" xr:uid="{8A39319D-BA02-4CE1-B30F-C420EFC2C852}">
      <text>
        <r>
          <rPr>
            <sz val="10"/>
            <color indexed="81"/>
            <rFont val="Lucida Console"/>
            <family val="3"/>
          </rPr>
          <t>_x000D_
MAQ., EQUIP., COMP., ACES., MAT. PARA ESCRIT.E ESCOLAR</t>
        </r>
      </text>
    </comment>
    <comment ref="Y618" authorId="0" shapeId="0" xr:uid="{5E7428F0-3F17-483D-AB21-3132EE9B4890}">
      <text>
        <r>
          <rPr>
            <sz val="10"/>
            <color indexed="81"/>
            <rFont val="Lucida Console"/>
            <family val="3"/>
          </rPr>
          <t>_x000D_
LAPIS, BORRACHA, APONTADORES, REGUAS E CORRETIVOS P/ ESCRIT.</t>
        </r>
      </text>
    </comment>
    <comment ref="AW618" authorId="0" shapeId="0" xr:uid="{D9330F71-3BDB-4542-A620-7B91FC5624D5}">
      <text>
        <r>
          <rPr>
            <sz val="10"/>
            <color indexed="81"/>
            <rFont val="Lucida Console"/>
            <family val="3"/>
          </rPr>
          <t>Tempo de Estoque (Meses)_x000D_
_x000D_
22.837,0</t>
        </r>
      </text>
    </comment>
    <comment ref="A619" authorId="0" shapeId="0" xr:uid="{B62212D3-671C-4CF4-AB1F-FA43E875C229}">
      <text>
        <r>
          <rPr>
            <sz val="10"/>
            <color indexed="81"/>
            <rFont val="Lucida Console"/>
            <family val="3"/>
          </rPr>
          <t>_x000D_
138464</t>
        </r>
      </text>
    </comment>
    <comment ref="B619" authorId="0" shapeId="0" xr:uid="{75A5EB8B-6940-44EE-B3D0-3D0D1BF35F72}">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619" authorId="0" shapeId="0" xr:uid="{7BE0DE53-A3E2-40E6-AE43-385CFF8D075C}">
      <text>
        <r>
          <rPr>
            <sz val="10"/>
            <color indexed="81"/>
            <rFont val="Lucida Console"/>
            <family val="3"/>
          </rPr>
          <t>_x000D_
Pedagógico</t>
        </r>
      </text>
    </comment>
    <comment ref="X619" authorId="0" shapeId="0" xr:uid="{98871D5B-ECAB-4D73-81C3-E2BC2670A4E3}">
      <text>
        <r>
          <rPr>
            <sz val="10"/>
            <color indexed="81"/>
            <rFont val="Lucida Console"/>
            <family val="3"/>
          </rPr>
          <t>_x000D_
MAQ., EQUIP., COMP., ACES., MAT. PARA ESCRIT.E ESCOLAR</t>
        </r>
      </text>
    </comment>
    <comment ref="Y619" authorId="0" shapeId="0" xr:uid="{BEE0E55D-2C59-4460-B34C-A051D7664FD6}">
      <text>
        <r>
          <rPr>
            <sz val="10"/>
            <color indexed="81"/>
            <rFont val="Lucida Console"/>
            <family val="3"/>
          </rPr>
          <t>_x000D_
LAPIS, BORRACHA, APONTADORES, REGUAS E CORRETIVOS P/ ESCRIT.</t>
        </r>
      </text>
    </comment>
    <comment ref="AW619" authorId="0" shapeId="0" xr:uid="{C9F01F53-4AE8-497D-8112-F7C3AB68BC49}">
      <text>
        <r>
          <rPr>
            <sz val="10"/>
            <color indexed="81"/>
            <rFont val="Lucida Console"/>
            <family val="3"/>
          </rPr>
          <t>Tempo de Estoque (Meses)_x000D_
_x000D_
60.181,0</t>
        </r>
      </text>
    </comment>
    <comment ref="A620" authorId="0" shapeId="0" xr:uid="{2CA1763A-A18A-4FFC-AB0F-FCE733D8469C}">
      <text>
        <r>
          <rPr>
            <sz val="10"/>
            <color indexed="81"/>
            <rFont val="Lucida Console"/>
            <family val="3"/>
          </rPr>
          <t>_x000D_
139141</t>
        </r>
      </text>
    </comment>
    <comment ref="B620" authorId="0" shapeId="0" xr:uid="{16434A96-6D13-449A-9741-B322C8C86124}">
      <text>
        <r>
          <rPr>
            <sz val="10"/>
            <color indexed="81"/>
            <rFont val="Lucida Console"/>
            <family val="3"/>
          </rPr>
          <t>DESCRIÇÃO DETALHADA_x000D_
PINCEL PARA PINTURA, CABO EM MADEIRA (CURTO OU LONGO), FORMATO CHATO, CERDA BRANCA, TAMANHO 12.</t>
        </r>
      </text>
    </comment>
    <comment ref="W620" authorId="0" shapeId="0" xr:uid="{EDC53E09-3A86-44EA-9A4B-28CAA9EC344F}">
      <text>
        <r>
          <rPr>
            <sz val="10"/>
            <color indexed="81"/>
            <rFont val="Lucida Console"/>
            <family val="3"/>
          </rPr>
          <t>_x000D_
Pedagógico</t>
        </r>
      </text>
    </comment>
    <comment ref="X620" authorId="0" shapeId="0" xr:uid="{BE518601-F4EC-45D6-87A4-2AE11A149D23}">
      <text>
        <r>
          <rPr>
            <sz val="10"/>
            <color indexed="81"/>
            <rFont val="Lucida Console"/>
            <family val="3"/>
          </rPr>
          <t>_x000D_
MAQ., EQUIP., COMP., ACES., MAT. PARA ESCRIT.E ESCOLAR</t>
        </r>
      </text>
    </comment>
    <comment ref="Y620" authorId="0" shapeId="0" xr:uid="{A14044A3-F42A-4EB0-B164-8430FE1D791C}">
      <text>
        <r>
          <rPr>
            <sz val="10"/>
            <color indexed="81"/>
            <rFont val="Lucida Console"/>
            <family val="3"/>
          </rPr>
          <t>_x000D_
LAPIS, BORRACHA, APONTADORES, REGUAS E CORRETIVOS P/ ESCRIT.</t>
        </r>
      </text>
    </comment>
    <comment ref="AW620" authorId="0" shapeId="0" xr:uid="{745AA7E0-38E2-43DF-B68A-D494D3D9B47F}">
      <text>
        <r>
          <rPr>
            <sz val="10"/>
            <color indexed="81"/>
            <rFont val="Lucida Console"/>
            <family val="3"/>
          </rPr>
          <t>Tempo de Estoque (Meses)_x000D_
_x000D_
1.706,0</t>
        </r>
      </text>
    </comment>
    <comment ref="A621" authorId="0" shapeId="0" xr:uid="{1A2FDED3-5B13-400D-AD01-11F920653CB7}">
      <text>
        <r>
          <rPr>
            <sz val="10"/>
            <color indexed="81"/>
            <rFont val="Lucida Console"/>
            <family val="3"/>
          </rPr>
          <t>_x000D_
139142</t>
        </r>
      </text>
    </comment>
    <comment ref="B621" authorId="0" shapeId="0" xr:uid="{A4546DCC-3981-41F8-B1A3-F49508F779C3}">
      <text>
        <r>
          <rPr>
            <sz val="10"/>
            <color indexed="81"/>
            <rFont val="Lucida Console"/>
            <family val="3"/>
          </rPr>
          <t>DESCRIÇÃO DETALHADA_x000D_
PINCEL PARA PINTURA, CABO EM MADEIRA (CURTO OU LONGO), FORMATO CHATO, CERDA BRANCA, TAMANHO 16.</t>
        </r>
      </text>
    </comment>
    <comment ref="W621" authorId="0" shapeId="0" xr:uid="{558A05B2-8EAB-4F5E-BCAC-DD4D5D754907}">
      <text>
        <r>
          <rPr>
            <sz val="10"/>
            <color indexed="81"/>
            <rFont val="Lucida Console"/>
            <family val="3"/>
          </rPr>
          <t>_x000D_
Pedagógico</t>
        </r>
      </text>
    </comment>
    <comment ref="X621" authorId="0" shapeId="0" xr:uid="{DC5755E2-B346-4978-986B-01F1263FEECC}">
      <text>
        <r>
          <rPr>
            <sz val="10"/>
            <color indexed="81"/>
            <rFont val="Lucida Console"/>
            <family val="3"/>
          </rPr>
          <t>_x000D_
MAQ., EQUIP., COMP., ACES., MAT. PARA ESCRIT.E ESCOLAR</t>
        </r>
      </text>
    </comment>
    <comment ref="Y621" authorId="0" shapeId="0" xr:uid="{9A9752AD-BB8F-41E3-AE25-CDF671DBBF58}">
      <text>
        <r>
          <rPr>
            <sz val="10"/>
            <color indexed="81"/>
            <rFont val="Lucida Console"/>
            <family val="3"/>
          </rPr>
          <t>_x000D_
LAPIS, BORRACHA, APONTADORES, REGUAS E CORRETIVOS P/ ESCRIT.</t>
        </r>
      </text>
    </comment>
    <comment ref="AW621" authorId="0" shapeId="0" xr:uid="{973079B9-8626-432E-ADDC-E1B0BEC2CD62}">
      <text>
        <r>
          <rPr>
            <sz val="10"/>
            <color indexed="81"/>
            <rFont val="Lucida Console"/>
            <family val="3"/>
          </rPr>
          <t>Tempo de Estoque (Meses)_x000D_
_x000D_
1.746,0</t>
        </r>
      </text>
    </comment>
    <comment ref="A622" authorId="0" shapeId="0" xr:uid="{603BA067-75A8-4595-87FE-5F3B81C3FA95}">
      <text>
        <r>
          <rPr>
            <sz val="10"/>
            <color indexed="81"/>
            <rFont val="Lucida Console"/>
            <family val="3"/>
          </rPr>
          <t>_x000D_
139143</t>
        </r>
      </text>
    </comment>
    <comment ref="B622" authorId="0" shapeId="0" xr:uid="{F6518CF1-C20A-40BD-9AE6-3B7B59491DBE}">
      <text>
        <r>
          <rPr>
            <sz val="10"/>
            <color indexed="81"/>
            <rFont val="Lucida Console"/>
            <family val="3"/>
          </rPr>
          <t>DESCRIÇÃO DETALHADA_x000D_
PINCEL PARA PINTURA, CABO EM MADEIRA (CURTO OU LONGO), FORMATO CHATO, CERDA BRANCA, TAMANHO 20.</t>
        </r>
      </text>
    </comment>
    <comment ref="W622" authorId="0" shapeId="0" xr:uid="{AFE61FD7-86A4-4A38-B37C-603E1EC0ECD0}">
      <text>
        <r>
          <rPr>
            <sz val="10"/>
            <color indexed="81"/>
            <rFont val="Lucida Console"/>
            <family val="3"/>
          </rPr>
          <t>_x000D_
Pedagógico</t>
        </r>
      </text>
    </comment>
    <comment ref="X622" authorId="0" shapeId="0" xr:uid="{F9E6FB5B-C508-4ADA-8ECF-594FB0B2401D}">
      <text>
        <r>
          <rPr>
            <sz val="10"/>
            <color indexed="81"/>
            <rFont val="Lucida Console"/>
            <family val="3"/>
          </rPr>
          <t>_x000D_
MAQ., EQUIP., COMP., ACES., MAT. PARA ESCRIT.E ESCOLAR</t>
        </r>
      </text>
    </comment>
    <comment ref="Y622" authorId="0" shapeId="0" xr:uid="{ECEAEFC7-ED34-4C4A-90F4-4D62C8A72405}">
      <text>
        <r>
          <rPr>
            <sz val="10"/>
            <color indexed="81"/>
            <rFont val="Lucida Console"/>
            <family val="3"/>
          </rPr>
          <t>_x000D_
LAPIS, BORRACHA, APONTADORES, REGUAS E CORRETIVOS P/ ESCRIT.</t>
        </r>
      </text>
    </comment>
    <comment ref="AW622" authorId="0" shapeId="0" xr:uid="{AF5BDC8B-B9AC-4BD3-BD0F-F8357192EBCC}">
      <text>
        <r>
          <rPr>
            <sz val="10"/>
            <color indexed="81"/>
            <rFont val="Lucida Console"/>
            <family val="3"/>
          </rPr>
          <t>Tempo de Estoque (Meses)_x000D_
_x000D_
1.350,0</t>
        </r>
      </text>
    </comment>
    <comment ref="A623" authorId="0" shapeId="0" xr:uid="{5627D9A0-FA65-48FD-8BA6-82F1043357B5}">
      <text>
        <r>
          <rPr>
            <sz val="10"/>
            <color indexed="81"/>
            <rFont val="Lucida Console"/>
            <family val="3"/>
          </rPr>
          <t>_x000D_
139144</t>
        </r>
      </text>
    </comment>
    <comment ref="B623" authorId="0" shapeId="0" xr:uid="{EB5462D3-1A78-4B00-A3B4-BD2441FEB706}">
      <text>
        <r>
          <rPr>
            <sz val="10"/>
            <color indexed="81"/>
            <rFont val="Lucida Console"/>
            <family val="3"/>
          </rPr>
          <t>DESCRIÇÃO DETALHADA_x000D_
PINCEL PARA PINTURA, CABO EM MADEIRA (CURTO OU LONGO), FORMATO CHATO, CERDA BRANCA, TAMANHO 24.</t>
        </r>
      </text>
    </comment>
    <comment ref="W623" authorId="0" shapeId="0" xr:uid="{CB51705E-F492-45B2-A5E3-694A01DE900D}">
      <text>
        <r>
          <rPr>
            <sz val="10"/>
            <color indexed="81"/>
            <rFont val="Lucida Console"/>
            <family val="3"/>
          </rPr>
          <t>_x000D_
Pedagógico</t>
        </r>
      </text>
    </comment>
    <comment ref="X623" authorId="0" shapeId="0" xr:uid="{EE10595D-5AA2-4FE1-A598-121E031D73DA}">
      <text>
        <r>
          <rPr>
            <sz val="10"/>
            <color indexed="81"/>
            <rFont val="Lucida Console"/>
            <family val="3"/>
          </rPr>
          <t>_x000D_
MAQ., EQUIP., COMP., ACES., MAT. PARA ESCRIT.E ESCOLAR</t>
        </r>
      </text>
    </comment>
    <comment ref="Y623" authorId="0" shapeId="0" xr:uid="{FC9DA73D-C914-4C55-A561-9214DBAB0C60}">
      <text>
        <r>
          <rPr>
            <sz val="10"/>
            <color indexed="81"/>
            <rFont val="Lucida Console"/>
            <family val="3"/>
          </rPr>
          <t>_x000D_
LAPIS, BORRACHA, APONTADORES, REGUAS E CORRETIVOS P/ ESCRIT.</t>
        </r>
      </text>
    </comment>
    <comment ref="AW623" authorId="0" shapeId="0" xr:uid="{50B6F784-DE1A-4486-822E-27ED5878B0A4}">
      <text>
        <r>
          <rPr>
            <sz val="10"/>
            <color indexed="81"/>
            <rFont val="Lucida Console"/>
            <family val="3"/>
          </rPr>
          <t>Tempo de Estoque (Meses)_x000D_
_x000D_
1.742,0</t>
        </r>
      </text>
    </comment>
    <comment ref="A624" authorId="0" shapeId="0" xr:uid="{D33FC66B-E052-43C0-959E-739C584DA3DD}">
      <text>
        <r>
          <rPr>
            <sz val="10"/>
            <color indexed="81"/>
            <rFont val="Lucida Console"/>
            <family val="3"/>
          </rPr>
          <t>_x000D_
11418</t>
        </r>
      </text>
    </comment>
    <comment ref="B624" authorId="0" shapeId="0" xr:uid="{ACCC4644-3215-4822-B798-7E358B6A119C}">
      <text>
        <r>
          <rPr>
            <sz val="10"/>
            <color indexed="81"/>
            <rFont val="Lucida Console"/>
            <family val="3"/>
          </rPr>
          <t>DESCRIÇÃO DETALHADA_x000D_
CANETA P/ RETROPROJETOR - PRETA, PONTA 2 MM</t>
        </r>
      </text>
    </comment>
    <comment ref="W624" authorId="0" shapeId="0" xr:uid="{19352A7E-821B-4602-A3F8-22F7CA79C76D}">
      <text>
        <r>
          <rPr>
            <sz val="10"/>
            <color indexed="81"/>
            <rFont val="Lucida Console"/>
            <family val="3"/>
          </rPr>
          <t>_x000D_
Pedagógico</t>
        </r>
      </text>
    </comment>
    <comment ref="X624" authorId="0" shapeId="0" xr:uid="{9274A682-53F3-4463-8E4A-10E34A272A35}">
      <text>
        <r>
          <rPr>
            <sz val="10"/>
            <color indexed="81"/>
            <rFont val="Lucida Console"/>
            <family val="3"/>
          </rPr>
          <t>_x000D_
MAQ., EQUIP., COMP., ACES., MAT. PARA ESCRIT.E ESCOLAR</t>
        </r>
      </text>
    </comment>
    <comment ref="Y624" authorId="0" shapeId="0" xr:uid="{056E499E-DC85-4A21-B496-9C7E2663D5CB}">
      <text>
        <r>
          <rPr>
            <sz val="10"/>
            <color indexed="81"/>
            <rFont val="Lucida Console"/>
            <family val="3"/>
          </rPr>
          <t>_x000D_
CANETAS</t>
        </r>
      </text>
    </comment>
    <comment ref="AW624" authorId="0" shapeId="0" xr:uid="{A40B4256-55C0-4169-9329-0B313F654EA1}">
      <text>
        <r>
          <rPr>
            <sz val="10"/>
            <color indexed="81"/>
            <rFont val="Lucida Console"/>
            <family val="3"/>
          </rPr>
          <t>Tempo de Estoque (Meses)_x000D_
_x000D_
2.449,0</t>
        </r>
      </text>
    </comment>
    <comment ref="A625" authorId="0" shapeId="0" xr:uid="{869819DA-791D-4E00-B7E3-CCAB314A9C9A}">
      <text>
        <r>
          <rPr>
            <sz val="10"/>
            <color indexed="81"/>
            <rFont val="Lucida Console"/>
            <family val="3"/>
          </rPr>
          <t>_x000D_
11509</t>
        </r>
      </text>
    </comment>
    <comment ref="B625" authorId="0" shapeId="0" xr:uid="{A5D9982C-B8E3-4292-AD83-BDC9D0182397}">
      <text>
        <r>
          <rPr>
            <sz val="10"/>
            <color indexed="81"/>
            <rFont val="Lucida Console"/>
            <family val="3"/>
          </rPr>
          <t>DESCRIÇÃO DETALHADA_x000D_
CANETA P/ RETROPROJETOR - VERMELHA, PONTA 2 MM</t>
        </r>
      </text>
    </comment>
    <comment ref="W625" authorId="0" shapeId="0" xr:uid="{FED759BA-32AD-4F8C-AAB8-F049E18CE0CE}">
      <text>
        <r>
          <rPr>
            <sz val="10"/>
            <color indexed="81"/>
            <rFont val="Lucida Console"/>
            <family val="3"/>
          </rPr>
          <t>_x000D_
Pedagógico</t>
        </r>
      </text>
    </comment>
    <comment ref="X625" authorId="0" shapeId="0" xr:uid="{18498D45-AE40-4744-BA3B-45E39CF87C3F}">
      <text>
        <r>
          <rPr>
            <sz val="10"/>
            <color indexed="81"/>
            <rFont val="Lucida Console"/>
            <family val="3"/>
          </rPr>
          <t>_x000D_
MAQ., EQUIP., COMP., ACES., MAT. PARA ESCRIT.E ESCOLAR</t>
        </r>
      </text>
    </comment>
    <comment ref="Y625" authorId="0" shapeId="0" xr:uid="{5B6B943E-AB4B-4490-B40C-F39BCDFD3DBC}">
      <text>
        <r>
          <rPr>
            <sz val="10"/>
            <color indexed="81"/>
            <rFont val="Lucida Console"/>
            <family val="3"/>
          </rPr>
          <t>_x000D_
CANETAS</t>
        </r>
      </text>
    </comment>
    <comment ref="AW625" authorId="0" shapeId="0" xr:uid="{57D8547E-FCAB-4C9B-A5C0-7D6FDADA7D67}">
      <text>
        <r>
          <rPr>
            <sz val="10"/>
            <color indexed="81"/>
            <rFont val="Lucida Console"/>
            <family val="3"/>
          </rPr>
          <t>Tempo de Estoque (Meses)_x000D_
_x000D_
2.933,0</t>
        </r>
      </text>
    </comment>
    <comment ref="A626" authorId="0" shapeId="0" xr:uid="{84292010-7098-43F5-8510-5A77AB9B9B95}">
      <text>
        <r>
          <rPr>
            <sz val="10"/>
            <color indexed="81"/>
            <rFont val="Lucida Console"/>
            <family val="3"/>
          </rPr>
          <t>_x000D_
132646</t>
        </r>
      </text>
    </comment>
    <comment ref="B626" authorId="0" shapeId="0" xr:uid="{87A31B0C-B4F8-492B-9F31-010525BCDF2C}">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626" authorId="0" shapeId="0" xr:uid="{CA0F5BF6-C9B4-4F60-8195-7EC8C614D875}">
      <text>
        <r>
          <rPr>
            <sz val="10"/>
            <color indexed="81"/>
            <rFont val="Lucida Console"/>
            <family val="3"/>
          </rPr>
          <t>_x000D_
Pedagógico</t>
        </r>
      </text>
    </comment>
    <comment ref="X626" authorId="0" shapeId="0" xr:uid="{E107FFDA-F150-42B2-99BD-C12551B546F4}">
      <text>
        <r>
          <rPr>
            <sz val="10"/>
            <color indexed="81"/>
            <rFont val="Lucida Console"/>
            <family val="3"/>
          </rPr>
          <t>_x000D_
MAQ., EQUIP., COMP., ACES., MAT. PARA ESCRIT.E ESCOLAR</t>
        </r>
      </text>
    </comment>
    <comment ref="Y626" authorId="0" shapeId="0" xr:uid="{FBA736F7-8A38-4D2F-81B7-BC45543F25B7}">
      <text>
        <r>
          <rPr>
            <sz val="10"/>
            <color indexed="81"/>
            <rFont val="Lucida Console"/>
            <family val="3"/>
          </rPr>
          <t>_x000D_
CANETAS</t>
        </r>
      </text>
    </comment>
    <comment ref="AW626" authorId="0" shapeId="0" xr:uid="{F50E6AC5-765C-47E5-AB22-075509776389}">
      <text>
        <r>
          <rPr>
            <sz val="10"/>
            <color indexed="81"/>
            <rFont val="Lucida Console"/>
            <family val="3"/>
          </rPr>
          <t>Tempo de Estoque (Meses)_x000D_
_x000D_
5.672,0</t>
        </r>
      </text>
    </comment>
    <comment ref="A627" authorId="0" shapeId="0" xr:uid="{24B9D98D-F03D-43AD-9211-84CADEEFCB70}">
      <text>
        <r>
          <rPr>
            <sz val="10"/>
            <color indexed="81"/>
            <rFont val="Lucida Console"/>
            <family val="3"/>
          </rPr>
          <t>_x000D_
132647</t>
        </r>
      </text>
    </comment>
    <comment ref="B627" authorId="0" shapeId="0" xr:uid="{715A046E-41A6-43E9-A0CE-6D7D8F6A2F29}">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627" authorId="0" shapeId="0" xr:uid="{1432BDE0-4DA8-4722-8707-5D0A7F038821}">
      <text>
        <r>
          <rPr>
            <sz val="10"/>
            <color indexed="81"/>
            <rFont val="Lucida Console"/>
            <family val="3"/>
          </rPr>
          <t>_x000D_
Pedagógico</t>
        </r>
      </text>
    </comment>
    <comment ref="X627" authorId="0" shapeId="0" xr:uid="{A6CD1479-4D41-48B4-B9B5-BDF2478737A5}">
      <text>
        <r>
          <rPr>
            <sz val="10"/>
            <color indexed="81"/>
            <rFont val="Lucida Console"/>
            <family val="3"/>
          </rPr>
          <t>_x000D_
MAQ., EQUIP., COMP., ACES., MAT. PARA ESCRIT.E ESCOLAR</t>
        </r>
      </text>
    </comment>
    <comment ref="Y627" authorId="0" shapeId="0" xr:uid="{E6247890-8C23-45AE-83FA-DFC87EE04A95}">
      <text>
        <r>
          <rPr>
            <sz val="10"/>
            <color indexed="81"/>
            <rFont val="Lucida Console"/>
            <family val="3"/>
          </rPr>
          <t>_x000D_
CANETAS</t>
        </r>
      </text>
    </comment>
    <comment ref="AW627" authorId="0" shapeId="0" xr:uid="{25121264-CD43-4671-B5E4-194A62E70D09}">
      <text>
        <r>
          <rPr>
            <sz val="10"/>
            <color indexed="81"/>
            <rFont val="Lucida Console"/>
            <family val="3"/>
          </rPr>
          <t>Tempo de Estoque (Meses)_x000D_
_x000D_
3.800,0</t>
        </r>
      </text>
    </comment>
    <comment ref="A628" authorId="0" shapeId="0" xr:uid="{E28643D3-B353-47DA-A765-513081D6777D}">
      <text>
        <r>
          <rPr>
            <sz val="10"/>
            <color indexed="81"/>
            <rFont val="Lucida Console"/>
            <family val="3"/>
          </rPr>
          <t>_x000D_
132649</t>
        </r>
      </text>
    </comment>
    <comment ref="B628" authorId="0" shapeId="0" xr:uid="{4A7F6080-BA01-46FD-90AC-F97EDA036E78}">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628" authorId="0" shapeId="0" xr:uid="{3A8F7AF9-9692-4C64-8829-9947BAD51DB7}">
      <text>
        <r>
          <rPr>
            <sz val="10"/>
            <color indexed="81"/>
            <rFont val="Lucida Console"/>
            <family val="3"/>
          </rPr>
          <t>_x000D_
Pedagógico</t>
        </r>
      </text>
    </comment>
    <comment ref="X628" authorId="0" shapeId="0" xr:uid="{8AA327A8-2FFB-4F1F-A5E7-162672BED441}">
      <text>
        <r>
          <rPr>
            <sz val="10"/>
            <color indexed="81"/>
            <rFont val="Lucida Console"/>
            <family val="3"/>
          </rPr>
          <t>_x000D_
MAQ., EQUIP., COMP., ACES., MAT. PARA ESCRIT.E ESCOLAR</t>
        </r>
      </text>
    </comment>
    <comment ref="Y628" authorId="0" shapeId="0" xr:uid="{2EA059CD-04FD-426F-9460-1632CF0F752D}">
      <text>
        <r>
          <rPr>
            <sz val="10"/>
            <color indexed="81"/>
            <rFont val="Lucida Console"/>
            <family val="3"/>
          </rPr>
          <t>_x000D_
CANETAS</t>
        </r>
      </text>
    </comment>
    <comment ref="AW628" authorId="0" shapeId="0" xr:uid="{FDD65AD0-1396-4A22-8D07-989296F043D2}">
      <text>
        <r>
          <rPr>
            <sz val="10"/>
            <color indexed="81"/>
            <rFont val="Lucida Console"/>
            <family val="3"/>
          </rPr>
          <t>Tempo de Estoque (Meses)_x000D_
_x000D_
4.300,0</t>
        </r>
      </text>
    </comment>
    <comment ref="A629" authorId="0" shapeId="0" xr:uid="{70528A81-A5C0-45CD-B5FE-41EA5521DF6D}">
      <text>
        <r>
          <rPr>
            <sz val="10"/>
            <color indexed="81"/>
            <rFont val="Lucida Console"/>
            <family val="3"/>
          </rPr>
          <t>_x000D_
132655</t>
        </r>
      </text>
    </comment>
    <comment ref="B629" authorId="0" shapeId="0" xr:uid="{D2248F4E-A7CE-4AF2-8AF7-EE85B22678BA}">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629" authorId="0" shapeId="0" xr:uid="{DCAB0EB5-FEEE-4844-8BE2-BFCFE14D24AE}">
      <text>
        <r>
          <rPr>
            <sz val="10"/>
            <color indexed="81"/>
            <rFont val="Lucida Console"/>
            <family val="3"/>
          </rPr>
          <t>_x000D_
Pedagógico</t>
        </r>
      </text>
    </comment>
    <comment ref="X629" authorId="0" shapeId="0" xr:uid="{455AF390-30AA-42E4-80CB-6CF1F4CA8C1B}">
      <text>
        <r>
          <rPr>
            <sz val="10"/>
            <color indexed="81"/>
            <rFont val="Lucida Console"/>
            <family val="3"/>
          </rPr>
          <t>_x000D_
MAQ., EQUIP., COMP., ACES., MAT. PARA ESCRIT.E ESCOLAR</t>
        </r>
      </text>
    </comment>
    <comment ref="Y629" authorId="0" shapeId="0" xr:uid="{1C427046-F0E7-4A6D-BA75-F5D04A449DE7}">
      <text>
        <r>
          <rPr>
            <sz val="10"/>
            <color indexed="81"/>
            <rFont val="Lucida Console"/>
            <family val="3"/>
          </rPr>
          <t>_x000D_
CANETAS</t>
        </r>
      </text>
    </comment>
    <comment ref="AW629" authorId="0" shapeId="0" xr:uid="{6CF73053-0930-4707-917E-8C29E85EA76E}">
      <text>
        <r>
          <rPr>
            <sz val="10"/>
            <color indexed="81"/>
            <rFont val="Lucida Console"/>
            <family val="3"/>
          </rPr>
          <t>Tempo de Estoque (Meses)_x000D_
_x000D_
4.384,0</t>
        </r>
      </text>
    </comment>
    <comment ref="A630" authorId="0" shapeId="0" xr:uid="{99FE2BA0-C7D8-4230-A063-B866592F7008}">
      <text>
        <r>
          <rPr>
            <sz val="10"/>
            <color indexed="81"/>
            <rFont val="Lucida Console"/>
            <family val="3"/>
          </rPr>
          <t>_x000D_
132656</t>
        </r>
      </text>
    </comment>
    <comment ref="B630" authorId="0" shapeId="0" xr:uid="{AFBA78FB-9DB7-4B88-8A93-D064F2AE7673}">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630" authorId="0" shapeId="0" xr:uid="{E3F3D60F-DDD2-41E5-9F3B-51EF79DBC48E}">
      <text>
        <r>
          <rPr>
            <sz val="10"/>
            <color indexed="81"/>
            <rFont val="Lucida Console"/>
            <family val="3"/>
          </rPr>
          <t>_x000D_
Pedagógico</t>
        </r>
      </text>
    </comment>
    <comment ref="X630" authorId="0" shapeId="0" xr:uid="{F2C8C03D-8DC5-4E75-BE39-F81828171B78}">
      <text>
        <r>
          <rPr>
            <sz val="10"/>
            <color indexed="81"/>
            <rFont val="Lucida Console"/>
            <family val="3"/>
          </rPr>
          <t>_x000D_
MAQ., EQUIP., COMP., ACES., MAT. PARA ESCRIT.E ESCOLAR</t>
        </r>
      </text>
    </comment>
    <comment ref="Y630" authorId="0" shapeId="0" xr:uid="{A3C62E42-1506-4D6A-812E-6BF305C71046}">
      <text>
        <r>
          <rPr>
            <sz val="10"/>
            <color indexed="81"/>
            <rFont val="Lucida Console"/>
            <family val="3"/>
          </rPr>
          <t>_x000D_
CANETAS</t>
        </r>
      </text>
    </comment>
    <comment ref="AW630" authorId="0" shapeId="0" xr:uid="{2797A215-ACE8-4666-A940-293B72A3F5AD}">
      <text>
        <r>
          <rPr>
            <sz val="10"/>
            <color indexed="81"/>
            <rFont val="Lucida Console"/>
            <family val="3"/>
          </rPr>
          <t>Tempo de Estoque (Meses)_x000D_
_x000D_
8.000,0</t>
        </r>
      </text>
    </comment>
    <comment ref="A631" authorId="0" shapeId="0" xr:uid="{F7526174-8BD3-44C8-861F-B3C959E4E31B}">
      <text>
        <r>
          <rPr>
            <sz val="10"/>
            <color indexed="81"/>
            <rFont val="Lucida Console"/>
            <family val="3"/>
          </rPr>
          <t>_x000D_
23581</t>
        </r>
      </text>
    </comment>
    <comment ref="B631" authorId="0" shapeId="0" xr:uid="{67E62B1D-5987-4FCB-AE52-0CD6BB96C3E1}">
      <text>
        <r>
          <rPr>
            <sz val="10"/>
            <color indexed="81"/>
            <rFont val="Lucida Console"/>
            <family val="3"/>
          </rPr>
          <t>DESCRIÇÃO DETALHADA_x000D_
ENVELOPE BRANCO - OFICIO - 114 X 229 MM- GRAMATURA MINIMA 63 G/M²</t>
        </r>
      </text>
    </comment>
    <comment ref="W631" authorId="0" shapeId="0" xr:uid="{A100B6C2-5982-49E7-A9A5-EBE27FA831C3}">
      <text>
        <r>
          <rPr>
            <sz val="10"/>
            <color indexed="81"/>
            <rFont val="Lucida Console"/>
            <family val="3"/>
          </rPr>
          <t>_x000D_
Pedagógico</t>
        </r>
      </text>
    </comment>
    <comment ref="X631" authorId="0" shapeId="0" xr:uid="{0032A9FC-206C-495E-9908-B0BA6CFFE853}">
      <text>
        <r>
          <rPr>
            <sz val="10"/>
            <color indexed="81"/>
            <rFont val="Lucida Console"/>
            <family val="3"/>
          </rPr>
          <t>_x000D_
MAQ., EQUIP., COMP., ACES., MAT. PARA ESCRIT.E ESCOLAR</t>
        </r>
      </text>
    </comment>
    <comment ref="Y631" authorId="0" shapeId="0" xr:uid="{8858397A-4FA6-4847-93AB-8DC4D0D52F4E}">
      <text>
        <r>
          <rPr>
            <sz val="10"/>
            <color indexed="81"/>
            <rFont val="Lucida Console"/>
            <family val="3"/>
          </rPr>
          <t>_x000D_
CAPAS, CLASSIF., PRANCHETAS, CADERNOS, ENVELOPES, PASTAS, FICHAS, LIVROS</t>
        </r>
      </text>
    </comment>
    <comment ref="AW631" authorId="0" shapeId="0" xr:uid="{1D58E11E-B38D-4DFD-9D9A-51C96EABB3A3}">
      <text>
        <r>
          <rPr>
            <sz val="10"/>
            <color indexed="81"/>
            <rFont val="Lucida Console"/>
            <family val="3"/>
          </rPr>
          <t>Tempo de Estoque (Meses)_x000D_
_x000D_
12.976,0</t>
        </r>
      </text>
    </comment>
    <comment ref="A632" authorId="0" shapeId="0" xr:uid="{42ED4566-D6DD-488F-8136-20A10FCB9913}">
      <text>
        <r>
          <rPr>
            <sz val="10"/>
            <color indexed="81"/>
            <rFont val="Lucida Console"/>
            <family val="3"/>
          </rPr>
          <t>_x000D_
59074</t>
        </r>
      </text>
    </comment>
    <comment ref="B632" authorId="0" shapeId="0" xr:uid="{7FC4B461-CBB4-47E7-905E-6F4B7C3FD63A}">
      <text>
        <r>
          <rPr>
            <sz val="10"/>
            <color indexed="81"/>
            <rFont val="Lucida Console"/>
            <family val="3"/>
          </rPr>
          <t>DESCRIÇÃO DETALHADA_x000D_
BLOCO P/ RECADOS AUTO COLANTE - MED 76 X 102 MM - BLOCO COM 100 UNIDADES</t>
        </r>
      </text>
    </comment>
    <comment ref="W632" authorId="0" shapeId="0" xr:uid="{886C4D32-E1FA-4535-8383-E75E6482B5ED}">
      <text>
        <r>
          <rPr>
            <sz val="10"/>
            <color indexed="81"/>
            <rFont val="Lucida Console"/>
            <family val="3"/>
          </rPr>
          <t>_x000D_
Pedagógico</t>
        </r>
      </text>
    </comment>
    <comment ref="X632" authorId="0" shapeId="0" xr:uid="{24E17532-5AE8-4BBE-8A5D-4E01F5F55617}">
      <text>
        <r>
          <rPr>
            <sz val="10"/>
            <color indexed="81"/>
            <rFont val="Lucida Console"/>
            <family val="3"/>
          </rPr>
          <t>_x000D_
MAQ., EQUIP., COMP., ACES., MAT. PARA ESCRIT.E ESCOLAR</t>
        </r>
      </text>
    </comment>
    <comment ref="Y632" authorId="0" shapeId="0" xr:uid="{14EBD970-36AC-4582-A53D-2993CDDF4697}">
      <text>
        <r>
          <rPr>
            <sz val="10"/>
            <color indexed="81"/>
            <rFont val="Lucida Console"/>
            <family val="3"/>
          </rPr>
          <t>_x000D_
CAPAS, CLASSIF., PRANCHETAS, CADERNOS, ENVELOPES, PASTAS, FICHAS, LIVROS</t>
        </r>
      </text>
    </comment>
    <comment ref="AW632" authorId="0" shapeId="0" xr:uid="{BCF4A3BE-F784-4880-9A89-2D1BFCD6B873}">
      <text>
        <r>
          <rPr>
            <sz val="10"/>
            <color indexed="81"/>
            <rFont val="Lucida Console"/>
            <family val="3"/>
          </rPr>
          <t>Tempo de Estoque (Meses)_x000D_
_x000D_
1.000,0</t>
        </r>
      </text>
    </comment>
    <comment ref="A633" authorId="0" shapeId="0" xr:uid="{5979BA92-FD8A-4908-AAF6-5325E6C4A0C3}">
      <text>
        <r>
          <rPr>
            <sz val="10"/>
            <color indexed="81"/>
            <rFont val="Lucida Console"/>
            <family val="3"/>
          </rPr>
          <t>_x000D_
69222</t>
        </r>
      </text>
    </comment>
    <comment ref="B633" authorId="0" shapeId="0" xr:uid="{4A45EFFA-04F0-45F0-90CF-711F5D090022}">
      <text>
        <r>
          <rPr>
            <sz val="10"/>
            <color indexed="81"/>
            <rFont val="Lucida Console"/>
            <family val="3"/>
          </rPr>
          <t>DESCRIÇÃO DETALHADA_x000D_
BLOCO P/ RECADOS AUTO COLANTE - MED. 38 X 51 MM - BLOCO COM 100 UNIDADES</t>
        </r>
      </text>
    </comment>
    <comment ref="W633" authorId="0" shapeId="0" xr:uid="{4DA8983E-EB88-4CD7-87D7-661C85585838}">
      <text>
        <r>
          <rPr>
            <sz val="10"/>
            <color indexed="81"/>
            <rFont val="Lucida Console"/>
            <family val="3"/>
          </rPr>
          <t>_x000D_
Pedagógico</t>
        </r>
      </text>
    </comment>
    <comment ref="X633" authorId="0" shapeId="0" xr:uid="{7F2F1065-FBEE-4CEA-AD51-DA30897F3221}">
      <text>
        <r>
          <rPr>
            <sz val="10"/>
            <color indexed="81"/>
            <rFont val="Lucida Console"/>
            <family val="3"/>
          </rPr>
          <t>_x000D_
MAQ., EQUIP., COMP., ACES., MAT. PARA ESCRIT.E ESCOLAR</t>
        </r>
      </text>
    </comment>
    <comment ref="Y633" authorId="0" shapeId="0" xr:uid="{728B7D2C-BCF1-4F0C-9485-0DB7F11EF446}">
      <text>
        <r>
          <rPr>
            <sz val="10"/>
            <color indexed="81"/>
            <rFont val="Lucida Console"/>
            <family val="3"/>
          </rPr>
          <t>_x000D_
CAPAS, CLASSIF., PRANCHETAS, CADERNOS, ENVELOPES, PASTAS, FICHAS, LIVROS</t>
        </r>
      </text>
    </comment>
    <comment ref="AW633" authorId="0" shapeId="0" xr:uid="{8ACF0692-0B98-4947-BE2D-94960B8EA98A}">
      <text>
        <r>
          <rPr>
            <sz val="10"/>
            <color indexed="81"/>
            <rFont val="Lucida Console"/>
            <family val="3"/>
          </rPr>
          <t>Tempo de Estoque (Meses)_x000D_
_x000D_
1.500,0</t>
        </r>
      </text>
    </comment>
    <comment ref="A634" authorId="0" shapeId="0" xr:uid="{C0B16821-3A83-4EC0-B65E-69FA4C694DE4}">
      <text>
        <r>
          <rPr>
            <sz val="10"/>
            <color indexed="81"/>
            <rFont val="Lucida Console"/>
            <family val="3"/>
          </rPr>
          <t>_x000D_
79687</t>
        </r>
      </text>
    </comment>
    <comment ref="B634" authorId="0" shapeId="0" xr:uid="{8949DA2A-0F9D-44A0-AA9E-1686241AA125}">
      <text>
        <r>
          <rPr>
            <sz val="10"/>
            <color indexed="81"/>
            <rFont val="Lucida Console"/>
            <family val="3"/>
          </rPr>
          <t>DESCRIÇÃO DETALHADA_x000D_
CAPA EM POLIPROPILENO, TAMANHO A4, 0,30 MM DE ESPESSURA, TRANSPARENTE</t>
        </r>
      </text>
    </comment>
    <comment ref="W634" authorId="0" shapeId="0" xr:uid="{4FDEBB3F-746F-4F8B-9231-E7CB9C970109}">
      <text>
        <r>
          <rPr>
            <sz val="10"/>
            <color indexed="81"/>
            <rFont val="Lucida Console"/>
            <family val="3"/>
          </rPr>
          <t>_x000D_
Pedagógico</t>
        </r>
      </text>
    </comment>
    <comment ref="X634" authorId="0" shapeId="0" xr:uid="{014A1032-8EDE-4D90-B7BE-A002A3704DBF}">
      <text>
        <r>
          <rPr>
            <sz val="10"/>
            <color indexed="81"/>
            <rFont val="Lucida Console"/>
            <family val="3"/>
          </rPr>
          <t>_x000D_
MAQ., EQUIP., COMP., ACES., MAT. PARA ESCRIT.E ESCOLAR</t>
        </r>
      </text>
    </comment>
    <comment ref="Y634" authorId="0" shapeId="0" xr:uid="{F2A8EE48-6D41-428B-9911-F11F083DBB58}">
      <text>
        <r>
          <rPr>
            <sz val="10"/>
            <color indexed="81"/>
            <rFont val="Lucida Console"/>
            <family val="3"/>
          </rPr>
          <t>_x000D_
CAPAS, CLASSIF., PRANCHETAS, CADERNOS, ENVELOPES, PASTAS, FICHAS, LIVROS</t>
        </r>
      </text>
    </comment>
    <comment ref="AW634" authorId="0" shapeId="0" xr:uid="{2D0F933A-BEC9-4839-AAD1-92E51C77BEA8}">
      <text>
        <r>
          <rPr>
            <sz val="10"/>
            <color indexed="81"/>
            <rFont val="Lucida Console"/>
            <family val="3"/>
          </rPr>
          <t>Tempo de Estoque (Meses)_x000D_
_x000D_
11.982,0</t>
        </r>
      </text>
    </comment>
    <comment ref="A635" authorId="0" shapeId="0" xr:uid="{5D75E589-722B-47CC-816D-0884E7ADD818}">
      <text>
        <r>
          <rPr>
            <sz val="10"/>
            <color indexed="81"/>
            <rFont val="Lucida Console"/>
            <family val="3"/>
          </rPr>
          <t>_x000D_
79688</t>
        </r>
      </text>
    </comment>
    <comment ref="B635" authorId="0" shapeId="0" xr:uid="{50853763-399A-4FDE-94A2-9C89FA5BEFA9}">
      <text>
        <r>
          <rPr>
            <sz val="10"/>
            <color indexed="81"/>
            <rFont val="Lucida Console"/>
            <family val="3"/>
          </rPr>
          <t>DESCRIÇÃO DETALHADA_x000D_
CAPA EM POLIPROPILENO, TAMANHO A4, 0,30 MM DE ESPESSURA, PRETO</t>
        </r>
      </text>
    </comment>
    <comment ref="W635" authorId="0" shapeId="0" xr:uid="{32B2AF12-62D2-416D-8576-E9BA2CE3721B}">
      <text>
        <r>
          <rPr>
            <sz val="10"/>
            <color indexed="81"/>
            <rFont val="Lucida Console"/>
            <family val="3"/>
          </rPr>
          <t>_x000D_
Pedagógico</t>
        </r>
      </text>
    </comment>
    <comment ref="X635" authorId="0" shapeId="0" xr:uid="{55512C42-CBB3-48FB-9778-E5CBEC5F2188}">
      <text>
        <r>
          <rPr>
            <sz val="10"/>
            <color indexed="81"/>
            <rFont val="Lucida Console"/>
            <family val="3"/>
          </rPr>
          <t>_x000D_
MAQ., EQUIP., COMP., ACES., MAT. PARA ESCRIT.E ESCOLAR</t>
        </r>
      </text>
    </comment>
    <comment ref="Y635" authorId="0" shapeId="0" xr:uid="{0904A764-2402-45BD-B470-A135B69B2B5F}">
      <text>
        <r>
          <rPr>
            <sz val="10"/>
            <color indexed="81"/>
            <rFont val="Lucida Console"/>
            <family val="3"/>
          </rPr>
          <t>_x000D_
CAPAS, CLASSIF., PRANCHETAS, CADERNOS, ENVELOPES, PASTAS, FICHAS, LIVROS</t>
        </r>
      </text>
    </comment>
    <comment ref="AW635" authorId="0" shapeId="0" xr:uid="{7CE0B0A2-5A48-4317-91D5-2649BC197395}">
      <text>
        <r>
          <rPr>
            <sz val="10"/>
            <color indexed="81"/>
            <rFont val="Lucida Console"/>
            <family val="3"/>
          </rPr>
          <t>Tempo de Estoque (Meses)_x000D_
_x000D_
17.737,0</t>
        </r>
      </text>
    </comment>
    <comment ref="A636" authorId="0" shapeId="0" xr:uid="{227168F3-9658-4AE7-980E-1A02E76FA91E}">
      <text>
        <r>
          <rPr>
            <sz val="10"/>
            <color indexed="81"/>
            <rFont val="Lucida Console"/>
            <family val="3"/>
          </rPr>
          <t>_x000D_
83627</t>
        </r>
      </text>
    </comment>
    <comment ref="B636" authorId="0" shapeId="0" xr:uid="{E38F675E-A57F-4295-B301-8018BA1181D5}">
      <text>
        <r>
          <rPr>
            <sz val="10"/>
            <color indexed="81"/>
            <rFont val="Lucida Console"/>
            <family val="3"/>
          </rPr>
          <t>DESCRIÇÃO DETALHADA_x000D_
SACO PLASTICO - GROSSO - 4 FUROS - TAMANHO OFICIO</t>
        </r>
      </text>
    </comment>
    <comment ref="W636" authorId="0" shapeId="0" xr:uid="{A213DDCD-55B7-4B4D-A1A0-F1AACBA507DE}">
      <text>
        <r>
          <rPr>
            <sz val="10"/>
            <color indexed="81"/>
            <rFont val="Lucida Console"/>
            <family val="3"/>
          </rPr>
          <t>_x000D_
Pedagógico</t>
        </r>
      </text>
    </comment>
    <comment ref="X636" authorId="0" shapeId="0" xr:uid="{D04F374B-0BBC-4702-9F3D-416DA0CDC699}">
      <text>
        <r>
          <rPr>
            <sz val="10"/>
            <color indexed="81"/>
            <rFont val="Lucida Console"/>
            <family val="3"/>
          </rPr>
          <t>_x000D_
MAQ., EQUIP., COMP., ACES., MAT. PARA ESCRIT.E ESCOLAR</t>
        </r>
      </text>
    </comment>
    <comment ref="Y636" authorId="0" shapeId="0" xr:uid="{EABEEBA2-FA6E-4155-8089-7E50C9AA4F07}">
      <text>
        <r>
          <rPr>
            <sz val="10"/>
            <color indexed="81"/>
            <rFont val="Lucida Console"/>
            <family val="3"/>
          </rPr>
          <t>_x000D_
CAPAS, CLASSIF., PRANCHETAS, CADERNOS, ENVELOPES, PASTAS, FICHAS, LIVROS</t>
        </r>
      </text>
    </comment>
    <comment ref="AW636" authorId="0" shapeId="0" xr:uid="{C8BA07A7-4A87-4F17-8497-280E135BC084}">
      <text>
        <r>
          <rPr>
            <sz val="10"/>
            <color indexed="81"/>
            <rFont val="Lucida Console"/>
            <family val="3"/>
          </rPr>
          <t>Tempo de Estoque (Meses)_x000D_
_x000D_
39.672,0</t>
        </r>
      </text>
    </comment>
    <comment ref="A637" authorId="0" shapeId="0" xr:uid="{D1CF664D-31B9-4588-A823-30ACF6FB4029}">
      <text>
        <r>
          <rPr>
            <sz val="10"/>
            <color indexed="81"/>
            <rFont val="Lucida Console"/>
            <family val="3"/>
          </rPr>
          <t>_x000D_
84878</t>
        </r>
      </text>
    </comment>
    <comment ref="B637" authorId="0" shapeId="0" xr:uid="{EA13B65E-02E9-461D-886A-6F8F5CAED8FD}">
      <text>
        <r>
          <rPr>
            <sz val="10"/>
            <color indexed="81"/>
            <rFont val="Lucida Console"/>
            <family val="3"/>
          </rPr>
          <t>DESCRIÇÃO DETALHADA_x000D_
ENVELOPE OURO TIPO SACO 80 X 115 MM- GRAMATURA MINIMA 80 G/M²</t>
        </r>
      </text>
    </comment>
    <comment ref="W637" authorId="0" shapeId="0" xr:uid="{2D59184A-E67C-4E75-A517-2576D6ABA3F0}">
      <text>
        <r>
          <rPr>
            <sz val="10"/>
            <color indexed="81"/>
            <rFont val="Lucida Console"/>
            <family val="3"/>
          </rPr>
          <t>_x000D_
Pedagógico</t>
        </r>
      </text>
    </comment>
    <comment ref="X637" authorId="0" shapeId="0" xr:uid="{4D91ED5E-3890-4E03-B7C8-B91E92410CBE}">
      <text>
        <r>
          <rPr>
            <sz val="10"/>
            <color indexed="81"/>
            <rFont val="Lucida Console"/>
            <family val="3"/>
          </rPr>
          <t>_x000D_
MAQ., EQUIP., COMP., ACES., MAT. PARA ESCRIT.E ESCOLAR</t>
        </r>
      </text>
    </comment>
    <comment ref="Y637" authorId="0" shapeId="0" xr:uid="{499978BF-5DC7-4A0D-A614-641712E03B92}">
      <text>
        <r>
          <rPr>
            <sz val="10"/>
            <color indexed="81"/>
            <rFont val="Lucida Console"/>
            <family val="3"/>
          </rPr>
          <t>_x000D_
CAPAS, CLASSIF., PRANCHETAS, CADERNOS, ENVELOPES, PASTAS, FICHAS, LIVROS</t>
        </r>
      </text>
    </comment>
    <comment ref="AW637" authorId="0" shapeId="0" xr:uid="{2EDB89E9-5C3C-4E2C-83AC-C152ED95C665}">
      <text>
        <r>
          <rPr>
            <sz val="10"/>
            <color indexed="81"/>
            <rFont val="Lucida Console"/>
            <family val="3"/>
          </rPr>
          <t>Tempo de Estoque (Meses)_x000D_
_x000D_
50.966,0</t>
        </r>
      </text>
    </comment>
    <comment ref="A638" authorId="0" shapeId="0" xr:uid="{2635D2D8-E75C-49A7-BB39-7F1CC998B769}">
      <text>
        <r>
          <rPr>
            <sz val="10"/>
            <color indexed="81"/>
            <rFont val="Lucida Console"/>
            <family val="3"/>
          </rPr>
          <t>_x000D_
133450</t>
        </r>
      </text>
    </comment>
    <comment ref="B638" authorId="0" shapeId="0" xr:uid="{3F13D8D7-9B64-4F84-A1C3-1EAE951AA690}">
      <text>
        <r>
          <rPr>
            <sz val="10"/>
            <color indexed="81"/>
            <rFont val="Lucida Console"/>
            <family val="3"/>
          </rPr>
          <t>DESCRIÇÃO DETALHADA_x000D_
LIVRO DE ATA, CAPA DURA, COM 50 FOLHAS - MEDIDA: 206 X 300 MM (VARIACAO +/- 6 MM)</t>
        </r>
      </text>
    </comment>
    <comment ref="W638" authorId="0" shapeId="0" xr:uid="{6C84F51B-7705-4500-A252-B16238F14D97}">
      <text>
        <r>
          <rPr>
            <sz val="10"/>
            <color indexed="81"/>
            <rFont val="Lucida Console"/>
            <family val="3"/>
          </rPr>
          <t>_x000D_
Pedagógico</t>
        </r>
      </text>
    </comment>
    <comment ref="X638" authorId="0" shapeId="0" xr:uid="{27F9F2B0-3ACE-4387-9A28-24ABE953DCFB}">
      <text>
        <r>
          <rPr>
            <sz val="10"/>
            <color indexed="81"/>
            <rFont val="Lucida Console"/>
            <family val="3"/>
          </rPr>
          <t>_x000D_
MAQ., EQUIP., COMP., ACES., MAT. PARA ESCRIT.E ESCOLAR</t>
        </r>
      </text>
    </comment>
    <comment ref="Y638" authorId="0" shapeId="0" xr:uid="{CB4E1CD6-D422-4635-A4D4-0AACE320CEFE}">
      <text>
        <r>
          <rPr>
            <sz val="10"/>
            <color indexed="81"/>
            <rFont val="Lucida Console"/>
            <family val="3"/>
          </rPr>
          <t>_x000D_
CAPAS, CLASSIF., PRANCHETAS, CADERNOS, ENVELOPES, PASTAS, FICHAS, LIVROS</t>
        </r>
      </text>
    </comment>
    <comment ref="AW638" authorId="0" shapeId="0" xr:uid="{5E1B849A-520E-4644-A171-3BECDEFA5FB1}">
      <text>
        <r>
          <rPr>
            <sz val="10"/>
            <color indexed="81"/>
            <rFont val="Lucida Console"/>
            <family val="3"/>
          </rPr>
          <t>Tempo de Estoque (Meses)_x000D_
_x000D_
3.073,0</t>
        </r>
      </text>
    </comment>
    <comment ref="A639" authorId="0" shapeId="0" xr:uid="{C6D14A41-A37A-4FBF-B3FE-F47885FE4239}">
      <text>
        <r>
          <rPr>
            <sz val="10"/>
            <color indexed="81"/>
            <rFont val="Lucida Console"/>
            <family val="3"/>
          </rPr>
          <t>_x000D_
138453</t>
        </r>
      </text>
    </comment>
    <comment ref="B639" authorId="0" shapeId="0" xr:uid="{596CC5E3-4009-4C83-958F-555714FE7D2B}">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639" authorId="0" shapeId="0" xr:uid="{7E0980F6-1459-46F1-8520-E7C5EEB63EBA}">
      <text>
        <r>
          <rPr>
            <sz val="10"/>
            <color indexed="81"/>
            <rFont val="Lucida Console"/>
            <family val="3"/>
          </rPr>
          <t>_x000D_
Pedagógico</t>
        </r>
      </text>
    </comment>
    <comment ref="X639" authorId="0" shapeId="0" xr:uid="{E673D5A1-E62E-4AEC-9E54-3D7ACE1684BC}">
      <text>
        <r>
          <rPr>
            <sz val="10"/>
            <color indexed="81"/>
            <rFont val="Lucida Console"/>
            <family val="3"/>
          </rPr>
          <t>_x000D_
MAQ., EQUIP., COMP., ACES., MAT. PARA ESCRIT.E ESCOLAR</t>
        </r>
      </text>
    </comment>
    <comment ref="Y639" authorId="0" shapeId="0" xr:uid="{44014CD6-5E8C-497D-97CD-80FEF878FCA9}">
      <text>
        <r>
          <rPr>
            <sz val="10"/>
            <color indexed="81"/>
            <rFont val="Lucida Console"/>
            <family val="3"/>
          </rPr>
          <t>_x000D_
CAPAS, CLASSIF., PRANCHETAS, CADERNOS, ENVELOPES, PASTAS, FICHAS, LIVROS</t>
        </r>
      </text>
    </comment>
    <comment ref="AW639" authorId="0" shapeId="0" xr:uid="{F0D5B6B6-E61C-440C-A65E-C1CA911AE325}">
      <text>
        <r>
          <rPr>
            <sz val="10"/>
            <color indexed="81"/>
            <rFont val="Lucida Console"/>
            <family val="3"/>
          </rPr>
          <t>Tempo de Estoque (Meses)_x000D_
_x000D_
32.475,0</t>
        </r>
      </text>
    </comment>
    <comment ref="A640" authorId="0" shapeId="0" xr:uid="{F26CD68D-DA97-4E2D-ABC1-45A10F9C8843}">
      <text>
        <r>
          <rPr>
            <sz val="10"/>
            <color indexed="81"/>
            <rFont val="Lucida Console"/>
            <family val="3"/>
          </rPr>
          <t>_x000D_
138454</t>
        </r>
      </text>
    </comment>
    <comment ref="B640" authorId="0" shapeId="0" xr:uid="{F76A5790-DFFC-4AAD-976F-6E47C734DB3D}">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640" authorId="0" shapeId="0" xr:uid="{B6A36307-089D-4D40-8AF2-223A3F26BA4D}">
      <text>
        <r>
          <rPr>
            <sz val="10"/>
            <color indexed="81"/>
            <rFont val="Lucida Console"/>
            <family val="3"/>
          </rPr>
          <t>_x000D_
Pedagógico</t>
        </r>
      </text>
    </comment>
    <comment ref="X640" authorId="0" shapeId="0" xr:uid="{660186A7-A8ED-46EE-B2B6-E7E2FF6F6FEC}">
      <text>
        <r>
          <rPr>
            <sz val="10"/>
            <color indexed="81"/>
            <rFont val="Lucida Console"/>
            <family val="3"/>
          </rPr>
          <t>_x000D_
MAQ., EQUIP., COMP., ACES., MAT. PARA ESCRIT.E ESCOLAR</t>
        </r>
      </text>
    </comment>
    <comment ref="Y640" authorId="0" shapeId="0" xr:uid="{8DF76DAB-4A1F-43F4-824C-1AB5072F70B1}">
      <text>
        <r>
          <rPr>
            <sz val="10"/>
            <color indexed="81"/>
            <rFont val="Lucida Console"/>
            <family val="3"/>
          </rPr>
          <t>_x000D_
CAPAS, CLASSIF., PRANCHETAS, CADERNOS, ENVELOPES, PASTAS, FICHAS, LIVROS</t>
        </r>
      </text>
    </comment>
    <comment ref="AW640" authorId="0" shapeId="0" xr:uid="{114229FF-09FF-406C-8393-DC97E4D9E749}">
      <text>
        <r>
          <rPr>
            <sz val="10"/>
            <color indexed="81"/>
            <rFont val="Lucida Console"/>
            <family val="3"/>
          </rPr>
          <t>Tempo de Estoque (Meses)_x000D_
_x000D_
10.549,0</t>
        </r>
      </text>
    </comment>
    <comment ref="A641" authorId="0" shapeId="0" xr:uid="{1A45E919-2213-492D-81C7-3D7D9A1CB792}">
      <text>
        <r>
          <rPr>
            <sz val="10"/>
            <color indexed="81"/>
            <rFont val="Lucida Console"/>
            <family val="3"/>
          </rPr>
          <t>_x000D_
138456</t>
        </r>
      </text>
    </comment>
    <comment ref="B641" authorId="0" shapeId="0" xr:uid="{C3724350-12F2-481D-AAFD-A033C295B421}">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641" authorId="0" shapeId="0" xr:uid="{20CF1B7E-0436-48F2-812F-78F6906C458C}">
      <text>
        <r>
          <rPr>
            <sz val="10"/>
            <color indexed="81"/>
            <rFont val="Lucida Console"/>
            <family val="3"/>
          </rPr>
          <t>_x000D_
Pedagógico</t>
        </r>
      </text>
    </comment>
    <comment ref="X641" authorId="0" shapeId="0" xr:uid="{FAD1648E-2D39-4011-91AD-6E5037F677E4}">
      <text>
        <r>
          <rPr>
            <sz val="10"/>
            <color indexed="81"/>
            <rFont val="Lucida Console"/>
            <family val="3"/>
          </rPr>
          <t>_x000D_
MAQ., EQUIP., COMP., ACES., MAT. PARA ESCRIT.E ESCOLAR</t>
        </r>
      </text>
    </comment>
    <comment ref="Y641" authorId="0" shapeId="0" xr:uid="{317A89C6-758C-4526-A69F-B0E6C3445274}">
      <text>
        <r>
          <rPr>
            <sz val="10"/>
            <color indexed="81"/>
            <rFont val="Lucida Console"/>
            <family val="3"/>
          </rPr>
          <t>_x000D_
CAPAS, CLASSIF., PRANCHETAS, CADERNOS, ENVELOPES, PASTAS, FICHAS, LIVROS</t>
        </r>
      </text>
    </comment>
    <comment ref="AW641" authorId="0" shapeId="0" xr:uid="{64E3B309-D7A8-4228-8087-F5133632BA3C}">
      <text>
        <r>
          <rPr>
            <sz val="10"/>
            <color indexed="81"/>
            <rFont val="Lucida Console"/>
            <family val="3"/>
          </rPr>
          <t>Tempo de Estoque (Meses)_x000D_
_x000D_
19.146,0</t>
        </r>
      </text>
    </comment>
    <comment ref="A642" authorId="0" shapeId="0" xr:uid="{FF97EEF4-9438-4C80-9320-3EE9A706C6C5}">
      <text>
        <r>
          <rPr>
            <sz val="10"/>
            <color indexed="81"/>
            <rFont val="Lucida Console"/>
            <family val="3"/>
          </rPr>
          <t>_x000D_
138457</t>
        </r>
      </text>
    </comment>
    <comment ref="B642" authorId="0" shapeId="0" xr:uid="{71B8C6F1-D63E-4665-99B7-821F8C6ECBDA}">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642" authorId="0" shapeId="0" xr:uid="{35030031-8EE3-4EA5-9FCA-1820F048D4D5}">
      <text>
        <r>
          <rPr>
            <sz val="10"/>
            <color indexed="81"/>
            <rFont val="Lucida Console"/>
            <family val="3"/>
          </rPr>
          <t>_x000D_
Pedagógico</t>
        </r>
      </text>
    </comment>
    <comment ref="X642" authorId="0" shapeId="0" xr:uid="{A2DDC3BD-45C6-4FD7-9C15-FCB5560B666F}">
      <text>
        <r>
          <rPr>
            <sz val="10"/>
            <color indexed="81"/>
            <rFont val="Lucida Console"/>
            <family val="3"/>
          </rPr>
          <t>_x000D_
MAQ., EQUIP., COMP., ACES., MAT. PARA ESCRIT.E ESCOLAR</t>
        </r>
      </text>
    </comment>
    <comment ref="Y642" authorId="0" shapeId="0" xr:uid="{87FFEB26-1491-4D61-8913-0E2A285BF73F}">
      <text>
        <r>
          <rPr>
            <sz val="10"/>
            <color indexed="81"/>
            <rFont val="Lucida Console"/>
            <family val="3"/>
          </rPr>
          <t>_x000D_
CAPAS, CLASSIF., PRANCHETAS, CADERNOS, ENVELOPES, PASTAS, FICHAS, LIVROS</t>
        </r>
      </text>
    </comment>
    <comment ref="AW642" authorId="0" shapeId="0" xr:uid="{44656E00-A9E9-4516-9A00-F672D231FA2B}">
      <text>
        <r>
          <rPr>
            <sz val="10"/>
            <color indexed="81"/>
            <rFont val="Lucida Console"/>
            <family val="3"/>
          </rPr>
          <t>Tempo de Estoque (Meses)_x000D_
_x000D_
1.488,0</t>
        </r>
      </text>
    </comment>
    <comment ref="A643" authorId="0" shapeId="0" xr:uid="{B55D256A-9234-4532-A9F6-59A93CE65670}">
      <text>
        <r>
          <rPr>
            <sz val="10"/>
            <color indexed="81"/>
            <rFont val="Lucida Console"/>
            <family val="3"/>
          </rPr>
          <t>_x000D_
138458</t>
        </r>
      </text>
    </comment>
    <comment ref="B643" authorId="0" shapeId="0" xr:uid="{0D36DBC2-8550-4F62-B9C9-FC35C6210FDF}">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643" authorId="0" shapeId="0" xr:uid="{A1AF938D-8190-4E12-ABAC-A671A166A13C}">
      <text>
        <r>
          <rPr>
            <sz val="10"/>
            <color indexed="81"/>
            <rFont val="Lucida Console"/>
            <family val="3"/>
          </rPr>
          <t>_x000D_
Pedagógico</t>
        </r>
      </text>
    </comment>
    <comment ref="X643" authorId="0" shapeId="0" xr:uid="{16CC24CE-7725-4B48-BAE4-29569D211746}">
      <text>
        <r>
          <rPr>
            <sz val="10"/>
            <color indexed="81"/>
            <rFont val="Lucida Console"/>
            <family val="3"/>
          </rPr>
          <t>_x000D_
MAQ., EQUIP., COMP., ACES., MAT. PARA ESCRIT.E ESCOLAR</t>
        </r>
      </text>
    </comment>
    <comment ref="Y643" authorId="0" shapeId="0" xr:uid="{4CA11757-732E-4C46-A4B8-38383DAFF440}">
      <text>
        <r>
          <rPr>
            <sz val="10"/>
            <color indexed="81"/>
            <rFont val="Lucida Console"/>
            <family val="3"/>
          </rPr>
          <t>_x000D_
CAPAS, CLASSIF., PRANCHETAS, CADERNOS, ENVELOPES, PASTAS, FICHAS, LIVROS</t>
        </r>
      </text>
    </comment>
    <comment ref="AW643" authorId="0" shapeId="0" xr:uid="{4ECC6102-C90F-4555-9055-24857CD2ADF0}">
      <text>
        <r>
          <rPr>
            <sz val="10"/>
            <color indexed="81"/>
            <rFont val="Lucida Console"/>
            <family val="3"/>
          </rPr>
          <t>Tempo de Estoque (Meses)_x000D_
_x000D_
7.093,0</t>
        </r>
      </text>
    </comment>
    <comment ref="A644" authorId="0" shapeId="0" xr:uid="{14A253F2-003F-4529-9320-AE4DED53662E}">
      <text>
        <r>
          <rPr>
            <sz val="10"/>
            <color indexed="81"/>
            <rFont val="Lucida Console"/>
            <family val="3"/>
          </rPr>
          <t>_x000D_
11264</t>
        </r>
      </text>
    </comment>
    <comment ref="B644" authorId="0" shapeId="0" xr:uid="{1AEC1B45-01E2-4ACD-96A9-A23A5E133E2A}">
      <text>
        <r>
          <rPr>
            <sz val="10"/>
            <color indexed="81"/>
            <rFont val="Lucida Console"/>
            <family val="3"/>
          </rPr>
          <t>DESCRIÇÃO DETALHADA_x000D_
PERFURADOR P/ PAPEL - 2 FUROS - MEDIO</t>
        </r>
      </text>
    </comment>
    <comment ref="W644" authorId="0" shapeId="0" xr:uid="{952EF5F9-D13D-439E-A53F-6A784D0CD3C3}">
      <text>
        <r>
          <rPr>
            <sz val="10"/>
            <color indexed="81"/>
            <rFont val="Lucida Console"/>
            <family val="3"/>
          </rPr>
          <t>_x000D_
Administrativo</t>
        </r>
      </text>
    </comment>
    <comment ref="X644" authorId="0" shapeId="0" xr:uid="{D20564F6-C9AC-4A11-9D66-22B4D365FDD3}">
      <text>
        <r>
          <rPr>
            <sz val="10"/>
            <color indexed="81"/>
            <rFont val="Lucida Console"/>
            <family val="3"/>
          </rPr>
          <t>_x000D_
MAQ., EQUIP., COMP., ACES., MAT. PARA ESCRIT.E ESCOLAR</t>
        </r>
      </text>
    </comment>
    <comment ref="Y644" authorId="0" shapeId="0" xr:uid="{267FE6B3-F0DE-4CA0-8190-35F58AFC35D7}">
      <text>
        <r>
          <rPr>
            <sz val="10"/>
            <color indexed="81"/>
            <rFont val="Lucida Console"/>
            <family val="3"/>
          </rPr>
          <t>_x000D_
FURAD.GRAMP.COLCHETE,GRAMPOS,CLIPS,ELAST.BARB.FIT.</t>
        </r>
      </text>
    </comment>
    <comment ref="AW644" authorId="0" shapeId="0" xr:uid="{E42AF828-07E8-48F8-B10C-EFF3B562F346}">
      <text>
        <r>
          <rPr>
            <sz val="10"/>
            <color indexed="81"/>
            <rFont val="Lucida Console"/>
            <family val="3"/>
          </rPr>
          <t>Tempo de Estoque (Meses)_x000D_
_x000D_
135,0</t>
        </r>
      </text>
    </comment>
    <comment ref="A645" authorId="0" shapeId="0" xr:uid="{7B6A71FD-AD94-4AF1-9E20-85EDB71889A4}">
      <text>
        <r>
          <rPr>
            <sz val="10"/>
            <color indexed="81"/>
            <rFont val="Lucida Console"/>
            <family val="3"/>
          </rPr>
          <t>_x000D_
17135</t>
        </r>
      </text>
    </comment>
    <comment ref="B645" authorId="0" shapeId="0" xr:uid="{034D6233-6ECF-4C6F-A833-3F1863089CC2}">
      <text>
        <r>
          <rPr>
            <sz val="10"/>
            <color indexed="81"/>
            <rFont val="Lucida Console"/>
            <family val="3"/>
          </rPr>
          <t>DESCRIÇÃO DETALHADA_x000D_
GRAMPO TRILHO P/ PASTA 80 MM</t>
        </r>
      </text>
    </comment>
    <comment ref="W645" authorId="0" shapeId="0" xr:uid="{7A06DB46-CDAF-4DD3-93A7-C4F7D3CB7E5A}">
      <text>
        <r>
          <rPr>
            <sz val="10"/>
            <color indexed="81"/>
            <rFont val="Lucida Console"/>
            <family val="3"/>
          </rPr>
          <t>_x000D_
Administrativo</t>
        </r>
      </text>
    </comment>
    <comment ref="X645" authorId="0" shapeId="0" xr:uid="{CFEE5507-0808-4D20-9A59-3B5A13F6DEFB}">
      <text>
        <r>
          <rPr>
            <sz val="10"/>
            <color indexed="81"/>
            <rFont val="Lucida Console"/>
            <family val="3"/>
          </rPr>
          <t>_x000D_
MAQ., EQUIP., COMP., ACES., MAT. PARA ESCRIT.E ESCOLAR</t>
        </r>
      </text>
    </comment>
    <comment ref="Y645" authorId="0" shapeId="0" xr:uid="{9219E0B5-E147-4EA3-9F30-FB29DAC81800}">
      <text>
        <r>
          <rPr>
            <sz val="10"/>
            <color indexed="81"/>
            <rFont val="Lucida Console"/>
            <family val="3"/>
          </rPr>
          <t>_x000D_
FURAD.GRAMP.COLCHETE,GRAMPOS,CLIPS,ELAST.BARB.FIT.</t>
        </r>
      </text>
    </comment>
    <comment ref="AW645" authorId="0" shapeId="0" xr:uid="{AE4BB3EA-46A5-42E2-A340-1C5BF3868CFF}">
      <text>
        <r>
          <rPr>
            <sz val="10"/>
            <color indexed="81"/>
            <rFont val="Lucida Console"/>
            <family val="3"/>
          </rPr>
          <t>Tempo de Estoque (Meses)_x000D_
_x000D_
2.025,0</t>
        </r>
      </text>
    </comment>
    <comment ref="A646" authorId="0" shapeId="0" xr:uid="{A88F372F-B8C3-44DE-8243-5C6B390735B2}">
      <text>
        <r>
          <rPr>
            <sz val="10"/>
            <color indexed="81"/>
            <rFont val="Lucida Console"/>
            <family val="3"/>
          </rPr>
          <t>_x000D_
29952</t>
        </r>
      </text>
    </comment>
    <comment ref="B646" authorId="0" shapeId="0" xr:uid="{F7761A12-13E9-4997-8BD7-D2F37530B49C}">
      <text>
        <r>
          <rPr>
            <sz val="10"/>
            <color indexed="81"/>
            <rFont val="Lucida Console"/>
            <family val="3"/>
          </rPr>
          <t xml:space="preserve">DESCRIÇÃO DETALHADA_x000D_
TESOURA EM ACO INOXIDAVEL, COM CABO EM POLIPROPILENO, 18 CM (VARIAÇÃO +/- 3 CM) </t>
        </r>
      </text>
    </comment>
    <comment ref="W646" authorId="0" shapeId="0" xr:uid="{7E2A86A3-3DCE-444C-AD30-5A7E9D0B1946}">
      <text>
        <r>
          <rPr>
            <sz val="10"/>
            <color indexed="81"/>
            <rFont val="Lucida Console"/>
            <family val="3"/>
          </rPr>
          <t>_x000D_
Administrativo</t>
        </r>
      </text>
    </comment>
    <comment ref="X646" authorId="0" shapeId="0" xr:uid="{40E13A37-37B9-4AC2-B260-D7EA39C22674}">
      <text>
        <r>
          <rPr>
            <sz val="10"/>
            <color indexed="81"/>
            <rFont val="Lucida Console"/>
            <family val="3"/>
          </rPr>
          <t>_x000D_
MAQ., EQUIP., COMP., ACES., MAT. PARA ESCRIT.E ESCOLAR</t>
        </r>
      </text>
    </comment>
    <comment ref="Y646" authorId="0" shapeId="0" xr:uid="{954FA115-3354-4226-B96A-53B11E7861AF}">
      <text>
        <r>
          <rPr>
            <sz val="10"/>
            <color indexed="81"/>
            <rFont val="Lucida Console"/>
            <family val="3"/>
          </rPr>
          <t>_x000D_
FURAD.GRAMP.COLCHETE,GRAMPOS,CLIPS,ELAST.BARB.FIT.</t>
        </r>
      </text>
    </comment>
    <comment ref="AW646" authorId="0" shapeId="0" xr:uid="{EEE2BF85-B4B1-45C6-A1F1-E0B7D356B8D6}">
      <text>
        <r>
          <rPr>
            <sz val="10"/>
            <color indexed="81"/>
            <rFont val="Lucida Console"/>
            <family val="3"/>
          </rPr>
          <t>Tempo de Estoque (Meses)_x000D_
_x000D_
1.256,0</t>
        </r>
      </text>
    </comment>
    <comment ref="A647" authorId="0" shapeId="0" xr:uid="{45197405-B844-4DAC-AC36-8CFCC63C31BD}">
      <text>
        <r>
          <rPr>
            <sz val="10"/>
            <color indexed="81"/>
            <rFont val="Lucida Console"/>
            <family val="3"/>
          </rPr>
          <t>_x000D_
54682</t>
        </r>
      </text>
    </comment>
    <comment ref="B647" authorId="0" shapeId="0" xr:uid="{85F74FFC-A966-4D31-8391-ED0E7FDA1A61}">
      <text>
        <r>
          <rPr>
            <sz val="10"/>
            <color indexed="81"/>
            <rFont val="Lucida Console"/>
            <family val="3"/>
          </rPr>
          <t>DESCRIÇÃO DETALHADA_x000D_
BARBANTE DE ALGODAO 4 FIOS - ROLO COM 250 GR</t>
        </r>
      </text>
    </comment>
    <comment ref="W647" authorId="0" shapeId="0" xr:uid="{AEEE47D0-2132-4A9F-86D0-88CDBD233233}">
      <text>
        <r>
          <rPr>
            <sz val="10"/>
            <color indexed="81"/>
            <rFont val="Lucida Console"/>
            <family val="3"/>
          </rPr>
          <t>_x000D_
Administrativo</t>
        </r>
      </text>
    </comment>
    <comment ref="X647" authorId="0" shapeId="0" xr:uid="{046A00AE-2202-4CAC-8431-2FDFB6642FF0}">
      <text>
        <r>
          <rPr>
            <sz val="10"/>
            <color indexed="81"/>
            <rFont val="Lucida Console"/>
            <family val="3"/>
          </rPr>
          <t>_x000D_
MAQ., EQUIP., COMP., ACES., MAT. PARA ESCRIT.E ESCOLAR</t>
        </r>
      </text>
    </comment>
    <comment ref="Y647" authorId="0" shapeId="0" xr:uid="{09322E4B-8D06-4E47-9B07-F419F30AD6C2}">
      <text>
        <r>
          <rPr>
            <sz val="10"/>
            <color indexed="81"/>
            <rFont val="Lucida Console"/>
            <family val="3"/>
          </rPr>
          <t>_x000D_
FURAD.GRAMP.COLCHETE,GRAMPOS,CLIPS,ELAST.BARB.FIT.</t>
        </r>
      </text>
    </comment>
    <comment ref="AW647" authorId="0" shapeId="0" xr:uid="{41E19890-DEE1-4D15-981C-2E96FCE09B5B}">
      <text>
        <r>
          <rPr>
            <sz val="10"/>
            <color indexed="81"/>
            <rFont val="Lucida Console"/>
            <family val="3"/>
          </rPr>
          <t>Tempo de Estoque (Meses)_x000D_
_x000D_
1.836,0</t>
        </r>
      </text>
    </comment>
    <comment ref="A648" authorId="0" shapeId="0" xr:uid="{5EE21F72-357C-4C7E-B06E-BF68F2F879D2}">
      <text>
        <r>
          <rPr>
            <sz val="10"/>
            <color indexed="81"/>
            <rFont val="Lucida Console"/>
            <family val="3"/>
          </rPr>
          <t>_x000D_
138471</t>
        </r>
      </text>
    </comment>
    <comment ref="B648" authorId="0" shapeId="0" xr:uid="{A94A7DDD-1858-4E1E-9146-1B684603D84C}">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648" authorId="0" shapeId="0" xr:uid="{9E2A589E-DB2A-48B3-AB26-DB1A248A764E}">
      <text>
        <r>
          <rPr>
            <sz val="10"/>
            <color indexed="81"/>
            <rFont val="Lucida Console"/>
            <family val="3"/>
          </rPr>
          <t>_x000D_
Administrativo</t>
        </r>
      </text>
    </comment>
    <comment ref="X648" authorId="0" shapeId="0" xr:uid="{C3B2EB6D-CA26-4E5E-83B9-A41131915A16}">
      <text>
        <r>
          <rPr>
            <sz val="10"/>
            <color indexed="81"/>
            <rFont val="Lucida Console"/>
            <family val="3"/>
          </rPr>
          <t>_x000D_
MAQ., EQUIP., COMP., ACES., MAT. PARA ESCRIT.E ESCOLAR</t>
        </r>
      </text>
    </comment>
    <comment ref="Y648" authorId="0" shapeId="0" xr:uid="{CEA9ED50-E461-4BDD-B809-D47826DAF250}">
      <text>
        <r>
          <rPr>
            <sz val="10"/>
            <color indexed="81"/>
            <rFont val="Lucida Console"/>
            <family val="3"/>
          </rPr>
          <t>_x000D_
FURAD.GRAMP.COLCHETE,GRAMPOS,CLIPS,ELAST.BARB.FIT.</t>
        </r>
      </text>
    </comment>
    <comment ref="AW648" authorId="0" shapeId="0" xr:uid="{EFFF5CC3-4B3D-4D4C-A1BB-07D0ABABB1EB}">
      <text>
        <r>
          <rPr>
            <sz val="10"/>
            <color indexed="81"/>
            <rFont val="Lucida Console"/>
            <family val="3"/>
          </rPr>
          <t>Tempo de Estoque (Meses)_x000D_
_x000D_
7.548,0</t>
        </r>
      </text>
    </comment>
    <comment ref="A649" authorId="0" shapeId="0" xr:uid="{19D7F38F-850C-49A6-8548-7846E521ECDB}">
      <text>
        <r>
          <rPr>
            <sz val="10"/>
            <color indexed="81"/>
            <rFont val="Lucida Console"/>
            <family val="3"/>
          </rPr>
          <t>_x000D_
15530</t>
        </r>
      </text>
    </comment>
    <comment ref="B649" authorId="0" shapeId="0" xr:uid="{52677F32-A4FE-46B5-B0A0-3BE9F27962E6}">
      <text>
        <r>
          <rPr>
            <sz val="10"/>
            <color indexed="81"/>
            <rFont val="Lucida Console"/>
            <family val="3"/>
          </rPr>
          <t>DESCRIÇÃO DETALHADA_x000D_
PAPEL ALMACO C/ PAUTA</t>
        </r>
      </text>
    </comment>
    <comment ref="W649" authorId="0" shapeId="0" xr:uid="{1D68DB52-A36F-43DB-9292-5BFF7AE7E0A4}">
      <text>
        <r>
          <rPr>
            <sz val="10"/>
            <color indexed="81"/>
            <rFont val="Lucida Console"/>
            <family val="3"/>
          </rPr>
          <t>_x000D_
Administrativo</t>
        </r>
      </text>
    </comment>
    <comment ref="X649" authorId="0" shapeId="0" xr:uid="{D5C25247-F500-4D4A-936A-D88ED96BF6F5}">
      <text>
        <r>
          <rPr>
            <sz val="10"/>
            <color indexed="81"/>
            <rFont val="Lucida Console"/>
            <family val="3"/>
          </rPr>
          <t>_x000D_
MAQ., EQUIP., COMP., ACES., MAT. PARA ESCRIT.E ESCOLAR</t>
        </r>
      </text>
    </comment>
    <comment ref="Y649" authorId="0" shapeId="0" xr:uid="{93C137A7-B423-444D-A3DB-6F83A5049F82}">
      <text>
        <r>
          <rPr>
            <sz val="10"/>
            <color indexed="81"/>
            <rFont val="Lucida Console"/>
            <family val="3"/>
          </rPr>
          <t>_x000D_
PAPEIS PADRONIZADOS E TIMBRADOS</t>
        </r>
      </text>
    </comment>
    <comment ref="AW649" authorId="0" shapeId="0" xr:uid="{6EEE5BB3-F836-4FED-95AB-2C850B20845F}">
      <text>
        <r>
          <rPr>
            <sz val="10"/>
            <color indexed="81"/>
            <rFont val="Lucida Console"/>
            <family val="3"/>
          </rPr>
          <t>Tempo de Estoque (Meses)_x000D_
_x000D_
22.838,0</t>
        </r>
      </text>
    </comment>
    <comment ref="A650" authorId="0" shapeId="0" xr:uid="{E3295FB0-67DD-4D48-B402-66BA58D68DCB}">
      <text>
        <r>
          <rPr>
            <sz val="10"/>
            <color indexed="81"/>
            <rFont val="Lucida Console"/>
            <family val="3"/>
          </rPr>
          <t>_x000D_
132290</t>
        </r>
      </text>
    </comment>
    <comment ref="B650" authorId="0" shapeId="0" xr:uid="{E28D1FD7-E60F-4F98-A996-9ABE90D4E9D7}">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650" authorId="0" shapeId="0" xr:uid="{F1339263-5876-45F4-8568-0A2DF7DABA8D}">
      <text>
        <r>
          <rPr>
            <sz val="10"/>
            <color indexed="81"/>
            <rFont val="Lucida Console"/>
            <family val="3"/>
          </rPr>
          <t>_x000D_
Pedagógico</t>
        </r>
      </text>
    </comment>
    <comment ref="X650" authorId="0" shapeId="0" xr:uid="{C3D8D8DE-128B-4D7E-B6FF-F9EA733F964B}">
      <text>
        <r>
          <rPr>
            <sz val="10"/>
            <color indexed="81"/>
            <rFont val="Lucida Console"/>
            <family val="3"/>
          </rPr>
          <t>_x000D_
MAQ., EQUIP., COMP., ACES., MAT. PARA ESCRIT.E ESCOLAR</t>
        </r>
      </text>
    </comment>
    <comment ref="Y650" authorId="0" shapeId="0" xr:uid="{00C3707A-68F2-48B0-A288-38EE70B83E5B}">
      <text>
        <r>
          <rPr>
            <sz val="10"/>
            <color indexed="81"/>
            <rFont val="Lucida Console"/>
            <family val="3"/>
          </rPr>
          <t>_x000D_
ETIQUETA COLAS E FITAS ADESIVAS</t>
        </r>
      </text>
    </comment>
    <comment ref="AW650" authorId="0" shapeId="0" xr:uid="{8180249D-7A19-4650-9079-5612EC844B70}">
      <text>
        <r>
          <rPr>
            <sz val="10"/>
            <color indexed="81"/>
            <rFont val="Lucida Console"/>
            <family val="3"/>
          </rPr>
          <t>Tempo de Estoque (Meses)_x000D_
_x000D_
2.474,0</t>
        </r>
      </text>
    </comment>
    <comment ref="A651" authorId="0" shapeId="0" xr:uid="{81390618-94A8-4687-8991-8BCBAAF5CFB5}">
      <text>
        <r>
          <rPr>
            <sz val="10"/>
            <color indexed="81"/>
            <rFont val="Lucida Console"/>
            <family val="3"/>
          </rPr>
          <t>_x000D_
132394</t>
        </r>
      </text>
    </comment>
    <comment ref="B651" authorId="0" shapeId="0" xr:uid="{A00B10BE-550D-4B6C-AD97-C22E55C1CC7A}">
      <text>
        <r>
          <rPr>
            <sz val="10"/>
            <color indexed="81"/>
            <rFont val="Lucida Console"/>
            <family val="3"/>
          </rPr>
          <t>DESCRIÇÃO DETALHADA_x000D_
FITA ADESIVA COLORIDA, MEDINDO APROXIMADAMENTE 12MM X 10M. COR: AMARELA. COMPOSICAO: FILME POLIPROPILENO COM ADESIVO ACRILICO A BASE D´AGUA.</t>
        </r>
      </text>
    </comment>
    <comment ref="W651" authorId="0" shapeId="0" xr:uid="{C4C89CC0-2AF6-44E4-B810-D835FEAFE8D3}">
      <text>
        <r>
          <rPr>
            <sz val="10"/>
            <color indexed="81"/>
            <rFont val="Lucida Console"/>
            <family val="3"/>
          </rPr>
          <t>_x000D_
Pedagógico</t>
        </r>
      </text>
    </comment>
    <comment ref="X651" authorId="0" shapeId="0" xr:uid="{A605C0FD-B880-44BA-9AE9-FF652BE9BAD9}">
      <text>
        <r>
          <rPr>
            <sz val="10"/>
            <color indexed="81"/>
            <rFont val="Lucida Console"/>
            <family val="3"/>
          </rPr>
          <t>_x000D_
MAQ., EQUIP., COMP., ACES., MAT. PARA ESCRIT.E ESCOLAR</t>
        </r>
      </text>
    </comment>
    <comment ref="Y651" authorId="0" shapeId="0" xr:uid="{AF34C71C-5AFB-4408-B270-FFC3A1C900C6}">
      <text>
        <r>
          <rPr>
            <sz val="10"/>
            <color indexed="81"/>
            <rFont val="Lucida Console"/>
            <family val="3"/>
          </rPr>
          <t>_x000D_
ETIQUETA COLAS E FITAS ADESIVAS</t>
        </r>
      </text>
    </comment>
    <comment ref="AW651" authorId="0" shapeId="0" xr:uid="{B68CF897-5A2E-4CD9-A925-48D32AB60689}">
      <text>
        <r>
          <rPr>
            <sz val="10"/>
            <color indexed="81"/>
            <rFont val="Lucida Console"/>
            <family val="3"/>
          </rPr>
          <t>Tempo de Estoque (Meses)_x000D_
_x000D_
2.790,0</t>
        </r>
      </text>
    </comment>
    <comment ref="A652" authorId="0" shapeId="0" xr:uid="{3DD71994-3653-485F-A209-ADDB94C90E54}">
      <text>
        <r>
          <rPr>
            <sz val="10"/>
            <color indexed="81"/>
            <rFont val="Lucida Console"/>
            <family val="3"/>
          </rPr>
          <t>_x000D_
132395</t>
        </r>
      </text>
    </comment>
    <comment ref="B652" authorId="0" shapeId="0" xr:uid="{A1043010-46A7-4CF9-95E1-7D00BF12F6D9}">
      <text>
        <r>
          <rPr>
            <sz val="10"/>
            <color indexed="81"/>
            <rFont val="Lucida Console"/>
            <family val="3"/>
          </rPr>
          <t>DESCRIÇÃO DETALHADA_x000D_
FITA ADESIVA COLORIDA, MEDINDO APROXIMADAMENTE 12MM X 10M. COR: AZUL ESCURA. COMPOSICAO: FILME POLIPROPILENO COM ADESIVO ACRILICO A BASE D´AGUA.</t>
        </r>
      </text>
    </comment>
    <comment ref="W652" authorId="0" shapeId="0" xr:uid="{A7B07F5E-1368-461F-B536-5A818AACD2BE}">
      <text>
        <r>
          <rPr>
            <sz val="10"/>
            <color indexed="81"/>
            <rFont val="Lucida Console"/>
            <family val="3"/>
          </rPr>
          <t>_x000D_
Pedagógico</t>
        </r>
      </text>
    </comment>
    <comment ref="X652" authorId="0" shapeId="0" xr:uid="{DC735E39-5D31-4DDF-81C0-5A5E14DF3884}">
      <text>
        <r>
          <rPr>
            <sz val="10"/>
            <color indexed="81"/>
            <rFont val="Lucida Console"/>
            <family val="3"/>
          </rPr>
          <t>_x000D_
MAQ., EQUIP., COMP., ACES., MAT. PARA ESCRIT.E ESCOLAR</t>
        </r>
      </text>
    </comment>
    <comment ref="Y652" authorId="0" shapeId="0" xr:uid="{DF52809C-2C13-4A55-A8B2-4A783820B8F4}">
      <text>
        <r>
          <rPr>
            <sz val="10"/>
            <color indexed="81"/>
            <rFont val="Lucida Console"/>
            <family val="3"/>
          </rPr>
          <t>_x000D_
ETIQUETA COLAS E FITAS ADESIVAS</t>
        </r>
      </text>
    </comment>
    <comment ref="AW652" authorId="0" shapeId="0" xr:uid="{8F893264-434C-4001-A617-10919CC21E3A}">
      <text>
        <r>
          <rPr>
            <sz val="10"/>
            <color indexed="81"/>
            <rFont val="Lucida Console"/>
            <family val="3"/>
          </rPr>
          <t>Tempo de Estoque (Meses)_x000D_
_x000D_
2.592,0</t>
        </r>
      </text>
    </comment>
    <comment ref="A653" authorId="0" shapeId="0" xr:uid="{D5A48E2D-E6B7-4C89-830F-BF626FBB80D9}">
      <text>
        <r>
          <rPr>
            <sz val="10"/>
            <color indexed="81"/>
            <rFont val="Lucida Console"/>
            <family val="3"/>
          </rPr>
          <t>_x000D_
132650</t>
        </r>
      </text>
    </comment>
    <comment ref="B653" authorId="0" shapeId="0" xr:uid="{4543362C-C77E-44E1-870A-E0593AF39BDF}">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653" authorId="0" shapeId="0" xr:uid="{6A90137C-0D76-4191-A397-084543B5CB88}">
      <text>
        <r>
          <rPr>
            <sz val="10"/>
            <color indexed="81"/>
            <rFont val="Lucida Console"/>
            <family val="3"/>
          </rPr>
          <t>_x000D_
Pedagógico</t>
        </r>
      </text>
    </comment>
    <comment ref="X653" authorId="0" shapeId="0" xr:uid="{99C4E665-FA06-4997-9D1C-1CA2773896D0}">
      <text>
        <r>
          <rPr>
            <sz val="10"/>
            <color indexed="81"/>
            <rFont val="Lucida Console"/>
            <family val="3"/>
          </rPr>
          <t>_x000D_
MAQ., EQUIP., COMP., ACES., MAT. PARA ESCRIT.E ESCOLAR</t>
        </r>
      </text>
    </comment>
    <comment ref="Y653" authorId="0" shapeId="0" xr:uid="{58E33A57-60BE-4682-B164-EBB71EBC03BA}">
      <text>
        <r>
          <rPr>
            <sz val="10"/>
            <color indexed="81"/>
            <rFont val="Lucida Console"/>
            <family val="3"/>
          </rPr>
          <t>_x000D_
ETIQUETA COLAS E FITAS ADESIVAS</t>
        </r>
      </text>
    </comment>
    <comment ref="AW653" authorId="0" shapeId="0" xr:uid="{1B4D6E41-532B-4BF7-98A2-48E7E152C839}">
      <text>
        <r>
          <rPr>
            <sz val="10"/>
            <color indexed="81"/>
            <rFont val="Lucida Console"/>
            <family val="3"/>
          </rPr>
          <t>Tempo de Estoque (Meses)_x000D_
_x000D_
1.000,0</t>
        </r>
      </text>
    </comment>
    <comment ref="A654" authorId="0" shapeId="0" xr:uid="{487F56E6-BE84-4F53-88AD-372B8D81F458}">
      <text>
        <r>
          <rPr>
            <sz val="10"/>
            <color indexed="81"/>
            <rFont val="Lucida Console"/>
            <family val="3"/>
          </rPr>
          <t>_x000D_
136408</t>
        </r>
      </text>
    </comment>
    <comment ref="B654" authorId="0" shapeId="0" xr:uid="{72FE2A23-17E6-4202-B7B4-DF913158F6C5}">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654" authorId="0" shapeId="0" xr:uid="{9C6797BE-6B64-4EF4-91C5-A1221865950C}">
      <text>
        <r>
          <rPr>
            <sz val="10"/>
            <color indexed="81"/>
            <rFont val="Lucida Console"/>
            <family val="3"/>
          </rPr>
          <t>_x000D_
Pedagógico</t>
        </r>
      </text>
    </comment>
    <comment ref="X654" authorId="0" shapeId="0" xr:uid="{BF345576-5AE4-42BE-ACE9-3F3AD7582A6D}">
      <text>
        <r>
          <rPr>
            <sz val="10"/>
            <color indexed="81"/>
            <rFont val="Lucida Console"/>
            <family val="3"/>
          </rPr>
          <t>_x000D_
MAQ., EQUIP., COMP., ACES., MAT. PARA ESCRIT.E ESCOLAR</t>
        </r>
      </text>
    </comment>
    <comment ref="Y654" authorId="0" shapeId="0" xr:uid="{947DBAC1-6118-4C08-8BFF-DD10303B7157}">
      <text>
        <r>
          <rPr>
            <sz val="10"/>
            <color indexed="81"/>
            <rFont val="Lucida Console"/>
            <family val="3"/>
          </rPr>
          <t>_x000D_
ETIQUETA COLAS E FITAS ADESIVAS</t>
        </r>
      </text>
    </comment>
    <comment ref="AW654" authorId="0" shapeId="0" xr:uid="{E643D52A-F9B4-4BCB-85DB-55A708986D78}">
      <text>
        <r>
          <rPr>
            <sz val="10"/>
            <color indexed="81"/>
            <rFont val="Lucida Console"/>
            <family val="3"/>
          </rPr>
          <t>Tempo de Estoque (Meses)_x000D_
_x000D_
11.700,0</t>
        </r>
      </text>
    </comment>
    <comment ref="A655" authorId="0" shapeId="0" xr:uid="{81D91C96-2C63-4B7E-9A8F-88BC365C03FD}">
      <text>
        <r>
          <rPr>
            <sz val="10"/>
            <color indexed="81"/>
            <rFont val="Lucida Console"/>
            <family val="3"/>
          </rPr>
          <t>_x000D_
132299</t>
        </r>
      </text>
    </comment>
    <comment ref="B655" authorId="0" shapeId="0" xr:uid="{08C0371B-F533-4135-A469-59AAB4A25696}">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655" authorId="0" shapeId="0" xr:uid="{C7DE7F2C-CE97-4CA5-85C8-65D36DA51D2B}">
      <text>
        <r>
          <rPr>
            <sz val="10"/>
            <color indexed="81"/>
            <rFont val="Lucida Console"/>
            <family val="3"/>
          </rPr>
          <t>_x000D_
Pedagógico</t>
        </r>
      </text>
    </comment>
    <comment ref="X655" authorId="0" shapeId="0" xr:uid="{1AD1F952-5924-4FFE-8009-065A746862BD}">
      <text>
        <r>
          <rPr>
            <sz val="10"/>
            <color indexed="81"/>
            <rFont val="Lucida Console"/>
            <family val="3"/>
          </rPr>
          <t>_x000D_
MAQ., EQUIP., COMP., ACES., MAT. PARA ESCRIT.E ESCOLAR</t>
        </r>
      </text>
    </comment>
    <comment ref="Y655" authorId="0" shapeId="0" xr:uid="{8F1BFAAE-93BC-4502-B2F0-7A7632AAB6E0}">
      <text>
        <r>
          <rPr>
            <sz val="10"/>
            <color indexed="81"/>
            <rFont val="Lucida Console"/>
            <family val="3"/>
          </rPr>
          <t>_x000D_
MATERIAIS DE DESENHO TECNICO</t>
        </r>
      </text>
    </comment>
    <comment ref="AW655" authorId="0" shapeId="0" xr:uid="{FDB58F2C-5CCC-46BE-8A4F-07ADE2C465CA}">
      <text>
        <r>
          <rPr>
            <sz val="10"/>
            <color indexed="81"/>
            <rFont val="Lucida Console"/>
            <family val="3"/>
          </rPr>
          <t>Tempo de Estoque (Meses)_x000D_
_x000D_
2.283,0</t>
        </r>
      </text>
    </comment>
    <comment ref="A656" authorId="0" shapeId="0" xr:uid="{6D33B175-2124-44C8-9166-3F4944A9375F}">
      <text>
        <r>
          <rPr>
            <sz val="10"/>
            <color indexed="81"/>
            <rFont val="Lucida Console"/>
            <family val="3"/>
          </rPr>
          <t>_x000D_
132300</t>
        </r>
      </text>
    </comment>
    <comment ref="B656" authorId="0" shapeId="0" xr:uid="{4C65F3AF-6793-45D5-89A7-02795358B6AC}">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656" authorId="0" shapeId="0" xr:uid="{F12FA95D-A754-4A3A-87F6-9DB055BA5C63}">
      <text>
        <r>
          <rPr>
            <sz val="10"/>
            <color indexed="81"/>
            <rFont val="Lucida Console"/>
            <family val="3"/>
          </rPr>
          <t>_x000D_
Pedagógico</t>
        </r>
      </text>
    </comment>
    <comment ref="X656" authorId="0" shapeId="0" xr:uid="{0E5DAA26-90FA-4390-A10F-26DFF22F472D}">
      <text>
        <r>
          <rPr>
            <sz val="10"/>
            <color indexed="81"/>
            <rFont val="Lucida Console"/>
            <family val="3"/>
          </rPr>
          <t>_x000D_
MAQ., EQUIP., COMP., ACES., MAT. PARA ESCRIT.E ESCOLAR</t>
        </r>
      </text>
    </comment>
    <comment ref="Y656" authorId="0" shapeId="0" xr:uid="{E4C803C5-27B9-4815-878D-1F54A6ACAAC2}">
      <text>
        <r>
          <rPr>
            <sz val="10"/>
            <color indexed="81"/>
            <rFont val="Lucida Console"/>
            <family val="3"/>
          </rPr>
          <t>_x000D_
MATERIAIS DE DESENHO TECNICO</t>
        </r>
      </text>
    </comment>
    <comment ref="AW656" authorId="0" shapeId="0" xr:uid="{44C5B2B6-78D3-4FCA-B6B0-1A194B09021F}">
      <text>
        <r>
          <rPr>
            <sz val="10"/>
            <color indexed="81"/>
            <rFont val="Lucida Console"/>
            <family val="3"/>
          </rPr>
          <t>Tempo de Estoque (Meses)_x000D_
_x000D_
4.287,0</t>
        </r>
      </text>
    </comment>
    <comment ref="A657" authorId="0" shapeId="0" xr:uid="{D590B838-61D8-4A9A-9BFF-9A9CAB4AC654}">
      <text>
        <r>
          <rPr>
            <sz val="10"/>
            <color indexed="81"/>
            <rFont val="Lucida Console"/>
            <family val="3"/>
          </rPr>
          <t>_x000D_
133788</t>
        </r>
      </text>
    </comment>
    <comment ref="B657" authorId="0" shapeId="0" xr:uid="{2818EFCD-8C67-4702-B59F-46233341BC4C}">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57" authorId="0" shapeId="0" xr:uid="{A9C864CE-4AC8-4A30-A651-D8973F1ED436}">
      <text>
        <r>
          <rPr>
            <sz val="10"/>
            <color indexed="81"/>
            <rFont val="Lucida Console"/>
            <family val="3"/>
          </rPr>
          <t>_x000D_
Pedagógico</t>
        </r>
      </text>
    </comment>
    <comment ref="X657" authorId="0" shapeId="0" xr:uid="{106AB51E-E40A-4075-96C7-F4918C491198}">
      <text>
        <r>
          <rPr>
            <sz val="10"/>
            <color indexed="81"/>
            <rFont val="Lucida Console"/>
            <family val="3"/>
          </rPr>
          <t>_x000D_
MAQ., EQUIP., COMP., ACES., MAT. PARA ESCRIT.E ESCOLAR</t>
        </r>
      </text>
    </comment>
    <comment ref="Y657" authorId="0" shapeId="0" xr:uid="{65ADA439-0977-4DF4-928B-C51CAE2F6056}">
      <text>
        <r>
          <rPr>
            <sz val="10"/>
            <color indexed="81"/>
            <rFont val="Lucida Console"/>
            <family val="3"/>
          </rPr>
          <t>_x000D_
MATERIAIS DE DESENHO TECNICO</t>
        </r>
      </text>
    </comment>
    <comment ref="AW657" authorId="0" shapeId="0" xr:uid="{893BB8D1-C7A6-4D47-AA5F-670376B41F23}">
      <text>
        <r>
          <rPr>
            <sz val="10"/>
            <color indexed="81"/>
            <rFont val="Lucida Console"/>
            <family val="3"/>
          </rPr>
          <t>Tempo de Estoque (Meses)_x000D_
_x000D_
18.095,0</t>
        </r>
      </text>
    </comment>
    <comment ref="A658" authorId="0" shapeId="0" xr:uid="{A3E74825-1A18-404D-8E4F-6E4B11933C37}">
      <text>
        <r>
          <rPr>
            <sz val="10"/>
            <color indexed="81"/>
            <rFont val="Lucida Console"/>
            <family val="3"/>
          </rPr>
          <t>_x000D_
133790</t>
        </r>
      </text>
    </comment>
    <comment ref="B658" authorId="0" shapeId="0" xr:uid="{0046B273-0475-453B-8EBF-0C0EB2FFA650}">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58" authorId="0" shapeId="0" xr:uid="{4FA26782-766B-43AD-B55A-7554419D3CCC}">
      <text>
        <r>
          <rPr>
            <sz val="10"/>
            <color indexed="81"/>
            <rFont val="Lucida Console"/>
            <family val="3"/>
          </rPr>
          <t>_x000D_
Pedagógico</t>
        </r>
      </text>
    </comment>
    <comment ref="X658" authorId="0" shapeId="0" xr:uid="{82C920BC-B3D4-4FC6-A0E2-B38CF53703EE}">
      <text>
        <r>
          <rPr>
            <sz val="10"/>
            <color indexed="81"/>
            <rFont val="Lucida Console"/>
            <family val="3"/>
          </rPr>
          <t>_x000D_
MAQ., EQUIP., COMP., ACES., MAT. PARA ESCRIT.E ESCOLAR</t>
        </r>
      </text>
    </comment>
    <comment ref="Y658" authorId="0" shapeId="0" xr:uid="{A3017148-2F70-4DE1-986D-D5A59F3C4AE0}">
      <text>
        <r>
          <rPr>
            <sz val="10"/>
            <color indexed="81"/>
            <rFont val="Lucida Console"/>
            <family val="3"/>
          </rPr>
          <t>_x000D_
MATERIAIS DE DESENHO TECNICO</t>
        </r>
      </text>
    </comment>
    <comment ref="AW658" authorId="0" shapeId="0" xr:uid="{16623172-A39B-4EE9-879E-7FFAA1C422D2}">
      <text>
        <r>
          <rPr>
            <sz val="10"/>
            <color indexed="81"/>
            <rFont val="Lucida Console"/>
            <family val="3"/>
          </rPr>
          <t>Tempo de Estoque (Meses)_x000D_
_x000D_
17.902,0</t>
        </r>
      </text>
    </comment>
    <comment ref="A659" authorId="0" shapeId="0" xr:uid="{75B5003A-7800-44F8-BB1F-718FE8F4A708}">
      <text>
        <r>
          <rPr>
            <sz val="10"/>
            <color indexed="81"/>
            <rFont val="Lucida Console"/>
            <family val="3"/>
          </rPr>
          <t>_x000D_
133791</t>
        </r>
      </text>
    </comment>
    <comment ref="B659" authorId="0" shapeId="0" xr:uid="{7C5CA705-8ED4-4EE6-A193-E3224712D48D}">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659" authorId="0" shapeId="0" xr:uid="{675D6270-9AFE-465D-9319-69B8DDEDFBC5}">
      <text>
        <r>
          <rPr>
            <sz val="10"/>
            <color indexed="81"/>
            <rFont val="Lucida Console"/>
            <family val="3"/>
          </rPr>
          <t>_x000D_
Pedagógico</t>
        </r>
      </text>
    </comment>
    <comment ref="X659" authorId="0" shapeId="0" xr:uid="{4F029040-2B16-41C5-8EE0-2A639C6C0140}">
      <text>
        <r>
          <rPr>
            <sz val="10"/>
            <color indexed="81"/>
            <rFont val="Lucida Console"/>
            <family val="3"/>
          </rPr>
          <t>_x000D_
MAQ., EQUIP., COMP., ACES., MAT. PARA ESCRIT.E ESCOLAR</t>
        </r>
      </text>
    </comment>
    <comment ref="Y659" authorId="0" shapeId="0" xr:uid="{9BD3E0EC-DD09-45CC-B3AC-5238D8B5A74B}">
      <text>
        <r>
          <rPr>
            <sz val="10"/>
            <color indexed="81"/>
            <rFont val="Lucida Console"/>
            <family val="3"/>
          </rPr>
          <t>_x000D_
MATERIAIS DE DESENHO TECNICO</t>
        </r>
      </text>
    </comment>
    <comment ref="AW659" authorId="0" shapeId="0" xr:uid="{BF7082A9-2478-470C-9FD2-780087A98AD5}">
      <text>
        <r>
          <rPr>
            <sz val="10"/>
            <color indexed="81"/>
            <rFont val="Lucida Console"/>
            <family val="3"/>
          </rPr>
          <t>Tempo de Estoque (Meses)_x000D_
_x000D_
24.415,0</t>
        </r>
      </text>
    </comment>
    <comment ref="A660" authorId="0" shapeId="0" xr:uid="{7D952618-5378-4295-8500-CF471C591C4C}">
      <text>
        <r>
          <rPr>
            <sz val="10"/>
            <color indexed="81"/>
            <rFont val="Lucida Console"/>
            <family val="3"/>
          </rPr>
          <t>_x000D_
138462</t>
        </r>
      </text>
    </comment>
    <comment ref="B660" authorId="0" shapeId="0" xr:uid="{C813624A-53A2-4543-B1C8-4E8D3427F999}">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660" authorId="0" shapeId="0" xr:uid="{F2A28D00-6C26-4E2C-B6E5-4B5D4A2B54AE}">
      <text>
        <r>
          <rPr>
            <sz val="10"/>
            <color indexed="81"/>
            <rFont val="Lucida Console"/>
            <family val="3"/>
          </rPr>
          <t>_x000D_
Pedagógico</t>
        </r>
      </text>
    </comment>
    <comment ref="X660" authorId="0" shapeId="0" xr:uid="{C6BFCDD8-4B9F-4F15-AFE5-614EEFF531E1}">
      <text>
        <r>
          <rPr>
            <sz val="10"/>
            <color indexed="81"/>
            <rFont val="Lucida Console"/>
            <family val="3"/>
          </rPr>
          <t>_x000D_
MAQ., EQUIP., COMP., ACES., MAT. PARA ESCRIT.E ESCOLAR</t>
        </r>
      </text>
    </comment>
    <comment ref="Y660" authorId="0" shapeId="0" xr:uid="{37F14FB2-3CDE-470D-849E-4B896E41913C}">
      <text>
        <r>
          <rPr>
            <sz val="10"/>
            <color indexed="81"/>
            <rFont val="Lucida Console"/>
            <family val="3"/>
          </rPr>
          <t>_x000D_
MATERIAIS DE DESENHO TECNICO</t>
        </r>
      </text>
    </comment>
    <comment ref="AW660" authorId="0" shapeId="0" xr:uid="{C4F7AAAB-71D6-45F5-A267-E8917C7EA8D2}">
      <text>
        <r>
          <rPr>
            <sz val="10"/>
            <color indexed="81"/>
            <rFont val="Lucida Console"/>
            <family val="3"/>
          </rPr>
          <t>Tempo de Estoque (Meses)_x000D_
_x000D_
7.640,0</t>
        </r>
      </text>
    </comment>
    <comment ref="A661" authorId="0" shapeId="0" xr:uid="{6373A24D-0195-477E-AF6A-3C61022ACF0C}">
      <text>
        <r>
          <rPr>
            <sz val="10"/>
            <color indexed="81"/>
            <rFont val="Lucida Console"/>
            <family val="3"/>
          </rPr>
          <t>_x000D_
140933</t>
        </r>
      </text>
    </comment>
    <comment ref="B661" authorId="0" shapeId="0" xr:uid="{F2FCD874-ED9B-4408-918E-EB82C2D55BA1}">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661" authorId="0" shapeId="0" xr:uid="{054F6819-D380-46CC-A4D2-5754A0349ACD}">
      <text>
        <r>
          <rPr>
            <sz val="10"/>
            <color indexed="81"/>
            <rFont val="Lucida Console"/>
            <family val="3"/>
          </rPr>
          <t>_x000D_
Pedagógico</t>
        </r>
      </text>
    </comment>
    <comment ref="X661" authorId="0" shapeId="0" xr:uid="{89F2FA1E-75EB-4703-9CE9-714989B6BBCF}">
      <text>
        <r>
          <rPr>
            <sz val="10"/>
            <color indexed="81"/>
            <rFont val="Lucida Console"/>
            <family val="3"/>
          </rPr>
          <t>_x000D_
MAQ., EQUIP., COMP., ACES., MAT. PARA ESCRIT.E ESCOLAR</t>
        </r>
      </text>
    </comment>
    <comment ref="Y661" authorId="0" shapeId="0" xr:uid="{19B3457F-45DD-4D54-95AD-385A294459D6}">
      <text>
        <r>
          <rPr>
            <sz val="10"/>
            <color indexed="81"/>
            <rFont val="Lucida Console"/>
            <family val="3"/>
          </rPr>
          <t>_x000D_
MATERIAIS DE DESENHO TECNICO</t>
        </r>
      </text>
    </comment>
    <comment ref="AW661" authorId="0" shapeId="0" xr:uid="{BC7EF7BF-A630-4D0A-89B7-0E31DC209BCD}">
      <text>
        <r>
          <rPr>
            <sz val="10"/>
            <color indexed="81"/>
            <rFont val="Lucida Console"/>
            <family val="3"/>
          </rPr>
          <t>Tempo de Estoque (Meses)_x000D_
_x000D_
567,0</t>
        </r>
      </text>
    </comment>
    <comment ref="A662" authorId="0" shapeId="0" xr:uid="{0A8E75D5-FE43-4EF0-BB9A-AB15C31FA54F}">
      <text>
        <r>
          <rPr>
            <sz val="10"/>
            <color indexed="81"/>
            <rFont val="Lucida Console"/>
            <family val="3"/>
          </rPr>
          <t>_x000D_
13539</t>
        </r>
      </text>
    </comment>
    <comment ref="B662" authorId="0" shapeId="0" xr:uid="{F0F46218-35DF-4409-ABAF-1A31C8286DDF}">
      <text>
        <r>
          <rPr>
            <sz val="10"/>
            <color indexed="81"/>
            <rFont val="Lucida Console"/>
            <family val="3"/>
          </rPr>
          <t>DESCRIÇÃO DETALHADA_x000D_
APAGADOR PARA QUADRO BRANCO - NAO MAGNETICO</t>
        </r>
      </text>
    </comment>
    <comment ref="W662" authorId="0" shapeId="0" xr:uid="{9BC69F29-F1CF-491F-BD64-9FBCA08218BD}">
      <text>
        <r>
          <rPr>
            <sz val="10"/>
            <color indexed="81"/>
            <rFont val="Lucida Console"/>
            <family val="3"/>
          </rPr>
          <t>_x000D_
Pedagógico</t>
        </r>
      </text>
    </comment>
    <comment ref="X662" authorId="0" shapeId="0" xr:uid="{9FFA0F7A-1AC5-40EB-AED8-4737731F0B6D}">
      <text>
        <r>
          <rPr>
            <sz val="10"/>
            <color indexed="81"/>
            <rFont val="Lucida Console"/>
            <family val="3"/>
          </rPr>
          <t>_x000D_
MAQ., EQUIP., COMP., ACES., MAT. PARA ESCRIT.E ESCOLAR</t>
        </r>
      </text>
    </comment>
    <comment ref="Y662" authorId="0" shapeId="0" xr:uid="{F50F21A8-BCB8-4FBE-89A4-28EECD80AA6D}">
      <text>
        <r>
          <rPr>
            <sz val="10"/>
            <color indexed="81"/>
            <rFont val="Lucida Console"/>
            <family val="3"/>
          </rPr>
          <t>_x000D_
MATERIAIS ESCOLARES E DIDATICOS</t>
        </r>
      </text>
    </comment>
    <comment ref="AW662" authorId="0" shapeId="0" xr:uid="{9A9B6460-583E-42DF-8D8D-9700E9BD552D}">
      <text>
        <r>
          <rPr>
            <sz val="10"/>
            <color indexed="81"/>
            <rFont val="Lucida Console"/>
            <family val="3"/>
          </rPr>
          <t>Tempo de Estoque (Meses)_x000D_
_x000D_
400,0</t>
        </r>
      </text>
    </comment>
    <comment ref="A663" authorId="0" shapeId="0" xr:uid="{54B4AFE6-EAB0-45FD-87B2-D37C5287177C}">
      <text>
        <r>
          <rPr>
            <sz val="10"/>
            <color indexed="81"/>
            <rFont val="Lucida Console"/>
            <family val="3"/>
          </rPr>
          <t>_x000D_
16512</t>
        </r>
      </text>
    </comment>
    <comment ref="B663" authorId="0" shapeId="0" xr:uid="{0B9393F4-B27B-437F-9E3F-25D7C377CD5C}">
      <text>
        <r>
          <rPr>
            <sz val="10"/>
            <color indexed="81"/>
            <rFont val="Lucida Console"/>
            <family val="3"/>
          </rPr>
          <t>DESCRIÇÃO DETALHADA_x000D_
GIZ DE CORES DIVERSAS, ANTIALERGICO, CAIXA COM 50 UNIDADES</t>
        </r>
      </text>
    </comment>
    <comment ref="W663" authorId="0" shapeId="0" xr:uid="{C12415E8-AD8A-4E88-9CD1-51957A0C77CD}">
      <text>
        <r>
          <rPr>
            <sz val="10"/>
            <color indexed="81"/>
            <rFont val="Lucida Console"/>
            <family val="3"/>
          </rPr>
          <t>_x000D_
Pedagógico</t>
        </r>
      </text>
    </comment>
    <comment ref="X663" authorId="0" shapeId="0" xr:uid="{0AEC26F8-F950-469A-BA92-414C4502F6A1}">
      <text>
        <r>
          <rPr>
            <sz val="10"/>
            <color indexed="81"/>
            <rFont val="Lucida Console"/>
            <family val="3"/>
          </rPr>
          <t>_x000D_
MAQ., EQUIP., COMP., ACES., MAT. PARA ESCRIT.E ESCOLAR</t>
        </r>
      </text>
    </comment>
    <comment ref="Y663" authorId="0" shapeId="0" xr:uid="{B35F4962-8141-400F-A821-995537765316}">
      <text>
        <r>
          <rPr>
            <sz val="10"/>
            <color indexed="81"/>
            <rFont val="Lucida Console"/>
            <family val="3"/>
          </rPr>
          <t>_x000D_
MATERIAIS ESCOLARES E DIDATICOS</t>
        </r>
      </text>
    </comment>
    <comment ref="AW663" authorId="0" shapeId="0" xr:uid="{E926D483-8FEE-4C3C-8524-0C0D80D45E07}">
      <text>
        <r>
          <rPr>
            <sz val="10"/>
            <color indexed="81"/>
            <rFont val="Lucida Console"/>
            <family val="3"/>
          </rPr>
          <t>Tempo de Estoque (Meses)_x000D_
_x000D_
1.100,0</t>
        </r>
      </text>
    </comment>
    <comment ref="A664" authorId="0" shapeId="0" xr:uid="{32DACBF0-F8D6-4FC0-AC81-1F90A6768BB9}">
      <text>
        <r>
          <rPr>
            <sz val="10"/>
            <color indexed="81"/>
            <rFont val="Lucida Console"/>
            <family val="3"/>
          </rPr>
          <t>_x000D_
91250</t>
        </r>
      </text>
    </comment>
    <comment ref="B664" authorId="0" shapeId="0" xr:uid="{1022F30F-21D2-4B6F-BDB5-520C0965B768}">
      <text>
        <r>
          <rPr>
            <sz val="10"/>
            <color indexed="81"/>
            <rFont val="Lucida Console"/>
            <family val="3"/>
          </rPr>
          <t>DESCRIÇÃO DETALHADA_x000D_
PLASTICO BOLHA - MEDIDA 1,20 M LARGURA</t>
        </r>
      </text>
    </comment>
    <comment ref="W664" authorId="0" shapeId="0" xr:uid="{8981FA3D-DC03-4B49-A977-F5396B1F0854}">
      <text>
        <r>
          <rPr>
            <sz val="10"/>
            <color indexed="81"/>
            <rFont val="Lucida Console"/>
            <family val="3"/>
          </rPr>
          <t>_x000D_
Pedagógico</t>
        </r>
      </text>
    </comment>
    <comment ref="X664" authorId="0" shapeId="0" xr:uid="{0486968A-745B-4413-93C0-1D5C894CFE6E}">
      <text>
        <r>
          <rPr>
            <sz val="10"/>
            <color indexed="81"/>
            <rFont val="Lucida Console"/>
            <family val="3"/>
          </rPr>
          <t>_x000D_
MAQ., EQUIP., COMP., ACES., MAT. PARA ESCRIT.E ESCOLAR</t>
        </r>
      </text>
    </comment>
    <comment ref="Y664" authorId="0" shapeId="0" xr:uid="{C69DC10D-679D-47A3-8F88-E928BF9BD503}">
      <text>
        <r>
          <rPr>
            <sz val="10"/>
            <color indexed="81"/>
            <rFont val="Lucida Console"/>
            <family val="3"/>
          </rPr>
          <t>_x000D_
MATERIAIS ESCOLARES E DIDATICOS</t>
        </r>
      </text>
    </comment>
    <comment ref="AW664" authorId="0" shapeId="0" xr:uid="{07D61819-243C-4AF9-9E2F-56F34FD0E4C0}">
      <text>
        <r>
          <rPr>
            <sz val="10"/>
            <color indexed="81"/>
            <rFont val="Lucida Console"/>
            <family val="3"/>
          </rPr>
          <t>Tempo de Estoque (Meses)_x000D_
_x000D_
665,0</t>
        </r>
      </text>
    </comment>
    <comment ref="A665" authorId="0" shapeId="0" xr:uid="{EA2BE34C-8665-4C15-8CC7-E282EEB8AD19}">
      <text>
        <r>
          <rPr>
            <sz val="10"/>
            <color indexed="81"/>
            <rFont val="Lucida Console"/>
            <family val="3"/>
          </rPr>
          <t>_x000D_
78641</t>
        </r>
      </text>
    </comment>
    <comment ref="B665" authorId="0" shapeId="0" xr:uid="{664BDE91-6D36-4A4C-AB94-E824AADC5F97}">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665" authorId="0" shapeId="0" xr:uid="{029CE63D-9842-4E17-A11B-8B7F6434645B}">
      <text>
        <r>
          <rPr>
            <sz val="10"/>
            <color indexed="81"/>
            <rFont val="Lucida Console"/>
            <family val="3"/>
          </rPr>
          <t>_x000D_
Pedagógico</t>
        </r>
      </text>
    </comment>
    <comment ref="X665" authorId="0" shapeId="0" xr:uid="{6D1BB95E-ACFE-4A2B-9F3F-25A1AD3AE7CA}">
      <text>
        <r>
          <rPr>
            <sz val="10"/>
            <color indexed="81"/>
            <rFont val="Lucida Console"/>
            <family val="3"/>
          </rPr>
          <t>_x000D_
MAQ., EQUIP., COMP., ACES., MAT. PARA ESCRIT.E ESCOLAR</t>
        </r>
      </text>
    </comment>
    <comment ref="Y665" authorId="0" shapeId="0" xr:uid="{CEE5DA29-C41E-41C2-93B7-BC19EE9771B5}">
      <text>
        <r>
          <rPr>
            <sz val="10"/>
            <color indexed="81"/>
            <rFont val="Lucida Console"/>
            <family val="3"/>
          </rPr>
          <t>_x000D_
TINTAS  E PINCEIS ESCOLARES</t>
        </r>
      </text>
    </comment>
    <comment ref="AW665" authorId="0" shapeId="0" xr:uid="{122790D0-8155-4225-ACD9-1A20C37D4B4D}">
      <text>
        <r>
          <rPr>
            <sz val="10"/>
            <color indexed="81"/>
            <rFont val="Lucida Console"/>
            <family val="3"/>
          </rPr>
          <t>Tempo de Estoque (Meses)_x000D_
_x000D_
1.100,0</t>
        </r>
      </text>
    </comment>
    <comment ref="A666" authorId="0" shapeId="0" xr:uid="{0266E56C-3800-48D6-A48A-1A71A7FE43F2}">
      <text>
        <r>
          <rPr>
            <sz val="10"/>
            <color indexed="81"/>
            <rFont val="Lucida Console"/>
            <family val="3"/>
          </rPr>
          <t>_x000D_
78642</t>
        </r>
      </text>
    </comment>
    <comment ref="B666" authorId="0" shapeId="0" xr:uid="{56F77576-FBA4-4E07-959D-02E3BE718EAC}">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666" authorId="0" shapeId="0" xr:uid="{DE10B48D-0DFD-4073-A7CD-F0A5ACDB2525}">
      <text>
        <r>
          <rPr>
            <sz val="10"/>
            <color indexed="81"/>
            <rFont val="Lucida Console"/>
            <family val="3"/>
          </rPr>
          <t>_x000D_
Pedagógico</t>
        </r>
      </text>
    </comment>
    <comment ref="X666" authorId="0" shapeId="0" xr:uid="{0A297F07-70D4-403B-9BA9-56578A05080D}">
      <text>
        <r>
          <rPr>
            <sz val="10"/>
            <color indexed="81"/>
            <rFont val="Lucida Console"/>
            <family val="3"/>
          </rPr>
          <t>_x000D_
MAQ., EQUIP., COMP., ACES., MAT. PARA ESCRIT.E ESCOLAR</t>
        </r>
      </text>
    </comment>
    <comment ref="Y666" authorId="0" shapeId="0" xr:uid="{4383EC5C-37BC-4CA5-A24D-54307B42A45F}">
      <text>
        <r>
          <rPr>
            <sz val="10"/>
            <color indexed="81"/>
            <rFont val="Lucida Console"/>
            <family val="3"/>
          </rPr>
          <t>_x000D_
TINTAS  E PINCEIS ESCOLARES</t>
        </r>
      </text>
    </comment>
    <comment ref="AW666" authorId="0" shapeId="0" xr:uid="{555A5FC9-003A-4F08-A896-B5515DA391B3}">
      <text>
        <r>
          <rPr>
            <sz val="10"/>
            <color indexed="81"/>
            <rFont val="Lucida Console"/>
            <family val="3"/>
          </rPr>
          <t>Tempo de Estoque (Meses)_x000D_
_x000D_
728,0</t>
        </r>
      </text>
    </comment>
    <comment ref="A667" authorId="0" shapeId="0" xr:uid="{A23BE1A6-1FBE-4095-8026-A8A43EE067E6}">
      <text>
        <r>
          <rPr>
            <sz val="10"/>
            <color indexed="81"/>
            <rFont val="Lucida Console"/>
            <family val="3"/>
          </rPr>
          <t>_x000D_
78643</t>
        </r>
      </text>
    </comment>
    <comment ref="B667" authorId="0" shapeId="0" xr:uid="{3AE62FB0-59D5-4371-BD4C-79B57B00B27C}">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667" authorId="0" shapeId="0" xr:uid="{B398840B-CC98-4AA1-9C71-82BFE95156EE}">
      <text>
        <r>
          <rPr>
            <sz val="10"/>
            <color indexed="81"/>
            <rFont val="Lucida Console"/>
            <family val="3"/>
          </rPr>
          <t>_x000D_
Pedagógico</t>
        </r>
      </text>
    </comment>
    <comment ref="X667" authorId="0" shapeId="0" xr:uid="{D01123B4-CF64-485F-9A68-6E6D430501B4}">
      <text>
        <r>
          <rPr>
            <sz val="10"/>
            <color indexed="81"/>
            <rFont val="Lucida Console"/>
            <family val="3"/>
          </rPr>
          <t>_x000D_
MAQ., EQUIP., COMP., ACES., MAT. PARA ESCRIT.E ESCOLAR</t>
        </r>
      </text>
    </comment>
    <comment ref="Y667" authorId="0" shapeId="0" xr:uid="{38F64980-2CD8-4A2F-B45E-67E06F2E76D0}">
      <text>
        <r>
          <rPr>
            <sz val="10"/>
            <color indexed="81"/>
            <rFont val="Lucida Console"/>
            <family val="3"/>
          </rPr>
          <t>_x000D_
TINTAS  E PINCEIS ESCOLARES</t>
        </r>
      </text>
    </comment>
    <comment ref="AW667" authorId="0" shapeId="0" xr:uid="{3A966343-9010-4499-AB3D-51661BC93738}">
      <text>
        <r>
          <rPr>
            <sz val="10"/>
            <color indexed="81"/>
            <rFont val="Lucida Console"/>
            <family val="3"/>
          </rPr>
          <t>Tempo de Estoque (Meses)_x000D_
_x000D_
1.200,0</t>
        </r>
      </text>
    </comment>
    <comment ref="A668" authorId="0" shapeId="0" xr:uid="{281FCC4E-ADB5-48E3-96C8-12B18E32CC00}">
      <text>
        <r>
          <rPr>
            <sz val="10"/>
            <color indexed="81"/>
            <rFont val="Lucida Console"/>
            <family val="3"/>
          </rPr>
          <t>_x000D_
78646</t>
        </r>
      </text>
    </comment>
    <comment ref="B668" authorId="0" shapeId="0" xr:uid="{B19040CA-BB8C-4594-96C3-FB58ADDF4C95}">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668" authorId="0" shapeId="0" xr:uid="{0111F52E-D283-45D0-B0DB-DD3600569B47}">
      <text>
        <r>
          <rPr>
            <sz val="10"/>
            <color indexed="81"/>
            <rFont val="Lucida Console"/>
            <family val="3"/>
          </rPr>
          <t>_x000D_
Pedagógico</t>
        </r>
      </text>
    </comment>
    <comment ref="X668" authorId="0" shapeId="0" xr:uid="{873E6F2A-55EE-4C5D-BD07-2FE2E7C04147}">
      <text>
        <r>
          <rPr>
            <sz val="10"/>
            <color indexed="81"/>
            <rFont val="Lucida Console"/>
            <family val="3"/>
          </rPr>
          <t>_x000D_
MAQ., EQUIP., COMP., ACES., MAT. PARA ESCRIT.E ESCOLAR</t>
        </r>
      </text>
    </comment>
    <comment ref="Y668" authorId="0" shapeId="0" xr:uid="{84C1DB77-6219-4EF8-8B62-9D9EF24E0A85}">
      <text>
        <r>
          <rPr>
            <sz val="10"/>
            <color indexed="81"/>
            <rFont val="Lucida Console"/>
            <family val="3"/>
          </rPr>
          <t>_x000D_
TINTAS  E PINCEIS ESCOLARES</t>
        </r>
      </text>
    </comment>
    <comment ref="AW668" authorId="0" shapeId="0" xr:uid="{42B75B65-1919-46FA-834D-1C75753A04D2}">
      <text>
        <r>
          <rPr>
            <sz val="10"/>
            <color indexed="81"/>
            <rFont val="Lucida Console"/>
            <family val="3"/>
          </rPr>
          <t>Tempo de Estoque (Meses)_x000D_
_x000D_
1.209,0</t>
        </r>
      </text>
    </comment>
    <comment ref="A669" authorId="0" shapeId="0" xr:uid="{65BEA207-4464-4D98-BEE8-1E29AC0B1C16}">
      <text>
        <r>
          <rPr>
            <sz val="10"/>
            <color indexed="81"/>
            <rFont val="Lucida Console"/>
            <family val="3"/>
          </rPr>
          <t>_x000D_
80872</t>
        </r>
      </text>
    </comment>
    <comment ref="B669" authorId="0" shapeId="0" xr:uid="{D3D15446-346F-4DE4-A11D-C6E431C2A4CC}">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669" authorId="0" shapeId="0" xr:uid="{6FD1DBAE-7E80-4AF6-857D-844696C546A9}">
      <text>
        <r>
          <rPr>
            <sz val="10"/>
            <color indexed="81"/>
            <rFont val="Lucida Console"/>
            <family val="3"/>
          </rPr>
          <t>_x000D_
Pedagógico</t>
        </r>
      </text>
    </comment>
    <comment ref="X669" authorId="0" shapeId="0" xr:uid="{304466FB-3710-4B4D-91BD-A308E98D2459}">
      <text>
        <r>
          <rPr>
            <sz val="10"/>
            <color indexed="81"/>
            <rFont val="Lucida Console"/>
            <family val="3"/>
          </rPr>
          <t>_x000D_
MAQ., EQUIP., COMP., ACES., MAT. PARA ESCRIT.E ESCOLAR</t>
        </r>
      </text>
    </comment>
    <comment ref="Y669" authorId="0" shapeId="0" xr:uid="{EB819D31-3A87-46EC-9D1E-C178A8385B18}">
      <text>
        <r>
          <rPr>
            <sz val="10"/>
            <color indexed="81"/>
            <rFont val="Lucida Console"/>
            <family val="3"/>
          </rPr>
          <t>_x000D_
TINTAS  E PINCEIS ESCOLARES</t>
        </r>
      </text>
    </comment>
    <comment ref="AW669" authorId="0" shapeId="0" xr:uid="{D759FA9E-FAB4-4576-8205-6C81517AE2B5}">
      <text>
        <r>
          <rPr>
            <sz val="10"/>
            <color indexed="81"/>
            <rFont val="Lucida Console"/>
            <family val="3"/>
          </rPr>
          <t>Tempo de Estoque (Meses)_x000D_
_x000D_
2.300,0</t>
        </r>
      </text>
    </comment>
    <comment ref="A670" authorId="0" shapeId="0" xr:uid="{E3731CF8-222B-4BE4-AB0B-86650D6E3543}">
      <text>
        <r>
          <rPr>
            <sz val="10"/>
            <color indexed="81"/>
            <rFont val="Lucida Console"/>
            <family val="3"/>
          </rPr>
          <t>_x000D_
80874</t>
        </r>
      </text>
    </comment>
    <comment ref="B670" authorId="0" shapeId="0" xr:uid="{98EE949E-FEFA-47FD-AA7E-147D996FA03B}">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670" authorId="0" shapeId="0" xr:uid="{4E13266A-A1F3-40ED-BFC6-A63778EB7C72}">
      <text>
        <r>
          <rPr>
            <sz val="10"/>
            <color indexed="81"/>
            <rFont val="Lucida Console"/>
            <family val="3"/>
          </rPr>
          <t>_x000D_
Pedagógico</t>
        </r>
      </text>
    </comment>
    <comment ref="X670" authorId="0" shapeId="0" xr:uid="{99D34F46-CE03-48DA-8907-D4703E30B229}">
      <text>
        <r>
          <rPr>
            <sz val="10"/>
            <color indexed="81"/>
            <rFont val="Lucida Console"/>
            <family val="3"/>
          </rPr>
          <t>_x000D_
MAQ., EQUIP., COMP., ACES., MAT. PARA ESCRIT.E ESCOLAR</t>
        </r>
      </text>
    </comment>
    <comment ref="Y670" authorId="0" shapeId="0" xr:uid="{5A50969F-D11A-4D24-810E-B0BB63994434}">
      <text>
        <r>
          <rPr>
            <sz val="10"/>
            <color indexed="81"/>
            <rFont val="Lucida Console"/>
            <family val="3"/>
          </rPr>
          <t>_x000D_
TINTAS  E PINCEIS ESCOLARES</t>
        </r>
      </text>
    </comment>
    <comment ref="AW670" authorId="0" shapeId="0" xr:uid="{139D9021-DDA2-4142-8705-8DC2388BE170}">
      <text>
        <r>
          <rPr>
            <sz val="10"/>
            <color indexed="81"/>
            <rFont val="Lucida Console"/>
            <family val="3"/>
          </rPr>
          <t>Tempo de Estoque (Meses)_x000D_
_x000D_
1.060,0</t>
        </r>
      </text>
    </comment>
    <comment ref="A671" authorId="0" shapeId="0" xr:uid="{675AEB1B-CF6A-4379-B84D-4E404A2DB21C}">
      <text>
        <r>
          <rPr>
            <sz val="10"/>
            <color indexed="81"/>
            <rFont val="Lucida Console"/>
            <family val="3"/>
          </rPr>
          <t>_x000D_
106697</t>
        </r>
      </text>
    </comment>
    <comment ref="B671" authorId="0" shapeId="0" xr:uid="{A216D8DE-34CF-42FC-8A61-E0031D21746C}">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671" authorId="0" shapeId="0" xr:uid="{9B9284A1-33F9-493E-B02D-BE8BBC1A6EF0}">
      <text>
        <r>
          <rPr>
            <sz val="10"/>
            <color indexed="81"/>
            <rFont val="Lucida Console"/>
            <family val="3"/>
          </rPr>
          <t>_x000D_
Pedagógico</t>
        </r>
      </text>
    </comment>
    <comment ref="X671" authorId="0" shapeId="0" xr:uid="{A1602041-3431-4D85-BA7A-9DFEE976AC5A}">
      <text>
        <r>
          <rPr>
            <sz val="10"/>
            <color indexed="81"/>
            <rFont val="Lucida Console"/>
            <family val="3"/>
          </rPr>
          <t>_x000D_
MAQ., EQUIP., COMP., ACES., MAT. PARA ESCRIT.E ESCOLAR</t>
        </r>
      </text>
    </comment>
    <comment ref="Y671" authorId="0" shapeId="0" xr:uid="{6B33E903-81EA-4F1B-8821-484EFC5CCD5C}">
      <text>
        <r>
          <rPr>
            <sz val="10"/>
            <color indexed="81"/>
            <rFont val="Lucida Console"/>
            <family val="3"/>
          </rPr>
          <t>_x000D_
TINTAS  E PINCEIS ESCOLARES</t>
        </r>
      </text>
    </comment>
    <comment ref="AW671" authorId="0" shapeId="0" xr:uid="{48F8EC89-2A84-4E2B-A05F-1B583AEF44B5}">
      <text>
        <r>
          <rPr>
            <sz val="10"/>
            <color indexed="81"/>
            <rFont val="Lucida Console"/>
            <family val="3"/>
          </rPr>
          <t>Tempo de Estoque (Meses)_x000D_
_x000D_
1.150,0</t>
        </r>
      </text>
    </comment>
    <comment ref="A672" authorId="0" shapeId="0" xr:uid="{98B37A56-931B-41FB-8CE5-750909C3D457}">
      <text>
        <r>
          <rPr>
            <sz val="10"/>
            <color indexed="81"/>
            <rFont val="Lucida Console"/>
            <family val="3"/>
          </rPr>
          <t>_x000D_
135701</t>
        </r>
      </text>
    </comment>
    <comment ref="B672" authorId="0" shapeId="0" xr:uid="{79E99940-1B7C-4AEC-87EF-FFDD407C51E0}">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672" authorId="0" shapeId="0" xr:uid="{23698EA4-DB21-43C2-B5ED-DBBF21082340}">
      <text>
        <r>
          <rPr>
            <sz val="10"/>
            <color indexed="81"/>
            <rFont val="Lucida Console"/>
            <family val="3"/>
          </rPr>
          <t xml:space="preserve">_x000D_
</t>
        </r>
      </text>
    </comment>
    <comment ref="X672" authorId="0" shapeId="0" xr:uid="{106D0DA0-F2FE-4BB0-8AC7-62868942745C}">
      <text>
        <r>
          <rPr>
            <sz val="10"/>
            <color indexed="81"/>
            <rFont val="Lucida Console"/>
            <family val="3"/>
          </rPr>
          <t>_x000D_
LIVROS, JORNAIS, REVISTAS, PERIODICOS, MAPAS E PUBLICA</t>
        </r>
      </text>
    </comment>
    <comment ref="Y672" authorId="0" shapeId="0" xr:uid="{B6BAB589-4235-4B80-BDBE-8F53369F299C}">
      <text>
        <r>
          <rPr>
            <sz val="10"/>
            <color indexed="81"/>
            <rFont val="Lucida Console"/>
            <family val="3"/>
          </rPr>
          <t>_x000D_
LIVROS</t>
        </r>
      </text>
    </comment>
    <comment ref="AW672" authorId="0" shapeId="0" xr:uid="{0E0ABB2A-C02F-4E25-9E5C-86FC08988F7F}">
      <text>
        <r>
          <rPr>
            <sz val="10"/>
            <color indexed="81"/>
            <rFont val="Lucida Console"/>
            <family val="3"/>
          </rPr>
          <t>Tempo de Estoque (Meses)_x000D_
_x000D_
2.006,0</t>
        </r>
      </text>
    </comment>
    <comment ref="A673" authorId="0" shapeId="0" xr:uid="{B92EF622-25A8-4BB1-88A9-8562BAB19A17}">
      <text>
        <r>
          <rPr>
            <sz val="10"/>
            <color indexed="81"/>
            <rFont val="Lucida Console"/>
            <family val="3"/>
          </rPr>
          <t>_x000D_
135303</t>
        </r>
      </text>
    </comment>
    <comment ref="B673" authorId="0" shapeId="0" xr:uid="{A31BE84F-9614-403E-850A-79ED1DDBE6CC}">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673" authorId="0" shapeId="0" xr:uid="{2E7A0354-F0D6-4860-B1A5-E7F202F61F68}">
      <text>
        <r>
          <rPr>
            <sz val="10"/>
            <color indexed="81"/>
            <rFont val="Lucida Console"/>
            <family val="3"/>
          </rPr>
          <t>_x000D_
Administrativo</t>
        </r>
      </text>
    </comment>
    <comment ref="X673" authorId="0" shapeId="0" xr:uid="{6E08A198-789C-48E0-B780-6151CD2394B4}">
      <text>
        <r>
          <rPr>
            <sz val="10"/>
            <color indexed="81"/>
            <rFont val="Lucida Console"/>
            <family val="3"/>
          </rPr>
          <t>_x000D_
EQUIP. P/REFR. PURIF. ADUCAO DE AGUA E TRAT. DE ESGOTO</t>
        </r>
      </text>
    </comment>
    <comment ref="Y673" authorId="0" shapeId="0" xr:uid="{608595FC-FB96-4EA6-920D-476532082F87}">
      <text>
        <r>
          <rPr>
            <sz val="10"/>
            <color indexed="81"/>
            <rFont val="Lucida Console"/>
            <family val="3"/>
          </rPr>
          <t>_x000D_
FILTROS, TALHAS E ELEMENTOS P/...</t>
        </r>
      </text>
    </comment>
    <comment ref="AW673" authorId="0" shapeId="0" xr:uid="{45699DCB-C6F0-4027-BE10-F93E4B6BF7E0}">
      <text>
        <r>
          <rPr>
            <sz val="10"/>
            <color indexed="81"/>
            <rFont val="Lucida Console"/>
            <family val="3"/>
          </rPr>
          <t>Tempo de Estoque (Meses)_x000D_
_x000D_
106,0</t>
        </r>
      </text>
    </comment>
    <comment ref="A674" authorId="0" shapeId="0" xr:uid="{54A85E77-FD62-4DEC-B9F2-BC09284F3D51}">
      <text>
        <r>
          <rPr>
            <sz val="10"/>
            <color indexed="81"/>
            <rFont val="Lucida Console"/>
            <family val="3"/>
          </rPr>
          <t>_x000D_
106129</t>
        </r>
      </text>
    </comment>
    <comment ref="B674" authorId="0" shapeId="0" xr:uid="{793EBC79-5784-4A8A-8B63-9628598491C8}">
      <text>
        <r>
          <rPr>
            <sz val="10"/>
            <color indexed="81"/>
            <rFont val="Lucida Console"/>
            <family val="3"/>
          </rPr>
          <t>DESCRIÇÃO DETALHADA_x000D_
RELE TERMICO 5.5 A 8A LRD12 ( SCH )</t>
        </r>
      </text>
    </comment>
    <comment ref="W674" authorId="0" shapeId="0" xr:uid="{67F189CA-0BC7-43C0-843D-ED348A5495AD}">
      <text>
        <r>
          <rPr>
            <sz val="10"/>
            <color indexed="81"/>
            <rFont val="Lucida Console"/>
            <family val="3"/>
          </rPr>
          <t>_x000D_
DM-Elétrica</t>
        </r>
      </text>
    </comment>
    <comment ref="X674" authorId="0" shapeId="0" xr:uid="{712D3BB6-AE4C-4F06-8A0B-90D657899EC7}">
      <text>
        <r>
          <rPr>
            <sz val="10"/>
            <color indexed="81"/>
            <rFont val="Lucida Console"/>
            <family val="3"/>
          </rPr>
          <t>_x000D_
EQUIP. P/ COND. VENT. PURIF. DE AR, COMPONENTES E ACES.</t>
        </r>
      </text>
    </comment>
    <comment ref="Y674" authorId="0" shapeId="0" xr:uid="{E6B8E88D-6D88-4852-B79A-7D2B6B07F06D}">
      <text>
        <r>
          <rPr>
            <sz val="10"/>
            <color indexed="81"/>
            <rFont val="Lucida Console"/>
            <family val="3"/>
          </rPr>
          <t>_x000D_
EQUIP. E ACES. DE AQUEC. REFRIG. PRESSUR. E COND. DE AR</t>
        </r>
      </text>
    </comment>
    <comment ref="AW674" authorId="0" shapeId="0" xr:uid="{E137B7B7-D714-43AD-AB20-A3A9336DE353}">
      <text>
        <r>
          <rPr>
            <sz val="10"/>
            <color indexed="81"/>
            <rFont val="Lucida Console"/>
            <family val="3"/>
          </rPr>
          <t>Tempo de Estoque (Meses)_x000D_
_x000D_
6,0</t>
        </r>
      </text>
    </comment>
    <comment ref="A675" authorId="0" shapeId="0" xr:uid="{9D93B496-A33E-4EC0-900F-FD72B23E02F4}">
      <text>
        <r>
          <rPr>
            <sz val="10"/>
            <color indexed="81"/>
            <rFont val="Lucida Console"/>
            <family val="3"/>
          </rPr>
          <t>_x000D_
106130</t>
        </r>
      </text>
    </comment>
    <comment ref="B675" authorId="0" shapeId="0" xr:uid="{EE628A55-C5FA-4E3F-84C9-936D33166809}">
      <text>
        <r>
          <rPr>
            <sz val="10"/>
            <color indexed="81"/>
            <rFont val="Lucida Console"/>
            <family val="3"/>
          </rPr>
          <t>DESCRIÇÃO DETALHADA_x000D_
RELE TERMICO 7 A 10A LRD14 ( SCH )</t>
        </r>
      </text>
    </comment>
    <comment ref="W675" authorId="0" shapeId="0" xr:uid="{C64206F6-2926-4DA9-B40B-4CA93F06051E}">
      <text>
        <r>
          <rPr>
            <sz val="10"/>
            <color indexed="81"/>
            <rFont val="Lucida Console"/>
            <family val="3"/>
          </rPr>
          <t>_x000D_
DM-Elétrica</t>
        </r>
      </text>
    </comment>
    <comment ref="X675" authorId="0" shapeId="0" xr:uid="{DD8D3EC0-BA1C-4E56-8F3F-F7410C8F6B69}">
      <text>
        <r>
          <rPr>
            <sz val="10"/>
            <color indexed="81"/>
            <rFont val="Lucida Console"/>
            <family val="3"/>
          </rPr>
          <t>_x000D_
EQUIP. P/ COND. VENT. PURIF. DE AR, COMPONENTES E ACES.</t>
        </r>
      </text>
    </comment>
    <comment ref="Y675" authorId="0" shapeId="0" xr:uid="{F4515D37-36BC-46AD-8D1E-7D6956E2FCFF}">
      <text>
        <r>
          <rPr>
            <sz val="10"/>
            <color indexed="81"/>
            <rFont val="Lucida Console"/>
            <family val="3"/>
          </rPr>
          <t>_x000D_
EQUIP. E ACES. DE AQUEC. REFRIG. PRESSUR. E COND. DE AR</t>
        </r>
      </text>
    </comment>
    <comment ref="AW675" authorId="0" shapeId="0" xr:uid="{92B1799C-4202-4A6E-80DA-D595B1B7BAF6}">
      <text>
        <r>
          <rPr>
            <sz val="10"/>
            <color indexed="81"/>
            <rFont val="Lucida Console"/>
            <family val="3"/>
          </rPr>
          <t>Tempo de Estoque (Meses)_x000D_
_x000D_
8,0</t>
        </r>
      </text>
    </comment>
    <comment ref="A676" authorId="0" shapeId="0" xr:uid="{4BBAD5F9-07E0-4E19-B92A-A6CF6F8BB577}">
      <text>
        <r>
          <rPr>
            <sz val="10"/>
            <color indexed="81"/>
            <rFont val="Lucida Console"/>
            <family val="3"/>
          </rPr>
          <t>_x000D_
106131</t>
        </r>
      </text>
    </comment>
    <comment ref="B676" authorId="0" shapeId="0" xr:uid="{96B3C901-26D7-421D-B88D-B29E10D14D44}">
      <text>
        <r>
          <rPr>
            <sz val="10"/>
            <color indexed="81"/>
            <rFont val="Lucida Console"/>
            <family val="3"/>
          </rPr>
          <t>DESCRIÇÃO DETALHADA_x000D_
RELE TERMICO 12 A 18A LRD21 ( SCH )</t>
        </r>
      </text>
    </comment>
    <comment ref="W676" authorId="0" shapeId="0" xr:uid="{6C3E6C32-1CCE-4C95-8139-E469A59B7072}">
      <text>
        <r>
          <rPr>
            <sz val="10"/>
            <color indexed="81"/>
            <rFont val="Lucida Console"/>
            <family val="3"/>
          </rPr>
          <t>_x000D_
DM-Elétrica</t>
        </r>
      </text>
    </comment>
    <comment ref="X676" authorId="0" shapeId="0" xr:uid="{3A70DAA8-FF99-40C9-9F3B-B2AE9D737F2C}">
      <text>
        <r>
          <rPr>
            <sz val="10"/>
            <color indexed="81"/>
            <rFont val="Lucida Console"/>
            <family val="3"/>
          </rPr>
          <t>_x000D_
EQUIP. P/ COND. VENT. PURIF. DE AR, COMPONENTES E ACES.</t>
        </r>
      </text>
    </comment>
    <comment ref="Y676" authorId="0" shapeId="0" xr:uid="{5C3B9B12-FC57-4BA1-AB5D-591CB228739D}">
      <text>
        <r>
          <rPr>
            <sz val="10"/>
            <color indexed="81"/>
            <rFont val="Lucida Console"/>
            <family val="3"/>
          </rPr>
          <t>_x000D_
EQUIP. E ACES. DE AQUEC. REFRIG. PRESSUR. E COND. DE AR</t>
        </r>
      </text>
    </comment>
    <comment ref="AW676" authorId="0" shapeId="0" xr:uid="{A51B8791-E0BC-41B5-A51C-996AE98A5B20}">
      <text>
        <r>
          <rPr>
            <sz val="10"/>
            <color indexed="81"/>
            <rFont val="Lucida Console"/>
            <family val="3"/>
          </rPr>
          <t>Tempo de Estoque (Meses)_x000D_
_x000D_
11,0</t>
        </r>
      </text>
    </comment>
    <comment ref="A677" authorId="0" shapeId="0" xr:uid="{AED1115E-EBB9-441B-ACA8-D726634FF216}">
      <text>
        <r>
          <rPr>
            <sz val="10"/>
            <color indexed="81"/>
            <rFont val="Lucida Console"/>
            <family val="3"/>
          </rPr>
          <t>_x000D_
107790</t>
        </r>
      </text>
    </comment>
    <comment ref="B677" authorId="0" shapeId="0" xr:uid="{F76849CB-555A-4511-B51A-EF2FDA0D72F6}">
      <text>
        <r>
          <rPr>
            <sz val="10"/>
            <color indexed="81"/>
            <rFont val="Lucida Console"/>
            <family val="3"/>
          </rPr>
          <t>DESCRIÇÃO DETALHADA_x000D_
CONTROLADOR ROTATIVO DE VELOCIDADE COM CHAVE PARA VENTILADORES COM PLACA 4 X 2 . COR BRANCA.</t>
        </r>
      </text>
    </comment>
    <comment ref="W677" authorId="0" shapeId="0" xr:uid="{6CF0111B-127D-4B04-A33D-FC5A3AC57B2E}">
      <text>
        <r>
          <rPr>
            <sz val="10"/>
            <color indexed="81"/>
            <rFont val="Lucida Console"/>
            <family val="3"/>
          </rPr>
          <t>_x000D_
DM-Elétrica</t>
        </r>
      </text>
    </comment>
    <comment ref="X677" authorId="0" shapeId="0" xr:uid="{11AC9F2A-E317-48B8-A917-03733E52E7D1}">
      <text>
        <r>
          <rPr>
            <sz val="10"/>
            <color indexed="81"/>
            <rFont val="Lucida Console"/>
            <family val="3"/>
          </rPr>
          <t>_x000D_
EQUIP. P/ COND. VENT. PURIF. DE AR, COMPONENTES E ACES.</t>
        </r>
      </text>
    </comment>
    <comment ref="Y677" authorId="0" shapeId="0" xr:uid="{ED853C21-45D7-4FA1-B01D-2ACC10D8BE38}">
      <text>
        <r>
          <rPr>
            <sz val="10"/>
            <color indexed="81"/>
            <rFont val="Lucida Console"/>
            <family val="3"/>
          </rPr>
          <t>_x000D_
EQUIP. E ACES.P/ VENTILACAO E CIRCULACAO DE AR</t>
        </r>
      </text>
    </comment>
    <comment ref="AW677" authorId="0" shapeId="0" xr:uid="{21F3A710-2C6A-471A-9DFD-BF2D3C90BB29}">
      <text>
        <r>
          <rPr>
            <sz val="10"/>
            <color indexed="81"/>
            <rFont val="Lucida Console"/>
            <family val="3"/>
          </rPr>
          <t>Tempo de Estoque (Meses)_x000D_
_x000D_
241,0</t>
        </r>
      </text>
    </comment>
    <comment ref="A678" authorId="0" shapeId="0" xr:uid="{54C8A523-8571-497C-87C2-68A4868FD7AC}">
      <text>
        <r>
          <rPr>
            <sz val="10"/>
            <color indexed="81"/>
            <rFont val="Lucida Console"/>
            <family val="3"/>
          </rPr>
          <t>_x000D_
23016</t>
        </r>
      </text>
    </comment>
    <comment ref="B678" authorId="0" shapeId="0" xr:uid="{5074EACE-4264-40F8-8C99-435B25209209}">
      <text>
        <r>
          <rPr>
            <sz val="10"/>
            <color indexed="81"/>
            <rFont val="Lucida Console"/>
            <family val="3"/>
          </rPr>
          <t>DESCRIÇÃO DETALHADA_x000D_
MASSA CORRIDA ACRILICA - LT COM 18 L</t>
        </r>
      </text>
    </comment>
    <comment ref="W678" authorId="0" shapeId="0" xr:uid="{89889C71-B345-44CD-8651-B2B25384C16F}">
      <text>
        <r>
          <rPr>
            <sz val="10"/>
            <color indexed="81"/>
            <rFont val="Lucida Console"/>
            <family val="3"/>
          </rPr>
          <t>_x000D_
DM-Construção</t>
        </r>
      </text>
    </comment>
    <comment ref="X678" authorId="0" shapeId="0" xr:uid="{C5099AB3-1C25-4ADD-BC79-6310354ADD55}">
      <text>
        <r>
          <rPr>
            <sz val="10"/>
            <color indexed="81"/>
            <rFont val="Lucida Console"/>
            <family val="3"/>
          </rPr>
          <t>_x000D_
MAT.E EQUIP. P/ CONSTR.CIVIL E CONSERV. DE VIAS PUBL.</t>
        </r>
      </text>
    </comment>
    <comment ref="Y678" authorId="0" shapeId="0" xr:uid="{A5579B3F-1379-4669-A475-A9A590B7BE35}">
      <text>
        <r>
          <rPr>
            <sz val="10"/>
            <color indexed="81"/>
            <rFont val="Lucida Console"/>
            <family val="3"/>
          </rPr>
          <t>_x000D_
CIMENTO, CAL E GESSO</t>
        </r>
      </text>
    </comment>
    <comment ref="AC678" authorId="0" shapeId="0" xr:uid="{1F23C292-E3FD-4880-AA82-DF0F26DCC33D}">
      <text>
        <r>
          <rPr>
            <sz val="10"/>
            <color indexed="81"/>
            <rFont val="Lucida Console"/>
            <family val="3"/>
          </rPr>
          <t>_x000D_
AF 11.594/23 | Vc 18.10.2023 | Saldo    100 | CHRISPIN PINTOR TINTAS COMERCIO E SERVICOS LTDA ( 119818 )</t>
        </r>
      </text>
    </comment>
    <comment ref="AG678" authorId="0" shapeId="0" xr:uid="{9EC88175-D350-4DA8-A31E-F94A14DE2C73}">
      <text>
        <r>
          <rPr>
            <sz val="10"/>
            <color indexed="81"/>
            <rFont val="Lucida Console"/>
            <family val="3"/>
          </rPr>
          <t>_x000D_
AF 11.594/23 | Vc 18.10.2023 | Saldo    100 | CHRISPIN PINTOR TINTAS COMERCIO E SERVICOS LTDA ( 119818 )</t>
        </r>
      </text>
    </comment>
    <comment ref="AW678" authorId="0" shapeId="0" xr:uid="{2DA514C8-9615-4E27-B03D-D128CF566D18}">
      <text>
        <r>
          <rPr>
            <sz val="10"/>
            <color indexed="81"/>
            <rFont val="Lucida Console"/>
            <family val="3"/>
          </rPr>
          <t>Tempo de Estoque (Meses)_x000D_
_x000D_
100,0</t>
        </r>
      </text>
    </comment>
    <comment ref="A679" authorId="0" shapeId="0" xr:uid="{239485D8-9A13-46E8-80D7-E7DA4DCE80F1}">
      <text>
        <r>
          <rPr>
            <sz val="10"/>
            <color indexed="81"/>
            <rFont val="Lucida Console"/>
            <family val="3"/>
          </rPr>
          <t>_x000D_
130632</t>
        </r>
      </text>
    </comment>
    <comment ref="B679" authorId="0" shapeId="0" xr:uid="{BEDF9C2F-7036-47B5-A138-9042AF2D83E9}">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679" authorId="0" shapeId="0" xr:uid="{4F8372BE-7E7A-4D00-A87B-D61C0D71882D}">
      <text>
        <r>
          <rPr>
            <sz val="10"/>
            <color indexed="81"/>
            <rFont val="Lucida Console"/>
            <family val="3"/>
          </rPr>
          <t>_x000D_
DM-Construção</t>
        </r>
      </text>
    </comment>
    <comment ref="X679" authorId="0" shapeId="0" xr:uid="{475526B3-FCF2-4321-A6F7-85B03367D72A}">
      <text>
        <r>
          <rPr>
            <sz val="10"/>
            <color indexed="81"/>
            <rFont val="Lucida Console"/>
            <family val="3"/>
          </rPr>
          <t>_x000D_
MAT.E EQUIP. P/ CONSTR.CIVIL E CONSERV. DE VIAS PUBL.</t>
        </r>
      </text>
    </comment>
    <comment ref="Y679" authorId="0" shapeId="0" xr:uid="{ECBE1623-DB6B-429F-AB16-12BBE875ACC7}">
      <text>
        <r>
          <rPr>
            <sz val="10"/>
            <color indexed="81"/>
            <rFont val="Lucida Console"/>
            <family val="3"/>
          </rPr>
          <t>_x000D_
CIMENTO, CAL E GESSO</t>
        </r>
      </text>
    </comment>
    <comment ref="AW679" authorId="0" shapeId="0" xr:uid="{BFDAF710-E593-446E-BFAA-A99059B372D5}">
      <text>
        <r>
          <rPr>
            <sz val="10"/>
            <color indexed="81"/>
            <rFont val="Lucida Console"/>
            <family val="3"/>
          </rPr>
          <t>Tempo de Estoque (Meses)_x000D_
_x000D_
0,0</t>
        </r>
      </text>
    </comment>
    <comment ref="A680" authorId="0" shapeId="0" xr:uid="{78DECAC6-8A06-42EA-9195-95300172FFB2}">
      <text>
        <r>
          <rPr>
            <sz val="10"/>
            <color indexed="81"/>
            <rFont val="Lucida Console"/>
            <family val="3"/>
          </rPr>
          <t>_x000D_
13197</t>
        </r>
      </text>
    </comment>
    <comment ref="B680" authorId="0" shapeId="0" xr:uid="{D239D3B7-5617-4FB7-B37F-A90AC78CC52B}">
      <text>
        <r>
          <rPr>
            <sz val="10"/>
            <color indexed="81"/>
            <rFont val="Lucida Console"/>
            <family val="3"/>
          </rPr>
          <t>DESCRIÇÃO DETALHADA_x000D_
DOBRADICA DE FERRO POLIDO 1.1/2"</t>
        </r>
      </text>
    </comment>
    <comment ref="W680" authorId="0" shapeId="0" xr:uid="{B7950582-8F4E-499E-BAE3-A161A7DBB9E5}">
      <text>
        <r>
          <rPr>
            <sz val="10"/>
            <color indexed="81"/>
            <rFont val="Lucida Console"/>
            <family val="3"/>
          </rPr>
          <t>_x000D_
DM-Construção</t>
        </r>
      </text>
    </comment>
    <comment ref="X680" authorId="0" shapeId="0" xr:uid="{794BB066-7270-43AE-BAC9-DAF1BDAFD6C3}">
      <text>
        <r>
          <rPr>
            <sz val="10"/>
            <color indexed="81"/>
            <rFont val="Lucida Console"/>
            <family val="3"/>
          </rPr>
          <t>_x000D_
MAT.E EQUIP. P/ CONSTR.CIVIL E CONSERV. DE VIAS PUBL.</t>
        </r>
      </text>
    </comment>
    <comment ref="Y680" authorId="0" shapeId="0" xr:uid="{75B6C215-9982-4E61-AAEA-E650DE79C943}">
      <text>
        <r>
          <rPr>
            <sz val="10"/>
            <color indexed="81"/>
            <rFont val="Lucida Console"/>
            <family val="3"/>
          </rPr>
          <t>_x000D_
FECHADURAS, DOBRADICAS E MACANETAS</t>
        </r>
      </text>
    </comment>
    <comment ref="AW680" authorId="0" shapeId="0" xr:uid="{7113182F-BA98-402E-AC56-6BF54E1E172F}">
      <text>
        <r>
          <rPr>
            <sz val="10"/>
            <color indexed="81"/>
            <rFont val="Lucida Console"/>
            <family val="3"/>
          </rPr>
          <t>Tempo de Estoque (Meses)_x000D_
_x000D_
269,0</t>
        </r>
      </text>
    </comment>
    <comment ref="A681" authorId="0" shapeId="0" xr:uid="{214C03A5-45BD-4F14-8B07-6911F410BF57}">
      <text>
        <r>
          <rPr>
            <sz val="10"/>
            <color indexed="81"/>
            <rFont val="Lucida Console"/>
            <family val="3"/>
          </rPr>
          <t>_x000D_
23607</t>
        </r>
      </text>
    </comment>
    <comment ref="B681" authorId="0" shapeId="0" xr:uid="{0B322D8D-C4FC-402E-9D7C-401A14858BE9}">
      <text>
        <r>
          <rPr>
            <sz val="10"/>
            <color indexed="81"/>
            <rFont val="Lucida Console"/>
            <family val="3"/>
          </rPr>
          <t>DESCRIÇÃO DETALHADA_x000D_
TARJETA CROMADA 2"</t>
        </r>
      </text>
    </comment>
    <comment ref="W681" authorId="0" shapeId="0" xr:uid="{311CA151-0461-4F39-A13F-A803C641A277}">
      <text>
        <r>
          <rPr>
            <sz val="10"/>
            <color indexed="81"/>
            <rFont val="Lucida Console"/>
            <family val="3"/>
          </rPr>
          <t>_x000D_
DM-Marcenaria</t>
        </r>
      </text>
    </comment>
    <comment ref="X681" authorId="0" shapeId="0" xr:uid="{51CA56F8-3928-423A-B6BC-075126D852F2}">
      <text>
        <r>
          <rPr>
            <sz val="10"/>
            <color indexed="81"/>
            <rFont val="Lucida Console"/>
            <family val="3"/>
          </rPr>
          <t>_x000D_
MAT.E EQUIP. P/ CONSTR.CIVIL E CONSERV. DE VIAS PUBL.</t>
        </r>
      </text>
    </comment>
    <comment ref="Y681" authorId="0" shapeId="0" xr:uid="{E13FD516-804E-402C-96EE-934E29AAD88D}">
      <text>
        <r>
          <rPr>
            <sz val="10"/>
            <color indexed="81"/>
            <rFont val="Lucida Console"/>
            <family val="3"/>
          </rPr>
          <t>_x000D_
MACANETAS, TRINCOS, TRAMELAS E TRANQUETAS</t>
        </r>
      </text>
    </comment>
    <comment ref="AW681" authorId="0" shapeId="0" xr:uid="{484B3CE1-CD4E-431D-9521-7C1A160F8B20}">
      <text>
        <r>
          <rPr>
            <sz val="10"/>
            <color indexed="81"/>
            <rFont val="Lucida Console"/>
            <family val="3"/>
          </rPr>
          <t>Tempo de Estoque (Meses)_x000D_
_x000D_
575,0</t>
        </r>
      </text>
    </comment>
    <comment ref="A682" authorId="0" shapeId="0" xr:uid="{1F42B757-FB9F-4BED-8A8F-9FF654F9C845}">
      <text>
        <r>
          <rPr>
            <sz val="10"/>
            <color indexed="81"/>
            <rFont val="Lucida Console"/>
            <family val="3"/>
          </rPr>
          <t>_x000D_
14056</t>
        </r>
      </text>
    </comment>
    <comment ref="B682" authorId="0" shapeId="0" xr:uid="{16742CF2-84DB-41E6-96B2-31EA6D977447}">
      <text>
        <r>
          <rPr>
            <sz val="10"/>
            <color indexed="81"/>
            <rFont val="Lucida Console"/>
            <family val="3"/>
          </rPr>
          <t>DESCRIÇÃO DETALHADA_x000D_
PORTA CADEADO DE FERRO ZINCADO DE 3 1/2"</t>
        </r>
      </text>
    </comment>
    <comment ref="W682" authorId="0" shapeId="0" xr:uid="{748B58F3-1DCA-49AC-9729-8766B982EBC2}">
      <text>
        <r>
          <rPr>
            <sz val="10"/>
            <color indexed="81"/>
            <rFont val="Lucida Console"/>
            <family val="3"/>
          </rPr>
          <t>_x000D_
Administrativo</t>
        </r>
      </text>
    </comment>
    <comment ref="X682" authorId="0" shapeId="0" xr:uid="{927BF480-61F2-494A-B491-666A34C3AE27}">
      <text>
        <r>
          <rPr>
            <sz val="10"/>
            <color indexed="81"/>
            <rFont val="Lucida Console"/>
            <family val="3"/>
          </rPr>
          <t>_x000D_
MAT.E EQUIP. P/ CONSTR.CIVIL E CONSERV. DE VIAS PUBL.</t>
        </r>
      </text>
    </comment>
    <comment ref="Y682" authorId="0" shapeId="0" xr:uid="{0DC0E844-3E01-4D98-8221-DF43A34C80C3}">
      <text>
        <r>
          <rPr>
            <sz val="10"/>
            <color indexed="81"/>
            <rFont val="Lucida Console"/>
            <family val="3"/>
          </rPr>
          <t>_x000D_
CADEADOS</t>
        </r>
      </text>
    </comment>
    <comment ref="AW682" authorId="0" shapeId="0" xr:uid="{0E21BEC7-58BD-40F2-90B7-B27B5CE6A0A3}">
      <text>
        <r>
          <rPr>
            <sz val="10"/>
            <color indexed="81"/>
            <rFont val="Lucida Console"/>
            <family val="3"/>
          </rPr>
          <t>Tempo de Estoque (Meses)_x000D_
_x000D_
72,0</t>
        </r>
      </text>
    </comment>
    <comment ref="A683" authorId="0" shapeId="0" xr:uid="{C52A7CE3-005D-4837-88CC-29BED75DBAB7}">
      <text>
        <r>
          <rPr>
            <sz val="10"/>
            <color indexed="81"/>
            <rFont val="Lucida Console"/>
            <family val="3"/>
          </rPr>
          <t>_x000D_
87247</t>
        </r>
      </text>
    </comment>
    <comment ref="B683" authorId="0" shapeId="0" xr:uid="{051C43C1-F241-4B8A-97A0-0F55DD8BCBEC}">
      <text>
        <r>
          <rPr>
            <sz val="10"/>
            <color indexed="81"/>
            <rFont val="Lucida Console"/>
            <family val="3"/>
          </rPr>
          <t>DESCRIÇÃO DETALHADA_x000D_
PORTA CADEADO DE FERRO ZINCADO 2"</t>
        </r>
      </text>
    </comment>
    <comment ref="W683" authorId="0" shapeId="0" xr:uid="{76E90E6B-1C73-402D-AF97-E6D031CFF7EC}">
      <text>
        <r>
          <rPr>
            <sz val="10"/>
            <color indexed="81"/>
            <rFont val="Lucida Console"/>
            <family val="3"/>
          </rPr>
          <t>_x000D_
Administrativo</t>
        </r>
      </text>
    </comment>
    <comment ref="X683" authorId="0" shapeId="0" xr:uid="{6420620D-F6A0-4618-B4A7-DDE07A7E4632}">
      <text>
        <r>
          <rPr>
            <sz val="10"/>
            <color indexed="81"/>
            <rFont val="Lucida Console"/>
            <family val="3"/>
          </rPr>
          <t>_x000D_
MAT.E EQUIP. P/ CONSTR.CIVIL E CONSERV. DE VIAS PUBL.</t>
        </r>
      </text>
    </comment>
    <comment ref="Y683" authorId="0" shapeId="0" xr:uid="{177370C3-310E-4B57-94FC-D1B2403A520C}">
      <text>
        <r>
          <rPr>
            <sz val="10"/>
            <color indexed="81"/>
            <rFont val="Lucida Console"/>
            <family val="3"/>
          </rPr>
          <t>_x000D_
CADEADOS</t>
        </r>
      </text>
    </comment>
    <comment ref="AW683" authorId="0" shapeId="0" xr:uid="{D7A079C0-1901-4D54-A23A-E4D72E59F24E}">
      <text>
        <r>
          <rPr>
            <sz val="10"/>
            <color indexed="81"/>
            <rFont val="Lucida Console"/>
            <family val="3"/>
          </rPr>
          <t>Tempo de Estoque (Meses)_x000D_
_x000D_
347,0</t>
        </r>
      </text>
    </comment>
    <comment ref="A684" authorId="0" shapeId="0" xr:uid="{0ECECCCB-7F27-486F-83F7-0A158B993E51}">
      <text>
        <r>
          <rPr>
            <sz val="10"/>
            <color indexed="81"/>
            <rFont val="Lucida Console"/>
            <family val="3"/>
          </rPr>
          <t>_x000D_
88876</t>
        </r>
      </text>
    </comment>
    <comment ref="B684" authorId="0" shapeId="0" xr:uid="{954582FB-E3ED-46C8-BA0E-55A10D5DD3AB}">
      <text>
        <r>
          <rPr>
            <sz val="10"/>
            <color indexed="81"/>
            <rFont val="Lucida Console"/>
            <family val="3"/>
          </rPr>
          <t>DESCRIÇÃO DETALHADA_x000D_
ALAVANCA EM FERRO  PARA VITRO, TAMANHO PADRAO</t>
        </r>
      </text>
    </comment>
    <comment ref="W684" authorId="0" shapeId="0" xr:uid="{B983C058-5847-409E-885C-3042F0872CD7}">
      <text>
        <r>
          <rPr>
            <sz val="10"/>
            <color indexed="81"/>
            <rFont val="Lucida Console"/>
            <family val="3"/>
          </rPr>
          <t>_x000D_
DM-Construção</t>
        </r>
      </text>
    </comment>
    <comment ref="X684" authorId="0" shapeId="0" xr:uid="{493E3017-B6F7-4A2B-B974-1BBA57F47D6B}">
      <text>
        <r>
          <rPr>
            <sz val="10"/>
            <color indexed="81"/>
            <rFont val="Lucida Console"/>
            <family val="3"/>
          </rPr>
          <t>_x000D_
MAT.E EQUIP. P/ CONSTR.CIVIL E CONSERV. DE VIAS PUBL.</t>
        </r>
      </text>
    </comment>
    <comment ref="Y684" authorId="0" shapeId="0" xr:uid="{79CD814E-5238-48D4-AABD-907B668AAD19}">
      <text>
        <r>
          <rPr>
            <sz val="10"/>
            <color indexed="81"/>
            <rFont val="Lucida Console"/>
            <family val="3"/>
          </rPr>
          <t>_x000D_
CAIXILHOS, JANELAS E VITROS</t>
        </r>
      </text>
    </comment>
    <comment ref="AW684" authorId="0" shapeId="0" xr:uid="{CDC85D28-03F3-439F-890E-3B169E03EAF1}">
      <text>
        <r>
          <rPr>
            <sz val="10"/>
            <color indexed="81"/>
            <rFont val="Lucida Console"/>
            <family val="3"/>
          </rPr>
          <t>Tempo de Estoque (Meses)_x000D_
_x000D_
692,0</t>
        </r>
      </text>
    </comment>
    <comment ref="A685" authorId="0" shapeId="0" xr:uid="{A380093B-4AD1-4F69-8B64-90606322D218}">
      <text>
        <r>
          <rPr>
            <sz val="10"/>
            <color indexed="81"/>
            <rFont val="Lucida Console"/>
            <family val="3"/>
          </rPr>
          <t>_x000D_
78303</t>
        </r>
      </text>
    </comment>
    <comment ref="B685" authorId="0" shapeId="0" xr:uid="{D60BC9FC-B256-4549-9341-A626356F80D5}">
      <text>
        <r>
          <rPr>
            <sz val="10"/>
            <color indexed="81"/>
            <rFont val="Lucida Console"/>
            <family val="3"/>
          </rPr>
          <t>DESCRIÇÃO DETALHADA_x000D_
PIA DE ACO INOX COM 01 CUBA, MEDINDO 1,50 M DE COMP. E LARGURA MINIMA DE 53 CM</t>
        </r>
      </text>
    </comment>
    <comment ref="W685" authorId="0" shapeId="0" xr:uid="{88A44E5F-424D-4FED-AAF0-6953D7FDC1E7}">
      <text>
        <r>
          <rPr>
            <sz val="10"/>
            <color indexed="81"/>
            <rFont val="Lucida Console"/>
            <family val="3"/>
          </rPr>
          <t>_x000D_
DM-Construção</t>
        </r>
      </text>
    </comment>
    <comment ref="X685" authorId="0" shapeId="0" xr:uid="{3862C5B4-C3B3-43E8-8D1D-4417A11C73B8}">
      <text>
        <r>
          <rPr>
            <sz val="10"/>
            <color indexed="81"/>
            <rFont val="Lucida Console"/>
            <family val="3"/>
          </rPr>
          <t>_x000D_
MAT.E EQUIP. P/ CONSTR.CIVIL E CONSERV. DE VIAS PUBL.</t>
        </r>
      </text>
    </comment>
    <comment ref="Y685" authorId="0" shapeId="0" xr:uid="{9E7FF1E0-854A-476D-8989-A9D1CAF30D1E}">
      <text>
        <r>
          <rPr>
            <sz val="10"/>
            <color indexed="81"/>
            <rFont val="Lucida Console"/>
            <family val="3"/>
          </rPr>
          <t>_x000D_
TANQUES, LAVATORIOS E PIAS</t>
        </r>
      </text>
    </comment>
    <comment ref="AW685" authorId="0" shapeId="0" xr:uid="{EC80F3E0-FD1E-4958-81F1-D2D48E7A7522}">
      <text>
        <r>
          <rPr>
            <sz val="10"/>
            <color indexed="81"/>
            <rFont val="Lucida Console"/>
            <family val="3"/>
          </rPr>
          <t>Tempo de Estoque (Meses)_x000D_
_x000D_
17,0</t>
        </r>
      </text>
    </comment>
    <comment ref="A686" authorId="0" shapeId="0" xr:uid="{FA0A7D03-87DF-4E2E-BD32-B520D32CDBD8}">
      <text>
        <r>
          <rPr>
            <sz val="10"/>
            <color indexed="81"/>
            <rFont val="Lucida Console"/>
            <family val="3"/>
          </rPr>
          <t>_x000D_
144153</t>
        </r>
      </text>
    </comment>
    <comment ref="B686" authorId="0" shapeId="0" xr:uid="{BE5E6161-9F4D-45C9-A423-D5BCD9C101FD}">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686" authorId="0" shapeId="0" xr:uid="{BC567659-659D-4239-B543-9AF1751EAD73}">
      <text>
        <r>
          <rPr>
            <sz val="10"/>
            <color indexed="81"/>
            <rFont val="Lucida Console"/>
            <family val="3"/>
          </rPr>
          <t>_x000D_
DM-Construção</t>
        </r>
      </text>
    </comment>
    <comment ref="X686" authorId="0" shapeId="0" xr:uid="{95885925-934C-4FAC-89EF-10FB435B9D71}">
      <text>
        <r>
          <rPr>
            <sz val="10"/>
            <color indexed="81"/>
            <rFont val="Lucida Console"/>
            <family val="3"/>
          </rPr>
          <t>_x000D_
MAT.E EQUIP. P/ CONSTR.CIVIL E CONSERV. DE VIAS PUBL.</t>
        </r>
      </text>
    </comment>
    <comment ref="Y686" authorId="0" shapeId="0" xr:uid="{499BE544-4D3A-4E7B-9007-615BC646F216}">
      <text>
        <r>
          <rPr>
            <sz val="10"/>
            <color indexed="81"/>
            <rFont val="Lucida Console"/>
            <family val="3"/>
          </rPr>
          <t>_x000D_
TANQUES, LAVATORIOS E PIAS</t>
        </r>
      </text>
    </comment>
    <comment ref="AW686" authorId="0" shapeId="0" xr:uid="{7E6156CB-1188-4830-8D9D-2B4464580778}">
      <text>
        <r>
          <rPr>
            <sz val="10"/>
            <color indexed="81"/>
            <rFont val="Lucida Console"/>
            <family val="3"/>
          </rPr>
          <t>Tempo de Estoque (Meses)_x000D_
_x000D_
373,0</t>
        </r>
      </text>
    </comment>
    <comment ref="A687" authorId="0" shapeId="0" xr:uid="{4E8FAEF5-1118-4FBA-B75D-D6A6A9EE818C}">
      <text>
        <r>
          <rPr>
            <sz val="10"/>
            <color indexed="81"/>
            <rFont val="Lucida Console"/>
            <family val="3"/>
          </rPr>
          <t>_x000D_
105294</t>
        </r>
      </text>
    </comment>
    <comment ref="B687" authorId="0" shapeId="0" xr:uid="{A046AC6F-7DE4-4348-8EE3-760CF124F80D}">
      <text>
        <r>
          <rPr>
            <sz val="10"/>
            <color indexed="81"/>
            <rFont val="Lucida Console"/>
            <family val="3"/>
          </rPr>
          <t>DESCRIÇÃO DETALHADA_x000D_
GRELHA REDONDA PARA RALO EM INOX, 6" COM DISPOSITIVO DE VEDACAO PARA INSETO</t>
        </r>
      </text>
    </comment>
    <comment ref="W687" authorId="0" shapeId="0" xr:uid="{98866846-9297-411A-8E38-22B1726D5A2A}">
      <text>
        <r>
          <rPr>
            <sz val="10"/>
            <color indexed="81"/>
            <rFont val="Lucida Console"/>
            <family val="3"/>
          </rPr>
          <t>_x000D_
DM-Construção</t>
        </r>
      </text>
    </comment>
    <comment ref="X687" authorId="0" shapeId="0" xr:uid="{7C9CCA58-C7C1-4BC4-B1F6-274832305584}">
      <text>
        <r>
          <rPr>
            <sz val="10"/>
            <color indexed="81"/>
            <rFont val="Lucida Console"/>
            <family val="3"/>
          </rPr>
          <t>_x000D_
MAT.E EQUIP. P/ CONSTR.CIVIL E CONSERV. DE VIAS PUBL.</t>
        </r>
      </text>
    </comment>
    <comment ref="Y687" authorId="0" shapeId="0" xr:uid="{BC7736DA-79A6-4E50-81C8-7E3D7BD1CFF6}">
      <text>
        <r>
          <rPr>
            <sz val="10"/>
            <color indexed="81"/>
            <rFont val="Lucida Console"/>
            <family val="3"/>
          </rPr>
          <t>_x000D_
TAMPOS/GRELHAS P/ USO EM VIAS PUBLICAS</t>
        </r>
      </text>
    </comment>
    <comment ref="AW687" authorId="0" shapeId="0" xr:uid="{AF1FAF53-E974-4895-959D-4E7BC5469FD3}">
      <text>
        <r>
          <rPr>
            <sz val="10"/>
            <color indexed="81"/>
            <rFont val="Lucida Console"/>
            <family val="3"/>
          </rPr>
          <t>Tempo de Estoque (Meses)_x000D_
_x000D_
75,0</t>
        </r>
      </text>
    </comment>
    <comment ref="A688" authorId="0" shapeId="0" xr:uid="{09EAD3D0-D943-475D-8581-1B3AB6DF49A2}">
      <text>
        <r>
          <rPr>
            <sz val="10"/>
            <color indexed="81"/>
            <rFont val="Lucida Console"/>
            <family val="3"/>
          </rPr>
          <t>_x000D_
106909</t>
        </r>
      </text>
    </comment>
    <comment ref="B688" authorId="0" shapeId="0" xr:uid="{7A92118A-1294-4224-B83D-74812AF92964}">
      <text>
        <r>
          <rPr>
            <sz val="10"/>
            <color indexed="81"/>
            <rFont val="Lucida Console"/>
            <family val="3"/>
          </rPr>
          <t>DESCRIÇÃO DETALHADA_x000D_
CAMISA DE BRIM, N° 2, CONFECCIONADA EM TECIDO 100% ALGODAO, COM ACABAMENTO ESPECIAL PARA PROTECAO AO ARCO ELETRICO E EXPOSICAO A CHAMAS,  NA COR CINZA.</t>
        </r>
      </text>
    </comment>
    <comment ref="W688" authorId="0" shapeId="0" xr:uid="{79BE972A-5795-4E7C-B530-38B1C12E9FCB}">
      <text>
        <r>
          <rPr>
            <sz val="10"/>
            <color indexed="81"/>
            <rFont val="Lucida Console"/>
            <family val="3"/>
          </rPr>
          <t>_x000D_
SegMedTra</t>
        </r>
      </text>
    </comment>
    <comment ref="X688" authorId="0" shapeId="0" xr:uid="{DFED4308-AAA8-4EA9-B1BF-9ACABC997E3A}">
      <text>
        <r>
          <rPr>
            <sz val="10"/>
            <color indexed="81"/>
            <rFont val="Lucida Console"/>
            <family val="3"/>
          </rPr>
          <t>_x000D_
EQUIP PROT IND, INST MAT P/ SINAL, CONTR, COMB ...</t>
        </r>
      </text>
    </comment>
    <comment ref="Y688" authorId="0" shapeId="0" xr:uid="{62DAFC1A-110D-4409-B767-C6B510C0352B}">
      <text>
        <r>
          <rPr>
            <sz val="10"/>
            <color indexed="81"/>
            <rFont val="Lucida Console"/>
            <family val="3"/>
          </rPr>
          <t>_x000D_
CALCADOS, LUVAS, OCULOS, MASCARAS, CAPACETES, CASSETETE</t>
        </r>
      </text>
    </comment>
    <comment ref="AW688" authorId="0" shapeId="0" xr:uid="{2DB29715-1252-411A-BB75-76A0EE6F42AD}">
      <text>
        <r>
          <rPr>
            <sz val="10"/>
            <color indexed="81"/>
            <rFont val="Lucida Console"/>
            <family val="3"/>
          </rPr>
          <t>Tempo de Estoque (Meses)_x000D_
_x000D_
3,0</t>
        </r>
      </text>
    </comment>
    <comment ref="A689" authorId="0" shapeId="0" xr:uid="{E0385D8D-EE2C-4287-BCAD-31DB7C997921}">
      <text>
        <r>
          <rPr>
            <sz val="10"/>
            <color indexed="81"/>
            <rFont val="Lucida Console"/>
            <family val="3"/>
          </rPr>
          <t>_x000D_
106910</t>
        </r>
      </text>
    </comment>
    <comment ref="B689" authorId="0" shapeId="0" xr:uid="{A317C777-E26C-4E8C-A776-737056477719}">
      <text>
        <r>
          <rPr>
            <sz val="10"/>
            <color indexed="81"/>
            <rFont val="Lucida Console"/>
            <family val="3"/>
          </rPr>
          <t>DESCRIÇÃO DETALHADA_x000D_
CAMISA DE BRIM, N° 3, CONFECCIONADA EM TECIDO 100% ALGODAO, COM ACABAMENTO ESPECIAL PARA PROTECAO AO ARCO ELETRICO E EXPOSICAO A CHAMAS,  NA COR CINZA.</t>
        </r>
      </text>
    </comment>
    <comment ref="W689" authorId="0" shapeId="0" xr:uid="{8B4094C1-2AB5-41B1-986F-4C55CB7D9475}">
      <text>
        <r>
          <rPr>
            <sz val="10"/>
            <color indexed="81"/>
            <rFont val="Lucida Console"/>
            <family val="3"/>
          </rPr>
          <t>_x000D_
SegMedTra</t>
        </r>
      </text>
    </comment>
    <comment ref="X689" authorId="0" shapeId="0" xr:uid="{70EDF160-F105-4A61-97BA-552221703C17}">
      <text>
        <r>
          <rPr>
            <sz val="10"/>
            <color indexed="81"/>
            <rFont val="Lucida Console"/>
            <family val="3"/>
          </rPr>
          <t>_x000D_
EQUIP PROT IND, INST MAT P/ SINAL, CONTR, COMB ...</t>
        </r>
      </text>
    </comment>
    <comment ref="Y689" authorId="0" shapeId="0" xr:uid="{675F6452-8937-42A2-B44B-1AC1630442B4}">
      <text>
        <r>
          <rPr>
            <sz val="10"/>
            <color indexed="81"/>
            <rFont val="Lucida Console"/>
            <family val="3"/>
          </rPr>
          <t>_x000D_
CALCADOS, LUVAS, OCULOS, MASCARAS, CAPACETES, CASSETETE</t>
        </r>
      </text>
    </comment>
    <comment ref="AW689" authorId="0" shapeId="0" xr:uid="{96159931-E5C6-4F67-B922-3618A72D7E04}">
      <text>
        <r>
          <rPr>
            <sz val="10"/>
            <color indexed="81"/>
            <rFont val="Lucida Console"/>
            <family val="3"/>
          </rPr>
          <t>Tempo de Estoque (Meses)_x000D_
_x000D_
7,0</t>
        </r>
      </text>
    </comment>
    <comment ref="A690" authorId="0" shapeId="0" xr:uid="{A93474AB-F06A-41E6-AD7D-FC08D6A46D26}">
      <text>
        <r>
          <rPr>
            <sz val="10"/>
            <color indexed="81"/>
            <rFont val="Lucida Console"/>
            <family val="3"/>
          </rPr>
          <t>_x000D_
106911</t>
        </r>
      </text>
    </comment>
    <comment ref="B690" authorId="0" shapeId="0" xr:uid="{97FAF63E-4E60-4D80-A35E-402F861F1C15}">
      <text>
        <r>
          <rPr>
            <sz val="10"/>
            <color indexed="81"/>
            <rFont val="Lucida Console"/>
            <family val="3"/>
          </rPr>
          <t>DESCRIÇÃO DETALHADA_x000D_
CAMISA DE BRIM, N° 4, CONFECCIONADA EM TECIDO 100% ALGODAO, COM ACABAMENTO ESPECIAL PARA PROTECAO AO ARCO ELETRICO E EXPOSICAO A CHAMAS,  NA COR CINZA.</t>
        </r>
      </text>
    </comment>
    <comment ref="W690" authorId="0" shapeId="0" xr:uid="{CDFA6BF6-A5BB-44D5-9292-F89AF60999E3}">
      <text>
        <r>
          <rPr>
            <sz val="10"/>
            <color indexed="81"/>
            <rFont val="Lucida Console"/>
            <family val="3"/>
          </rPr>
          <t>_x000D_
SegMedTra</t>
        </r>
      </text>
    </comment>
    <comment ref="X690" authorId="0" shapeId="0" xr:uid="{89C16A74-E277-4EEA-9161-652944449759}">
      <text>
        <r>
          <rPr>
            <sz val="10"/>
            <color indexed="81"/>
            <rFont val="Lucida Console"/>
            <family val="3"/>
          </rPr>
          <t>_x000D_
EQUIP PROT IND, INST MAT P/ SINAL, CONTR, COMB ...</t>
        </r>
      </text>
    </comment>
    <comment ref="Y690" authorId="0" shapeId="0" xr:uid="{9D5EA6B8-DB54-4FEC-BB81-3040228C87AE}">
      <text>
        <r>
          <rPr>
            <sz val="10"/>
            <color indexed="81"/>
            <rFont val="Lucida Console"/>
            <family val="3"/>
          </rPr>
          <t>_x000D_
CALCADOS, LUVAS, OCULOS, MASCARAS, CAPACETES, CASSETETE</t>
        </r>
      </text>
    </comment>
    <comment ref="AW690" authorId="0" shapeId="0" xr:uid="{C0B0D398-3716-46A0-8415-8F06937A2692}">
      <text>
        <r>
          <rPr>
            <sz val="10"/>
            <color indexed="81"/>
            <rFont val="Lucida Console"/>
            <family val="3"/>
          </rPr>
          <t>Tempo de Estoque (Meses)_x000D_
_x000D_
6,0</t>
        </r>
      </text>
    </comment>
    <comment ref="A691" authorId="0" shapeId="0" xr:uid="{F38EE2DE-D4AA-4DFB-91EE-72514F2F5D4A}">
      <text>
        <r>
          <rPr>
            <sz val="10"/>
            <color indexed="81"/>
            <rFont val="Lucida Console"/>
            <family val="3"/>
          </rPr>
          <t>_x000D_
106913</t>
        </r>
      </text>
    </comment>
    <comment ref="B691" authorId="0" shapeId="0" xr:uid="{728FDB28-D389-48AF-917A-EB791FB58AF3}">
      <text>
        <r>
          <rPr>
            <sz val="10"/>
            <color indexed="81"/>
            <rFont val="Lucida Console"/>
            <family val="3"/>
          </rPr>
          <t>DESCRIÇÃO DETALHADA_x000D_
CAMISA DE BRIM, N° 6, CONFECCIONADA EM TECIDO 100% ALGODAO, COM ACABAMENTO ESPECIAL PARA PROTECAO AO ARCO ELETRICO E EXPOSICAO A CHAMAS,  NA COR CINZA.</t>
        </r>
      </text>
    </comment>
    <comment ref="W691" authorId="0" shapeId="0" xr:uid="{1BA81805-4929-404E-8D6F-509ECE89F6A7}">
      <text>
        <r>
          <rPr>
            <sz val="10"/>
            <color indexed="81"/>
            <rFont val="Lucida Console"/>
            <family val="3"/>
          </rPr>
          <t>_x000D_
SegMedTra</t>
        </r>
      </text>
    </comment>
    <comment ref="X691" authorId="0" shapeId="0" xr:uid="{C987BE8E-5130-41FE-A579-260FA53C6171}">
      <text>
        <r>
          <rPr>
            <sz val="10"/>
            <color indexed="81"/>
            <rFont val="Lucida Console"/>
            <family val="3"/>
          </rPr>
          <t>_x000D_
EQUIP PROT IND, INST MAT P/ SINAL, CONTR, COMB ...</t>
        </r>
      </text>
    </comment>
    <comment ref="Y691" authorId="0" shapeId="0" xr:uid="{B4E4DEB5-7B31-4602-B0EB-3349E0D2FCF2}">
      <text>
        <r>
          <rPr>
            <sz val="10"/>
            <color indexed="81"/>
            <rFont val="Lucida Console"/>
            <family val="3"/>
          </rPr>
          <t>_x000D_
CALCADOS, LUVAS, OCULOS, MASCARAS, CAPACETES, CASSETETE</t>
        </r>
      </text>
    </comment>
    <comment ref="AW691" authorId="0" shapeId="0" xr:uid="{24721F1E-16B8-4CA5-B12D-34B60AECC230}">
      <text>
        <r>
          <rPr>
            <sz val="10"/>
            <color indexed="81"/>
            <rFont val="Lucida Console"/>
            <family val="3"/>
          </rPr>
          <t>Tempo de Estoque (Meses)_x000D_
_x000D_
2,0</t>
        </r>
      </text>
    </comment>
    <comment ref="A692" authorId="0" shapeId="0" xr:uid="{CBFFDAFB-6902-4E1F-B82B-23384F70A2EE}">
      <text>
        <r>
          <rPr>
            <sz val="10"/>
            <color indexed="81"/>
            <rFont val="Lucida Console"/>
            <family val="3"/>
          </rPr>
          <t>_x000D_
132799</t>
        </r>
      </text>
    </comment>
    <comment ref="B692" authorId="0" shapeId="0" xr:uid="{211E7F98-922D-45BD-8C87-577E52CE737C}">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692" authorId="0" shapeId="0" xr:uid="{20F4BB8F-E1F6-478F-8EA5-13572EEA2764}">
      <text>
        <r>
          <rPr>
            <sz val="10"/>
            <color indexed="81"/>
            <rFont val="Lucida Console"/>
            <family val="3"/>
          </rPr>
          <t>_x000D_
SegMedTra</t>
        </r>
      </text>
    </comment>
    <comment ref="X692" authorId="0" shapeId="0" xr:uid="{E62E79F2-D396-4E21-8E5C-F95A8A02F8AE}">
      <text>
        <r>
          <rPr>
            <sz val="10"/>
            <color indexed="81"/>
            <rFont val="Lucida Console"/>
            <family val="3"/>
          </rPr>
          <t>_x000D_
EQUIP PROT IND, INST MAT P/ SINAL, CONTR, COMB ...</t>
        </r>
      </text>
    </comment>
    <comment ref="Y692" authorId="0" shapeId="0" xr:uid="{6006B472-4404-4F7D-9D91-CA8278A00467}">
      <text>
        <r>
          <rPr>
            <sz val="10"/>
            <color indexed="81"/>
            <rFont val="Lucida Console"/>
            <family val="3"/>
          </rPr>
          <t>_x000D_
CALCADOS, LUVAS, OCULOS, MASCARAS, CAPACETES, CASSETETE</t>
        </r>
      </text>
    </comment>
    <comment ref="AW692" authorId="0" shapeId="0" xr:uid="{8211113E-BD6E-49BE-B3B6-4E3A070B2F3A}">
      <text>
        <r>
          <rPr>
            <sz val="10"/>
            <color indexed="81"/>
            <rFont val="Lucida Console"/>
            <family val="3"/>
          </rPr>
          <t>Tempo de Estoque (Meses)_x000D_
_x000D_
10,0</t>
        </r>
      </text>
    </comment>
    <comment ref="A693" authorId="0" shapeId="0" xr:uid="{78BB59A3-4198-4873-A6CA-78DEF92B2D4E}">
      <text>
        <r>
          <rPr>
            <sz val="10"/>
            <color indexed="81"/>
            <rFont val="Lucida Console"/>
            <family val="3"/>
          </rPr>
          <t>_x000D_
136818</t>
        </r>
      </text>
    </comment>
    <comment ref="B693" authorId="0" shapeId="0" xr:uid="{B099263A-1C7E-4FAA-AF3D-A1C51C856047}">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693" authorId="0" shapeId="0" xr:uid="{8B667E28-BF45-4F34-8601-D03AAD36023E}">
      <text>
        <r>
          <rPr>
            <sz val="10"/>
            <color indexed="81"/>
            <rFont val="Lucida Console"/>
            <family val="3"/>
          </rPr>
          <t>_x000D_
SegMedTra</t>
        </r>
      </text>
    </comment>
    <comment ref="X693" authorId="0" shapeId="0" xr:uid="{284C1A37-313C-48BB-8E71-8159D9EFC886}">
      <text>
        <r>
          <rPr>
            <sz val="10"/>
            <color indexed="81"/>
            <rFont val="Lucida Console"/>
            <family val="3"/>
          </rPr>
          <t>_x000D_
EQUIP PROT IND, INST MAT P/ SINAL, CONTR, COMB ...</t>
        </r>
      </text>
    </comment>
    <comment ref="Y693" authorId="0" shapeId="0" xr:uid="{20BED491-9945-4C52-B720-30D177F3B9A1}">
      <text>
        <r>
          <rPr>
            <sz val="10"/>
            <color indexed="81"/>
            <rFont val="Lucida Console"/>
            <family val="3"/>
          </rPr>
          <t>_x000D_
CALCADOS, LUVAS, OCULOS, MASCARAS, CAPACETES, CASSETETE</t>
        </r>
      </text>
    </comment>
    <comment ref="AW693" authorId="0" shapeId="0" xr:uid="{EF1ACACD-D64D-45D2-9C5A-DADA763548C7}">
      <text>
        <r>
          <rPr>
            <sz val="10"/>
            <color indexed="81"/>
            <rFont val="Lucida Console"/>
            <family val="3"/>
          </rPr>
          <t>Tempo de Estoque (Meses)_x000D_
_x000D_
1.161,0</t>
        </r>
      </text>
    </comment>
    <comment ref="A694" authorId="0" shapeId="0" xr:uid="{C0C6AB9C-CBB7-40EA-A87C-9A98A05C139F}">
      <text>
        <r>
          <rPr>
            <sz val="10"/>
            <color indexed="81"/>
            <rFont val="Lucida Console"/>
            <family val="3"/>
          </rPr>
          <t>_x000D_
136819</t>
        </r>
      </text>
    </comment>
    <comment ref="B694" authorId="0" shapeId="0" xr:uid="{C4981081-F1D4-41BB-8A80-C8D063F9BC7B}">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694" authorId="0" shapeId="0" xr:uid="{91DA94E9-1B3E-4EEE-8941-56BE74F8EBE3}">
      <text>
        <r>
          <rPr>
            <sz val="10"/>
            <color indexed="81"/>
            <rFont val="Lucida Console"/>
            <family val="3"/>
          </rPr>
          <t>_x000D_
SegMedTra</t>
        </r>
      </text>
    </comment>
    <comment ref="X694" authorId="0" shapeId="0" xr:uid="{F880DECA-1239-41C2-AD00-E4C467A68316}">
      <text>
        <r>
          <rPr>
            <sz val="10"/>
            <color indexed="81"/>
            <rFont val="Lucida Console"/>
            <family val="3"/>
          </rPr>
          <t>_x000D_
EQUIP PROT IND, INST MAT P/ SINAL, CONTR, COMB ...</t>
        </r>
      </text>
    </comment>
    <comment ref="Y694" authorId="0" shapeId="0" xr:uid="{C22AC984-870F-4BB4-8039-289341AE951F}">
      <text>
        <r>
          <rPr>
            <sz val="10"/>
            <color indexed="81"/>
            <rFont val="Lucida Console"/>
            <family val="3"/>
          </rPr>
          <t>_x000D_
CALCADOS, LUVAS, OCULOS, MASCARAS, CAPACETES, CASSETETE</t>
        </r>
      </text>
    </comment>
    <comment ref="AW694" authorId="0" shapeId="0" xr:uid="{B0022346-7348-42EC-9D44-10ECF1D5430D}">
      <text>
        <r>
          <rPr>
            <sz val="10"/>
            <color indexed="81"/>
            <rFont val="Lucida Console"/>
            <family val="3"/>
          </rPr>
          <t>Tempo de Estoque (Meses)_x000D_
_x000D_
239,0</t>
        </r>
      </text>
    </comment>
    <comment ref="A695" authorId="0" shapeId="0" xr:uid="{B5E7A2E7-9751-4EB8-80CE-8AF472C57BF3}">
      <text>
        <r>
          <rPr>
            <sz val="10"/>
            <color indexed="81"/>
            <rFont val="Lucida Console"/>
            <family val="3"/>
          </rPr>
          <t>_x000D_
136823</t>
        </r>
      </text>
    </comment>
    <comment ref="B695" authorId="0" shapeId="0" xr:uid="{AE63FEDA-86B6-4559-9C2C-5B5E2AE95E11}">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695" authorId="0" shapeId="0" xr:uid="{09AB0F1A-B59E-4927-BDF6-BEBEC027BA42}">
      <text>
        <r>
          <rPr>
            <sz val="10"/>
            <color indexed="81"/>
            <rFont val="Lucida Console"/>
            <family val="3"/>
          </rPr>
          <t>_x000D_
SegMedTra</t>
        </r>
      </text>
    </comment>
    <comment ref="X695" authorId="0" shapeId="0" xr:uid="{80E553C4-8485-4AC8-89E7-0D592D44C58E}">
      <text>
        <r>
          <rPr>
            <sz val="10"/>
            <color indexed="81"/>
            <rFont val="Lucida Console"/>
            <family val="3"/>
          </rPr>
          <t>_x000D_
EQUIP PROT IND, INST MAT P/ SINAL, CONTR, COMB ...</t>
        </r>
      </text>
    </comment>
    <comment ref="Y695" authorId="0" shapeId="0" xr:uid="{5A96FDAA-45E0-4393-8484-4588152AE83D}">
      <text>
        <r>
          <rPr>
            <sz val="10"/>
            <color indexed="81"/>
            <rFont val="Lucida Console"/>
            <family val="3"/>
          </rPr>
          <t>_x000D_
CALCADOS, LUVAS, OCULOS, MASCARAS, CAPACETES, CASSETETE</t>
        </r>
      </text>
    </comment>
    <comment ref="AW695" authorId="0" shapeId="0" xr:uid="{04B2B2A7-7D83-4CF9-8FC2-282FEBE78686}">
      <text>
        <r>
          <rPr>
            <sz val="10"/>
            <color indexed="81"/>
            <rFont val="Lucida Console"/>
            <family val="3"/>
          </rPr>
          <t>Tempo de Estoque (Meses)_x000D_
_x000D_
51,0</t>
        </r>
      </text>
    </comment>
    <comment ref="A696" authorId="0" shapeId="0" xr:uid="{D2F16075-395B-452A-9E9F-7C1CCDB2F925}">
      <text>
        <r>
          <rPr>
            <sz val="10"/>
            <color indexed="81"/>
            <rFont val="Lucida Console"/>
            <family val="3"/>
          </rPr>
          <t>_x000D_
136824</t>
        </r>
      </text>
    </comment>
    <comment ref="B696" authorId="0" shapeId="0" xr:uid="{35C7396B-3850-4F5D-8E0D-3BE4227A9562}">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696" authorId="0" shapeId="0" xr:uid="{E04E8027-F57C-43F5-B175-CAE55A9EF201}">
      <text>
        <r>
          <rPr>
            <sz val="10"/>
            <color indexed="81"/>
            <rFont val="Lucida Console"/>
            <family val="3"/>
          </rPr>
          <t>_x000D_
SegMedTra</t>
        </r>
      </text>
    </comment>
    <comment ref="X696" authorId="0" shapeId="0" xr:uid="{E08FB860-1C3D-4853-A294-EC87F3A20930}">
      <text>
        <r>
          <rPr>
            <sz val="10"/>
            <color indexed="81"/>
            <rFont val="Lucida Console"/>
            <family val="3"/>
          </rPr>
          <t>_x000D_
EQUIP PROT IND, INST MAT P/ SINAL, CONTR, COMB ...</t>
        </r>
      </text>
    </comment>
    <comment ref="Y696" authorId="0" shapeId="0" xr:uid="{B4734F34-0FAE-4A4B-8797-FC56E9D53000}">
      <text>
        <r>
          <rPr>
            <sz val="10"/>
            <color indexed="81"/>
            <rFont val="Lucida Console"/>
            <family val="3"/>
          </rPr>
          <t>_x000D_
CALCADOS, LUVAS, OCULOS, MASCARAS, CAPACETES, CASSETETE</t>
        </r>
      </text>
    </comment>
    <comment ref="AW696" authorId="0" shapeId="0" xr:uid="{B541B86F-A9C5-459C-ACC8-925FFA0397E7}">
      <text>
        <r>
          <rPr>
            <sz val="10"/>
            <color indexed="81"/>
            <rFont val="Lucida Console"/>
            <family val="3"/>
          </rPr>
          <t>Tempo de Estoque (Meses)_x000D_
_x000D_
11,0</t>
        </r>
      </text>
    </comment>
    <comment ref="A697" authorId="0" shapeId="0" xr:uid="{21107AA7-C965-45A2-BB47-E2AF3B2DBD7D}">
      <text>
        <r>
          <rPr>
            <sz val="10"/>
            <color indexed="81"/>
            <rFont val="Lucida Console"/>
            <family val="3"/>
          </rPr>
          <t>_x000D_
136825</t>
        </r>
      </text>
    </comment>
    <comment ref="B697" authorId="0" shapeId="0" xr:uid="{2649093D-75CE-4917-A6E7-FA53461BCB09}">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697" authorId="0" shapeId="0" xr:uid="{A9D45965-88F6-4C95-992F-A54CD4B2ACEC}">
      <text>
        <r>
          <rPr>
            <sz val="10"/>
            <color indexed="81"/>
            <rFont val="Lucida Console"/>
            <family val="3"/>
          </rPr>
          <t>_x000D_
SegMedTra</t>
        </r>
      </text>
    </comment>
    <comment ref="X697" authorId="0" shapeId="0" xr:uid="{356E8D17-BD66-4760-A30D-4FE2941ECC2D}">
      <text>
        <r>
          <rPr>
            <sz val="10"/>
            <color indexed="81"/>
            <rFont val="Lucida Console"/>
            <family val="3"/>
          </rPr>
          <t>_x000D_
EQUIP PROT IND, INST MAT P/ SINAL, CONTR, COMB ...</t>
        </r>
      </text>
    </comment>
    <comment ref="Y697" authorId="0" shapeId="0" xr:uid="{6C1A13B9-128D-4C02-8A86-6F64C238D02C}">
      <text>
        <r>
          <rPr>
            <sz val="10"/>
            <color indexed="81"/>
            <rFont val="Lucida Console"/>
            <family val="3"/>
          </rPr>
          <t>_x000D_
CALCADOS, LUVAS, OCULOS, MASCARAS, CAPACETES, CASSETETE</t>
        </r>
      </text>
    </comment>
    <comment ref="AW697" authorId="0" shapeId="0" xr:uid="{9457B6B4-72C3-4254-8C29-56E4209AF2CC}">
      <text>
        <r>
          <rPr>
            <sz val="10"/>
            <color indexed="81"/>
            <rFont val="Lucida Console"/>
            <family val="3"/>
          </rPr>
          <t>Tempo de Estoque (Meses)_x000D_
_x000D_
2,0</t>
        </r>
      </text>
    </comment>
    <comment ref="A698" authorId="0" shapeId="0" xr:uid="{C2E50448-1374-49BF-90AD-BE2ADD7EF31A}">
      <text>
        <r>
          <rPr>
            <sz val="10"/>
            <color indexed="81"/>
            <rFont val="Lucida Console"/>
            <family val="3"/>
          </rPr>
          <t>_x000D_
136826</t>
        </r>
      </text>
    </comment>
    <comment ref="B698" authorId="0" shapeId="0" xr:uid="{A8E2BB32-0ADB-4BA6-95CD-7C87CCD52DDD}">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698" authorId="0" shapeId="0" xr:uid="{DBB14C22-6DBE-4193-B011-64052EDBFB0B}">
      <text>
        <r>
          <rPr>
            <sz val="10"/>
            <color indexed="81"/>
            <rFont val="Lucida Console"/>
            <family val="3"/>
          </rPr>
          <t>_x000D_
SegMedTra</t>
        </r>
      </text>
    </comment>
    <comment ref="X698" authorId="0" shapeId="0" xr:uid="{242EE2C3-DE8A-4DDE-8ED2-86A88CA84C52}">
      <text>
        <r>
          <rPr>
            <sz val="10"/>
            <color indexed="81"/>
            <rFont val="Lucida Console"/>
            <family val="3"/>
          </rPr>
          <t>_x000D_
EQUIP PROT IND, INST MAT P/ SINAL, CONTR, COMB ...</t>
        </r>
      </text>
    </comment>
    <comment ref="Y698" authorId="0" shapeId="0" xr:uid="{834766B5-5205-40BF-9F0C-D84F0403E4E3}">
      <text>
        <r>
          <rPr>
            <sz val="10"/>
            <color indexed="81"/>
            <rFont val="Lucida Console"/>
            <family val="3"/>
          </rPr>
          <t>_x000D_
CALCADOS, LUVAS, OCULOS, MASCARAS, CAPACETES, CASSETETE</t>
        </r>
      </text>
    </comment>
    <comment ref="AW698" authorId="0" shapeId="0" xr:uid="{4BF13ECB-6944-4669-B87B-8B8899F8E215}">
      <text>
        <r>
          <rPr>
            <sz val="10"/>
            <color indexed="81"/>
            <rFont val="Lucida Console"/>
            <family val="3"/>
          </rPr>
          <t>Tempo de Estoque (Meses)_x000D_
_x000D_
15,0</t>
        </r>
      </text>
    </comment>
    <comment ref="A699" authorId="0" shapeId="0" xr:uid="{7E5E9D6E-55B4-4832-89FA-E3995BD0B52F}">
      <text>
        <r>
          <rPr>
            <sz val="10"/>
            <color indexed="81"/>
            <rFont val="Lucida Console"/>
            <family val="3"/>
          </rPr>
          <t>_x000D_
136829</t>
        </r>
      </text>
    </comment>
    <comment ref="B699" authorId="0" shapeId="0" xr:uid="{13F9AB15-A276-4591-9163-7E15F73ECAB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699" authorId="0" shapeId="0" xr:uid="{E921FFE9-CBD2-4CC7-814B-A156E64799C2}">
      <text>
        <r>
          <rPr>
            <sz val="10"/>
            <color indexed="81"/>
            <rFont val="Lucida Console"/>
            <family val="3"/>
          </rPr>
          <t>_x000D_
SegMedTra</t>
        </r>
      </text>
    </comment>
    <comment ref="X699" authorId="0" shapeId="0" xr:uid="{AD54D0E4-11F5-4561-A3C2-C1DEBC0928AD}">
      <text>
        <r>
          <rPr>
            <sz val="10"/>
            <color indexed="81"/>
            <rFont val="Lucida Console"/>
            <family val="3"/>
          </rPr>
          <t>_x000D_
EQUIP PROT IND, INST MAT P/ SINAL, CONTR, COMB ...</t>
        </r>
      </text>
    </comment>
    <comment ref="Y699" authorId="0" shapeId="0" xr:uid="{47AB504F-6A46-4A29-833C-C6F1B7714BDF}">
      <text>
        <r>
          <rPr>
            <sz val="10"/>
            <color indexed="81"/>
            <rFont val="Lucida Console"/>
            <family val="3"/>
          </rPr>
          <t>_x000D_
CALCADOS, LUVAS, OCULOS, MASCARAS, CAPACETES, CASSETETE</t>
        </r>
      </text>
    </comment>
    <comment ref="AW699" authorId="0" shapeId="0" xr:uid="{5F58B28D-498B-4FBF-B6B3-F6D23FD992ED}">
      <text>
        <r>
          <rPr>
            <sz val="10"/>
            <color indexed="81"/>
            <rFont val="Lucida Console"/>
            <family val="3"/>
          </rPr>
          <t>Tempo de Estoque (Meses)_x000D_
_x000D_
5,0</t>
        </r>
      </text>
    </comment>
    <comment ref="A700" authorId="0" shapeId="0" xr:uid="{AE382518-CCD4-43F6-885F-9B8646D724DA}">
      <text>
        <r>
          <rPr>
            <sz val="10"/>
            <color indexed="81"/>
            <rFont val="Lucida Console"/>
            <family val="3"/>
          </rPr>
          <t>_x000D_
136853</t>
        </r>
      </text>
    </comment>
    <comment ref="B700" authorId="0" shapeId="0" xr:uid="{8B7F3674-F757-4D7C-B485-C9485B98B073}">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700" authorId="0" shapeId="0" xr:uid="{7BF94997-B0F6-42D5-83DA-197C9E9498B8}">
      <text>
        <r>
          <rPr>
            <sz val="10"/>
            <color indexed="81"/>
            <rFont val="Lucida Console"/>
            <family val="3"/>
          </rPr>
          <t>_x000D_
SegMedTra</t>
        </r>
      </text>
    </comment>
    <comment ref="X700" authorId="0" shapeId="0" xr:uid="{D78ED17F-97C5-4207-B88F-919B76909B11}">
      <text>
        <r>
          <rPr>
            <sz val="10"/>
            <color indexed="81"/>
            <rFont val="Lucida Console"/>
            <family val="3"/>
          </rPr>
          <t>_x000D_
EQUIP PROT IND, INST MAT P/ SINAL, CONTR, COMB ...</t>
        </r>
      </text>
    </comment>
    <comment ref="Y700" authorId="0" shapeId="0" xr:uid="{386604D6-3E78-402E-813F-3B4904B5A26E}">
      <text>
        <r>
          <rPr>
            <sz val="10"/>
            <color indexed="81"/>
            <rFont val="Lucida Console"/>
            <family val="3"/>
          </rPr>
          <t>_x000D_
CALCADOS, LUVAS, OCULOS, MASCARAS, CAPACETES, CASSETETE</t>
        </r>
      </text>
    </comment>
    <comment ref="AW700" authorId="0" shapeId="0" xr:uid="{A78ECAA5-C7DD-466A-9CBA-886E203CE21C}">
      <text>
        <r>
          <rPr>
            <sz val="10"/>
            <color indexed="81"/>
            <rFont val="Lucida Console"/>
            <family val="3"/>
          </rPr>
          <t>Tempo de Estoque (Meses)_x000D_
_x000D_
55,0</t>
        </r>
      </text>
    </comment>
    <comment ref="A701" authorId="0" shapeId="0" xr:uid="{485C6B42-E3EF-44F7-B156-FA137C5D037B}">
      <text>
        <r>
          <rPr>
            <sz val="10"/>
            <color indexed="81"/>
            <rFont val="Lucida Console"/>
            <family val="3"/>
          </rPr>
          <t>_x000D_
136854</t>
        </r>
      </text>
    </comment>
    <comment ref="B701" authorId="0" shapeId="0" xr:uid="{A30F6DFD-47F7-42FC-BB6F-D39F6A931859}">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701" authorId="0" shapeId="0" xr:uid="{0F613D17-EC91-4C04-969D-4818169B1DC8}">
      <text>
        <r>
          <rPr>
            <sz val="10"/>
            <color indexed="81"/>
            <rFont val="Lucida Console"/>
            <family val="3"/>
          </rPr>
          <t>_x000D_
SegMedTra</t>
        </r>
      </text>
    </comment>
    <comment ref="X701" authorId="0" shapeId="0" xr:uid="{30D14245-E7D9-4DB3-B34E-DAE23F8601B3}">
      <text>
        <r>
          <rPr>
            <sz val="10"/>
            <color indexed="81"/>
            <rFont val="Lucida Console"/>
            <family val="3"/>
          </rPr>
          <t>_x000D_
EQUIP PROT IND, INST MAT P/ SINAL, CONTR, COMB ...</t>
        </r>
      </text>
    </comment>
    <comment ref="Y701" authorId="0" shapeId="0" xr:uid="{3A9C395B-E847-405D-A65D-8C2D95EE682B}">
      <text>
        <r>
          <rPr>
            <sz val="10"/>
            <color indexed="81"/>
            <rFont val="Lucida Console"/>
            <family val="3"/>
          </rPr>
          <t>_x000D_
CALCADOS, LUVAS, OCULOS, MASCARAS, CAPACETES, CASSETETE</t>
        </r>
      </text>
    </comment>
    <comment ref="AW701" authorId="0" shapeId="0" xr:uid="{932E2224-5765-45DE-8C24-C2B9B0905ED7}">
      <text>
        <r>
          <rPr>
            <sz val="10"/>
            <color indexed="81"/>
            <rFont val="Lucida Console"/>
            <family val="3"/>
          </rPr>
          <t>Tempo de Estoque (Meses)_x000D_
_x000D_
66,0</t>
        </r>
      </text>
    </comment>
    <comment ref="A702" authorId="0" shapeId="0" xr:uid="{71935A6B-13C1-457A-8B3E-2A5A1383BC09}">
      <text>
        <r>
          <rPr>
            <sz val="10"/>
            <color indexed="81"/>
            <rFont val="Lucida Console"/>
            <family val="3"/>
          </rPr>
          <t>_x000D_
136855</t>
        </r>
      </text>
    </comment>
    <comment ref="B702" authorId="0" shapeId="0" xr:uid="{102C8525-C099-481B-A50F-F9420B8116CB}">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702" authorId="0" shapeId="0" xr:uid="{BE65C41B-78CF-4E47-89E6-59F67B66D748}">
      <text>
        <r>
          <rPr>
            <sz val="10"/>
            <color indexed="81"/>
            <rFont val="Lucida Console"/>
            <family val="3"/>
          </rPr>
          <t>_x000D_
SegMedTra</t>
        </r>
      </text>
    </comment>
    <comment ref="X702" authorId="0" shapeId="0" xr:uid="{51D76665-4E44-48B4-91F5-EF0C14E33375}">
      <text>
        <r>
          <rPr>
            <sz val="10"/>
            <color indexed="81"/>
            <rFont val="Lucida Console"/>
            <family val="3"/>
          </rPr>
          <t>_x000D_
EQUIP PROT IND, INST MAT P/ SINAL, CONTR, COMB ...</t>
        </r>
      </text>
    </comment>
    <comment ref="Y702" authorId="0" shapeId="0" xr:uid="{B5C6AF0C-A7EC-4E46-A848-714EF8840EA8}">
      <text>
        <r>
          <rPr>
            <sz val="10"/>
            <color indexed="81"/>
            <rFont val="Lucida Console"/>
            <family val="3"/>
          </rPr>
          <t>_x000D_
CALCADOS, LUVAS, OCULOS, MASCARAS, CAPACETES, CASSETETE</t>
        </r>
      </text>
    </comment>
    <comment ref="AW702" authorId="0" shapeId="0" xr:uid="{8CFAD423-B977-4778-A35F-FCE07C1C8340}">
      <text>
        <r>
          <rPr>
            <sz val="10"/>
            <color indexed="81"/>
            <rFont val="Lucida Console"/>
            <family val="3"/>
          </rPr>
          <t>Tempo de Estoque (Meses)_x000D_
_x000D_
80,0</t>
        </r>
      </text>
    </comment>
    <comment ref="A703" authorId="0" shapeId="0" xr:uid="{FFF7F22F-4CD0-4640-8713-84875CB16E5D}">
      <text>
        <r>
          <rPr>
            <sz val="10"/>
            <color indexed="81"/>
            <rFont val="Lucida Console"/>
            <family val="3"/>
          </rPr>
          <t>_x000D_
136858</t>
        </r>
      </text>
    </comment>
    <comment ref="B703" authorId="0" shapeId="0" xr:uid="{59CC6BE4-1423-48D0-B2FB-5C207B274A33}">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703" authorId="0" shapeId="0" xr:uid="{A2E102F7-D1CC-4900-9A27-4E633870A7AD}">
      <text>
        <r>
          <rPr>
            <sz val="10"/>
            <color indexed="81"/>
            <rFont val="Lucida Console"/>
            <family val="3"/>
          </rPr>
          <t>_x000D_
SegMedTra</t>
        </r>
      </text>
    </comment>
    <comment ref="X703" authorId="0" shapeId="0" xr:uid="{CE66C6D7-5D5E-4DCD-BA95-40FC7881E13F}">
      <text>
        <r>
          <rPr>
            <sz val="10"/>
            <color indexed="81"/>
            <rFont val="Lucida Console"/>
            <family val="3"/>
          </rPr>
          <t>_x000D_
EQUIP PROT IND, INST MAT P/ SINAL, CONTR, COMB ...</t>
        </r>
      </text>
    </comment>
    <comment ref="Y703" authorId="0" shapeId="0" xr:uid="{26F4C98A-B8B1-4B9C-98A7-1D667F60A642}">
      <text>
        <r>
          <rPr>
            <sz val="10"/>
            <color indexed="81"/>
            <rFont val="Lucida Console"/>
            <family val="3"/>
          </rPr>
          <t>_x000D_
CALCADOS, LUVAS, OCULOS, MASCARAS, CAPACETES, CASSETETE</t>
        </r>
      </text>
    </comment>
    <comment ref="AW703" authorId="0" shapeId="0" xr:uid="{842BC54F-C733-4A0A-BE3F-D022161CEE0E}">
      <text>
        <r>
          <rPr>
            <sz val="10"/>
            <color indexed="81"/>
            <rFont val="Lucida Console"/>
            <family val="3"/>
          </rPr>
          <t>Tempo de Estoque (Meses)_x000D_
_x000D_
28,0</t>
        </r>
      </text>
    </comment>
    <comment ref="A704" authorId="0" shapeId="0" xr:uid="{3EF2BC3E-92D2-4D57-977C-467D4CB555CA}">
      <text>
        <r>
          <rPr>
            <sz val="10"/>
            <color indexed="81"/>
            <rFont val="Lucida Console"/>
            <family val="3"/>
          </rPr>
          <t>_x000D_
136859</t>
        </r>
      </text>
    </comment>
    <comment ref="B704" authorId="0" shapeId="0" xr:uid="{4D503CD3-3C17-4CBC-92FF-5415752DDD9A}">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704" authorId="0" shapeId="0" xr:uid="{A0C3B5C1-5161-4174-9157-A0A45C9A757A}">
      <text>
        <r>
          <rPr>
            <sz val="10"/>
            <color indexed="81"/>
            <rFont val="Lucida Console"/>
            <family val="3"/>
          </rPr>
          <t>_x000D_
SegMedTra</t>
        </r>
      </text>
    </comment>
    <comment ref="X704" authorId="0" shapeId="0" xr:uid="{2E4F134B-03B6-46C8-8247-83AA0924C705}">
      <text>
        <r>
          <rPr>
            <sz val="10"/>
            <color indexed="81"/>
            <rFont val="Lucida Console"/>
            <family val="3"/>
          </rPr>
          <t>_x000D_
EQUIP PROT IND, INST MAT P/ SINAL, CONTR, COMB ...</t>
        </r>
      </text>
    </comment>
    <comment ref="Y704" authorId="0" shapeId="0" xr:uid="{360BEB05-09D2-443F-AFB1-5E97C850A180}">
      <text>
        <r>
          <rPr>
            <sz val="10"/>
            <color indexed="81"/>
            <rFont val="Lucida Console"/>
            <family val="3"/>
          </rPr>
          <t>_x000D_
CALCADOS, LUVAS, OCULOS, MASCARAS, CAPACETES, CASSETETE</t>
        </r>
      </text>
    </comment>
    <comment ref="AW704" authorId="0" shapeId="0" xr:uid="{46927395-4F66-47E1-896B-B027E0BC5E3A}">
      <text>
        <r>
          <rPr>
            <sz val="10"/>
            <color indexed="81"/>
            <rFont val="Lucida Console"/>
            <family val="3"/>
          </rPr>
          <t>Tempo de Estoque (Meses)_x000D_
_x000D_
44,0</t>
        </r>
      </text>
    </comment>
    <comment ref="A705" authorId="0" shapeId="0" xr:uid="{2A86B1EB-F153-4A64-A57E-61C6994AA60C}">
      <text>
        <r>
          <rPr>
            <sz val="10"/>
            <color indexed="81"/>
            <rFont val="Lucida Console"/>
            <family val="3"/>
          </rPr>
          <t>_x000D_
136860</t>
        </r>
      </text>
    </comment>
    <comment ref="B705" authorId="0" shapeId="0" xr:uid="{CD2147E2-AF37-4689-8EFE-D92773240A7A}">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705" authorId="0" shapeId="0" xr:uid="{88CA38C2-886A-41B2-9328-C6D5BD4DFD66}">
      <text>
        <r>
          <rPr>
            <sz val="10"/>
            <color indexed="81"/>
            <rFont val="Lucida Console"/>
            <family val="3"/>
          </rPr>
          <t>_x000D_
SegMedTra</t>
        </r>
      </text>
    </comment>
    <comment ref="X705" authorId="0" shapeId="0" xr:uid="{201D228F-EF92-47FF-AD71-B36F95669F58}">
      <text>
        <r>
          <rPr>
            <sz val="10"/>
            <color indexed="81"/>
            <rFont val="Lucida Console"/>
            <family val="3"/>
          </rPr>
          <t>_x000D_
EQUIP PROT IND, INST MAT P/ SINAL, CONTR, COMB ...</t>
        </r>
      </text>
    </comment>
    <comment ref="Y705" authorId="0" shapeId="0" xr:uid="{88DAFFD5-2F0C-40A1-9B8E-6CA55B2B7B67}">
      <text>
        <r>
          <rPr>
            <sz val="10"/>
            <color indexed="81"/>
            <rFont val="Lucida Console"/>
            <family val="3"/>
          </rPr>
          <t>_x000D_
CALCADOS, LUVAS, OCULOS, MASCARAS, CAPACETES, CASSETETE</t>
        </r>
      </text>
    </comment>
    <comment ref="AW705" authorId="0" shapeId="0" xr:uid="{3D4808B3-905C-44B3-96C1-0AB49D0BA5C3}">
      <text>
        <r>
          <rPr>
            <sz val="10"/>
            <color indexed="81"/>
            <rFont val="Lucida Console"/>
            <family val="3"/>
          </rPr>
          <t>Tempo de Estoque (Meses)_x000D_
_x000D_
9,0</t>
        </r>
      </text>
    </comment>
    <comment ref="A706" authorId="0" shapeId="0" xr:uid="{A064D859-3168-40B6-AB9D-A555B81842D2}">
      <text>
        <r>
          <rPr>
            <sz val="10"/>
            <color indexed="81"/>
            <rFont val="Lucida Console"/>
            <family val="3"/>
          </rPr>
          <t>_x000D_
136876</t>
        </r>
      </text>
    </comment>
    <comment ref="B706" authorId="0" shapeId="0" xr:uid="{F9C31D6E-4D45-42B3-8753-10AC0CB8CFD2}">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706" authorId="0" shapeId="0" xr:uid="{652F8AEC-FA3B-4C41-9F9C-EAE5434048CE}">
      <text>
        <r>
          <rPr>
            <sz val="10"/>
            <color indexed="81"/>
            <rFont val="Lucida Console"/>
            <family val="3"/>
          </rPr>
          <t>_x000D_
SegMedTra</t>
        </r>
      </text>
    </comment>
    <comment ref="X706" authorId="0" shapeId="0" xr:uid="{0E1C07CC-0E4F-47F3-90CA-17D099896316}">
      <text>
        <r>
          <rPr>
            <sz val="10"/>
            <color indexed="81"/>
            <rFont val="Lucida Console"/>
            <family val="3"/>
          </rPr>
          <t>_x000D_
EQUIP PROT IND, INST MAT P/ SINAL, CONTR, COMB ...</t>
        </r>
      </text>
    </comment>
    <comment ref="Y706" authorId="0" shapeId="0" xr:uid="{A2775C71-B864-41F7-9516-9CCA3BB00A5E}">
      <text>
        <r>
          <rPr>
            <sz val="10"/>
            <color indexed="81"/>
            <rFont val="Lucida Console"/>
            <family val="3"/>
          </rPr>
          <t>_x000D_
CALCADOS, LUVAS, OCULOS, MASCARAS, CAPACETES, CASSETETE</t>
        </r>
      </text>
    </comment>
    <comment ref="AW706" authorId="0" shapeId="0" xr:uid="{7CC939E7-1E8C-4981-97CF-69492447D739}">
      <text>
        <r>
          <rPr>
            <sz val="10"/>
            <color indexed="81"/>
            <rFont val="Lucida Console"/>
            <family val="3"/>
          </rPr>
          <t>Tempo de Estoque (Meses)_x000D_
_x000D_
6,0</t>
        </r>
      </text>
    </comment>
    <comment ref="A707" authorId="0" shapeId="0" xr:uid="{78A41804-1B49-4A9C-B19D-8F2B48B5A251}">
      <text>
        <r>
          <rPr>
            <sz val="10"/>
            <color indexed="81"/>
            <rFont val="Lucida Console"/>
            <family val="3"/>
          </rPr>
          <t>_x000D_
136877</t>
        </r>
      </text>
    </comment>
    <comment ref="B707" authorId="0" shapeId="0" xr:uid="{735C0C44-D24C-4EB8-A7A0-66FDBF6EE5DC}">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707" authorId="0" shapeId="0" xr:uid="{9BFEB7B6-8A12-4B52-908D-9D34A67A6114}">
      <text>
        <r>
          <rPr>
            <sz val="10"/>
            <color indexed="81"/>
            <rFont val="Lucida Console"/>
            <family val="3"/>
          </rPr>
          <t>_x000D_
SegMedTra</t>
        </r>
      </text>
    </comment>
    <comment ref="X707" authorId="0" shapeId="0" xr:uid="{35DF5A7E-81BA-4DC1-9420-EB44A6D88C46}">
      <text>
        <r>
          <rPr>
            <sz val="10"/>
            <color indexed="81"/>
            <rFont val="Lucida Console"/>
            <family val="3"/>
          </rPr>
          <t>_x000D_
EQUIP PROT IND, INST MAT P/ SINAL, CONTR, COMB ...</t>
        </r>
      </text>
    </comment>
    <comment ref="Y707" authorId="0" shapeId="0" xr:uid="{40EC34C4-9B94-450A-B355-692633B7461A}">
      <text>
        <r>
          <rPr>
            <sz val="10"/>
            <color indexed="81"/>
            <rFont val="Lucida Console"/>
            <family val="3"/>
          </rPr>
          <t>_x000D_
CALCADOS, LUVAS, OCULOS, MASCARAS, CAPACETES, CASSETETE</t>
        </r>
      </text>
    </comment>
    <comment ref="AW707" authorId="0" shapeId="0" xr:uid="{105BA23A-CACE-4A27-B01E-340E443755F2}">
      <text>
        <r>
          <rPr>
            <sz val="10"/>
            <color indexed="81"/>
            <rFont val="Lucida Console"/>
            <family val="3"/>
          </rPr>
          <t>Tempo de Estoque (Meses)_x000D_
_x000D_
13,0</t>
        </r>
      </text>
    </comment>
    <comment ref="A708" authorId="0" shapeId="0" xr:uid="{1A3C7075-187D-41E4-9373-65F6354EDFD3}">
      <text>
        <r>
          <rPr>
            <sz val="10"/>
            <color indexed="81"/>
            <rFont val="Lucida Console"/>
            <family val="3"/>
          </rPr>
          <t>_x000D_
136880</t>
        </r>
      </text>
    </comment>
    <comment ref="B708" authorId="0" shapeId="0" xr:uid="{3D43F0AB-9FD8-49F0-9D8E-C27F55EC45B3}">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708" authorId="0" shapeId="0" xr:uid="{AE9FE085-C293-45EF-92DB-1E9D30E4F199}">
      <text>
        <r>
          <rPr>
            <sz val="10"/>
            <color indexed="81"/>
            <rFont val="Lucida Console"/>
            <family val="3"/>
          </rPr>
          <t>_x000D_
SegMedTra</t>
        </r>
      </text>
    </comment>
    <comment ref="X708" authorId="0" shapeId="0" xr:uid="{DBDC5F55-D33C-46E9-B109-EEEB83CAA45E}">
      <text>
        <r>
          <rPr>
            <sz val="10"/>
            <color indexed="81"/>
            <rFont val="Lucida Console"/>
            <family val="3"/>
          </rPr>
          <t>_x000D_
EQUIP PROT IND, INST MAT P/ SINAL, CONTR, COMB ...</t>
        </r>
      </text>
    </comment>
    <comment ref="Y708" authorId="0" shapeId="0" xr:uid="{99A68CAB-042F-4253-93FA-D09793C1AD58}">
      <text>
        <r>
          <rPr>
            <sz val="10"/>
            <color indexed="81"/>
            <rFont val="Lucida Console"/>
            <family val="3"/>
          </rPr>
          <t>_x000D_
CALCADOS, LUVAS, OCULOS, MASCARAS, CAPACETES, CASSETETE</t>
        </r>
      </text>
    </comment>
    <comment ref="AW708" authorId="0" shapeId="0" xr:uid="{A41DF7A8-67B6-488F-AE51-E2AF68F6B7FD}">
      <text>
        <r>
          <rPr>
            <sz val="10"/>
            <color indexed="81"/>
            <rFont val="Lucida Console"/>
            <family val="3"/>
          </rPr>
          <t>Tempo de Estoque (Meses)_x000D_
_x000D_
30,0</t>
        </r>
      </text>
    </comment>
    <comment ref="A709" authorId="0" shapeId="0" xr:uid="{8818ED11-E412-45E0-9F17-215B0E42AEB8}">
      <text>
        <r>
          <rPr>
            <sz val="10"/>
            <color indexed="81"/>
            <rFont val="Lucida Console"/>
            <family val="3"/>
          </rPr>
          <t>_x000D_
137019</t>
        </r>
      </text>
    </comment>
    <comment ref="B709" authorId="0" shapeId="0" xr:uid="{E78B4B6E-10DE-4D1A-A42A-4C46C31B8437}">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709" authorId="0" shapeId="0" xr:uid="{4C0FF270-C054-439C-A9F2-000D027E88BB}">
      <text>
        <r>
          <rPr>
            <sz val="10"/>
            <color indexed="81"/>
            <rFont val="Lucida Console"/>
            <family val="3"/>
          </rPr>
          <t>_x000D_
SegMedTra</t>
        </r>
      </text>
    </comment>
    <comment ref="X709" authorId="0" shapeId="0" xr:uid="{2F2C4AE1-2CA1-452D-9FDE-614FB5C7EF0E}">
      <text>
        <r>
          <rPr>
            <sz val="10"/>
            <color indexed="81"/>
            <rFont val="Lucida Console"/>
            <family val="3"/>
          </rPr>
          <t>_x000D_
EQUIP PROT IND, INST MAT P/ SINAL, CONTR, COMB ...</t>
        </r>
      </text>
    </comment>
    <comment ref="Y709" authorId="0" shapeId="0" xr:uid="{27347672-9F56-4C69-8F97-E418BAC3D084}">
      <text>
        <r>
          <rPr>
            <sz val="10"/>
            <color indexed="81"/>
            <rFont val="Lucida Console"/>
            <family val="3"/>
          </rPr>
          <t>_x000D_
CALCADOS, LUVAS, OCULOS, MASCARAS, CAPACETES, CASSETETE</t>
        </r>
      </text>
    </comment>
    <comment ref="AW709" authorId="0" shapeId="0" xr:uid="{9DF1AAFE-1524-4D06-8D3B-F0362F3551B2}">
      <text>
        <r>
          <rPr>
            <sz val="10"/>
            <color indexed="81"/>
            <rFont val="Lucida Console"/>
            <family val="3"/>
          </rPr>
          <t>Tempo de Estoque (Meses)_x000D_
_x000D_
472,0</t>
        </r>
      </text>
    </comment>
    <comment ref="A710" authorId="0" shapeId="0" xr:uid="{7F56D02E-036D-478D-804B-04CE9EA81BF4}">
      <text>
        <r>
          <rPr>
            <sz val="10"/>
            <color indexed="81"/>
            <rFont val="Lucida Console"/>
            <family val="3"/>
          </rPr>
          <t>_x000D_
137053</t>
        </r>
      </text>
    </comment>
    <comment ref="B710" authorId="0" shapeId="0" xr:uid="{5AE6AE5B-D2D0-4EC6-88AE-8BC32B3299EC}">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710" authorId="0" shapeId="0" xr:uid="{ACD6DCAB-B62A-4C7A-9FDB-B275C547F5C9}">
      <text>
        <r>
          <rPr>
            <sz val="10"/>
            <color indexed="81"/>
            <rFont val="Lucida Console"/>
            <family val="3"/>
          </rPr>
          <t>_x000D_
SegMedTra</t>
        </r>
      </text>
    </comment>
    <comment ref="X710" authorId="0" shapeId="0" xr:uid="{36712EDA-F1DA-48EE-BF09-D35F91FEC15C}">
      <text>
        <r>
          <rPr>
            <sz val="10"/>
            <color indexed="81"/>
            <rFont val="Lucida Console"/>
            <family val="3"/>
          </rPr>
          <t>_x000D_
EQUIP PROT IND, INST MAT P/ SINAL, CONTR, COMB ...</t>
        </r>
      </text>
    </comment>
    <comment ref="Y710" authorId="0" shapeId="0" xr:uid="{9586249A-745C-4A48-BC54-444172180293}">
      <text>
        <r>
          <rPr>
            <sz val="10"/>
            <color indexed="81"/>
            <rFont val="Lucida Console"/>
            <family val="3"/>
          </rPr>
          <t>_x000D_
CALCADOS, LUVAS, OCULOS, MASCARAS, CAPACETES, CASSETETE</t>
        </r>
      </text>
    </comment>
    <comment ref="AW710" authorId="0" shapeId="0" xr:uid="{280098F7-2C83-4B71-BCA1-2DCA89517903}">
      <text>
        <r>
          <rPr>
            <sz val="10"/>
            <color indexed="81"/>
            <rFont val="Lucida Console"/>
            <family val="3"/>
          </rPr>
          <t>Tempo de Estoque (Meses)_x000D_
_x000D_
16,0</t>
        </r>
      </text>
    </comment>
    <comment ref="A711" authorId="0" shapeId="0" xr:uid="{F54A6BCF-AF96-4A32-8AB1-DD02C66B4913}">
      <text>
        <r>
          <rPr>
            <sz val="10"/>
            <color indexed="81"/>
            <rFont val="Lucida Console"/>
            <family val="3"/>
          </rPr>
          <t>_x000D_
137798</t>
        </r>
      </text>
    </comment>
    <comment ref="B711" authorId="0" shapeId="0" xr:uid="{C1DD39AD-4F8B-4FD4-9297-F658F4268510}">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711" authorId="0" shapeId="0" xr:uid="{1379B349-2493-442C-80B3-43DB19D1C8CC}">
      <text>
        <r>
          <rPr>
            <sz val="10"/>
            <color indexed="81"/>
            <rFont val="Lucida Console"/>
            <family val="3"/>
          </rPr>
          <t>_x000D_
SegMedTra</t>
        </r>
      </text>
    </comment>
    <comment ref="X711" authorId="0" shapeId="0" xr:uid="{A6FCB028-5AD6-4765-9785-F96BB90532CD}">
      <text>
        <r>
          <rPr>
            <sz val="10"/>
            <color indexed="81"/>
            <rFont val="Lucida Console"/>
            <family val="3"/>
          </rPr>
          <t>_x000D_
EQUIP PROT IND, INST MAT P/ SINAL, CONTR, COMB ...</t>
        </r>
      </text>
    </comment>
    <comment ref="Y711" authorId="0" shapeId="0" xr:uid="{89D1BF9A-4E4C-4489-8652-DBD7042A6B9C}">
      <text>
        <r>
          <rPr>
            <sz val="10"/>
            <color indexed="81"/>
            <rFont val="Lucida Console"/>
            <family val="3"/>
          </rPr>
          <t>_x000D_
CALCADOS, LUVAS, OCULOS, MASCARAS, CAPACETES, CASSETETE</t>
        </r>
      </text>
    </comment>
    <comment ref="AW711" authorId="0" shapeId="0" xr:uid="{B5E83AB9-B01F-42B6-A256-0FEADAD1BB00}">
      <text>
        <r>
          <rPr>
            <sz val="10"/>
            <color indexed="81"/>
            <rFont val="Lucida Console"/>
            <family val="3"/>
          </rPr>
          <t>Tempo de Estoque (Meses)_x000D_
_x000D_
18,0</t>
        </r>
      </text>
    </comment>
    <comment ref="A712" authorId="0" shapeId="0" xr:uid="{98445475-CBD5-430C-9224-B53AA8675D7D}">
      <text>
        <r>
          <rPr>
            <sz val="10"/>
            <color indexed="81"/>
            <rFont val="Lucida Console"/>
            <family val="3"/>
          </rPr>
          <t>_x000D_
137799</t>
        </r>
      </text>
    </comment>
    <comment ref="B712" authorId="0" shapeId="0" xr:uid="{BDAF3878-4075-484B-96A8-A182F238259C}">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712" authorId="0" shapeId="0" xr:uid="{2DDE1303-E06D-435A-B0AC-0BC2C581DDBF}">
      <text>
        <r>
          <rPr>
            <sz val="10"/>
            <color indexed="81"/>
            <rFont val="Lucida Console"/>
            <family val="3"/>
          </rPr>
          <t>_x000D_
SegMedTra</t>
        </r>
      </text>
    </comment>
    <comment ref="X712" authorId="0" shapeId="0" xr:uid="{317E73DB-732E-4954-B280-E753F89EAE08}">
      <text>
        <r>
          <rPr>
            <sz val="10"/>
            <color indexed="81"/>
            <rFont val="Lucida Console"/>
            <family val="3"/>
          </rPr>
          <t>_x000D_
EQUIP PROT IND, INST MAT P/ SINAL, CONTR, COMB ...</t>
        </r>
      </text>
    </comment>
    <comment ref="Y712" authorId="0" shapeId="0" xr:uid="{32ACCA3C-18FB-4C01-B404-CAB4EBB496BE}">
      <text>
        <r>
          <rPr>
            <sz val="10"/>
            <color indexed="81"/>
            <rFont val="Lucida Console"/>
            <family val="3"/>
          </rPr>
          <t>_x000D_
CALCADOS, LUVAS, OCULOS, MASCARAS, CAPACETES, CASSETETE</t>
        </r>
      </text>
    </comment>
    <comment ref="AW712" authorId="0" shapeId="0" xr:uid="{FD39EF13-40A6-4F3C-8731-8F0D3FBE66B8}">
      <text>
        <r>
          <rPr>
            <sz val="10"/>
            <color indexed="81"/>
            <rFont val="Lucida Console"/>
            <family val="3"/>
          </rPr>
          <t>Tempo de Estoque (Meses)_x000D_
_x000D_
77,0</t>
        </r>
      </text>
    </comment>
    <comment ref="A713" authorId="0" shapeId="0" xr:uid="{101DE904-3760-4857-88B7-628BC498FA86}">
      <text>
        <r>
          <rPr>
            <sz val="10"/>
            <color indexed="81"/>
            <rFont val="Lucida Console"/>
            <family val="3"/>
          </rPr>
          <t>_x000D_
137800</t>
        </r>
      </text>
    </comment>
    <comment ref="B713" authorId="0" shapeId="0" xr:uid="{582E1044-0DE7-4977-8398-52DFC8B0F799}">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713" authorId="0" shapeId="0" xr:uid="{13C18F9B-9966-476A-9616-5FD7206A5EEA}">
      <text>
        <r>
          <rPr>
            <sz val="10"/>
            <color indexed="81"/>
            <rFont val="Lucida Console"/>
            <family val="3"/>
          </rPr>
          <t>_x000D_
SegMedTra</t>
        </r>
      </text>
    </comment>
    <comment ref="X713" authorId="0" shapeId="0" xr:uid="{B2BD111E-2C62-4D06-964B-3A1F7E5EA4F8}">
      <text>
        <r>
          <rPr>
            <sz val="10"/>
            <color indexed="81"/>
            <rFont val="Lucida Console"/>
            <family val="3"/>
          </rPr>
          <t>_x000D_
EQUIP PROT IND, INST MAT P/ SINAL, CONTR, COMB ...</t>
        </r>
      </text>
    </comment>
    <comment ref="Y713" authorId="0" shapeId="0" xr:uid="{ADC14338-5039-4389-9801-2EF5E6A1A57D}">
      <text>
        <r>
          <rPr>
            <sz val="10"/>
            <color indexed="81"/>
            <rFont val="Lucida Console"/>
            <family val="3"/>
          </rPr>
          <t>_x000D_
CALCADOS, LUVAS, OCULOS, MASCARAS, CAPACETES, CASSETETE</t>
        </r>
      </text>
    </comment>
    <comment ref="AW713" authorId="0" shapeId="0" xr:uid="{A8F37F3A-E92E-4A16-B43E-EDEE1D47599A}">
      <text>
        <r>
          <rPr>
            <sz val="10"/>
            <color indexed="81"/>
            <rFont val="Lucida Console"/>
            <family val="3"/>
          </rPr>
          <t>Tempo de Estoque (Meses)_x000D_
_x000D_
59,0</t>
        </r>
      </text>
    </comment>
    <comment ref="A714" authorId="0" shapeId="0" xr:uid="{3E8D64B0-AA8D-48E5-9126-104A574C0F09}">
      <text>
        <r>
          <rPr>
            <sz val="10"/>
            <color indexed="81"/>
            <rFont val="Lucida Console"/>
            <family val="3"/>
          </rPr>
          <t>_x000D_
143099</t>
        </r>
      </text>
    </comment>
    <comment ref="B714" authorId="0" shapeId="0" xr:uid="{F2FF25BD-8BCF-4419-A109-80FA64A7213B}">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714" authorId="0" shapeId="0" xr:uid="{983C19C0-2B47-4B67-B538-1B4E8561C881}">
      <text>
        <r>
          <rPr>
            <sz val="10"/>
            <color indexed="81"/>
            <rFont val="Lucida Console"/>
            <family val="3"/>
          </rPr>
          <t>_x000D_
SegMedTra</t>
        </r>
      </text>
    </comment>
    <comment ref="X714" authorId="0" shapeId="0" xr:uid="{5B079E78-5D98-4694-B3A0-F6836F60ECD2}">
      <text>
        <r>
          <rPr>
            <sz val="10"/>
            <color indexed="81"/>
            <rFont val="Lucida Console"/>
            <family val="3"/>
          </rPr>
          <t>_x000D_
EQUIP PROT IND, INST MAT P/ SINAL, CONTR, COMB ...</t>
        </r>
      </text>
    </comment>
    <comment ref="Y714" authorId="0" shapeId="0" xr:uid="{3DF525A6-8901-405D-B0BF-C5B63F34DF61}">
      <text>
        <r>
          <rPr>
            <sz val="10"/>
            <color indexed="81"/>
            <rFont val="Lucida Console"/>
            <family val="3"/>
          </rPr>
          <t>_x000D_
CALCADOS, LUVAS, OCULOS, MASCARAS, CAPACETES, CASSETETE</t>
        </r>
      </text>
    </comment>
    <comment ref="AW714" authorId="0" shapeId="0" xr:uid="{D8CF8618-ED68-4CD4-97CE-ADDB7019318B}">
      <text>
        <r>
          <rPr>
            <sz val="10"/>
            <color indexed="81"/>
            <rFont val="Lucida Console"/>
            <family val="3"/>
          </rPr>
          <t>Tempo de Estoque (Meses)_x000D_
_x000D_
1.495,0</t>
        </r>
      </text>
    </comment>
    <comment ref="A715" authorId="0" shapeId="0" xr:uid="{ADD570B1-B714-4A4F-8642-5B6FF6A703D1}">
      <text>
        <r>
          <rPr>
            <sz val="10"/>
            <color indexed="81"/>
            <rFont val="Lucida Console"/>
            <family val="3"/>
          </rPr>
          <t>_x000D_
105113</t>
        </r>
      </text>
    </comment>
    <comment ref="B715" authorId="0" shapeId="0" xr:uid="{623A3670-A705-46EB-81C7-E828A3F1488A}">
      <text>
        <r>
          <rPr>
            <sz val="10"/>
            <color indexed="81"/>
            <rFont val="Lucida Console"/>
            <family val="3"/>
          </rPr>
          <t>DESCRIÇÃO DETALHADA_x000D_
CAMISA DE BRIM, N° 1, CONFECCIONADA EM TECIDO 100% ALGODAO, NA COR AZUL MARINHO.</t>
        </r>
      </text>
    </comment>
    <comment ref="W715" authorId="0" shapeId="0" xr:uid="{29282700-090A-418E-B686-CF4E43D8E8FB}">
      <text>
        <r>
          <rPr>
            <sz val="10"/>
            <color indexed="81"/>
            <rFont val="Lucida Console"/>
            <family val="3"/>
          </rPr>
          <t>_x000D_
SegMedTra</t>
        </r>
      </text>
    </comment>
    <comment ref="X715" authorId="0" shapeId="0" xr:uid="{AB8167B3-2B1E-4A17-9615-FCB2C03E8DAB}">
      <text>
        <r>
          <rPr>
            <sz val="10"/>
            <color indexed="81"/>
            <rFont val="Lucida Console"/>
            <family val="3"/>
          </rPr>
          <t>_x000D_
EQUIP PROT IND, INST MAT P/ SINAL, CONTR, COMB ...</t>
        </r>
      </text>
    </comment>
    <comment ref="Y715" authorId="0" shapeId="0" xr:uid="{96D3C8D8-DE8B-4658-810D-E95C7F4DCE64}">
      <text>
        <r>
          <rPr>
            <sz val="10"/>
            <color indexed="81"/>
            <rFont val="Lucida Console"/>
            <family val="3"/>
          </rPr>
          <t>_x000D_
ATA DE REGISTRO DE PRECOS</t>
        </r>
      </text>
    </comment>
    <comment ref="AW715" authorId="0" shapeId="0" xr:uid="{5A234F4E-FC9B-457B-9046-8123349F3E3E}">
      <text>
        <r>
          <rPr>
            <sz val="10"/>
            <color indexed="81"/>
            <rFont val="Lucida Console"/>
            <family val="3"/>
          </rPr>
          <t>Tempo de Estoque (Meses)_x000D_
_x000D_
5,0</t>
        </r>
      </text>
    </comment>
    <comment ref="A716" authorId="0" shapeId="0" xr:uid="{0537A0BA-6A92-49A4-AF71-7F5CE9F85D5C}">
      <text>
        <r>
          <rPr>
            <sz val="10"/>
            <color indexed="81"/>
            <rFont val="Lucida Console"/>
            <family val="3"/>
          </rPr>
          <t>_x000D_
142982</t>
        </r>
      </text>
    </comment>
    <comment ref="B716" authorId="0" shapeId="0" xr:uid="{A0744A8C-FBAA-469D-90B7-2C9875F0F252}">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716" authorId="0" shapeId="0" xr:uid="{72BE103F-2DBA-4312-AEBF-7CBC399361D7}">
      <text>
        <r>
          <rPr>
            <sz val="10"/>
            <color indexed="81"/>
            <rFont val="Lucida Console"/>
            <family val="3"/>
          </rPr>
          <t xml:space="preserve">_x000D_
</t>
        </r>
      </text>
    </comment>
    <comment ref="X716" authorId="0" shapeId="0" xr:uid="{13900CB5-F9FD-495F-8D25-22CB5EC1F1EA}">
      <text>
        <r>
          <rPr>
            <sz val="10"/>
            <color indexed="81"/>
            <rFont val="Lucida Console"/>
            <family val="3"/>
          </rPr>
          <t>_x000D_
EQUIP. MAT. P/ GERACAO, TRANSM. DISTR. RETIF...</t>
        </r>
      </text>
    </comment>
    <comment ref="Y716" authorId="0" shapeId="0" xr:uid="{5E487016-5242-412E-A411-48336B03B26A}">
      <text>
        <r>
          <rPr>
            <sz val="10"/>
            <color indexed="81"/>
            <rFont val="Lucida Console"/>
            <family val="3"/>
          </rPr>
          <t>_x000D_
CONTADORES</t>
        </r>
      </text>
    </comment>
    <comment ref="AW716" authorId="0" shapeId="0" xr:uid="{41CE7FAB-A88E-47A5-A6B2-C9BBEE20BF21}">
      <text>
        <r>
          <rPr>
            <sz val="10"/>
            <color indexed="81"/>
            <rFont val="Lucida Console"/>
            <family val="3"/>
          </rPr>
          <t>Tempo de Estoque (Meses)_x000D_
_x000D_
100,0</t>
        </r>
      </text>
    </comment>
    <comment ref="A717" authorId="0" shapeId="0" xr:uid="{BB0B7139-FB6F-4E8A-8FF1-6CCA14A7FDB2}">
      <text>
        <r>
          <rPr>
            <sz val="10"/>
            <color indexed="81"/>
            <rFont val="Lucida Console"/>
            <family val="3"/>
          </rPr>
          <t>_x000D_
45637</t>
        </r>
      </text>
    </comment>
    <comment ref="B717" authorId="0" shapeId="0" xr:uid="{F88CFD16-D11B-4F14-B5AD-F0F8ACE80302}">
      <text>
        <r>
          <rPr>
            <sz val="10"/>
            <color indexed="81"/>
            <rFont val="Lucida Console"/>
            <family val="3"/>
          </rPr>
          <t>DESCRIÇÃO DETALHADA_x000D_
CHAVE BOIA INFERIOR 15 A (CONTROLE DE NIVEL AUTOMATICO)</t>
        </r>
      </text>
    </comment>
    <comment ref="W717" authorId="0" shapeId="0" xr:uid="{D84BE8B1-6998-48C6-9659-107F9F788FFE}">
      <text>
        <r>
          <rPr>
            <sz val="10"/>
            <color indexed="81"/>
            <rFont val="Lucida Console"/>
            <family val="3"/>
          </rPr>
          <t>_x000D_
DM-Elétrica</t>
        </r>
      </text>
    </comment>
    <comment ref="X717" authorId="0" shapeId="0" xr:uid="{F4413CA4-848C-4A1D-9C22-468F312035CE}">
      <text>
        <r>
          <rPr>
            <sz val="10"/>
            <color indexed="81"/>
            <rFont val="Lucida Console"/>
            <family val="3"/>
          </rPr>
          <t>_x000D_
EQUIP. MAT. P/ GERACAO, TRANSM. DISTR. RETIF...</t>
        </r>
      </text>
    </comment>
    <comment ref="Y717" authorId="0" shapeId="0" xr:uid="{6FE1D297-B4BC-4B77-90C9-0459D233F695}">
      <text>
        <r>
          <rPr>
            <sz val="10"/>
            <color indexed="81"/>
            <rFont val="Lucida Console"/>
            <family val="3"/>
          </rPr>
          <t>_x000D_
CHAVES BOIA</t>
        </r>
      </text>
    </comment>
    <comment ref="AW717" authorId="0" shapeId="0" xr:uid="{E29BB45F-52E5-4505-A8DC-1F8AF25FCEF1}">
      <text>
        <r>
          <rPr>
            <sz val="10"/>
            <color indexed="81"/>
            <rFont val="Lucida Console"/>
            <family val="3"/>
          </rPr>
          <t>Tempo de Estoque (Meses)_x000D_
_x000D_
787,0</t>
        </r>
      </text>
    </comment>
    <comment ref="A718" authorId="0" shapeId="0" xr:uid="{9A38FEFF-8048-4549-9018-3ED5299E3A00}">
      <text>
        <r>
          <rPr>
            <sz val="10"/>
            <color indexed="81"/>
            <rFont val="Lucida Console"/>
            <family val="3"/>
          </rPr>
          <t>_x000D_
72184</t>
        </r>
      </text>
    </comment>
    <comment ref="B718" authorId="0" shapeId="0" xr:uid="{761F9C71-3AFB-48DE-BD42-E5D7384B012C}">
      <text>
        <r>
          <rPr>
            <sz val="10"/>
            <color indexed="81"/>
            <rFont val="Lucida Console"/>
            <family val="3"/>
          </rPr>
          <t>DESCRIÇÃO DETALHADA_x000D_
PILHA PALITO AAA - ALCALINA</t>
        </r>
      </text>
    </comment>
    <comment ref="W718" authorId="0" shapeId="0" xr:uid="{F88E3879-0F8B-4910-853D-7826D0BF9F4C}">
      <text>
        <r>
          <rPr>
            <sz val="10"/>
            <color indexed="81"/>
            <rFont val="Lucida Console"/>
            <family val="3"/>
          </rPr>
          <t>_x000D_
Administrativo</t>
        </r>
      </text>
    </comment>
    <comment ref="X718" authorId="0" shapeId="0" xr:uid="{7006B4CE-7236-4978-BDC5-4DD2991CDCA1}">
      <text>
        <r>
          <rPr>
            <sz val="10"/>
            <color indexed="81"/>
            <rFont val="Lucida Console"/>
            <family val="3"/>
          </rPr>
          <t>_x000D_
EQUIP. MAT. P/ GERACAO, TRANSM. DISTR. RETIF...</t>
        </r>
      </text>
    </comment>
    <comment ref="Y718" authorId="0" shapeId="0" xr:uid="{DEC614DE-B874-4F5A-AB4A-996D342E16DC}">
      <text>
        <r>
          <rPr>
            <sz val="10"/>
            <color indexed="81"/>
            <rFont val="Lucida Console"/>
            <family val="3"/>
          </rPr>
          <t>_x000D_
PILHAS E BATERIAS PORTATEIS</t>
        </r>
      </text>
    </comment>
    <comment ref="AW718" authorId="0" shapeId="0" xr:uid="{99DF722E-9B6C-4210-AD1D-26864794D07B}">
      <text>
        <r>
          <rPr>
            <sz val="10"/>
            <color indexed="81"/>
            <rFont val="Lucida Console"/>
            <family val="3"/>
          </rPr>
          <t>Tempo de Estoque (Meses)_x000D_
_x000D_
5.812,0</t>
        </r>
      </text>
    </comment>
    <comment ref="A719" authorId="0" shapeId="0" xr:uid="{8487550A-D8EF-488C-A610-2F0CE34C8111}">
      <text>
        <r>
          <rPr>
            <sz val="10"/>
            <color indexed="81"/>
            <rFont val="Lucida Console"/>
            <family val="3"/>
          </rPr>
          <t>_x000D_
110889</t>
        </r>
      </text>
    </comment>
    <comment ref="B719" authorId="0" shapeId="0" xr:uid="{2F8CCFEC-0450-46A1-B789-6F218FD936F4}">
      <text>
        <r>
          <rPr>
            <sz val="10"/>
            <color indexed="81"/>
            <rFont val="Lucida Console"/>
            <family val="3"/>
          </rPr>
          <t>DESCRIÇÃO DETALHADA_x000D_
CABO DE COBRE FLEXIVEL BITOLA 150 MM²,  0,6/1 KV ISOLACAO DE PVC 70° C, COR PRETA - ANTI-CHAMA</t>
        </r>
      </text>
    </comment>
    <comment ref="W719" authorId="0" shapeId="0" xr:uid="{B15E4A43-0724-47B7-A54D-0FA161F5E4F5}">
      <text>
        <r>
          <rPr>
            <sz val="10"/>
            <color indexed="81"/>
            <rFont val="Lucida Console"/>
            <family val="3"/>
          </rPr>
          <t>_x000D_
DM-Elétrica</t>
        </r>
      </text>
    </comment>
    <comment ref="X719" authorId="0" shapeId="0" xr:uid="{B4F8AB0A-6A90-4DCB-B120-79B4C550FB8E}">
      <text>
        <r>
          <rPr>
            <sz val="10"/>
            <color indexed="81"/>
            <rFont val="Lucida Console"/>
            <family val="3"/>
          </rPr>
          <t>_x000D_
EQUIP. MAT. P/ GERACAO, TRANSM. DISTR. RETIF...</t>
        </r>
      </text>
    </comment>
    <comment ref="Y719" authorId="0" shapeId="0" xr:uid="{0ED1CB18-ABB6-4F2A-BC2E-7EC83A7633DD}">
      <text>
        <r>
          <rPr>
            <sz val="10"/>
            <color indexed="81"/>
            <rFont val="Lucida Console"/>
            <family val="3"/>
          </rPr>
          <t>_x000D_
FIOS E CABOS ELETRICOS</t>
        </r>
      </text>
    </comment>
    <comment ref="Z719" authorId="0" shapeId="0" xr:uid="{009CBEBE-9AC9-47BB-9DC4-109BEB2D18C0}">
      <text>
        <r>
          <rPr>
            <sz val="10"/>
            <color indexed="81"/>
            <rFont val="Lucida Console"/>
            <family val="3"/>
          </rPr>
          <t>_x000D_
RC  1.929 / 23  Qtde: 200_x000D_
RC  2.956 / 23  Qtde: 100</t>
        </r>
      </text>
    </comment>
    <comment ref="AW719" authorId="0" shapeId="0" xr:uid="{4FBE4966-0FCF-4D98-9AFF-3FB6C70960A3}">
      <text>
        <r>
          <rPr>
            <sz val="10"/>
            <color indexed="81"/>
            <rFont val="Lucida Console"/>
            <family val="3"/>
          </rPr>
          <t>Tempo de Estoque (Meses)_x000D_
_x000D_
380,0</t>
        </r>
      </text>
    </comment>
    <comment ref="A720" authorId="0" shapeId="0" xr:uid="{750ADB4A-0795-463D-AC80-A87368A0825F}">
      <text>
        <r>
          <rPr>
            <sz val="10"/>
            <color indexed="81"/>
            <rFont val="Lucida Console"/>
            <family val="3"/>
          </rPr>
          <t>_x000D_
123370</t>
        </r>
      </text>
    </comment>
    <comment ref="B720" authorId="0" shapeId="0" xr:uid="{4E31064D-8647-47EC-B45D-F78C536C81EC}">
      <text>
        <r>
          <rPr>
            <sz val="10"/>
            <color indexed="81"/>
            <rFont val="Lucida Console"/>
            <family val="3"/>
          </rPr>
          <t xml:space="preserve">DESCRIÇÃO DETALHADA_x000D_
CABO DE COBRE FLEXIVEL BITOLA 185 MM2 , ISOLACAO 0,6/1 KV, COR PRETA - ANTICHAMA </t>
        </r>
      </text>
    </comment>
    <comment ref="W720" authorId="0" shapeId="0" xr:uid="{F788EA2A-EFA6-4D15-ABE6-4EF741818116}">
      <text>
        <r>
          <rPr>
            <sz val="10"/>
            <color indexed="81"/>
            <rFont val="Lucida Console"/>
            <family val="3"/>
          </rPr>
          <t>_x000D_
DM-Elétrica</t>
        </r>
      </text>
    </comment>
    <comment ref="X720" authorId="0" shapeId="0" xr:uid="{5B38FA30-94E6-4E67-B9B1-74EC31E28BB9}">
      <text>
        <r>
          <rPr>
            <sz val="10"/>
            <color indexed="81"/>
            <rFont val="Lucida Console"/>
            <family val="3"/>
          </rPr>
          <t>_x000D_
EQUIP. MAT. P/ GERACAO, TRANSM. DISTR. RETIF...</t>
        </r>
      </text>
    </comment>
    <comment ref="Y720" authorId="0" shapeId="0" xr:uid="{5B6F1182-F33D-40AE-8F82-4B0B38BDA480}">
      <text>
        <r>
          <rPr>
            <sz val="10"/>
            <color indexed="81"/>
            <rFont val="Lucida Console"/>
            <family val="3"/>
          </rPr>
          <t>_x000D_
FIOS E CABOS ELETRICOS</t>
        </r>
      </text>
    </comment>
    <comment ref="AW720" authorId="0" shapeId="0" xr:uid="{CAB9A1C8-676F-4A00-8465-4FDC08B885D8}">
      <text>
        <r>
          <rPr>
            <sz val="10"/>
            <color indexed="81"/>
            <rFont val="Lucida Console"/>
            <family val="3"/>
          </rPr>
          <t>Tempo de Estoque (Meses)_x000D_
_x000D_
49,0</t>
        </r>
      </text>
    </comment>
    <comment ref="A721" authorId="0" shapeId="0" xr:uid="{EC56B807-7150-47A4-B21C-AC38B66D9D4B}">
      <text>
        <r>
          <rPr>
            <sz val="10"/>
            <color indexed="81"/>
            <rFont val="Lucida Console"/>
            <family val="3"/>
          </rPr>
          <t>_x000D_
132229</t>
        </r>
      </text>
    </comment>
    <comment ref="B721" authorId="0" shapeId="0" xr:uid="{4740E15E-100B-4CE1-8D1E-96D978568DC5}">
      <text>
        <r>
          <rPr>
            <sz val="10"/>
            <color indexed="81"/>
            <rFont val="Lucida Console"/>
            <family val="3"/>
          </rPr>
          <t>DESCRIÇÃO DETALHADA_x000D_
CABO DE COBRE FLEXIVEL, BITOLA 50MM2, 0,6/1 KV, ISOLACAO DE PVC 70° C, COR AZUL CLARO - ANTI-CHAMA</t>
        </r>
      </text>
    </comment>
    <comment ref="W721" authorId="0" shapeId="0" xr:uid="{DD18F657-D4B0-43DC-B227-8657783DA136}">
      <text>
        <r>
          <rPr>
            <sz val="10"/>
            <color indexed="81"/>
            <rFont val="Lucida Console"/>
            <family val="3"/>
          </rPr>
          <t>_x000D_
DM-Elétrica</t>
        </r>
      </text>
    </comment>
    <comment ref="X721" authorId="0" shapeId="0" xr:uid="{47E5156A-A812-446E-9E79-BDA5589CC0D4}">
      <text>
        <r>
          <rPr>
            <sz val="10"/>
            <color indexed="81"/>
            <rFont val="Lucida Console"/>
            <family val="3"/>
          </rPr>
          <t>_x000D_
EQUIP. MAT. P/ GERACAO, TRANSM. DISTR. RETIF...</t>
        </r>
      </text>
    </comment>
    <comment ref="Y721" authorId="0" shapeId="0" xr:uid="{F0E4F772-01D1-48DC-B0E0-8F8A3748EB27}">
      <text>
        <r>
          <rPr>
            <sz val="10"/>
            <color indexed="81"/>
            <rFont val="Lucida Console"/>
            <family val="3"/>
          </rPr>
          <t>_x000D_
FIOS E CABOS ELETRICOS</t>
        </r>
      </text>
    </comment>
    <comment ref="AW721" authorId="0" shapeId="0" xr:uid="{382F2D30-35F1-43C3-9B21-D262E9EE89AC}">
      <text>
        <r>
          <rPr>
            <sz val="10"/>
            <color indexed="81"/>
            <rFont val="Lucida Console"/>
            <family val="3"/>
          </rPr>
          <t>Tempo de Estoque (Meses)_x000D_
_x000D_
960,5</t>
        </r>
      </text>
    </comment>
    <comment ref="A722" authorId="0" shapeId="0" xr:uid="{B5D395FA-7544-4577-BBDA-40AB4781F88F}">
      <text>
        <r>
          <rPr>
            <sz val="10"/>
            <color indexed="81"/>
            <rFont val="Lucida Console"/>
            <family val="3"/>
          </rPr>
          <t>_x000D_
140125</t>
        </r>
      </text>
    </comment>
    <comment ref="B722" authorId="0" shapeId="0" xr:uid="{383D050D-F2F8-44C3-9EB0-F6E72058157E}">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722" authorId="0" shapeId="0" xr:uid="{DC2E4C7C-63DC-4B0C-A292-05A7BE689DCF}">
      <text>
        <r>
          <rPr>
            <sz val="10"/>
            <color indexed="81"/>
            <rFont val="Lucida Console"/>
            <family val="3"/>
          </rPr>
          <t>_x000D_
DM-Elétrica</t>
        </r>
      </text>
    </comment>
    <comment ref="X722" authorId="0" shapeId="0" xr:uid="{FDF8A4A8-3E75-438B-89E5-B126AA377E57}">
      <text>
        <r>
          <rPr>
            <sz val="10"/>
            <color indexed="81"/>
            <rFont val="Lucida Console"/>
            <family val="3"/>
          </rPr>
          <t>_x000D_
EQUIP. MAT. P/ GERACAO, TRANSM. DISTR. RETIF...</t>
        </r>
      </text>
    </comment>
    <comment ref="Y722" authorId="0" shapeId="0" xr:uid="{1526D535-1202-4EA9-8EFB-8B482D392885}">
      <text>
        <r>
          <rPr>
            <sz val="10"/>
            <color indexed="81"/>
            <rFont val="Lucida Console"/>
            <family val="3"/>
          </rPr>
          <t>_x000D_
FIOS E CABOS ELETRICOS</t>
        </r>
      </text>
    </comment>
    <comment ref="AW722" authorId="0" shapeId="0" xr:uid="{A8726446-A82E-41EE-A29E-8BFE0A66CC6E}">
      <text>
        <r>
          <rPr>
            <sz val="10"/>
            <color indexed="81"/>
            <rFont val="Lucida Console"/>
            <family val="3"/>
          </rPr>
          <t>Tempo de Estoque (Meses)_x000D_
_x000D_
550,0</t>
        </r>
      </text>
    </comment>
    <comment ref="A723" authorId="0" shapeId="0" xr:uid="{599CF1A3-CD61-49CC-BD24-6C8B1C16A752}">
      <text>
        <r>
          <rPr>
            <sz val="10"/>
            <color indexed="81"/>
            <rFont val="Lucida Console"/>
            <family val="3"/>
          </rPr>
          <t>_x000D_
140126</t>
        </r>
      </text>
    </comment>
    <comment ref="B723" authorId="0" shapeId="0" xr:uid="{C08EF294-B186-4721-88E4-F01329FD0092}">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723" authorId="0" shapeId="0" xr:uid="{E7B87D25-A4C2-489D-85AF-6E1838F8507E}">
      <text>
        <r>
          <rPr>
            <sz val="10"/>
            <color indexed="81"/>
            <rFont val="Lucida Console"/>
            <family val="3"/>
          </rPr>
          <t>_x000D_
DM-Elétrica</t>
        </r>
      </text>
    </comment>
    <comment ref="X723" authorId="0" shapeId="0" xr:uid="{CF241B6C-584D-464E-BA67-B3A76A816364}">
      <text>
        <r>
          <rPr>
            <sz val="10"/>
            <color indexed="81"/>
            <rFont val="Lucida Console"/>
            <family val="3"/>
          </rPr>
          <t>_x000D_
EQUIP. MAT. P/ GERACAO, TRANSM. DISTR. RETIF...</t>
        </r>
      </text>
    </comment>
    <comment ref="Y723" authorId="0" shapeId="0" xr:uid="{37CC494A-F69F-453F-B3CF-6C1259867D63}">
      <text>
        <r>
          <rPr>
            <sz val="10"/>
            <color indexed="81"/>
            <rFont val="Lucida Console"/>
            <family val="3"/>
          </rPr>
          <t>_x000D_
FIOS E CABOS ELETRICOS</t>
        </r>
      </text>
    </comment>
    <comment ref="AW723" authorId="0" shapeId="0" xr:uid="{85C542CC-0062-45F0-8C21-2604015B551B}">
      <text>
        <r>
          <rPr>
            <sz val="10"/>
            <color indexed="81"/>
            <rFont val="Lucida Console"/>
            <family val="3"/>
          </rPr>
          <t>Tempo de Estoque (Meses)_x000D_
_x000D_
891,0</t>
        </r>
      </text>
    </comment>
    <comment ref="A724" authorId="0" shapeId="0" xr:uid="{76B19966-3440-4FE6-B9F6-E7FD99CD194F}">
      <text>
        <r>
          <rPr>
            <sz val="10"/>
            <color indexed="81"/>
            <rFont val="Lucida Console"/>
            <family val="3"/>
          </rPr>
          <t>_x000D_
88731</t>
        </r>
      </text>
    </comment>
    <comment ref="B724" authorId="0" shapeId="0" xr:uid="{C9B1B120-9648-4392-88FC-164733EED6E9}">
      <text>
        <r>
          <rPr>
            <sz val="10"/>
            <color indexed="81"/>
            <rFont val="Lucida Console"/>
            <family val="3"/>
          </rPr>
          <t>DESCRIÇÃO DETALHADA_x000D_
DISJUNTOR NORMA DIN CURVA C PADRAO, TRIPOLAR, 10 AMPERES</t>
        </r>
      </text>
    </comment>
    <comment ref="W724" authorId="0" shapeId="0" xr:uid="{E119A5F6-873F-4895-8799-B5EA83052334}">
      <text>
        <r>
          <rPr>
            <sz val="10"/>
            <color indexed="81"/>
            <rFont val="Lucida Console"/>
            <family val="3"/>
          </rPr>
          <t>_x000D_
DM-Elétrica</t>
        </r>
      </text>
    </comment>
    <comment ref="X724" authorId="0" shapeId="0" xr:uid="{E281DED4-325A-495B-A700-121B5A15F668}">
      <text>
        <r>
          <rPr>
            <sz val="10"/>
            <color indexed="81"/>
            <rFont val="Lucida Console"/>
            <family val="3"/>
          </rPr>
          <t>_x000D_
EQUIP. MAT. P/ GERACAO, TRANSM. DISTR. RETIF...</t>
        </r>
      </text>
    </comment>
    <comment ref="Y724" authorId="0" shapeId="0" xr:uid="{8A8F2167-1DA9-404C-99E8-C66B96B79484}">
      <text>
        <r>
          <rPr>
            <sz val="10"/>
            <color indexed="81"/>
            <rFont val="Lucida Console"/>
            <family val="3"/>
          </rPr>
          <t>_x000D_
DISJUNTORES</t>
        </r>
      </text>
    </comment>
    <comment ref="AW724" authorId="0" shapeId="0" xr:uid="{3EBDBA30-0FA6-40D4-B46D-B7F5E982AF2D}">
      <text>
        <r>
          <rPr>
            <sz val="10"/>
            <color indexed="81"/>
            <rFont val="Lucida Console"/>
            <family val="3"/>
          </rPr>
          <t>Tempo de Estoque (Meses)_x000D_
_x000D_
40,0</t>
        </r>
      </text>
    </comment>
    <comment ref="A725" authorId="0" shapeId="0" xr:uid="{87F67B12-3DCB-4DDA-AE2E-23876ADD84D4}">
      <text>
        <r>
          <rPr>
            <sz val="10"/>
            <color indexed="81"/>
            <rFont val="Lucida Console"/>
            <family val="3"/>
          </rPr>
          <t>_x000D_
93486</t>
        </r>
      </text>
    </comment>
    <comment ref="B725" authorId="0" shapeId="0" xr:uid="{E39A2159-7B2C-41A8-BE61-C8B0DC5DA44D}">
      <text>
        <r>
          <rPr>
            <sz val="10"/>
            <color indexed="81"/>
            <rFont val="Lucida Console"/>
            <family val="3"/>
          </rPr>
          <t>DESCRIÇÃO DETALHADA_x000D_
INTERRUPTOR DIFERENCIAL RESIDUAL TETRAPOLAR ELETROMECANICO NORMA IEC 61008 TENSAO MINIMA 240V CORRENTE NOMINAL 40 AMPERES SENSIBILIDADE 30 MA</t>
        </r>
      </text>
    </comment>
    <comment ref="W725" authorId="0" shapeId="0" xr:uid="{6A85409D-486D-4BA9-997A-31485EA8C771}">
      <text>
        <r>
          <rPr>
            <sz val="10"/>
            <color indexed="81"/>
            <rFont val="Lucida Console"/>
            <family val="3"/>
          </rPr>
          <t>_x000D_
DM-Elétrica</t>
        </r>
      </text>
    </comment>
    <comment ref="X725" authorId="0" shapeId="0" xr:uid="{8E2DE2FD-8108-4C6C-A966-A723E9796A3C}">
      <text>
        <r>
          <rPr>
            <sz val="10"/>
            <color indexed="81"/>
            <rFont val="Lucida Console"/>
            <family val="3"/>
          </rPr>
          <t>_x000D_
EQUIP. MAT. P/ GERACAO, TRANSM. DISTR. RETIF...</t>
        </r>
      </text>
    </comment>
    <comment ref="Y725" authorId="0" shapeId="0" xr:uid="{767A8F36-78D4-4371-950E-D21EA9AD843F}">
      <text>
        <r>
          <rPr>
            <sz val="10"/>
            <color indexed="81"/>
            <rFont val="Lucida Console"/>
            <family val="3"/>
          </rPr>
          <t>_x000D_
DISJUNTORES</t>
        </r>
      </text>
    </comment>
    <comment ref="AW725" authorId="0" shapeId="0" xr:uid="{CE725379-52DC-4926-807C-41D358D55904}">
      <text>
        <r>
          <rPr>
            <sz val="10"/>
            <color indexed="81"/>
            <rFont val="Lucida Console"/>
            <family val="3"/>
          </rPr>
          <t>Tempo de Estoque (Meses)_x000D_
_x000D_
87,0</t>
        </r>
      </text>
    </comment>
    <comment ref="A726" authorId="0" shapeId="0" xr:uid="{972C9E46-4933-4C8E-881F-AA21E1FDB7C6}">
      <text>
        <r>
          <rPr>
            <sz val="10"/>
            <color indexed="81"/>
            <rFont val="Lucida Console"/>
            <family val="3"/>
          </rPr>
          <t>_x000D_
93487</t>
        </r>
      </text>
    </comment>
    <comment ref="B726" authorId="0" shapeId="0" xr:uid="{E4268E73-B187-439E-99B2-07413C5F827A}">
      <text>
        <r>
          <rPr>
            <sz val="10"/>
            <color indexed="81"/>
            <rFont val="Lucida Console"/>
            <family val="3"/>
          </rPr>
          <t>DESCRIÇÃO DETALHADA_x000D_
INTERRUPTOR DIFERENCIAL RESIDUAL TETRAPOLAR ELETROMECANICO NORMA IEC 61008 TENSAO MINIMA 240V CORRENTE NOMINAL 63 AMPERES SENSIBILIDADE 30 MA</t>
        </r>
      </text>
    </comment>
    <comment ref="W726" authorId="0" shapeId="0" xr:uid="{16EEC2D1-A64D-4840-8B97-D421EE5F5E45}">
      <text>
        <r>
          <rPr>
            <sz val="10"/>
            <color indexed="81"/>
            <rFont val="Lucida Console"/>
            <family val="3"/>
          </rPr>
          <t>_x000D_
DM-Elétrica</t>
        </r>
      </text>
    </comment>
    <comment ref="X726" authorId="0" shapeId="0" xr:uid="{F50030C8-91ED-44A1-A9A3-18F5D41BCED5}">
      <text>
        <r>
          <rPr>
            <sz val="10"/>
            <color indexed="81"/>
            <rFont val="Lucida Console"/>
            <family val="3"/>
          </rPr>
          <t>_x000D_
EQUIP. MAT. P/ GERACAO, TRANSM. DISTR. RETIF...</t>
        </r>
      </text>
    </comment>
    <comment ref="Y726" authorId="0" shapeId="0" xr:uid="{741414ED-AA9B-4D37-A8D8-5A3F6B8DCFCC}">
      <text>
        <r>
          <rPr>
            <sz val="10"/>
            <color indexed="81"/>
            <rFont val="Lucida Console"/>
            <family val="3"/>
          </rPr>
          <t>_x000D_
DISJUNTORES</t>
        </r>
      </text>
    </comment>
    <comment ref="AW726" authorId="0" shapeId="0" xr:uid="{C9F9A883-6BDE-4894-9711-43D581C950FE}">
      <text>
        <r>
          <rPr>
            <sz val="10"/>
            <color indexed="81"/>
            <rFont val="Lucida Console"/>
            <family val="3"/>
          </rPr>
          <t>Tempo de Estoque (Meses)_x000D_
_x000D_
7,0</t>
        </r>
      </text>
    </comment>
    <comment ref="A727" authorId="0" shapeId="0" xr:uid="{1DD6D31C-9E30-43AA-9F74-2A85B7306CEF}">
      <text>
        <r>
          <rPr>
            <sz val="10"/>
            <color indexed="81"/>
            <rFont val="Lucida Console"/>
            <family val="3"/>
          </rPr>
          <t>_x000D_
93488</t>
        </r>
      </text>
    </comment>
    <comment ref="B727" authorId="0" shapeId="0" xr:uid="{50467222-315A-4391-AF79-09AB8684608C}">
      <text>
        <r>
          <rPr>
            <sz val="10"/>
            <color indexed="81"/>
            <rFont val="Lucida Console"/>
            <family val="3"/>
          </rPr>
          <t>DESCRIÇÃO DETALHADA_x000D_
INTERRUPTOR DIFERENCIAL RESIDUAL TETRAPOLAR ELETROMECANICO NORMA IEC 61008 TENSAO MINIMA 240V CORRENTE NOMINAL 80 AMPERES SENSIBILIDADE 30 MA</t>
        </r>
      </text>
    </comment>
    <comment ref="W727" authorId="0" shapeId="0" xr:uid="{1BCF74D7-3B98-40F9-B06F-499D8D455B5F}">
      <text>
        <r>
          <rPr>
            <sz val="10"/>
            <color indexed="81"/>
            <rFont val="Lucida Console"/>
            <family val="3"/>
          </rPr>
          <t>_x000D_
DM-Elétrica</t>
        </r>
      </text>
    </comment>
    <comment ref="X727" authorId="0" shapeId="0" xr:uid="{587BBB70-E29A-4F53-9071-CE3633F22427}">
      <text>
        <r>
          <rPr>
            <sz val="10"/>
            <color indexed="81"/>
            <rFont val="Lucida Console"/>
            <family val="3"/>
          </rPr>
          <t>_x000D_
EQUIP. MAT. P/ GERACAO, TRANSM. DISTR. RETIF...</t>
        </r>
      </text>
    </comment>
    <comment ref="Y727" authorId="0" shapeId="0" xr:uid="{085B406B-87DA-4FCE-9411-ED8095079A4F}">
      <text>
        <r>
          <rPr>
            <sz val="10"/>
            <color indexed="81"/>
            <rFont val="Lucida Console"/>
            <family val="3"/>
          </rPr>
          <t>_x000D_
DISJUNTORES</t>
        </r>
      </text>
    </comment>
    <comment ref="AW727" authorId="0" shapeId="0" xr:uid="{8A502E52-91CC-4206-854D-6B7325193A8F}">
      <text>
        <r>
          <rPr>
            <sz val="10"/>
            <color indexed="81"/>
            <rFont val="Lucida Console"/>
            <family val="3"/>
          </rPr>
          <t>Tempo de Estoque (Meses)_x000D_
_x000D_
17,0</t>
        </r>
      </text>
    </comment>
    <comment ref="A728" authorId="0" shapeId="0" xr:uid="{DEE43025-1034-4708-984F-09D2A8AE5086}">
      <text>
        <r>
          <rPr>
            <sz val="10"/>
            <color indexed="81"/>
            <rFont val="Lucida Console"/>
            <family val="3"/>
          </rPr>
          <t>_x000D_
102822</t>
        </r>
      </text>
    </comment>
    <comment ref="B728" authorId="0" shapeId="0" xr:uid="{B31659B5-236B-4E15-86B0-5EBC9E04BF77}">
      <text>
        <r>
          <rPr>
            <sz val="10"/>
            <color indexed="81"/>
            <rFont val="Lucida Console"/>
            <family val="3"/>
          </rPr>
          <t>DESCRIÇÃO DETALHADA_x000D_
TRILHO PARA DISJUNTOR TIPO DIN</t>
        </r>
      </text>
    </comment>
    <comment ref="W728" authorId="0" shapeId="0" xr:uid="{7FC230D4-62BF-4158-ADF3-A638391A7ECE}">
      <text>
        <r>
          <rPr>
            <sz val="10"/>
            <color indexed="81"/>
            <rFont val="Lucida Console"/>
            <family val="3"/>
          </rPr>
          <t>_x000D_
DM-Elétrica</t>
        </r>
      </text>
    </comment>
    <comment ref="X728" authorId="0" shapeId="0" xr:uid="{4D6490AB-7E86-43C7-8AE8-21A26225F667}">
      <text>
        <r>
          <rPr>
            <sz val="10"/>
            <color indexed="81"/>
            <rFont val="Lucida Console"/>
            <family val="3"/>
          </rPr>
          <t>_x000D_
EQUIP. MAT. P/ GERACAO, TRANSM. DISTR. RETIF...</t>
        </r>
      </text>
    </comment>
    <comment ref="Y728" authorId="0" shapeId="0" xr:uid="{F17E69D0-D103-43C5-95E0-4C663235D6C0}">
      <text>
        <r>
          <rPr>
            <sz val="10"/>
            <color indexed="81"/>
            <rFont val="Lucida Console"/>
            <family val="3"/>
          </rPr>
          <t>_x000D_
DISJUNTORES</t>
        </r>
      </text>
    </comment>
    <comment ref="AW728" authorId="0" shapeId="0" xr:uid="{63511505-34F9-4570-80C0-C2C1D74D9214}">
      <text>
        <r>
          <rPr>
            <sz val="10"/>
            <color indexed="81"/>
            <rFont val="Lucida Console"/>
            <family val="3"/>
          </rPr>
          <t>Tempo de Estoque (Meses)_x000D_
_x000D_
60,0</t>
        </r>
      </text>
    </comment>
    <comment ref="A729" authorId="0" shapeId="0" xr:uid="{98AFA560-86D9-44CD-9180-00632B23BB0E}">
      <text>
        <r>
          <rPr>
            <sz val="10"/>
            <color indexed="81"/>
            <rFont val="Lucida Console"/>
            <family val="3"/>
          </rPr>
          <t>_x000D_
37518</t>
        </r>
      </text>
    </comment>
    <comment ref="B729" authorId="0" shapeId="0" xr:uid="{C7E53DF2-F049-4931-A42A-B6B7B0B5EBA2}">
      <text>
        <r>
          <rPr>
            <sz val="10"/>
            <color indexed="81"/>
            <rFont val="Lucida Console"/>
            <family val="3"/>
          </rPr>
          <t>DESCRIÇÃO DETALHADA_x000D_
ROLDANA PLASTICA P/ FIXACAO DE FIOS ELETRICOS - 30 X 30 - C/ PREGO P / FIXACAO</t>
        </r>
      </text>
    </comment>
    <comment ref="W729" authorId="0" shapeId="0" xr:uid="{96118297-7375-472B-8058-16B0E8E69A91}">
      <text>
        <r>
          <rPr>
            <sz val="10"/>
            <color indexed="81"/>
            <rFont val="Lucida Console"/>
            <family val="3"/>
          </rPr>
          <t>_x000D_
DM-Elétrica</t>
        </r>
      </text>
    </comment>
    <comment ref="X729" authorId="0" shapeId="0" xr:uid="{07B1408A-568A-434A-B5B6-0972BBDE5971}">
      <text>
        <r>
          <rPr>
            <sz val="10"/>
            <color indexed="81"/>
            <rFont val="Lucida Console"/>
            <family val="3"/>
          </rPr>
          <t>_x000D_
EQUIP. MAT. P/ GERACAO, TRANSM. DISTR. RETIF...</t>
        </r>
      </text>
    </comment>
    <comment ref="Y729" authorId="0" shapeId="0" xr:uid="{743E3FA5-B4F6-4D0B-91FA-07D3B7552888}">
      <text>
        <r>
          <rPr>
            <sz val="10"/>
            <color indexed="81"/>
            <rFont val="Lucida Console"/>
            <family val="3"/>
          </rPr>
          <t>_x000D_
ACESSORIOS</t>
        </r>
      </text>
    </comment>
    <comment ref="AW729" authorId="0" shapeId="0" xr:uid="{99CCFB39-17B7-4997-9083-12492A676CDC}">
      <text>
        <r>
          <rPr>
            <sz val="10"/>
            <color indexed="81"/>
            <rFont val="Lucida Console"/>
            <family val="3"/>
          </rPr>
          <t>Tempo de Estoque (Meses)_x000D_
_x000D_
350,0</t>
        </r>
      </text>
    </comment>
    <comment ref="A730" authorId="0" shapeId="0" xr:uid="{3153C182-4FBE-492A-B5D8-D18968B60CD8}">
      <text>
        <r>
          <rPr>
            <sz val="10"/>
            <color indexed="81"/>
            <rFont val="Lucida Console"/>
            <family val="3"/>
          </rPr>
          <t>_x000D_
37519</t>
        </r>
      </text>
    </comment>
    <comment ref="B730" authorId="0" shapeId="0" xr:uid="{EB18F515-B909-4AD0-949D-204ABFD09BAB}">
      <text>
        <r>
          <rPr>
            <sz val="10"/>
            <color indexed="81"/>
            <rFont val="Lucida Console"/>
            <family val="3"/>
          </rPr>
          <t>DESCRIÇÃO DETALHADA_x000D_
ROLDANA PLASTICA P/ FIXACAO DE FIOS ELETRICOS - 24 X 24 - C/ PREGO P/ FIXACAO</t>
        </r>
      </text>
    </comment>
    <comment ref="W730" authorId="0" shapeId="0" xr:uid="{DD25AD19-ED7D-4E48-B475-3C0F5783F46E}">
      <text>
        <r>
          <rPr>
            <sz val="10"/>
            <color indexed="81"/>
            <rFont val="Lucida Console"/>
            <family val="3"/>
          </rPr>
          <t>_x000D_
DM-Elétrica</t>
        </r>
      </text>
    </comment>
    <comment ref="X730" authorId="0" shapeId="0" xr:uid="{D995A421-0BBC-425C-9061-7A6E10AE76B7}">
      <text>
        <r>
          <rPr>
            <sz val="10"/>
            <color indexed="81"/>
            <rFont val="Lucida Console"/>
            <family val="3"/>
          </rPr>
          <t>_x000D_
EQUIP. MAT. P/ GERACAO, TRANSM. DISTR. RETIF...</t>
        </r>
      </text>
    </comment>
    <comment ref="Y730" authorId="0" shapeId="0" xr:uid="{4C8B3017-514B-4D40-8319-9C5EE5530E4C}">
      <text>
        <r>
          <rPr>
            <sz val="10"/>
            <color indexed="81"/>
            <rFont val="Lucida Console"/>
            <family val="3"/>
          </rPr>
          <t>_x000D_
ACESSORIOS</t>
        </r>
      </text>
    </comment>
    <comment ref="AW730" authorId="0" shapeId="0" xr:uid="{B116CFA6-E30D-45D8-B6A3-F8A942F9BE6D}">
      <text>
        <r>
          <rPr>
            <sz val="10"/>
            <color indexed="81"/>
            <rFont val="Lucida Console"/>
            <family val="3"/>
          </rPr>
          <t>Tempo de Estoque (Meses)_x000D_
_x000D_
2.345,0</t>
        </r>
      </text>
    </comment>
    <comment ref="A731" authorId="0" shapeId="0" xr:uid="{2ECDB9A6-D9A8-4E24-A813-4DDBEEBDCC75}">
      <text>
        <r>
          <rPr>
            <sz val="10"/>
            <color indexed="81"/>
            <rFont val="Lucida Console"/>
            <family val="3"/>
          </rPr>
          <t>_x000D_
104665</t>
        </r>
      </text>
    </comment>
    <comment ref="B731" authorId="0" shapeId="0" xr:uid="{12547F25-DBAA-43DA-A4DE-81F7195132A3}">
      <text>
        <r>
          <rPr>
            <sz val="10"/>
            <color indexed="81"/>
            <rFont val="Lucida Console"/>
            <family val="3"/>
          </rPr>
          <t>DESCRIÇÃO DETALHADA_x000D_
KIT BARRAMENTO CONTENDO: BARRAMENTO TRIFASICO DE COBRE CHATO ELETROLITICO 150 A  PARA 44 DISJUNTORES TIPO DIN BARRAS DE TERRA E NEUTRO.</t>
        </r>
      </text>
    </comment>
    <comment ref="W731" authorId="0" shapeId="0" xr:uid="{BD2FC651-1BDA-4945-AEC6-FECEFA6018D4}">
      <text>
        <r>
          <rPr>
            <sz val="10"/>
            <color indexed="81"/>
            <rFont val="Lucida Console"/>
            <family val="3"/>
          </rPr>
          <t>_x000D_
DM-Elétrica</t>
        </r>
      </text>
    </comment>
    <comment ref="X731" authorId="0" shapeId="0" xr:uid="{E71FA39A-6762-49EC-B6E8-19A88F5F55FC}">
      <text>
        <r>
          <rPr>
            <sz val="10"/>
            <color indexed="81"/>
            <rFont val="Lucida Console"/>
            <family val="3"/>
          </rPr>
          <t>_x000D_
EQUIP. MAT. P/ GERACAO, TRANSM. DISTR. RETIF...</t>
        </r>
      </text>
    </comment>
    <comment ref="Y731" authorId="0" shapeId="0" xr:uid="{54EEA1B9-97BB-46BD-A057-A81A4BFE63C7}">
      <text>
        <r>
          <rPr>
            <sz val="10"/>
            <color indexed="81"/>
            <rFont val="Lucida Console"/>
            <family val="3"/>
          </rPr>
          <t>_x000D_
ACESSORIOS</t>
        </r>
      </text>
    </comment>
    <comment ref="AW731" authorId="0" shapeId="0" xr:uid="{755B807A-3F5E-4911-A949-7FB54964E68B}">
      <text>
        <r>
          <rPr>
            <sz val="10"/>
            <color indexed="81"/>
            <rFont val="Lucida Console"/>
            <family val="3"/>
          </rPr>
          <t>Tempo de Estoque (Meses)_x000D_
_x000D_
108,0</t>
        </r>
      </text>
    </comment>
    <comment ref="A732" authorId="0" shapeId="0" xr:uid="{6CF418EF-EF9E-45B1-86B9-802B1EDD1268}">
      <text>
        <r>
          <rPr>
            <sz val="10"/>
            <color indexed="81"/>
            <rFont val="Lucida Console"/>
            <family val="3"/>
          </rPr>
          <t>_x000D_
113238</t>
        </r>
      </text>
    </comment>
    <comment ref="B732" authorId="0" shapeId="0" xr:uid="{99D3623A-498B-4EDE-AB6F-1C1F43564559}">
      <text>
        <r>
          <rPr>
            <sz val="10"/>
            <color indexed="81"/>
            <rFont val="Lucida Console"/>
            <family val="3"/>
          </rPr>
          <t>DESCRIÇÃO DETALHADA_x000D_
KIT BARRAMENTO CONTENDO: BARRAMENTO TRIFASICO DE COBRE CHATO ELETROLITICO 225 A  PARA 70 DISJUNTORES TIPO DIN BARRAS DE TERRA E NEUTRO</t>
        </r>
      </text>
    </comment>
    <comment ref="W732" authorId="0" shapeId="0" xr:uid="{681E6D64-FC10-4D9C-B6E2-1CE581153EAA}">
      <text>
        <r>
          <rPr>
            <sz val="10"/>
            <color indexed="81"/>
            <rFont val="Lucida Console"/>
            <family val="3"/>
          </rPr>
          <t>_x000D_
DM-Elétrica</t>
        </r>
      </text>
    </comment>
    <comment ref="X732" authorId="0" shapeId="0" xr:uid="{64132DB7-1344-4FB3-A411-180E78FF8E92}">
      <text>
        <r>
          <rPr>
            <sz val="10"/>
            <color indexed="81"/>
            <rFont val="Lucida Console"/>
            <family val="3"/>
          </rPr>
          <t>_x000D_
EQUIP. MAT. P/ GERACAO, TRANSM. DISTR. RETIF...</t>
        </r>
      </text>
    </comment>
    <comment ref="Y732" authorId="0" shapeId="0" xr:uid="{CF944A85-FC67-48EF-80C2-B5B94D13BA42}">
      <text>
        <r>
          <rPr>
            <sz val="10"/>
            <color indexed="81"/>
            <rFont val="Lucida Console"/>
            <family val="3"/>
          </rPr>
          <t>_x000D_
ACESSORIOS</t>
        </r>
      </text>
    </comment>
    <comment ref="AW732" authorId="0" shapeId="0" xr:uid="{A6A66ECD-13F9-463E-A3EF-279400973037}">
      <text>
        <r>
          <rPr>
            <sz val="10"/>
            <color indexed="81"/>
            <rFont val="Lucida Console"/>
            <family val="3"/>
          </rPr>
          <t>Tempo de Estoque (Meses)_x000D_
_x000D_
48,0</t>
        </r>
      </text>
    </comment>
    <comment ref="A733" authorId="0" shapeId="0" xr:uid="{2EEB8E26-132C-4F1A-A30E-E852FE883B9F}">
      <text>
        <r>
          <rPr>
            <sz val="10"/>
            <color indexed="81"/>
            <rFont val="Lucida Console"/>
            <family val="3"/>
          </rPr>
          <t>_x000D_
108398</t>
        </r>
      </text>
    </comment>
    <comment ref="B733" authorId="0" shapeId="0" xr:uid="{E5B5DBB8-209C-4131-9DBD-633D487E0AC2}">
      <text>
        <r>
          <rPr>
            <sz val="10"/>
            <color indexed="81"/>
            <rFont val="Lucida Console"/>
            <family val="3"/>
          </rPr>
          <t>DESCRIÇÃO DETALHADA_x000D_
QUADRO DE DISTRIBUICAO DE EMBUTIR PARA 56 DISJUNTORES TIPO DIN COM  KIT BARRAMENTO TRIFASICO 225 A BARRA DE TERRA E NEUTRO.</t>
        </r>
      </text>
    </comment>
    <comment ref="W733" authorId="0" shapeId="0" xr:uid="{27604443-F5C1-40B0-8DAB-712AC18CCB48}">
      <text>
        <r>
          <rPr>
            <sz val="10"/>
            <color indexed="81"/>
            <rFont val="Lucida Console"/>
            <family val="3"/>
          </rPr>
          <t>_x000D_
DM-Elétrica</t>
        </r>
      </text>
    </comment>
    <comment ref="X733" authorId="0" shapeId="0" xr:uid="{40F1B170-19AA-4695-B43B-52560C242218}">
      <text>
        <r>
          <rPr>
            <sz val="10"/>
            <color indexed="81"/>
            <rFont val="Lucida Console"/>
            <family val="3"/>
          </rPr>
          <t>_x000D_
EQUIP. MAT. P/ GERACAO, TRANSM. DISTR. RETIF...</t>
        </r>
      </text>
    </comment>
    <comment ref="Y733" authorId="0" shapeId="0" xr:uid="{965BF14D-D949-4490-AE82-8ED294FA5CA4}">
      <text>
        <r>
          <rPr>
            <sz val="10"/>
            <color indexed="81"/>
            <rFont val="Lucida Console"/>
            <family val="3"/>
          </rPr>
          <t>_x000D_
QUADROS</t>
        </r>
      </text>
    </comment>
    <comment ref="AW733" authorId="0" shapeId="0" xr:uid="{D509F573-AA6C-4C55-BCF0-55A489CAFB85}">
      <text>
        <r>
          <rPr>
            <sz val="10"/>
            <color indexed="81"/>
            <rFont val="Lucida Console"/>
            <family val="3"/>
          </rPr>
          <t>Tempo de Estoque (Meses)_x000D_
_x000D_
25,0</t>
        </r>
      </text>
    </comment>
    <comment ref="A734" authorId="0" shapeId="0" xr:uid="{493125D9-33E9-435E-9F49-22DB9DA1CECE}">
      <text>
        <r>
          <rPr>
            <sz val="10"/>
            <color indexed="81"/>
            <rFont val="Lucida Console"/>
            <family val="3"/>
          </rPr>
          <t>_x000D_
111841</t>
        </r>
      </text>
    </comment>
    <comment ref="B734" authorId="0" shapeId="0" xr:uid="{539BA2FE-0153-4575-AA9A-B7715CB59955}">
      <text>
        <r>
          <rPr>
            <sz val="10"/>
            <color indexed="81"/>
            <rFont val="Lucida Console"/>
            <family val="3"/>
          </rPr>
          <t>DESCRIÇÃO DETALHADA_x000D_
QUADRO DE DISTRIBUICAO DE SOBREPOR TRIFASICO 225 AMPERES PARA 70 DISJUNTORES TIPO DIN</t>
        </r>
      </text>
    </comment>
    <comment ref="W734" authorId="0" shapeId="0" xr:uid="{BC387B14-D441-4F3C-AD79-CE3DCCF5D11B}">
      <text>
        <r>
          <rPr>
            <sz val="10"/>
            <color indexed="81"/>
            <rFont val="Lucida Console"/>
            <family val="3"/>
          </rPr>
          <t>_x000D_
DM-Elétrica</t>
        </r>
      </text>
    </comment>
    <comment ref="X734" authorId="0" shapeId="0" xr:uid="{2BEEC759-FDC6-4D00-AFCA-2A54D2D1308D}">
      <text>
        <r>
          <rPr>
            <sz val="10"/>
            <color indexed="81"/>
            <rFont val="Lucida Console"/>
            <family val="3"/>
          </rPr>
          <t>_x000D_
EQUIP. MAT. P/ GERACAO, TRANSM. DISTR. RETIF...</t>
        </r>
      </text>
    </comment>
    <comment ref="Y734" authorId="0" shapeId="0" xr:uid="{E55B3253-42F0-46D9-B46B-EAACEBED84B7}">
      <text>
        <r>
          <rPr>
            <sz val="10"/>
            <color indexed="81"/>
            <rFont val="Lucida Console"/>
            <family val="3"/>
          </rPr>
          <t>_x000D_
QUADROS</t>
        </r>
      </text>
    </comment>
    <comment ref="AW734" authorId="0" shapeId="0" xr:uid="{E89A1B19-506D-42CA-98FF-F35E899DD700}">
      <text>
        <r>
          <rPr>
            <sz val="10"/>
            <color indexed="81"/>
            <rFont val="Lucida Console"/>
            <family val="3"/>
          </rPr>
          <t>Tempo de Estoque (Meses)_x000D_
_x000D_
21,0</t>
        </r>
      </text>
    </comment>
    <comment ref="A735" authorId="0" shapeId="0" xr:uid="{37055953-73EC-4FFA-B832-55EBE35D99F8}">
      <text>
        <r>
          <rPr>
            <sz val="10"/>
            <color indexed="81"/>
            <rFont val="Lucida Console"/>
            <family val="3"/>
          </rPr>
          <t>_x000D_
114773</t>
        </r>
      </text>
    </comment>
    <comment ref="B735" authorId="0" shapeId="0" xr:uid="{345782B2-F68E-4690-BA30-F8784014EF8C}">
      <text>
        <r>
          <rPr>
            <sz val="10"/>
            <color indexed="81"/>
            <rFont val="Lucida Console"/>
            <family val="3"/>
          </rPr>
          <t>DESCRIÇÃO DETALHADA_x000D_
QUADRO DE DISTRIBUICAO PARA 36 DISJUNTORES TIPO DIN DE PVC, DE EMBUTIR</t>
        </r>
      </text>
    </comment>
    <comment ref="W735" authorId="0" shapeId="0" xr:uid="{5D6D91C7-7BC3-4511-938C-0EF8AAEAEAAB}">
      <text>
        <r>
          <rPr>
            <sz val="10"/>
            <color indexed="81"/>
            <rFont val="Lucida Console"/>
            <family val="3"/>
          </rPr>
          <t>_x000D_
DM-Elétrica</t>
        </r>
      </text>
    </comment>
    <comment ref="X735" authorId="0" shapeId="0" xr:uid="{7E0E6C9F-33CF-4047-AC60-C096978CD218}">
      <text>
        <r>
          <rPr>
            <sz val="10"/>
            <color indexed="81"/>
            <rFont val="Lucida Console"/>
            <family val="3"/>
          </rPr>
          <t>_x000D_
EQUIP. MAT. P/ GERACAO, TRANSM. DISTR. RETIF...</t>
        </r>
      </text>
    </comment>
    <comment ref="Y735" authorId="0" shapeId="0" xr:uid="{9B29DB9C-1A9A-46AB-8EC3-AECD53677F78}">
      <text>
        <r>
          <rPr>
            <sz val="10"/>
            <color indexed="81"/>
            <rFont val="Lucida Console"/>
            <family val="3"/>
          </rPr>
          <t>_x000D_
QUADROS</t>
        </r>
      </text>
    </comment>
    <comment ref="AW735" authorId="0" shapeId="0" xr:uid="{33697A11-D055-43C2-BA06-65CE535FB88B}">
      <text>
        <r>
          <rPr>
            <sz val="10"/>
            <color indexed="81"/>
            <rFont val="Lucida Console"/>
            <family val="3"/>
          </rPr>
          <t>Tempo de Estoque (Meses)_x000D_
_x000D_
16,0</t>
        </r>
      </text>
    </comment>
    <comment ref="A736" authorId="0" shapeId="0" xr:uid="{93255C22-2F7E-4D8D-8B3D-3EEBDDA7787F}">
      <text>
        <r>
          <rPr>
            <sz val="10"/>
            <color indexed="81"/>
            <rFont val="Lucida Console"/>
            <family val="3"/>
          </rPr>
          <t>_x000D_
114771</t>
        </r>
      </text>
    </comment>
    <comment ref="B736" authorId="0" shapeId="0" xr:uid="{69646E4B-FA0F-4FE4-B136-88450698A784}">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736" authorId="0" shapeId="0" xr:uid="{BBAA19E3-9F54-410B-A06B-DCEB801F27E5}">
      <text>
        <r>
          <rPr>
            <sz val="10"/>
            <color indexed="81"/>
            <rFont val="Lucida Console"/>
            <family val="3"/>
          </rPr>
          <t>_x000D_
DM-Elétrica</t>
        </r>
      </text>
    </comment>
    <comment ref="X736" authorId="0" shapeId="0" xr:uid="{9220ACC0-2934-4817-8D29-F1B22D2D540E}">
      <text>
        <r>
          <rPr>
            <sz val="10"/>
            <color indexed="81"/>
            <rFont val="Lucida Console"/>
            <family val="3"/>
          </rPr>
          <t>_x000D_
EQUIP. MAT. P/ GERACAO, TRANSM. DISTR. RETIF...</t>
        </r>
      </text>
    </comment>
    <comment ref="Y736" authorId="0" shapeId="0" xr:uid="{005A19F0-590B-42BD-8384-B75B290C0E6B}">
      <text>
        <r>
          <rPr>
            <sz val="10"/>
            <color indexed="81"/>
            <rFont val="Lucida Console"/>
            <family val="3"/>
          </rPr>
          <t>_x000D_
CAIXAS</t>
        </r>
      </text>
    </comment>
    <comment ref="AW736" authorId="0" shapeId="0" xr:uid="{D9B4C67E-CBDE-4E67-B9AB-04211FCA59A5}">
      <text>
        <r>
          <rPr>
            <sz val="10"/>
            <color indexed="81"/>
            <rFont val="Lucida Console"/>
            <family val="3"/>
          </rPr>
          <t>Tempo de Estoque (Meses)_x000D_
_x000D_
105,0</t>
        </r>
      </text>
    </comment>
    <comment ref="A737" authorId="0" shapeId="0" xr:uid="{5714FB9A-E5CB-4B3F-836F-6775AB8439B4}">
      <text>
        <r>
          <rPr>
            <sz val="10"/>
            <color indexed="81"/>
            <rFont val="Lucida Console"/>
            <family val="3"/>
          </rPr>
          <t>_x000D_
117734</t>
        </r>
      </text>
    </comment>
    <comment ref="B737" authorId="0" shapeId="0" xr:uid="{16ADFDB4-F35D-4D99-ABE7-3D3ACDE53253}">
      <text>
        <r>
          <rPr>
            <sz val="10"/>
            <color indexed="81"/>
            <rFont val="Lucida Console"/>
            <family val="3"/>
          </rPr>
          <t>DESCRIÇÃO DETALHADA_x000D_
CAIXA PLASTICA DE SOBREPOR COM TAMPA - MEDIDAS: 23 X 17 X 9 CM</t>
        </r>
      </text>
    </comment>
    <comment ref="W737" authorId="0" shapeId="0" xr:uid="{73C10A6F-18E7-4E83-B262-C349EB163915}">
      <text>
        <r>
          <rPr>
            <sz val="10"/>
            <color indexed="81"/>
            <rFont val="Lucida Console"/>
            <family val="3"/>
          </rPr>
          <t>_x000D_
DM-Elétrica</t>
        </r>
      </text>
    </comment>
    <comment ref="X737" authorId="0" shapeId="0" xr:uid="{D09C240B-D723-469A-B440-1DEC914E372A}">
      <text>
        <r>
          <rPr>
            <sz val="10"/>
            <color indexed="81"/>
            <rFont val="Lucida Console"/>
            <family val="3"/>
          </rPr>
          <t>_x000D_
EQUIP. MAT. P/ GERACAO, TRANSM. DISTR. RETIF...</t>
        </r>
      </text>
    </comment>
    <comment ref="Y737" authorId="0" shapeId="0" xr:uid="{ADB1659C-60C8-4ACB-9BE5-5F2013A41CFF}">
      <text>
        <r>
          <rPr>
            <sz val="10"/>
            <color indexed="81"/>
            <rFont val="Lucida Console"/>
            <family val="3"/>
          </rPr>
          <t>_x000D_
CAIXAS</t>
        </r>
      </text>
    </comment>
    <comment ref="AW737" authorId="0" shapeId="0" xr:uid="{F856362D-C911-4EFC-A574-519E210FC2A5}">
      <text>
        <r>
          <rPr>
            <sz val="10"/>
            <color indexed="81"/>
            <rFont val="Lucida Console"/>
            <family val="3"/>
          </rPr>
          <t>Tempo de Estoque (Meses)_x000D_
_x000D_
114,0</t>
        </r>
      </text>
    </comment>
    <comment ref="A738" authorId="0" shapeId="0" xr:uid="{6F84E3DE-1602-42A4-A9E0-3839C9B7CE4F}">
      <text>
        <r>
          <rPr>
            <sz val="10"/>
            <color indexed="81"/>
            <rFont val="Lucida Console"/>
            <family val="3"/>
          </rPr>
          <t>_x000D_
13009</t>
        </r>
      </text>
    </comment>
    <comment ref="B738" authorId="0" shapeId="0" xr:uid="{F3900ACD-AD37-4886-8FA8-20EEB0EB9836}">
      <text>
        <r>
          <rPr>
            <sz val="10"/>
            <color indexed="81"/>
            <rFont val="Lucida Console"/>
            <family val="3"/>
          </rPr>
          <t>DESCRIÇÃO DETALHADA_x000D_
ELETRODUTO FLEXIVEL CORRUGADO DE 3/4" - COR AMARELA</t>
        </r>
      </text>
    </comment>
    <comment ref="W738" authorId="0" shapeId="0" xr:uid="{415BE983-C1E1-43B9-86AD-009F6FAE2D80}">
      <text>
        <r>
          <rPr>
            <sz val="10"/>
            <color indexed="81"/>
            <rFont val="Lucida Console"/>
            <family val="3"/>
          </rPr>
          <t>_x000D_
DM-Elétrica</t>
        </r>
      </text>
    </comment>
    <comment ref="X738" authorId="0" shapeId="0" xr:uid="{F6E056E4-78A6-44C7-9876-AC842E005178}">
      <text>
        <r>
          <rPr>
            <sz val="10"/>
            <color indexed="81"/>
            <rFont val="Lucida Console"/>
            <family val="3"/>
          </rPr>
          <t>_x000D_
EQUIP. MAT. P/ GERACAO, TRANSM. DISTR. RETIF...</t>
        </r>
      </text>
    </comment>
    <comment ref="Y738" authorId="0" shapeId="0" xr:uid="{BF3E685D-3391-45B5-AF08-40057B528680}">
      <text>
        <r>
          <rPr>
            <sz val="10"/>
            <color indexed="81"/>
            <rFont val="Lucida Console"/>
            <family val="3"/>
          </rPr>
          <t>_x000D_
ELETRODUTOS E ACESSORIOS</t>
        </r>
      </text>
    </comment>
    <comment ref="AW738" authorId="0" shapeId="0" xr:uid="{ADD31DA5-FCE2-432A-B502-1D381CDD1E25}">
      <text>
        <r>
          <rPr>
            <sz val="10"/>
            <color indexed="81"/>
            <rFont val="Lucida Console"/>
            <family val="3"/>
          </rPr>
          <t>Tempo de Estoque (Meses)_x000D_
_x000D_
456,0</t>
        </r>
      </text>
    </comment>
    <comment ref="A739" authorId="0" shapeId="0" xr:uid="{D8B4F107-7A0A-495A-9059-B05556F4A880}">
      <text>
        <r>
          <rPr>
            <sz val="10"/>
            <color indexed="81"/>
            <rFont val="Lucida Console"/>
            <family val="3"/>
          </rPr>
          <t>_x000D_
31580</t>
        </r>
      </text>
    </comment>
    <comment ref="B739" authorId="0" shapeId="0" xr:uid="{F661D2DB-968F-4CBD-AB2C-5132506F6769}">
      <text>
        <r>
          <rPr>
            <sz val="10"/>
            <color indexed="81"/>
            <rFont val="Lucida Console"/>
            <family val="3"/>
          </rPr>
          <t>DESCRIÇÃO DETALHADA_x000D_
LUVA EM ACO CARBONO GALVANIZADO P/ ELETRODUTO 2" - ROSQUEAVEL</t>
        </r>
      </text>
    </comment>
    <comment ref="W739" authorId="0" shapeId="0" xr:uid="{4A22EA96-86EE-47C2-9C07-D8F00731D9CC}">
      <text>
        <r>
          <rPr>
            <sz val="10"/>
            <color indexed="81"/>
            <rFont val="Lucida Console"/>
            <family val="3"/>
          </rPr>
          <t>_x000D_
DM-Elétrica</t>
        </r>
      </text>
    </comment>
    <comment ref="X739" authorId="0" shapeId="0" xr:uid="{C13E9B8E-505B-4A9B-95FC-2A80F5640731}">
      <text>
        <r>
          <rPr>
            <sz val="10"/>
            <color indexed="81"/>
            <rFont val="Lucida Console"/>
            <family val="3"/>
          </rPr>
          <t>_x000D_
EQUIP. MAT. P/ GERACAO, TRANSM. DISTR. RETIF...</t>
        </r>
      </text>
    </comment>
    <comment ref="Y739" authorId="0" shapeId="0" xr:uid="{1F2DCF32-7A84-4B31-8813-63BE1D735EB6}">
      <text>
        <r>
          <rPr>
            <sz val="10"/>
            <color indexed="81"/>
            <rFont val="Lucida Console"/>
            <family val="3"/>
          </rPr>
          <t>_x000D_
ELETRODUTOS E ACESSORIOS</t>
        </r>
      </text>
    </comment>
    <comment ref="AW739" authorId="0" shapeId="0" xr:uid="{2D5019EB-CFEF-47E0-BD67-15691B2E2C03}">
      <text>
        <r>
          <rPr>
            <sz val="10"/>
            <color indexed="81"/>
            <rFont val="Lucida Console"/>
            <family val="3"/>
          </rPr>
          <t>Tempo de Estoque (Meses)_x000D_
_x000D_
88,0</t>
        </r>
      </text>
    </comment>
    <comment ref="A740" authorId="0" shapeId="0" xr:uid="{E11CEB58-76CA-45AB-9C3B-9DBC9884F52E}">
      <text>
        <r>
          <rPr>
            <sz val="10"/>
            <color indexed="81"/>
            <rFont val="Lucida Console"/>
            <family val="3"/>
          </rPr>
          <t>_x000D_
54017</t>
        </r>
      </text>
    </comment>
    <comment ref="B740" authorId="0" shapeId="0" xr:uid="{F8411A08-F14F-4141-B761-83768C65549C}">
      <text>
        <r>
          <rPr>
            <sz val="10"/>
            <color indexed="81"/>
            <rFont val="Lucida Console"/>
            <family val="3"/>
          </rPr>
          <t>DESCRIÇÃO DETALHADA_x000D_
JUNCAO INTERNA "T" 38 X 38 MM</t>
        </r>
      </text>
    </comment>
    <comment ref="W740" authorId="0" shapeId="0" xr:uid="{B5F8D271-E99F-42C1-9FA9-C869270F0FF8}">
      <text>
        <r>
          <rPr>
            <sz val="10"/>
            <color indexed="81"/>
            <rFont val="Lucida Console"/>
            <family val="3"/>
          </rPr>
          <t>_x000D_
DM-Elétrica</t>
        </r>
      </text>
    </comment>
    <comment ref="X740" authorId="0" shapeId="0" xr:uid="{02C85D17-7AA6-4DD2-AE27-0F4108E1488F}">
      <text>
        <r>
          <rPr>
            <sz val="10"/>
            <color indexed="81"/>
            <rFont val="Lucida Console"/>
            <family val="3"/>
          </rPr>
          <t>_x000D_
EQUIP. MAT. P/ GERACAO, TRANSM. DISTR. RETIF...</t>
        </r>
      </text>
    </comment>
    <comment ref="Y740" authorId="0" shapeId="0" xr:uid="{108911AF-197C-407F-BB52-8A9F461AD6F4}">
      <text>
        <r>
          <rPr>
            <sz val="10"/>
            <color indexed="81"/>
            <rFont val="Lucida Console"/>
            <family val="3"/>
          </rPr>
          <t>_x000D_
ELETRODUTOS E ACESSORIOS</t>
        </r>
      </text>
    </comment>
    <comment ref="AW740" authorId="0" shapeId="0" xr:uid="{89C1FB7E-4F0C-4663-AED2-D822F6D314E7}">
      <text>
        <r>
          <rPr>
            <sz val="10"/>
            <color indexed="81"/>
            <rFont val="Lucida Console"/>
            <family val="3"/>
          </rPr>
          <t>Tempo de Estoque (Meses)_x000D_
_x000D_
60,0</t>
        </r>
      </text>
    </comment>
    <comment ref="A741" authorId="0" shapeId="0" xr:uid="{42567FD6-5988-4855-90ED-CD46B401E0B4}">
      <text>
        <r>
          <rPr>
            <sz val="10"/>
            <color indexed="81"/>
            <rFont val="Lucida Console"/>
            <family val="3"/>
          </rPr>
          <t>_x000D_
54018</t>
        </r>
      </text>
    </comment>
    <comment ref="B741" authorId="0" shapeId="0" xr:uid="{706EE71F-6773-4D02-ABE9-1E2B83584514}">
      <text>
        <r>
          <rPr>
            <sz val="10"/>
            <color indexed="81"/>
            <rFont val="Lucida Console"/>
            <family val="3"/>
          </rPr>
          <t>DESCRIÇÃO DETALHADA_x000D_
JUNCAO INTERNA "L"  38 X 38 MM</t>
        </r>
      </text>
    </comment>
    <comment ref="W741" authorId="0" shapeId="0" xr:uid="{7D5E974D-664C-4F3B-BDE9-FBB9964CF6CC}">
      <text>
        <r>
          <rPr>
            <sz val="10"/>
            <color indexed="81"/>
            <rFont val="Lucida Console"/>
            <family val="3"/>
          </rPr>
          <t>_x000D_
DM-Elétrica</t>
        </r>
      </text>
    </comment>
    <comment ref="X741" authorId="0" shapeId="0" xr:uid="{66FE9507-49F4-480C-8D9C-74E700AA8D79}">
      <text>
        <r>
          <rPr>
            <sz val="10"/>
            <color indexed="81"/>
            <rFont val="Lucida Console"/>
            <family val="3"/>
          </rPr>
          <t>_x000D_
EQUIP. MAT. P/ GERACAO, TRANSM. DISTR. RETIF...</t>
        </r>
      </text>
    </comment>
    <comment ref="Y741" authorId="0" shapeId="0" xr:uid="{0BCFF401-5655-4121-B64F-457A5A11444D}">
      <text>
        <r>
          <rPr>
            <sz val="10"/>
            <color indexed="81"/>
            <rFont val="Lucida Console"/>
            <family val="3"/>
          </rPr>
          <t>_x000D_
ELETRODUTOS E ACESSORIOS</t>
        </r>
      </text>
    </comment>
    <comment ref="AW741" authorId="0" shapeId="0" xr:uid="{55AE0C3A-22D9-467C-ADD2-937C0E26C5E3}">
      <text>
        <r>
          <rPr>
            <sz val="10"/>
            <color indexed="81"/>
            <rFont val="Lucida Console"/>
            <family val="3"/>
          </rPr>
          <t>Tempo de Estoque (Meses)_x000D_
_x000D_
480,0</t>
        </r>
      </text>
    </comment>
    <comment ref="A742" authorId="0" shapeId="0" xr:uid="{8DD8189B-AF97-442A-9891-9438A4886981}">
      <text>
        <r>
          <rPr>
            <sz val="10"/>
            <color indexed="81"/>
            <rFont val="Lucida Console"/>
            <family val="3"/>
          </rPr>
          <t>_x000D_
54026</t>
        </r>
      </text>
    </comment>
    <comment ref="B742" authorId="0" shapeId="0" xr:uid="{542104DC-0062-440B-B580-D515A2B30B70}">
      <text>
        <r>
          <rPr>
            <sz val="10"/>
            <color indexed="81"/>
            <rFont val="Lucida Console"/>
            <family val="3"/>
          </rPr>
          <t>DESCRIÇÃO DETALHADA_x000D_
VERGALHAO ROSQUEADO DE 1/4" X 3 METROS</t>
        </r>
      </text>
    </comment>
    <comment ref="W742" authorId="0" shapeId="0" xr:uid="{52850783-4FBE-4890-9EB8-27415156BF41}">
      <text>
        <r>
          <rPr>
            <sz val="10"/>
            <color indexed="81"/>
            <rFont val="Lucida Console"/>
            <family val="3"/>
          </rPr>
          <t>_x000D_
DM-Elétrica</t>
        </r>
      </text>
    </comment>
    <comment ref="X742" authorId="0" shapeId="0" xr:uid="{9197F070-6BEF-4DE6-B6B0-724463DC16E3}">
      <text>
        <r>
          <rPr>
            <sz val="10"/>
            <color indexed="81"/>
            <rFont val="Lucida Console"/>
            <family val="3"/>
          </rPr>
          <t>_x000D_
EQUIP. MAT. P/ GERACAO, TRANSM. DISTR. RETIF...</t>
        </r>
      </text>
    </comment>
    <comment ref="Y742" authorId="0" shapeId="0" xr:uid="{0573AD90-F882-4471-ACE1-E673CF52BD07}">
      <text>
        <r>
          <rPr>
            <sz val="10"/>
            <color indexed="81"/>
            <rFont val="Lucida Console"/>
            <family val="3"/>
          </rPr>
          <t>_x000D_
ELETRODUTOS E ACESSORIOS</t>
        </r>
      </text>
    </comment>
    <comment ref="AW742" authorId="0" shapeId="0" xr:uid="{133215DC-595A-4E62-B5FB-5D2A2CCB2390}">
      <text>
        <r>
          <rPr>
            <sz val="10"/>
            <color indexed="81"/>
            <rFont val="Lucida Console"/>
            <family val="3"/>
          </rPr>
          <t>Tempo de Estoque (Meses)_x000D_
_x000D_
125,0</t>
        </r>
      </text>
    </comment>
    <comment ref="A743" authorId="0" shapeId="0" xr:uid="{D7A6DC5C-F871-485C-950A-570920DB70FF}">
      <text>
        <r>
          <rPr>
            <sz val="10"/>
            <color indexed="81"/>
            <rFont val="Lucida Console"/>
            <family val="3"/>
          </rPr>
          <t>_x000D_
99788</t>
        </r>
      </text>
    </comment>
    <comment ref="B743" authorId="0" shapeId="0" xr:uid="{45FAE1A0-05EA-4CFF-ADF5-D1E817FC65EA}">
      <text>
        <r>
          <rPr>
            <sz val="10"/>
            <color indexed="81"/>
            <rFont val="Lucida Console"/>
            <family val="3"/>
          </rPr>
          <t>DESCRIÇÃO DETALHADA_x000D_
BUCHA C/ARRUELA EM ZAMAK P/ELETRODUTO - DIAMETRO 1 1/2"</t>
        </r>
      </text>
    </comment>
    <comment ref="W743" authorId="0" shapeId="0" xr:uid="{7E4D8855-46E8-46E1-92A2-90FD554E1977}">
      <text>
        <r>
          <rPr>
            <sz val="10"/>
            <color indexed="81"/>
            <rFont val="Lucida Console"/>
            <family val="3"/>
          </rPr>
          <t>_x000D_
DM-Elétrica</t>
        </r>
      </text>
    </comment>
    <comment ref="X743" authorId="0" shapeId="0" xr:uid="{720854C1-E2DC-46CB-92F3-65BE6A314ECC}">
      <text>
        <r>
          <rPr>
            <sz val="10"/>
            <color indexed="81"/>
            <rFont val="Lucida Console"/>
            <family val="3"/>
          </rPr>
          <t>_x000D_
EQUIP. MAT. P/ GERACAO, TRANSM. DISTR. RETIF...</t>
        </r>
      </text>
    </comment>
    <comment ref="Y743" authorId="0" shapeId="0" xr:uid="{51512F77-D6E0-4D5E-8E84-9E2673B43223}">
      <text>
        <r>
          <rPr>
            <sz val="10"/>
            <color indexed="81"/>
            <rFont val="Lucida Console"/>
            <family val="3"/>
          </rPr>
          <t>_x000D_
ELETRODUTOS E ACESSORIOS</t>
        </r>
      </text>
    </comment>
    <comment ref="AW743" authorId="0" shapeId="0" xr:uid="{36B648D3-7692-4CEB-B830-5C8B5893C735}">
      <text>
        <r>
          <rPr>
            <sz val="10"/>
            <color indexed="81"/>
            <rFont val="Lucida Console"/>
            <family val="3"/>
          </rPr>
          <t>Tempo de Estoque (Meses)_x000D_
_x000D_
150,0</t>
        </r>
      </text>
    </comment>
    <comment ref="A744" authorId="0" shapeId="0" xr:uid="{AB95D5B0-BED7-4564-9197-927C0E7ABEFA}">
      <text>
        <r>
          <rPr>
            <sz val="10"/>
            <color indexed="81"/>
            <rFont val="Lucida Console"/>
            <family val="3"/>
          </rPr>
          <t>_x000D_
102776</t>
        </r>
      </text>
    </comment>
    <comment ref="B744" authorId="0" shapeId="0" xr:uid="{40600677-3B94-4D0C-AD29-2B8DD81A5301}">
      <text>
        <r>
          <rPr>
            <sz val="10"/>
            <color indexed="81"/>
            <rFont val="Lucida Console"/>
            <family val="3"/>
          </rPr>
          <t>DESCRIÇÃO DETALHADA_x000D_
CURVA LONGA DE ACO P/ELETRODUTO GALVANIZADO A FOGO, 90º - DIAMETRO 2"</t>
        </r>
      </text>
    </comment>
    <comment ref="W744" authorId="0" shapeId="0" xr:uid="{3F5F04C4-7613-4D4A-8B77-6ED3EB4BA178}">
      <text>
        <r>
          <rPr>
            <sz val="10"/>
            <color indexed="81"/>
            <rFont val="Lucida Console"/>
            <family val="3"/>
          </rPr>
          <t>_x000D_
DM-Elétrica</t>
        </r>
      </text>
    </comment>
    <comment ref="X744" authorId="0" shapeId="0" xr:uid="{0A0A5A0F-5C9E-415A-9A7A-CE7813A0ED95}">
      <text>
        <r>
          <rPr>
            <sz val="10"/>
            <color indexed="81"/>
            <rFont val="Lucida Console"/>
            <family val="3"/>
          </rPr>
          <t>_x000D_
EQUIP. MAT. P/ GERACAO, TRANSM. DISTR. RETIF...</t>
        </r>
      </text>
    </comment>
    <comment ref="Y744" authorId="0" shapeId="0" xr:uid="{E5C5C245-2356-471B-9EC3-48918CB1684F}">
      <text>
        <r>
          <rPr>
            <sz val="10"/>
            <color indexed="81"/>
            <rFont val="Lucida Console"/>
            <family val="3"/>
          </rPr>
          <t>_x000D_
ELETRODUTOS E ACESSORIOS</t>
        </r>
      </text>
    </comment>
    <comment ref="AW744" authorId="0" shapeId="0" xr:uid="{2883E618-738A-4E1E-AB31-951C8FE1E961}">
      <text>
        <r>
          <rPr>
            <sz val="10"/>
            <color indexed="81"/>
            <rFont val="Lucida Console"/>
            <family val="3"/>
          </rPr>
          <t>Tempo de Estoque (Meses)_x000D_
_x000D_
40,0</t>
        </r>
      </text>
    </comment>
    <comment ref="A745" authorId="0" shapeId="0" xr:uid="{705ED662-BEE0-47E3-91DD-80BC0650BBC5}">
      <text>
        <r>
          <rPr>
            <sz val="10"/>
            <color indexed="81"/>
            <rFont val="Lucida Console"/>
            <family val="3"/>
          </rPr>
          <t>_x000D_
106408</t>
        </r>
      </text>
    </comment>
    <comment ref="B745" authorId="0" shapeId="0" xr:uid="{0AFE73A0-3265-4AA9-83A2-3FDC01E874CF}">
      <text>
        <r>
          <rPr>
            <sz val="10"/>
            <color indexed="81"/>
            <rFont val="Lucida Console"/>
            <family val="3"/>
          </rPr>
          <t>DESCRIÇÃO DETALHADA_x000D_
CONDULETE EM LIGA DE ALUMINIO FUNDIDO TIPO "MULTIPLO" - Ø 1 1/2" - S/VEDACAO</t>
        </r>
      </text>
    </comment>
    <comment ref="W745" authorId="0" shapeId="0" xr:uid="{9A9437CE-557B-4650-9F74-F4207B0E8AF1}">
      <text>
        <r>
          <rPr>
            <sz val="10"/>
            <color indexed="81"/>
            <rFont val="Lucida Console"/>
            <family val="3"/>
          </rPr>
          <t>_x000D_
DM-Elétrica</t>
        </r>
      </text>
    </comment>
    <comment ref="X745" authorId="0" shapeId="0" xr:uid="{05900B82-AB39-4221-B0B5-E82994112220}">
      <text>
        <r>
          <rPr>
            <sz val="10"/>
            <color indexed="81"/>
            <rFont val="Lucida Console"/>
            <family val="3"/>
          </rPr>
          <t>_x000D_
EQUIP. MAT. P/ GERACAO, TRANSM. DISTR. RETIF...</t>
        </r>
      </text>
    </comment>
    <comment ref="Y745" authorId="0" shapeId="0" xr:uid="{7D2546BF-7959-460B-A40F-8DB7F32B5570}">
      <text>
        <r>
          <rPr>
            <sz val="10"/>
            <color indexed="81"/>
            <rFont val="Lucida Console"/>
            <family val="3"/>
          </rPr>
          <t>_x000D_
ELETRODUTOS E ACESSORIOS</t>
        </r>
      </text>
    </comment>
    <comment ref="AW745" authorId="0" shapeId="0" xr:uid="{EAB7F895-F5A6-4F87-8FF0-18C2DC093EAA}">
      <text>
        <r>
          <rPr>
            <sz val="10"/>
            <color indexed="81"/>
            <rFont val="Lucida Console"/>
            <family val="3"/>
          </rPr>
          <t>Tempo de Estoque (Meses)_x000D_
_x000D_
104,0</t>
        </r>
      </text>
    </comment>
    <comment ref="A746" authorId="0" shapeId="0" xr:uid="{C8FB3490-0C34-4340-8B62-8F246B67B972}">
      <text>
        <r>
          <rPr>
            <sz val="10"/>
            <color indexed="81"/>
            <rFont val="Lucida Console"/>
            <family val="3"/>
          </rPr>
          <t>_x000D_
110702</t>
        </r>
      </text>
    </comment>
    <comment ref="B746" authorId="0" shapeId="0" xr:uid="{5B9FD674-BA55-4847-8CC9-A2BC70C44202}">
      <text>
        <r>
          <rPr>
            <sz val="10"/>
            <color indexed="81"/>
            <rFont val="Lucida Console"/>
            <family val="3"/>
          </rPr>
          <t>DESCRIÇÃO DETALHADA_x000D_
ELETRODUTO GALVANIZADO A FOGO - LEVE  1"  -  ESPESSURA PAREDE:0,70 MM. DIAMETRO EXTERNO: 31,75 MM.</t>
        </r>
      </text>
    </comment>
    <comment ref="W746" authorId="0" shapeId="0" xr:uid="{0FA06B14-C465-4399-97CB-DF17E49614E1}">
      <text>
        <r>
          <rPr>
            <sz val="10"/>
            <color indexed="81"/>
            <rFont val="Lucida Console"/>
            <family val="3"/>
          </rPr>
          <t>_x000D_
DM-Elétrica</t>
        </r>
      </text>
    </comment>
    <comment ref="X746" authorId="0" shapeId="0" xr:uid="{92E6E54D-AE66-4717-AA3D-26676EB52CA5}">
      <text>
        <r>
          <rPr>
            <sz val="10"/>
            <color indexed="81"/>
            <rFont val="Lucida Console"/>
            <family val="3"/>
          </rPr>
          <t>_x000D_
EQUIP. MAT. P/ GERACAO, TRANSM. DISTR. RETIF...</t>
        </r>
      </text>
    </comment>
    <comment ref="Y746" authorId="0" shapeId="0" xr:uid="{9F96D590-D0AC-4D33-880B-0743E850562B}">
      <text>
        <r>
          <rPr>
            <sz val="10"/>
            <color indexed="81"/>
            <rFont val="Lucida Console"/>
            <family val="3"/>
          </rPr>
          <t>_x000D_
ELETRODUTOS E ACESSORIOS</t>
        </r>
      </text>
    </comment>
    <comment ref="AW746" authorId="0" shapeId="0" xr:uid="{148307B7-02F6-4382-9D3E-581802CFD472}">
      <text>
        <r>
          <rPr>
            <sz val="10"/>
            <color indexed="81"/>
            <rFont val="Lucida Console"/>
            <family val="3"/>
          </rPr>
          <t>Tempo de Estoque (Meses)_x000D_
_x000D_
186,0</t>
        </r>
      </text>
    </comment>
    <comment ref="A747" authorId="0" shapeId="0" xr:uid="{32251C99-8662-436F-8451-2D19E752A63A}">
      <text>
        <r>
          <rPr>
            <sz val="10"/>
            <color indexed="81"/>
            <rFont val="Lucida Console"/>
            <family val="3"/>
          </rPr>
          <t>_x000D_
15272</t>
        </r>
      </text>
    </comment>
    <comment ref="B747" authorId="0" shapeId="0" xr:uid="{7CAA19AB-B002-4B3C-959D-CB6D5799285D}">
      <text>
        <r>
          <rPr>
            <sz val="10"/>
            <color indexed="81"/>
            <rFont val="Lucida Console"/>
            <family val="3"/>
          </rPr>
          <t>DESCRIÇÃO DETALHADA_x000D_
CONECTOR TIPO SPLIT BOLT-SIMPLES/SIMPLES P/ 2 CABOS DE COBRE DE 16MM2</t>
        </r>
      </text>
    </comment>
    <comment ref="W747" authorId="0" shapeId="0" xr:uid="{B9572712-40D8-4E60-88CE-5C71B1DF628E}">
      <text>
        <r>
          <rPr>
            <sz val="10"/>
            <color indexed="81"/>
            <rFont val="Lucida Console"/>
            <family val="3"/>
          </rPr>
          <t>_x000D_
DM-Elétrica</t>
        </r>
      </text>
    </comment>
    <comment ref="X747" authorId="0" shapeId="0" xr:uid="{A5D76BA5-3BCF-49F8-A16B-7B8B4E98C6DC}">
      <text>
        <r>
          <rPr>
            <sz val="10"/>
            <color indexed="81"/>
            <rFont val="Lucida Console"/>
            <family val="3"/>
          </rPr>
          <t>_x000D_
EQUIP. MAT. P/ GERACAO, TRANSM. DISTR. RETIF...</t>
        </r>
      </text>
    </comment>
    <comment ref="Y747" authorId="0" shapeId="0" xr:uid="{FE889E5F-B2A6-49BC-B699-0BB4475EFF1E}">
      <text>
        <r>
          <rPr>
            <sz val="10"/>
            <color indexed="81"/>
            <rFont val="Lucida Console"/>
            <family val="3"/>
          </rPr>
          <t>_x000D_
CONECTORES</t>
        </r>
      </text>
    </comment>
    <comment ref="AW747" authorId="0" shapeId="0" xr:uid="{44A2E717-3D43-4108-90E4-55B2A6034A2D}">
      <text>
        <r>
          <rPr>
            <sz val="10"/>
            <color indexed="81"/>
            <rFont val="Lucida Console"/>
            <family val="3"/>
          </rPr>
          <t>Tempo de Estoque (Meses)_x000D_
_x000D_
100,0</t>
        </r>
      </text>
    </comment>
    <comment ref="A748" authorId="0" shapeId="0" xr:uid="{E30A5577-084F-4472-A17B-3953F200D513}">
      <text>
        <r>
          <rPr>
            <sz val="10"/>
            <color indexed="81"/>
            <rFont val="Lucida Console"/>
            <family val="3"/>
          </rPr>
          <t>_x000D_
15469</t>
        </r>
      </text>
    </comment>
    <comment ref="B748" authorId="0" shapeId="0" xr:uid="{C74F9D43-2DFF-4704-8259-86E9E7CA1B42}">
      <text>
        <r>
          <rPr>
            <sz val="10"/>
            <color indexed="81"/>
            <rFont val="Lucida Console"/>
            <family val="3"/>
          </rPr>
          <t>DESCRIÇÃO DETALHADA_x000D_
CONECTOR TIPO SPLIT BOLT-SIMPLES/SIMPLES P/ 2 CABOS DE COBRE DE 50MM2</t>
        </r>
      </text>
    </comment>
    <comment ref="W748" authorId="0" shapeId="0" xr:uid="{554BD112-2268-4541-AE71-A6CD12B61518}">
      <text>
        <r>
          <rPr>
            <sz val="10"/>
            <color indexed="81"/>
            <rFont val="Lucida Console"/>
            <family val="3"/>
          </rPr>
          <t>_x000D_
DM-Elétrica</t>
        </r>
      </text>
    </comment>
    <comment ref="X748" authorId="0" shapeId="0" xr:uid="{FEAE748A-D378-4890-B9B7-286C8DB29A2F}">
      <text>
        <r>
          <rPr>
            <sz val="10"/>
            <color indexed="81"/>
            <rFont val="Lucida Console"/>
            <family val="3"/>
          </rPr>
          <t>_x000D_
EQUIP. MAT. P/ GERACAO, TRANSM. DISTR. RETIF...</t>
        </r>
      </text>
    </comment>
    <comment ref="Y748" authorId="0" shapeId="0" xr:uid="{557EFAAD-1C0F-4A9A-90DA-66925414A2A3}">
      <text>
        <r>
          <rPr>
            <sz val="10"/>
            <color indexed="81"/>
            <rFont val="Lucida Console"/>
            <family val="3"/>
          </rPr>
          <t>_x000D_
CONECTORES</t>
        </r>
      </text>
    </comment>
    <comment ref="AW748" authorId="0" shapeId="0" xr:uid="{3A0B804B-FDD1-4FAF-9B4A-C8E44B75B055}">
      <text>
        <r>
          <rPr>
            <sz val="10"/>
            <color indexed="81"/>
            <rFont val="Lucida Console"/>
            <family val="3"/>
          </rPr>
          <t>Tempo de Estoque (Meses)_x000D_
_x000D_
75,0</t>
        </r>
      </text>
    </comment>
    <comment ref="A749" authorId="0" shapeId="0" xr:uid="{3E664E50-FAB9-4E26-87FB-7A9462B06EF9}">
      <text>
        <r>
          <rPr>
            <sz val="10"/>
            <color indexed="81"/>
            <rFont val="Lucida Console"/>
            <family val="3"/>
          </rPr>
          <t>_x000D_
15648</t>
        </r>
      </text>
    </comment>
    <comment ref="B749" authorId="0" shapeId="0" xr:uid="{3AF82A1D-7533-4DE8-BB61-7B4498AAB9C9}">
      <text>
        <r>
          <rPr>
            <sz val="10"/>
            <color indexed="81"/>
            <rFont val="Lucida Console"/>
            <family val="3"/>
          </rPr>
          <t>DESCRIÇÃO DETALHADA_x000D_
TERMINAL A PRESSAO REFORCADO P/ 1 CABO DE COBRE 50MM2 C/ 1 FURO DE FIXACAO</t>
        </r>
      </text>
    </comment>
    <comment ref="W749" authorId="0" shapeId="0" xr:uid="{83C75BDF-FAF9-4490-9BD5-D17D66B70D3B}">
      <text>
        <r>
          <rPr>
            <sz val="10"/>
            <color indexed="81"/>
            <rFont val="Lucida Console"/>
            <family val="3"/>
          </rPr>
          <t>_x000D_
DM-Elétrica</t>
        </r>
      </text>
    </comment>
    <comment ref="X749" authorId="0" shapeId="0" xr:uid="{7E211C5B-5CAF-4486-9E0F-DA2F093D8EA2}">
      <text>
        <r>
          <rPr>
            <sz val="10"/>
            <color indexed="81"/>
            <rFont val="Lucida Console"/>
            <family val="3"/>
          </rPr>
          <t>_x000D_
EQUIP. MAT. P/ GERACAO, TRANSM. DISTR. RETIF...</t>
        </r>
      </text>
    </comment>
    <comment ref="Y749" authorId="0" shapeId="0" xr:uid="{5F7CD72F-B353-4B90-B975-F4D9D113DEED}">
      <text>
        <r>
          <rPr>
            <sz val="10"/>
            <color indexed="81"/>
            <rFont val="Lucida Console"/>
            <family val="3"/>
          </rPr>
          <t>_x000D_
TERMINAIS</t>
        </r>
      </text>
    </comment>
    <comment ref="AW749" authorId="0" shapeId="0" xr:uid="{05E4EAB6-8876-4240-8CF0-2BB8F1CC308A}">
      <text>
        <r>
          <rPr>
            <sz val="10"/>
            <color indexed="81"/>
            <rFont val="Lucida Console"/>
            <family val="3"/>
          </rPr>
          <t>Tempo de Estoque (Meses)_x000D_
_x000D_
46,0</t>
        </r>
      </text>
    </comment>
    <comment ref="A750" authorId="0" shapeId="0" xr:uid="{3B33C918-9823-48CF-B743-7FC01A711917}">
      <text>
        <r>
          <rPr>
            <sz val="10"/>
            <color indexed="81"/>
            <rFont val="Lucida Console"/>
            <family val="3"/>
          </rPr>
          <t>_x000D_
110892</t>
        </r>
      </text>
    </comment>
    <comment ref="B750" authorId="0" shapeId="0" xr:uid="{BAFA855B-7A67-445E-9200-AD1F351E049D}">
      <text>
        <r>
          <rPr>
            <sz val="10"/>
            <color indexed="81"/>
            <rFont val="Lucida Console"/>
            <family val="3"/>
          </rPr>
          <t>DESCRIÇÃO DETALHADA_x000D_
TERMINAL A COMPRESSAO REFORCADO P/ 1 CABO DE COBRE 150MM2 C/ 1 FURO DE FIXACAO</t>
        </r>
      </text>
    </comment>
    <comment ref="W750" authorId="0" shapeId="0" xr:uid="{3CE34807-F6A0-4A6F-9EED-DB4278DA3FB8}">
      <text>
        <r>
          <rPr>
            <sz val="10"/>
            <color indexed="81"/>
            <rFont val="Lucida Console"/>
            <family val="3"/>
          </rPr>
          <t>_x000D_
DM-Elétrica</t>
        </r>
      </text>
    </comment>
    <comment ref="X750" authorId="0" shapeId="0" xr:uid="{0D37B514-544D-491D-8D83-1D8DA11E8263}">
      <text>
        <r>
          <rPr>
            <sz val="10"/>
            <color indexed="81"/>
            <rFont val="Lucida Console"/>
            <family val="3"/>
          </rPr>
          <t>_x000D_
EQUIP. MAT. P/ GERACAO, TRANSM. DISTR. RETIF...</t>
        </r>
      </text>
    </comment>
    <comment ref="Y750" authorId="0" shapeId="0" xr:uid="{A97377F3-4074-49DA-A359-11F6E057C42E}">
      <text>
        <r>
          <rPr>
            <sz val="10"/>
            <color indexed="81"/>
            <rFont val="Lucida Console"/>
            <family val="3"/>
          </rPr>
          <t>_x000D_
TERMINAIS</t>
        </r>
      </text>
    </comment>
    <comment ref="AW750" authorId="0" shapeId="0" xr:uid="{7438501D-ECAE-427D-BA60-E2503B0FDDEB}">
      <text>
        <r>
          <rPr>
            <sz val="10"/>
            <color indexed="81"/>
            <rFont val="Lucida Console"/>
            <family val="3"/>
          </rPr>
          <t>Tempo de Estoque (Meses)_x000D_
_x000D_
154,0</t>
        </r>
      </text>
    </comment>
    <comment ref="A751" authorId="0" shapeId="0" xr:uid="{BE1E7306-2012-412E-A660-6A2625433BA6}">
      <text>
        <r>
          <rPr>
            <sz val="10"/>
            <color indexed="81"/>
            <rFont val="Lucida Console"/>
            <family val="3"/>
          </rPr>
          <t>_x000D_
110893</t>
        </r>
      </text>
    </comment>
    <comment ref="B751" authorId="0" shapeId="0" xr:uid="{3AE56CF3-1CC5-4A8A-895D-BB22CFC7A157}">
      <text>
        <r>
          <rPr>
            <sz val="10"/>
            <color indexed="81"/>
            <rFont val="Lucida Console"/>
            <family val="3"/>
          </rPr>
          <t>DESCRIÇÃO DETALHADA_x000D_
TERMINAL A COMPRESSAO REFORCADO P/ 1 CABO DE COBRE 95 MM2 C/ 1 FURO DE FIXACAO</t>
        </r>
      </text>
    </comment>
    <comment ref="W751" authorId="0" shapeId="0" xr:uid="{3D2703BE-8BB8-41A3-B1FB-5B87C8BA45A8}">
      <text>
        <r>
          <rPr>
            <sz val="10"/>
            <color indexed="81"/>
            <rFont val="Lucida Console"/>
            <family val="3"/>
          </rPr>
          <t>_x000D_
DM-Elétrica</t>
        </r>
      </text>
    </comment>
    <comment ref="X751" authorId="0" shapeId="0" xr:uid="{45A809B7-8D79-48FC-8C03-B08053807895}">
      <text>
        <r>
          <rPr>
            <sz val="10"/>
            <color indexed="81"/>
            <rFont val="Lucida Console"/>
            <family val="3"/>
          </rPr>
          <t>_x000D_
EQUIP. MAT. P/ GERACAO, TRANSM. DISTR. RETIF...</t>
        </r>
      </text>
    </comment>
    <comment ref="Y751" authorId="0" shapeId="0" xr:uid="{EB4AF1C7-CC99-46CA-AEE4-6F3EFA643840}">
      <text>
        <r>
          <rPr>
            <sz val="10"/>
            <color indexed="81"/>
            <rFont val="Lucida Console"/>
            <family val="3"/>
          </rPr>
          <t>_x000D_
TERMINAIS</t>
        </r>
      </text>
    </comment>
    <comment ref="AW751" authorId="0" shapeId="0" xr:uid="{101F5220-91CA-43B3-930D-552DE7D8ED4D}">
      <text>
        <r>
          <rPr>
            <sz val="10"/>
            <color indexed="81"/>
            <rFont val="Lucida Console"/>
            <family val="3"/>
          </rPr>
          <t>Tempo de Estoque (Meses)_x000D_
_x000D_
159,0</t>
        </r>
      </text>
    </comment>
    <comment ref="A752" authorId="0" shapeId="0" xr:uid="{4388D863-FAF4-477B-B9C6-00BBA49E9350}">
      <text>
        <r>
          <rPr>
            <sz val="10"/>
            <color indexed="81"/>
            <rFont val="Lucida Console"/>
            <family val="3"/>
          </rPr>
          <t>_x000D_
112494</t>
        </r>
      </text>
    </comment>
    <comment ref="B752" authorId="0" shapeId="0" xr:uid="{89A52CE7-22D8-4543-879D-62396D6A5E4B}">
      <text>
        <r>
          <rPr>
            <sz val="10"/>
            <color indexed="81"/>
            <rFont val="Lucida Console"/>
            <family val="3"/>
          </rPr>
          <t>DESCRIÇÃO DETALHADA_x000D_
TERMINAL A COMPRESSAO PARA 1 CABO DE COBRE 25 MM2 COM 1 FURO DE FIXACAO</t>
        </r>
      </text>
    </comment>
    <comment ref="W752" authorId="0" shapeId="0" xr:uid="{EEBD06D1-AA22-48AC-8E5A-5E0FE301D00D}">
      <text>
        <r>
          <rPr>
            <sz val="10"/>
            <color indexed="81"/>
            <rFont val="Lucida Console"/>
            <family val="3"/>
          </rPr>
          <t>_x000D_
DM-Elétrica</t>
        </r>
      </text>
    </comment>
    <comment ref="X752" authorId="0" shapeId="0" xr:uid="{2FF8EE9E-3D3B-4D5F-AD5D-6C5A746517CC}">
      <text>
        <r>
          <rPr>
            <sz val="10"/>
            <color indexed="81"/>
            <rFont val="Lucida Console"/>
            <family val="3"/>
          </rPr>
          <t>_x000D_
EQUIP. MAT. P/ GERACAO, TRANSM. DISTR. RETIF...</t>
        </r>
      </text>
    </comment>
    <comment ref="Y752" authorId="0" shapeId="0" xr:uid="{CF7693A8-5E6D-4CF1-91B1-B23810109A17}">
      <text>
        <r>
          <rPr>
            <sz val="10"/>
            <color indexed="81"/>
            <rFont val="Lucida Console"/>
            <family val="3"/>
          </rPr>
          <t>_x000D_
TERMINAIS</t>
        </r>
      </text>
    </comment>
    <comment ref="AW752" authorId="0" shapeId="0" xr:uid="{3801EB90-5807-47E2-9EAA-F5B7960AD2F2}">
      <text>
        <r>
          <rPr>
            <sz val="10"/>
            <color indexed="81"/>
            <rFont val="Lucida Console"/>
            <family val="3"/>
          </rPr>
          <t>Tempo de Estoque (Meses)_x000D_
_x000D_
376,0</t>
        </r>
      </text>
    </comment>
    <comment ref="A753" authorId="0" shapeId="0" xr:uid="{3AC4252A-4B1E-4260-933B-23ECC6BD76E3}">
      <text>
        <r>
          <rPr>
            <sz val="10"/>
            <color indexed="81"/>
            <rFont val="Lucida Console"/>
            <family val="3"/>
          </rPr>
          <t>_x000D_
113242</t>
        </r>
      </text>
    </comment>
    <comment ref="B753" authorId="0" shapeId="0" xr:uid="{EB6879B7-D10F-4854-AB61-EB5874C32831}">
      <text>
        <r>
          <rPr>
            <sz val="10"/>
            <color indexed="81"/>
            <rFont val="Lucida Console"/>
            <family val="3"/>
          </rPr>
          <t>DESCRIÇÃO DETALHADA_x000D_
TERMINAL A COMPRESSAO PARA 1 CABO DE COBRE 50 MM2 TIPO ANEL</t>
        </r>
      </text>
    </comment>
    <comment ref="W753" authorId="0" shapeId="0" xr:uid="{86F7FCFF-95A1-4ABB-A9F9-60AD9015F0DA}">
      <text>
        <r>
          <rPr>
            <sz val="10"/>
            <color indexed="81"/>
            <rFont val="Lucida Console"/>
            <family val="3"/>
          </rPr>
          <t>_x000D_
DM-Elétrica</t>
        </r>
      </text>
    </comment>
    <comment ref="X753" authorId="0" shapeId="0" xr:uid="{90D546BB-4068-425D-AEDF-0AFA28582059}">
      <text>
        <r>
          <rPr>
            <sz val="10"/>
            <color indexed="81"/>
            <rFont val="Lucida Console"/>
            <family val="3"/>
          </rPr>
          <t>_x000D_
EQUIP. MAT. P/ GERACAO, TRANSM. DISTR. RETIF...</t>
        </r>
      </text>
    </comment>
    <comment ref="Y753" authorId="0" shapeId="0" xr:uid="{F6B7CFCD-5C0A-455A-B5FF-2C916D0C975C}">
      <text>
        <r>
          <rPr>
            <sz val="10"/>
            <color indexed="81"/>
            <rFont val="Lucida Console"/>
            <family val="3"/>
          </rPr>
          <t>_x000D_
TERMINAIS</t>
        </r>
      </text>
    </comment>
    <comment ref="AW753" authorId="0" shapeId="0" xr:uid="{EEFE5292-C223-42A2-950F-42041F4AA1B8}">
      <text>
        <r>
          <rPr>
            <sz val="10"/>
            <color indexed="81"/>
            <rFont val="Lucida Console"/>
            <family val="3"/>
          </rPr>
          <t>Tempo de Estoque (Meses)_x000D_
_x000D_
150,0</t>
        </r>
      </text>
    </comment>
    <comment ref="A754" authorId="0" shapeId="0" xr:uid="{A13CF947-A862-43B5-90DC-412763A2ACA0}">
      <text>
        <r>
          <rPr>
            <sz val="10"/>
            <color indexed="81"/>
            <rFont val="Lucida Console"/>
            <family val="3"/>
          </rPr>
          <t>_x000D_
31555</t>
        </r>
      </text>
    </comment>
    <comment ref="B754" authorId="0" shapeId="0" xr:uid="{1C790085-41E7-415B-AA12-9D1159776465}">
      <text>
        <r>
          <rPr>
            <sz val="10"/>
            <color indexed="81"/>
            <rFont val="Lucida Console"/>
            <family val="3"/>
          </rPr>
          <t>DESCRIÇÃO DETALHADA_x000D_
HASTE DE ATERRAMENTO DE COBRE - 5/8" X 3,00 METROS</t>
        </r>
      </text>
    </comment>
    <comment ref="W754" authorId="0" shapeId="0" xr:uid="{7810E91C-67F1-4BDF-BB1B-DAEF54EABC1A}">
      <text>
        <r>
          <rPr>
            <sz val="10"/>
            <color indexed="81"/>
            <rFont val="Lucida Console"/>
            <family val="3"/>
          </rPr>
          <t>_x000D_
DM-Elétrica</t>
        </r>
      </text>
    </comment>
    <comment ref="X754" authorId="0" shapeId="0" xr:uid="{86438280-CF10-4669-A501-BBA23635BCE4}">
      <text>
        <r>
          <rPr>
            <sz val="10"/>
            <color indexed="81"/>
            <rFont val="Lucida Console"/>
            <family val="3"/>
          </rPr>
          <t>_x000D_
EQUIP. MAT. P/ GERACAO, TRANSM. DISTR. RETIF...</t>
        </r>
      </text>
    </comment>
    <comment ref="Y754" authorId="0" shapeId="0" xr:uid="{8CAE8F3A-4C4E-4E3D-8C5D-1F4F6EB1F0CB}">
      <text>
        <r>
          <rPr>
            <sz val="10"/>
            <color indexed="81"/>
            <rFont val="Lucida Console"/>
            <family val="3"/>
          </rPr>
          <t>_x000D_
ISOLADORES ELETRICOS E MATERIAIS PARA...</t>
        </r>
      </text>
    </comment>
    <comment ref="AW754" authorId="0" shapeId="0" xr:uid="{B42EF9F4-8405-47B4-B233-FA5FB739B72D}">
      <text>
        <r>
          <rPr>
            <sz val="10"/>
            <color indexed="81"/>
            <rFont val="Lucida Console"/>
            <family val="3"/>
          </rPr>
          <t>Tempo de Estoque (Meses)_x000D_
_x000D_
74,0</t>
        </r>
      </text>
    </comment>
    <comment ref="A755" authorId="0" shapeId="0" xr:uid="{C794C85F-E27F-411A-969E-EE2769E8345E}">
      <text>
        <r>
          <rPr>
            <sz val="10"/>
            <color indexed="81"/>
            <rFont val="Lucida Console"/>
            <family val="3"/>
          </rPr>
          <t>_x000D_
132751</t>
        </r>
      </text>
    </comment>
    <comment ref="B755" authorId="0" shapeId="0" xr:uid="{8C665B36-BE86-4E51-AB2D-5120DBC50C07}">
      <text>
        <r>
          <rPr>
            <sz val="10"/>
            <color indexed="81"/>
            <rFont val="Lucida Console"/>
            <family val="3"/>
          </rPr>
          <t>DESCRIÇÃO DETALHADA_x000D_
FITA PET VIRGEM (ALTA RESISTENCIA) 16MM X 0,80MM, UTILIZADA EM SELADOR ELETRICO, ROLO COM 20KG  - APROXIMADO. 1180 MTS</t>
        </r>
      </text>
    </comment>
    <comment ref="W755" authorId="0" shapeId="0" xr:uid="{486B6246-D3D9-4BF8-86EE-83B6A97F6584}">
      <text>
        <r>
          <rPr>
            <sz val="10"/>
            <color indexed="81"/>
            <rFont val="Lucida Console"/>
            <family val="3"/>
          </rPr>
          <t>_x000D_
DM-Elétrica</t>
        </r>
      </text>
    </comment>
    <comment ref="X755" authorId="0" shapeId="0" xr:uid="{6A98EB32-47BB-499A-93C5-A6ADF4B97B89}">
      <text>
        <r>
          <rPr>
            <sz val="10"/>
            <color indexed="81"/>
            <rFont val="Lucida Console"/>
            <family val="3"/>
          </rPr>
          <t>_x000D_
EQUIP. MAT. P/ GERACAO, TRANSM. DISTR. RETIF...</t>
        </r>
      </text>
    </comment>
    <comment ref="Y755" authorId="0" shapeId="0" xr:uid="{CBDB5DAD-1C8C-4785-B108-C88922983E16}">
      <text>
        <r>
          <rPr>
            <sz val="10"/>
            <color indexed="81"/>
            <rFont val="Lucida Console"/>
            <family val="3"/>
          </rPr>
          <t>_x000D_
ISOLADORES ELETRICOS E MATERIAIS PARA...</t>
        </r>
      </text>
    </comment>
    <comment ref="AW755" authorId="0" shapeId="0" xr:uid="{06DCB092-D104-4C21-9D00-7D8BCA7DD71B}">
      <text>
        <r>
          <rPr>
            <sz val="10"/>
            <color indexed="81"/>
            <rFont val="Lucida Console"/>
            <family val="3"/>
          </rPr>
          <t>Tempo de Estoque (Meses)_x000D_
_x000D_
3,0</t>
        </r>
      </text>
    </comment>
    <comment ref="A756" authorId="0" shapeId="0" xr:uid="{0266F7CE-EC41-4396-A847-D3FEE3933CA4}">
      <text>
        <r>
          <rPr>
            <sz val="10"/>
            <color indexed="81"/>
            <rFont val="Lucida Console"/>
            <family val="3"/>
          </rPr>
          <t>_x000D_
14012</t>
        </r>
      </text>
    </comment>
    <comment ref="B756" authorId="0" shapeId="0" xr:uid="{2AB9D505-2581-4AC9-86F0-56651DAFDD75}">
      <text>
        <r>
          <rPr>
            <sz val="10"/>
            <color indexed="81"/>
            <rFont val="Lucida Console"/>
            <family val="3"/>
          </rPr>
          <t>DESCRIÇÃO DETALHADA_x000D_
ABRACADEIRA GALVANIZADA TIPO U DE 3/4"</t>
        </r>
      </text>
    </comment>
    <comment ref="W756" authorId="0" shapeId="0" xr:uid="{9AA83D59-948C-4769-B1B3-062479A67FF9}">
      <text>
        <r>
          <rPr>
            <sz val="10"/>
            <color indexed="81"/>
            <rFont val="Lucida Console"/>
            <family val="3"/>
          </rPr>
          <t>_x000D_
DM-Elétrica</t>
        </r>
      </text>
    </comment>
    <comment ref="X756" authorId="0" shapeId="0" xr:uid="{33170682-8B90-43C9-9ECA-177F75A0849E}">
      <text>
        <r>
          <rPr>
            <sz val="10"/>
            <color indexed="81"/>
            <rFont val="Lucida Console"/>
            <family val="3"/>
          </rPr>
          <t>_x000D_
EQUIP. MAT. P/ GERACAO, TRANSM. DISTR. RETIF...</t>
        </r>
      </text>
    </comment>
    <comment ref="Y756" authorId="0" shapeId="0" xr:uid="{643C287B-BF8A-4CE2-8B0F-C0FA25DB7AEA}">
      <text>
        <r>
          <rPr>
            <sz val="10"/>
            <color indexed="81"/>
            <rFont val="Lucida Console"/>
            <family val="3"/>
          </rPr>
          <t>_x000D_
BRACADEIRAS E CINTAS</t>
        </r>
      </text>
    </comment>
    <comment ref="AW756" authorId="0" shapeId="0" xr:uid="{327C1EE9-32FF-407C-81B8-3E0D1320DD12}">
      <text>
        <r>
          <rPr>
            <sz val="10"/>
            <color indexed="81"/>
            <rFont val="Lucida Console"/>
            <family val="3"/>
          </rPr>
          <t>Tempo de Estoque (Meses)_x000D_
_x000D_
3.316,0</t>
        </r>
      </text>
    </comment>
    <comment ref="A757" authorId="0" shapeId="0" xr:uid="{EE625F24-E57A-4237-8EBA-BBA9C7B7C3A3}">
      <text>
        <r>
          <rPr>
            <sz val="10"/>
            <color indexed="81"/>
            <rFont val="Lucida Console"/>
            <family val="3"/>
          </rPr>
          <t>_x000D_
95228</t>
        </r>
      </text>
    </comment>
    <comment ref="B757" authorId="0" shapeId="0" xr:uid="{601F2BBA-5CC8-4063-933D-2F38A541B0F3}">
      <text>
        <r>
          <rPr>
            <sz val="10"/>
            <color indexed="81"/>
            <rFont val="Lucida Console"/>
            <family val="3"/>
          </rPr>
          <t xml:space="preserve">DESCRIÇÃO DETALHADA_x000D_
ABRACADEIRA DE NYLON COMPRIMENTO 200 MM </t>
        </r>
      </text>
    </comment>
    <comment ref="W757" authorId="0" shapeId="0" xr:uid="{19BEA8B1-D263-4266-A01D-5AF00E009377}">
      <text>
        <r>
          <rPr>
            <sz val="10"/>
            <color indexed="81"/>
            <rFont val="Lucida Console"/>
            <family val="3"/>
          </rPr>
          <t>_x000D_
DM-Elétrica</t>
        </r>
      </text>
    </comment>
    <comment ref="X757" authorId="0" shapeId="0" xr:uid="{FCBD728E-9918-4DAB-A250-80FD6F697AE1}">
      <text>
        <r>
          <rPr>
            <sz val="10"/>
            <color indexed="81"/>
            <rFont val="Lucida Console"/>
            <family val="3"/>
          </rPr>
          <t>_x000D_
EQUIP. MAT. P/ GERACAO, TRANSM. DISTR. RETIF...</t>
        </r>
      </text>
    </comment>
    <comment ref="Y757" authorId="0" shapeId="0" xr:uid="{26A5466C-C316-41CD-8954-8532D3D21CB4}">
      <text>
        <r>
          <rPr>
            <sz val="10"/>
            <color indexed="81"/>
            <rFont val="Lucida Console"/>
            <family val="3"/>
          </rPr>
          <t>_x000D_
BRACADEIRAS E CINTAS</t>
        </r>
      </text>
    </comment>
    <comment ref="AW757" authorId="0" shapeId="0" xr:uid="{A374FE80-8F16-44DE-B35B-5F28A8E82D4A}">
      <text>
        <r>
          <rPr>
            <sz val="10"/>
            <color indexed="81"/>
            <rFont val="Lucida Console"/>
            <family val="3"/>
          </rPr>
          <t>Tempo de Estoque (Meses)_x000D_
_x000D_
1.000,0</t>
        </r>
      </text>
    </comment>
    <comment ref="A758" authorId="0" shapeId="0" xr:uid="{D5DD86F2-06D2-4EF2-BB55-420372465DB8}">
      <text>
        <r>
          <rPr>
            <sz val="10"/>
            <color indexed="81"/>
            <rFont val="Lucida Console"/>
            <family val="3"/>
          </rPr>
          <t>_x000D_
108697</t>
        </r>
      </text>
    </comment>
    <comment ref="B758" authorId="0" shapeId="0" xr:uid="{7BBBE244-7F76-4343-B91D-5658B1FDD7B5}">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758" authorId="0" shapeId="0" xr:uid="{F6C33899-BF3D-4908-9BC6-AD9366B50017}">
      <text>
        <r>
          <rPr>
            <sz val="10"/>
            <color indexed="81"/>
            <rFont val="Lucida Console"/>
            <family val="3"/>
          </rPr>
          <t>_x000D_
DM-Elétrica</t>
        </r>
      </text>
    </comment>
    <comment ref="X758" authorId="0" shapeId="0" xr:uid="{26C109D4-386D-4BA0-B997-11233FB252F3}">
      <text>
        <r>
          <rPr>
            <sz val="10"/>
            <color indexed="81"/>
            <rFont val="Lucida Console"/>
            <family val="3"/>
          </rPr>
          <t>_x000D_
EQUIP. MAT. P/ GERACAO, TRANSM. DISTR. RETIF...</t>
        </r>
      </text>
    </comment>
    <comment ref="Y758" authorId="0" shapeId="0" xr:uid="{BAC64CA9-6C0C-4249-96A7-0FC2175E4965}">
      <text>
        <r>
          <rPr>
            <sz val="10"/>
            <color indexed="81"/>
            <rFont val="Lucida Console"/>
            <family val="3"/>
          </rPr>
          <t>_x000D_
MATERIAIS ORNAMENTAIS</t>
        </r>
      </text>
    </comment>
    <comment ref="AW758" authorId="0" shapeId="0" xr:uid="{85CEF49D-F129-4AB9-8842-52F89D9748D0}">
      <text>
        <r>
          <rPr>
            <sz val="10"/>
            <color indexed="81"/>
            <rFont val="Lucida Console"/>
            <family val="3"/>
          </rPr>
          <t>Tempo de Estoque (Meses)_x000D_
_x000D_
37,0</t>
        </r>
      </text>
    </comment>
    <comment ref="A759" authorId="0" shapeId="0" xr:uid="{B438A1A5-1822-492A-9815-3CC5D6A671F5}">
      <text>
        <r>
          <rPr>
            <sz val="10"/>
            <color indexed="81"/>
            <rFont val="Lucida Console"/>
            <family val="3"/>
          </rPr>
          <t>_x000D_
51222</t>
        </r>
      </text>
    </comment>
    <comment ref="B759" authorId="0" shapeId="0" xr:uid="{FCD634FD-3045-49FD-AEF4-2020BB8C66C4}">
      <text>
        <r>
          <rPr>
            <sz val="10"/>
            <color indexed="81"/>
            <rFont val="Lucida Console"/>
            <family val="3"/>
          </rPr>
          <t>DESCRIÇÃO DETALHADA_x000D_
LUMINARIA FECHADA TIPO CALHA - P/ LAMPADA FLUORESCENTE - 2 X 20 W, CALHA COM SOQUETE DE PRESSAO E SUPORTE PARA FIXACAO TIPO PE DE GALINHA</t>
        </r>
      </text>
    </comment>
    <comment ref="W759" authorId="0" shapeId="0" xr:uid="{9F7510E5-A12C-4C16-9A7A-9EFA4F8E3AE5}">
      <text>
        <r>
          <rPr>
            <sz val="10"/>
            <color indexed="81"/>
            <rFont val="Lucida Console"/>
            <family val="3"/>
          </rPr>
          <t>_x000D_
DM-Elétrica</t>
        </r>
      </text>
    </comment>
    <comment ref="X759" authorId="0" shapeId="0" xr:uid="{E6677D4C-C1F5-4DDC-B0F5-D87AE2A8264D}">
      <text>
        <r>
          <rPr>
            <sz val="10"/>
            <color indexed="81"/>
            <rFont val="Lucida Console"/>
            <family val="3"/>
          </rPr>
          <t>_x000D_
EQUIP. MAT. P/ GERACAO, TRANSM. DISTR. RETIF...</t>
        </r>
      </text>
    </comment>
    <comment ref="Y759" authorId="0" shapeId="0" xr:uid="{88AE6F72-84FA-45FC-8D00-2AC69897D5B1}">
      <text>
        <r>
          <rPr>
            <sz val="10"/>
            <color indexed="81"/>
            <rFont val="Lucida Console"/>
            <family val="3"/>
          </rPr>
          <t>_x000D_
LUMINARIAS E PROJETORES COM EQUIPAMENTO</t>
        </r>
      </text>
    </comment>
    <comment ref="AW759" authorId="0" shapeId="0" xr:uid="{17BEE4A3-9A14-4F71-9373-C12087FDE556}">
      <text>
        <r>
          <rPr>
            <sz val="10"/>
            <color indexed="81"/>
            <rFont val="Lucida Console"/>
            <family val="3"/>
          </rPr>
          <t>Tempo de Estoque (Meses)_x000D_
_x000D_
61,0</t>
        </r>
      </text>
    </comment>
    <comment ref="A760" authorId="0" shapeId="0" xr:uid="{C3DB8B2B-2F04-4516-BBDF-541B689C72ED}">
      <text>
        <r>
          <rPr>
            <sz val="10"/>
            <color indexed="81"/>
            <rFont val="Lucida Console"/>
            <family val="3"/>
          </rPr>
          <t>_x000D_
140666</t>
        </r>
      </text>
    </comment>
    <comment ref="B760" authorId="0" shapeId="0" xr:uid="{87625517-76AC-47E9-9163-ED00401D724C}">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760" authorId="0" shapeId="0" xr:uid="{F2CE6D5F-3E2F-45FE-858A-17A42536AA00}">
      <text>
        <r>
          <rPr>
            <sz val="10"/>
            <color indexed="81"/>
            <rFont val="Lucida Console"/>
            <family val="3"/>
          </rPr>
          <t>_x000D_
DM-Elétrica</t>
        </r>
      </text>
    </comment>
    <comment ref="X760" authorId="0" shapeId="0" xr:uid="{CD942060-61A2-4240-BE30-FF8EBF3FDA71}">
      <text>
        <r>
          <rPr>
            <sz val="10"/>
            <color indexed="81"/>
            <rFont val="Lucida Console"/>
            <family val="3"/>
          </rPr>
          <t>_x000D_
EQUIP. MAT. P/ GERACAO, TRANSM. DISTR. RETIF...</t>
        </r>
      </text>
    </comment>
    <comment ref="Y760" authorId="0" shapeId="0" xr:uid="{A095682E-51BB-4EDE-862F-AFF48ADEE269}">
      <text>
        <r>
          <rPr>
            <sz val="10"/>
            <color indexed="81"/>
            <rFont val="Lucida Console"/>
            <family val="3"/>
          </rPr>
          <t>_x000D_
LUMINARIAS E PROJETORES COM EQUIPAMENTO</t>
        </r>
      </text>
    </comment>
    <comment ref="AW760" authorId="0" shapeId="0" xr:uid="{2CEFCA13-515D-48D2-A0D2-66A403C4F5BA}">
      <text>
        <r>
          <rPr>
            <sz val="10"/>
            <color indexed="81"/>
            <rFont val="Lucida Console"/>
            <family val="3"/>
          </rPr>
          <t>Tempo de Estoque (Meses)_x000D_
_x000D_
48,0</t>
        </r>
      </text>
    </comment>
    <comment ref="A761" authorId="0" shapeId="0" xr:uid="{4044E09B-A4ED-4407-9A70-4FC889CBBFE0}">
      <text>
        <r>
          <rPr>
            <sz val="10"/>
            <color indexed="81"/>
            <rFont val="Lucida Console"/>
            <family val="3"/>
          </rPr>
          <t>_x000D_
105259</t>
        </r>
      </text>
    </comment>
    <comment ref="B761" authorId="0" shapeId="0" xr:uid="{274ECD16-944C-4D2E-BB5E-90304F6221D2}">
      <text>
        <r>
          <rPr>
            <sz val="10"/>
            <color indexed="81"/>
            <rFont val="Lucida Console"/>
            <family val="3"/>
          </rPr>
          <t xml:space="preserve">DESCRIÇÃO DETALHADA_x000D_
PAPEL ADESIVO P/ ENCADERNACAO (TIPO CONTACT) - 0,50 M DE LARGURA (VARIACAO +/- 0,05M) - TRANSPARENTE - ROLO COM 25 M </t>
        </r>
      </text>
    </comment>
    <comment ref="W761" authorId="0" shapeId="0" xr:uid="{BD4ACC77-BF80-4930-978A-17A3DA04F50B}">
      <text>
        <r>
          <rPr>
            <sz val="10"/>
            <color indexed="81"/>
            <rFont val="Lucida Console"/>
            <family val="3"/>
          </rPr>
          <t>_x000D_
Administrativo</t>
        </r>
      </text>
    </comment>
    <comment ref="X761" authorId="0" shapeId="0" xr:uid="{F20ABB6F-B524-4B15-8AD0-59622B21C0FC}">
      <text>
        <r>
          <rPr>
            <sz val="10"/>
            <color indexed="81"/>
            <rFont val="Lucida Console"/>
            <family val="3"/>
          </rPr>
          <t>_x000D_
MAQ. E EQUIP. P/ IND. GRAFICA COMP. ACESS. E PAPEI</t>
        </r>
      </text>
    </comment>
    <comment ref="Y761" authorId="0" shapeId="0" xr:uid="{F73C6207-4A32-490A-8740-97E70CF694EA}">
      <text>
        <r>
          <rPr>
            <sz val="10"/>
            <color indexed="81"/>
            <rFont val="Lucida Console"/>
            <family val="3"/>
          </rPr>
          <t>_x000D_
PAPEIS ESPECIAIS</t>
        </r>
      </text>
    </comment>
    <comment ref="AW761" authorId="0" shapeId="0" xr:uid="{A173C796-69D1-4CEE-8FDB-E402527BDF59}">
      <text>
        <r>
          <rPr>
            <sz val="10"/>
            <color indexed="81"/>
            <rFont val="Lucida Console"/>
            <family val="3"/>
          </rPr>
          <t>Tempo de Estoque (Meses)_x000D_
_x000D_
1.474,0</t>
        </r>
      </text>
    </comment>
    <comment ref="A762" authorId="0" shapeId="0" xr:uid="{40F6A401-4295-40A2-A669-A9128FC5F483}">
      <text>
        <r>
          <rPr>
            <sz val="10"/>
            <color indexed="81"/>
            <rFont val="Lucida Console"/>
            <family val="3"/>
          </rPr>
          <t>_x000D_
72222</t>
        </r>
      </text>
    </comment>
    <comment ref="B762" authorId="0" shapeId="0" xr:uid="{B6A9C429-4F2C-4EA6-9D27-2EB6E7CBDB52}">
      <text>
        <r>
          <rPr>
            <sz val="10"/>
            <color indexed="81"/>
            <rFont val="Lucida Console"/>
            <family val="3"/>
          </rPr>
          <t>DESCRIÇÃO DETALHADA_x000D_
ESPIRAL N. 12 (12 MM) DE PVC - PACOTE COM 100 UNIDADES</t>
        </r>
      </text>
    </comment>
    <comment ref="W762" authorId="0" shapeId="0" xr:uid="{27E9DE04-EBF6-454D-91DB-AC22243AA154}">
      <text>
        <r>
          <rPr>
            <sz val="10"/>
            <color indexed="81"/>
            <rFont val="Lucida Console"/>
            <family val="3"/>
          </rPr>
          <t>_x000D_
Pedagógico</t>
        </r>
      </text>
    </comment>
    <comment ref="X762" authorId="0" shapeId="0" xr:uid="{B9F20B2F-E456-4E64-8A3A-17E5F792242C}">
      <text>
        <r>
          <rPr>
            <sz val="10"/>
            <color indexed="81"/>
            <rFont val="Lucida Console"/>
            <family val="3"/>
          </rPr>
          <t>_x000D_
MAQ. E EQUIP. P/ IND. GRAFICA COMP. ACESS. E PAPEI</t>
        </r>
      </text>
    </comment>
    <comment ref="Y762" authorId="0" shapeId="0" xr:uid="{CDC97957-5EEB-4A8F-8BCD-2E0974662D53}">
      <text>
        <r>
          <rPr>
            <sz val="10"/>
            <color indexed="81"/>
            <rFont val="Lucida Console"/>
            <family val="3"/>
          </rPr>
          <t>_x000D_
MATERIAIS E ACESSORIOS P/ ENCADERNACAO</t>
        </r>
      </text>
    </comment>
    <comment ref="AW762" authorId="0" shapeId="0" xr:uid="{D8E15046-B107-49FC-BA3C-076DD735398B}">
      <text>
        <r>
          <rPr>
            <sz val="10"/>
            <color indexed="81"/>
            <rFont val="Lucida Console"/>
            <family val="3"/>
          </rPr>
          <t>Tempo de Estoque (Meses)_x000D_
_x000D_
1.582,0</t>
        </r>
      </text>
    </comment>
    <comment ref="A763" authorId="0" shapeId="0" xr:uid="{DBF46169-F4CE-4DFF-A73E-292EA1F5B9DD}">
      <text>
        <r>
          <rPr>
            <sz val="10"/>
            <color indexed="81"/>
            <rFont val="Lucida Console"/>
            <family val="3"/>
          </rPr>
          <t>_x000D_
132405</t>
        </r>
      </text>
    </comment>
    <comment ref="B763" authorId="0" shapeId="0" xr:uid="{F8FF9A96-6BF2-479A-9334-B73D150E9384}">
      <text>
        <r>
          <rPr>
            <sz val="10"/>
            <color indexed="81"/>
            <rFont val="Lucida Console"/>
            <family val="3"/>
          </rPr>
          <t>DESCRIÇÃO DETALHADA_x000D_
ESPIRAL 9 MM DE PVC - PACOTE COM 100 UNIDADES.</t>
        </r>
      </text>
    </comment>
    <comment ref="W763" authorId="0" shapeId="0" xr:uid="{B669B539-9C8B-44B8-B261-186A97C6D1F6}">
      <text>
        <r>
          <rPr>
            <sz val="10"/>
            <color indexed="81"/>
            <rFont val="Lucida Console"/>
            <family val="3"/>
          </rPr>
          <t>_x000D_
Pedagógico</t>
        </r>
      </text>
    </comment>
    <comment ref="X763" authorId="0" shapeId="0" xr:uid="{D1E88C9D-4DF7-4172-9D60-3756453BF7D3}">
      <text>
        <r>
          <rPr>
            <sz val="10"/>
            <color indexed="81"/>
            <rFont val="Lucida Console"/>
            <family val="3"/>
          </rPr>
          <t>_x000D_
MAQ. E EQUIP. P/ IND. GRAFICA COMP. ACESS. E PAPEI</t>
        </r>
      </text>
    </comment>
    <comment ref="Y763" authorId="0" shapeId="0" xr:uid="{A6E7EB7B-0483-4538-992B-E49FE312E8C2}">
      <text>
        <r>
          <rPr>
            <sz val="10"/>
            <color indexed="81"/>
            <rFont val="Lucida Console"/>
            <family val="3"/>
          </rPr>
          <t>_x000D_
MATERIAIS E ACESSORIOS P/ ENCADERNACAO</t>
        </r>
      </text>
    </comment>
    <comment ref="AW763" authorId="0" shapeId="0" xr:uid="{2E4125A1-7422-437B-9E35-A7B9CE0392D1}">
      <text>
        <r>
          <rPr>
            <sz val="10"/>
            <color indexed="81"/>
            <rFont val="Lucida Console"/>
            <family val="3"/>
          </rPr>
          <t>Tempo de Estoque (Meses)_x000D_
_x000D_
2.248,0</t>
        </r>
      </text>
    </comment>
    <comment ref="A764" authorId="0" shapeId="0" xr:uid="{74CC2F8C-CB56-4A38-B7ED-934F95C0E3C5}">
      <text>
        <r>
          <rPr>
            <sz val="10"/>
            <color indexed="81"/>
            <rFont val="Lucida Console"/>
            <family val="3"/>
          </rPr>
          <t>_x000D_
132407</t>
        </r>
      </text>
    </comment>
    <comment ref="B764" authorId="0" shapeId="0" xr:uid="{8AE572CF-0E70-4371-976A-10565E39CEE6}">
      <text>
        <r>
          <rPr>
            <sz val="10"/>
            <color indexed="81"/>
            <rFont val="Lucida Console"/>
            <family val="3"/>
          </rPr>
          <t>DESCRIÇÃO DETALHADA_x000D_
ESPIRAL 25 MM DE PVC - PACOTE COM NO MINIMO 45 UNIDADES.</t>
        </r>
      </text>
    </comment>
    <comment ref="W764" authorId="0" shapeId="0" xr:uid="{F4414A26-62DB-4BCC-94F6-3FCAA44B5442}">
      <text>
        <r>
          <rPr>
            <sz val="10"/>
            <color indexed="81"/>
            <rFont val="Lucida Console"/>
            <family val="3"/>
          </rPr>
          <t>_x000D_
Pedagógico</t>
        </r>
      </text>
    </comment>
    <comment ref="X764" authorId="0" shapeId="0" xr:uid="{E1D7C511-004C-4E41-8ACF-C78500D187B3}">
      <text>
        <r>
          <rPr>
            <sz val="10"/>
            <color indexed="81"/>
            <rFont val="Lucida Console"/>
            <family val="3"/>
          </rPr>
          <t>_x000D_
MAQ. E EQUIP. P/ IND. GRAFICA COMP. ACESS. E PAPEI</t>
        </r>
      </text>
    </comment>
    <comment ref="Y764" authorId="0" shapeId="0" xr:uid="{22842388-2679-4418-9C0B-3CC602BAA5D8}">
      <text>
        <r>
          <rPr>
            <sz val="10"/>
            <color indexed="81"/>
            <rFont val="Lucida Console"/>
            <family val="3"/>
          </rPr>
          <t>_x000D_
MATERIAIS E ACESSORIOS P/ ENCADERNACAO</t>
        </r>
      </text>
    </comment>
    <comment ref="AW764" authorId="0" shapeId="0" xr:uid="{D00D6252-79C7-4FE0-A382-04211177D104}">
      <text>
        <r>
          <rPr>
            <sz val="10"/>
            <color indexed="81"/>
            <rFont val="Lucida Console"/>
            <family val="3"/>
          </rPr>
          <t>Tempo de Estoque (Meses)_x000D_
_x000D_
2.247,0</t>
        </r>
      </text>
    </comment>
    <comment ref="A765" authorId="0" shapeId="0" xr:uid="{E17D4A86-2448-40F6-829D-16C6AC9EC74E}">
      <text>
        <r>
          <rPr>
            <sz val="10"/>
            <color indexed="81"/>
            <rFont val="Lucida Console"/>
            <family val="3"/>
          </rPr>
          <t>_x000D_
63991</t>
        </r>
      </text>
    </comment>
    <comment ref="B765" authorId="0" shapeId="0" xr:uid="{DE4940CE-8117-4EEF-8561-F80F9CCDE638}">
      <text>
        <r>
          <rPr>
            <sz val="10"/>
            <color indexed="81"/>
            <rFont val="Lucida Console"/>
            <family val="3"/>
          </rPr>
          <t>DESCRIÇÃO DETALHADA_x000D_
BALDINHO DE PRAIA EM PLASTICO - COLORIDO, ATOXICO, COM ACESSORIOS (PAZINHA, RASTELO, ETC)</t>
        </r>
      </text>
    </comment>
    <comment ref="W765" authorId="0" shapeId="0" xr:uid="{69759D98-AC3A-43C2-A607-586B3B40BD7F}">
      <text>
        <r>
          <rPr>
            <sz val="10"/>
            <color indexed="81"/>
            <rFont val="Lucida Console"/>
            <family val="3"/>
          </rPr>
          <t>_x000D_
Pedagógico</t>
        </r>
      </text>
    </comment>
    <comment ref="X765" authorId="0" shapeId="0" xr:uid="{00DA6BA9-B2BA-4170-B8E0-22AB1830A6B0}">
      <text>
        <r>
          <rPr>
            <sz val="10"/>
            <color indexed="81"/>
            <rFont val="Lucida Console"/>
            <family val="3"/>
          </rPr>
          <t>_x000D_
EQUIP. E MAT. P/ RECREACAO, ATLETISMO, DESPORTO...</t>
        </r>
      </text>
    </comment>
    <comment ref="Y765" authorId="0" shapeId="0" xr:uid="{18817A0D-9A9B-402F-9F79-72F9B0CDF14F}">
      <text>
        <r>
          <rPr>
            <sz val="10"/>
            <color indexed="81"/>
            <rFont val="Lucida Console"/>
            <family val="3"/>
          </rPr>
          <t>_x000D_
BRINQUEDOS, JOGOS E ARTIGOS P/ BEBE</t>
        </r>
      </text>
    </comment>
    <comment ref="AW765" authorId="0" shapeId="0" xr:uid="{B2048A3D-A10C-42A8-8337-DA1424F93B6E}">
      <text>
        <r>
          <rPr>
            <sz val="10"/>
            <color indexed="81"/>
            <rFont val="Lucida Console"/>
            <family val="3"/>
          </rPr>
          <t>Tempo de Estoque (Meses)_x000D_
_x000D_
3.648,0</t>
        </r>
      </text>
    </comment>
    <comment ref="A766" authorId="0" shapeId="0" xr:uid="{98AD7579-3A5B-45F9-A89D-F68929369CE9}">
      <text>
        <r>
          <rPr>
            <sz val="10"/>
            <color indexed="81"/>
            <rFont val="Lucida Console"/>
            <family val="3"/>
          </rPr>
          <t>_x000D_
98732</t>
        </r>
      </text>
    </comment>
    <comment ref="B766" authorId="0" shapeId="0" xr:uid="{62C27905-AB1D-4083-8790-21BFD1DF267A}">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766" authorId="0" shapeId="0" xr:uid="{B4A21D46-FD66-4F28-832B-0A22172432BC}">
      <text>
        <r>
          <rPr>
            <sz val="10"/>
            <color indexed="81"/>
            <rFont val="Lucida Console"/>
            <family val="3"/>
          </rPr>
          <t>_x000D_
Eventos</t>
        </r>
      </text>
    </comment>
    <comment ref="X766" authorId="0" shapeId="0" xr:uid="{E28DFDEC-386B-4932-94AA-AF7E3CE1C362}">
      <text>
        <r>
          <rPr>
            <sz val="10"/>
            <color indexed="81"/>
            <rFont val="Lucida Console"/>
            <family val="3"/>
          </rPr>
          <t>_x000D_
EQUIP. E MAT. P/ RECREACAO, ATLETISMO, DESPORTO...</t>
        </r>
      </text>
    </comment>
    <comment ref="Y766" authorId="0" shapeId="0" xr:uid="{FE7D91D7-E5B0-46E2-B579-01C695C8592A}">
      <text>
        <r>
          <rPr>
            <sz val="10"/>
            <color indexed="81"/>
            <rFont val="Lucida Console"/>
            <family val="3"/>
          </rPr>
          <t>_x000D_
BANDEIRAS, STANDARTES, FAIXAS, FLAMULAS E BALOES INFLAVEIS PROMOCIONAIS</t>
        </r>
      </text>
    </comment>
    <comment ref="AW766" authorId="0" shapeId="0" xr:uid="{65CEA675-B3FE-4759-AE88-273B9A0D4D9A}">
      <text>
        <r>
          <rPr>
            <sz val="10"/>
            <color indexed="81"/>
            <rFont val="Lucida Console"/>
            <family val="3"/>
          </rPr>
          <t>Tempo de Estoque (Meses)_x000D_
_x000D_
55,0</t>
        </r>
      </text>
    </comment>
    <comment ref="A767" authorId="0" shapeId="0" xr:uid="{A472F3C0-C689-4302-BEAE-DE52236EF7AD}">
      <text>
        <r>
          <rPr>
            <sz val="10"/>
            <color indexed="81"/>
            <rFont val="Lucida Console"/>
            <family val="3"/>
          </rPr>
          <t>_x000D_
98733</t>
        </r>
      </text>
    </comment>
    <comment ref="B767" authorId="0" shapeId="0" xr:uid="{D444B11F-30B6-4450-924D-BC42555BD41C}">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767" authorId="0" shapeId="0" xr:uid="{B2C99ECD-0B20-4CDE-BBF9-D11AD7D7AE71}">
      <text>
        <r>
          <rPr>
            <sz val="10"/>
            <color indexed="81"/>
            <rFont val="Lucida Console"/>
            <family val="3"/>
          </rPr>
          <t>_x000D_
Eventos</t>
        </r>
      </text>
    </comment>
    <comment ref="X767" authorId="0" shapeId="0" xr:uid="{B6F5386E-45B8-4532-AE31-DFD4E37DBB9F}">
      <text>
        <r>
          <rPr>
            <sz val="10"/>
            <color indexed="81"/>
            <rFont val="Lucida Console"/>
            <family val="3"/>
          </rPr>
          <t>_x000D_
EQUIP. E MAT. P/ RECREACAO, ATLETISMO, DESPORTO...</t>
        </r>
      </text>
    </comment>
    <comment ref="Y767" authorId="0" shapeId="0" xr:uid="{8DE20CC7-D9B9-4424-A514-1CD7A45E4D01}">
      <text>
        <r>
          <rPr>
            <sz val="10"/>
            <color indexed="81"/>
            <rFont val="Lucida Console"/>
            <family val="3"/>
          </rPr>
          <t>_x000D_
BANDEIRAS, STANDARTES, FAIXAS, FLAMULAS E BALOES INFLAVEIS PROMOCIONAIS</t>
        </r>
      </text>
    </comment>
    <comment ref="AW767" authorId="0" shapeId="0" xr:uid="{43B0AA96-7FDB-4ABD-8B30-A459943AE350}">
      <text>
        <r>
          <rPr>
            <sz val="10"/>
            <color indexed="81"/>
            <rFont val="Lucida Console"/>
            <family val="3"/>
          </rPr>
          <t>Tempo de Estoque (Meses)_x000D_
_x000D_
41,0</t>
        </r>
      </text>
    </comment>
    <comment ref="A768" authorId="0" shapeId="0" xr:uid="{3A01D4A7-089F-4697-9664-1DE653CDD464}">
      <text>
        <r>
          <rPr>
            <sz val="10"/>
            <color indexed="81"/>
            <rFont val="Lucida Console"/>
            <family val="3"/>
          </rPr>
          <t>_x000D_
98734</t>
        </r>
      </text>
    </comment>
    <comment ref="B768" authorId="0" shapeId="0" xr:uid="{A846598F-48CE-4404-881C-46EBF72654ED}">
      <text>
        <r>
          <rPr>
            <sz val="10"/>
            <color indexed="81"/>
            <rFont val="Lucida Console"/>
            <family val="3"/>
          </rPr>
          <t>DESCRIÇÃO DETALHADA_x000D_
BANDEIRA DA CIDADE - 1,12 X 1,60 M, , MODELO BORDADO, CONFECCIONADA EM TECIDO 100% POLIESTER, C/FIO DE ALTA RESISTENCIA P/USO INTERNO/EXTERNO, COSTURADA C/BARRA DUPLA DE 1ª QUALIDADE, GLOBO DUPLA-FACE C/ESTRELAS E LETRAS BORDADAS EM PONTO CHEIO, TARJA BRANCA, C/2 ILHOSES EM CADA PONTA</t>
        </r>
      </text>
    </comment>
    <comment ref="W768" authorId="0" shapeId="0" xr:uid="{E05D299F-D934-4AEA-B1D0-78AAB69F95EF}">
      <text>
        <r>
          <rPr>
            <sz val="10"/>
            <color indexed="81"/>
            <rFont val="Lucida Console"/>
            <family val="3"/>
          </rPr>
          <t>_x000D_
Eventos</t>
        </r>
      </text>
    </comment>
    <comment ref="X768" authorId="0" shapeId="0" xr:uid="{0E33B6A6-EB34-4A4A-987C-E7814DD11228}">
      <text>
        <r>
          <rPr>
            <sz val="10"/>
            <color indexed="81"/>
            <rFont val="Lucida Console"/>
            <family val="3"/>
          </rPr>
          <t>_x000D_
EQUIP. E MAT. P/ RECREACAO, ATLETISMO, DESPORTO...</t>
        </r>
      </text>
    </comment>
    <comment ref="Y768" authorId="0" shapeId="0" xr:uid="{8E1FD508-2138-4C36-95A1-CE1A987F44C2}">
      <text>
        <r>
          <rPr>
            <sz val="10"/>
            <color indexed="81"/>
            <rFont val="Lucida Console"/>
            <family val="3"/>
          </rPr>
          <t>_x000D_
BANDEIRAS, STANDARTES, FAIXAS, FLAMULAS E BALOES INFLAVEIS PROMOCIONAIS</t>
        </r>
      </text>
    </comment>
    <comment ref="AW768" authorId="0" shapeId="0" xr:uid="{919280AD-03EF-4859-9F69-24074F931DF9}">
      <text>
        <r>
          <rPr>
            <sz val="10"/>
            <color indexed="81"/>
            <rFont val="Lucida Console"/>
            <family val="3"/>
          </rPr>
          <t>Tempo de Estoque (Meses)_x000D_
_x000D_
36,0</t>
        </r>
      </text>
    </comment>
    <comment ref="A769" authorId="0" shapeId="0" xr:uid="{207C9AB8-4E54-4613-AA0A-3987C1A07371}">
      <text>
        <r>
          <rPr>
            <sz val="10"/>
            <color indexed="81"/>
            <rFont val="Lucida Console"/>
            <family val="3"/>
          </rPr>
          <t>_x000D_
106038</t>
        </r>
      </text>
    </comment>
    <comment ref="B769" authorId="0" shapeId="0" xr:uid="{19A2EC47-5F78-4E62-B684-9D81FA9F46F5}">
      <text>
        <r>
          <rPr>
            <sz val="10"/>
            <color indexed="81"/>
            <rFont val="Lucida Console"/>
            <family val="3"/>
          </rPr>
          <t>DESCRIÇÃO DETALHADA_x000D_
CONECTOR RJ-45 FEMEA, PARA CABO UTP CATEGORIA 6</t>
        </r>
      </text>
    </comment>
    <comment ref="W769" authorId="0" shapeId="0" xr:uid="{D9409AAE-C022-429D-8DF6-BF62770CF08E}">
      <text>
        <r>
          <rPr>
            <sz val="10"/>
            <color indexed="81"/>
            <rFont val="Lucida Console"/>
            <family val="3"/>
          </rPr>
          <t>_x000D_
Informática</t>
        </r>
      </text>
    </comment>
    <comment ref="X769" authorId="0" shapeId="0" xr:uid="{C1E70D5B-574A-44DD-94DC-BA698FE057E7}">
      <text>
        <r>
          <rPr>
            <sz val="10"/>
            <color indexed="81"/>
            <rFont val="Lucida Console"/>
            <family val="3"/>
          </rPr>
          <t>_x000D_
COMPUT.SOFT. PROCES. EQUIP. SUPRI. COMP. ACESS. INFORMAT</t>
        </r>
      </text>
    </comment>
    <comment ref="Y769" authorId="0" shapeId="0" xr:uid="{F07D218A-0C30-49D3-9B37-E02D2D7B1D8F}">
      <text>
        <r>
          <rPr>
            <sz val="10"/>
            <color indexed="81"/>
            <rFont val="Lucida Console"/>
            <family val="3"/>
          </rPr>
          <t>_x000D_
CABEAMENTO, CONECTORES E TOMADAS</t>
        </r>
      </text>
    </comment>
    <comment ref="AW769" authorId="0" shapeId="0" xr:uid="{D173D295-D90E-4E6D-8CDF-ED827AB22C24}">
      <text>
        <r>
          <rPr>
            <sz val="10"/>
            <color indexed="81"/>
            <rFont val="Lucida Console"/>
            <family val="3"/>
          </rPr>
          <t>Tempo de Estoque (Meses)_x000D_
_x000D_
700,0</t>
        </r>
      </text>
    </comment>
    <comment ref="A770" authorId="0" shapeId="0" xr:uid="{F58969A3-33E0-4998-AE93-07B4D90B44B5}">
      <text>
        <r>
          <rPr>
            <sz val="10"/>
            <color indexed="81"/>
            <rFont val="Lucida Console"/>
            <family val="3"/>
          </rPr>
          <t>_x000D_
136564</t>
        </r>
      </text>
    </comment>
    <comment ref="B770" authorId="0" shapeId="0" xr:uid="{B5ADB8D9-17CD-4E5C-A683-C62FD2B852F1}">
      <text>
        <r>
          <rPr>
            <sz val="10"/>
            <color indexed="81"/>
            <rFont val="Lucida Console"/>
            <family val="3"/>
          </rPr>
          <t>DESCRIÇÃO DETALHADA_x000D_
CABO UTP 23 AWG X 4 PARES CATEGORIA 6,CM</t>
        </r>
      </text>
    </comment>
    <comment ref="W770" authorId="0" shapeId="0" xr:uid="{50252104-E91E-4125-8278-C44341BD4EF1}">
      <text>
        <r>
          <rPr>
            <sz val="10"/>
            <color indexed="81"/>
            <rFont val="Lucida Console"/>
            <family val="3"/>
          </rPr>
          <t>_x000D_
Informática</t>
        </r>
      </text>
    </comment>
    <comment ref="X770" authorId="0" shapeId="0" xr:uid="{27B160FE-8F81-4B38-AAED-7A714DAF4F7F}">
      <text>
        <r>
          <rPr>
            <sz val="10"/>
            <color indexed="81"/>
            <rFont val="Lucida Console"/>
            <family val="3"/>
          </rPr>
          <t>_x000D_
COMPUT.SOFT. PROCES. EQUIP. SUPRI. COMP. ACESS. INFORMAT</t>
        </r>
      </text>
    </comment>
    <comment ref="Y770" authorId="0" shapeId="0" xr:uid="{96CB1FE1-6319-4499-AC57-0ECBC29FAEDE}">
      <text>
        <r>
          <rPr>
            <sz val="10"/>
            <color indexed="81"/>
            <rFont val="Lucida Console"/>
            <family val="3"/>
          </rPr>
          <t>_x000D_
CABEAMENTO, CONECTORES E TOMADAS</t>
        </r>
      </text>
    </comment>
    <comment ref="AW770" authorId="0" shapeId="0" xr:uid="{122043A3-2E38-40AC-91CD-AB10D64A4FF3}">
      <text>
        <r>
          <rPr>
            <sz val="10"/>
            <color indexed="81"/>
            <rFont val="Lucida Console"/>
            <family val="3"/>
          </rPr>
          <t>Tempo de Estoque (Meses)_x000D_
_x000D_
14.335,0</t>
        </r>
      </text>
    </comment>
    <comment ref="A771" authorId="0" shapeId="0" xr:uid="{C3879925-9927-47B0-B18E-CB825BF6ACED}">
      <text>
        <r>
          <rPr>
            <sz val="10"/>
            <color indexed="81"/>
            <rFont val="Lucida Console"/>
            <family val="3"/>
          </rPr>
          <t>_x000D_
27761</t>
        </r>
      </text>
    </comment>
    <comment ref="B771" authorId="0" shapeId="0" xr:uid="{96B32744-D54E-4E0E-A1CF-095FD3315005}">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771" authorId="0" shapeId="0" xr:uid="{4383D801-9218-4885-A8B9-83B026668169}">
      <text>
        <r>
          <rPr>
            <sz val="10"/>
            <color indexed="81"/>
            <rFont val="Lucida Console"/>
            <family val="3"/>
          </rPr>
          <t>_x000D_
DM-Hidráulica</t>
        </r>
      </text>
    </comment>
    <comment ref="X771" authorId="0" shapeId="0" xr:uid="{14CABB85-3373-4AEE-BB42-92996BB87B50}">
      <text>
        <r>
          <rPr>
            <sz val="10"/>
            <color indexed="81"/>
            <rFont val="Lucida Console"/>
            <family val="3"/>
          </rPr>
          <t>_x000D_
MATERIAL HIDRAULICO, CANOS, TUBOS, MANGUEIRAS, CONEXOES E ACESS.</t>
        </r>
      </text>
    </comment>
    <comment ref="Y771" authorId="0" shapeId="0" xr:uid="{E7D3E5AE-C158-4DF8-9ACA-0FEB1F765748}">
      <text>
        <r>
          <rPr>
            <sz val="10"/>
            <color indexed="81"/>
            <rFont val="Lucida Console"/>
            <family val="3"/>
          </rPr>
          <t>_x000D_
CANOS E TUBOS PLASTICOS</t>
        </r>
      </text>
    </comment>
    <comment ref="AW771" authorId="0" shapeId="0" xr:uid="{DC085B33-29AF-4587-BDE3-65D4AF3E2AD9}">
      <text>
        <r>
          <rPr>
            <sz val="10"/>
            <color indexed="81"/>
            <rFont val="Lucida Console"/>
            <family val="3"/>
          </rPr>
          <t>Tempo de Estoque (Meses)_x000D_
_x000D_
52,0</t>
        </r>
      </text>
    </comment>
    <comment ref="A772" authorId="0" shapeId="0" xr:uid="{D9BAF3E0-FA0C-4C5B-B279-E408484822ED}">
      <text>
        <r>
          <rPr>
            <sz val="10"/>
            <color indexed="81"/>
            <rFont val="Lucida Console"/>
            <family val="3"/>
          </rPr>
          <t>_x000D_
27764</t>
        </r>
      </text>
    </comment>
    <comment ref="B772" authorId="0" shapeId="0" xr:uid="{5E00C29E-BE51-47C7-9EC8-DEAB4088A07C}">
      <text>
        <r>
          <rPr>
            <sz val="10"/>
            <color indexed="81"/>
            <rFont val="Lucida Console"/>
            <family val="3"/>
          </rPr>
          <t>DESCRIÇÃO DETALHADA_x000D_
TUBO DE POLIETILENO DE 1" - (PONTA VERMELHA)</t>
        </r>
      </text>
    </comment>
    <comment ref="W772" authorId="0" shapeId="0" xr:uid="{166743B3-8E80-4EC5-8B42-53EDEEF42317}">
      <text>
        <r>
          <rPr>
            <sz val="10"/>
            <color indexed="81"/>
            <rFont val="Lucida Console"/>
            <family val="3"/>
          </rPr>
          <t>_x000D_
DM-Hidráulica</t>
        </r>
      </text>
    </comment>
    <comment ref="X772" authorId="0" shapeId="0" xr:uid="{39AD815C-E877-42B7-AF66-C216C7DD0FFC}">
      <text>
        <r>
          <rPr>
            <sz val="10"/>
            <color indexed="81"/>
            <rFont val="Lucida Console"/>
            <family val="3"/>
          </rPr>
          <t>_x000D_
MATERIAL HIDRAULICO, CANOS, TUBOS, MANGUEIRAS, CONEXOES E ACESS.</t>
        </r>
      </text>
    </comment>
    <comment ref="Y772" authorId="0" shapeId="0" xr:uid="{89836E84-29E3-44D3-9385-CB4919711E48}">
      <text>
        <r>
          <rPr>
            <sz val="10"/>
            <color indexed="81"/>
            <rFont val="Lucida Console"/>
            <family val="3"/>
          </rPr>
          <t>_x000D_
CANOS E TUBOS PLASTICOS</t>
        </r>
      </text>
    </comment>
    <comment ref="AW772" authorId="0" shapeId="0" xr:uid="{D70495EA-9EDF-47F4-9657-8BEBE150B01B}">
      <text>
        <r>
          <rPr>
            <sz val="10"/>
            <color indexed="81"/>
            <rFont val="Lucida Console"/>
            <family val="3"/>
          </rPr>
          <t>Tempo de Estoque (Meses)_x000D_
_x000D_
560,0</t>
        </r>
      </text>
    </comment>
    <comment ref="A773" authorId="0" shapeId="0" xr:uid="{89703A35-CF0D-4950-B0E7-0B705F82D22D}">
      <text>
        <r>
          <rPr>
            <sz val="10"/>
            <color indexed="81"/>
            <rFont val="Lucida Console"/>
            <family val="3"/>
          </rPr>
          <t>_x000D_
28512</t>
        </r>
      </text>
    </comment>
    <comment ref="B773" authorId="0" shapeId="0" xr:uid="{038A1AF7-BFB2-4B4D-B1BF-01964206585E}">
      <text>
        <r>
          <rPr>
            <sz val="10"/>
            <color indexed="81"/>
            <rFont val="Lucida Console"/>
            <family val="3"/>
          </rPr>
          <t>DESCRIÇÃO DETALHADA_x000D_
TUBO DE POLIETILENO DE 3/4" -  (PONTA VERMELHA)</t>
        </r>
      </text>
    </comment>
    <comment ref="W773" authorId="0" shapeId="0" xr:uid="{7FAA3246-8132-4E96-A0FC-C5A7744E015D}">
      <text>
        <r>
          <rPr>
            <sz val="10"/>
            <color indexed="81"/>
            <rFont val="Lucida Console"/>
            <family val="3"/>
          </rPr>
          <t>_x000D_
DM-Hidráulica</t>
        </r>
      </text>
    </comment>
    <comment ref="X773" authorId="0" shapeId="0" xr:uid="{BA467F73-39FE-4A0D-9A15-C86F95A69923}">
      <text>
        <r>
          <rPr>
            <sz val="10"/>
            <color indexed="81"/>
            <rFont val="Lucida Console"/>
            <family val="3"/>
          </rPr>
          <t>_x000D_
MATERIAL HIDRAULICO, CANOS, TUBOS, MANGUEIRAS, CONEXOES E ACESS.</t>
        </r>
      </text>
    </comment>
    <comment ref="Y773" authorId="0" shapeId="0" xr:uid="{B6229EEE-B02E-4FE9-AFF9-243D4871FD49}">
      <text>
        <r>
          <rPr>
            <sz val="10"/>
            <color indexed="81"/>
            <rFont val="Lucida Console"/>
            <family val="3"/>
          </rPr>
          <t>_x000D_
CANOS E TUBOS PLASTICOS</t>
        </r>
      </text>
    </comment>
    <comment ref="AW773" authorId="0" shapeId="0" xr:uid="{A1DDBB7C-7751-4794-BFD6-B58FDCA81509}">
      <text>
        <r>
          <rPr>
            <sz val="10"/>
            <color indexed="81"/>
            <rFont val="Lucida Console"/>
            <family val="3"/>
          </rPr>
          <t>Tempo de Estoque (Meses)_x000D_
_x000D_
404,0</t>
        </r>
      </text>
    </comment>
    <comment ref="A774" authorId="0" shapeId="0" xr:uid="{2F0048EE-E1C9-47FA-9879-4992EB8E1FD5}">
      <text>
        <r>
          <rPr>
            <sz val="10"/>
            <color indexed="81"/>
            <rFont val="Lucida Console"/>
            <family val="3"/>
          </rPr>
          <t>_x000D_
123710</t>
        </r>
      </text>
    </comment>
    <comment ref="B774" authorId="0" shapeId="0" xr:uid="{17DF72DE-C12D-4116-A3FF-EDAE91CF456E}">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774" authorId="0" shapeId="0" xr:uid="{56009253-1147-43C5-BBB3-14B66EC1963E}">
      <text>
        <r>
          <rPr>
            <sz val="10"/>
            <color indexed="81"/>
            <rFont val="Lucida Console"/>
            <family val="3"/>
          </rPr>
          <t>_x000D_
DM-Construção</t>
        </r>
      </text>
    </comment>
    <comment ref="X774" authorId="0" shapeId="0" xr:uid="{D606C799-7860-4A25-B5E2-702B53BCD842}">
      <text>
        <r>
          <rPr>
            <sz val="10"/>
            <color indexed="81"/>
            <rFont val="Lucida Console"/>
            <family val="3"/>
          </rPr>
          <t>_x000D_
MATERIAL HIDRAULICO, CANOS, TUBOS, MANGUEIRAS, CONEXOES E ACESS.</t>
        </r>
      </text>
    </comment>
    <comment ref="Y774" authorId="0" shapeId="0" xr:uid="{0EFE17F2-3B0B-405E-967C-BC93B1DD17C1}">
      <text>
        <r>
          <rPr>
            <sz val="10"/>
            <color indexed="81"/>
            <rFont val="Lucida Console"/>
            <family val="3"/>
          </rPr>
          <t>_x000D_
MANGUEIRAS PLASTICAS E METALICAS</t>
        </r>
      </text>
    </comment>
    <comment ref="AW774" authorId="0" shapeId="0" xr:uid="{06F11011-5C27-4BC9-8CFC-04893896273F}">
      <text>
        <r>
          <rPr>
            <sz val="10"/>
            <color indexed="81"/>
            <rFont val="Lucida Console"/>
            <family val="3"/>
          </rPr>
          <t>Tempo de Estoque (Meses)_x000D_
_x000D_
73,0</t>
        </r>
      </text>
    </comment>
    <comment ref="A775" authorId="0" shapeId="0" xr:uid="{B7184A6A-6300-4061-BA78-EADBA989F738}">
      <text>
        <r>
          <rPr>
            <sz val="10"/>
            <color indexed="81"/>
            <rFont val="Lucida Console"/>
            <family val="3"/>
          </rPr>
          <t>_x000D_
13068</t>
        </r>
      </text>
    </comment>
    <comment ref="B775" authorId="0" shapeId="0" xr:uid="{FBF0DC8F-6ECF-411C-86F0-D06A30E8508D}">
      <text>
        <r>
          <rPr>
            <sz val="10"/>
            <color indexed="81"/>
            <rFont val="Lucida Console"/>
            <family val="3"/>
          </rPr>
          <t>DESCRIÇÃO DETALHADA_x000D_
TE DE REDUCAO PVC RIGIDO SOLDAVEL MARROM 1.1/2 X 3/4". A MARCA DEVERA VIR LITOGRAFADA NA PECA.</t>
        </r>
      </text>
    </comment>
    <comment ref="W775" authorId="0" shapeId="0" xr:uid="{ADBD3FA2-C8A8-469D-8BEE-213D8D17BBBA}">
      <text>
        <r>
          <rPr>
            <sz val="10"/>
            <color indexed="81"/>
            <rFont val="Lucida Console"/>
            <family val="3"/>
          </rPr>
          <t>_x000D_
DM-Hidráulica</t>
        </r>
      </text>
    </comment>
    <comment ref="X775" authorId="0" shapeId="0" xr:uid="{5F2E31EF-6662-429D-A332-EBA9AF5C6D33}">
      <text>
        <r>
          <rPr>
            <sz val="10"/>
            <color indexed="81"/>
            <rFont val="Lucida Console"/>
            <family val="3"/>
          </rPr>
          <t>_x000D_
MATERIAL HIDRAULICO, CANOS, TUBOS, MANGUEIRAS, CONEXOES E ACESS.</t>
        </r>
      </text>
    </comment>
    <comment ref="Y775" authorId="0" shapeId="0" xr:uid="{F13DD2D0-D66B-484D-AA86-0BF7710EB4DA}">
      <text>
        <r>
          <rPr>
            <sz val="10"/>
            <color indexed="81"/>
            <rFont val="Lucida Console"/>
            <family val="3"/>
          </rPr>
          <t>_x000D_
ADAP. LUVAS.TES CURVAS COTOVELOS PLUGS FLANGES.....</t>
        </r>
      </text>
    </comment>
    <comment ref="AW775" authorId="0" shapeId="0" xr:uid="{EF4146FE-EF07-414B-9C5C-DDC457EB2B9B}">
      <text>
        <r>
          <rPr>
            <sz val="10"/>
            <color indexed="81"/>
            <rFont val="Lucida Console"/>
            <family val="3"/>
          </rPr>
          <t>Tempo de Estoque (Meses)_x000D_
_x000D_
163,0</t>
        </r>
      </text>
    </comment>
    <comment ref="A776" authorId="0" shapeId="0" xr:uid="{B9ED66E0-F9EB-4641-8421-43C0029E5D18}">
      <text>
        <r>
          <rPr>
            <sz val="10"/>
            <color indexed="81"/>
            <rFont val="Lucida Console"/>
            <family val="3"/>
          </rPr>
          <t>_x000D_
13102</t>
        </r>
      </text>
    </comment>
    <comment ref="B776" authorId="0" shapeId="0" xr:uid="{7FB5A26E-29F4-4258-8B48-8E949E776DEE}">
      <text>
        <r>
          <rPr>
            <sz val="10"/>
            <color indexed="81"/>
            <rFont val="Lucida Console"/>
            <family val="3"/>
          </rPr>
          <t>DESCRIÇÃO DETALHADA_x000D_
TE DE REDUCAO EM PVC RIGIDO SOLDAVEL MARROM 1" X 3/4". A MARCA DEVERA VIR LITOGRAFADA NA PECA.</t>
        </r>
      </text>
    </comment>
    <comment ref="W776" authorId="0" shapeId="0" xr:uid="{664A6ED3-BFBB-46C3-843E-9A6C882E5A36}">
      <text>
        <r>
          <rPr>
            <sz val="10"/>
            <color indexed="81"/>
            <rFont val="Lucida Console"/>
            <family val="3"/>
          </rPr>
          <t>_x000D_
DM-Hidráulica</t>
        </r>
      </text>
    </comment>
    <comment ref="X776" authorId="0" shapeId="0" xr:uid="{C4F4601F-FA57-4882-AFB4-76B23685C471}">
      <text>
        <r>
          <rPr>
            <sz val="10"/>
            <color indexed="81"/>
            <rFont val="Lucida Console"/>
            <family val="3"/>
          </rPr>
          <t>_x000D_
MATERIAL HIDRAULICO, CANOS, TUBOS, MANGUEIRAS, CONEXOES E ACESS.</t>
        </r>
      </text>
    </comment>
    <comment ref="Y776" authorId="0" shapeId="0" xr:uid="{4A1DC033-D9BB-4CD9-8797-1D83A67D05A6}">
      <text>
        <r>
          <rPr>
            <sz val="10"/>
            <color indexed="81"/>
            <rFont val="Lucida Console"/>
            <family val="3"/>
          </rPr>
          <t>_x000D_
ADAP. LUVAS.TES CURVAS COTOVELOS PLUGS FLANGES.....</t>
        </r>
      </text>
    </comment>
    <comment ref="AW776" authorId="0" shapeId="0" xr:uid="{D99EC73F-371E-4A51-AFC0-18E635B55285}">
      <text>
        <r>
          <rPr>
            <sz val="10"/>
            <color indexed="81"/>
            <rFont val="Lucida Console"/>
            <family val="3"/>
          </rPr>
          <t>Tempo de Estoque (Meses)_x000D_
_x000D_
24,0</t>
        </r>
      </text>
    </comment>
    <comment ref="A777" authorId="0" shapeId="0" xr:uid="{6A1CB997-1054-406C-87F0-53F9F8597746}">
      <text>
        <r>
          <rPr>
            <sz val="10"/>
            <color indexed="81"/>
            <rFont val="Lucida Console"/>
            <family val="3"/>
          </rPr>
          <t>_x000D_
38534</t>
        </r>
      </text>
    </comment>
    <comment ref="B777" authorId="0" shapeId="0" xr:uid="{BE69498D-ECC6-45E2-A91E-E4E5CE02282A}">
      <text>
        <r>
          <rPr>
            <sz val="10"/>
            <color indexed="81"/>
            <rFont val="Lucida Console"/>
            <family val="3"/>
          </rPr>
          <t>DESCRIÇÃO DETALHADA_x000D_
COTOVELO 90 GRAUS EM PVC RIGIDO SOLDAVEL MARROM  - 2". A MARCA DEVERA VIR LITOGRAFADA NA PECA.</t>
        </r>
      </text>
    </comment>
    <comment ref="W777" authorId="0" shapeId="0" xr:uid="{7A6DC222-519F-4B82-985C-210914F962FB}">
      <text>
        <r>
          <rPr>
            <sz val="10"/>
            <color indexed="81"/>
            <rFont val="Lucida Console"/>
            <family val="3"/>
          </rPr>
          <t>_x000D_
DM-Hidráulica</t>
        </r>
      </text>
    </comment>
    <comment ref="X777" authorId="0" shapeId="0" xr:uid="{E6BE3FB1-4879-49CE-A316-7EC6EB66241B}">
      <text>
        <r>
          <rPr>
            <sz val="10"/>
            <color indexed="81"/>
            <rFont val="Lucida Console"/>
            <family val="3"/>
          </rPr>
          <t>_x000D_
MATERIAL HIDRAULICO, CANOS, TUBOS, MANGUEIRAS, CONEXOES E ACESS.</t>
        </r>
      </text>
    </comment>
    <comment ref="Y777" authorId="0" shapeId="0" xr:uid="{807540F4-3FB3-4E04-9445-83B175FD4B5F}">
      <text>
        <r>
          <rPr>
            <sz val="10"/>
            <color indexed="81"/>
            <rFont val="Lucida Console"/>
            <family val="3"/>
          </rPr>
          <t>_x000D_
ADAP. LUVAS.TES CURVAS COTOVELOS PLUGS FLANGES.....</t>
        </r>
      </text>
    </comment>
    <comment ref="AW777" authorId="0" shapeId="0" xr:uid="{86D78EA1-6379-4A21-B4E4-647E25B9E5EF}">
      <text>
        <r>
          <rPr>
            <sz val="10"/>
            <color indexed="81"/>
            <rFont val="Lucida Console"/>
            <family val="3"/>
          </rPr>
          <t>Tempo de Estoque (Meses)_x000D_
_x000D_
102,0</t>
        </r>
      </text>
    </comment>
    <comment ref="A778" authorId="0" shapeId="0" xr:uid="{A54FC1D1-6202-4DB3-B1F8-29BE6FF840B2}">
      <text>
        <r>
          <rPr>
            <sz val="10"/>
            <color indexed="81"/>
            <rFont val="Lucida Console"/>
            <family val="3"/>
          </rPr>
          <t>_x000D_
40772</t>
        </r>
      </text>
    </comment>
    <comment ref="B778" authorId="0" shapeId="0" xr:uid="{37CFE7C0-884A-4ABF-92DA-CD7870088F01}">
      <text>
        <r>
          <rPr>
            <sz val="10"/>
            <color indexed="81"/>
            <rFont val="Lucida Console"/>
            <family val="3"/>
          </rPr>
          <t xml:space="preserve">DESCRIÇÃO DETALHADA_x000D_
LUVA DE PVC RIGIDO SOLDAVEL MARROM DE 1.1/4", DE ACORDO COM A NBR 5648 E A MARCA, MEDIDA E NBR DEVERAO VIR LITOGRAFADA NA PECA </t>
        </r>
      </text>
    </comment>
    <comment ref="W778" authorId="0" shapeId="0" xr:uid="{458D7B9C-133C-486B-B1B7-B90F3B6F77B7}">
      <text>
        <r>
          <rPr>
            <sz val="10"/>
            <color indexed="81"/>
            <rFont val="Lucida Console"/>
            <family val="3"/>
          </rPr>
          <t>_x000D_
DM-Hidráulica</t>
        </r>
      </text>
    </comment>
    <comment ref="X778" authorId="0" shapeId="0" xr:uid="{5CA14AE3-1E86-4374-A9D9-4118A7C73986}">
      <text>
        <r>
          <rPr>
            <sz val="10"/>
            <color indexed="81"/>
            <rFont val="Lucida Console"/>
            <family val="3"/>
          </rPr>
          <t>_x000D_
MATERIAL HIDRAULICO, CANOS, TUBOS, MANGUEIRAS, CONEXOES E ACESS.</t>
        </r>
      </text>
    </comment>
    <comment ref="Y778" authorId="0" shapeId="0" xr:uid="{8C6DB2A1-DE30-4A1B-AFC2-8B102931DAFC}">
      <text>
        <r>
          <rPr>
            <sz val="10"/>
            <color indexed="81"/>
            <rFont val="Lucida Console"/>
            <family val="3"/>
          </rPr>
          <t>_x000D_
ADAP. LUVAS.TES CURVAS COTOVELOS PLUGS FLANGES.....</t>
        </r>
      </text>
    </comment>
    <comment ref="AW778" authorId="0" shapeId="0" xr:uid="{0177F7E5-DE44-4BF2-A5BF-E95D365EC16B}">
      <text>
        <r>
          <rPr>
            <sz val="10"/>
            <color indexed="81"/>
            <rFont val="Lucida Console"/>
            <family val="3"/>
          </rPr>
          <t>Tempo de Estoque (Meses)_x000D_
_x000D_
163,0</t>
        </r>
      </text>
    </comment>
    <comment ref="A779" authorId="0" shapeId="0" xr:uid="{FB76FEFA-C18A-4CF5-803D-329C8E997A8C}">
      <text>
        <r>
          <rPr>
            <sz val="10"/>
            <color indexed="81"/>
            <rFont val="Lucida Console"/>
            <family val="3"/>
          </rPr>
          <t>_x000D_
44789</t>
        </r>
      </text>
    </comment>
    <comment ref="B779" authorId="0" shapeId="0" xr:uid="{92201F52-CA04-43F4-B8AA-C7800E5246A7}">
      <text>
        <r>
          <rPr>
            <sz val="10"/>
            <color indexed="81"/>
            <rFont val="Lucida Console"/>
            <family val="3"/>
          </rPr>
          <t>DESCRIÇÃO DETALHADA_x000D_
LUVA DE REDUCAO EM PVC RIGIDO SOLDAVEL MARROM DE 2" X 1 1/2". A MARCA DEVERA VIR LITOGRAFADA NA PECA.</t>
        </r>
      </text>
    </comment>
    <comment ref="W779" authorId="0" shapeId="0" xr:uid="{0A4D9268-2F06-482C-9F8D-EC4D6D31182E}">
      <text>
        <r>
          <rPr>
            <sz val="10"/>
            <color indexed="81"/>
            <rFont val="Lucida Console"/>
            <family val="3"/>
          </rPr>
          <t>_x000D_
DM-Hidráulica</t>
        </r>
      </text>
    </comment>
    <comment ref="X779" authorId="0" shapeId="0" xr:uid="{3D0B3EAA-DC65-4CFE-ADC3-61531EDDDB96}">
      <text>
        <r>
          <rPr>
            <sz val="10"/>
            <color indexed="81"/>
            <rFont val="Lucida Console"/>
            <family val="3"/>
          </rPr>
          <t>_x000D_
MATERIAL HIDRAULICO, CANOS, TUBOS, MANGUEIRAS, CONEXOES E ACESS.</t>
        </r>
      </text>
    </comment>
    <comment ref="Y779" authorId="0" shapeId="0" xr:uid="{3232C385-F171-43EC-862E-59A1F5ACF826}">
      <text>
        <r>
          <rPr>
            <sz val="10"/>
            <color indexed="81"/>
            <rFont val="Lucida Console"/>
            <family val="3"/>
          </rPr>
          <t>_x000D_
ADAP. LUVAS.TES CURVAS COTOVELOS PLUGS FLANGES.....</t>
        </r>
      </text>
    </comment>
    <comment ref="AW779" authorId="0" shapeId="0" xr:uid="{642AB65B-4365-4A83-B3AF-F649363AA9B5}">
      <text>
        <r>
          <rPr>
            <sz val="10"/>
            <color indexed="81"/>
            <rFont val="Lucida Console"/>
            <family val="3"/>
          </rPr>
          <t>Tempo de Estoque (Meses)_x000D_
_x000D_
123,0</t>
        </r>
      </text>
    </comment>
    <comment ref="A780" authorId="0" shapeId="0" xr:uid="{E7231694-B215-4AD5-9F95-050F6456E7ED}">
      <text>
        <r>
          <rPr>
            <sz val="10"/>
            <color indexed="81"/>
            <rFont val="Lucida Console"/>
            <family val="3"/>
          </rPr>
          <t>_x000D_
64635</t>
        </r>
      </text>
    </comment>
    <comment ref="B780" authorId="0" shapeId="0" xr:uid="{332636A3-5088-424D-9F23-D9925D0C3074}">
      <text>
        <r>
          <rPr>
            <sz val="10"/>
            <color indexed="81"/>
            <rFont val="Lucida Console"/>
            <family val="3"/>
          </rPr>
          <t>DESCRIÇÃO DETALHADA_x000D_
LUVA DE REDUCAO EM PVC RIGIDO - BRANCA - 150 X 100 MM - 6"X 4" - PARA ESGOTO</t>
        </r>
      </text>
    </comment>
    <comment ref="W780" authorId="0" shapeId="0" xr:uid="{471284DF-D908-42D6-A0B8-8509DA00339E}">
      <text>
        <r>
          <rPr>
            <sz val="10"/>
            <color indexed="81"/>
            <rFont val="Lucida Console"/>
            <family val="3"/>
          </rPr>
          <t>_x000D_
DM-Hidráulica</t>
        </r>
      </text>
    </comment>
    <comment ref="X780" authorId="0" shapeId="0" xr:uid="{7FA06CF9-BE26-4AE0-884D-36495415ADE1}">
      <text>
        <r>
          <rPr>
            <sz val="10"/>
            <color indexed="81"/>
            <rFont val="Lucida Console"/>
            <family val="3"/>
          </rPr>
          <t>_x000D_
MATERIAL HIDRAULICO, CANOS, TUBOS, MANGUEIRAS, CONEXOES E ACESS.</t>
        </r>
      </text>
    </comment>
    <comment ref="Y780" authorId="0" shapeId="0" xr:uid="{A77E85D5-B26F-45FC-8CCE-BA5D3FC28818}">
      <text>
        <r>
          <rPr>
            <sz val="10"/>
            <color indexed="81"/>
            <rFont val="Lucida Console"/>
            <family val="3"/>
          </rPr>
          <t>_x000D_
ADAP. LUVAS.TES CURVAS COTOVELOS PLUGS FLANGES.....</t>
        </r>
      </text>
    </comment>
    <comment ref="AW780" authorId="0" shapeId="0" xr:uid="{71D6DC3F-6377-4E17-A399-CC1FD2A88368}">
      <text>
        <r>
          <rPr>
            <sz val="10"/>
            <color indexed="81"/>
            <rFont val="Lucida Console"/>
            <family val="3"/>
          </rPr>
          <t>Tempo de Estoque (Meses)_x000D_
_x000D_
70,0</t>
        </r>
      </text>
    </comment>
    <comment ref="A781" authorId="0" shapeId="0" xr:uid="{363FB995-776B-40A5-9976-A815CD21999D}">
      <text>
        <r>
          <rPr>
            <sz val="10"/>
            <color indexed="81"/>
            <rFont val="Lucida Console"/>
            <family val="3"/>
          </rPr>
          <t>_x000D_
64648</t>
        </r>
      </text>
    </comment>
    <comment ref="B781" authorId="0" shapeId="0" xr:uid="{78C01895-CB49-4EA8-9B18-4E8E1DB03A5C}">
      <text>
        <r>
          <rPr>
            <sz val="10"/>
            <color indexed="81"/>
            <rFont val="Lucida Console"/>
            <family val="3"/>
          </rPr>
          <t>DESCRIÇÃO DETALHADA_x000D_
TE EM PVC RIGIDO - SOLDAVEL - 90 GRAUS - 150 MM - 6" - PARAESGOTO</t>
        </r>
      </text>
    </comment>
    <comment ref="W781" authorId="0" shapeId="0" xr:uid="{EEA71428-9CC8-4939-8F4A-3F9040B4B90E}">
      <text>
        <r>
          <rPr>
            <sz val="10"/>
            <color indexed="81"/>
            <rFont val="Lucida Console"/>
            <family val="3"/>
          </rPr>
          <t>_x000D_
DM-Hidráulica</t>
        </r>
      </text>
    </comment>
    <comment ref="X781" authorId="0" shapeId="0" xr:uid="{5C1FBFD8-475D-4C4F-98BA-1314FDCBBE64}">
      <text>
        <r>
          <rPr>
            <sz val="10"/>
            <color indexed="81"/>
            <rFont val="Lucida Console"/>
            <family val="3"/>
          </rPr>
          <t>_x000D_
MATERIAL HIDRAULICO, CANOS, TUBOS, MANGUEIRAS, CONEXOES E ACESS.</t>
        </r>
      </text>
    </comment>
    <comment ref="Y781" authorId="0" shapeId="0" xr:uid="{0710C890-AC03-44C6-85DE-498830A6360B}">
      <text>
        <r>
          <rPr>
            <sz val="10"/>
            <color indexed="81"/>
            <rFont val="Lucida Console"/>
            <family val="3"/>
          </rPr>
          <t>_x000D_
ADAP. LUVAS.TES CURVAS COTOVELOS PLUGS FLANGES.....</t>
        </r>
      </text>
    </comment>
    <comment ref="AW781" authorId="0" shapeId="0" xr:uid="{9D7C6C9F-39DD-49FE-BDA6-0D3617021B48}">
      <text>
        <r>
          <rPr>
            <sz val="10"/>
            <color indexed="81"/>
            <rFont val="Lucida Console"/>
            <family val="3"/>
          </rPr>
          <t>Tempo de Estoque (Meses)_x000D_
_x000D_
24,0</t>
        </r>
      </text>
    </comment>
    <comment ref="A782" authorId="0" shapeId="0" xr:uid="{BF4EDB01-0B9E-4A1A-A63F-2E92C446F753}">
      <text>
        <r>
          <rPr>
            <sz val="10"/>
            <color indexed="81"/>
            <rFont val="Lucida Console"/>
            <family val="3"/>
          </rPr>
          <t>_x000D_
128229</t>
        </r>
      </text>
    </comment>
    <comment ref="B782" authorId="0" shapeId="0" xr:uid="{D24E55E2-E02E-4B12-8A58-2DECFEDBBAE6}">
      <text>
        <r>
          <rPr>
            <sz val="10"/>
            <color indexed="81"/>
            <rFont val="Lucida Console"/>
            <family val="3"/>
          </rPr>
          <t>DESCRIÇÃO DETALHADA_x000D_
CAP DE PVC MARROM PARA AGUA DE 50 MM  X  1 1/2" - DE ACORDO COM NBR 5648 E A MARCA, MEDIDA E NBR DEVERAO VIR LITOGRAFADA NA PECA</t>
        </r>
      </text>
    </comment>
    <comment ref="W782" authorId="0" shapeId="0" xr:uid="{4B9790C3-E711-4A2B-9D27-E4DF74A85C2F}">
      <text>
        <r>
          <rPr>
            <sz val="10"/>
            <color indexed="81"/>
            <rFont val="Lucida Console"/>
            <family val="3"/>
          </rPr>
          <t>_x000D_
DM-Hidráulica</t>
        </r>
      </text>
    </comment>
    <comment ref="X782" authorId="0" shapeId="0" xr:uid="{93E0752F-A699-4547-8004-B01B92961C5E}">
      <text>
        <r>
          <rPr>
            <sz val="10"/>
            <color indexed="81"/>
            <rFont val="Lucida Console"/>
            <family val="3"/>
          </rPr>
          <t>_x000D_
MATERIAL HIDRAULICO, CANOS, TUBOS, MANGUEIRAS, CONEXOES E ACESS.</t>
        </r>
      </text>
    </comment>
    <comment ref="Y782" authorId="0" shapeId="0" xr:uid="{93A28289-330F-4EEE-85DC-6C2BF068A815}">
      <text>
        <r>
          <rPr>
            <sz val="10"/>
            <color indexed="81"/>
            <rFont val="Lucida Console"/>
            <family val="3"/>
          </rPr>
          <t>_x000D_
ADAP. LUVAS.TES CURVAS COTOVELOS PLUGS FLANGES.....</t>
        </r>
      </text>
    </comment>
    <comment ref="AW782" authorId="0" shapeId="0" xr:uid="{C4F2CC30-698E-421E-8995-B1A377DF4843}">
      <text>
        <r>
          <rPr>
            <sz val="10"/>
            <color indexed="81"/>
            <rFont val="Lucida Console"/>
            <family val="3"/>
          </rPr>
          <t>Tempo de Estoque (Meses)_x000D_
_x000D_
108,0</t>
        </r>
      </text>
    </comment>
    <comment ref="A783" authorId="0" shapeId="0" xr:uid="{34379ADD-8029-42CA-97FE-7BC3C9C09AC5}">
      <text>
        <r>
          <rPr>
            <sz val="10"/>
            <color indexed="81"/>
            <rFont val="Lucida Console"/>
            <family val="3"/>
          </rPr>
          <t>_x000D_
141429</t>
        </r>
      </text>
    </comment>
    <comment ref="B783" authorId="0" shapeId="0" xr:uid="{06527E57-1754-4531-BC71-4B8435C73821}">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783" authorId="0" shapeId="0" xr:uid="{366540CD-C499-4A92-A8F5-E3751203AE5E}">
      <text>
        <r>
          <rPr>
            <sz val="10"/>
            <color indexed="81"/>
            <rFont val="Lucida Console"/>
            <family val="3"/>
          </rPr>
          <t>_x000D_
DM-Hidráulica</t>
        </r>
      </text>
    </comment>
    <comment ref="X783" authorId="0" shapeId="0" xr:uid="{66D4D516-FCAE-4E1D-ADD7-8FDE34E4AE4C}">
      <text>
        <r>
          <rPr>
            <sz val="10"/>
            <color indexed="81"/>
            <rFont val="Lucida Console"/>
            <family val="3"/>
          </rPr>
          <t>_x000D_
MATERIAL HIDRAULICO, CANOS, TUBOS, MANGUEIRAS, CONEXOES E ACESS.</t>
        </r>
      </text>
    </comment>
    <comment ref="Y783" authorId="0" shapeId="0" xr:uid="{25873E80-2B3B-45E2-9396-86FBED7C589E}">
      <text>
        <r>
          <rPr>
            <sz val="10"/>
            <color indexed="81"/>
            <rFont val="Lucida Console"/>
            <family val="3"/>
          </rPr>
          <t>_x000D_
TORNEIRAS VOLANTES CANOPLAS E ACESS. P/ MANGUEIRA</t>
        </r>
      </text>
    </comment>
    <comment ref="AW783" authorId="0" shapeId="0" xr:uid="{3D2F512C-1451-41B1-808E-9599DC9A9C48}">
      <text>
        <r>
          <rPr>
            <sz val="10"/>
            <color indexed="81"/>
            <rFont val="Lucida Console"/>
            <family val="3"/>
          </rPr>
          <t>Tempo de Estoque (Meses)_x000D_
_x000D_
607,0</t>
        </r>
      </text>
    </comment>
    <comment ref="A784" authorId="0" shapeId="0" xr:uid="{95C56F19-F1B9-443E-8D44-C77D6EA2F68D}">
      <text>
        <r>
          <rPr>
            <sz val="10"/>
            <color indexed="81"/>
            <rFont val="Lucida Console"/>
            <family val="3"/>
          </rPr>
          <t>_x000D_
141430</t>
        </r>
      </text>
    </comment>
    <comment ref="B784" authorId="0" shapeId="0" xr:uid="{067B745F-6500-408C-B089-464975100ED3}">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784" authorId="0" shapeId="0" xr:uid="{005985C3-239D-4CA5-A779-D4AE1E70A767}">
      <text>
        <r>
          <rPr>
            <sz val="10"/>
            <color indexed="81"/>
            <rFont val="Lucida Console"/>
            <family val="3"/>
          </rPr>
          <t>_x000D_
DM-Hidráulica</t>
        </r>
      </text>
    </comment>
    <comment ref="X784" authorId="0" shapeId="0" xr:uid="{A7973EDC-98B6-474C-8A37-3F533EE874F8}">
      <text>
        <r>
          <rPr>
            <sz val="10"/>
            <color indexed="81"/>
            <rFont val="Lucida Console"/>
            <family val="3"/>
          </rPr>
          <t>_x000D_
MATERIAL HIDRAULICO, CANOS, TUBOS, MANGUEIRAS, CONEXOES E ACESS.</t>
        </r>
      </text>
    </comment>
    <comment ref="Y784" authorId="0" shapeId="0" xr:uid="{806E15B4-A13F-42CE-A821-72294B4BE8E2}">
      <text>
        <r>
          <rPr>
            <sz val="10"/>
            <color indexed="81"/>
            <rFont val="Lucida Console"/>
            <family val="3"/>
          </rPr>
          <t>_x000D_
CHUVEIROS E DUCHAS</t>
        </r>
      </text>
    </comment>
    <comment ref="AW784" authorId="0" shapeId="0" xr:uid="{CBEA4E04-80A8-4A94-8999-025A6AAA9ACE}">
      <text>
        <r>
          <rPr>
            <sz val="10"/>
            <color indexed="81"/>
            <rFont val="Lucida Console"/>
            <family val="3"/>
          </rPr>
          <t>Tempo de Estoque (Meses)_x000D_
_x000D_
70,0</t>
        </r>
      </text>
    </comment>
    <comment ref="A785" authorId="0" shapeId="0" xr:uid="{23B8C4E4-3B93-450C-937B-917519BEE11E}">
      <text>
        <r>
          <rPr>
            <sz val="10"/>
            <color indexed="81"/>
            <rFont val="Lucida Console"/>
            <family val="3"/>
          </rPr>
          <t>_x000D_
105114</t>
        </r>
      </text>
    </comment>
    <comment ref="B785" authorId="0" shapeId="0" xr:uid="{8F0F4B70-E11C-442B-AC57-669186780C77}">
      <text>
        <r>
          <rPr>
            <sz val="10"/>
            <color indexed="81"/>
            <rFont val="Lucida Console"/>
            <family val="3"/>
          </rPr>
          <t>DESCRIÇÃO DETALHADA_x000D_
CAMISA DE BRIM, N° 2, CONFECCIONADA EM TECIDO 100% ALGODAO, NA COR AZUL MARINHO</t>
        </r>
      </text>
    </comment>
    <comment ref="W785" authorId="0" shapeId="0" xr:uid="{32B10CA0-3806-4107-9F48-7E07F991A671}">
      <text>
        <r>
          <rPr>
            <sz val="10"/>
            <color indexed="81"/>
            <rFont val="Lucida Console"/>
            <family val="3"/>
          </rPr>
          <t>_x000D_
SegMedTra</t>
        </r>
      </text>
    </comment>
    <comment ref="X785" authorId="0" shapeId="0" xr:uid="{16A7406D-D7AE-4580-8633-98EE7957ABD5}">
      <text>
        <r>
          <rPr>
            <sz val="10"/>
            <color indexed="81"/>
            <rFont val="Lucida Console"/>
            <family val="3"/>
          </rPr>
          <t>_x000D_
VEST., ART.P/ TOUC.E HIG. PES. MAQ., EQUIP., MAT.E ACES.</t>
        </r>
      </text>
    </comment>
    <comment ref="Y785" authorId="0" shapeId="0" xr:uid="{47A8F36D-500C-4DC7-8B5B-D2C903AB3F14}">
      <text>
        <r>
          <rPr>
            <sz val="10"/>
            <color indexed="81"/>
            <rFont val="Lucida Console"/>
            <family val="3"/>
          </rPr>
          <t>_x000D_
CAMISA E CAMISETA</t>
        </r>
      </text>
    </comment>
    <comment ref="AW785" authorId="0" shapeId="0" xr:uid="{5D4F349F-F90F-4506-8BDF-2288A4AAA1FC}">
      <text>
        <r>
          <rPr>
            <sz val="10"/>
            <color indexed="81"/>
            <rFont val="Lucida Console"/>
            <family val="3"/>
          </rPr>
          <t>Tempo de Estoque (Meses)_x000D_
_x000D_
39,0</t>
        </r>
      </text>
    </comment>
    <comment ref="A786" authorId="0" shapeId="0" xr:uid="{2C957740-64AF-4AD3-B4C9-B3C739DF246A}">
      <text>
        <r>
          <rPr>
            <sz val="10"/>
            <color indexed="81"/>
            <rFont val="Lucida Console"/>
            <family val="3"/>
          </rPr>
          <t>_x000D_
105115</t>
        </r>
      </text>
    </comment>
    <comment ref="B786" authorId="0" shapeId="0" xr:uid="{1A907996-DFD1-45C8-869B-6FB2AE74C758}">
      <text>
        <r>
          <rPr>
            <sz val="10"/>
            <color indexed="81"/>
            <rFont val="Lucida Console"/>
            <family val="3"/>
          </rPr>
          <t>DESCRIÇÃO DETALHADA_x000D_
CAMISA DE BRIM, N° 3, CONFECCIONADA EM TECIDO 100% ALGODAO, NA COR AZUL MARINHO</t>
        </r>
      </text>
    </comment>
    <comment ref="W786" authorId="0" shapeId="0" xr:uid="{CE2A5725-826F-4AFA-A728-5E49716124CF}">
      <text>
        <r>
          <rPr>
            <sz val="10"/>
            <color indexed="81"/>
            <rFont val="Lucida Console"/>
            <family val="3"/>
          </rPr>
          <t>_x000D_
SegMedTra</t>
        </r>
      </text>
    </comment>
    <comment ref="X786" authorId="0" shapeId="0" xr:uid="{E738A5D0-724B-48E0-9FF3-2BF28098211D}">
      <text>
        <r>
          <rPr>
            <sz val="10"/>
            <color indexed="81"/>
            <rFont val="Lucida Console"/>
            <family val="3"/>
          </rPr>
          <t>_x000D_
VEST., ART.P/ TOUC.E HIG. PES. MAQ., EQUIP., MAT.E ACES.</t>
        </r>
      </text>
    </comment>
    <comment ref="Y786" authorId="0" shapeId="0" xr:uid="{DB34803B-6652-4DE3-808F-EA5471A79558}">
      <text>
        <r>
          <rPr>
            <sz val="10"/>
            <color indexed="81"/>
            <rFont val="Lucida Console"/>
            <family val="3"/>
          </rPr>
          <t>_x000D_
CAMISA E CAMISETA</t>
        </r>
      </text>
    </comment>
    <comment ref="AW786" authorId="0" shapeId="0" xr:uid="{EF6E167F-2A65-4613-A06D-84DDE474A67C}">
      <text>
        <r>
          <rPr>
            <sz val="10"/>
            <color indexed="81"/>
            <rFont val="Lucida Console"/>
            <family val="3"/>
          </rPr>
          <t>Tempo de Estoque (Meses)_x000D_
_x000D_
24,0</t>
        </r>
      </text>
    </comment>
    <comment ref="A787" authorId="0" shapeId="0" xr:uid="{19D549C0-2D52-466A-8F8B-6A4DB15B76A5}">
      <text>
        <r>
          <rPr>
            <sz val="10"/>
            <color indexed="81"/>
            <rFont val="Lucida Console"/>
            <family val="3"/>
          </rPr>
          <t>_x000D_
105118</t>
        </r>
      </text>
    </comment>
    <comment ref="B787" authorId="0" shapeId="0" xr:uid="{1A8A5BE0-035E-4DE3-92E4-67E53229415A}">
      <text>
        <r>
          <rPr>
            <sz val="10"/>
            <color indexed="81"/>
            <rFont val="Lucida Console"/>
            <family val="3"/>
          </rPr>
          <t>DESCRIÇÃO DETALHADA_x000D_
CAMISA DE BRIM, N° 6, CONFECCIONADA EM TECIDO 100% ALGODAO, NA COR AZUL MARINHO</t>
        </r>
      </text>
    </comment>
    <comment ref="W787" authorId="0" shapeId="0" xr:uid="{45441E9F-6D7F-4276-8145-003156AEFBB2}">
      <text>
        <r>
          <rPr>
            <sz val="10"/>
            <color indexed="81"/>
            <rFont val="Lucida Console"/>
            <family val="3"/>
          </rPr>
          <t>_x000D_
SegMedTra</t>
        </r>
      </text>
    </comment>
    <comment ref="X787" authorId="0" shapeId="0" xr:uid="{680F415F-358B-4178-B1D8-236499FC4D27}">
      <text>
        <r>
          <rPr>
            <sz val="10"/>
            <color indexed="81"/>
            <rFont val="Lucida Console"/>
            <family val="3"/>
          </rPr>
          <t>_x000D_
VEST., ART.P/ TOUC.E HIG. PES. MAQ., EQUIP., MAT.E ACES.</t>
        </r>
      </text>
    </comment>
    <comment ref="Y787" authorId="0" shapeId="0" xr:uid="{F6306ACA-B746-4676-8EFC-7B212D5D60EE}">
      <text>
        <r>
          <rPr>
            <sz val="10"/>
            <color indexed="81"/>
            <rFont val="Lucida Console"/>
            <family val="3"/>
          </rPr>
          <t>_x000D_
CAMISA E CAMISETA</t>
        </r>
      </text>
    </comment>
    <comment ref="AW787" authorId="0" shapeId="0" xr:uid="{FFC64482-3A07-44AA-A2A6-077BA250B142}">
      <text>
        <r>
          <rPr>
            <sz val="10"/>
            <color indexed="81"/>
            <rFont val="Lucida Console"/>
            <family val="3"/>
          </rPr>
          <t>Tempo de Estoque (Meses)_x000D_
_x000D_
2,0</t>
        </r>
      </text>
    </comment>
    <comment ref="A788" authorId="0" shapeId="0" xr:uid="{9C5CA26C-EFAF-4066-AE56-66FB382FD8F9}">
      <text>
        <r>
          <rPr>
            <sz val="10"/>
            <color indexed="81"/>
            <rFont val="Lucida Console"/>
            <family val="3"/>
          </rPr>
          <t>_x000D_
136674</t>
        </r>
      </text>
    </comment>
    <comment ref="B788" authorId="0" shapeId="0" xr:uid="{D0B727FE-59B9-49F5-8FC2-7DA2ABB073D4}">
      <text>
        <r>
          <rPr>
            <sz val="10"/>
            <color indexed="81"/>
            <rFont val="Lucida Console"/>
            <family val="3"/>
          </rPr>
          <t>DESCRIÇÃO DETALHADA_x000D_
CAMISA DE BRIM N° 2, CONFECCIONADA EM TECIDO 100% ALGODAO, NA COR AZUL MARINHO, MANGAS LONGAS.</t>
        </r>
      </text>
    </comment>
    <comment ref="W788" authorId="0" shapeId="0" xr:uid="{F3CB716B-1DAB-4386-8AF7-244552E7F239}">
      <text>
        <r>
          <rPr>
            <sz val="10"/>
            <color indexed="81"/>
            <rFont val="Lucida Console"/>
            <family val="3"/>
          </rPr>
          <t>_x000D_
SegMedTra</t>
        </r>
      </text>
    </comment>
    <comment ref="X788" authorId="0" shapeId="0" xr:uid="{5AAF9749-492F-479C-8444-E73DFD6B1BD6}">
      <text>
        <r>
          <rPr>
            <sz val="10"/>
            <color indexed="81"/>
            <rFont val="Lucida Console"/>
            <family val="3"/>
          </rPr>
          <t>_x000D_
VEST., ART.P/ TOUC.E HIG. PES. MAQ., EQUIP., MAT.E ACES.</t>
        </r>
      </text>
    </comment>
    <comment ref="Y788" authorId="0" shapeId="0" xr:uid="{FE2CDB61-8AEB-48C4-89A6-883352DDC9DE}">
      <text>
        <r>
          <rPr>
            <sz val="10"/>
            <color indexed="81"/>
            <rFont val="Lucida Console"/>
            <family val="3"/>
          </rPr>
          <t>_x000D_
CAMISA E CAMISETA</t>
        </r>
      </text>
    </comment>
    <comment ref="AW788" authorId="0" shapeId="0" xr:uid="{6CF942AA-468E-4DAC-8B6B-56C74E272813}">
      <text>
        <r>
          <rPr>
            <sz val="10"/>
            <color indexed="81"/>
            <rFont val="Lucida Console"/>
            <family val="3"/>
          </rPr>
          <t>Tempo de Estoque (Meses)_x000D_
_x000D_
6,0</t>
        </r>
      </text>
    </comment>
    <comment ref="A789" authorId="0" shapeId="0" xr:uid="{45111028-88AE-4CF8-A469-BD41CDB11719}">
      <text>
        <r>
          <rPr>
            <sz val="10"/>
            <color indexed="81"/>
            <rFont val="Lucida Console"/>
            <family val="3"/>
          </rPr>
          <t>_x000D_
136675</t>
        </r>
      </text>
    </comment>
    <comment ref="B789" authorId="0" shapeId="0" xr:uid="{D3667E27-0B80-4C4A-9A44-0A07BCFA48DE}">
      <text>
        <r>
          <rPr>
            <sz val="10"/>
            <color indexed="81"/>
            <rFont val="Lucida Console"/>
            <family val="3"/>
          </rPr>
          <t>DESCRIÇÃO DETALHADA_x000D_
CAMISA DE BRIM N° 3, CONFECCIONADA EM TECIDO 100% ALGODAO, NA COR AZUL MARINHO, MANGAS LONGAS.</t>
        </r>
      </text>
    </comment>
    <comment ref="W789" authorId="0" shapeId="0" xr:uid="{CBB345A9-6366-448B-BDBE-4764E93AA4C9}">
      <text>
        <r>
          <rPr>
            <sz val="10"/>
            <color indexed="81"/>
            <rFont val="Lucida Console"/>
            <family val="3"/>
          </rPr>
          <t>_x000D_
SegMedTra</t>
        </r>
      </text>
    </comment>
    <comment ref="X789" authorId="0" shapeId="0" xr:uid="{BC14113C-9AA9-47C7-82B5-D7BC4F2068F7}">
      <text>
        <r>
          <rPr>
            <sz val="10"/>
            <color indexed="81"/>
            <rFont val="Lucida Console"/>
            <family val="3"/>
          </rPr>
          <t>_x000D_
VEST., ART.P/ TOUC.E HIG. PES. MAQ., EQUIP., MAT.E ACES.</t>
        </r>
      </text>
    </comment>
    <comment ref="Y789" authorId="0" shapeId="0" xr:uid="{F9B4535C-A6C5-4303-8FF8-30A853C6EC6F}">
      <text>
        <r>
          <rPr>
            <sz val="10"/>
            <color indexed="81"/>
            <rFont val="Lucida Console"/>
            <family val="3"/>
          </rPr>
          <t>_x000D_
CAMISA E CAMISETA</t>
        </r>
      </text>
    </comment>
    <comment ref="AW789" authorId="0" shapeId="0" xr:uid="{F2B73BD3-EC8C-47C2-9037-0F7201EDC9A8}">
      <text>
        <r>
          <rPr>
            <sz val="10"/>
            <color indexed="81"/>
            <rFont val="Lucida Console"/>
            <family val="3"/>
          </rPr>
          <t>Tempo de Estoque (Meses)_x000D_
_x000D_
2,0</t>
        </r>
      </text>
    </comment>
    <comment ref="A790" authorId="0" shapeId="0" xr:uid="{F2D113DC-4B0E-4F89-85E7-1F5A3963DEBA}">
      <text>
        <r>
          <rPr>
            <sz val="10"/>
            <color indexed="81"/>
            <rFont val="Lucida Console"/>
            <family val="3"/>
          </rPr>
          <t>_x000D_
105106</t>
        </r>
      </text>
    </comment>
    <comment ref="B790" authorId="0" shapeId="0" xr:uid="{14E156ED-770E-41BA-B94C-4D56CF863654}">
      <text>
        <r>
          <rPr>
            <sz val="10"/>
            <color indexed="81"/>
            <rFont val="Lucida Console"/>
            <family val="3"/>
          </rPr>
          <t>DESCRIÇÃO DETALHADA_x000D_
CALCA DE BRIM N° 40, CONFECCIONADA EM TECIDO MISTO 67% ALGODAO NA COR AZUL MARINHO</t>
        </r>
      </text>
    </comment>
    <comment ref="W790" authorId="0" shapeId="0" xr:uid="{EA663D16-0DA2-45A1-B939-BD5E41548787}">
      <text>
        <r>
          <rPr>
            <sz val="10"/>
            <color indexed="81"/>
            <rFont val="Lucida Console"/>
            <family val="3"/>
          </rPr>
          <t>_x000D_
SegMedTra</t>
        </r>
      </text>
    </comment>
    <comment ref="X790" authorId="0" shapeId="0" xr:uid="{4DB9001B-771D-48EB-B536-1029A5B2BB59}">
      <text>
        <r>
          <rPr>
            <sz val="10"/>
            <color indexed="81"/>
            <rFont val="Lucida Console"/>
            <family val="3"/>
          </rPr>
          <t>_x000D_
VEST., ART.P/ TOUC.E HIG. PES. MAQ., EQUIP., MAT.E ACES.</t>
        </r>
      </text>
    </comment>
    <comment ref="Y790" authorId="0" shapeId="0" xr:uid="{4686629D-79EA-4510-99ED-017C61A0AA4D}">
      <text>
        <r>
          <rPr>
            <sz val="10"/>
            <color indexed="81"/>
            <rFont val="Lucida Console"/>
            <family val="3"/>
          </rPr>
          <t>_x000D_
UNIFORME P/ USO CIVIL - VESTIMENTA</t>
        </r>
      </text>
    </comment>
    <comment ref="AW790" authorId="0" shapeId="0" xr:uid="{6DACF103-4906-47F6-BA48-6D625440C611}">
      <text>
        <r>
          <rPr>
            <sz val="10"/>
            <color indexed="81"/>
            <rFont val="Lucida Console"/>
            <family val="3"/>
          </rPr>
          <t>Tempo de Estoque (Meses)_x000D_
_x000D_
13,0</t>
        </r>
      </text>
    </comment>
    <comment ref="A791" authorId="0" shapeId="0" xr:uid="{DC3D493F-4F33-46F2-BDD7-BDF298BCA02B}">
      <text>
        <r>
          <rPr>
            <sz val="10"/>
            <color indexed="81"/>
            <rFont val="Lucida Console"/>
            <family val="3"/>
          </rPr>
          <t>_x000D_
105107</t>
        </r>
      </text>
    </comment>
    <comment ref="B791" authorId="0" shapeId="0" xr:uid="{44FB9E9B-60CB-4C2E-924C-200434970E4E}">
      <text>
        <r>
          <rPr>
            <sz val="10"/>
            <color indexed="81"/>
            <rFont val="Lucida Console"/>
            <family val="3"/>
          </rPr>
          <t>DESCRIÇÃO DETALHADA_x000D_
CALCA DE BRIM N° 42, CONFECCIONADA EM TECIDO MISTO 67% ALGODAO NA COR AZUL MARINHO</t>
        </r>
      </text>
    </comment>
    <comment ref="W791" authorId="0" shapeId="0" xr:uid="{32E44D5F-7DDC-44C2-9E77-69D3F8549F18}">
      <text>
        <r>
          <rPr>
            <sz val="10"/>
            <color indexed="81"/>
            <rFont val="Lucida Console"/>
            <family val="3"/>
          </rPr>
          <t>_x000D_
SegMedTra</t>
        </r>
      </text>
    </comment>
    <comment ref="X791" authorId="0" shapeId="0" xr:uid="{2D67460C-F890-400E-9941-3FA09177B72F}">
      <text>
        <r>
          <rPr>
            <sz val="10"/>
            <color indexed="81"/>
            <rFont val="Lucida Console"/>
            <family val="3"/>
          </rPr>
          <t>_x000D_
VEST., ART.P/ TOUC.E HIG. PES. MAQ., EQUIP., MAT.E ACES.</t>
        </r>
      </text>
    </comment>
    <comment ref="Y791" authorId="0" shapeId="0" xr:uid="{30353A12-568F-441D-A8FE-E070517988F4}">
      <text>
        <r>
          <rPr>
            <sz val="10"/>
            <color indexed="81"/>
            <rFont val="Lucida Console"/>
            <family val="3"/>
          </rPr>
          <t>_x000D_
UNIFORME P/ USO CIVIL - VESTIMENTA</t>
        </r>
      </text>
    </comment>
    <comment ref="AW791" authorId="0" shapeId="0" xr:uid="{D0629E8E-A3E6-4DE1-82B6-B8FBD1AD2123}">
      <text>
        <r>
          <rPr>
            <sz val="10"/>
            <color indexed="81"/>
            <rFont val="Lucida Console"/>
            <family val="3"/>
          </rPr>
          <t>Tempo de Estoque (Meses)_x000D_
_x000D_
8,0</t>
        </r>
      </text>
    </comment>
    <comment ref="A792" authorId="0" shapeId="0" xr:uid="{10554234-190C-46C5-98DB-78FA799C65F2}">
      <text>
        <r>
          <rPr>
            <sz val="10"/>
            <color indexed="81"/>
            <rFont val="Lucida Console"/>
            <family val="3"/>
          </rPr>
          <t>_x000D_
105108</t>
        </r>
      </text>
    </comment>
    <comment ref="B792" authorId="0" shapeId="0" xr:uid="{8AD5B53A-DCAA-4543-B3A0-15976AB0708F}">
      <text>
        <r>
          <rPr>
            <sz val="10"/>
            <color indexed="81"/>
            <rFont val="Lucida Console"/>
            <family val="3"/>
          </rPr>
          <t>DESCRIÇÃO DETALHADA_x000D_
CALCA DE BRIM N° 44, CONFECCIONADA EM TECIDO MISTO 67% ALGODAO NA COR AZUL MARINHO</t>
        </r>
      </text>
    </comment>
    <comment ref="W792" authorId="0" shapeId="0" xr:uid="{680F9AA3-7082-4286-BBB4-1A65ADBDBB8B}">
      <text>
        <r>
          <rPr>
            <sz val="10"/>
            <color indexed="81"/>
            <rFont val="Lucida Console"/>
            <family val="3"/>
          </rPr>
          <t>_x000D_
SegMedTra</t>
        </r>
      </text>
    </comment>
    <comment ref="X792" authorId="0" shapeId="0" xr:uid="{C5FFCD27-CF5A-410D-BEB0-478220585E0E}">
      <text>
        <r>
          <rPr>
            <sz val="10"/>
            <color indexed="81"/>
            <rFont val="Lucida Console"/>
            <family val="3"/>
          </rPr>
          <t>_x000D_
VEST., ART.P/ TOUC.E HIG. PES. MAQ., EQUIP., MAT.E ACES.</t>
        </r>
      </text>
    </comment>
    <comment ref="Y792" authorId="0" shapeId="0" xr:uid="{0C4DDF6C-1175-4D58-9817-E88197B6A405}">
      <text>
        <r>
          <rPr>
            <sz val="10"/>
            <color indexed="81"/>
            <rFont val="Lucida Console"/>
            <family val="3"/>
          </rPr>
          <t>_x000D_
UNIFORME P/ USO CIVIL - VESTIMENTA</t>
        </r>
      </text>
    </comment>
    <comment ref="AW792" authorId="0" shapeId="0" xr:uid="{B679284F-7630-452E-A9DE-64CA12380117}">
      <text>
        <r>
          <rPr>
            <sz val="10"/>
            <color indexed="81"/>
            <rFont val="Lucida Console"/>
            <family val="3"/>
          </rPr>
          <t>Tempo de Estoque (Meses)_x000D_
_x000D_
23,0</t>
        </r>
      </text>
    </comment>
    <comment ref="A793" authorId="0" shapeId="0" xr:uid="{9052D301-11EB-4C29-AF87-AA556F1A7BAC}">
      <text>
        <r>
          <rPr>
            <sz val="10"/>
            <color indexed="81"/>
            <rFont val="Lucida Console"/>
            <family val="3"/>
          </rPr>
          <t>_x000D_
105110</t>
        </r>
      </text>
    </comment>
    <comment ref="B793" authorId="0" shapeId="0" xr:uid="{DE54D781-8586-42D6-A5D3-D9B255B856BD}">
      <text>
        <r>
          <rPr>
            <sz val="10"/>
            <color indexed="81"/>
            <rFont val="Lucida Console"/>
            <family val="3"/>
          </rPr>
          <t>DESCRIÇÃO DETALHADA_x000D_
CALCA DE BRIM N° 48, CONFECCIONADA EM TECIDO MISTO 67% ALGODAO NA COR AZUL MARINHO</t>
        </r>
      </text>
    </comment>
    <comment ref="W793" authorId="0" shapeId="0" xr:uid="{7B9DB904-A8A5-4541-9075-FE381B9936AB}">
      <text>
        <r>
          <rPr>
            <sz val="10"/>
            <color indexed="81"/>
            <rFont val="Lucida Console"/>
            <family val="3"/>
          </rPr>
          <t>_x000D_
SegMedTra</t>
        </r>
      </text>
    </comment>
    <comment ref="X793" authorId="0" shapeId="0" xr:uid="{54D60AB5-4156-46B0-944F-A4B9FF00CAFE}">
      <text>
        <r>
          <rPr>
            <sz val="10"/>
            <color indexed="81"/>
            <rFont val="Lucida Console"/>
            <family val="3"/>
          </rPr>
          <t>_x000D_
VEST., ART.P/ TOUC.E HIG. PES. MAQ., EQUIP., MAT.E ACES.</t>
        </r>
      </text>
    </comment>
    <comment ref="Y793" authorId="0" shapeId="0" xr:uid="{5E1F03CE-6F2E-4CF7-9D4B-023754720B7C}">
      <text>
        <r>
          <rPr>
            <sz val="10"/>
            <color indexed="81"/>
            <rFont val="Lucida Console"/>
            <family val="3"/>
          </rPr>
          <t>_x000D_
UNIFORME P/ USO CIVIL - VESTIMENTA</t>
        </r>
      </text>
    </comment>
    <comment ref="AW793" authorId="0" shapeId="0" xr:uid="{7374209B-8F2C-4970-BB5D-B0F95F632052}">
      <text>
        <r>
          <rPr>
            <sz val="10"/>
            <color indexed="81"/>
            <rFont val="Lucida Console"/>
            <family val="3"/>
          </rPr>
          <t>Tempo de Estoque (Meses)_x000D_
_x000D_
12,0</t>
        </r>
      </text>
    </comment>
    <comment ref="A794" authorId="0" shapeId="0" xr:uid="{A0810C3D-6EC2-4232-A79F-6A03B72BEA91}">
      <text>
        <r>
          <rPr>
            <sz val="10"/>
            <color indexed="81"/>
            <rFont val="Lucida Console"/>
            <family val="3"/>
          </rPr>
          <t>_x000D_
105112</t>
        </r>
      </text>
    </comment>
    <comment ref="B794" authorId="0" shapeId="0" xr:uid="{7E079973-28F2-4E02-AB89-85D4C916D69A}">
      <text>
        <r>
          <rPr>
            <sz val="10"/>
            <color indexed="81"/>
            <rFont val="Lucida Console"/>
            <family val="3"/>
          </rPr>
          <t>DESCRIÇÃO DETALHADA_x000D_
CALCA DE BRIM N° 52, CONFECCIONADA EM TECIDO MISTO 67% ALGODAO NA COR AZUL MARINHO</t>
        </r>
      </text>
    </comment>
    <comment ref="W794" authorId="0" shapeId="0" xr:uid="{DD01238E-5D1A-49F8-9D65-52F48249B9F4}">
      <text>
        <r>
          <rPr>
            <sz val="10"/>
            <color indexed="81"/>
            <rFont val="Lucida Console"/>
            <family val="3"/>
          </rPr>
          <t>_x000D_
SegMedTra</t>
        </r>
      </text>
    </comment>
    <comment ref="X794" authorId="0" shapeId="0" xr:uid="{E753038F-6B58-4CCB-AEFF-932741DF9625}">
      <text>
        <r>
          <rPr>
            <sz val="10"/>
            <color indexed="81"/>
            <rFont val="Lucida Console"/>
            <family val="3"/>
          </rPr>
          <t>_x000D_
VEST., ART.P/ TOUC.E HIG. PES. MAQ., EQUIP., MAT.E ACES.</t>
        </r>
      </text>
    </comment>
    <comment ref="Y794" authorId="0" shapeId="0" xr:uid="{5E48C336-7439-457B-BE90-F11D5EE3339E}">
      <text>
        <r>
          <rPr>
            <sz val="10"/>
            <color indexed="81"/>
            <rFont val="Lucida Console"/>
            <family val="3"/>
          </rPr>
          <t>_x000D_
UNIFORME P/ USO CIVIL - VESTIMENTA</t>
        </r>
      </text>
    </comment>
    <comment ref="AW794" authorId="0" shapeId="0" xr:uid="{2CCFCF46-76D5-43C8-A39A-72FFBCBEBA07}">
      <text>
        <r>
          <rPr>
            <sz val="10"/>
            <color indexed="81"/>
            <rFont val="Lucida Console"/>
            <family val="3"/>
          </rPr>
          <t>Tempo de Estoque (Meses)_x000D_
_x000D_
4,0</t>
        </r>
      </text>
    </comment>
    <comment ref="A795" authorId="0" shapeId="0" xr:uid="{D709726B-03DD-4A11-BEFE-940512DAFB8E}">
      <text>
        <r>
          <rPr>
            <sz val="10"/>
            <color indexed="81"/>
            <rFont val="Lucida Console"/>
            <family val="3"/>
          </rPr>
          <t>_x000D_
105704</t>
        </r>
      </text>
    </comment>
    <comment ref="B795" authorId="0" shapeId="0" xr:uid="{6F74F9CF-C6E8-4C0C-AB81-9A318E891B0B}">
      <text>
        <r>
          <rPr>
            <sz val="10"/>
            <color indexed="81"/>
            <rFont val="Lucida Console"/>
            <family val="3"/>
          </rPr>
          <t>DESCRIÇÃO DETALHADA_x000D_
CALCA DE BRIM N° 56, CONFECCIONADA EM TECIDO MISTO 67% ALGODAO NA COR AZUL MARINHO</t>
        </r>
      </text>
    </comment>
    <comment ref="W795" authorId="0" shapeId="0" xr:uid="{45A267C1-3982-4717-A450-5F78E7AC3B95}">
      <text>
        <r>
          <rPr>
            <sz val="10"/>
            <color indexed="81"/>
            <rFont val="Lucida Console"/>
            <family val="3"/>
          </rPr>
          <t>_x000D_
SegMedTra</t>
        </r>
      </text>
    </comment>
    <comment ref="X795" authorId="0" shapeId="0" xr:uid="{5D412C40-10F0-4C13-9695-525C31FB4E06}">
      <text>
        <r>
          <rPr>
            <sz val="10"/>
            <color indexed="81"/>
            <rFont val="Lucida Console"/>
            <family val="3"/>
          </rPr>
          <t>_x000D_
VEST., ART.P/ TOUC.E HIG. PES. MAQ., EQUIP., MAT.E ACES.</t>
        </r>
      </text>
    </comment>
    <comment ref="Y795" authorId="0" shapeId="0" xr:uid="{3899DFBF-E25C-4DE7-89A3-77EC0931A56D}">
      <text>
        <r>
          <rPr>
            <sz val="10"/>
            <color indexed="81"/>
            <rFont val="Lucida Console"/>
            <family val="3"/>
          </rPr>
          <t>_x000D_
UNIFORME P/ USO CIVIL - VESTIMENTA</t>
        </r>
      </text>
    </comment>
    <comment ref="AW795" authorId="0" shapeId="0" xr:uid="{81BE0848-F29C-443C-94F5-12E3FFE6D7F3}">
      <text>
        <r>
          <rPr>
            <sz val="10"/>
            <color indexed="81"/>
            <rFont val="Lucida Console"/>
            <family val="3"/>
          </rPr>
          <t>Tempo de Estoque (Meses)_x000D_
_x000D_
20,0</t>
        </r>
      </text>
    </comment>
    <comment ref="A796" authorId="0" shapeId="0" xr:uid="{35E16F3B-B592-4B8C-9783-4316A288072D}">
      <text>
        <r>
          <rPr>
            <sz val="10"/>
            <color indexed="81"/>
            <rFont val="Lucida Console"/>
            <family val="3"/>
          </rPr>
          <t>_x000D_
127105</t>
        </r>
      </text>
    </comment>
    <comment ref="B796" authorId="0" shapeId="0" xr:uid="{93702C57-5C41-4738-ABEA-B82237DE080E}">
      <text>
        <r>
          <rPr>
            <sz val="10"/>
            <color indexed="81"/>
            <rFont val="Lucida Console"/>
            <family val="3"/>
          </rPr>
          <t xml:space="preserve">DESCRIÇÃO DETALHADA_x000D_
CALCA DE BRIM N° 38, CONFECCIONADA EM TECIDO MISTO 67% ALGODAO NA COR AZUL MARINHO.   </t>
        </r>
      </text>
    </comment>
    <comment ref="W796" authorId="0" shapeId="0" xr:uid="{76C40B4F-09F4-48CF-9CA7-57006BDFB9CF}">
      <text>
        <r>
          <rPr>
            <sz val="10"/>
            <color indexed="81"/>
            <rFont val="Lucida Console"/>
            <family val="3"/>
          </rPr>
          <t>_x000D_
SegMedTra</t>
        </r>
      </text>
    </comment>
    <comment ref="X796" authorId="0" shapeId="0" xr:uid="{38F5DE07-D27D-4C06-8270-F169B808141B}">
      <text>
        <r>
          <rPr>
            <sz val="10"/>
            <color indexed="81"/>
            <rFont val="Lucida Console"/>
            <family val="3"/>
          </rPr>
          <t>_x000D_
VEST., ART.P/ TOUC.E HIG. PES. MAQ., EQUIP., MAT.E ACES.</t>
        </r>
      </text>
    </comment>
    <comment ref="Y796" authorId="0" shapeId="0" xr:uid="{F0CE7B69-CEBD-4363-B9ED-805B8C74CAD4}">
      <text>
        <r>
          <rPr>
            <sz val="10"/>
            <color indexed="81"/>
            <rFont val="Lucida Console"/>
            <family val="3"/>
          </rPr>
          <t>_x000D_
UNIFORME P/ USO CIVIL - VESTIMENTA</t>
        </r>
      </text>
    </comment>
    <comment ref="AW796" authorId="0" shapeId="0" xr:uid="{D7D55BB3-1459-49E9-8564-93DD499567C0}">
      <text>
        <r>
          <rPr>
            <sz val="10"/>
            <color indexed="81"/>
            <rFont val="Lucida Console"/>
            <family val="3"/>
          </rPr>
          <t>Tempo de Estoque (Meses)_x000D_
_x000D_
10,0</t>
        </r>
      </text>
    </comment>
    <comment ref="A797" authorId="0" shapeId="0" xr:uid="{D1286A80-1227-4D66-B891-4C7A99DC248A}">
      <text>
        <r>
          <rPr>
            <sz val="10"/>
            <color indexed="81"/>
            <rFont val="Lucida Console"/>
            <family val="3"/>
          </rPr>
          <t>_x000D_
127106</t>
        </r>
      </text>
    </comment>
    <comment ref="B797" authorId="0" shapeId="0" xr:uid="{5D62B86B-306A-450D-9994-19023597DD13}">
      <text>
        <r>
          <rPr>
            <sz val="10"/>
            <color indexed="81"/>
            <rFont val="Lucida Console"/>
            <family val="3"/>
          </rPr>
          <t xml:space="preserve">DESCRIÇÃO DETALHADA_x000D_
CALCA DE BRIM N° 36, CONFECCIONADA EM TECIDO MISTO 67% ALGODAO NA COR AZUL MARINHO.   </t>
        </r>
      </text>
    </comment>
    <comment ref="W797" authorId="0" shapeId="0" xr:uid="{A76358CF-C6B0-4A7C-A6C4-C9E86DE2328F}">
      <text>
        <r>
          <rPr>
            <sz val="10"/>
            <color indexed="81"/>
            <rFont val="Lucida Console"/>
            <family val="3"/>
          </rPr>
          <t>_x000D_
SegMedTra</t>
        </r>
      </text>
    </comment>
    <comment ref="X797" authorId="0" shapeId="0" xr:uid="{B56994D8-CB22-42E6-AA20-6CC59DBBFD3D}">
      <text>
        <r>
          <rPr>
            <sz val="10"/>
            <color indexed="81"/>
            <rFont val="Lucida Console"/>
            <family val="3"/>
          </rPr>
          <t>_x000D_
VEST., ART.P/ TOUC.E HIG. PES. MAQ., EQUIP., MAT.E ACES.</t>
        </r>
      </text>
    </comment>
    <comment ref="Y797" authorId="0" shapeId="0" xr:uid="{F2397360-C217-45F0-B789-8C37AC000B09}">
      <text>
        <r>
          <rPr>
            <sz val="10"/>
            <color indexed="81"/>
            <rFont val="Lucida Console"/>
            <family val="3"/>
          </rPr>
          <t>_x000D_
UNIFORME P/ USO CIVIL - VESTIMENTA</t>
        </r>
      </text>
    </comment>
    <comment ref="AW797" authorId="0" shapeId="0" xr:uid="{3A68CFA8-EF46-49D4-9FAB-CEF107A10905}">
      <text>
        <r>
          <rPr>
            <sz val="10"/>
            <color indexed="81"/>
            <rFont val="Lucida Console"/>
            <family val="3"/>
          </rPr>
          <t>Tempo de Estoque (Meses)_x000D_
_x000D_
10,0</t>
        </r>
      </text>
    </comment>
    <comment ref="A798" authorId="0" shapeId="0" xr:uid="{47812C34-D148-4FBD-98A3-C2FD72E61986}">
      <text>
        <r>
          <rPr>
            <sz val="10"/>
            <color indexed="81"/>
            <rFont val="Lucida Console"/>
            <family val="3"/>
          </rPr>
          <t>_x000D_
127107</t>
        </r>
      </text>
    </comment>
    <comment ref="B798" authorId="0" shapeId="0" xr:uid="{A6DF5324-E37C-41D4-ACF2-29C4CA3932E8}">
      <text>
        <r>
          <rPr>
            <sz val="10"/>
            <color indexed="81"/>
            <rFont val="Lucida Console"/>
            <family val="3"/>
          </rPr>
          <t xml:space="preserve">DESCRIÇÃO DETALHADA_x000D_
CALCA DE BRIM N° 50, CONFECCIONADA EM TECIDO MISTO 67% ALGODAO NA COR AZUL MARINHO.   </t>
        </r>
      </text>
    </comment>
    <comment ref="W798" authorId="0" shapeId="0" xr:uid="{0BE5D919-5781-4546-BCCB-29310545F86D}">
      <text>
        <r>
          <rPr>
            <sz val="10"/>
            <color indexed="81"/>
            <rFont val="Lucida Console"/>
            <family val="3"/>
          </rPr>
          <t>_x000D_
SegMedTra</t>
        </r>
      </text>
    </comment>
    <comment ref="X798" authorId="0" shapeId="0" xr:uid="{58741C7C-06DD-4F9E-B609-9B19AAD4090E}">
      <text>
        <r>
          <rPr>
            <sz val="10"/>
            <color indexed="81"/>
            <rFont val="Lucida Console"/>
            <family val="3"/>
          </rPr>
          <t>_x000D_
VEST., ART.P/ TOUC.E HIG. PES. MAQ., EQUIP., MAT.E ACES.</t>
        </r>
      </text>
    </comment>
    <comment ref="Y798" authorId="0" shapeId="0" xr:uid="{12108EF7-1411-45CA-A738-EA59F156885B}">
      <text>
        <r>
          <rPr>
            <sz val="10"/>
            <color indexed="81"/>
            <rFont val="Lucida Console"/>
            <family val="3"/>
          </rPr>
          <t>_x000D_
UNIFORME P/ USO CIVIL - VESTIMENTA</t>
        </r>
      </text>
    </comment>
    <comment ref="AW798" authorId="0" shapeId="0" xr:uid="{EA4D43FF-539E-4B66-B04C-6DC35AF91BF9}">
      <text>
        <r>
          <rPr>
            <sz val="10"/>
            <color indexed="81"/>
            <rFont val="Lucida Console"/>
            <family val="3"/>
          </rPr>
          <t>Tempo de Estoque (Meses)_x000D_
_x000D_
14,0</t>
        </r>
      </text>
    </comment>
    <comment ref="A799" authorId="0" shapeId="0" xr:uid="{2E3F2CE8-0821-4E0C-BA4F-9B46C90861CD}">
      <text>
        <r>
          <rPr>
            <sz val="10"/>
            <color indexed="81"/>
            <rFont val="Lucida Console"/>
            <family val="3"/>
          </rPr>
          <t>_x000D_
126838</t>
        </r>
      </text>
    </comment>
    <comment ref="B799" authorId="0" shapeId="0" xr:uid="{08AE9BB2-39E8-4C69-89B0-36780C759E3B}">
      <text>
        <r>
          <rPr>
            <sz val="10"/>
            <color indexed="81"/>
            <rFont val="Lucida Console"/>
            <family val="3"/>
          </rPr>
          <t>DESCRIÇÃO DETALHADA_x000D_
PARAFUSO MAQUINA CABECA REDONDA 3/8" X 3/4"</t>
        </r>
      </text>
    </comment>
    <comment ref="W799" authorId="0" shapeId="0" xr:uid="{90D4777E-B1EE-4949-8B5E-6C786DE6A6E0}">
      <text>
        <r>
          <rPr>
            <sz val="10"/>
            <color indexed="81"/>
            <rFont val="Lucida Console"/>
            <family val="3"/>
          </rPr>
          <t>_x000D_
DM-Serralheria</t>
        </r>
      </text>
    </comment>
    <comment ref="X799" authorId="0" shapeId="0" xr:uid="{DD1513CA-9C79-4328-A46F-1B87E203787D}">
      <text>
        <r>
          <rPr>
            <sz val="10"/>
            <color indexed="81"/>
            <rFont val="Lucida Console"/>
            <family val="3"/>
          </rPr>
          <t>_x000D_
PARAFUSOS ELEM. VEDACAO UNIAO CONEX . FIXACAO</t>
        </r>
      </text>
    </comment>
    <comment ref="Y799" authorId="0" shapeId="0" xr:uid="{EA7AE8EB-D82A-4C9C-B745-76788B280E59}">
      <text>
        <r>
          <rPr>
            <sz val="10"/>
            <color indexed="81"/>
            <rFont val="Lucida Console"/>
            <family val="3"/>
          </rPr>
          <t>_x000D_
PARAFUSO P/ MAQUINA</t>
        </r>
      </text>
    </comment>
    <comment ref="AW799" authorId="0" shapeId="0" xr:uid="{B39A0C1C-3AE7-4052-96D0-0C05BB968409}">
      <text>
        <r>
          <rPr>
            <sz val="10"/>
            <color indexed="81"/>
            <rFont val="Lucida Console"/>
            <family val="3"/>
          </rPr>
          <t>Tempo de Estoque (Meses)_x000D_
_x000D_
2.421,0</t>
        </r>
      </text>
    </comment>
    <comment ref="A800" authorId="0" shapeId="0" xr:uid="{662AA7A7-6796-4275-8587-7C085851B0CC}">
      <text>
        <r>
          <rPr>
            <sz val="10"/>
            <color indexed="81"/>
            <rFont val="Lucida Console"/>
            <family val="3"/>
          </rPr>
          <t>_x000D_
89863</t>
        </r>
      </text>
    </comment>
    <comment ref="B800" authorId="0" shapeId="0" xr:uid="{FA92A60F-AFEE-491D-AFE0-AB6CA8F8304D}">
      <text>
        <r>
          <rPr>
            <sz val="10"/>
            <color indexed="81"/>
            <rFont val="Lucida Console"/>
            <family val="3"/>
          </rPr>
          <t>DESCRIÇÃO DETALHADA_x000D_
PARAFUSO ZINCO AMARELO, CABECA CHATA PH 4,0 X 25 - CAIXA COM 500 UNIDADES</t>
        </r>
      </text>
    </comment>
    <comment ref="W800" authorId="0" shapeId="0" xr:uid="{CF6FCB9F-57DC-4DD6-9036-F5A0A41A5C6D}">
      <text>
        <r>
          <rPr>
            <sz val="10"/>
            <color indexed="81"/>
            <rFont val="Lucida Console"/>
            <family val="3"/>
          </rPr>
          <t>_x000D_
DM-Marcenaria</t>
        </r>
      </text>
    </comment>
    <comment ref="X800" authorId="0" shapeId="0" xr:uid="{E6C9B9E9-1CAC-4284-87FF-4B5321BFF99A}">
      <text>
        <r>
          <rPr>
            <sz val="10"/>
            <color indexed="81"/>
            <rFont val="Lucida Console"/>
            <family val="3"/>
          </rPr>
          <t>_x000D_
PARAFUSOS ELEM. VEDACAO UNIAO CONEX . FIXACAO</t>
        </r>
      </text>
    </comment>
    <comment ref="Y800" authorId="0" shapeId="0" xr:uid="{838A91E2-F2D4-4640-A566-7EFBF40594EA}">
      <text>
        <r>
          <rPr>
            <sz val="10"/>
            <color indexed="81"/>
            <rFont val="Lucida Console"/>
            <family val="3"/>
          </rPr>
          <t>_x000D_
PARAFUSO P/ MOVEIS</t>
        </r>
      </text>
    </comment>
    <comment ref="AW800" authorId="0" shapeId="0" xr:uid="{9AE7AD08-7735-4A85-970B-63874CC376E2}">
      <text>
        <r>
          <rPr>
            <sz val="10"/>
            <color indexed="81"/>
            <rFont val="Lucida Console"/>
            <family val="3"/>
          </rPr>
          <t>Tempo de Estoque (Meses)_x000D_
_x000D_
357,0</t>
        </r>
      </text>
    </comment>
    <comment ref="A801" authorId="0" shapeId="0" xr:uid="{79AB92F7-F601-444E-BABC-48C871485D61}">
      <text>
        <r>
          <rPr>
            <sz val="10"/>
            <color indexed="81"/>
            <rFont val="Lucida Console"/>
            <family val="3"/>
          </rPr>
          <t>_x000D_
89864</t>
        </r>
      </text>
    </comment>
    <comment ref="B801" authorId="0" shapeId="0" xr:uid="{5D632385-0D94-425F-BB8A-6FC21A73E79D}">
      <text>
        <r>
          <rPr>
            <sz val="10"/>
            <color indexed="81"/>
            <rFont val="Lucida Console"/>
            <family val="3"/>
          </rPr>
          <t>DESCRIÇÃO DETALHADA_x000D_
PARAFUSO ZINCO AMARELO, CABECA CHATA PH 4,0 X 30 - CAIXA COM 500 UNIDADES</t>
        </r>
      </text>
    </comment>
    <comment ref="W801" authorId="0" shapeId="0" xr:uid="{B73651F6-03A6-4A2D-B71D-EF4FB1128753}">
      <text>
        <r>
          <rPr>
            <sz val="10"/>
            <color indexed="81"/>
            <rFont val="Lucida Console"/>
            <family val="3"/>
          </rPr>
          <t>_x000D_
DM-Marcenaria</t>
        </r>
      </text>
    </comment>
    <comment ref="X801" authorId="0" shapeId="0" xr:uid="{B1B644D8-BAE2-4DBF-AF9B-E7DFAA4DF1E5}">
      <text>
        <r>
          <rPr>
            <sz val="10"/>
            <color indexed="81"/>
            <rFont val="Lucida Console"/>
            <family val="3"/>
          </rPr>
          <t>_x000D_
PARAFUSOS ELEM. VEDACAO UNIAO CONEX . FIXACAO</t>
        </r>
      </text>
    </comment>
    <comment ref="Y801" authorId="0" shapeId="0" xr:uid="{7A544922-259E-4F37-8D76-156735A2702D}">
      <text>
        <r>
          <rPr>
            <sz val="10"/>
            <color indexed="81"/>
            <rFont val="Lucida Console"/>
            <family val="3"/>
          </rPr>
          <t>_x000D_
PARAFUSO P/ MOVEIS</t>
        </r>
      </text>
    </comment>
    <comment ref="AW801" authorId="0" shapeId="0" xr:uid="{5E2CBD8D-1C8A-426F-A78E-139A8CA15E35}">
      <text>
        <r>
          <rPr>
            <sz val="10"/>
            <color indexed="81"/>
            <rFont val="Lucida Console"/>
            <family val="3"/>
          </rPr>
          <t>Tempo de Estoque (Meses)_x000D_
_x000D_
774,0</t>
        </r>
      </text>
    </comment>
    <comment ref="A802" authorId="0" shapeId="0" xr:uid="{1BA07008-526F-46F5-AF81-C86A0E2C4326}">
      <text>
        <r>
          <rPr>
            <sz val="10"/>
            <color indexed="81"/>
            <rFont val="Lucida Console"/>
            <family val="3"/>
          </rPr>
          <t>_x000D_
89865</t>
        </r>
      </text>
    </comment>
    <comment ref="B802" authorId="0" shapeId="0" xr:uid="{B1D63F2E-0F09-4A20-BBC0-D7630AEC9A0E}">
      <text>
        <r>
          <rPr>
            <sz val="10"/>
            <color indexed="81"/>
            <rFont val="Lucida Console"/>
            <family val="3"/>
          </rPr>
          <t>DESCRIÇÃO DETALHADA_x000D_
PARAFUSO  ZINCO AMARELO, CABECA CHATA - PH 4,0 X 50 - CAIXA COM 500 UNIDADES</t>
        </r>
      </text>
    </comment>
    <comment ref="W802" authorId="0" shapeId="0" xr:uid="{50A99263-8B34-4CDC-A212-59A9CCA26841}">
      <text>
        <r>
          <rPr>
            <sz val="10"/>
            <color indexed="81"/>
            <rFont val="Lucida Console"/>
            <family val="3"/>
          </rPr>
          <t>_x000D_
DM-Marcenaria</t>
        </r>
      </text>
    </comment>
    <comment ref="X802" authorId="0" shapeId="0" xr:uid="{F74D2187-8BD6-452A-A234-E9EB05FB2490}">
      <text>
        <r>
          <rPr>
            <sz val="10"/>
            <color indexed="81"/>
            <rFont val="Lucida Console"/>
            <family val="3"/>
          </rPr>
          <t>_x000D_
PARAFUSOS ELEM. VEDACAO UNIAO CONEX . FIXACAO</t>
        </r>
      </text>
    </comment>
    <comment ref="Y802" authorId="0" shapeId="0" xr:uid="{92456048-A4CB-4C05-8053-8E68BB5BC259}">
      <text>
        <r>
          <rPr>
            <sz val="10"/>
            <color indexed="81"/>
            <rFont val="Lucida Console"/>
            <family val="3"/>
          </rPr>
          <t>_x000D_
PARAFUSO P/ MOVEIS</t>
        </r>
      </text>
    </comment>
    <comment ref="AW802" authorId="0" shapeId="0" xr:uid="{6B2D2EDB-C371-46D9-90CA-DE28D3F66EC5}">
      <text>
        <r>
          <rPr>
            <sz val="10"/>
            <color indexed="81"/>
            <rFont val="Lucida Console"/>
            <family val="3"/>
          </rPr>
          <t>Tempo de Estoque (Meses)_x000D_
_x000D_
138,0</t>
        </r>
      </text>
    </comment>
    <comment ref="A803" authorId="0" shapeId="0" xr:uid="{05CFD125-38DD-4A80-8142-C4FDB997F67B}">
      <text>
        <r>
          <rPr>
            <sz val="10"/>
            <color indexed="81"/>
            <rFont val="Lucida Console"/>
            <family val="3"/>
          </rPr>
          <t>_x000D_
124963</t>
        </r>
      </text>
    </comment>
    <comment ref="B803" authorId="0" shapeId="0" xr:uid="{F10961B0-5F72-4A54-B014-C29862CB4636}">
      <text>
        <r>
          <rPr>
            <sz val="10"/>
            <color indexed="81"/>
            <rFont val="Lucida Console"/>
            <family val="3"/>
          </rPr>
          <t>DESCRIÇÃO DETALHADA_x000D_
PARAFUSO ZINCO AMARELO, CABECA CHATA PH  6,0 X 70 - CAIXA COM  100 UNIDADES</t>
        </r>
      </text>
    </comment>
    <comment ref="W803" authorId="0" shapeId="0" xr:uid="{6D737AA0-74E7-4A2B-AC7C-1559834A10CF}">
      <text>
        <r>
          <rPr>
            <sz val="10"/>
            <color indexed="81"/>
            <rFont val="Lucida Console"/>
            <family val="3"/>
          </rPr>
          <t>_x000D_
DM-Marcenaria</t>
        </r>
      </text>
    </comment>
    <comment ref="X803" authorId="0" shapeId="0" xr:uid="{BC4C0A57-4819-496E-8195-876CA0430639}">
      <text>
        <r>
          <rPr>
            <sz val="10"/>
            <color indexed="81"/>
            <rFont val="Lucida Console"/>
            <family val="3"/>
          </rPr>
          <t>_x000D_
PARAFUSOS ELEM. VEDACAO UNIAO CONEX . FIXACAO</t>
        </r>
      </text>
    </comment>
    <comment ref="Y803" authorId="0" shapeId="0" xr:uid="{B3BEA716-F146-4CA6-8281-6EE5BE4217C0}">
      <text>
        <r>
          <rPr>
            <sz val="10"/>
            <color indexed="81"/>
            <rFont val="Lucida Console"/>
            <family val="3"/>
          </rPr>
          <t>_x000D_
PARAFUSO P/ MOVEIS</t>
        </r>
      </text>
    </comment>
    <comment ref="AW803" authorId="0" shapeId="0" xr:uid="{AA5E559E-5468-4CC3-AB37-43EC6041C940}">
      <text>
        <r>
          <rPr>
            <sz val="10"/>
            <color indexed="81"/>
            <rFont val="Lucida Console"/>
            <family val="3"/>
          </rPr>
          <t>Tempo de Estoque (Meses)_x000D_
_x000D_
156,0</t>
        </r>
      </text>
    </comment>
    <comment ref="A804" authorId="0" shapeId="0" xr:uid="{9231B1C4-E4ED-44CC-8307-EFF1EB5FBF1A}">
      <text>
        <r>
          <rPr>
            <sz val="10"/>
            <color indexed="81"/>
            <rFont val="Lucida Console"/>
            <family val="3"/>
          </rPr>
          <t>_x000D_
125201</t>
        </r>
      </text>
    </comment>
    <comment ref="B804" authorId="0" shapeId="0" xr:uid="{E170E183-DA07-44E1-BF05-EC976F8F132A}">
      <text>
        <r>
          <rPr>
            <sz val="10"/>
            <color indexed="81"/>
            <rFont val="Lucida Console"/>
            <family val="3"/>
          </rPr>
          <t>DESCRIÇÃO DETALHADA_x000D_
PARAFUSO ZINCO AMARELO, CABECA CHATA PH 4,5 X 40 - CAIXA COM 500 UNIDADES</t>
        </r>
      </text>
    </comment>
    <comment ref="W804" authorId="0" shapeId="0" xr:uid="{2A820C2B-8310-412C-924A-DDB67EEF9FA1}">
      <text>
        <r>
          <rPr>
            <sz val="10"/>
            <color indexed="81"/>
            <rFont val="Lucida Console"/>
            <family val="3"/>
          </rPr>
          <t>_x000D_
DM-Marcenaria</t>
        </r>
      </text>
    </comment>
    <comment ref="X804" authorId="0" shapeId="0" xr:uid="{258A82D9-A08D-4C57-80D6-3F0D497A0DE8}">
      <text>
        <r>
          <rPr>
            <sz val="10"/>
            <color indexed="81"/>
            <rFont val="Lucida Console"/>
            <family val="3"/>
          </rPr>
          <t>_x000D_
PARAFUSOS ELEM. VEDACAO UNIAO CONEX . FIXACAO</t>
        </r>
      </text>
    </comment>
    <comment ref="Y804" authorId="0" shapeId="0" xr:uid="{4447B489-F3F9-4282-B59C-1F4BA6234E74}">
      <text>
        <r>
          <rPr>
            <sz val="10"/>
            <color indexed="81"/>
            <rFont val="Lucida Console"/>
            <family val="3"/>
          </rPr>
          <t>_x000D_
PARAFUSO P/ MOVEIS</t>
        </r>
      </text>
    </comment>
    <comment ref="AW804" authorId="0" shapeId="0" xr:uid="{B1700EA9-E756-418F-ABE0-9ADFAE0810E0}">
      <text>
        <r>
          <rPr>
            <sz val="10"/>
            <color indexed="81"/>
            <rFont val="Lucida Console"/>
            <family val="3"/>
          </rPr>
          <t>Tempo de Estoque (Meses)_x000D_
_x000D_
668,0</t>
        </r>
      </text>
    </comment>
    <comment ref="A805" authorId="0" shapeId="0" xr:uid="{3B340B52-0F76-413C-AAA0-5D80CCF61183}">
      <text>
        <r>
          <rPr>
            <sz val="10"/>
            <color indexed="81"/>
            <rFont val="Lucida Console"/>
            <family val="3"/>
          </rPr>
          <t>_x000D_
134561</t>
        </r>
      </text>
    </comment>
    <comment ref="B805" authorId="0" shapeId="0" xr:uid="{B82F3D50-31C9-4DF2-A495-D7996DAEB7F3}">
      <text>
        <r>
          <rPr>
            <sz val="10"/>
            <color indexed="81"/>
            <rFont val="Lucida Console"/>
            <family val="3"/>
          </rPr>
          <t>DESCRIÇÃO DETALHADA_x000D_
PARAFUSO EM ACO BICROMATIZADO, CABECA CHATA PH , 3,5 X 25 MM - CAIXA COM 500 UNIDADES</t>
        </r>
      </text>
    </comment>
    <comment ref="W805" authorId="0" shapeId="0" xr:uid="{E3C0D67C-A3E8-487A-8D46-15DAC6F63F87}">
      <text>
        <r>
          <rPr>
            <sz val="10"/>
            <color indexed="81"/>
            <rFont val="Lucida Console"/>
            <family val="3"/>
          </rPr>
          <t>_x000D_
DM-Marcenaria</t>
        </r>
      </text>
    </comment>
    <comment ref="X805" authorId="0" shapeId="0" xr:uid="{F8DD7FD6-051B-4E91-AF10-83C4FB7E6678}">
      <text>
        <r>
          <rPr>
            <sz val="10"/>
            <color indexed="81"/>
            <rFont val="Lucida Console"/>
            <family val="3"/>
          </rPr>
          <t>_x000D_
PARAFUSOS ELEM. VEDACAO UNIAO CONEX . FIXACAO</t>
        </r>
      </text>
    </comment>
    <comment ref="Y805" authorId="0" shapeId="0" xr:uid="{89E5F4A3-D19B-46C4-BABA-6FCD50CA1823}">
      <text>
        <r>
          <rPr>
            <sz val="10"/>
            <color indexed="81"/>
            <rFont val="Lucida Console"/>
            <family val="3"/>
          </rPr>
          <t>_x000D_
PARAFUSO P/ MOVEIS</t>
        </r>
      </text>
    </comment>
    <comment ref="AW805" authorId="0" shapeId="0" xr:uid="{49FA2E83-6C2C-40DD-9DE3-F1D97CE5707C}">
      <text>
        <r>
          <rPr>
            <sz val="10"/>
            <color indexed="81"/>
            <rFont val="Lucida Console"/>
            <family val="3"/>
          </rPr>
          <t>Tempo de Estoque (Meses)_x000D_
_x000D_
390,0</t>
        </r>
      </text>
    </comment>
    <comment ref="A806" authorId="0" shapeId="0" xr:uid="{4EBE9C8F-1554-49A8-A432-1B0032947799}">
      <text>
        <r>
          <rPr>
            <sz val="10"/>
            <color indexed="81"/>
            <rFont val="Lucida Console"/>
            <family val="3"/>
          </rPr>
          <t>_x000D_
134562</t>
        </r>
      </text>
    </comment>
    <comment ref="B806" authorId="0" shapeId="0" xr:uid="{FC6DA55D-73E5-4C60-A8CB-030BF8E5F7F3}">
      <text>
        <r>
          <rPr>
            <sz val="10"/>
            <color indexed="81"/>
            <rFont val="Lucida Console"/>
            <family val="3"/>
          </rPr>
          <t>DESCRIÇÃO DETALHADA_x000D_
PARAFUSO EM ACO BICROMATIZADO, CABECA CHATA PH 3,5 X 40 - CAIXA COM 500 UNIDADES</t>
        </r>
      </text>
    </comment>
    <comment ref="W806" authorId="0" shapeId="0" xr:uid="{29055D74-700E-4DA7-9E3D-A54DE10CF349}">
      <text>
        <r>
          <rPr>
            <sz val="10"/>
            <color indexed="81"/>
            <rFont val="Lucida Console"/>
            <family val="3"/>
          </rPr>
          <t>_x000D_
DM-Marcenaria</t>
        </r>
      </text>
    </comment>
    <comment ref="X806" authorId="0" shapeId="0" xr:uid="{60E75A55-0B63-4F55-8500-41024D0686D7}">
      <text>
        <r>
          <rPr>
            <sz val="10"/>
            <color indexed="81"/>
            <rFont val="Lucida Console"/>
            <family val="3"/>
          </rPr>
          <t>_x000D_
PARAFUSOS ELEM. VEDACAO UNIAO CONEX . FIXACAO</t>
        </r>
      </text>
    </comment>
    <comment ref="Y806" authorId="0" shapeId="0" xr:uid="{DDB415A6-7CDA-4854-B640-B9D662EAC375}">
      <text>
        <r>
          <rPr>
            <sz val="10"/>
            <color indexed="81"/>
            <rFont val="Lucida Console"/>
            <family val="3"/>
          </rPr>
          <t>_x000D_
PARAFUSO P/ MOVEIS</t>
        </r>
      </text>
    </comment>
    <comment ref="AW806" authorId="0" shapeId="0" xr:uid="{3FEB588F-CBA5-4ABF-8730-80040F1F23DD}">
      <text>
        <r>
          <rPr>
            <sz val="10"/>
            <color indexed="81"/>
            <rFont val="Lucida Console"/>
            <family val="3"/>
          </rPr>
          <t>Tempo de Estoque (Meses)_x000D_
_x000D_
396,0</t>
        </r>
      </text>
    </comment>
    <comment ref="A807" authorId="0" shapeId="0" xr:uid="{77D32152-4071-4719-A7BD-F32EDDE0C6BD}">
      <text>
        <r>
          <rPr>
            <sz val="10"/>
            <color indexed="81"/>
            <rFont val="Lucida Console"/>
            <family val="3"/>
          </rPr>
          <t>_x000D_
134563</t>
        </r>
      </text>
    </comment>
    <comment ref="B807" authorId="0" shapeId="0" xr:uid="{C55B4DC1-B75A-4AE8-B7FC-E8F277BA49F1}">
      <text>
        <r>
          <rPr>
            <sz val="10"/>
            <color indexed="81"/>
            <rFont val="Lucida Console"/>
            <family val="3"/>
          </rPr>
          <t>DESCRIÇÃO DETALHADA_x000D_
PARAFUSO EM ACO BICROMATIZADO, CABECA CHATA PH 4,0 X 16 - CAIXA COM 500 UNIDADES</t>
        </r>
      </text>
    </comment>
    <comment ref="W807" authorId="0" shapeId="0" xr:uid="{99193631-F031-470A-90C0-BFBE5594FE24}">
      <text>
        <r>
          <rPr>
            <sz val="10"/>
            <color indexed="81"/>
            <rFont val="Lucida Console"/>
            <family val="3"/>
          </rPr>
          <t>_x000D_
DM-Marcenaria</t>
        </r>
      </text>
    </comment>
    <comment ref="X807" authorId="0" shapeId="0" xr:uid="{CBE399A3-807D-4F83-B2B7-51551B34D5CA}">
      <text>
        <r>
          <rPr>
            <sz val="10"/>
            <color indexed="81"/>
            <rFont val="Lucida Console"/>
            <family val="3"/>
          </rPr>
          <t>_x000D_
PARAFUSOS ELEM. VEDACAO UNIAO CONEX . FIXACAO</t>
        </r>
      </text>
    </comment>
    <comment ref="Y807" authorId="0" shapeId="0" xr:uid="{88C77424-5343-4846-B041-E1AF71B37E05}">
      <text>
        <r>
          <rPr>
            <sz val="10"/>
            <color indexed="81"/>
            <rFont val="Lucida Console"/>
            <family val="3"/>
          </rPr>
          <t>_x000D_
PARAFUSO P/ MOVEIS</t>
        </r>
      </text>
    </comment>
    <comment ref="AW807" authorId="0" shapeId="0" xr:uid="{216D29AC-1D25-45FA-A25B-45B56A29EB0A}">
      <text>
        <r>
          <rPr>
            <sz val="10"/>
            <color indexed="81"/>
            <rFont val="Lucida Console"/>
            <family val="3"/>
          </rPr>
          <t>Tempo de Estoque (Meses)_x000D_
_x000D_
364,0</t>
        </r>
      </text>
    </comment>
    <comment ref="A808" authorId="0" shapeId="0" xr:uid="{77E3CCB2-AC35-418C-B21B-05F350672F76}">
      <text>
        <r>
          <rPr>
            <sz val="10"/>
            <color indexed="81"/>
            <rFont val="Lucida Console"/>
            <family val="3"/>
          </rPr>
          <t>_x000D_
134564</t>
        </r>
      </text>
    </comment>
    <comment ref="B808" authorId="0" shapeId="0" xr:uid="{4EB8C9F6-0F70-4656-8A9D-1B3C42FB340D}">
      <text>
        <r>
          <rPr>
            <sz val="10"/>
            <color indexed="81"/>
            <rFont val="Lucida Console"/>
            <family val="3"/>
          </rPr>
          <t>DESCRIÇÃO DETALHADA_x000D_
PARAFUSO EM ACO BICROMATIZADO, CABECA CHATA PH 4,0 X 35 - CAIXA COM 500 UNIDADES</t>
        </r>
      </text>
    </comment>
    <comment ref="W808" authorId="0" shapeId="0" xr:uid="{70367E5E-CFF9-43E5-8715-D5B8255165D8}">
      <text>
        <r>
          <rPr>
            <sz val="10"/>
            <color indexed="81"/>
            <rFont val="Lucida Console"/>
            <family val="3"/>
          </rPr>
          <t>_x000D_
DM-Marcenaria</t>
        </r>
      </text>
    </comment>
    <comment ref="X808" authorId="0" shapeId="0" xr:uid="{7B6F36D5-8A8B-4BD7-9B6D-2812232AAA6F}">
      <text>
        <r>
          <rPr>
            <sz val="10"/>
            <color indexed="81"/>
            <rFont val="Lucida Console"/>
            <family val="3"/>
          </rPr>
          <t>_x000D_
PARAFUSOS ELEM. VEDACAO UNIAO CONEX . FIXACAO</t>
        </r>
      </text>
    </comment>
    <comment ref="Y808" authorId="0" shapeId="0" xr:uid="{1F4A0294-9202-416E-8BB1-8BE75C69FAF6}">
      <text>
        <r>
          <rPr>
            <sz val="10"/>
            <color indexed="81"/>
            <rFont val="Lucida Console"/>
            <family val="3"/>
          </rPr>
          <t>_x000D_
PARAFUSO P/ MOVEIS</t>
        </r>
      </text>
    </comment>
    <comment ref="AW808" authorId="0" shapeId="0" xr:uid="{56F5CD16-5B81-4664-991B-F1503C5F3936}">
      <text>
        <r>
          <rPr>
            <sz val="10"/>
            <color indexed="81"/>
            <rFont val="Lucida Console"/>
            <family val="3"/>
          </rPr>
          <t>Tempo de Estoque (Meses)_x000D_
_x000D_
258,0</t>
        </r>
      </text>
    </comment>
    <comment ref="A809" authorId="0" shapeId="0" xr:uid="{7B69457F-4E53-43C4-A479-BF64007C0249}">
      <text>
        <r>
          <rPr>
            <sz val="10"/>
            <color indexed="81"/>
            <rFont val="Lucida Console"/>
            <family val="3"/>
          </rPr>
          <t>_x000D_
134565</t>
        </r>
      </text>
    </comment>
    <comment ref="B809" authorId="0" shapeId="0" xr:uid="{4C021F44-CF51-444F-83E4-DEA968812EC7}">
      <text>
        <r>
          <rPr>
            <sz val="10"/>
            <color indexed="81"/>
            <rFont val="Lucida Console"/>
            <family val="3"/>
          </rPr>
          <t>DESCRIÇÃO DETALHADA_x000D_
PARAFUSO EM ACO BICROMATIZADO, CABECA CHATA PH 4,5 X 60 - CAIXA COM 500 UNIDADES</t>
        </r>
      </text>
    </comment>
    <comment ref="W809" authorId="0" shapeId="0" xr:uid="{B38E67A3-580C-487D-A61F-3F59DCF0C0B0}">
      <text>
        <r>
          <rPr>
            <sz val="10"/>
            <color indexed="81"/>
            <rFont val="Lucida Console"/>
            <family val="3"/>
          </rPr>
          <t>_x000D_
DM-Marcenaria</t>
        </r>
      </text>
    </comment>
    <comment ref="X809" authorId="0" shapeId="0" xr:uid="{58DEF6E9-5946-4D09-B4C0-BD975B17DAD3}">
      <text>
        <r>
          <rPr>
            <sz val="10"/>
            <color indexed="81"/>
            <rFont val="Lucida Console"/>
            <family val="3"/>
          </rPr>
          <t>_x000D_
PARAFUSOS ELEM. VEDACAO UNIAO CONEX . FIXACAO</t>
        </r>
      </text>
    </comment>
    <comment ref="Y809" authorId="0" shapeId="0" xr:uid="{E9DFF7D8-7F76-4271-9F26-B81CEB544533}">
      <text>
        <r>
          <rPr>
            <sz val="10"/>
            <color indexed="81"/>
            <rFont val="Lucida Console"/>
            <family val="3"/>
          </rPr>
          <t>_x000D_
PARAFUSO P/ MOVEIS</t>
        </r>
      </text>
    </comment>
    <comment ref="AW809" authorId="0" shapeId="0" xr:uid="{82D7557A-5FB7-4BB2-854A-B41B62F1E5CB}">
      <text>
        <r>
          <rPr>
            <sz val="10"/>
            <color indexed="81"/>
            <rFont val="Lucida Console"/>
            <family val="3"/>
          </rPr>
          <t>Tempo de Estoque (Meses)_x000D_
_x000D_
229,0</t>
        </r>
      </text>
    </comment>
    <comment ref="A810" authorId="0" shapeId="0" xr:uid="{3AB88E1F-AE44-4AE9-95E6-471B1CBEB400}">
      <text>
        <r>
          <rPr>
            <sz val="10"/>
            <color indexed="81"/>
            <rFont val="Lucida Console"/>
            <family val="3"/>
          </rPr>
          <t>_x000D_
64462</t>
        </r>
      </text>
    </comment>
    <comment ref="B810" authorId="0" shapeId="0" xr:uid="{11D5B46B-1789-4B9D-8998-DA06B93F78A7}">
      <text>
        <r>
          <rPr>
            <sz val="10"/>
            <color indexed="81"/>
            <rFont val="Lucida Console"/>
            <family val="3"/>
          </rPr>
          <t>DESCRIÇÃO DETALHADA_x000D_
PORCA SEXTAVADA DE ACO DE 1/4"</t>
        </r>
      </text>
    </comment>
    <comment ref="W810" authorId="0" shapeId="0" xr:uid="{B188945D-2267-4923-85F8-B44181CE12F5}">
      <text>
        <r>
          <rPr>
            <sz val="10"/>
            <color indexed="81"/>
            <rFont val="Lucida Console"/>
            <family val="3"/>
          </rPr>
          <t>_x000D_
DM-Serralheria</t>
        </r>
      </text>
    </comment>
    <comment ref="X810" authorId="0" shapeId="0" xr:uid="{4EC1AEEC-0526-47D2-A975-7D74568140D8}">
      <text>
        <r>
          <rPr>
            <sz val="10"/>
            <color indexed="81"/>
            <rFont val="Lucida Console"/>
            <family val="3"/>
          </rPr>
          <t>_x000D_
PARAFUSOS ELEM. VEDACAO UNIAO CONEX . FIXACAO</t>
        </r>
      </text>
    </comment>
    <comment ref="Y810" authorId="0" shapeId="0" xr:uid="{A00F03D9-F895-436E-9D30-E99FA34AAB3B}">
      <text>
        <r>
          <rPr>
            <sz val="10"/>
            <color indexed="81"/>
            <rFont val="Lucida Console"/>
            <family val="3"/>
          </rPr>
          <t>_x000D_
PORCAS</t>
        </r>
      </text>
    </comment>
    <comment ref="AW810" authorId="0" shapeId="0" xr:uid="{291720F3-8738-401F-A1F7-70E1B1B4190D}">
      <text>
        <r>
          <rPr>
            <sz val="10"/>
            <color indexed="81"/>
            <rFont val="Lucida Console"/>
            <family val="3"/>
          </rPr>
          <t>Tempo de Estoque (Meses)_x000D_
_x000D_
8.061,0</t>
        </r>
      </text>
    </comment>
    <comment ref="A811" authorId="0" shapeId="0" xr:uid="{104A5BA1-D7B8-4A8C-A0B0-5471B1AA318E}">
      <text>
        <r>
          <rPr>
            <sz val="10"/>
            <color indexed="81"/>
            <rFont val="Lucida Console"/>
            <family val="3"/>
          </rPr>
          <t>_x000D_
23676</t>
        </r>
      </text>
    </comment>
    <comment ref="B811" authorId="0" shapeId="0" xr:uid="{3222B6FE-0B98-420D-A057-8BE311C4BE68}">
      <text>
        <r>
          <rPr>
            <sz val="10"/>
            <color indexed="81"/>
            <rFont val="Lucida Console"/>
            <family val="3"/>
          </rPr>
          <t>DESCRIÇÃO DETALHADA_x000D_
CONJUNTO DE VEDACAO PLASTICA P/ TELHA 6 MM</t>
        </r>
      </text>
    </comment>
    <comment ref="W811" authorId="0" shapeId="0" xr:uid="{1EC22E6B-CC0F-4D56-80F5-054B2C3536D9}">
      <text>
        <r>
          <rPr>
            <sz val="10"/>
            <color indexed="81"/>
            <rFont val="Lucida Console"/>
            <family val="3"/>
          </rPr>
          <t>_x000D_
DM-Serralheria</t>
        </r>
      </text>
    </comment>
    <comment ref="X811" authorId="0" shapeId="0" xr:uid="{C55032B5-2BFE-4D18-BB60-68A1534BD415}">
      <text>
        <r>
          <rPr>
            <sz val="10"/>
            <color indexed="81"/>
            <rFont val="Lucida Console"/>
            <family val="3"/>
          </rPr>
          <t>_x000D_
PARAFUSOS ELEM. VEDACAO UNIAO CONEX . FIXACAO</t>
        </r>
      </text>
    </comment>
    <comment ref="Y811" authorId="0" shapeId="0" xr:uid="{8C98BBAE-A858-40C1-A54B-654533F28C15}">
      <text>
        <r>
          <rPr>
            <sz val="10"/>
            <color indexed="81"/>
            <rFont val="Lucida Console"/>
            <family val="3"/>
          </rPr>
          <t>_x000D_
ARRUELAS</t>
        </r>
      </text>
    </comment>
    <comment ref="AW811" authorId="0" shapeId="0" xr:uid="{58245AEF-7011-4E25-A15D-9BE3FF1E89B1}">
      <text>
        <r>
          <rPr>
            <sz val="10"/>
            <color indexed="81"/>
            <rFont val="Lucida Console"/>
            <family val="3"/>
          </rPr>
          <t>Tempo de Estoque (Meses)_x000D_
_x000D_
1.931,0</t>
        </r>
      </text>
    </comment>
    <comment ref="A812" authorId="0" shapeId="0" xr:uid="{DA1A3FAE-4C2F-42BC-BE13-E989AF344962}">
      <text>
        <r>
          <rPr>
            <sz val="10"/>
            <color indexed="81"/>
            <rFont val="Lucida Console"/>
            <family val="3"/>
          </rPr>
          <t>_x000D_
54029</t>
        </r>
      </text>
    </comment>
    <comment ref="B812" authorId="0" shapeId="0" xr:uid="{9B874A0B-80CD-492B-8B76-BD429CFEFAFA}">
      <text>
        <r>
          <rPr>
            <sz val="10"/>
            <color indexed="81"/>
            <rFont val="Lucida Console"/>
            <family val="3"/>
          </rPr>
          <t>DESCRIÇÃO DETALHADA_x000D_
ARRUELA LISA 5/16</t>
        </r>
      </text>
    </comment>
    <comment ref="W812" authorId="0" shapeId="0" xr:uid="{52A5B8A8-EF2F-4F42-B5E1-09BD46203193}">
      <text>
        <r>
          <rPr>
            <sz val="10"/>
            <color indexed="81"/>
            <rFont val="Lucida Console"/>
            <family val="3"/>
          </rPr>
          <t>_x000D_
DM-Serralheria</t>
        </r>
      </text>
    </comment>
    <comment ref="X812" authorId="0" shapeId="0" xr:uid="{B8B263E7-1487-4B9A-BCE6-D2E60DC84AF2}">
      <text>
        <r>
          <rPr>
            <sz val="10"/>
            <color indexed="81"/>
            <rFont val="Lucida Console"/>
            <family val="3"/>
          </rPr>
          <t>_x000D_
PARAFUSOS ELEM. VEDACAO UNIAO CONEX . FIXACAO</t>
        </r>
      </text>
    </comment>
    <comment ref="Y812" authorId="0" shapeId="0" xr:uid="{3ACFB2A4-8ADD-449C-84A9-0AC40BBFF42E}">
      <text>
        <r>
          <rPr>
            <sz val="10"/>
            <color indexed="81"/>
            <rFont val="Lucida Console"/>
            <family val="3"/>
          </rPr>
          <t>_x000D_
ARRUELAS</t>
        </r>
      </text>
    </comment>
    <comment ref="AW812" authorId="0" shapeId="0" xr:uid="{45D7BB05-9788-44DF-A95E-358BF30A5842}">
      <text>
        <r>
          <rPr>
            <sz val="10"/>
            <color indexed="81"/>
            <rFont val="Lucida Console"/>
            <family val="3"/>
          </rPr>
          <t>Tempo de Estoque (Meses)_x000D_
_x000D_
2.115,0</t>
        </r>
      </text>
    </comment>
    <comment ref="A813" authorId="0" shapeId="0" xr:uid="{D3820166-0B1A-4E81-B2FC-722E8A409FA2}">
      <text>
        <r>
          <rPr>
            <sz val="10"/>
            <color indexed="81"/>
            <rFont val="Lucida Console"/>
            <family val="3"/>
          </rPr>
          <t>_x000D_
54032</t>
        </r>
      </text>
    </comment>
    <comment ref="B813" authorId="0" shapeId="0" xr:uid="{B72317BF-094D-48B7-B4A7-ECF397420E96}">
      <text>
        <r>
          <rPr>
            <sz val="10"/>
            <color indexed="81"/>
            <rFont val="Lucida Console"/>
            <family val="3"/>
          </rPr>
          <t>DESCRIÇÃO DETALHADA_x000D_
ARRUELA LISA 1/4"</t>
        </r>
      </text>
    </comment>
    <comment ref="W813" authorId="0" shapeId="0" xr:uid="{BEA71ED7-3B3F-4D9F-BDAF-2F2ED6FD37B4}">
      <text>
        <r>
          <rPr>
            <sz val="10"/>
            <color indexed="81"/>
            <rFont val="Lucida Console"/>
            <family val="3"/>
          </rPr>
          <t>_x000D_
DM-Serralheria</t>
        </r>
      </text>
    </comment>
    <comment ref="X813" authorId="0" shapeId="0" xr:uid="{7EB3CBB9-4AB6-4313-BD1F-0CCAB3C8A08A}">
      <text>
        <r>
          <rPr>
            <sz val="10"/>
            <color indexed="81"/>
            <rFont val="Lucida Console"/>
            <family val="3"/>
          </rPr>
          <t>_x000D_
PARAFUSOS ELEM. VEDACAO UNIAO CONEX . FIXACAO</t>
        </r>
      </text>
    </comment>
    <comment ref="Y813" authorId="0" shapeId="0" xr:uid="{C3C7C659-9D36-4264-A226-823959DB7824}">
      <text>
        <r>
          <rPr>
            <sz val="10"/>
            <color indexed="81"/>
            <rFont val="Lucida Console"/>
            <family val="3"/>
          </rPr>
          <t>_x000D_
ARRUELAS</t>
        </r>
      </text>
    </comment>
    <comment ref="AW813" authorId="0" shapeId="0" xr:uid="{927AF7B1-F226-464D-9107-C6B09DCAD8AD}">
      <text>
        <r>
          <rPr>
            <sz val="10"/>
            <color indexed="81"/>
            <rFont val="Lucida Console"/>
            <family val="3"/>
          </rPr>
          <t>Tempo de Estoque (Meses)_x000D_
_x000D_
22.466,0</t>
        </r>
      </text>
    </comment>
    <comment ref="A814" authorId="0" shapeId="0" xr:uid="{8CE844F1-67D1-4A8D-9C89-AD4D6D9061B5}">
      <text>
        <r>
          <rPr>
            <sz val="10"/>
            <color indexed="81"/>
            <rFont val="Lucida Console"/>
            <family val="3"/>
          </rPr>
          <t>_x000D_
64466</t>
        </r>
      </text>
    </comment>
    <comment ref="B814" authorId="0" shapeId="0" xr:uid="{5F70B9D0-4B3F-4ED9-8B95-9A7B21A00E63}">
      <text>
        <r>
          <rPr>
            <sz val="10"/>
            <color indexed="81"/>
            <rFont val="Lucida Console"/>
            <family val="3"/>
          </rPr>
          <t>DESCRIÇÃO DETALHADA_x000D_
ARRUELA LISA DE ACO DE 3/8"</t>
        </r>
      </text>
    </comment>
    <comment ref="W814" authorId="0" shapeId="0" xr:uid="{CEBB7E6B-E24F-4480-9CA7-58C2718C3656}">
      <text>
        <r>
          <rPr>
            <sz val="10"/>
            <color indexed="81"/>
            <rFont val="Lucida Console"/>
            <family val="3"/>
          </rPr>
          <t>_x000D_
DM-Serralheria</t>
        </r>
      </text>
    </comment>
    <comment ref="X814" authorId="0" shapeId="0" xr:uid="{4AA74105-A412-4B17-910C-F0B2E83FDC25}">
      <text>
        <r>
          <rPr>
            <sz val="10"/>
            <color indexed="81"/>
            <rFont val="Lucida Console"/>
            <family val="3"/>
          </rPr>
          <t>_x000D_
PARAFUSOS ELEM. VEDACAO UNIAO CONEX . FIXACAO</t>
        </r>
      </text>
    </comment>
    <comment ref="Y814" authorId="0" shapeId="0" xr:uid="{76B55702-4185-4EE7-950E-76C4DB4D6520}">
      <text>
        <r>
          <rPr>
            <sz val="10"/>
            <color indexed="81"/>
            <rFont val="Lucida Console"/>
            <family val="3"/>
          </rPr>
          <t>_x000D_
ARRUELAS</t>
        </r>
      </text>
    </comment>
    <comment ref="AW814" authorId="0" shapeId="0" xr:uid="{0F13DED1-0764-4867-BC46-042DFC1D9F7A}">
      <text>
        <r>
          <rPr>
            <sz val="10"/>
            <color indexed="81"/>
            <rFont val="Lucida Console"/>
            <family val="3"/>
          </rPr>
          <t>Tempo de Estoque (Meses)_x000D_
_x000D_
5.067,0</t>
        </r>
      </text>
    </comment>
    <comment ref="A815" authorId="0" shapeId="0" xr:uid="{18F0F8FF-3628-424B-9C43-7AEE8408B952}">
      <text>
        <r>
          <rPr>
            <sz val="10"/>
            <color indexed="81"/>
            <rFont val="Lucida Console"/>
            <family val="3"/>
          </rPr>
          <t>_x000D_
88849</t>
        </r>
      </text>
    </comment>
    <comment ref="B815" authorId="0" shapeId="0" xr:uid="{035582AD-110C-42AA-A990-EDCEE61E2991}">
      <text>
        <r>
          <rPr>
            <sz val="10"/>
            <color indexed="81"/>
            <rFont val="Lucida Console"/>
            <family val="3"/>
          </rPr>
          <t>DESCRIÇÃO DETALHADA_x000D_
ARRUELA LISA DE ACO DE 3/16"</t>
        </r>
      </text>
    </comment>
    <comment ref="W815" authorId="0" shapeId="0" xr:uid="{E8036E9B-157A-4AA1-85D9-E54CC7F09B8A}">
      <text>
        <r>
          <rPr>
            <sz val="10"/>
            <color indexed="81"/>
            <rFont val="Lucida Console"/>
            <family val="3"/>
          </rPr>
          <t>_x000D_
DM-Serralheria</t>
        </r>
      </text>
    </comment>
    <comment ref="X815" authorId="0" shapeId="0" xr:uid="{39F8BCBD-4C05-45CB-9AB2-029B93FF7DE3}">
      <text>
        <r>
          <rPr>
            <sz val="10"/>
            <color indexed="81"/>
            <rFont val="Lucida Console"/>
            <family val="3"/>
          </rPr>
          <t>_x000D_
PARAFUSOS ELEM. VEDACAO UNIAO CONEX . FIXACAO</t>
        </r>
      </text>
    </comment>
    <comment ref="Y815" authorId="0" shapeId="0" xr:uid="{B5D22541-9E30-464E-82E8-80A5512BC425}">
      <text>
        <r>
          <rPr>
            <sz val="10"/>
            <color indexed="81"/>
            <rFont val="Lucida Console"/>
            <family val="3"/>
          </rPr>
          <t>_x000D_
ARRUELAS</t>
        </r>
      </text>
    </comment>
    <comment ref="AW815" authorId="0" shapeId="0" xr:uid="{D0C91D4C-036E-4AE3-96AC-7C61C88BBD55}">
      <text>
        <r>
          <rPr>
            <sz val="10"/>
            <color indexed="81"/>
            <rFont val="Lucida Console"/>
            <family val="3"/>
          </rPr>
          <t>Tempo de Estoque (Meses)_x000D_
_x000D_
1.563,0</t>
        </r>
      </text>
    </comment>
    <comment ref="A816" authorId="0" shapeId="0" xr:uid="{C69205D8-381A-43A4-81E4-AF10E2CC1E9E}">
      <text>
        <r>
          <rPr>
            <sz val="10"/>
            <color indexed="81"/>
            <rFont val="Lucida Console"/>
            <family val="3"/>
          </rPr>
          <t>_x000D_
14055</t>
        </r>
      </text>
    </comment>
    <comment ref="B816" authorId="0" shapeId="0" xr:uid="{CB7D6077-A7EA-48C2-98AF-F69747D04737}">
      <text>
        <r>
          <rPr>
            <sz val="10"/>
            <color indexed="81"/>
            <rFont val="Lucida Console"/>
            <family val="3"/>
          </rPr>
          <t>DESCRIÇÃO DETALHADA_x000D_
PREGO COMUM DE CABECA CHATA - 19 X 36</t>
        </r>
      </text>
    </comment>
    <comment ref="W816" authorId="0" shapeId="0" xr:uid="{877A1E4F-A83F-444C-9EE5-FD0BE12F027F}">
      <text>
        <r>
          <rPr>
            <sz val="10"/>
            <color indexed="81"/>
            <rFont val="Lucida Console"/>
            <family val="3"/>
          </rPr>
          <t>_x000D_
DM-Construção</t>
        </r>
      </text>
    </comment>
    <comment ref="X816" authorId="0" shapeId="0" xr:uid="{79AB79B0-C4B3-4F49-B58A-48F37C340994}">
      <text>
        <r>
          <rPr>
            <sz val="10"/>
            <color indexed="81"/>
            <rFont val="Lucida Console"/>
            <family val="3"/>
          </rPr>
          <t>_x000D_
PARAFUSOS ELEM. VEDACAO UNIAO CONEX . FIXACAO</t>
        </r>
      </text>
    </comment>
    <comment ref="Y816" authorId="0" shapeId="0" xr:uid="{6A04070D-2ED6-474F-92CA-1184EADE7F10}">
      <text>
        <r>
          <rPr>
            <sz val="10"/>
            <color indexed="81"/>
            <rFont val="Lucida Console"/>
            <family val="3"/>
          </rPr>
          <t>_x000D_
PREGOS E GRAMPOS</t>
        </r>
      </text>
    </comment>
    <comment ref="AW816" authorId="0" shapeId="0" xr:uid="{3AE38DF1-7CCA-4586-9CBF-A772973B5B59}">
      <text>
        <r>
          <rPr>
            <sz val="10"/>
            <color indexed="81"/>
            <rFont val="Lucida Console"/>
            <family val="3"/>
          </rPr>
          <t>Tempo de Estoque (Meses)_x000D_
_x000D_
482,0</t>
        </r>
      </text>
    </comment>
    <comment ref="A817" authorId="0" shapeId="0" xr:uid="{97ED2C41-20A4-4DA6-ABDC-61BAF2EDAACB}">
      <text>
        <r>
          <rPr>
            <sz val="10"/>
            <color indexed="81"/>
            <rFont val="Lucida Console"/>
            <family val="3"/>
          </rPr>
          <t>_x000D_
18337</t>
        </r>
      </text>
    </comment>
    <comment ref="B817" authorId="0" shapeId="0" xr:uid="{ED3A525A-D16C-4825-AE77-C3B0F6BBD6EF}">
      <text>
        <r>
          <rPr>
            <sz val="10"/>
            <color indexed="81"/>
            <rFont val="Lucida Console"/>
            <family val="3"/>
          </rPr>
          <t>DESCRIÇÃO DETALHADA_x000D_
PREGO COMUM DE CABECA CHATA - 12 X 12</t>
        </r>
      </text>
    </comment>
    <comment ref="W817" authorId="0" shapeId="0" xr:uid="{3906343D-F2A9-4E87-8663-6191060B95F4}">
      <text>
        <r>
          <rPr>
            <sz val="10"/>
            <color indexed="81"/>
            <rFont val="Lucida Console"/>
            <family val="3"/>
          </rPr>
          <t>_x000D_
DM-Construção</t>
        </r>
      </text>
    </comment>
    <comment ref="X817" authorId="0" shapeId="0" xr:uid="{3E24E19B-8D7C-4DEC-8AC3-9F0E2D87FABA}">
      <text>
        <r>
          <rPr>
            <sz val="10"/>
            <color indexed="81"/>
            <rFont val="Lucida Console"/>
            <family val="3"/>
          </rPr>
          <t>_x000D_
PARAFUSOS ELEM. VEDACAO UNIAO CONEX . FIXACAO</t>
        </r>
      </text>
    </comment>
    <comment ref="Y817" authorId="0" shapeId="0" xr:uid="{2968C57E-853E-4C48-8ABD-13FEEC7C18FA}">
      <text>
        <r>
          <rPr>
            <sz val="10"/>
            <color indexed="81"/>
            <rFont val="Lucida Console"/>
            <family val="3"/>
          </rPr>
          <t>_x000D_
PREGOS E GRAMPOS</t>
        </r>
      </text>
    </comment>
    <comment ref="AW817" authorId="0" shapeId="0" xr:uid="{3BA746B4-4181-4478-94C0-4D992A68E49C}">
      <text>
        <r>
          <rPr>
            <sz val="10"/>
            <color indexed="81"/>
            <rFont val="Lucida Console"/>
            <family val="3"/>
          </rPr>
          <t>Tempo de Estoque (Meses)_x000D_
_x000D_
22,0</t>
        </r>
      </text>
    </comment>
    <comment ref="A818" authorId="0" shapeId="0" xr:uid="{D90C0F98-5495-4F7B-A87B-27F54D368374}">
      <text>
        <r>
          <rPr>
            <sz val="10"/>
            <color indexed="81"/>
            <rFont val="Lucida Console"/>
            <family val="3"/>
          </rPr>
          <t>_x000D_
18346</t>
        </r>
      </text>
    </comment>
    <comment ref="B818" authorId="0" shapeId="0" xr:uid="{BD137DA4-4E58-4B2B-9FBA-D9834C12BEE1}">
      <text>
        <r>
          <rPr>
            <sz val="10"/>
            <color indexed="81"/>
            <rFont val="Lucida Console"/>
            <family val="3"/>
          </rPr>
          <t>DESCRIÇÃO DETALHADA_x000D_
PREGO COMUM DE CABECA CHATA - 15 X 15</t>
        </r>
      </text>
    </comment>
    <comment ref="W818" authorId="0" shapeId="0" xr:uid="{0F720322-144E-4F54-A2E1-BFA2CDDC30FB}">
      <text>
        <r>
          <rPr>
            <sz val="10"/>
            <color indexed="81"/>
            <rFont val="Lucida Console"/>
            <family val="3"/>
          </rPr>
          <t>_x000D_
DM-Construção</t>
        </r>
      </text>
    </comment>
    <comment ref="X818" authorId="0" shapeId="0" xr:uid="{CBCBCC80-9E1A-47C2-881E-B8E4AADB4537}">
      <text>
        <r>
          <rPr>
            <sz val="10"/>
            <color indexed="81"/>
            <rFont val="Lucida Console"/>
            <family val="3"/>
          </rPr>
          <t>_x000D_
PARAFUSOS ELEM. VEDACAO UNIAO CONEX . FIXACAO</t>
        </r>
      </text>
    </comment>
    <comment ref="Y818" authorId="0" shapeId="0" xr:uid="{704A8131-A016-44BA-A8AE-95D95C6C508E}">
      <text>
        <r>
          <rPr>
            <sz val="10"/>
            <color indexed="81"/>
            <rFont val="Lucida Console"/>
            <family val="3"/>
          </rPr>
          <t>_x000D_
PREGOS E GRAMPOS</t>
        </r>
      </text>
    </comment>
    <comment ref="AW818" authorId="0" shapeId="0" xr:uid="{2A05A667-5A56-41E5-8857-538E6C3EC8B3}">
      <text>
        <r>
          <rPr>
            <sz val="10"/>
            <color indexed="81"/>
            <rFont val="Lucida Console"/>
            <family val="3"/>
          </rPr>
          <t>Tempo de Estoque (Meses)_x000D_
_x000D_
250,0</t>
        </r>
      </text>
    </comment>
    <comment ref="A819" authorId="0" shapeId="0" xr:uid="{7A11B7FF-1E9C-4B10-8AF8-3D98651F9AE0}">
      <text>
        <r>
          <rPr>
            <sz val="10"/>
            <color indexed="81"/>
            <rFont val="Lucida Console"/>
            <family val="3"/>
          </rPr>
          <t>_x000D_
18353</t>
        </r>
      </text>
    </comment>
    <comment ref="B819" authorId="0" shapeId="0" xr:uid="{FF6F6448-C7FA-40F2-98AC-90982199022B}">
      <text>
        <r>
          <rPr>
            <sz val="10"/>
            <color indexed="81"/>
            <rFont val="Lucida Console"/>
            <family val="3"/>
          </rPr>
          <t>DESCRIÇÃO DETALHADA_x000D_
PREGO COMUM DE CABECA CHATA - 17 X 21</t>
        </r>
      </text>
    </comment>
    <comment ref="W819" authorId="0" shapeId="0" xr:uid="{8BBE768E-34B3-4893-84C2-0712B1757886}">
      <text>
        <r>
          <rPr>
            <sz val="10"/>
            <color indexed="81"/>
            <rFont val="Lucida Console"/>
            <family val="3"/>
          </rPr>
          <t>_x000D_
DM-Construção</t>
        </r>
      </text>
    </comment>
    <comment ref="X819" authorId="0" shapeId="0" xr:uid="{914E9FE2-D488-41B5-A838-CB7175B79785}">
      <text>
        <r>
          <rPr>
            <sz val="10"/>
            <color indexed="81"/>
            <rFont val="Lucida Console"/>
            <family val="3"/>
          </rPr>
          <t>_x000D_
PARAFUSOS ELEM. VEDACAO UNIAO CONEX . FIXACAO</t>
        </r>
      </text>
    </comment>
    <comment ref="Y819" authorId="0" shapeId="0" xr:uid="{270FECD7-C35E-4854-BC7E-63052860FE60}">
      <text>
        <r>
          <rPr>
            <sz val="10"/>
            <color indexed="81"/>
            <rFont val="Lucida Console"/>
            <family val="3"/>
          </rPr>
          <t>_x000D_
PREGOS E GRAMPOS</t>
        </r>
      </text>
    </comment>
    <comment ref="AW819" authorId="0" shapeId="0" xr:uid="{1A5B7056-5751-4AC2-B47C-AAE87BB4A327}">
      <text>
        <r>
          <rPr>
            <sz val="10"/>
            <color indexed="81"/>
            <rFont val="Lucida Console"/>
            <family val="3"/>
          </rPr>
          <t>Tempo de Estoque (Meses)_x000D_
_x000D_
999,0</t>
        </r>
      </text>
    </comment>
    <comment ref="A820" authorId="0" shapeId="0" xr:uid="{5BD20A19-4443-470C-9F9D-CB4018068AA3}">
      <text>
        <r>
          <rPr>
            <sz val="10"/>
            <color indexed="81"/>
            <rFont val="Lucida Console"/>
            <family val="3"/>
          </rPr>
          <t>_x000D_
18357</t>
        </r>
      </text>
    </comment>
    <comment ref="B820" authorId="0" shapeId="0" xr:uid="{80CC2464-39DA-4119-8A0C-2E3235F4777B}">
      <text>
        <r>
          <rPr>
            <sz val="10"/>
            <color indexed="81"/>
            <rFont val="Lucida Console"/>
            <family val="3"/>
          </rPr>
          <t>DESCRIÇÃO DETALHADA_x000D_
PREGO COMUM DE CABECA CHATA - 18 X 27</t>
        </r>
      </text>
    </comment>
    <comment ref="W820" authorId="0" shapeId="0" xr:uid="{EEFEBE9A-499A-49C1-BE69-3656B439C5F7}">
      <text>
        <r>
          <rPr>
            <sz val="10"/>
            <color indexed="81"/>
            <rFont val="Lucida Console"/>
            <family val="3"/>
          </rPr>
          <t>_x000D_
DM-Construção</t>
        </r>
      </text>
    </comment>
    <comment ref="X820" authorId="0" shapeId="0" xr:uid="{60D9300C-3BC1-46E9-BD8E-2145D39EEBBC}">
      <text>
        <r>
          <rPr>
            <sz val="10"/>
            <color indexed="81"/>
            <rFont val="Lucida Console"/>
            <family val="3"/>
          </rPr>
          <t>_x000D_
PARAFUSOS ELEM. VEDACAO UNIAO CONEX . FIXACAO</t>
        </r>
      </text>
    </comment>
    <comment ref="Y820" authorId="0" shapeId="0" xr:uid="{22416AE3-3E97-4662-8689-6956665706C5}">
      <text>
        <r>
          <rPr>
            <sz val="10"/>
            <color indexed="81"/>
            <rFont val="Lucida Console"/>
            <family val="3"/>
          </rPr>
          <t>_x000D_
PREGOS E GRAMPOS</t>
        </r>
      </text>
    </comment>
    <comment ref="AW820" authorId="0" shapeId="0" xr:uid="{B098D359-68B7-4740-9723-2EB9A0959D1A}">
      <text>
        <r>
          <rPr>
            <sz val="10"/>
            <color indexed="81"/>
            <rFont val="Lucida Console"/>
            <family val="3"/>
          </rPr>
          <t>Tempo de Estoque (Meses)_x000D_
_x000D_
1.098,0</t>
        </r>
      </text>
    </comment>
    <comment ref="A821" authorId="0" shapeId="0" xr:uid="{CBDFEE51-2A0A-44A7-A76B-4C554EF9807C}">
      <text>
        <r>
          <rPr>
            <sz val="10"/>
            <color indexed="81"/>
            <rFont val="Lucida Console"/>
            <family val="3"/>
          </rPr>
          <t>_x000D_
18358</t>
        </r>
      </text>
    </comment>
    <comment ref="B821" authorId="0" shapeId="0" xr:uid="{0B90C042-5E60-48B6-979F-7220032BD85E}">
      <text>
        <r>
          <rPr>
            <sz val="10"/>
            <color indexed="81"/>
            <rFont val="Lucida Console"/>
            <family val="3"/>
          </rPr>
          <t>DESCRIÇÃO DETALHADA_x000D_
PREGO COMUM DE CABECA CHATA - 18 X 30</t>
        </r>
      </text>
    </comment>
    <comment ref="W821" authorId="0" shapeId="0" xr:uid="{4746C096-AC24-4ED2-8036-689BE3B0AC01}">
      <text>
        <r>
          <rPr>
            <sz val="10"/>
            <color indexed="81"/>
            <rFont val="Lucida Console"/>
            <family val="3"/>
          </rPr>
          <t>_x000D_
DM-Construção</t>
        </r>
      </text>
    </comment>
    <comment ref="X821" authorId="0" shapeId="0" xr:uid="{51FA086B-24F9-4B34-972B-EF96661AD0A2}">
      <text>
        <r>
          <rPr>
            <sz val="10"/>
            <color indexed="81"/>
            <rFont val="Lucida Console"/>
            <family val="3"/>
          </rPr>
          <t>_x000D_
PARAFUSOS ELEM. VEDACAO UNIAO CONEX . FIXACAO</t>
        </r>
      </text>
    </comment>
    <comment ref="Y821" authorId="0" shapeId="0" xr:uid="{AD40D583-E296-43EA-8FE5-D745EB43DB8A}">
      <text>
        <r>
          <rPr>
            <sz val="10"/>
            <color indexed="81"/>
            <rFont val="Lucida Console"/>
            <family val="3"/>
          </rPr>
          <t>_x000D_
PREGOS E GRAMPOS</t>
        </r>
      </text>
    </comment>
    <comment ref="AW821" authorId="0" shapeId="0" xr:uid="{52A762FA-FA23-4A09-A510-913E693F88C0}">
      <text>
        <r>
          <rPr>
            <sz val="10"/>
            <color indexed="81"/>
            <rFont val="Lucida Console"/>
            <family val="3"/>
          </rPr>
          <t>Tempo de Estoque (Meses)_x000D_
_x000D_
189,0</t>
        </r>
      </text>
    </comment>
    <comment ref="A822" authorId="0" shapeId="0" xr:uid="{2B85B6E1-EF09-423C-A7C8-758011C4D877}">
      <text>
        <r>
          <rPr>
            <sz val="10"/>
            <color indexed="81"/>
            <rFont val="Lucida Console"/>
            <family val="3"/>
          </rPr>
          <t>_x000D_
20537</t>
        </r>
      </text>
    </comment>
    <comment ref="B822" authorId="0" shapeId="0" xr:uid="{4F463893-2EE5-40AC-81A1-C3ED6AF6E8B2}">
      <text>
        <r>
          <rPr>
            <sz val="10"/>
            <color indexed="81"/>
            <rFont val="Lucida Console"/>
            <family val="3"/>
          </rPr>
          <t>DESCRIÇÃO DETALHADA_x000D_
PREGO COMUM DE CABECA CHATA - 22 X 48</t>
        </r>
      </text>
    </comment>
    <comment ref="W822" authorId="0" shapeId="0" xr:uid="{6D7DECFB-DBE5-41A1-B978-D081DA742E80}">
      <text>
        <r>
          <rPr>
            <sz val="10"/>
            <color indexed="81"/>
            <rFont val="Lucida Console"/>
            <family val="3"/>
          </rPr>
          <t>_x000D_
DM-Construção</t>
        </r>
      </text>
    </comment>
    <comment ref="X822" authorId="0" shapeId="0" xr:uid="{80D54399-4AED-4F68-B705-B3996AE9F775}">
      <text>
        <r>
          <rPr>
            <sz val="10"/>
            <color indexed="81"/>
            <rFont val="Lucida Console"/>
            <family val="3"/>
          </rPr>
          <t>_x000D_
PARAFUSOS ELEM. VEDACAO UNIAO CONEX . FIXACAO</t>
        </r>
      </text>
    </comment>
    <comment ref="Y822" authorId="0" shapeId="0" xr:uid="{DDE8763A-B65F-4C73-968D-E5E069B9E002}">
      <text>
        <r>
          <rPr>
            <sz val="10"/>
            <color indexed="81"/>
            <rFont val="Lucida Console"/>
            <family val="3"/>
          </rPr>
          <t>_x000D_
PREGOS E GRAMPOS</t>
        </r>
      </text>
    </comment>
    <comment ref="AW822" authorId="0" shapeId="0" xr:uid="{D3C4044E-7378-4A54-8450-D5C6DF3CFD26}">
      <text>
        <r>
          <rPr>
            <sz val="10"/>
            <color indexed="81"/>
            <rFont val="Lucida Console"/>
            <family val="3"/>
          </rPr>
          <t>Tempo de Estoque (Meses)_x000D_
_x000D_
137,0</t>
        </r>
      </text>
    </comment>
    <comment ref="A823" authorId="0" shapeId="0" xr:uid="{0A1C8CFA-3340-410A-AB00-87529D25EE84}">
      <text>
        <r>
          <rPr>
            <sz val="10"/>
            <color indexed="81"/>
            <rFont val="Lucida Console"/>
            <family val="3"/>
          </rPr>
          <t>_x000D_
24888</t>
        </r>
      </text>
    </comment>
    <comment ref="B823" authorId="0" shapeId="0" xr:uid="{FDE19D0F-7F16-4CF3-A62B-A288056F4D46}">
      <text>
        <r>
          <rPr>
            <sz val="10"/>
            <color indexed="81"/>
            <rFont val="Lucida Console"/>
            <family val="3"/>
          </rPr>
          <t>DESCRIÇÃO DETALHADA_x000D_
PREGO COMUM DE CABECA CHATA - 10 X 10</t>
        </r>
      </text>
    </comment>
    <comment ref="W823" authorId="0" shapeId="0" xr:uid="{FDBBC582-563D-4D1A-8FA4-2212A66254DB}">
      <text>
        <r>
          <rPr>
            <sz val="10"/>
            <color indexed="81"/>
            <rFont val="Lucida Console"/>
            <family val="3"/>
          </rPr>
          <t>_x000D_
DM-Construção</t>
        </r>
      </text>
    </comment>
    <comment ref="X823" authorId="0" shapeId="0" xr:uid="{535EFD49-5709-4692-A4D8-0648BD346FBC}">
      <text>
        <r>
          <rPr>
            <sz val="10"/>
            <color indexed="81"/>
            <rFont val="Lucida Console"/>
            <family val="3"/>
          </rPr>
          <t>_x000D_
PARAFUSOS ELEM. VEDACAO UNIAO CONEX . FIXACAO</t>
        </r>
      </text>
    </comment>
    <comment ref="Y823" authorId="0" shapeId="0" xr:uid="{2ED1BCA8-E8AA-474A-9F49-C65434DAD5C7}">
      <text>
        <r>
          <rPr>
            <sz val="10"/>
            <color indexed="81"/>
            <rFont val="Lucida Console"/>
            <family val="3"/>
          </rPr>
          <t>_x000D_
PREGOS E GRAMPOS</t>
        </r>
      </text>
    </comment>
    <comment ref="AW823" authorId="0" shapeId="0" xr:uid="{765CFFD5-0911-435A-A88E-B28A111505A7}">
      <text>
        <r>
          <rPr>
            <sz val="10"/>
            <color indexed="81"/>
            <rFont val="Lucida Console"/>
            <family val="3"/>
          </rPr>
          <t>Tempo de Estoque (Meses)_x000D_
_x000D_
96,0</t>
        </r>
      </text>
    </comment>
    <comment ref="A824" authorId="0" shapeId="0" xr:uid="{6D732236-44E6-4762-A6C8-311358BBBAD8}">
      <text>
        <r>
          <rPr>
            <sz val="10"/>
            <color indexed="81"/>
            <rFont val="Lucida Console"/>
            <family val="3"/>
          </rPr>
          <t>_x000D_
36031</t>
        </r>
      </text>
    </comment>
    <comment ref="B824" authorId="0" shapeId="0" xr:uid="{98D11262-9512-4899-9D00-A0B240F9CBA8}">
      <text>
        <r>
          <rPr>
            <sz val="10"/>
            <color indexed="81"/>
            <rFont val="Lucida Console"/>
            <family val="3"/>
          </rPr>
          <t>DESCRIÇÃO DETALHADA_x000D_
PREGO DE ACO C/ CABECA - 15 X 15</t>
        </r>
      </text>
    </comment>
    <comment ref="W824" authorId="0" shapeId="0" xr:uid="{635C733E-0025-41BF-B2BF-B8CFB71066B6}">
      <text>
        <r>
          <rPr>
            <sz val="10"/>
            <color indexed="81"/>
            <rFont val="Lucida Console"/>
            <family val="3"/>
          </rPr>
          <t>_x000D_
DM-Construção</t>
        </r>
      </text>
    </comment>
    <comment ref="X824" authorId="0" shapeId="0" xr:uid="{66EAB467-27EE-4ADE-AAB6-9EF8F3433FE3}">
      <text>
        <r>
          <rPr>
            <sz val="10"/>
            <color indexed="81"/>
            <rFont val="Lucida Console"/>
            <family val="3"/>
          </rPr>
          <t>_x000D_
PARAFUSOS ELEM. VEDACAO UNIAO CONEX . FIXACAO</t>
        </r>
      </text>
    </comment>
    <comment ref="Y824" authorId="0" shapeId="0" xr:uid="{724C6F8B-A7BC-49FB-BC4D-C5055953E962}">
      <text>
        <r>
          <rPr>
            <sz val="10"/>
            <color indexed="81"/>
            <rFont val="Lucida Console"/>
            <family val="3"/>
          </rPr>
          <t>_x000D_
PREGOS E GRAMPOS</t>
        </r>
      </text>
    </comment>
    <comment ref="AW824" authorId="0" shapeId="0" xr:uid="{6BA539C3-4BCC-4502-86D5-8BB368924E4A}">
      <text>
        <r>
          <rPr>
            <sz val="10"/>
            <color indexed="81"/>
            <rFont val="Lucida Console"/>
            <family val="3"/>
          </rPr>
          <t>Tempo de Estoque (Meses)_x000D_
_x000D_
2.616,0</t>
        </r>
      </text>
    </comment>
    <comment ref="A825" authorId="0" shapeId="0" xr:uid="{3A0AADAC-B076-45DC-90A6-5F020EE2556B}">
      <text>
        <r>
          <rPr>
            <sz val="10"/>
            <color indexed="81"/>
            <rFont val="Lucida Console"/>
            <family val="3"/>
          </rPr>
          <t>_x000D_
49858</t>
        </r>
      </text>
    </comment>
    <comment ref="B825" authorId="0" shapeId="0" xr:uid="{97D52D47-1F0E-4128-8772-596CDCB421FD}">
      <text>
        <r>
          <rPr>
            <sz val="10"/>
            <color indexed="81"/>
            <rFont val="Lucida Console"/>
            <family val="3"/>
          </rPr>
          <t>DESCRIÇÃO DETALHADA_x000D_
PREGO DE ACO C/ CABECA - 12 X 12</t>
        </r>
      </text>
    </comment>
    <comment ref="W825" authorId="0" shapeId="0" xr:uid="{E0BB2FA0-D816-4AE6-B412-2B09BAB9B3E2}">
      <text>
        <r>
          <rPr>
            <sz val="10"/>
            <color indexed="81"/>
            <rFont val="Lucida Console"/>
            <family val="3"/>
          </rPr>
          <t>_x000D_
DM-Construção</t>
        </r>
      </text>
    </comment>
    <comment ref="X825" authorId="0" shapeId="0" xr:uid="{8FE0240C-BA50-4078-89F0-C040BD4FDE09}">
      <text>
        <r>
          <rPr>
            <sz val="10"/>
            <color indexed="81"/>
            <rFont val="Lucida Console"/>
            <family val="3"/>
          </rPr>
          <t>_x000D_
PARAFUSOS ELEM. VEDACAO UNIAO CONEX . FIXACAO</t>
        </r>
      </text>
    </comment>
    <comment ref="Y825" authorId="0" shapeId="0" xr:uid="{372A8980-A6A7-4562-AB8C-A11A6406F25F}">
      <text>
        <r>
          <rPr>
            <sz val="10"/>
            <color indexed="81"/>
            <rFont val="Lucida Console"/>
            <family val="3"/>
          </rPr>
          <t>_x000D_
PREGOS E GRAMPOS</t>
        </r>
      </text>
    </comment>
    <comment ref="AW825" authorId="0" shapeId="0" xr:uid="{661E588B-3644-4643-80DB-515E9568CB77}">
      <text>
        <r>
          <rPr>
            <sz val="10"/>
            <color indexed="81"/>
            <rFont val="Lucida Console"/>
            <family val="3"/>
          </rPr>
          <t>Tempo de Estoque (Meses)_x000D_
_x000D_
185,0</t>
        </r>
      </text>
    </comment>
    <comment ref="A826" authorId="0" shapeId="0" xr:uid="{C482FE5D-F383-49B0-8797-C6EDAF5F6C5E}">
      <text>
        <r>
          <rPr>
            <sz val="10"/>
            <color indexed="81"/>
            <rFont val="Lucida Console"/>
            <family val="3"/>
          </rPr>
          <t>_x000D_
20554</t>
        </r>
      </text>
    </comment>
    <comment ref="B826" authorId="0" shapeId="0" xr:uid="{B2E98D4E-60B0-43E8-B490-464963B06B4E}">
      <text>
        <r>
          <rPr>
            <sz val="10"/>
            <color indexed="81"/>
            <rFont val="Lucida Console"/>
            <family val="3"/>
          </rPr>
          <t>DESCRIÇÃO DETALHADA_x000D_
REBITE DE REPUCHO EM ALUMINIO C/ MANDRIL DE ACO 4 X 12 MM</t>
        </r>
      </text>
    </comment>
    <comment ref="W826" authorId="0" shapeId="0" xr:uid="{BCFFE12B-7B2C-48E5-9ED0-B2AFBE01D0FF}">
      <text>
        <r>
          <rPr>
            <sz val="10"/>
            <color indexed="81"/>
            <rFont val="Lucida Console"/>
            <family val="3"/>
          </rPr>
          <t>_x000D_
DM-Serralheria</t>
        </r>
      </text>
    </comment>
    <comment ref="X826" authorId="0" shapeId="0" xr:uid="{B26EA0C2-A4EE-4BD7-AA24-C351F809795D}">
      <text>
        <r>
          <rPr>
            <sz val="10"/>
            <color indexed="81"/>
            <rFont val="Lucida Console"/>
            <family val="3"/>
          </rPr>
          <t>_x000D_
PARAFUSOS ELEM. VEDACAO UNIAO CONEX . FIXACAO</t>
        </r>
      </text>
    </comment>
    <comment ref="Y826" authorId="0" shapeId="0" xr:uid="{86FA265C-4051-42F4-848F-DCFB6E61C550}">
      <text>
        <r>
          <rPr>
            <sz val="10"/>
            <color indexed="81"/>
            <rFont val="Lucida Console"/>
            <family val="3"/>
          </rPr>
          <t>_x000D_
REBITES ILHOTES PINOS E CHAVETAS</t>
        </r>
      </text>
    </comment>
    <comment ref="AW826" authorId="0" shapeId="0" xr:uid="{E0F9520C-61DE-4458-AADC-6BEA7F34F6EB}">
      <text>
        <r>
          <rPr>
            <sz val="10"/>
            <color indexed="81"/>
            <rFont val="Lucida Console"/>
            <family val="3"/>
          </rPr>
          <t>Tempo de Estoque (Meses)_x000D_
_x000D_
12.260,0</t>
        </r>
      </text>
    </comment>
    <comment ref="A827" authorId="0" shapeId="0" xr:uid="{1A9D38BF-F5B0-4561-9BAB-FF84AD99CC44}">
      <text>
        <r>
          <rPr>
            <sz val="10"/>
            <color indexed="81"/>
            <rFont val="Lucida Console"/>
            <family val="3"/>
          </rPr>
          <t>_x000D_
20558</t>
        </r>
      </text>
    </comment>
    <comment ref="B827" authorId="0" shapeId="0" xr:uid="{65B864FA-161E-472D-BE28-965C9DB1C643}">
      <text>
        <r>
          <rPr>
            <sz val="10"/>
            <color indexed="81"/>
            <rFont val="Lucida Console"/>
            <family val="3"/>
          </rPr>
          <t>DESCRIÇÃO DETALHADA_x000D_
REBITE DE REPUCHO EM ALUMINIO C/ MANDRIL DE ACO 4 X 16 MM</t>
        </r>
      </text>
    </comment>
    <comment ref="W827" authorId="0" shapeId="0" xr:uid="{CEE6A5AF-45D3-4E5A-801B-7CF56E0F4D25}">
      <text>
        <r>
          <rPr>
            <sz val="10"/>
            <color indexed="81"/>
            <rFont val="Lucida Console"/>
            <family val="3"/>
          </rPr>
          <t>_x000D_
DM-Serralheria</t>
        </r>
      </text>
    </comment>
    <comment ref="X827" authorId="0" shapeId="0" xr:uid="{92C2359D-0611-4CCF-B239-78AE5DF503BF}">
      <text>
        <r>
          <rPr>
            <sz val="10"/>
            <color indexed="81"/>
            <rFont val="Lucida Console"/>
            <family val="3"/>
          </rPr>
          <t>_x000D_
PARAFUSOS ELEM. VEDACAO UNIAO CONEX . FIXACAO</t>
        </r>
      </text>
    </comment>
    <comment ref="Y827" authorId="0" shapeId="0" xr:uid="{8DA8D3E8-D2BC-405E-A457-825105140632}">
      <text>
        <r>
          <rPr>
            <sz val="10"/>
            <color indexed="81"/>
            <rFont val="Lucida Console"/>
            <family val="3"/>
          </rPr>
          <t>_x000D_
REBITES ILHOTES PINOS E CHAVETAS</t>
        </r>
      </text>
    </comment>
    <comment ref="AW827" authorId="0" shapeId="0" xr:uid="{CF5020C9-A780-4432-995A-7359FB495E25}">
      <text>
        <r>
          <rPr>
            <sz val="10"/>
            <color indexed="81"/>
            <rFont val="Lucida Console"/>
            <family val="3"/>
          </rPr>
          <t>Tempo de Estoque (Meses)_x000D_
_x000D_
9.000,0</t>
        </r>
      </text>
    </comment>
    <comment ref="A828" authorId="0" shapeId="0" xr:uid="{45D9301D-9B44-4967-B3BF-3600BD935BDF}">
      <text>
        <r>
          <rPr>
            <sz val="10"/>
            <color indexed="81"/>
            <rFont val="Lucida Console"/>
            <family val="3"/>
          </rPr>
          <t>_x000D_
20576</t>
        </r>
      </text>
    </comment>
    <comment ref="B828" authorId="0" shapeId="0" xr:uid="{CA4AFCD7-D2E1-49BF-BED4-9CB8BC97132F}">
      <text>
        <r>
          <rPr>
            <sz val="10"/>
            <color indexed="81"/>
            <rFont val="Lucida Console"/>
            <family val="3"/>
          </rPr>
          <t>DESCRIÇÃO DETALHADA_x000D_
REBITE DE REPUCHO EM ALUMINIO C/ MANDRIL DE ACO 4,76 X 25MM</t>
        </r>
      </text>
    </comment>
    <comment ref="W828" authorId="0" shapeId="0" xr:uid="{019BA5B1-83E4-4480-943A-89B22889C05D}">
      <text>
        <r>
          <rPr>
            <sz val="10"/>
            <color indexed="81"/>
            <rFont val="Lucida Console"/>
            <family val="3"/>
          </rPr>
          <t>_x000D_
DM-Serralheria</t>
        </r>
      </text>
    </comment>
    <comment ref="X828" authorId="0" shapeId="0" xr:uid="{10292661-727E-4E49-B58F-7115A32E5CCF}">
      <text>
        <r>
          <rPr>
            <sz val="10"/>
            <color indexed="81"/>
            <rFont val="Lucida Console"/>
            <family val="3"/>
          </rPr>
          <t>_x000D_
PARAFUSOS ELEM. VEDACAO UNIAO CONEX . FIXACAO</t>
        </r>
      </text>
    </comment>
    <comment ref="Y828" authorId="0" shapeId="0" xr:uid="{3E941BDF-82DF-46A6-A13B-AC95E131C594}">
      <text>
        <r>
          <rPr>
            <sz val="10"/>
            <color indexed="81"/>
            <rFont val="Lucida Console"/>
            <family val="3"/>
          </rPr>
          <t>_x000D_
REBITES ILHOTES PINOS E CHAVETAS</t>
        </r>
      </text>
    </comment>
    <comment ref="AW828" authorId="0" shapeId="0" xr:uid="{A5AA8631-7C4E-48CD-A2A5-1CD0BBF5848B}">
      <text>
        <r>
          <rPr>
            <sz val="10"/>
            <color indexed="81"/>
            <rFont val="Lucida Console"/>
            <family val="3"/>
          </rPr>
          <t>Tempo de Estoque (Meses)_x000D_
_x000D_
7.415,0</t>
        </r>
      </text>
    </comment>
    <comment ref="A829" authorId="0" shapeId="0" xr:uid="{9045F7A2-C766-4FE8-B4DE-E4798584748D}">
      <text>
        <r>
          <rPr>
            <sz val="10"/>
            <color indexed="81"/>
            <rFont val="Lucida Console"/>
            <family val="3"/>
          </rPr>
          <t>_x000D_
20583</t>
        </r>
      </text>
    </comment>
    <comment ref="B829" authorId="0" shapeId="0" xr:uid="{0067AF0A-2D10-4B16-9604-C8E1B86E0E44}">
      <text>
        <r>
          <rPr>
            <sz val="10"/>
            <color indexed="81"/>
            <rFont val="Lucida Console"/>
            <family val="3"/>
          </rPr>
          <t>DESCRIÇÃO DETALHADA_x000D_
REBITE DE REPUCHO EM ALUMINIO C/ MANDRIL DE ACO 6 X 25 MM</t>
        </r>
      </text>
    </comment>
    <comment ref="W829" authorId="0" shapeId="0" xr:uid="{C2CE0873-B0FF-46E0-A2BD-6CBC2B46996B}">
      <text>
        <r>
          <rPr>
            <sz val="10"/>
            <color indexed="81"/>
            <rFont val="Lucida Console"/>
            <family val="3"/>
          </rPr>
          <t>_x000D_
DM-Serralheria</t>
        </r>
      </text>
    </comment>
    <comment ref="X829" authorId="0" shapeId="0" xr:uid="{9B8DED4F-4C11-4AAB-9ABA-348C7D4034BE}">
      <text>
        <r>
          <rPr>
            <sz val="10"/>
            <color indexed="81"/>
            <rFont val="Lucida Console"/>
            <family val="3"/>
          </rPr>
          <t>_x000D_
PARAFUSOS ELEM. VEDACAO UNIAO CONEX . FIXACAO</t>
        </r>
      </text>
    </comment>
    <comment ref="Y829" authorId="0" shapeId="0" xr:uid="{222DB06C-E083-4AEE-A271-8700319B8719}">
      <text>
        <r>
          <rPr>
            <sz val="10"/>
            <color indexed="81"/>
            <rFont val="Lucida Console"/>
            <family val="3"/>
          </rPr>
          <t>_x000D_
REBITES ILHOTES PINOS E CHAVETAS</t>
        </r>
      </text>
    </comment>
    <comment ref="AW829" authorId="0" shapeId="0" xr:uid="{017DAE68-1CD6-450F-AD0E-B1D83FAC8CFE}">
      <text>
        <r>
          <rPr>
            <sz val="10"/>
            <color indexed="81"/>
            <rFont val="Lucida Console"/>
            <family val="3"/>
          </rPr>
          <t>Tempo de Estoque (Meses)_x000D_
_x000D_
13.063,0</t>
        </r>
      </text>
    </comment>
    <comment ref="A830" authorId="0" shapeId="0" xr:uid="{16E4E203-6D0B-468C-BEC2-96ED82D586C3}">
      <text>
        <r>
          <rPr>
            <sz val="10"/>
            <color indexed="81"/>
            <rFont val="Lucida Console"/>
            <family val="3"/>
          </rPr>
          <t>_x000D_
20584</t>
        </r>
      </text>
    </comment>
    <comment ref="B830" authorId="0" shapeId="0" xr:uid="{155FBE26-3DF4-49F4-8695-4A8E1845E923}">
      <text>
        <r>
          <rPr>
            <sz val="10"/>
            <color indexed="81"/>
            <rFont val="Lucida Console"/>
            <family val="3"/>
          </rPr>
          <t>DESCRIÇÃO DETALHADA_x000D_
REBITE DE REPUCHO EM ALUMINIO C/ MANDRIL DE ACO 6 X 30 MM</t>
        </r>
      </text>
    </comment>
    <comment ref="W830" authorId="0" shapeId="0" xr:uid="{75AD5664-2B5B-4BCB-AFA4-5B8E63DA919B}">
      <text>
        <r>
          <rPr>
            <sz val="10"/>
            <color indexed="81"/>
            <rFont val="Lucida Console"/>
            <family val="3"/>
          </rPr>
          <t>_x000D_
DM-Serralheria</t>
        </r>
      </text>
    </comment>
    <comment ref="X830" authorId="0" shapeId="0" xr:uid="{88A7B7C0-E034-4200-B4EF-7FD929AD0E54}">
      <text>
        <r>
          <rPr>
            <sz val="10"/>
            <color indexed="81"/>
            <rFont val="Lucida Console"/>
            <family val="3"/>
          </rPr>
          <t>_x000D_
PARAFUSOS ELEM. VEDACAO UNIAO CONEX . FIXACAO</t>
        </r>
      </text>
    </comment>
    <comment ref="Y830" authorId="0" shapeId="0" xr:uid="{60A66031-5AC0-4808-BB5D-6173DC086E37}">
      <text>
        <r>
          <rPr>
            <sz val="10"/>
            <color indexed="81"/>
            <rFont val="Lucida Console"/>
            <family val="3"/>
          </rPr>
          <t>_x000D_
REBITES ILHOTES PINOS E CHAVETAS</t>
        </r>
      </text>
    </comment>
    <comment ref="AW830" authorId="0" shapeId="0" xr:uid="{FCBE7F8D-5724-42F7-A561-F5498B481EFA}">
      <text>
        <r>
          <rPr>
            <sz val="10"/>
            <color indexed="81"/>
            <rFont val="Lucida Console"/>
            <family val="3"/>
          </rPr>
          <t>Tempo de Estoque (Meses)_x000D_
_x000D_
24.460,0</t>
        </r>
      </text>
    </comment>
    <comment ref="A831" authorId="0" shapeId="0" xr:uid="{B54D3D3E-0656-4A29-A049-F92D401C50C2}">
      <text>
        <r>
          <rPr>
            <sz val="10"/>
            <color indexed="81"/>
            <rFont val="Lucida Console"/>
            <family val="3"/>
          </rPr>
          <t>_x000D_
123349</t>
        </r>
      </text>
    </comment>
    <comment ref="B831" authorId="0" shapeId="0" xr:uid="{06E22630-0FA1-42AF-9C79-87333F728DC3}">
      <text>
        <r>
          <rPr>
            <sz val="10"/>
            <color indexed="81"/>
            <rFont val="Lucida Console"/>
            <family val="3"/>
          </rPr>
          <t>DESCRIÇÃO DETALHADA_x000D_
PINO F25 - CAIXA COM 5.000 PINOS</t>
        </r>
      </text>
    </comment>
    <comment ref="W831" authorId="0" shapeId="0" xr:uid="{AC173425-8E13-44DC-8128-4266282053AC}">
      <text>
        <r>
          <rPr>
            <sz val="10"/>
            <color indexed="81"/>
            <rFont val="Lucida Console"/>
            <family val="3"/>
          </rPr>
          <t>_x000D_
DM-Serralheria</t>
        </r>
      </text>
    </comment>
    <comment ref="X831" authorId="0" shapeId="0" xr:uid="{A3DFB19D-6798-4999-AB81-E94064BA94D3}">
      <text>
        <r>
          <rPr>
            <sz val="10"/>
            <color indexed="81"/>
            <rFont val="Lucida Console"/>
            <family val="3"/>
          </rPr>
          <t>_x000D_
PARAFUSOS ELEM. VEDACAO UNIAO CONEX . FIXACAO</t>
        </r>
      </text>
    </comment>
    <comment ref="Y831" authorId="0" shapeId="0" xr:uid="{95518BD6-1024-4564-B8CC-F6A605119937}">
      <text>
        <r>
          <rPr>
            <sz val="10"/>
            <color indexed="81"/>
            <rFont val="Lucida Console"/>
            <family val="3"/>
          </rPr>
          <t>_x000D_
REBITES ILHOTES PINOS E CHAVETAS</t>
        </r>
      </text>
    </comment>
    <comment ref="AW831" authorId="0" shapeId="0" xr:uid="{FE3725E0-404D-4825-A981-C00E50FF3E8A}">
      <text>
        <r>
          <rPr>
            <sz val="10"/>
            <color indexed="81"/>
            <rFont val="Lucida Console"/>
            <family val="3"/>
          </rPr>
          <t>Tempo de Estoque (Meses)_x000D_
_x000D_
164,0</t>
        </r>
      </text>
    </comment>
    <comment ref="A832" authorId="0" shapeId="0" xr:uid="{F46FFE36-BAC1-4C93-A9DE-30B6EF792AA1}">
      <text>
        <r>
          <rPr>
            <sz val="10"/>
            <color indexed="81"/>
            <rFont val="Lucida Console"/>
            <family val="3"/>
          </rPr>
          <t>_x000D_
123350</t>
        </r>
      </text>
    </comment>
    <comment ref="B832" authorId="0" shapeId="0" xr:uid="{D7678DBE-A969-4C83-BF8E-DB92F529830F}">
      <text>
        <r>
          <rPr>
            <sz val="10"/>
            <color indexed="81"/>
            <rFont val="Lucida Console"/>
            <family val="3"/>
          </rPr>
          <t>DESCRIÇÃO DETALHADA_x000D_
PINO F30 - CAIXA COM 5.000 PINOS</t>
        </r>
      </text>
    </comment>
    <comment ref="W832" authorId="0" shapeId="0" xr:uid="{B9FA9D73-8E79-4D81-A2FB-E8AAA33F141C}">
      <text>
        <r>
          <rPr>
            <sz val="10"/>
            <color indexed="81"/>
            <rFont val="Lucida Console"/>
            <family val="3"/>
          </rPr>
          <t>_x000D_
DM-Serralheria</t>
        </r>
      </text>
    </comment>
    <comment ref="X832" authorId="0" shapeId="0" xr:uid="{3433BECF-2441-4224-880C-D55E30329F44}">
      <text>
        <r>
          <rPr>
            <sz val="10"/>
            <color indexed="81"/>
            <rFont val="Lucida Console"/>
            <family val="3"/>
          </rPr>
          <t>_x000D_
PARAFUSOS ELEM. VEDACAO UNIAO CONEX . FIXACAO</t>
        </r>
      </text>
    </comment>
    <comment ref="Y832" authorId="0" shapeId="0" xr:uid="{F5FB5A75-9C0C-4D74-B35C-EE285F9C8390}">
      <text>
        <r>
          <rPr>
            <sz val="10"/>
            <color indexed="81"/>
            <rFont val="Lucida Console"/>
            <family val="3"/>
          </rPr>
          <t>_x000D_
REBITES ILHOTES PINOS E CHAVETAS</t>
        </r>
      </text>
    </comment>
    <comment ref="AW832" authorId="0" shapeId="0" xr:uid="{1B3E587E-0658-47F3-86A8-AE9EF347A636}">
      <text>
        <r>
          <rPr>
            <sz val="10"/>
            <color indexed="81"/>
            <rFont val="Lucida Console"/>
            <family val="3"/>
          </rPr>
          <t>Tempo de Estoque (Meses)_x000D_
_x000D_
91,0</t>
        </r>
      </text>
    </comment>
    <comment ref="A833" authorId="0" shapeId="0" xr:uid="{7635896B-7F5C-4A84-B41B-79A651A449E1}">
      <text>
        <r>
          <rPr>
            <sz val="10"/>
            <color indexed="81"/>
            <rFont val="Lucida Console"/>
            <family val="3"/>
          </rPr>
          <t>_x000D_
133366</t>
        </r>
      </text>
    </comment>
    <comment ref="B833" authorId="0" shapeId="0" xr:uid="{5DAF2173-B3DE-4551-AE40-203656D16998}">
      <text>
        <r>
          <rPr>
            <sz val="10"/>
            <color indexed="81"/>
            <rFont val="Lucida Console"/>
            <family val="3"/>
          </rPr>
          <t>DESCRIÇÃO DETALHADA_x000D_
BUCHA PARA GESSO ACARTONADO (DRYWALL), ESPESSURA DE 15 MM A 23 MM</t>
        </r>
      </text>
    </comment>
    <comment ref="W833" authorId="0" shapeId="0" xr:uid="{ACDB6C33-519A-475F-A624-E158B20D32D4}">
      <text>
        <r>
          <rPr>
            <sz val="10"/>
            <color indexed="81"/>
            <rFont val="Lucida Console"/>
            <family val="3"/>
          </rPr>
          <t>_x000D_
DM-Construção</t>
        </r>
      </text>
    </comment>
    <comment ref="X833" authorId="0" shapeId="0" xr:uid="{64A2B3C6-0A1D-492E-95D2-71C8912F5DC0}">
      <text>
        <r>
          <rPr>
            <sz val="10"/>
            <color indexed="81"/>
            <rFont val="Lucida Console"/>
            <family val="3"/>
          </rPr>
          <t>_x000D_
PARAFUSOS ELEM. VEDACAO UNIAO CONEX . FIXACAO</t>
        </r>
      </text>
    </comment>
    <comment ref="Y833" authorId="0" shapeId="0" xr:uid="{413527DA-A203-4CDB-A0DB-71F9052A8654}">
      <text>
        <r>
          <rPr>
            <sz val="10"/>
            <color indexed="81"/>
            <rFont val="Lucida Console"/>
            <family val="3"/>
          </rPr>
          <t>_x000D_
BUCHAS CHUMBADORES E GANCHOS</t>
        </r>
      </text>
    </comment>
    <comment ref="AW833" authorId="0" shapeId="0" xr:uid="{824820D8-DA4F-4714-84D1-7096378A776B}">
      <text>
        <r>
          <rPr>
            <sz val="10"/>
            <color indexed="81"/>
            <rFont val="Lucida Console"/>
            <family val="3"/>
          </rPr>
          <t>Tempo de Estoque (Meses)_x000D_
_x000D_
28.282,0</t>
        </r>
      </text>
    </comment>
    <comment ref="A834" authorId="0" shapeId="0" xr:uid="{55D2D23F-07D0-446C-B66A-D1AF7112EEB1}">
      <text>
        <r>
          <rPr>
            <sz val="10"/>
            <color indexed="81"/>
            <rFont val="Lucida Console"/>
            <family val="3"/>
          </rPr>
          <t>_x000D_
77788</t>
        </r>
      </text>
    </comment>
    <comment ref="B834" authorId="0" shapeId="0" xr:uid="{4FEAF1AA-8696-4E61-8370-74F9D21175FF}">
      <text>
        <r>
          <rPr>
            <sz val="10"/>
            <color indexed="81"/>
            <rFont val="Lucida Console"/>
            <family val="3"/>
          </rPr>
          <t>DESCRIÇÃO DETALHADA_x000D_
RODIZIO GIRATORIO DE 2" - P/CARRINHO COM PLACA</t>
        </r>
      </text>
    </comment>
    <comment ref="W834" authorId="0" shapeId="0" xr:uid="{789C1BBE-BB28-4528-9FD5-9FDD796ABB74}">
      <text>
        <r>
          <rPr>
            <sz val="10"/>
            <color indexed="81"/>
            <rFont val="Lucida Console"/>
            <family val="3"/>
          </rPr>
          <t>_x000D_
Administrativo</t>
        </r>
      </text>
    </comment>
    <comment ref="X834" authorId="0" shapeId="0" xr:uid="{DB04AFE9-DBE0-4EB2-A44F-74F23E22D849}">
      <text>
        <r>
          <rPr>
            <sz val="10"/>
            <color indexed="81"/>
            <rFont val="Lucida Console"/>
            <family val="3"/>
          </rPr>
          <t>_x000D_
PARAFUSOS ELEM. VEDACAO UNIAO CONEX . FIXACAO</t>
        </r>
      </text>
    </comment>
    <comment ref="Y834" authorId="0" shapeId="0" xr:uid="{4AA8F6CA-B00E-4933-A413-BBF6B3483950}">
      <text>
        <r>
          <rPr>
            <sz val="10"/>
            <color indexed="81"/>
            <rFont val="Lucida Console"/>
            <family val="3"/>
          </rPr>
          <t>_x000D_
PECAS METALICAS VARIADAS</t>
        </r>
      </text>
    </comment>
    <comment ref="AW834" authorId="0" shapeId="0" xr:uid="{F14CDB98-4C0B-412A-99C7-517B1EF698B0}">
      <text>
        <r>
          <rPr>
            <sz val="10"/>
            <color indexed="81"/>
            <rFont val="Lucida Console"/>
            <family val="3"/>
          </rPr>
          <t>Tempo de Estoque (Meses)_x000D_
_x000D_
776,0</t>
        </r>
      </text>
    </comment>
    <comment ref="A835" authorId="0" shapeId="0" xr:uid="{B6010C37-AED3-4DC5-9E18-9B4A3A02C60C}">
      <text>
        <r>
          <rPr>
            <sz val="10"/>
            <color indexed="81"/>
            <rFont val="Lucida Console"/>
            <family val="3"/>
          </rPr>
          <t>_x000D_
33609</t>
        </r>
      </text>
    </comment>
    <comment ref="B835" authorId="0" shapeId="0" xr:uid="{3DFEDC95-44D3-4253-B8D8-BA260625F1DF}">
      <text>
        <r>
          <rPr>
            <sz val="10"/>
            <color indexed="81"/>
            <rFont val="Lucida Console"/>
            <family val="3"/>
          </rPr>
          <t>DESCRIÇÃO DETALHADA_x000D_
ARAME DE ACO CARBONO GALVANIZADO - BWG N° 10 (3,40 MM), ROLO COM 50 KG</t>
        </r>
      </text>
    </comment>
    <comment ref="W835" authorId="0" shapeId="0" xr:uid="{77D9F0B8-DD11-4E91-843D-8A974BE66AD6}">
      <text>
        <r>
          <rPr>
            <sz val="10"/>
            <color indexed="81"/>
            <rFont val="Lucida Console"/>
            <family val="3"/>
          </rPr>
          <t>_x000D_
DM-Construção</t>
        </r>
      </text>
    </comment>
    <comment ref="X835" authorId="0" shapeId="0" xr:uid="{0953428C-CC11-465A-B0B2-6B52AEB051EB}">
      <text>
        <r>
          <rPr>
            <sz val="10"/>
            <color indexed="81"/>
            <rFont val="Lucida Console"/>
            <family val="3"/>
          </rPr>
          <t>_x000D_
PARAFUSOS ELEM. VEDACAO UNIAO CONEX . FIXACAO</t>
        </r>
      </text>
    </comment>
    <comment ref="Y835" authorId="0" shapeId="0" xr:uid="{D94937D4-92A0-425D-B748-58718899653B}">
      <text>
        <r>
          <rPr>
            <sz val="10"/>
            <color indexed="81"/>
            <rFont val="Lucida Console"/>
            <family val="3"/>
          </rPr>
          <t>_x000D_
ARAMES E ACESSORIOS P/ CERCA...</t>
        </r>
      </text>
    </comment>
    <comment ref="AW835" authorId="0" shapeId="0" xr:uid="{81FA0483-251A-4835-8E46-94EF20D3A7A5}">
      <text>
        <r>
          <rPr>
            <sz val="10"/>
            <color indexed="81"/>
            <rFont val="Lucida Console"/>
            <family val="3"/>
          </rPr>
          <t>Tempo de Estoque (Meses)_x000D_
_x000D_
145,0</t>
        </r>
      </text>
    </comment>
    <comment ref="A836" authorId="0" shapeId="0" xr:uid="{816D358B-88DE-491D-999D-6C63B886C641}">
      <text>
        <r>
          <rPr>
            <sz val="10"/>
            <color indexed="81"/>
            <rFont val="Lucida Console"/>
            <family val="3"/>
          </rPr>
          <t>_x000D_
33612</t>
        </r>
      </text>
    </comment>
    <comment ref="B836" authorId="0" shapeId="0" xr:uid="{DD736E26-7BF3-4392-8733-BA36543DA8DE}">
      <text>
        <r>
          <rPr>
            <sz val="10"/>
            <color indexed="81"/>
            <rFont val="Lucida Console"/>
            <family val="3"/>
          </rPr>
          <t>DESCRIÇÃO DETALHADA_x000D_
ARAME DE ACO CARBONO GALVANIZADO - BWG N° 16 (1,65 MM) - ROLO C/ 01 KG</t>
        </r>
      </text>
    </comment>
    <comment ref="W836" authorId="0" shapeId="0" xr:uid="{03BCCE88-7797-4F21-8507-761B80680992}">
      <text>
        <r>
          <rPr>
            <sz val="10"/>
            <color indexed="81"/>
            <rFont val="Lucida Console"/>
            <family val="3"/>
          </rPr>
          <t>_x000D_
DM-Construção</t>
        </r>
      </text>
    </comment>
    <comment ref="X836" authorId="0" shapeId="0" xr:uid="{34A00D4E-7B77-4BA8-879A-B4AE18F57768}">
      <text>
        <r>
          <rPr>
            <sz val="10"/>
            <color indexed="81"/>
            <rFont val="Lucida Console"/>
            <family val="3"/>
          </rPr>
          <t>_x000D_
PARAFUSOS ELEM. VEDACAO UNIAO CONEX . FIXACAO</t>
        </r>
      </text>
    </comment>
    <comment ref="Y836" authorId="0" shapeId="0" xr:uid="{F213D03C-6541-44AF-A494-D3172DCDA7B8}">
      <text>
        <r>
          <rPr>
            <sz val="10"/>
            <color indexed="81"/>
            <rFont val="Lucida Console"/>
            <family val="3"/>
          </rPr>
          <t>_x000D_
ARAMES E ACESSORIOS P/ CERCA...</t>
        </r>
      </text>
    </comment>
    <comment ref="AW836" authorId="0" shapeId="0" xr:uid="{9FFC46D8-7AD0-4DEB-BBDB-977411373E71}">
      <text>
        <r>
          <rPr>
            <sz val="10"/>
            <color indexed="81"/>
            <rFont val="Lucida Console"/>
            <family val="3"/>
          </rPr>
          <t>Tempo de Estoque (Meses)_x000D_
_x000D_
325,0</t>
        </r>
      </text>
    </comment>
    <comment ref="A837" authorId="0" shapeId="0" xr:uid="{BEEFF29E-13B7-4F03-B0F6-89516AE489CC}">
      <text>
        <r>
          <rPr>
            <sz val="10"/>
            <color indexed="81"/>
            <rFont val="Lucida Console"/>
            <family val="3"/>
          </rPr>
          <t>_x000D_
33623</t>
        </r>
      </text>
    </comment>
    <comment ref="B837" authorId="0" shapeId="0" xr:uid="{B4508A35-FF17-4C0B-AAD9-96F865F0D8D3}">
      <text>
        <r>
          <rPr>
            <sz val="10"/>
            <color indexed="81"/>
            <rFont val="Lucida Console"/>
            <family val="3"/>
          </rPr>
          <t>DESCRIÇÃO DETALHADA_x000D_
ARAME DE ACO CARBONO RECOZIDO (LISO) - BWG N° 18 (1,24 MM) - ROLO COM 1 KG</t>
        </r>
      </text>
    </comment>
    <comment ref="W837" authorId="0" shapeId="0" xr:uid="{5AF0AE2A-25B5-4BF1-A11C-3BF6E809EA56}">
      <text>
        <r>
          <rPr>
            <sz val="10"/>
            <color indexed="81"/>
            <rFont val="Lucida Console"/>
            <family val="3"/>
          </rPr>
          <t>_x000D_
DM-Construção</t>
        </r>
      </text>
    </comment>
    <comment ref="X837" authorId="0" shapeId="0" xr:uid="{200AFD3B-F12F-4DEA-92B0-494227498493}">
      <text>
        <r>
          <rPr>
            <sz val="10"/>
            <color indexed="81"/>
            <rFont val="Lucida Console"/>
            <family val="3"/>
          </rPr>
          <t>_x000D_
PARAFUSOS ELEM. VEDACAO UNIAO CONEX . FIXACAO</t>
        </r>
      </text>
    </comment>
    <comment ref="Y837" authorId="0" shapeId="0" xr:uid="{E63F6782-F13C-4BC0-8F72-4922FEC564A2}">
      <text>
        <r>
          <rPr>
            <sz val="10"/>
            <color indexed="81"/>
            <rFont val="Lucida Console"/>
            <family val="3"/>
          </rPr>
          <t>_x000D_
ARAMES E ACESSORIOS P/ CERCA...</t>
        </r>
      </text>
    </comment>
    <comment ref="AW837" authorId="0" shapeId="0" xr:uid="{E9C18ABE-FED7-4567-93A4-C5DD504264A7}">
      <text>
        <r>
          <rPr>
            <sz val="10"/>
            <color indexed="81"/>
            <rFont val="Lucida Console"/>
            <family val="3"/>
          </rPr>
          <t>Tempo de Estoque (Meses)_x000D_
_x000D_
408,0</t>
        </r>
      </text>
    </comment>
    <comment ref="A838" authorId="0" shapeId="0" xr:uid="{2E5F53D8-454F-430D-9E02-B93D6896EB3E}">
      <text>
        <r>
          <rPr>
            <sz val="10"/>
            <color indexed="81"/>
            <rFont val="Lucida Console"/>
            <family val="3"/>
          </rPr>
          <t>_x000D_
81514</t>
        </r>
      </text>
    </comment>
    <comment ref="B838" authorId="0" shapeId="0" xr:uid="{A96E251B-835A-466A-805A-CEDC52C4F6E6}">
      <text>
        <r>
          <rPr>
            <sz val="10"/>
            <color indexed="81"/>
            <rFont val="Lucida Console"/>
            <family val="3"/>
          </rPr>
          <t>DESCRIÇÃO DETALHADA_x000D_
PARAFUSO EM ACO BICROMATIZADO, CABECA CHATA - 3,5 X 16 MM - CABECA COM ENCAIXE PARA CHAVE PHILLIPS</t>
        </r>
      </text>
    </comment>
    <comment ref="W838" authorId="0" shapeId="0" xr:uid="{FF65F13B-15E2-44B0-85AD-E3C7BA6F5FC9}">
      <text>
        <r>
          <rPr>
            <sz val="10"/>
            <color indexed="81"/>
            <rFont val="Lucida Console"/>
            <family val="3"/>
          </rPr>
          <t>_x000D_
DM-Marcenaria</t>
        </r>
      </text>
    </comment>
    <comment ref="X838" authorId="0" shapeId="0" xr:uid="{A25AC488-01D8-448C-977F-4187CC0C9C6B}">
      <text>
        <r>
          <rPr>
            <sz val="10"/>
            <color indexed="81"/>
            <rFont val="Lucida Console"/>
            <family val="3"/>
          </rPr>
          <t>_x000D_
PARAFUSOS ELEM. VEDACAO UNIAO CONEX . FIXACAO</t>
        </r>
      </text>
    </comment>
    <comment ref="Y838" authorId="0" shapeId="0" xr:uid="{68A795E2-DFB2-43F8-9E67-12AF42178A22}">
      <text>
        <r>
          <rPr>
            <sz val="10"/>
            <color indexed="81"/>
            <rFont val="Lucida Console"/>
            <family val="3"/>
          </rPr>
          <t>_x000D_
PARAFUSO P/ MADEIRA</t>
        </r>
      </text>
    </comment>
    <comment ref="AW838" authorId="0" shapeId="0" xr:uid="{CE6624A8-4BBC-4156-9DD1-F3CE48B5B4BE}">
      <text>
        <r>
          <rPr>
            <sz val="10"/>
            <color indexed="81"/>
            <rFont val="Lucida Console"/>
            <family val="3"/>
          </rPr>
          <t>Tempo de Estoque (Meses)_x000D_
_x000D_
131.012,0</t>
        </r>
      </text>
    </comment>
    <comment ref="A839" authorId="0" shapeId="0" xr:uid="{7AFFEA72-C9D4-4379-8007-BF613DE79586}">
      <text>
        <r>
          <rPr>
            <sz val="10"/>
            <color indexed="81"/>
            <rFont val="Lucida Console"/>
            <family val="3"/>
          </rPr>
          <t>_x000D_
78418</t>
        </r>
      </text>
    </comment>
    <comment ref="B839" authorId="0" shapeId="0" xr:uid="{5ECD4D77-4FD9-46A8-B13D-4A3CFF779EC6}">
      <text>
        <r>
          <rPr>
            <sz val="10"/>
            <color indexed="81"/>
            <rFont val="Lucida Console"/>
            <family val="3"/>
          </rPr>
          <t>DESCRIÇÃO DETALHADA_x000D_
PARAFUSO SEXTAVADO - 1/2" X 3.1/2" - COM PORCA</t>
        </r>
      </text>
    </comment>
    <comment ref="W839" authorId="0" shapeId="0" xr:uid="{C5BB0634-4BD3-473D-9EEB-5EB1F1EA591D}">
      <text>
        <r>
          <rPr>
            <sz val="10"/>
            <color indexed="81"/>
            <rFont val="Lucida Console"/>
            <family val="3"/>
          </rPr>
          <t>_x000D_
DM-Serralheria</t>
        </r>
      </text>
    </comment>
    <comment ref="X839" authorId="0" shapeId="0" xr:uid="{F96D9C1A-5535-4127-A80C-A428C515894D}">
      <text>
        <r>
          <rPr>
            <sz val="10"/>
            <color indexed="81"/>
            <rFont val="Lucida Console"/>
            <family val="3"/>
          </rPr>
          <t>_x000D_
PARAFUSOS ELEM. VEDACAO UNIAO CONEX . FIXACAO</t>
        </r>
      </text>
    </comment>
    <comment ref="Y839" authorId="0" shapeId="0" xr:uid="{5BC55D39-9BFA-4345-8D17-1C26CB8BB3AE}">
      <text>
        <r>
          <rPr>
            <sz val="10"/>
            <color indexed="81"/>
            <rFont val="Lucida Console"/>
            <family val="3"/>
          </rPr>
          <t>_x000D_
PARAFUSO SEXTAVADO</t>
        </r>
      </text>
    </comment>
    <comment ref="AW839" authorId="0" shapeId="0" xr:uid="{786C81BC-365F-41FF-9E7C-A1B52FE142AA}">
      <text>
        <r>
          <rPr>
            <sz val="10"/>
            <color indexed="81"/>
            <rFont val="Lucida Console"/>
            <family val="3"/>
          </rPr>
          <t>Tempo de Estoque (Meses)_x000D_
_x000D_
255,0</t>
        </r>
      </text>
    </comment>
    <comment ref="A840" authorId="0" shapeId="0" xr:uid="{947F4BC1-CBC2-4D11-8519-50B8512DE4A8}">
      <text>
        <r>
          <rPr>
            <sz val="10"/>
            <color indexed="81"/>
            <rFont val="Lucida Console"/>
            <family val="3"/>
          </rPr>
          <t>_x000D_
104655</t>
        </r>
      </text>
    </comment>
    <comment ref="B840" authorId="0" shapeId="0" xr:uid="{449B65A4-6BA1-46E3-B591-988F3E0550D9}">
      <text>
        <r>
          <rPr>
            <sz val="10"/>
            <color indexed="81"/>
            <rFont val="Lucida Console"/>
            <family val="3"/>
          </rPr>
          <t>DESCRIÇÃO DETALHADA_x000D_
PARAFUSO (FIXER) BICROMATIZADO, CABECA CHATA PHILIPS, ROSCA SOBERBA, MEDINDO 6 X 100 MM.</t>
        </r>
      </text>
    </comment>
    <comment ref="W840" authorId="0" shapeId="0" xr:uid="{574C0BB5-D9DD-4B03-BDE6-124594D3BBE4}">
      <text>
        <r>
          <rPr>
            <sz val="10"/>
            <color indexed="81"/>
            <rFont val="Lucida Console"/>
            <family val="3"/>
          </rPr>
          <t>_x000D_
DM-Serralheria</t>
        </r>
      </text>
    </comment>
    <comment ref="X840" authorId="0" shapeId="0" xr:uid="{DF3E9E31-EF12-4FDF-BCAB-968ABEB84C96}">
      <text>
        <r>
          <rPr>
            <sz val="10"/>
            <color indexed="81"/>
            <rFont val="Lucida Console"/>
            <family val="3"/>
          </rPr>
          <t>_x000D_
PARAFUSOS ELEM. VEDACAO UNIAO CONEX . FIXACAO</t>
        </r>
      </text>
    </comment>
    <comment ref="Y840" authorId="0" shapeId="0" xr:uid="{17BBE643-3BC5-4655-B273-BCB9F0A86B91}">
      <text>
        <r>
          <rPr>
            <sz val="10"/>
            <color indexed="81"/>
            <rFont val="Lucida Console"/>
            <family val="3"/>
          </rPr>
          <t>_x000D_
PARAFUSO AUTO-ATARRACHANTE</t>
        </r>
      </text>
    </comment>
    <comment ref="AW840" authorId="0" shapeId="0" xr:uid="{D41D051D-D6A1-452C-9618-4CA48A112980}">
      <text>
        <r>
          <rPr>
            <sz val="10"/>
            <color indexed="81"/>
            <rFont val="Lucida Console"/>
            <family val="3"/>
          </rPr>
          <t>Tempo de Estoque (Meses)_x000D_
_x000D_
12.374,0</t>
        </r>
      </text>
    </comment>
    <comment ref="A841" authorId="0" shapeId="0" xr:uid="{B62915FB-EE4D-4CCF-A49C-0DC7888E1662}">
      <text>
        <r>
          <rPr>
            <sz val="10"/>
            <color indexed="81"/>
            <rFont val="Lucida Console"/>
            <family val="3"/>
          </rPr>
          <t>_x000D_
78416</t>
        </r>
      </text>
    </comment>
    <comment ref="B841" authorId="0" shapeId="0" xr:uid="{03345200-B61C-4103-9A8A-E724C9D360B9}">
      <text>
        <r>
          <rPr>
            <sz val="10"/>
            <color indexed="81"/>
            <rFont val="Lucida Console"/>
            <family val="3"/>
          </rPr>
          <t>DESCRIÇÃO DETALHADA_x000D_
PARAFUSO FRANCES - 1/2" X 8" - COM PORCA E ARRUELA</t>
        </r>
      </text>
    </comment>
    <comment ref="W841" authorId="0" shapeId="0" xr:uid="{6C173AD9-F36D-40B7-ABBC-F60FC661F417}">
      <text>
        <r>
          <rPr>
            <sz val="10"/>
            <color indexed="81"/>
            <rFont val="Lucida Console"/>
            <family val="3"/>
          </rPr>
          <t>_x000D_
DM-Marcenaria</t>
        </r>
      </text>
    </comment>
    <comment ref="X841" authorId="0" shapeId="0" xr:uid="{B2841F93-2B7F-43F5-9E5F-92F123E34669}">
      <text>
        <r>
          <rPr>
            <sz val="10"/>
            <color indexed="81"/>
            <rFont val="Lucida Console"/>
            <family val="3"/>
          </rPr>
          <t>_x000D_
PARAFUSOS ELEM. VEDACAO UNIAO CONEX . FIXACAO</t>
        </r>
      </text>
    </comment>
    <comment ref="Y841" authorId="0" shapeId="0" xr:uid="{1F1F7301-9991-40F6-B3C7-2D7406E4F985}">
      <text>
        <r>
          <rPr>
            <sz val="10"/>
            <color indexed="81"/>
            <rFont val="Lucida Console"/>
            <family val="3"/>
          </rPr>
          <t>_x000D_
PARAFUSO FRANCES</t>
        </r>
      </text>
    </comment>
    <comment ref="AW841" authorId="0" shapeId="0" xr:uid="{1F0031D6-5F6F-45E2-95E7-949B2CADC137}">
      <text>
        <r>
          <rPr>
            <sz val="10"/>
            <color indexed="81"/>
            <rFont val="Lucida Console"/>
            <family val="3"/>
          </rPr>
          <t>Tempo de Estoque (Meses)_x000D_
_x000D_
1.019,0</t>
        </r>
      </text>
    </comment>
    <comment ref="A842" authorId="0" shapeId="0" xr:uid="{B76F7C5C-11D0-456B-84A8-C5A0A1A01D1B}">
      <text>
        <r>
          <rPr>
            <sz val="10"/>
            <color indexed="81"/>
            <rFont val="Lucida Console"/>
            <family val="3"/>
          </rPr>
          <t>_x000D_
114923</t>
        </r>
      </text>
    </comment>
    <comment ref="B842" authorId="0" shapeId="0" xr:uid="{3DEBD7E7-7A7B-447F-8877-3AC1BDB5CEE5}">
      <text>
        <r>
          <rPr>
            <sz val="10"/>
            <color indexed="81"/>
            <rFont val="Lucida Console"/>
            <family val="3"/>
          </rPr>
          <t>DESCRIÇÃO DETALHADA_x000D_
PARAFUSO CABECA FRANCESA 3/16 X 2" COM ARRUELA E PORCA</t>
        </r>
      </text>
    </comment>
    <comment ref="W842" authorId="0" shapeId="0" xr:uid="{1028C6DB-1224-4DE9-B37E-27C7701E8FDD}">
      <text>
        <r>
          <rPr>
            <sz val="10"/>
            <color indexed="81"/>
            <rFont val="Lucida Console"/>
            <family val="3"/>
          </rPr>
          <t>_x000D_
DM-Marcenaria</t>
        </r>
      </text>
    </comment>
    <comment ref="X842" authorId="0" shapeId="0" xr:uid="{43C5CCC8-4251-42B9-A075-FE4A0CFEB9B5}">
      <text>
        <r>
          <rPr>
            <sz val="10"/>
            <color indexed="81"/>
            <rFont val="Lucida Console"/>
            <family val="3"/>
          </rPr>
          <t>_x000D_
PARAFUSOS ELEM. VEDACAO UNIAO CONEX . FIXACAO</t>
        </r>
      </text>
    </comment>
    <comment ref="Y842" authorId="0" shapeId="0" xr:uid="{1639F515-7FB5-4820-A230-BE8A258BA2F7}">
      <text>
        <r>
          <rPr>
            <sz val="10"/>
            <color indexed="81"/>
            <rFont val="Lucida Console"/>
            <family val="3"/>
          </rPr>
          <t>_x000D_
PARAFUSO FRANCES</t>
        </r>
      </text>
    </comment>
    <comment ref="AW842" authorId="0" shapeId="0" xr:uid="{B366A5E7-68FE-44E5-895F-D0661C23CADB}">
      <text>
        <r>
          <rPr>
            <sz val="10"/>
            <color indexed="81"/>
            <rFont val="Lucida Console"/>
            <family val="3"/>
          </rPr>
          <t>Tempo de Estoque (Meses)_x000D_
_x000D_
5.742,0</t>
        </r>
      </text>
    </comment>
    <comment ref="A843" authorId="0" shapeId="0" xr:uid="{491AC554-399D-4D51-8922-51067617D2F3}">
      <text>
        <r>
          <rPr>
            <sz val="10"/>
            <color indexed="81"/>
            <rFont val="Lucida Console"/>
            <family val="3"/>
          </rPr>
          <t>_x000D_
126059</t>
        </r>
      </text>
    </comment>
    <comment ref="B843" authorId="0" shapeId="0" xr:uid="{C64E6477-4653-4A5C-AE6C-F6B5C9FA7BE2}">
      <text>
        <r>
          <rPr>
            <sz val="10"/>
            <color indexed="81"/>
            <rFont val="Lucida Console"/>
            <family val="3"/>
          </rPr>
          <t>DESCRIÇÃO DETALHADA_x000D_
PARAFUSO DE ZINCO AMARELO, CABECA CHATA PH 6,0 X 40 - CAIXA COM 100 UNIDADES</t>
        </r>
      </text>
    </comment>
    <comment ref="W843" authorId="0" shapeId="0" xr:uid="{610E13B0-32B0-4760-9642-107B674547FB}">
      <text>
        <r>
          <rPr>
            <sz val="10"/>
            <color indexed="81"/>
            <rFont val="Lucida Console"/>
            <family val="3"/>
          </rPr>
          <t>_x000D_
DM-Marcenaria</t>
        </r>
      </text>
    </comment>
    <comment ref="X843" authorId="0" shapeId="0" xr:uid="{0565DD06-2D16-435B-91C9-81013D5FB2B9}">
      <text>
        <r>
          <rPr>
            <sz val="10"/>
            <color indexed="81"/>
            <rFont val="Lucida Console"/>
            <family val="3"/>
          </rPr>
          <t>_x000D_
PARAFUSOS ELEM. VEDACAO UNIAO CONEX . FIXACAO</t>
        </r>
      </text>
    </comment>
    <comment ref="Y843" authorId="0" shapeId="0" xr:uid="{70B9A5D9-B788-4933-BC4E-CAFADA9CFCED}">
      <text>
        <r>
          <rPr>
            <sz val="10"/>
            <color indexed="81"/>
            <rFont val="Lucida Console"/>
            <family val="3"/>
          </rPr>
          <t>_x000D_
PARAFUSO FRANCES</t>
        </r>
      </text>
    </comment>
    <comment ref="AC843" authorId="0" shapeId="0" xr:uid="{B2B26E8A-7395-4763-8CB1-B9F791BFCCF2}">
      <text>
        <r>
          <rPr>
            <sz val="10"/>
            <color indexed="81"/>
            <rFont val="Lucida Console"/>
            <family val="3"/>
          </rPr>
          <t>_x000D_
AF 11.883/23 | Vc 10.10.2023 | Saldo    100 | NOG. COM VARIEDADES LTDA ( 148457 )</t>
        </r>
      </text>
    </comment>
    <comment ref="AG843" authorId="0" shapeId="0" xr:uid="{E87DD41F-B38D-4048-B815-B184C15CF392}">
      <text>
        <r>
          <rPr>
            <sz val="10"/>
            <color indexed="81"/>
            <rFont val="Lucida Console"/>
            <family val="3"/>
          </rPr>
          <t>_x000D_
AF 11.883/23 | Vc 10.10.2023 | Saldo    100 | NOG. COM VARIEDADES LTDA ( 148457 )</t>
        </r>
      </text>
    </comment>
    <comment ref="AW843" authorId="0" shapeId="0" xr:uid="{11E3EE17-D073-4290-8CF5-9D2799450DAF}">
      <text>
        <r>
          <rPr>
            <sz val="10"/>
            <color indexed="81"/>
            <rFont val="Lucida Console"/>
            <family val="3"/>
          </rPr>
          <t>Tempo de Estoque (Meses)_x000D_
_x000D_
100,0</t>
        </r>
      </text>
    </comment>
    <comment ref="A844" authorId="0" shapeId="0" xr:uid="{E0D6B7BD-2BAD-4D53-BCE3-AF1A78650744}">
      <text>
        <r>
          <rPr>
            <sz val="10"/>
            <color indexed="81"/>
            <rFont val="Lucida Console"/>
            <family val="3"/>
          </rPr>
          <t>_x000D_
126060</t>
        </r>
      </text>
    </comment>
    <comment ref="B844" authorId="0" shapeId="0" xr:uid="{31D2E847-D65C-4834-A588-97B83593FD65}">
      <text>
        <r>
          <rPr>
            <sz val="10"/>
            <color indexed="81"/>
            <rFont val="Lucida Console"/>
            <family val="3"/>
          </rPr>
          <t>DESCRIÇÃO DETALHADA_x000D_
PARAFUSO DE ZINCO AMARELO, CABECA CHATA PH 6,0 X 50 - CAIXA COM 100 UNIDADES</t>
        </r>
      </text>
    </comment>
    <comment ref="W844" authorId="0" shapeId="0" xr:uid="{0F789DA6-9327-43BB-B5CC-7BDE25DEC59A}">
      <text>
        <r>
          <rPr>
            <sz val="10"/>
            <color indexed="81"/>
            <rFont val="Lucida Console"/>
            <family val="3"/>
          </rPr>
          <t>_x000D_
DM-Marcenaria</t>
        </r>
      </text>
    </comment>
    <comment ref="X844" authorId="0" shapeId="0" xr:uid="{10BD082A-08E4-4CC2-9A6F-99353BFD5A6B}">
      <text>
        <r>
          <rPr>
            <sz val="10"/>
            <color indexed="81"/>
            <rFont val="Lucida Console"/>
            <family val="3"/>
          </rPr>
          <t>_x000D_
PARAFUSOS ELEM. VEDACAO UNIAO CONEX . FIXACAO</t>
        </r>
      </text>
    </comment>
    <comment ref="Y844" authorId="0" shapeId="0" xr:uid="{69986C2C-FE8C-4D51-BC6C-BDE90A7FA45F}">
      <text>
        <r>
          <rPr>
            <sz val="10"/>
            <color indexed="81"/>
            <rFont val="Lucida Console"/>
            <family val="3"/>
          </rPr>
          <t>_x000D_
PARAFUSO FRANCES</t>
        </r>
      </text>
    </comment>
    <comment ref="AC844" authorId="0" shapeId="0" xr:uid="{E6311AFD-6F1A-4392-AABD-AA3CF4F59DC2}">
      <text>
        <r>
          <rPr>
            <sz val="10"/>
            <color indexed="81"/>
            <rFont val="Lucida Console"/>
            <family val="3"/>
          </rPr>
          <t>_x000D_
AF 11.884/23 | Vc 10.10.2023 | Saldo    150 | NOG. COM VARIEDADES LTDA ( 148457 )</t>
        </r>
      </text>
    </comment>
    <comment ref="AG844" authorId="0" shapeId="0" xr:uid="{0D6FE0C8-39B2-4F02-8CC1-D37AD9D68F27}">
      <text>
        <r>
          <rPr>
            <sz val="10"/>
            <color indexed="81"/>
            <rFont val="Lucida Console"/>
            <family val="3"/>
          </rPr>
          <t>_x000D_
AF 11.884/23 | Vc 10.10.2023 | Saldo    150 | NOG. COM VARIEDADES LTDA ( 148457 )</t>
        </r>
      </text>
    </comment>
    <comment ref="AW844" authorId="0" shapeId="0" xr:uid="{F25E60F4-0887-42E6-BDC3-FF785EE7193D}">
      <text>
        <r>
          <rPr>
            <sz val="10"/>
            <color indexed="81"/>
            <rFont val="Lucida Console"/>
            <family val="3"/>
          </rPr>
          <t>Tempo de Estoque (Meses)_x000D_
_x000D_
257,0</t>
        </r>
      </text>
    </comment>
    <comment ref="A845" authorId="0" shapeId="0" xr:uid="{7A43C152-7267-4494-B281-75B83F14D68D}">
      <text>
        <r>
          <rPr>
            <sz val="10"/>
            <color indexed="81"/>
            <rFont val="Lucida Console"/>
            <family val="3"/>
          </rPr>
          <t>_x000D_
134566</t>
        </r>
      </text>
    </comment>
    <comment ref="B845" authorId="0" shapeId="0" xr:uid="{23CF3AE7-1369-4810-B98B-340C473CC6E8}">
      <text>
        <r>
          <rPr>
            <sz val="10"/>
            <color indexed="81"/>
            <rFont val="Lucida Console"/>
            <family val="3"/>
          </rPr>
          <t>DESCRIÇÃO DETALHADA_x000D_
PARAFUSO FRANCES - 1.1/2" X 1/4" - COM PORCA E ARRUELA</t>
        </r>
      </text>
    </comment>
    <comment ref="W845" authorId="0" shapeId="0" xr:uid="{0608D7F0-C72E-4B5C-B45D-DAFDCD08FAB7}">
      <text>
        <r>
          <rPr>
            <sz val="10"/>
            <color indexed="81"/>
            <rFont val="Lucida Console"/>
            <family val="3"/>
          </rPr>
          <t>_x000D_
DM-Marcenaria</t>
        </r>
      </text>
    </comment>
    <comment ref="X845" authorId="0" shapeId="0" xr:uid="{54F579BE-63AE-4696-B6A4-D432CBDB8927}">
      <text>
        <r>
          <rPr>
            <sz val="10"/>
            <color indexed="81"/>
            <rFont val="Lucida Console"/>
            <family val="3"/>
          </rPr>
          <t>_x000D_
PARAFUSOS ELEM. VEDACAO UNIAO CONEX . FIXACAO</t>
        </r>
      </text>
    </comment>
    <comment ref="Y845" authorId="0" shapeId="0" xr:uid="{67ECBCC4-4B28-4FEC-ADD8-54DA158B0E2C}">
      <text>
        <r>
          <rPr>
            <sz val="10"/>
            <color indexed="81"/>
            <rFont val="Lucida Console"/>
            <family val="3"/>
          </rPr>
          <t>_x000D_
PARAFUSO FRANCES</t>
        </r>
      </text>
    </comment>
    <comment ref="AW845" authorId="0" shapeId="0" xr:uid="{57804542-2A79-4DB3-8FD7-27FA3CDC3938}">
      <text>
        <r>
          <rPr>
            <sz val="10"/>
            <color indexed="81"/>
            <rFont val="Lucida Console"/>
            <family val="3"/>
          </rPr>
          <t>Tempo de Estoque (Meses)_x000D_
_x000D_
19.783,0</t>
        </r>
      </text>
    </comment>
    <comment ref="A846" authorId="0" shapeId="0" xr:uid="{D4432156-C38C-4F61-BA64-8A12B4467642}">
      <text>
        <r>
          <rPr>
            <sz val="10"/>
            <color indexed="81"/>
            <rFont val="Lucida Console"/>
            <family val="3"/>
          </rPr>
          <t>_x000D_
102690</t>
        </r>
      </text>
    </comment>
    <comment ref="B846" authorId="0" shapeId="0" xr:uid="{5917ABED-5EA6-4460-8F3D-DAFBB25DCE21}">
      <text>
        <r>
          <rPr>
            <sz val="10"/>
            <color indexed="81"/>
            <rFont val="Lucida Console"/>
            <family val="3"/>
          </rPr>
          <t>DESCRIÇÃO DETALHADA_x000D_
ELETROCALHA PERFURADA C/TAMPA C/FECHAMENTO POR PRESSAO, GALVANIZADA - LARGURA 200 X 50MM</t>
        </r>
      </text>
    </comment>
    <comment ref="W846" authorId="0" shapeId="0" xr:uid="{8F0F017E-4385-44EE-8AA4-F5BAFC517AEB}">
      <text>
        <r>
          <rPr>
            <sz val="10"/>
            <color indexed="81"/>
            <rFont val="Lucida Console"/>
            <family val="3"/>
          </rPr>
          <t>_x000D_
DM-Elétrica</t>
        </r>
      </text>
    </comment>
    <comment ref="X846" authorId="0" shapeId="0" xr:uid="{4C26097F-564D-4491-8ABB-97CDCF7CB7A3}">
      <text>
        <r>
          <rPr>
            <sz val="10"/>
            <color indexed="81"/>
            <rFont val="Lucida Console"/>
            <family val="3"/>
          </rPr>
          <t>_x000D_
METAIS,LAMINAD.,PERFILADOS E ARTEFATOS METALICOS</t>
        </r>
      </text>
    </comment>
    <comment ref="Y846" authorId="0" shapeId="0" xr:uid="{0C94FB73-D795-4D6F-98AB-8FC4DC2B1212}">
      <text>
        <r>
          <rPr>
            <sz val="10"/>
            <color indexed="81"/>
            <rFont val="Lucida Console"/>
            <family val="3"/>
          </rPr>
          <t>_x000D_
VIGAS E ACESSORIOS</t>
        </r>
      </text>
    </comment>
    <comment ref="AW846" authorId="0" shapeId="0" xr:uid="{35A2889A-81D5-48D5-9322-F72FAA374106}">
      <text>
        <r>
          <rPr>
            <sz val="10"/>
            <color indexed="81"/>
            <rFont val="Lucida Console"/>
            <family val="3"/>
          </rPr>
          <t>Tempo de Estoque (Meses)_x000D_
_x000D_
412,0</t>
        </r>
      </text>
    </comment>
    <comment ref="A847" authorId="0" shapeId="0" xr:uid="{A3F55CAB-7508-4175-9B25-1AF90822EB6D}">
      <text>
        <r>
          <rPr>
            <sz val="10"/>
            <color indexed="81"/>
            <rFont val="Lucida Console"/>
            <family val="3"/>
          </rPr>
          <t>_x000D_
102694</t>
        </r>
      </text>
    </comment>
    <comment ref="B847" authorId="0" shapeId="0" xr:uid="{42A37DE2-5835-4AAB-92FF-B5CDB87AE80C}">
      <text>
        <r>
          <rPr>
            <sz val="10"/>
            <color indexed="81"/>
            <rFont val="Lucida Console"/>
            <family val="3"/>
          </rPr>
          <t>DESCRIÇÃO DETALHADA_x000D_
EMENDA INTERNA PERFURA, GALVANIZADA, P/ELETROCALHA - 200 X 50MM</t>
        </r>
      </text>
    </comment>
    <comment ref="W847" authorId="0" shapeId="0" xr:uid="{04825FB3-9D6E-4891-AFDD-1FEB51E33BC9}">
      <text>
        <r>
          <rPr>
            <sz val="10"/>
            <color indexed="81"/>
            <rFont val="Lucida Console"/>
            <family val="3"/>
          </rPr>
          <t>_x000D_
DM-Elétrica</t>
        </r>
      </text>
    </comment>
    <comment ref="X847" authorId="0" shapeId="0" xr:uid="{B2DE41FC-2711-48CA-AE1C-B011AE6784AC}">
      <text>
        <r>
          <rPr>
            <sz val="10"/>
            <color indexed="81"/>
            <rFont val="Lucida Console"/>
            <family val="3"/>
          </rPr>
          <t>_x000D_
METAIS,LAMINAD.,PERFILADOS E ARTEFATOS METALICOS</t>
        </r>
      </text>
    </comment>
    <comment ref="Y847" authorId="0" shapeId="0" xr:uid="{316A29A4-6985-4D92-BCA9-CCF42E7E3819}">
      <text>
        <r>
          <rPr>
            <sz val="10"/>
            <color indexed="81"/>
            <rFont val="Lucida Console"/>
            <family val="3"/>
          </rPr>
          <t>_x000D_
VIGAS E ACESSORIOS</t>
        </r>
      </text>
    </comment>
    <comment ref="Z847" authorId="0" shapeId="0" xr:uid="{EFB58CFE-130B-4AAC-A138-1996AF3C7C8B}">
      <text>
        <r>
          <rPr>
            <sz val="10"/>
            <color indexed="81"/>
            <rFont val="Lucida Console"/>
            <family val="3"/>
          </rPr>
          <t>_x000D_
RC  2.221 / 23  Qtde: 50_x000D_
RC  2.803 / 23  Qtde: 60</t>
        </r>
      </text>
    </comment>
    <comment ref="AW847" authorId="0" shapeId="0" xr:uid="{2415ED81-5B70-45B1-A287-6BCD2D10F108}">
      <text>
        <r>
          <rPr>
            <sz val="10"/>
            <color indexed="81"/>
            <rFont val="Lucida Console"/>
            <family val="3"/>
          </rPr>
          <t>Tempo de Estoque (Meses)_x000D_
_x000D_
325,0</t>
        </r>
      </text>
    </comment>
    <comment ref="A848" authorId="0" shapeId="0" xr:uid="{49EA1DD5-5C18-4E27-BC32-AB85A6FE1CA3}">
      <text>
        <r>
          <rPr>
            <sz val="10"/>
            <color indexed="81"/>
            <rFont val="Lucida Console"/>
            <family val="3"/>
          </rPr>
          <t>_x000D_
102723</t>
        </r>
      </text>
    </comment>
    <comment ref="B848" authorId="0" shapeId="0" xr:uid="{FCE7AEDC-0ECD-4BC1-AA7D-6E25C6EF46E0}">
      <text>
        <r>
          <rPr>
            <sz val="10"/>
            <color indexed="81"/>
            <rFont val="Lucida Console"/>
            <family val="3"/>
          </rPr>
          <t>DESCRIÇÃO DETALHADA_x000D_
ELETROCALHA LISA C/TAMPA C/FECHAMENTO POR PARAFUSO, GALVANIZADA, P/ELETROCALHA -  100 X 50MM</t>
        </r>
      </text>
    </comment>
    <comment ref="W848" authorId="0" shapeId="0" xr:uid="{72FFBAE3-BD7C-4DCA-B89E-CC50401278D3}">
      <text>
        <r>
          <rPr>
            <sz val="10"/>
            <color indexed="81"/>
            <rFont val="Lucida Console"/>
            <family val="3"/>
          </rPr>
          <t>_x000D_
DM-Elétrica</t>
        </r>
      </text>
    </comment>
    <comment ref="X848" authorId="0" shapeId="0" xr:uid="{E76B595A-8DF6-4807-9AD6-A7E94274DCB3}">
      <text>
        <r>
          <rPr>
            <sz val="10"/>
            <color indexed="81"/>
            <rFont val="Lucida Console"/>
            <family val="3"/>
          </rPr>
          <t>_x000D_
METAIS,LAMINAD.,PERFILADOS E ARTEFATOS METALICOS</t>
        </r>
      </text>
    </comment>
    <comment ref="Y848" authorId="0" shapeId="0" xr:uid="{0C67DF76-8075-4191-948E-D1E572D5459E}">
      <text>
        <r>
          <rPr>
            <sz val="10"/>
            <color indexed="81"/>
            <rFont val="Lucida Console"/>
            <family val="3"/>
          </rPr>
          <t>_x000D_
VIGAS E ACESSORIOS</t>
        </r>
      </text>
    </comment>
    <comment ref="AW848" authorId="0" shapeId="0" xr:uid="{40B13B1D-A3A7-4C84-9355-A0697A428215}">
      <text>
        <r>
          <rPr>
            <sz val="10"/>
            <color indexed="81"/>
            <rFont val="Lucida Console"/>
            <family val="3"/>
          </rPr>
          <t>Tempo de Estoque (Meses)_x000D_
_x000D_
345,0</t>
        </r>
      </text>
    </comment>
    <comment ref="A849" authorId="0" shapeId="0" xr:uid="{6CFB3D54-4036-421C-9B8E-FDC69F7AEC2D}">
      <text>
        <r>
          <rPr>
            <sz val="10"/>
            <color indexed="81"/>
            <rFont val="Lucida Console"/>
            <family val="3"/>
          </rPr>
          <t>_x000D_
102728</t>
        </r>
      </text>
    </comment>
    <comment ref="B849" authorId="0" shapeId="0" xr:uid="{68B30209-55F4-4725-85D4-FFCF5C597846}">
      <text>
        <r>
          <rPr>
            <sz val="10"/>
            <color indexed="81"/>
            <rFont val="Lucida Console"/>
            <family val="3"/>
          </rPr>
          <t>DESCRIÇÃO DETALHADA_x000D_
GANCHO CURTO PARA PERFILADO</t>
        </r>
      </text>
    </comment>
    <comment ref="W849" authorId="0" shapeId="0" xr:uid="{B88703EE-F7EA-4DD5-AD5C-677C77152A34}">
      <text>
        <r>
          <rPr>
            <sz val="10"/>
            <color indexed="81"/>
            <rFont val="Lucida Console"/>
            <family val="3"/>
          </rPr>
          <t>_x000D_
DM-Construção</t>
        </r>
      </text>
    </comment>
    <comment ref="X849" authorId="0" shapeId="0" xr:uid="{745D353C-F172-41E7-BEBA-F76EBD432BBB}">
      <text>
        <r>
          <rPr>
            <sz val="10"/>
            <color indexed="81"/>
            <rFont val="Lucida Console"/>
            <family val="3"/>
          </rPr>
          <t>_x000D_
METAIS,LAMINAD.,PERFILADOS E ARTEFATOS METALICOS</t>
        </r>
      </text>
    </comment>
    <comment ref="Y849" authorId="0" shapeId="0" xr:uid="{0BF1189C-CB62-4D46-870F-98C8646C12CE}">
      <text>
        <r>
          <rPr>
            <sz val="10"/>
            <color indexed="81"/>
            <rFont val="Lucida Console"/>
            <family val="3"/>
          </rPr>
          <t>_x000D_
FERROS E ACOS AVULSOS</t>
        </r>
      </text>
    </comment>
    <comment ref="AW849" authorId="0" shapeId="0" xr:uid="{BFC213B7-2080-4DB0-817D-EFDCD23E5F10}">
      <text>
        <r>
          <rPr>
            <sz val="10"/>
            <color indexed="81"/>
            <rFont val="Lucida Console"/>
            <family val="3"/>
          </rPr>
          <t>Tempo de Estoque (Meses)_x000D_
_x000D_
274,0</t>
        </r>
      </text>
    </comment>
    <comment ref="A850" authorId="0" shapeId="0" xr:uid="{42308479-922A-4826-94DE-AEC11FD6BADE}">
      <text>
        <r>
          <rPr>
            <sz val="10"/>
            <color indexed="81"/>
            <rFont val="Lucida Console"/>
            <family val="3"/>
          </rPr>
          <t>_x000D_
134558</t>
        </r>
      </text>
    </comment>
    <comment ref="B850" authorId="0" shapeId="0" xr:uid="{E711C22D-0767-4053-B1C1-4AC2E8F932AE}">
      <text>
        <r>
          <rPr>
            <sz val="10"/>
            <color indexed="81"/>
            <rFont val="Lucida Console"/>
            <family val="3"/>
          </rPr>
          <t>DESCRIÇÃO DETALHADA_x000D_
PONTEIRA PLASTICA INTERNA NA COR PRETA PARA TUBO QUADRADO DE 1"</t>
        </r>
      </text>
    </comment>
    <comment ref="W850" authorId="0" shapeId="0" xr:uid="{3C9ADD3B-18EA-45D0-A283-7681DEF3CB07}">
      <text>
        <r>
          <rPr>
            <sz val="10"/>
            <color indexed="81"/>
            <rFont val="Lucida Console"/>
            <family val="3"/>
          </rPr>
          <t>_x000D_
DM-Serralheria</t>
        </r>
      </text>
    </comment>
    <comment ref="X850" authorId="0" shapeId="0" xr:uid="{01E960F5-C921-4436-95F5-86CEE076DD1E}">
      <text>
        <r>
          <rPr>
            <sz val="10"/>
            <color indexed="81"/>
            <rFont val="Lucida Console"/>
            <family val="3"/>
          </rPr>
          <t>_x000D_
FERRAMENTAS MAQ.FERRAMENTAS,ELETR.PECAS E ACESSORI</t>
        </r>
      </text>
    </comment>
    <comment ref="Y850" authorId="0" shapeId="0" xr:uid="{C7099866-279A-4A13-9B23-C4A025C8FC09}">
      <text>
        <r>
          <rPr>
            <sz val="10"/>
            <color indexed="81"/>
            <rFont val="Lucida Console"/>
            <family val="3"/>
          </rPr>
          <t>_x000D_
PECAS E COMPONENTES</t>
        </r>
      </text>
    </comment>
    <comment ref="AW850" authorId="0" shapeId="0" xr:uid="{C66144D1-526F-4462-8167-9F4304488BDD}">
      <text>
        <r>
          <rPr>
            <sz val="10"/>
            <color indexed="81"/>
            <rFont val="Lucida Console"/>
            <family val="3"/>
          </rPr>
          <t>Tempo de Estoque (Meses)_x000D_
_x000D_
17.660,0</t>
        </r>
      </text>
    </comment>
    <comment ref="A851" authorId="0" shapeId="0" xr:uid="{51A4B59E-47CC-4725-B2A8-576D656A5668}">
      <text>
        <r>
          <rPr>
            <sz val="10"/>
            <color indexed="81"/>
            <rFont val="Lucida Console"/>
            <family val="3"/>
          </rPr>
          <t>_x000D_
134559</t>
        </r>
      </text>
    </comment>
    <comment ref="B851" authorId="0" shapeId="0" xr:uid="{87F49011-27F9-4B76-9DDA-E206F1B677C3}">
      <text>
        <r>
          <rPr>
            <sz val="10"/>
            <color indexed="81"/>
            <rFont val="Lucida Console"/>
            <family val="3"/>
          </rPr>
          <t>DESCRIÇÃO DETALHADA_x000D_
PONTEIRA PLASTICA NA COR PRETA PARA TUBO RETANGULAR 20 MM X 40 MM</t>
        </r>
      </text>
    </comment>
    <comment ref="W851" authorId="0" shapeId="0" xr:uid="{E3E5F870-E053-4185-9A65-066494CC8597}">
      <text>
        <r>
          <rPr>
            <sz val="10"/>
            <color indexed="81"/>
            <rFont val="Lucida Console"/>
            <family val="3"/>
          </rPr>
          <t>_x000D_
DM-Serralheria</t>
        </r>
      </text>
    </comment>
    <comment ref="X851" authorId="0" shapeId="0" xr:uid="{EE618122-9FD9-487A-8272-F3EB6B8A9DBA}">
      <text>
        <r>
          <rPr>
            <sz val="10"/>
            <color indexed="81"/>
            <rFont val="Lucida Console"/>
            <family val="3"/>
          </rPr>
          <t>_x000D_
FERRAMENTAS MAQ.FERRAMENTAS,ELETR.PECAS E ACESSORI</t>
        </r>
      </text>
    </comment>
    <comment ref="Y851" authorId="0" shapeId="0" xr:uid="{0701DC3A-01BC-4172-AD65-CF78B7C48905}">
      <text>
        <r>
          <rPr>
            <sz val="10"/>
            <color indexed="81"/>
            <rFont val="Lucida Console"/>
            <family val="3"/>
          </rPr>
          <t>_x000D_
PECAS E COMPONENTES</t>
        </r>
      </text>
    </comment>
    <comment ref="AW851" authorId="0" shapeId="0" xr:uid="{2D6F080D-5C87-4B2A-85EC-00AB97D93E98}">
      <text>
        <r>
          <rPr>
            <sz val="10"/>
            <color indexed="81"/>
            <rFont val="Lucida Console"/>
            <family val="3"/>
          </rPr>
          <t>Tempo de Estoque (Meses)_x000D_
_x000D_
14.800,0</t>
        </r>
      </text>
    </comment>
    <comment ref="A852" authorId="0" shapeId="0" xr:uid="{339F331D-FE4F-43C3-87AF-F67B13E1693C}">
      <text>
        <r>
          <rPr>
            <sz val="10"/>
            <color indexed="81"/>
            <rFont val="Lucida Console"/>
            <family val="3"/>
          </rPr>
          <t>_x000D_
17946</t>
        </r>
      </text>
    </comment>
    <comment ref="B852" authorId="0" shapeId="0" xr:uid="{717AA4CA-760C-4FB2-A2AA-7AC08086C27C}">
      <text>
        <r>
          <rPr>
            <sz val="10"/>
            <color indexed="81"/>
            <rFont val="Lucida Console"/>
            <family val="3"/>
          </rPr>
          <t>DESCRIÇÃO DETALHADA_x000D_
WIDIA PARA CORTAR PISOS E AZULEJOS (80 X 10 MM)</t>
        </r>
      </text>
    </comment>
    <comment ref="W852" authorId="0" shapeId="0" xr:uid="{8BEA9462-D00D-4B6A-A4D4-342BAF5446BA}">
      <text>
        <r>
          <rPr>
            <sz val="10"/>
            <color indexed="81"/>
            <rFont val="Lucida Console"/>
            <family val="3"/>
          </rPr>
          <t>_x000D_
DM-Construção</t>
        </r>
      </text>
    </comment>
    <comment ref="X852" authorId="0" shapeId="0" xr:uid="{69A55496-FE9D-4B2F-BF9B-2759E49A4804}">
      <text>
        <r>
          <rPr>
            <sz val="10"/>
            <color indexed="81"/>
            <rFont val="Lucida Console"/>
            <family val="3"/>
          </rPr>
          <t>_x000D_
FERRAMENTAS MAQ.FERRAMENTAS,ELETR.PECAS E ACESSORI</t>
        </r>
      </text>
    </comment>
    <comment ref="Y852" authorId="0" shapeId="0" xr:uid="{FFF68009-FC31-4C65-88D7-C77D2AF28CB8}">
      <text>
        <r>
          <rPr>
            <sz val="10"/>
            <color indexed="81"/>
            <rFont val="Lucida Console"/>
            <family val="3"/>
          </rPr>
          <t>_x000D_
FERRAMENTAS E UTENSILIOS PARA PEDREIRO</t>
        </r>
      </text>
    </comment>
    <comment ref="AW852" authorId="0" shapeId="0" xr:uid="{8AA0E0EF-0251-4453-AA3F-922F14F02FF9}">
      <text>
        <r>
          <rPr>
            <sz val="10"/>
            <color indexed="81"/>
            <rFont val="Lucida Console"/>
            <family val="3"/>
          </rPr>
          <t>Tempo de Estoque (Meses)_x000D_
_x000D_
2.316,0</t>
        </r>
      </text>
    </comment>
    <comment ref="A853" authorId="0" shapeId="0" xr:uid="{06409678-E401-49C0-9D3D-5CB4FFDE21B6}">
      <text>
        <r>
          <rPr>
            <sz val="10"/>
            <color indexed="81"/>
            <rFont val="Lucida Console"/>
            <family val="3"/>
          </rPr>
          <t>_x000D_
134570</t>
        </r>
      </text>
    </comment>
    <comment ref="B853" authorId="0" shapeId="0" xr:uid="{6C47AB98-9C9E-4005-8150-CB229DC47BD3}">
      <text>
        <r>
          <rPr>
            <sz val="10"/>
            <color indexed="81"/>
            <rFont val="Lucida Console"/>
            <family val="3"/>
          </rPr>
          <t>DESCRIÇÃO DETALHADA_x000D_
PONTEIRA BIT PH2 DUPLA, IMANTADA, COMPRIMENTO DE 110 MM, EM ACO CROMO VANADIO</t>
        </r>
      </text>
    </comment>
    <comment ref="W853" authorId="0" shapeId="0" xr:uid="{D7ED7D3F-7F38-4AB3-B32A-8A57B11B1B81}">
      <text>
        <r>
          <rPr>
            <sz val="10"/>
            <color indexed="81"/>
            <rFont val="Lucida Console"/>
            <family val="3"/>
          </rPr>
          <t>_x000D_
DM-Marcenaria</t>
        </r>
      </text>
    </comment>
    <comment ref="X853" authorId="0" shapeId="0" xr:uid="{FCD6BC4F-B48E-4E0F-A621-B51BF638323B}">
      <text>
        <r>
          <rPr>
            <sz val="10"/>
            <color indexed="81"/>
            <rFont val="Lucida Console"/>
            <family val="3"/>
          </rPr>
          <t>_x000D_
FERRAMENTAS MAQ.FERRAMENTAS,ELETR.PECAS E ACESSORI</t>
        </r>
      </text>
    </comment>
    <comment ref="Y853" authorId="0" shapeId="0" xr:uid="{CD3EA8D6-E438-4941-A263-2565791956C1}">
      <text>
        <r>
          <rPr>
            <sz val="10"/>
            <color indexed="81"/>
            <rFont val="Lucida Console"/>
            <family val="3"/>
          </rPr>
          <t>_x000D_
BITS E BEDAMES</t>
        </r>
      </text>
    </comment>
    <comment ref="AW853" authorId="0" shapeId="0" xr:uid="{CA9F0A5C-F536-442F-BC2E-4248E9E5EC0F}">
      <text>
        <r>
          <rPr>
            <sz val="10"/>
            <color indexed="81"/>
            <rFont val="Lucida Console"/>
            <family val="3"/>
          </rPr>
          <t>Tempo de Estoque (Meses)_x000D_
_x000D_
0,0</t>
        </r>
      </text>
    </comment>
    <comment ref="A854" authorId="0" shapeId="0" xr:uid="{BB7D6D4A-2E14-4542-8592-6F9B6A2BF731}">
      <text>
        <r>
          <rPr>
            <sz val="10"/>
            <color indexed="81"/>
            <rFont val="Lucida Console"/>
            <family val="3"/>
          </rPr>
          <t>_x000D_
19882</t>
        </r>
      </text>
    </comment>
    <comment ref="B854" authorId="0" shapeId="0" xr:uid="{DFC29782-1F19-491F-B975-B7BB87AE1F99}">
      <text>
        <r>
          <rPr>
            <sz val="10"/>
            <color indexed="81"/>
            <rFont val="Lucida Console"/>
            <family val="3"/>
          </rPr>
          <t>DESCRIÇÃO DETALHADA_x000D_
BROCA DE WIDIA 3/8"</t>
        </r>
      </text>
    </comment>
    <comment ref="W854" authorId="0" shapeId="0" xr:uid="{6347E08C-7503-43CF-B06D-520A1113D5E8}">
      <text>
        <r>
          <rPr>
            <sz val="10"/>
            <color indexed="81"/>
            <rFont val="Lucida Console"/>
            <family val="3"/>
          </rPr>
          <t>_x000D_
DM-Serralheria</t>
        </r>
      </text>
    </comment>
    <comment ref="X854" authorId="0" shapeId="0" xr:uid="{D587F56A-A1DC-4F56-A872-70EE28287F0A}">
      <text>
        <r>
          <rPr>
            <sz val="10"/>
            <color indexed="81"/>
            <rFont val="Lucida Console"/>
            <family val="3"/>
          </rPr>
          <t>_x000D_
FERRAMENTAS MAQ.FERRAMENTAS,ELETR.PECAS E ACESSORI</t>
        </r>
      </text>
    </comment>
    <comment ref="Y854" authorId="0" shapeId="0" xr:uid="{04829562-F50A-46BC-B547-3C692C9E4BD2}">
      <text>
        <r>
          <rPr>
            <sz val="10"/>
            <color indexed="81"/>
            <rFont val="Lucida Console"/>
            <family val="3"/>
          </rPr>
          <t>_x000D_
BROCAS</t>
        </r>
      </text>
    </comment>
    <comment ref="AW854" authorId="0" shapeId="0" xr:uid="{7DECECCB-051D-4A38-AAD8-3372AB4EB696}">
      <text>
        <r>
          <rPr>
            <sz val="10"/>
            <color indexed="81"/>
            <rFont val="Lucida Console"/>
            <family val="3"/>
          </rPr>
          <t>Tempo de Estoque (Meses)_x000D_
_x000D_
224,0</t>
        </r>
      </text>
    </comment>
    <comment ref="A855" authorId="0" shapeId="0" xr:uid="{9256A7CE-1DED-4888-A1B1-15DF35A2CF24}">
      <text>
        <r>
          <rPr>
            <sz val="10"/>
            <color indexed="81"/>
            <rFont val="Lucida Console"/>
            <family val="3"/>
          </rPr>
          <t>_x000D_
19883</t>
        </r>
      </text>
    </comment>
    <comment ref="B855" authorId="0" shapeId="0" xr:uid="{CDB67F0B-97D3-4248-A9ED-EC19F8D69831}">
      <text>
        <r>
          <rPr>
            <sz val="10"/>
            <color indexed="81"/>
            <rFont val="Lucida Console"/>
            <family val="3"/>
          </rPr>
          <t>DESCRIÇÃO DETALHADA_x000D_
BROCA DE WIDIA 5/16"</t>
        </r>
      </text>
    </comment>
    <comment ref="W855" authorId="0" shapeId="0" xr:uid="{A963F09C-12F1-42BD-97E3-1A8BABC7E356}">
      <text>
        <r>
          <rPr>
            <sz val="10"/>
            <color indexed="81"/>
            <rFont val="Lucida Console"/>
            <family val="3"/>
          </rPr>
          <t>_x000D_
DM-Serralheria</t>
        </r>
      </text>
    </comment>
    <comment ref="X855" authorId="0" shapeId="0" xr:uid="{71F65AEF-47E0-4795-A0BE-38237DC602A9}">
      <text>
        <r>
          <rPr>
            <sz val="10"/>
            <color indexed="81"/>
            <rFont val="Lucida Console"/>
            <family val="3"/>
          </rPr>
          <t>_x000D_
FERRAMENTAS MAQ.FERRAMENTAS,ELETR.PECAS E ACESSORI</t>
        </r>
      </text>
    </comment>
    <comment ref="Y855" authorId="0" shapeId="0" xr:uid="{D7BD14D8-A968-454A-BAC5-4B6F74495F70}">
      <text>
        <r>
          <rPr>
            <sz val="10"/>
            <color indexed="81"/>
            <rFont val="Lucida Console"/>
            <family val="3"/>
          </rPr>
          <t>_x000D_
BROCAS</t>
        </r>
      </text>
    </comment>
    <comment ref="AW855" authorId="0" shapeId="0" xr:uid="{89519CB7-C8BF-4AA1-A791-B2EA7D6100A2}">
      <text>
        <r>
          <rPr>
            <sz val="10"/>
            <color indexed="81"/>
            <rFont val="Lucida Console"/>
            <family val="3"/>
          </rPr>
          <t>Tempo de Estoque (Meses)_x000D_
_x000D_
547,0</t>
        </r>
      </text>
    </comment>
    <comment ref="A856" authorId="0" shapeId="0" xr:uid="{54DF7E6D-1876-4AF4-88DF-8B5F347F84FA}">
      <text>
        <r>
          <rPr>
            <sz val="10"/>
            <color indexed="81"/>
            <rFont val="Lucida Console"/>
            <family val="3"/>
          </rPr>
          <t>_x000D_
104911</t>
        </r>
      </text>
    </comment>
    <comment ref="B856" authorId="0" shapeId="0" xr:uid="{A34F1EEF-2DE5-465F-80FA-F14FFCB5FDDA}">
      <text>
        <r>
          <rPr>
            <sz val="10"/>
            <color indexed="81"/>
            <rFont val="Lucida Console"/>
            <family val="3"/>
          </rPr>
          <t>DESCRIÇÃO DETALHADA_x000D_
ARAME PARA SOLDA MIG/MAG COM DIAMETRO DE 0,8 MM, CONTENDO 15 KG. - ACOMPANHA CARRETEL PLASTICO.</t>
        </r>
      </text>
    </comment>
    <comment ref="W856" authorId="0" shapeId="0" xr:uid="{83B20114-5398-48B4-9CAB-8091F8CC1DCE}">
      <text>
        <r>
          <rPr>
            <sz val="10"/>
            <color indexed="81"/>
            <rFont val="Lucida Console"/>
            <family val="3"/>
          </rPr>
          <t>_x000D_
DM-Serralheria</t>
        </r>
      </text>
    </comment>
    <comment ref="X856" authorId="0" shapeId="0" xr:uid="{436E8CA5-6C5F-4A31-BC2E-41DA404C2788}">
      <text>
        <r>
          <rPr>
            <sz val="10"/>
            <color indexed="81"/>
            <rFont val="Lucida Console"/>
            <family val="3"/>
          </rPr>
          <t>_x000D_
FERRAMENTAS MAQ.FERRAMENTAS,ELETR.PECAS E ACESSORI</t>
        </r>
      </text>
    </comment>
    <comment ref="Y856" authorId="0" shapeId="0" xr:uid="{CED11901-8095-4FAF-ACB2-23F4922ABC28}">
      <text>
        <r>
          <rPr>
            <sz val="10"/>
            <color indexed="81"/>
            <rFont val="Lucida Console"/>
            <family val="3"/>
          </rPr>
          <t>_x000D_
MATERIAIS DIVERSOS P/ SOLDA</t>
        </r>
      </text>
    </comment>
    <comment ref="AW856" authorId="0" shapeId="0" xr:uid="{A243CA8B-189F-4C34-B578-E115CB7A476B}">
      <text>
        <r>
          <rPr>
            <sz val="10"/>
            <color indexed="81"/>
            <rFont val="Lucida Console"/>
            <family val="3"/>
          </rPr>
          <t>Tempo de Estoque (Meses)_x000D_
_x000D_
95,0</t>
        </r>
      </text>
    </comment>
    <comment ref="A857" authorId="0" shapeId="0" xr:uid="{5A6A03A9-746C-4112-863A-AE8D3E794542}">
      <text>
        <r>
          <rPr>
            <sz val="10"/>
            <color indexed="81"/>
            <rFont val="Lucida Console"/>
            <family val="3"/>
          </rPr>
          <t>_x000D_
81370</t>
        </r>
      </text>
    </comment>
    <comment ref="B857" authorId="0" shapeId="0" xr:uid="{E9E80318-DD00-4373-9F5C-9D6169A5BB72}">
      <text>
        <r>
          <rPr>
            <sz val="10"/>
            <color indexed="81"/>
            <rFont val="Lucida Console"/>
            <family val="3"/>
          </rPr>
          <t>DESCRIÇÃO DETALHADA_x000D_
CORANTE LIQUIDO PARA FINS ALIMENTICIOS - COR VERMELHA - FRASCO COM 10ML</t>
        </r>
      </text>
    </comment>
    <comment ref="W857" authorId="0" shapeId="0" xr:uid="{D4ECDB11-4579-4844-8FC7-1F4D83328914}">
      <text>
        <r>
          <rPr>
            <sz val="10"/>
            <color indexed="81"/>
            <rFont val="Lucida Console"/>
            <family val="3"/>
          </rPr>
          <t>_x000D_
Pedagógico</t>
        </r>
      </text>
    </comment>
    <comment ref="X857" authorId="0" shapeId="0" xr:uid="{11E97B8E-861D-49D6-A3D0-C96423A5C898}">
      <text>
        <r>
          <rPr>
            <sz val="10"/>
            <color indexed="81"/>
            <rFont val="Lucida Console"/>
            <family val="3"/>
          </rPr>
          <t>_x000D_
GENEROS ALIMENTICIOS E BEBIDAS</t>
        </r>
      </text>
    </comment>
    <comment ref="Y857" authorId="0" shapeId="0" xr:uid="{5E691639-2B1C-45FD-91CF-F6CB3D48E82A}">
      <text>
        <r>
          <rPr>
            <sz val="10"/>
            <color indexed="81"/>
            <rFont val="Lucida Console"/>
            <family val="3"/>
          </rPr>
          <t>_x000D_
ESPECIARIAS E CONDIMENTOS</t>
        </r>
      </text>
    </comment>
    <comment ref="AW857" authorId="0" shapeId="0" xr:uid="{14AE09A2-E13C-44D2-A285-C9D13BD96597}">
      <text>
        <r>
          <rPr>
            <sz val="10"/>
            <color indexed="81"/>
            <rFont val="Lucida Console"/>
            <family val="3"/>
          </rPr>
          <t>Tempo de Estoque (Meses)_x000D_
_x000D_
1.700,0</t>
        </r>
      </text>
    </comment>
    <comment ref="A858" authorId="0" shapeId="0" xr:uid="{732515F1-E474-404A-B5F6-90C5E5A4B361}">
      <text>
        <r>
          <rPr>
            <sz val="10"/>
            <color indexed="81"/>
            <rFont val="Lucida Console"/>
            <family val="3"/>
          </rPr>
          <t>_x000D_
81371</t>
        </r>
      </text>
    </comment>
    <comment ref="B858" authorId="0" shapeId="0" xr:uid="{E08B1B32-840F-4441-8FC8-A9BE38ABAFFA}">
      <text>
        <r>
          <rPr>
            <sz val="10"/>
            <color indexed="81"/>
            <rFont val="Lucida Console"/>
            <family val="3"/>
          </rPr>
          <t>DESCRIÇÃO DETALHADA_x000D_
CORANTE LIQUIDO PARA FINS ALIMENTICIOS - COR AMARELA - FRASCO COM 10ML</t>
        </r>
      </text>
    </comment>
    <comment ref="W858" authorId="0" shapeId="0" xr:uid="{1BBF6275-A507-4174-AD81-CE8CCF9CB191}">
      <text>
        <r>
          <rPr>
            <sz val="10"/>
            <color indexed="81"/>
            <rFont val="Lucida Console"/>
            <family val="3"/>
          </rPr>
          <t>_x000D_
Pedagógico</t>
        </r>
      </text>
    </comment>
    <comment ref="X858" authorId="0" shapeId="0" xr:uid="{1351ADFE-186F-45B7-8C3C-F759F7BB3F9D}">
      <text>
        <r>
          <rPr>
            <sz val="10"/>
            <color indexed="81"/>
            <rFont val="Lucida Console"/>
            <family val="3"/>
          </rPr>
          <t>_x000D_
GENEROS ALIMENTICIOS E BEBIDAS</t>
        </r>
      </text>
    </comment>
    <comment ref="Y858" authorId="0" shapeId="0" xr:uid="{57BD62E3-FD54-457B-881B-3B533F1EE64D}">
      <text>
        <r>
          <rPr>
            <sz val="10"/>
            <color indexed="81"/>
            <rFont val="Lucida Console"/>
            <family val="3"/>
          </rPr>
          <t>_x000D_
ESPECIARIAS E CONDIMENTOS</t>
        </r>
      </text>
    </comment>
    <comment ref="AW858" authorId="0" shapeId="0" xr:uid="{277BCEF8-85D6-4F9D-968C-DF650D0A0DFE}">
      <text>
        <r>
          <rPr>
            <sz val="10"/>
            <color indexed="81"/>
            <rFont val="Lucida Console"/>
            <family val="3"/>
          </rPr>
          <t>Tempo de Estoque (Meses)_x000D_
_x000D_
1.700,0</t>
        </r>
      </text>
    </comment>
    <comment ref="A859" authorId="0" shapeId="0" xr:uid="{A240839B-4F1F-457D-8196-60744F04FB49}">
      <text>
        <r>
          <rPr>
            <sz val="10"/>
            <color indexed="81"/>
            <rFont val="Lucida Console"/>
            <family val="3"/>
          </rPr>
          <t>_x000D_
132400</t>
        </r>
      </text>
    </comment>
    <comment ref="B859" authorId="0" shapeId="0" xr:uid="{EC6BC363-D317-4247-8A4D-7B043BECCE11}">
      <text>
        <r>
          <rPr>
            <sz val="10"/>
            <color indexed="81"/>
            <rFont val="Lucida Console"/>
            <family val="3"/>
          </rPr>
          <t>DESCRIÇÃO DETALHADA_x000D_
CORANTE LIQUIDO PARA FINS ALIMENTICIOS - COR AZUL - FRASCO COM 10ML.</t>
        </r>
      </text>
    </comment>
    <comment ref="W859" authorId="0" shapeId="0" xr:uid="{AC314482-02B9-49FF-9AA8-DACDAEF4619C}">
      <text>
        <r>
          <rPr>
            <sz val="10"/>
            <color indexed="81"/>
            <rFont val="Lucida Console"/>
            <family val="3"/>
          </rPr>
          <t>_x000D_
Pedagógico</t>
        </r>
      </text>
    </comment>
    <comment ref="X859" authorId="0" shapeId="0" xr:uid="{8450C720-FE9E-4111-B967-14D4E7D3BD91}">
      <text>
        <r>
          <rPr>
            <sz val="10"/>
            <color indexed="81"/>
            <rFont val="Lucida Console"/>
            <family val="3"/>
          </rPr>
          <t>_x000D_
GENEROS ALIMENTICIOS E BEBIDAS</t>
        </r>
      </text>
    </comment>
    <comment ref="Y859" authorId="0" shapeId="0" xr:uid="{0EC4ADEE-2CBD-4B58-A055-D701075CAF4A}">
      <text>
        <r>
          <rPr>
            <sz val="10"/>
            <color indexed="81"/>
            <rFont val="Lucida Console"/>
            <family val="3"/>
          </rPr>
          <t>_x000D_
ESPECIARIAS E CONDIMENTOS</t>
        </r>
      </text>
    </comment>
    <comment ref="AW859" authorId="0" shapeId="0" xr:uid="{8E556CE3-8FB5-45E3-91CB-80F983CE5852}">
      <text>
        <r>
          <rPr>
            <sz val="10"/>
            <color indexed="81"/>
            <rFont val="Lucida Console"/>
            <family val="3"/>
          </rPr>
          <t>Tempo de Estoque (Meses)_x000D_
_x000D_
1.700,0</t>
        </r>
      </text>
    </comment>
    <comment ref="A860" authorId="0" shapeId="0" xr:uid="{FF44005D-7B93-4534-81D8-E7C78F442195}">
      <text>
        <r>
          <rPr>
            <sz val="10"/>
            <color indexed="81"/>
            <rFont val="Lucida Console"/>
            <family val="3"/>
          </rPr>
          <t>_x000D_
133191</t>
        </r>
      </text>
    </comment>
    <comment ref="B860" authorId="0" shapeId="0" xr:uid="{E108F0C3-93C6-4B84-BC9C-531A0F92EA29}">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860" authorId="0" shapeId="0" xr:uid="{D71ED2A8-3B57-4748-AAA9-280C31959038}">
      <text>
        <r>
          <rPr>
            <sz val="10"/>
            <color indexed="81"/>
            <rFont val="Lucida Console"/>
            <family val="3"/>
          </rPr>
          <t>_x000D_
Administrativo</t>
        </r>
      </text>
    </comment>
    <comment ref="X860" authorId="0" shapeId="0" xr:uid="{AD3299D2-C549-4CE0-B5DC-30DC1DCA768B}">
      <text>
        <r>
          <rPr>
            <sz val="10"/>
            <color indexed="81"/>
            <rFont val="Lucida Console"/>
            <family val="3"/>
          </rPr>
          <t>_x000D_
MAQ.EQUIP.E MATERIAIS P/ HIGIEN.LIMP.POLIM.E LUBR.</t>
        </r>
      </text>
    </comment>
    <comment ref="Y860" authorId="0" shapeId="0" xr:uid="{1197DCFB-A17F-423C-BD5E-9D45F67F94C4}">
      <text>
        <r>
          <rPr>
            <sz val="10"/>
            <color indexed="81"/>
            <rFont val="Lucida Console"/>
            <family val="3"/>
          </rPr>
          <t>_x000D_
ESPONJAS,BALDES,SACOS E CESTOS DE LIXO, ETC</t>
        </r>
      </text>
    </comment>
    <comment ref="AW860" authorId="0" shapeId="0" xr:uid="{DD21A38D-C980-47B5-8BAA-CC777CB51B26}">
      <text>
        <r>
          <rPr>
            <sz val="10"/>
            <color indexed="81"/>
            <rFont val="Lucida Console"/>
            <family val="3"/>
          </rPr>
          <t>Tempo de Estoque (Meses)_x000D_
_x000D_
178.050,0</t>
        </r>
      </text>
    </comment>
    <comment ref="A861" authorId="0" shapeId="0" xr:uid="{94CA4E38-AB55-4821-93E9-0BB7C31F53F6}">
      <text>
        <r>
          <rPr>
            <sz val="10"/>
            <color indexed="81"/>
            <rFont val="Lucida Console"/>
            <family val="3"/>
          </rPr>
          <t>_x000D_
49254</t>
        </r>
      </text>
    </comment>
    <comment ref="B861" authorId="0" shapeId="0" xr:uid="{3F607077-0C5B-424D-A1A7-7413DC31449E}">
      <text>
        <r>
          <rPr>
            <sz val="10"/>
            <color indexed="81"/>
            <rFont val="Lucida Console"/>
            <family val="3"/>
          </rPr>
          <t>DESCRIÇÃO DETALHADA_x000D_
PLASTICO OLEADO, TIPO FLANELADO - NAS CORES AZUL CLARO E BRANCO - MEDINDO: 1,40 M DE LARGURA</t>
        </r>
      </text>
    </comment>
    <comment ref="W861" authorId="0" shapeId="0" xr:uid="{A2E12CF5-C3B8-408C-BFDB-78C1FAD134EF}">
      <text>
        <r>
          <rPr>
            <sz val="10"/>
            <color indexed="81"/>
            <rFont val="Lucida Console"/>
            <family val="3"/>
          </rPr>
          <t>_x000D_
Administrativo</t>
        </r>
      </text>
    </comment>
    <comment ref="X861" authorId="0" shapeId="0" xr:uid="{7BCECB7F-259B-4FE1-B63B-D6338864403A}">
      <text>
        <r>
          <rPr>
            <sz val="10"/>
            <color indexed="81"/>
            <rFont val="Lucida Console"/>
            <family val="3"/>
          </rPr>
          <t>_x000D_
MAQ.EQUIP.E MATERIAIS P/ HIGIEN.LIMP.POLIM.E LUBR.</t>
        </r>
      </text>
    </comment>
    <comment ref="Y861" authorId="0" shapeId="0" xr:uid="{6D859BF0-A2D6-4666-B492-7B1D7B740905}">
      <text>
        <r>
          <rPr>
            <sz val="10"/>
            <color indexed="81"/>
            <rFont val="Lucida Console"/>
            <family val="3"/>
          </rPr>
          <t>_x000D_
PANO PARA CHAO, COPA E FLANELA</t>
        </r>
      </text>
    </comment>
    <comment ref="AW861" authorId="0" shapeId="0" xr:uid="{C2EB1A6E-134D-4E4F-8285-0DBC53CDEE93}">
      <text>
        <r>
          <rPr>
            <sz val="10"/>
            <color indexed="81"/>
            <rFont val="Lucida Console"/>
            <family val="3"/>
          </rPr>
          <t>Tempo de Estoque (Meses)_x000D_
_x000D_
600,0</t>
        </r>
      </text>
    </comment>
    <comment ref="A862" authorId="0" shapeId="0" xr:uid="{212A3BD8-9CC4-482E-AE96-682F0D1EC8AF}">
      <text>
        <r>
          <rPr>
            <sz val="10"/>
            <color indexed="81"/>
            <rFont val="Lucida Console"/>
            <family val="3"/>
          </rPr>
          <t>_x000D_
63252</t>
        </r>
      </text>
    </comment>
    <comment ref="B862" authorId="0" shapeId="0" xr:uid="{1EFE1764-5914-451A-9FE8-A2895485DE4C}">
      <text>
        <r>
          <rPr>
            <sz val="10"/>
            <color indexed="81"/>
            <rFont val="Lucida Console"/>
            <family val="3"/>
          </rPr>
          <t>DESCRIÇÃO DETALHADA_x000D_
OLEO DESENGRIPANTE, ANTI-FERRUGINOSO, LUBRIFICA E REPELE UMIDADE - FRASCO C/ 300 ML</t>
        </r>
      </text>
    </comment>
    <comment ref="W862" authorId="0" shapeId="0" xr:uid="{04AF944A-4AFD-4551-9417-C1E7EACA1941}">
      <text>
        <r>
          <rPr>
            <sz val="10"/>
            <color indexed="81"/>
            <rFont val="Lucida Console"/>
            <family val="3"/>
          </rPr>
          <t>_x000D_
DM-Geral</t>
        </r>
      </text>
    </comment>
    <comment ref="X862" authorId="0" shapeId="0" xr:uid="{9EAEE0C7-2900-482A-B9AC-7FCC09627898}">
      <text>
        <r>
          <rPr>
            <sz val="10"/>
            <color indexed="81"/>
            <rFont val="Lucida Console"/>
            <family val="3"/>
          </rPr>
          <t>_x000D_
MAQ.EQUIP.E MATERIAIS P/ HIGIEN.LIMP.POLIM.E LUBR.</t>
        </r>
      </text>
    </comment>
    <comment ref="Y862" authorId="0" shapeId="0" xr:uid="{AD7D77D8-DF06-4757-A7F9-EB62BE90275E}">
      <text>
        <r>
          <rPr>
            <sz val="10"/>
            <color indexed="81"/>
            <rFont val="Lucida Console"/>
            <family val="3"/>
          </rPr>
          <t>_x000D_
LIMPADORES</t>
        </r>
      </text>
    </comment>
    <comment ref="AW862" authorId="0" shapeId="0" xr:uid="{EEFCE0EE-3398-498F-B28B-7B310BC23C9C}">
      <text>
        <r>
          <rPr>
            <sz val="10"/>
            <color indexed="81"/>
            <rFont val="Lucida Console"/>
            <family val="3"/>
          </rPr>
          <t>Tempo de Estoque (Meses)_x000D_
_x000D_
0,0</t>
        </r>
      </text>
    </comment>
    <comment ref="A863" authorId="0" shapeId="0" xr:uid="{921FC51E-07A2-42DA-9AF8-D941965F8600}">
      <text>
        <r>
          <rPr>
            <sz val="10"/>
            <color indexed="81"/>
            <rFont val="Lucida Console"/>
            <family val="3"/>
          </rPr>
          <t>_x000D_
81152</t>
        </r>
      </text>
    </comment>
    <comment ref="B863" authorId="0" shapeId="0" xr:uid="{B09FE29B-42BA-4206-A230-097C201ED966}">
      <text>
        <r>
          <rPr>
            <sz val="10"/>
            <color indexed="81"/>
            <rFont val="Lucida Console"/>
            <family val="3"/>
          </rPr>
          <t>DESCRIÇÃO DETALHADA_x000D_
SACO PLASTICO TRANSPARENTE, MEDINDO 15 X 30 CM - PACOTE COM 05 KG - AS MEDIDAS PODERAO VARIAR +/- 2 CM</t>
        </r>
      </text>
    </comment>
    <comment ref="W863" authorId="0" shapeId="0" xr:uid="{D5CEEAFC-696E-4839-B5D1-35390BC8D4A7}">
      <text>
        <r>
          <rPr>
            <sz val="10"/>
            <color indexed="81"/>
            <rFont val="Lucida Console"/>
            <family val="3"/>
          </rPr>
          <t>_x000D_
Administrativo</t>
        </r>
      </text>
    </comment>
    <comment ref="X863" authorId="0" shapeId="0" xr:uid="{EDD5488D-6487-471E-9C14-EAF002DE518D}">
      <text>
        <r>
          <rPr>
            <sz val="10"/>
            <color indexed="81"/>
            <rFont val="Lucida Console"/>
            <family val="3"/>
          </rPr>
          <t>_x000D_
EMBALAG., RECIP., ACESSOR., EQUIP., MATER. P/ACONDICIO</t>
        </r>
      </text>
    </comment>
    <comment ref="Y863" authorId="0" shapeId="0" xr:uid="{47357CC9-BEC1-4547-A38D-655F55C60CA8}">
      <text>
        <r>
          <rPr>
            <sz val="10"/>
            <color indexed="81"/>
            <rFont val="Lucida Console"/>
            <family val="3"/>
          </rPr>
          <t>_x000D_
SACOLAS E SACOS</t>
        </r>
      </text>
    </comment>
    <comment ref="AW863" authorId="0" shapeId="0" xr:uid="{6D1F68B1-EEBB-4AD6-A12A-CE12BF79F752}">
      <text>
        <r>
          <rPr>
            <sz val="10"/>
            <color indexed="81"/>
            <rFont val="Lucida Console"/>
            <family val="3"/>
          </rPr>
          <t>Tempo de Estoque (Meses)_x000D_
_x000D_
609,0</t>
        </r>
      </text>
    </comment>
    <comment ref="A864" authorId="0" shapeId="0" xr:uid="{071B9C21-8F91-4ACA-AAA1-E7CE22343102}">
      <text>
        <r>
          <rPr>
            <sz val="10"/>
            <color indexed="81"/>
            <rFont val="Lucida Console"/>
            <family val="3"/>
          </rPr>
          <t>_x000D_
100907</t>
        </r>
      </text>
    </comment>
    <comment ref="B864" authorId="0" shapeId="0" xr:uid="{10A3EB52-C09E-41EC-8A40-ECB55FF50697}">
      <text>
        <r>
          <rPr>
            <sz val="10"/>
            <color indexed="81"/>
            <rFont val="Lucida Console"/>
            <family val="3"/>
          </rPr>
          <t>DESCRIÇÃO DETALHADA_x000D_
SACOLA PLASTICA P/ EMBALAGEM  - LEITOSA - 40 X 50 CM - ALÇA CAMISETA</t>
        </r>
      </text>
    </comment>
    <comment ref="W864" authorId="0" shapeId="0" xr:uid="{A3239E96-9EA2-46BF-9C9A-14FA1F990CBC}">
      <text>
        <r>
          <rPr>
            <sz val="10"/>
            <color indexed="81"/>
            <rFont val="Lucida Console"/>
            <family val="3"/>
          </rPr>
          <t>_x000D_
Administrativo</t>
        </r>
      </text>
    </comment>
    <comment ref="X864" authorId="0" shapeId="0" xr:uid="{3A43677E-D5D0-434D-99C0-95BA5210254F}">
      <text>
        <r>
          <rPr>
            <sz val="10"/>
            <color indexed="81"/>
            <rFont val="Lucida Console"/>
            <family val="3"/>
          </rPr>
          <t>_x000D_
EMBALAG., RECIP., ACESSOR., EQUIP., MATER. P/ACONDICIO</t>
        </r>
      </text>
    </comment>
    <comment ref="Y864" authorId="0" shapeId="0" xr:uid="{9A7A4F73-01E6-4ECA-862F-FFAE8E063A6F}">
      <text>
        <r>
          <rPr>
            <sz val="10"/>
            <color indexed="81"/>
            <rFont val="Lucida Console"/>
            <family val="3"/>
          </rPr>
          <t>_x000D_
SACOLAS E SACOS</t>
        </r>
      </text>
    </comment>
    <comment ref="AW864" authorId="0" shapeId="0" xr:uid="{25DC0D71-A8EE-409B-B8DB-A5F63A7D1BA5}">
      <text>
        <r>
          <rPr>
            <sz val="10"/>
            <color indexed="81"/>
            <rFont val="Lucida Console"/>
            <family val="3"/>
          </rPr>
          <t>Tempo de Estoque (Meses)_x000D_
_x000D_
103,0</t>
        </r>
      </text>
    </comment>
    <comment ref="A865" authorId="0" shapeId="0" xr:uid="{BFEBADCA-BD64-4DF2-A548-1906D6DE9408}">
      <text>
        <r>
          <rPr>
            <sz val="10"/>
            <color indexed="81"/>
            <rFont val="Lucida Console"/>
            <family val="3"/>
          </rPr>
          <t>_x000D_
89194</t>
        </r>
      </text>
    </comment>
    <comment ref="B865" authorId="0" shapeId="0" xr:uid="{965CFC81-98E7-45BE-BDC9-8663C7EE91EB}">
      <text>
        <r>
          <rPr>
            <sz val="10"/>
            <color indexed="81"/>
            <rFont val="Lucida Console"/>
            <family val="3"/>
          </rPr>
          <t>DESCRIÇÃO DETALHADA_x000D_
GARRAFA TERMICA DE PRESSAO, EM INOX, COM ALCA - CAPACIDADE DE 01 LITRO</t>
        </r>
      </text>
    </comment>
    <comment ref="W865" authorId="0" shapeId="0" xr:uid="{FAD76247-AFAE-496E-A0C3-67ECA45FBB30}">
      <text>
        <r>
          <rPr>
            <sz val="10"/>
            <color indexed="81"/>
            <rFont val="Lucida Console"/>
            <family val="3"/>
          </rPr>
          <t>_x000D_
Administrativo</t>
        </r>
      </text>
    </comment>
    <comment ref="X865" authorId="0" shapeId="0" xr:uid="{1F208C17-DA71-433A-925B-16E29929B2FB}">
      <text>
        <r>
          <rPr>
            <sz val="10"/>
            <color indexed="81"/>
            <rFont val="Lucida Console"/>
            <family val="3"/>
          </rPr>
          <t>_x000D_
EMBALAG., RECIP., ACESSOR., EQUIP., MATER. P/ACONDICIO</t>
        </r>
      </text>
    </comment>
    <comment ref="Y865" authorId="0" shapeId="0" xr:uid="{90207C76-9AE1-4FA0-86E8-6D7148E1416B}">
      <text>
        <r>
          <rPr>
            <sz val="10"/>
            <color indexed="81"/>
            <rFont val="Lucida Console"/>
            <family val="3"/>
          </rPr>
          <t>_x000D_
GARRAFAS E JARROS</t>
        </r>
      </text>
    </comment>
    <comment ref="AW865" authorId="0" shapeId="0" xr:uid="{35379A58-CF48-4BDB-A5D8-4D5B77755037}">
      <text>
        <r>
          <rPr>
            <sz val="10"/>
            <color indexed="81"/>
            <rFont val="Lucida Console"/>
            <family val="3"/>
          </rPr>
          <t>Tempo de Estoque (Meses)_x000D_
_x000D_
500,0</t>
        </r>
      </text>
    </comment>
    <comment ref="A866" authorId="0" shapeId="0" xr:uid="{F06C1475-BF4F-42BA-BFC3-E11EF86070C8}">
      <text>
        <r>
          <rPr>
            <sz val="10"/>
            <color indexed="81"/>
            <rFont val="Lucida Console"/>
            <family val="3"/>
          </rPr>
          <t>_x000D_
121086</t>
        </r>
      </text>
    </comment>
    <comment ref="B866" authorId="0" shapeId="0" xr:uid="{325C912E-3F54-4EC8-9996-B9BEB01543FA}">
      <text>
        <r>
          <rPr>
            <sz val="10"/>
            <color indexed="81"/>
            <rFont val="Lucida Console"/>
            <family val="3"/>
          </rPr>
          <t>DESCRIÇÃO DETALHADA_x000D_
OLEO SOLUVEL BIODEGRADAVEL PARA CORTE DE METAIS - GALAO DE 5 LITROS</t>
        </r>
      </text>
    </comment>
    <comment ref="W866" authorId="0" shapeId="0" xr:uid="{E72168BB-BE7D-4189-98E4-0AF5038D954D}">
      <text>
        <r>
          <rPr>
            <sz val="10"/>
            <color indexed="81"/>
            <rFont val="Lucida Console"/>
            <family val="3"/>
          </rPr>
          <t>_x000D_
DM-Jardinagem</t>
        </r>
      </text>
    </comment>
    <comment ref="X866" authorId="0" shapeId="0" xr:uid="{9D1373BF-5502-429C-A893-B2C2BAD825A2}">
      <text>
        <r>
          <rPr>
            <sz val="10"/>
            <color indexed="81"/>
            <rFont val="Lucida Console"/>
            <family val="3"/>
          </rPr>
          <t>_x000D_
COMBUST.,LUBRIF.,OLEOS,GRAXAS,GAS</t>
        </r>
      </text>
    </comment>
    <comment ref="Y866" authorId="0" shapeId="0" xr:uid="{09BCEBB1-C0A4-4E75-B9B0-4A0C6A2FC8E9}">
      <text>
        <r>
          <rPr>
            <sz val="10"/>
            <color indexed="81"/>
            <rFont val="Lucida Console"/>
            <family val="3"/>
          </rPr>
          <t>_x000D_
OLEOS LUBRIF.,GRAXAS,CORTANTES,FLUIDOS HIDRAULICOS</t>
        </r>
      </text>
    </comment>
    <comment ref="AW866" authorId="0" shapeId="0" xr:uid="{ACE72D30-0561-4723-9E95-50AB658EC095}">
      <text>
        <r>
          <rPr>
            <sz val="10"/>
            <color indexed="81"/>
            <rFont val="Lucida Console"/>
            <family val="3"/>
          </rPr>
          <t>Tempo de Estoque (Meses)_x000D_
_x000D_
0,0</t>
        </r>
      </text>
    </comment>
    <comment ref="A867" authorId="0" shapeId="0" xr:uid="{83D56531-B15E-40B5-A612-94B9A06AC589}">
      <text>
        <r>
          <rPr>
            <sz val="10"/>
            <color indexed="81"/>
            <rFont val="Lucida Console"/>
            <family val="3"/>
          </rPr>
          <t>_x000D_
141265</t>
        </r>
      </text>
    </comment>
    <comment ref="B867" authorId="0" shapeId="0" xr:uid="{A3CB6B89-0A74-4D67-8795-8CC79B578A4A}">
      <text>
        <r>
          <rPr>
            <sz val="10"/>
            <color indexed="81"/>
            <rFont val="Lucida Console"/>
            <family val="3"/>
          </rPr>
          <t>DESCRIÇÃO DETALHADA_x000D_
TINTA ESMALTE SINTETICO BRILHANTE, LINHA PREMIUM.COR PRETO, GALAO COM 3.600 ML, A BASE DE SOLVENTE</t>
        </r>
      </text>
    </comment>
    <comment ref="W867" authorId="0" shapeId="0" xr:uid="{AB6A817D-A601-4836-A551-A04D26B42773}">
      <text>
        <r>
          <rPr>
            <sz val="10"/>
            <color indexed="81"/>
            <rFont val="Lucida Console"/>
            <family val="3"/>
          </rPr>
          <t>_x000D_
DM-Pintura</t>
        </r>
      </text>
    </comment>
    <comment ref="X867" authorId="0" shapeId="0" xr:uid="{CC837D8A-1874-428A-BDE7-FA23A788B48E}">
      <text>
        <r>
          <rPr>
            <sz val="10"/>
            <color indexed="81"/>
            <rFont val="Lucida Console"/>
            <family val="3"/>
          </rPr>
          <t>_x000D_
EQUIP. E MATERIAIS P/PINTURAS E IMPERMEABILIZACAO</t>
        </r>
      </text>
    </comment>
    <comment ref="Y867" authorId="0" shapeId="0" xr:uid="{EEC1F087-87A9-47FA-BA5C-610F40626B15}">
      <text>
        <r>
          <rPr>
            <sz val="10"/>
            <color indexed="81"/>
            <rFont val="Lucida Console"/>
            <family val="3"/>
          </rPr>
          <t>_x000D_
ESMALTES</t>
        </r>
      </text>
    </comment>
    <comment ref="AW867" authorId="0" shapeId="0" xr:uid="{423C3E67-DAC5-4B76-9C55-A4380EF800CB}">
      <text>
        <r>
          <rPr>
            <sz val="10"/>
            <color indexed="81"/>
            <rFont val="Lucida Console"/>
            <family val="3"/>
          </rPr>
          <t>Tempo de Estoque (Meses)_x000D_
_x000D_
74,0</t>
        </r>
      </text>
    </comment>
    <comment ref="A868" authorId="0" shapeId="0" xr:uid="{0B928ECD-4968-4D7A-A0FB-88C263BCC3DF}">
      <text>
        <r>
          <rPr>
            <sz val="10"/>
            <color indexed="81"/>
            <rFont val="Lucida Console"/>
            <family val="3"/>
          </rPr>
          <t>_x000D_
141266</t>
        </r>
      </text>
    </comment>
    <comment ref="B868" authorId="0" shapeId="0" xr:uid="{0D3AB146-6373-4AE7-94BD-4605D43ED942}">
      <text>
        <r>
          <rPr>
            <sz val="10"/>
            <color indexed="81"/>
            <rFont val="Lucida Console"/>
            <family val="3"/>
          </rPr>
          <t>DESCRIÇÃO DETALHADA_x000D_
TINTA ESMALTE SINTETICO BRILHANTE, LINHA PREMIUM.COR VERDE FOLHA, GALAO COM 3.600 ML, A BASE DE SOLVENTE</t>
        </r>
      </text>
    </comment>
    <comment ref="W868" authorId="0" shapeId="0" xr:uid="{7D95557D-0E8C-4E87-9409-78FB645F1683}">
      <text>
        <r>
          <rPr>
            <sz val="10"/>
            <color indexed="81"/>
            <rFont val="Lucida Console"/>
            <family val="3"/>
          </rPr>
          <t>_x000D_
DM-Pintura</t>
        </r>
      </text>
    </comment>
    <comment ref="X868" authorId="0" shapeId="0" xr:uid="{BA082103-EF1F-4FCC-9694-5E6A6D9D65D4}">
      <text>
        <r>
          <rPr>
            <sz val="10"/>
            <color indexed="81"/>
            <rFont val="Lucida Console"/>
            <family val="3"/>
          </rPr>
          <t>_x000D_
EQUIP. E MATERIAIS P/PINTURAS E IMPERMEABILIZACAO</t>
        </r>
      </text>
    </comment>
    <comment ref="Y868" authorId="0" shapeId="0" xr:uid="{988CC0FF-D762-408B-A8D5-A98830D74727}">
      <text>
        <r>
          <rPr>
            <sz val="10"/>
            <color indexed="81"/>
            <rFont val="Lucida Console"/>
            <family val="3"/>
          </rPr>
          <t>_x000D_
ESMALTES</t>
        </r>
      </text>
    </comment>
    <comment ref="AC868" authorId="0" shapeId="0" xr:uid="{29C8964B-C4A7-40FD-A1E1-8E20E5F052F6}">
      <text>
        <r>
          <rPr>
            <sz val="10"/>
            <color indexed="81"/>
            <rFont val="Lucida Console"/>
            <family val="3"/>
          </rPr>
          <t>_x000D_
AF 11.620/23 | Vc 17.11.2023 | Saldo     50 | SUPREME COMERCIAL LTDA ( 218117 )</t>
        </r>
      </text>
    </comment>
    <comment ref="AG868" authorId="0" shapeId="0" xr:uid="{28970B8B-5701-4A1A-B55D-73B8A65C18DD}">
      <text>
        <r>
          <rPr>
            <sz val="10"/>
            <color indexed="81"/>
            <rFont val="Lucida Console"/>
            <family val="3"/>
          </rPr>
          <t>_x000D_
AF 11.620/23 | Vc 17.11.2023 | Saldo     50 | SUPREME COMERCIAL LTDA ( 218117 )</t>
        </r>
      </text>
    </comment>
    <comment ref="AW868" authorId="0" shapeId="0" xr:uid="{9708EBD7-73CB-405F-8471-3E9206D2ADA1}">
      <text>
        <r>
          <rPr>
            <sz val="10"/>
            <color indexed="81"/>
            <rFont val="Lucida Console"/>
            <family val="3"/>
          </rPr>
          <t>Tempo de Estoque (Meses)_x000D_
_x000D_
159,0</t>
        </r>
      </text>
    </comment>
    <comment ref="A869" authorId="0" shapeId="0" xr:uid="{670B7357-7DE5-4D72-A66B-BA32D9C6DF29}">
      <text>
        <r>
          <rPr>
            <sz val="10"/>
            <color indexed="81"/>
            <rFont val="Lucida Console"/>
            <family val="3"/>
          </rPr>
          <t>_x000D_
141268</t>
        </r>
      </text>
    </comment>
    <comment ref="B869" authorId="0" shapeId="0" xr:uid="{0B7D2BAC-A36B-46E0-B111-4F516740EDE8}">
      <text>
        <r>
          <rPr>
            <sz val="10"/>
            <color indexed="81"/>
            <rFont val="Lucida Console"/>
            <family val="3"/>
          </rPr>
          <t>DESCRIÇÃO DETALHADA_x000D_
TINTA ESMALTE SINTETICO BRILHANTE, LINHA PREMIUM. COR BRANCO - GALAO COM 3.600 ML, A BASE DE SOLVENTE</t>
        </r>
      </text>
    </comment>
    <comment ref="W869" authorId="0" shapeId="0" xr:uid="{0C66F9F4-6C4C-4FEB-AEF7-40CC009B9CED}">
      <text>
        <r>
          <rPr>
            <sz val="10"/>
            <color indexed="81"/>
            <rFont val="Lucida Console"/>
            <family val="3"/>
          </rPr>
          <t>_x000D_
DM-Pintura</t>
        </r>
      </text>
    </comment>
    <comment ref="X869" authorId="0" shapeId="0" xr:uid="{E3D9D530-E840-4588-B0BF-42DABC64B272}">
      <text>
        <r>
          <rPr>
            <sz val="10"/>
            <color indexed="81"/>
            <rFont val="Lucida Console"/>
            <family val="3"/>
          </rPr>
          <t>_x000D_
EQUIP. E MATERIAIS P/PINTURAS E IMPERMEABILIZACAO</t>
        </r>
      </text>
    </comment>
    <comment ref="Y869" authorId="0" shapeId="0" xr:uid="{EC93F367-173D-40DB-8428-F0D2C41C10DB}">
      <text>
        <r>
          <rPr>
            <sz val="10"/>
            <color indexed="81"/>
            <rFont val="Lucida Console"/>
            <family val="3"/>
          </rPr>
          <t>_x000D_
ESMALTES</t>
        </r>
      </text>
    </comment>
    <comment ref="AC869" authorId="0" shapeId="0" xr:uid="{D3C225EF-D04F-41A9-804B-09A94BCEAFCD}">
      <text>
        <r>
          <rPr>
            <sz val="10"/>
            <color indexed="81"/>
            <rFont val="Lucida Console"/>
            <family val="3"/>
          </rPr>
          <t>_x000D_
AF 11.623/23 | Vc 17.11.2023 | Saldo    500 | SUPREME COMERCIAL LTDA ( 218117 )</t>
        </r>
      </text>
    </comment>
    <comment ref="AG869" authorId="0" shapeId="0" xr:uid="{83F8B03B-84C8-4DDA-B13A-068211F4A5CB}">
      <text>
        <r>
          <rPr>
            <sz val="10"/>
            <color indexed="81"/>
            <rFont val="Lucida Console"/>
            <family val="3"/>
          </rPr>
          <t>_x000D_
AF 11.623/23 | Vc 17.11.2023 | Saldo    500 | SUPREME COMERCIAL LTDA ( 218117 )</t>
        </r>
      </text>
    </comment>
    <comment ref="AW869" authorId="0" shapeId="0" xr:uid="{F4F51646-9316-4CEA-8550-B0C423659B45}">
      <text>
        <r>
          <rPr>
            <sz val="10"/>
            <color indexed="81"/>
            <rFont val="Lucida Console"/>
            <family val="3"/>
          </rPr>
          <t>Tempo de Estoque (Meses)_x000D_
_x000D_
854,0</t>
        </r>
      </text>
    </comment>
    <comment ref="A870" authorId="0" shapeId="0" xr:uid="{DA5FCC9F-DEF1-4AAB-B0E9-F0115AD4C0EE}">
      <text>
        <r>
          <rPr>
            <sz val="10"/>
            <color indexed="81"/>
            <rFont val="Lucida Console"/>
            <family val="3"/>
          </rPr>
          <t>_x000D_
141679</t>
        </r>
      </text>
    </comment>
    <comment ref="B870" authorId="0" shapeId="0" xr:uid="{BE5180A3-015B-4DF7-B2D5-3140149BCE03}">
      <text>
        <r>
          <rPr>
            <sz val="10"/>
            <color indexed="81"/>
            <rFont val="Lucida Console"/>
            <family val="3"/>
          </rPr>
          <t>DESCRIÇÃO DETALHADA_x000D_
TINTA ESMALTE SINTETICO BRILHANTE, LINHA PREMIUM, COR AMARELO OURO - GALAO COM 3.600 ML, A BASE DE SOLVENTE</t>
        </r>
      </text>
    </comment>
    <comment ref="W870" authorId="0" shapeId="0" xr:uid="{2C502970-732B-418D-A6A1-5D90CCF0425D}">
      <text>
        <r>
          <rPr>
            <sz val="10"/>
            <color indexed="81"/>
            <rFont val="Lucida Console"/>
            <family val="3"/>
          </rPr>
          <t>_x000D_
DM-Pintura</t>
        </r>
      </text>
    </comment>
    <comment ref="X870" authorId="0" shapeId="0" xr:uid="{0D5A2952-0C85-43E2-887C-30546A18EB19}">
      <text>
        <r>
          <rPr>
            <sz val="10"/>
            <color indexed="81"/>
            <rFont val="Lucida Console"/>
            <family val="3"/>
          </rPr>
          <t>_x000D_
EQUIP. E MATERIAIS P/PINTURAS E IMPERMEABILIZACAO</t>
        </r>
      </text>
    </comment>
    <comment ref="Y870" authorId="0" shapeId="0" xr:uid="{4A90F759-B384-4230-9540-DA32D9D69FC7}">
      <text>
        <r>
          <rPr>
            <sz val="10"/>
            <color indexed="81"/>
            <rFont val="Lucida Console"/>
            <family val="3"/>
          </rPr>
          <t>_x000D_
ESMALTES</t>
        </r>
      </text>
    </comment>
    <comment ref="AC870" authorId="0" shapeId="0" xr:uid="{D4DF9ABB-B1F3-437A-8832-FCE5EE5FA3B9}">
      <text>
        <r>
          <rPr>
            <sz val="10"/>
            <color indexed="81"/>
            <rFont val="Lucida Console"/>
            <family val="3"/>
          </rPr>
          <t>_x000D_
AF 11.621/23 | Vc 17.11.2023 | Saldo     50 | SUPREME COMERCIAL LTDA ( 218117 )</t>
        </r>
      </text>
    </comment>
    <comment ref="AG870" authorId="0" shapeId="0" xr:uid="{23C3F624-0AF1-4C83-B343-5C2EA391E20A}">
      <text>
        <r>
          <rPr>
            <sz val="10"/>
            <color indexed="81"/>
            <rFont val="Lucida Console"/>
            <family val="3"/>
          </rPr>
          <t>_x000D_
AF 11.621/23 | Vc 17.11.2023 | Saldo     50 | SUPREME COMERCIAL LTDA ( 218117 )</t>
        </r>
      </text>
    </comment>
    <comment ref="AW870" authorId="0" shapeId="0" xr:uid="{486E8F7C-2E79-4426-9DF5-8F1B7769D10E}">
      <text>
        <r>
          <rPr>
            <sz val="10"/>
            <color indexed="81"/>
            <rFont val="Lucida Console"/>
            <family val="3"/>
          </rPr>
          <t>Tempo de Estoque (Meses)_x000D_
_x000D_
193,0</t>
        </r>
      </text>
    </comment>
    <comment ref="A871" authorId="0" shapeId="0" xr:uid="{7D13FD36-F3E9-45AD-B80D-00FA124FC851}">
      <text>
        <r>
          <rPr>
            <sz val="10"/>
            <color indexed="81"/>
            <rFont val="Lucida Console"/>
            <family val="3"/>
          </rPr>
          <t>_x000D_
141680</t>
        </r>
      </text>
    </comment>
    <comment ref="B871" authorId="0" shapeId="0" xr:uid="{0E79B499-31E1-456D-862E-CCAC44666536}">
      <text>
        <r>
          <rPr>
            <sz val="10"/>
            <color indexed="81"/>
            <rFont val="Lucida Console"/>
            <family val="3"/>
          </rPr>
          <t>DESCRIÇÃO DETALHADA_x000D_
TINTA ESMALTE SINTETICO BRILHANTE, LINHA PREMIUM, COR AZUL ROYAL - GALAO COM 3.600 ML, A BASE DE SOLVENTE</t>
        </r>
      </text>
    </comment>
    <comment ref="W871" authorId="0" shapeId="0" xr:uid="{966FD652-70EB-4CB5-8107-0A4CB4C35729}">
      <text>
        <r>
          <rPr>
            <sz val="10"/>
            <color indexed="81"/>
            <rFont val="Lucida Console"/>
            <family val="3"/>
          </rPr>
          <t>_x000D_
DM-Pintura</t>
        </r>
      </text>
    </comment>
    <comment ref="X871" authorId="0" shapeId="0" xr:uid="{5F210945-49B8-450A-A5BC-8FB8DA0A3D4A}">
      <text>
        <r>
          <rPr>
            <sz val="10"/>
            <color indexed="81"/>
            <rFont val="Lucida Console"/>
            <family val="3"/>
          </rPr>
          <t>_x000D_
EQUIP. E MATERIAIS P/PINTURAS E IMPERMEABILIZACAO</t>
        </r>
      </text>
    </comment>
    <comment ref="Y871" authorId="0" shapeId="0" xr:uid="{8A2A2E04-C4A4-4752-9FF8-985E18BB2C02}">
      <text>
        <r>
          <rPr>
            <sz val="10"/>
            <color indexed="81"/>
            <rFont val="Lucida Console"/>
            <family val="3"/>
          </rPr>
          <t>_x000D_
ESMALTES</t>
        </r>
      </text>
    </comment>
    <comment ref="AC871" authorId="0" shapeId="0" xr:uid="{8F282BD4-F0DF-4DC8-B2A1-29AD128B17C1}">
      <text>
        <r>
          <rPr>
            <sz val="10"/>
            <color indexed="81"/>
            <rFont val="Lucida Console"/>
            <family val="3"/>
          </rPr>
          <t>_x000D_
AF 11.626/23 | Vc 17.11.2023 | Saldo    200 | SUPREME COMERCIAL LTDA ( 218117 )</t>
        </r>
      </text>
    </comment>
    <comment ref="AG871" authorId="0" shapeId="0" xr:uid="{A1EFA06C-AD61-4E76-842A-A83CA0803F40}">
      <text>
        <r>
          <rPr>
            <sz val="10"/>
            <color indexed="81"/>
            <rFont val="Lucida Console"/>
            <family val="3"/>
          </rPr>
          <t>_x000D_
AF 11.626/23 | Vc 17.11.2023 | Saldo    200 | SUPREME COMERCIAL LTDA ( 218117 )</t>
        </r>
      </text>
    </comment>
    <comment ref="AW871" authorId="0" shapeId="0" xr:uid="{2AD2174E-A234-49AF-8642-996893226A94}">
      <text>
        <r>
          <rPr>
            <sz val="10"/>
            <color indexed="81"/>
            <rFont val="Lucida Console"/>
            <family val="3"/>
          </rPr>
          <t>Tempo de Estoque (Meses)_x000D_
_x000D_
630,0</t>
        </r>
      </text>
    </comment>
    <comment ref="A872" authorId="0" shapeId="0" xr:uid="{1A3D3514-43D2-4A96-9C53-56CA7422DE7C}">
      <text>
        <r>
          <rPr>
            <sz val="10"/>
            <color indexed="81"/>
            <rFont val="Lucida Console"/>
            <family val="3"/>
          </rPr>
          <t>_x000D_
141681</t>
        </r>
      </text>
    </comment>
    <comment ref="B872" authorId="0" shapeId="0" xr:uid="{A65449E4-98CC-4694-BD83-A0A1344949C8}">
      <text>
        <r>
          <rPr>
            <sz val="10"/>
            <color indexed="81"/>
            <rFont val="Lucida Console"/>
            <family val="3"/>
          </rPr>
          <t>DESCRIÇÃO DETALHADA_x000D_
TINTA ESMALTE SINTETICO BRILHANTE, LINHA PREMIUM, COR VERMELHA - GALAO COM 3.600 ML, A BASE DE SOLVENTE</t>
        </r>
      </text>
    </comment>
    <comment ref="W872" authorId="0" shapeId="0" xr:uid="{0B692B2A-C11A-472D-A269-EB1D8A419662}">
      <text>
        <r>
          <rPr>
            <sz val="10"/>
            <color indexed="81"/>
            <rFont val="Lucida Console"/>
            <family val="3"/>
          </rPr>
          <t>_x000D_
DM-Pintura</t>
        </r>
      </text>
    </comment>
    <comment ref="X872" authorId="0" shapeId="0" xr:uid="{7FB17896-5228-4BAC-9B26-1E5015EE29D8}">
      <text>
        <r>
          <rPr>
            <sz val="10"/>
            <color indexed="81"/>
            <rFont val="Lucida Console"/>
            <family val="3"/>
          </rPr>
          <t>_x000D_
EQUIP. E MATERIAIS P/PINTURAS E IMPERMEABILIZACAO</t>
        </r>
      </text>
    </comment>
    <comment ref="Y872" authorId="0" shapeId="0" xr:uid="{8E08C015-9394-493B-89E5-2AA5224F05C7}">
      <text>
        <r>
          <rPr>
            <sz val="10"/>
            <color indexed="81"/>
            <rFont val="Lucida Console"/>
            <family val="3"/>
          </rPr>
          <t>_x000D_
ESMALTES</t>
        </r>
      </text>
    </comment>
    <comment ref="AW872" authorId="0" shapeId="0" xr:uid="{6EE56DD7-E18D-4CA6-A2BC-F724EFBD9DE0}">
      <text>
        <r>
          <rPr>
            <sz val="10"/>
            <color indexed="81"/>
            <rFont val="Lucida Console"/>
            <family val="3"/>
          </rPr>
          <t>Tempo de Estoque (Meses)_x000D_
_x000D_
113,0</t>
        </r>
      </text>
    </comment>
    <comment ref="A873" authorId="0" shapeId="0" xr:uid="{6F6B49E2-0E9A-4D27-B77E-6BA9AAFC83DD}">
      <text>
        <r>
          <rPr>
            <sz val="10"/>
            <color indexed="81"/>
            <rFont val="Lucida Console"/>
            <family val="3"/>
          </rPr>
          <t>_x000D_
141270</t>
        </r>
      </text>
    </comment>
    <comment ref="B873" authorId="0" shapeId="0" xr:uid="{9FEB83F4-2C78-4A81-9401-F965CE7CE747}">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873" authorId="0" shapeId="0" xr:uid="{86FF4FC6-53F0-46FF-A433-FBE7AC5EBF94}">
      <text>
        <r>
          <rPr>
            <sz val="10"/>
            <color indexed="81"/>
            <rFont val="Lucida Console"/>
            <family val="3"/>
          </rPr>
          <t>_x000D_
DM-Pintura</t>
        </r>
      </text>
    </comment>
    <comment ref="X873" authorId="0" shapeId="0" xr:uid="{4CE6E347-AE23-4D0F-BABF-C295C89487BA}">
      <text>
        <r>
          <rPr>
            <sz val="10"/>
            <color indexed="81"/>
            <rFont val="Lucida Console"/>
            <family val="3"/>
          </rPr>
          <t>_x000D_
EQUIP. E MATERIAIS P/PINTURAS E IMPERMEABILIZACAO</t>
        </r>
      </text>
    </comment>
    <comment ref="Y873" authorId="0" shapeId="0" xr:uid="{A901EEE9-5D60-4B52-B579-DDE3F73874DF}">
      <text>
        <r>
          <rPr>
            <sz val="10"/>
            <color indexed="81"/>
            <rFont val="Lucida Console"/>
            <family val="3"/>
          </rPr>
          <t>_x000D_
VERNIZES PRIMERS E TINTAS PARA SOLO</t>
        </r>
      </text>
    </comment>
    <comment ref="AW873" authorId="0" shapeId="0" xr:uid="{126E2F17-41C5-40D5-B19A-43D45473A4E2}">
      <text>
        <r>
          <rPr>
            <sz val="10"/>
            <color indexed="81"/>
            <rFont val="Lucida Console"/>
            <family val="3"/>
          </rPr>
          <t>Tempo de Estoque (Meses)_x000D_
_x000D_
22,0</t>
        </r>
      </text>
    </comment>
    <comment ref="A874" authorId="0" shapeId="0" xr:uid="{5DA8121E-0F66-461F-A83E-D501222F88E9}">
      <text>
        <r>
          <rPr>
            <sz val="10"/>
            <color indexed="81"/>
            <rFont val="Lucida Console"/>
            <family val="3"/>
          </rPr>
          <t>_x000D_
141608</t>
        </r>
      </text>
    </comment>
    <comment ref="B874" authorId="0" shapeId="0" xr:uid="{A8EC73D5-827D-49AF-BAF7-22501434DB03}">
      <text>
        <r>
          <rPr>
            <sz val="10"/>
            <color indexed="81"/>
            <rFont val="Lucida Console"/>
            <family val="3"/>
          </rPr>
          <t>DESCRIÇÃO DETALHADA_x000D_
TINTA ACRILICA PISO, LINHA PREMIUM, COR BRANCO - LATA COM 18 LITROS</t>
        </r>
      </text>
    </comment>
    <comment ref="W874" authorId="0" shapeId="0" xr:uid="{BF2A472A-7B5A-4911-85DA-986B69E04987}">
      <text>
        <r>
          <rPr>
            <sz val="10"/>
            <color indexed="81"/>
            <rFont val="Lucida Console"/>
            <family val="3"/>
          </rPr>
          <t>_x000D_
DM-Pintura</t>
        </r>
      </text>
    </comment>
    <comment ref="X874" authorId="0" shapeId="0" xr:uid="{A4FA3F00-C06C-403E-A218-B986CC3FFF7C}">
      <text>
        <r>
          <rPr>
            <sz val="10"/>
            <color indexed="81"/>
            <rFont val="Lucida Console"/>
            <family val="3"/>
          </rPr>
          <t>_x000D_
EQUIP. E MATERIAIS P/PINTURAS E IMPERMEABILIZACAO</t>
        </r>
      </text>
    </comment>
    <comment ref="Y874" authorId="0" shapeId="0" xr:uid="{CA1AF468-4E90-40FB-ADAE-1DB216C72FC4}">
      <text>
        <r>
          <rPr>
            <sz val="10"/>
            <color indexed="81"/>
            <rFont val="Lucida Console"/>
            <family val="3"/>
          </rPr>
          <t>_x000D_
TINTAS DIVERSAS</t>
        </r>
      </text>
    </comment>
    <comment ref="AW874" authorId="0" shapeId="0" xr:uid="{0E3055D1-E256-4890-8C4C-4A2887676387}">
      <text>
        <r>
          <rPr>
            <sz val="10"/>
            <color indexed="81"/>
            <rFont val="Lucida Console"/>
            <family val="3"/>
          </rPr>
          <t>Tempo de Estoque (Meses)_x000D_
_x000D_
55,0</t>
        </r>
      </text>
    </comment>
    <comment ref="A875" authorId="0" shapeId="0" xr:uid="{1C809ADA-928C-4019-BB78-7E202D89D2E8}">
      <text>
        <r>
          <rPr>
            <sz val="10"/>
            <color indexed="81"/>
            <rFont val="Lucida Console"/>
            <family val="3"/>
          </rPr>
          <t>_x000D_
141615</t>
        </r>
      </text>
    </comment>
    <comment ref="B875" authorId="0" shapeId="0" xr:uid="{39999F98-49A9-43D7-890C-E425E573C368}">
      <text>
        <r>
          <rPr>
            <sz val="10"/>
            <color indexed="81"/>
            <rFont val="Lucida Console"/>
            <family val="3"/>
          </rPr>
          <t>DESCRIÇÃO DETALHADA_x000D_
TINTA LATEX ACRILICA SEMIBRILHO, LINHA PREMIUM, COR BRANCO - LATA COM 18 LITROS</t>
        </r>
      </text>
    </comment>
    <comment ref="W875" authorId="0" shapeId="0" xr:uid="{F23487C4-2328-469C-96EA-315F3A7487BF}">
      <text>
        <r>
          <rPr>
            <sz val="10"/>
            <color indexed="81"/>
            <rFont val="Lucida Console"/>
            <family val="3"/>
          </rPr>
          <t>_x000D_
DM-Pintura</t>
        </r>
      </text>
    </comment>
    <comment ref="X875" authorId="0" shapeId="0" xr:uid="{ED75942C-AE37-4644-8A80-4AED4FB81977}">
      <text>
        <r>
          <rPr>
            <sz val="10"/>
            <color indexed="81"/>
            <rFont val="Lucida Console"/>
            <family val="3"/>
          </rPr>
          <t>_x000D_
EQUIP. E MATERIAIS P/PINTURAS E IMPERMEABILIZACAO</t>
        </r>
      </text>
    </comment>
    <comment ref="Y875" authorId="0" shapeId="0" xr:uid="{3DA80032-E4AB-4AC9-ACAD-21416E81FF73}">
      <text>
        <r>
          <rPr>
            <sz val="10"/>
            <color indexed="81"/>
            <rFont val="Lucida Console"/>
            <family val="3"/>
          </rPr>
          <t>_x000D_
TINTAS LATEX</t>
        </r>
      </text>
    </comment>
    <comment ref="AC875" authorId="0" shapeId="0" xr:uid="{2DACB767-906A-4510-BFD2-5C39F0FA5D35}">
      <text>
        <r>
          <rPr>
            <sz val="10"/>
            <color indexed="81"/>
            <rFont val="Lucida Console"/>
            <family val="3"/>
          </rPr>
          <t>_x000D_
AF 11.620/23 | Vc 17.11.2023 | Saldo     50 | SUPREME COMERCIAL LTDA ( 218117 )</t>
        </r>
      </text>
    </comment>
    <comment ref="AG875" authorId="0" shapeId="0" xr:uid="{CDA7B82B-0E42-4458-A422-8ACAB81745C2}">
      <text>
        <r>
          <rPr>
            <sz val="10"/>
            <color indexed="81"/>
            <rFont val="Lucida Console"/>
            <family val="3"/>
          </rPr>
          <t>_x000D_
AF 11.620/23 | Vc 17.11.2023 | Saldo     50 | SUPREME COMERCIAL LTDA ( 218117 )</t>
        </r>
      </text>
    </comment>
    <comment ref="AW875" authorId="0" shapeId="0" xr:uid="{3E5F9D5D-2FEF-4DE1-A2B5-0E8E2EEEB771}">
      <text>
        <r>
          <rPr>
            <sz val="10"/>
            <color indexed="81"/>
            <rFont val="Lucida Console"/>
            <family val="3"/>
          </rPr>
          <t>Tempo de Estoque (Meses)_x000D_
_x000D_
111,0</t>
        </r>
      </text>
    </comment>
    <comment ref="A876" authorId="0" shapeId="0" xr:uid="{5BFE5DA6-2E09-4B99-88E8-EDAE30BFEBD2}">
      <text>
        <r>
          <rPr>
            <sz val="10"/>
            <color indexed="81"/>
            <rFont val="Lucida Console"/>
            <family val="3"/>
          </rPr>
          <t>_x000D_
141786</t>
        </r>
      </text>
    </comment>
    <comment ref="B876" authorId="0" shapeId="0" xr:uid="{412F4FF5-FC25-4FB9-B410-204DE3129129}">
      <text>
        <r>
          <rPr>
            <sz val="10"/>
            <color indexed="81"/>
            <rFont val="Lucida Console"/>
            <family val="3"/>
          </rPr>
          <t>DESCRIÇÃO DETALHADA_x000D_
TINTA LATEX ACRILICA SEMIBRILHO, LINHA PREMIUM, COR  AMARELO MELAO MADURO - LATA COM 18 LITROS</t>
        </r>
      </text>
    </comment>
    <comment ref="W876" authorId="0" shapeId="0" xr:uid="{2325D229-903C-4239-A40A-09529256E554}">
      <text>
        <r>
          <rPr>
            <sz val="10"/>
            <color indexed="81"/>
            <rFont val="Lucida Console"/>
            <family val="3"/>
          </rPr>
          <t>_x000D_
DM-Pintura</t>
        </r>
      </text>
    </comment>
    <comment ref="X876" authorId="0" shapeId="0" xr:uid="{151CE90B-1930-484A-A894-794F7FC4CCDF}">
      <text>
        <r>
          <rPr>
            <sz val="10"/>
            <color indexed="81"/>
            <rFont val="Lucida Console"/>
            <family val="3"/>
          </rPr>
          <t>_x000D_
EQUIP. E MATERIAIS P/PINTURAS E IMPERMEABILIZACAO</t>
        </r>
      </text>
    </comment>
    <comment ref="Y876" authorId="0" shapeId="0" xr:uid="{7A2CD8C2-CEB0-4B87-984F-97CADDC91DFE}">
      <text>
        <r>
          <rPr>
            <sz val="10"/>
            <color indexed="81"/>
            <rFont val="Lucida Console"/>
            <family val="3"/>
          </rPr>
          <t>_x000D_
TINTAS LATEX</t>
        </r>
      </text>
    </comment>
    <comment ref="AW876" authorId="0" shapeId="0" xr:uid="{797B77AB-A482-4D5D-BAB7-1676361E83C1}">
      <text>
        <r>
          <rPr>
            <sz val="10"/>
            <color indexed="81"/>
            <rFont val="Lucida Console"/>
            <family val="3"/>
          </rPr>
          <t>Tempo de Estoque (Meses)_x000D_
_x000D_
243,0</t>
        </r>
      </text>
    </comment>
    <comment ref="A877" authorId="0" shapeId="0" xr:uid="{80A559EF-06A1-49CC-B28A-4618FBE26EDF}">
      <text>
        <r>
          <rPr>
            <sz val="10"/>
            <color indexed="81"/>
            <rFont val="Lucida Console"/>
            <family val="3"/>
          </rPr>
          <t>_x000D_
141787</t>
        </r>
      </text>
    </comment>
    <comment ref="B877" authorId="0" shapeId="0" xr:uid="{EC6C6EC4-68BE-4DEF-B949-A0C8BDFB17E2}">
      <text>
        <r>
          <rPr>
            <sz val="10"/>
            <color indexed="81"/>
            <rFont val="Lucida Console"/>
            <family val="3"/>
          </rPr>
          <t>DESCRIÇÃO DETALHADA_x000D_
TINTA LATEX ACRILICA SEMIBRILHO, LINHA PREMIUM, COR  AZUL BIONICO - LATA COM 18 LITROS</t>
        </r>
      </text>
    </comment>
    <comment ref="W877" authorId="0" shapeId="0" xr:uid="{FA9B31D9-608E-498D-8733-176382C783C2}">
      <text>
        <r>
          <rPr>
            <sz val="10"/>
            <color indexed="81"/>
            <rFont val="Lucida Console"/>
            <family val="3"/>
          </rPr>
          <t>_x000D_
DM-Pintura</t>
        </r>
      </text>
    </comment>
    <comment ref="X877" authorId="0" shapeId="0" xr:uid="{C1B30591-EB63-4719-8DE5-D21E50E94FFE}">
      <text>
        <r>
          <rPr>
            <sz val="10"/>
            <color indexed="81"/>
            <rFont val="Lucida Console"/>
            <family val="3"/>
          </rPr>
          <t>_x000D_
EQUIP. E MATERIAIS P/PINTURAS E IMPERMEABILIZACAO</t>
        </r>
      </text>
    </comment>
    <comment ref="Y877" authorId="0" shapeId="0" xr:uid="{31331A09-D23F-4A2E-8805-2632D50875A3}">
      <text>
        <r>
          <rPr>
            <sz val="10"/>
            <color indexed="81"/>
            <rFont val="Lucida Console"/>
            <family val="3"/>
          </rPr>
          <t>_x000D_
TINTAS LATEX</t>
        </r>
      </text>
    </comment>
    <comment ref="AC877" authorId="0" shapeId="0" xr:uid="{690BD8F7-068D-4490-944D-ACA56CAB2378}">
      <text>
        <r>
          <rPr>
            <sz val="10"/>
            <color indexed="81"/>
            <rFont val="Lucida Console"/>
            <family val="3"/>
          </rPr>
          <t>_x000D_
AF 11.623/23 | Vc 17.11.2023 | Saldo     50 | SUPREME COMERCIAL LTDA ( 218117 )</t>
        </r>
      </text>
    </comment>
    <comment ref="AG877" authorId="0" shapeId="0" xr:uid="{ABF97988-C597-4254-9AF3-7B3C497DA849}">
      <text>
        <r>
          <rPr>
            <sz val="10"/>
            <color indexed="81"/>
            <rFont val="Lucida Console"/>
            <family val="3"/>
          </rPr>
          <t>_x000D_
AF 11.623/23 | Vc 17.11.2023 | Saldo     50 | SUPREME COMERCIAL LTDA ( 218117 )</t>
        </r>
      </text>
    </comment>
    <comment ref="AW877" authorId="0" shapeId="0" xr:uid="{C1F977F3-C507-468C-AD92-F79434C4EF6D}">
      <text>
        <r>
          <rPr>
            <sz val="10"/>
            <color indexed="81"/>
            <rFont val="Lucida Console"/>
            <family val="3"/>
          </rPr>
          <t>Tempo de Estoque (Meses)_x000D_
_x000D_
321,0</t>
        </r>
      </text>
    </comment>
    <comment ref="A878" authorId="0" shapeId="0" xr:uid="{39242564-96C4-43A7-B1ED-C36832D74F04}">
      <text>
        <r>
          <rPr>
            <sz val="10"/>
            <color indexed="81"/>
            <rFont val="Lucida Console"/>
            <family val="3"/>
          </rPr>
          <t>_x000D_
141418</t>
        </r>
      </text>
    </comment>
    <comment ref="B878" authorId="0" shapeId="0" xr:uid="{FE79D22B-67B6-47F8-A54D-222DFB00265F}">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878" authorId="0" shapeId="0" xr:uid="{50716A6F-E172-44FD-9346-E3FF0CF7A7F0}">
      <text>
        <r>
          <rPr>
            <sz val="10"/>
            <color indexed="81"/>
            <rFont val="Lucida Console"/>
            <family val="3"/>
          </rPr>
          <t>_x000D_
DM-Pintura</t>
        </r>
      </text>
    </comment>
    <comment ref="X878" authorId="0" shapeId="0" xr:uid="{0532D8FA-11F5-4769-BB7B-14E6F1DB93B6}">
      <text>
        <r>
          <rPr>
            <sz val="10"/>
            <color indexed="81"/>
            <rFont val="Lucida Console"/>
            <family val="3"/>
          </rPr>
          <t>_x000D_
EQUIP. E MATERIAIS P/PINTURAS E IMPERMEABILIZACAO</t>
        </r>
      </text>
    </comment>
    <comment ref="Y878" authorId="0" shapeId="0" xr:uid="{579C7124-83F8-4F58-84B1-FDD529268036}">
      <text>
        <r>
          <rPr>
            <sz val="10"/>
            <color indexed="81"/>
            <rFont val="Lucida Console"/>
            <family val="3"/>
          </rPr>
          <t>_x000D_
MATERIAIS PARA PINTURA</t>
        </r>
      </text>
    </comment>
    <comment ref="AW878" authorId="0" shapeId="0" xr:uid="{2F28A0D0-BFFF-40DD-986F-EFC1DD41F2BB}">
      <text>
        <r>
          <rPr>
            <sz val="10"/>
            <color indexed="81"/>
            <rFont val="Lucida Console"/>
            <family val="3"/>
          </rPr>
          <t>Tempo de Estoque (Meses)_x000D_
_x000D_
857,0</t>
        </r>
      </text>
    </comment>
    <comment ref="A879" authorId="0" shapeId="0" xr:uid="{DBB28C9F-4D7F-401E-9EAA-FCE6E636476D}">
      <text>
        <r>
          <rPr>
            <sz val="10"/>
            <color indexed="81"/>
            <rFont val="Lucida Console"/>
            <family val="3"/>
          </rPr>
          <t>_x000D_
141253</t>
        </r>
      </text>
    </comment>
    <comment ref="B879" authorId="0" shapeId="0" xr:uid="{E3C459B8-6B1B-4E0F-A931-A6BBD3F2B302}">
      <text>
        <r>
          <rPr>
            <sz val="10"/>
            <color indexed="81"/>
            <rFont val="Lucida Console"/>
            <family val="3"/>
          </rPr>
          <t>DESCRIÇÃO DETALHADA_x000D_
FUNDO PARA GALVANIZADOS, LINHA PREMIUM, NA COR CINZA - GALAO COM 3,600 ML</t>
        </r>
      </text>
    </comment>
    <comment ref="W879" authorId="0" shapeId="0" xr:uid="{A7505240-C0EC-4C80-85D5-E160D3A9861F}">
      <text>
        <r>
          <rPr>
            <sz val="10"/>
            <color indexed="81"/>
            <rFont val="Lucida Console"/>
            <family val="3"/>
          </rPr>
          <t>_x000D_
DM-Pintura</t>
        </r>
      </text>
    </comment>
    <comment ref="X879" authorId="0" shapeId="0" xr:uid="{679BF796-B37A-4A52-8D9D-4F3501200521}">
      <text>
        <r>
          <rPr>
            <sz val="10"/>
            <color indexed="81"/>
            <rFont val="Lucida Console"/>
            <family val="3"/>
          </rPr>
          <t>_x000D_
EQUIP. E MATERIAIS P/PINTURAS E IMPERMEABILIZACAO</t>
        </r>
      </text>
    </comment>
    <comment ref="Y879" authorId="0" shapeId="0" xr:uid="{9B606FA0-23BB-4F9E-AA1E-DCBE6320DAEF}">
      <text>
        <r>
          <rPr>
            <sz val="10"/>
            <color indexed="81"/>
            <rFont val="Lucida Console"/>
            <family val="3"/>
          </rPr>
          <t>_x000D_
SELADORES</t>
        </r>
      </text>
    </comment>
    <comment ref="AW879" authorId="0" shapeId="0" xr:uid="{CA581F33-078E-4914-B893-D31D549CF761}">
      <text>
        <r>
          <rPr>
            <sz val="10"/>
            <color indexed="81"/>
            <rFont val="Lucida Console"/>
            <family val="3"/>
          </rPr>
          <t>Tempo de Estoque (Meses)_x000D_
_x000D_
190,0</t>
        </r>
      </text>
    </comment>
    <comment ref="A880" authorId="0" shapeId="0" xr:uid="{646F6CF9-F238-41A6-AE46-F4B3AB23E358}">
      <text>
        <r>
          <rPr>
            <sz val="10"/>
            <color indexed="81"/>
            <rFont val="Lucida Console"/>
            <family val="3"/>
          </rPr>
          <t>_x000D_
55836</t>
        </r>
      </text>
    </comment>
    <comment ref="B880" authorId="0" shapeId="0" xr:uid="{F60A4B5C-7DB8-48DE-8A10-425747C375E3}">
      <text>
        <r>
          <rPr>
            <sz val="10"/>
            <color indexed="81"/>
            <rFont val="Lucida Console"/>
            <family val="3"/>
          </rPr>
          <t>DESCRIÇÃO DETALHADA_x000D_
PONTEIRA DE BORRACHA - DIAMETRO INTERNO 7/8"</t>
        </r>
      </text>
    </comment>
    <comment ref="W880" authorId="0" shapeId="0" xr:uid="{7CE55F67-97F1-46B8-86CB-72C8F9AA4C34}">
      <text>
        <r>
          <rPr>
            <sz val="10"/>
            <color indexed="81"/>
            <rFont val="Lucida Console"/>
            <family val="3"/>
          </rPr>
          <t>_x000D_
DM-Marcenaria</t>
        </r>
      </text>
    </comment>
    <comment ref="X880" authorId="0" shapeId="0" xr:uid="{BE1C8ABF-60BE-481A-BE85-DF973EFDFE80}">
      <text>
        <r>
          <rPr>
            <sz val="10"/>
            <color indexed="81"/>
            <rFont val="Lucida Console"/>
            <family val="3"/>
          </rPr>
          <t>_x000D_
MOBILIARIO E COFRE</t>
        </r>
      </text>
    </comment>
    <comment ref="Y880" authorId="0" shapeId="0" xr:uid="{46A76945-19E9-4A8D-85B4-CEA3CBB0C07E}">
      <text>
        <r>
          <rPr>
            <sz val="10"/>
            <color indexed="81"/>
            <rFont val="Lucida Console"/>
            <family val="3"/>
          </rPr>
          <t>_x000D_
ACESSORIOS</t>
        </r>
      </text>
    </comment>
    <comment ref="AW880" authorId="0" shapeId="0" xr:uid="{0275185C-8D55-475C-94D4-69EFDDF31366}">
      <text>
        <r>
          <rPr>
            <sz val="10"/>
            <color indexed="81"/>
            <rFont val="Lucida Console"/>
            <family val="3"/>
          </rPr>
          <t>Tempo de Estoque (Meses)_x000D_
_x000D_
9.108,0</t>
        </r>
      </text>
    </comment>
    <comment ref="A881" authorId="0" shapeId="0" xr:uid="{9F28F2E4-9798-4CC7-8CD8-5C0F97A698C7}">
      <text>
        <r>
          <rPr>
            <sz val="10"/>
            <color indexed="81"/>
            <rFont val="Lucida Console"/>
            <family val="3"/>
          </rPr>
          <t>_x000D_
64646</t>
        </r>
      </text>
    </comment>
    <comment ref="B881" authorId="0" shapeId="0" xr:uid="{CF2FD184-F86E-47ED-831A-DD1902855F72}">
      <text>
        <r>
          <rPr>
            <sz val="10"/>
            <color indexed="81"/>
            <rFont val="Lucida Console"/>
            <family val="3"/>
          </rPr>
          <t>DESCRIÇÃO DETALHADA_x000D_
SAPATA REGULAVEL PARA MOVEIS, COM BUCHA 1/4 X 25 MM</t>
        </r>
      </text>
    </comment>
    <comment ref="W881" authorId="0" shapeId="0" xr:uid="{2417CF06-1531-4047-A896-4AC1D9F10B68}">
      <text>
        <r>
          <rPr>
            <sz val="10"/>
            <color indexed="81"/>
            <rFont val="Lucida Console"/>
            <family val="3"/>
          </rPr>
          <t>_x000D_
DM-Marcenaria</t>
        </r>
      </text>
    </comment>
    <comment ref="X881" authorId="0" shapeId="0" xr:uid="{6CD43665-1F1C-4E10-A54E-A0632B7B53CA}">
      <text>
        <r>
          <rPr>
            <sz val="10"/>
            <color indexed="81"/>
            <rFont val="Lucida Console"/>
            <family val="3"/>
          </rPr>
          <t>_x000D_
MOBILIARIO E COFRE</t>
        </r>
      </text>
    </comment>
    <comment ref="Y881" authorId="0" shapeId="0" xr:uid="{6945BEDC-2126-4D9A-A995-11FFC63B76F8}">
      <text>
        <r>
          <rPr>
            <sz val="10"/>
            <color indexed="81"/>
            <rFont val="Lucida Console"/>
            <family val="3"/>
          </rPr>
          <t>_x000D_
ACESSORIOS</t>
        </r>
      </text>
    </comment>
    <comment ref="AW881" authorId="0" shapeId="0" xr:uid="{834EF753-A829-4DF6-A119-C4B28BF886F9}">
      <text>
        <r>
          <rPr>
            <sz val="10"/>
            <color indexed="81"/>
            <rFont val="Lucida Console"/>
            <family val="3"/>
          </rPr>
          <t>Tempo de Estoque (Meses)_x000D_
_x000D_
1.080,0</t>
        </r>
      </text>
    </comment>
    <comment ref="A882" authorId="0" shapeId="0" xr:uid="{C9A9CCD6-CBB9-4A12-B959-88CB28A94026}">
      <text>
        <r>
          <rPr>
            <sz val="10"/>
            <color indexed="81"/>
            <rFont val="Lucida Console"/>
            <family val="3"/>
          </rPr>
          <t>_x000D_
78055</t>
        </r>
      </text>
    </comment>
    <comment ref="B882" authorId="0" shapeId="0" xr:uid="{2E80E86B-E237-4B36-8A25-B1397C68D3E0}">
      <text>
        <r>
          <rPr>
            <sz val="10"/>
            <color indexed="81"/>
            <rFont val="Lucida Console"/>
            <family val="3"/>
          </rPr>
          <t>DESCRIÇÃO DETALHADA_x000D_
CORREDICA TELESCOPICA, PARA GAVETA, FZ 405 MM - 45 KG</t>
        </r>
      </text>
    </comment>
    <comment ref="W882" authorId="0" shapeId="0" xr:uid="{9A3CE86B-74F6-4240-8D41-8BF38CA10279}">
      <text>
        <r>
          <rPr>
            <sz val="10"/>
            <color indexed="81"/>
            <rFont val="Lucida Console"/>
            <family val="3"/>
          </rPr>
          <t>_x000D_
DM-Marcenaria</t>
        </r>
      </text>
    </comment>
    <comment ref="X882" authorId="0" shapeId="0" xr:uid="{9572C8E7-CF19-444E-BE1E-7229E5A4C42F}">
      <text>
        <r>
          <rPr>
            <sz val="10"/>
            <color indexed="81"/>
            <rFont val="Lucida Console"/>
            <family val="3"/>
          </rPr>
          <t>_x000D_
MOBILIARIO E COFRE</t>
        </r>
      </text>
    </comment>
    <comment ref="Y882" authorId="0" shapeId="0" xr:uid="{C43105B7-AA88-4656-902C-FF7AD1D23994}">
      <text>
        <r>
          <rPr>
            <sz val="10"/>
            <color indexed="81"/>
            <rFont val="Lucida Console"/>
            <family val="3"/>
          </rPr>
          <t>_x000D_
ACESSORIOS</t>
        </r>
      </text>
    </comment>
    <comment ref="AW882" authorId="0" shapeId="0" xr:uid="{F8613E81-9C8A-4F99-9161-1A71EFAB9BAF}">
      <text>
        <r>
          <rPr>
            <sz val="10"/>
            <color indexed="81"/>
            <rFont val="Lucida Console"/>
            <family val="3"/>
          </rPr>
          <t>Tempo de Estoque (Meses)_x000D_
_x000D_
0,0</t>
        </r>
      </text>
    </comment>
    <comment ref="A883" authorId="0" shapeId="0" xr:uid="{D9B23D81-3740-4499-8038-AFA324DA7035}">
      <text>
        <r>
          <rPr>
            <sz val="10"/>
            <color indexed="81"/>
            <rFont val="Lucida Console"/>
            <family val="3"/>
          </rPr>
          <t>_x000D_
78057</t>
        </r>
      </text>
    </comment>
    <comment ref="B883" authorId="0" shapeId="0" xr:uid="{300DE719-CBBF-45A1-9C17-7CF4295CD647}">
      <text>
        <r>
          <rPr>
            <sz val="10"/>
            <color indexed="81"/>
            <rFont val="Lucida Console"/>
            <family val="3"/>
          </rPr>
          <t>DESCRIÇÃO DETALHADA_x000D_
SUPORTE TUBINHO BRANCO, COM PARAFUSO (APOIO DE PRATELEIRA) - EMBALAGEM COM 100 UNIDADES</t>
        </r>
      </text>
    </comment>
    <comment ref="W883" authorId="0" shapeId="0" xr:uid="{8C35DE7A-1D7C-4FF2-9986-D3EC92040DCB}">
      <text>
        <r>
          <rPr>
            <sz val="10"/>
            <color indexed="81"/>
            <rFont val="Lucida Console"/>
            <family val="3"/>
          </rPr>
          <t>_x000D_
DM-Marcenaria</t>
        </r>
      </text>
    </comment>
    <comment ref="X883" authorId="0" shapeId="0" xr:uid="{03CFC269-D506-42CD-AADF-EADDA9B27C8B}">
      <text>
        <r>
          <rPr>
            <sz val="10"/>
            <color indexed="81"/>
            <rFont val="Lucida Console"/>
            <family val="3"/>
          </rPr>
          <t>_x000D_
MOBILIARIO E COFRE</t>
        </r>
      </text>
    </comment>
    <comment ref="Y883" authorId="0" shapeId="0" xr:uid="{994A3800-3DB5-4B2D-872A-ACC17A1A243F}">
      <text>
        <r>
          <rPr>
            <sz val="10"/>
            <color indexed="81"/>
            <rFont val="Lucida Console"/>
            <family val="3"/>
          </rPr>
          <t>_x000D_
ACESSORIOS</t>
        </r>
      </text>
    </comment>
    <comment ref="AW883" authorId="0" shapeId="0" xr:uid="{0238A522-1FAB-4D09-BACF-4434CA74CB91}">
      <text>
        <r>
          <rPr>
            <sz val="10"/>
            <color indexed="81"/>
            <rFont val="Lucida Console"/>
            <family val="3"/>
          </rPr>
          <t>Tempo de Estoque (Meses)_x000D_
_x000D_
150,0</t>
        </r>
      </text>
    </comment>
    <comment ref="A884" authorId="0" shapeId="0" xr:uid="{90D15A27-BF7E-4F6F-B527-973F0D841CCD}">
      <text>
        <r>
          <rPr>
            <sz val="10"/>
            <color indexed="81"/>
            <rFont val="Lucida Console"/>
            <family val="3"/>
          </rPr>
          <t>_x000D_
107926</t>
        </r>
      </text>
    </comment>
    <comment ref="B884" authorId="0" shapeId="0" xr:uid="{F06F5727-35FA-4ED9-8752-CF963E5CDB97}">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884" authorId="0" shapeId="0" xr:uid="{D5E5C4CA-CD58-4DE4-AE9C-F2E55368567B}">
      <text>
        <r>
          <rPr>
            <sz val="10"/>
            <color indexed="81"/>
            <rFont val="Lucida Console"/>
            <family val="3"/>
          </rPr>
          <t>_x000D_
DM-Marcenaria</t>
        </r>
      </text>
    </comment>
    <comment ref="X884" authorId="0" shapeId="0" xr:uid="{110DDDFE-2112-4DB9-82BE-F4EE8D0DB916}">
      <text>
        <r>
          <rPr>
            <sz val="10"/>
            <color indexed="81"/>
            <rFont val="Lucida Console"/>
            <family val="3"/>
          </rPr>
          <t>_x000D_
MOBILIARIO E COFRE</t>
        </r>
      </text>
    </comment>
    <comment ref="Y884" authorId="0" shapeId="0" xr:uid="{DDD670B5-89F8-40AA-839D-1103D1D4550F}">
      <text>
        <r>
          <rPr>
            <sz val="10"/>
            <color indexed="81"/>
            <rFont val="Lucida Console"/>
            <family val="3"/>
          </rPr>
          <t>_x000D_
ACESSORIOS</t>
        </r>
      </text>
    </comment>
    <comment ref="AW884" authorId="0" shapeId="0" xr:uid="{3E79E68C-7D07-4DE7-AD2F-16C72E3B5252}">
      <text>
        <r>
          <rPr>
            <sz val="10"/>
            <color indexed="81"/>
            <rFont val="Lucida Console"/>
            <family val="3"/>
          </rPr>
          <t>Tempo de Estoque (Meses)_x000D_
_x000D_
4.424,0</t>
        </r>
      </text>
    </comment>
    <comment ref="A885" authorId="0" shapeId="0" xr:uid="{343D5D02-CD75-4E68-A135-51C1421604E7}">
      <text>
        <r>
          <rPr>
            <sz val="10"/>
            <color indexed="81"/>
            <rFont val="Lucida Console"/>
            <family val="3"/>
          </rPr>
          <t>_x000D_
126837</t>
        </r>
      </text>
    </comment>
    <comment ref="B885" authorId="0" shapeId="0" xr:uid="{752CFB26-0BC2-47D0-A334-E406F1C9B16C}">
      <text>
        <r>
          <rPr>
            <sz val="10"/>
            <color indexed="81"/>
            <rFont val="Lucida Console"/>
            <family val="3"/>
          </rPr>
          <t>DESCRIÇÃO DETALHADA_x000D_
PE CONICO EM FERRO CROMADO DE 15 CM, REGULAVEL E COM SAPATA.</t>
        </r>
      </text>
    </comment>
    <comment ref="W885" authorId="0" shapeId="0" xr:uid="{59D55932-223F-4853-8B52-01A6B1D1330B}">
      <text>
        <r>
          <rPr>
            <sz val="10"/>
            <color indexed="81"/>
            <rFont val="Lucida Console"/>
            <family val="3"/>
          </rPr>
          <t>_x000D_
DM-Marcenaria</t>
        </r>
      </text>
    </comment>
    <comment ref="X885" authorId="0" shapeId="0" xr:uid="{450D4B35-3FC1-4A94-B6A6-45D990B00680}">
      <text>
        <r>
          <rPr>
            <sz val="10"/>
            <color indexed="81"/>
            <rFont val="Lucida Console"/>
            <family val="3"/>
          </rPr>
          <t>_x000D_
MOBILIARIO E COFRE</t>
        </r>
      </text>
    </comment>
    <comment ref="Y885" authorId="0" shapeId="0" xr:uid="{472A74A9-251E-4FA2-BC8A-7FB4DE0800AF}">
      <text>
        <r>
          <rPr>
            <sz val="10"/>
            <color indexed="81"/>
            <rFont val="Lucida Console"/>
            <family val="3"/>
          </rPr>
          <t>_x000D_
ACESSORIOS</t>
        </r>
      </text>
    </comment>
    <comment ref="AW885" authorId="0" shapeId="0" xr:uid="{A249A627-C769-4756-B616-68E3E0F12DB9}">
      <text>
        <r>
          <rPr>
            <sz val="10"/>
            <color indexed="81"/>
            <rFont val="Lucida Console"/>
            <family val="3"/>
          </rPr>
          <t>Tempo de Estoque (Meses)_x000D_
_x000D_
3.515,0</t>
        </r>
      </text>
    </comment>
    <comment ref="A886" authorId="0" shapeId="0" xr:uid="{96D38069-EE9A-44DA-9750-E4CA234F1D6E}">
      <text>
        <r>
          <rPr>
            <sz val="10"/>
            <color indexed="81"/>
            <rFont val="Lucida Console"/>
            <family val="3"/>
          </rPr>
          <t>_x000D_
128782</t>
        </r>
      </text>
    </comment>
    <comment ref="B886" authorId="0" shapeId="0" xr:uid="{5C0C52D1-8E1D-4DC8-A945-0B6B0BA4037F}">
      <text>
        <r>
          <rPr>
            <sz val="10"/>
            <color indexed="81"/>
            <rFont val="Lucida Console"/>
            <family val="3"/>
          </rPr>
          <t>DESCRIÇÃO DETALHADA_x000D_
FITA DE BORDO EM PVC, COR BRANCA FOSCA, MEDIDAS 35 X 0,45MM, ROLO COM 300 METROS</t>
        </r>
      </text>
    </comment>
    <comment ref="W886" authorId="0" shapeId="0" xr:uid="{609D1149-6547-4D32-B536-625023B3C5D4}">
      <text>
        <r>
          <rPr>
            <sz val="10"/>
            <color indexed="81"/>
            <rFont val="Lucida Console"/>
            <family val="3"/>
          </rPr>
          <t>_x000D_
DM-Marcenaria</t>
        </r>
      </text>
    </comment>
    <comment ref="X886" authorId="0" shapeId="0" xr:uid="{50D1A2C7-D2DA-4B3B-94F7-969202A72D3C}">
      <text>
        <r>
          <rPr>
            <sz val="10"/>
            <color indexed="81"/>
            <rFont val="Lucida Console"/>
            <family val="3"/>
          </rPr>
          <t>_x000D_
MOBILIARIO E COFRE</t>
        </r>
      </text>
    </comment>
    <comment ref="Y886" authorId="0" shapeId="0" xr:uid="{FB7E79FB-A743-4D99-9873-F36C1E7F090A}">
      <text>
        <r>
          <rPr>
            <sz val="10"/>
            <color indexed="81"/>
            <rFont val="Lucida Console"/>
            <family val="3"/>
          </rPr>
          <t>_x000D_
ACESSORIOS</t>
        </r>
      </text>
    </comment>
    <comment ref="AW886" authorId="0" shapeId="0" xr:uid="{001581CC-FE5C-4CCD-BAB1-60D8A88D0F09}">
      <text>
        <r>
          <rPr>
            <sz val="10"/>
            <color indexed="81"/>
            <rFont val="Lucida Console"/>
            <family val="3"/>
          </rPr>
          <t>Tempo de Estoque (Meses)_x000D_
_x000D_
97,0</t>
        </r>
      </text>
    </comment>
    <comment ref="A887" authorId="0" shapeId="0" xr:uid="{CEDF8105-AA9C-492F-8742-4883790299D4}">
      <text>
        <r>
          <rPr>
            <sz val="10"/>
            <color indexed="81"/>
            <rFont val="Lucida Console"/>
            <family val="3"/>
          </rPr>
          <t>_x000D_
130618</t>
        </r>
      </text>
    </comment>
    <comment ref="B887" authorId="0" shapeId="0" xr:uid="{1831E3CD-7784-471F-98B4-295B238BC733}">
      <text>
        <r>
          <rPr>
            <sz val="10"/>
            <color indexed="81"/>
            <rFont val="Lucida Console"/>
            <family val="3"/>
          </rPr>
          <t>DESCRIÇÃO DETALHADA_x000D_
FITA DE BORDA CARVALHO PRATA 35 X 0,45 X 20 M</t>
        </r>
      </text>
    </comment>
    <comment ref="W887" authorId="0" shapeId="0" xr:uid="{ABC7210C-8D3F-478E-A299-DC9262162CAE}">
      <text>
        <r>
          <rPr>
            <sz val="10"/>
            <color indexed="81"/>
            <rFont val="Lucida Console"/>
            <family val="3"/>
          </rPr>
          <t>_x000D_
DM-Marcenaria</t>
        </r>
      </text>
    </comment>
    <comment ref="X887" authorId="0" shapeId="0" xr:uid="{D7866A87-0F97-41A4-BEF0-CE5DBB4B2EB7}">
      <text>
        <r>
          <rPr>
            <sz val="10"/>
            <color indexed="81"/>
            <rFont val="Lucida Console"/>
            <family val="3"/>
          </rPr>
          <t>_x000D_
MOBILIARIO E COFRE</t>
        </r>
      </text>
    </comment>
    <comment ref="Y887" authorId="0" shapeId="0" xr:uid="{E750D827-16D2-4588-AE03-59FC60684337}">
      <text>
        <r>
          <rPr>
            <sz val="10"/>
            <color indexed="81"/>
            <rFont val="Lucida Console"/>
            <family val="3"/>
          </rPr>
          <t>_x000D_
ACESSORIOS</t>
        </r>
      </text>
    </comment>
    <comment ref="AW887" authorId="0" shapeId="0" xr:uid="{29FB520D-F088-42CD-A527-EAC254D14E6C}">
      <text>
        <r>
          <rPr>
            <sz val="10"/>
            <color indexed="81"/>
            <rFont val="Lucida Console"/>
            <family val="3"/>
          </rPr>
          <t>Tempo de Estoque (Meses)_x000D_
_x000D_
0,0</t>
        </r>
      </text>
    </comment>
    <comment ref="A888" authorId="0" shapeId="0" xr:uid="{620CEB7D-16B2-4AE6-A9D6-77733EC3CBE0}">
      <text>
        <r>
          <rPr>
            <sz val="10"/>
            <color indexed="81"/>
            <rFont val="Lucida Console"/>
            <family val="3"/>
          </rPr>
          <t>_x000D_
134569</t>
        </r>
      </text>
    </comment>
    <comment ref="B888" authorId="0" shapeId="0" xr:uid="{03A3C803-4AB3-4217-BF5A-59DBAE15996F}">
      <text>
        <r>
          <rPr>
            <sz val="10"/>
            <color indexed="81"/>
            <rFont val="Lucida Console"/>
            <family val="3"/>
          </rPr>
          <t>DESCRIÇÃO DETALHADA_x000D_
CORREDICA TELESCOPICA ZINCADA PARA GAVETA FZ 500 MM - COM CAPACIDADE PARA 35 KG</t>
        </r>
      </text>
    </comment>
    <comment ref="W888" authorId="0" shapeId="0" xr:uid="{13704289-FF62-4075-812E-2D3A8FC4FE50}">
      <text>
        <r>
          <rPr>
            <sz val="10"/>
            <color indexed="81"/>
            <rFont val="Lucida Console"/>
            <family val="3"/>
          </rPr>
          <t>_x000D_
DM-Marcenaria</t>
        </r>
      </text>
    </comment>
    <comment ref="X888" authorId="0" shapeId="0" xr:uid="{196B2765-05E9-4B6E-A8BB-B8961C6EE31F}">
      <text>
        <r>
          <rPr>
            <sz val="10"/>
            <color indexed="81"/>
            <rFont val="Lucida Console"/>
            <family val="3"/>
          </rPr>
          <t>_x000D_
MOBILIARIO E COFRE</t>
        </r>
      </text>
    </comment>
    <comment ref="Y888" authorId="0" shapeId="0" xr:uid="{2707D9BE-823C-4FC8-89F1-735BCA68AF0B}">
      <text>
        <r>
          <rPr>
            <sz val="10"/>
            <color indexed="81"/>
            <rFont val="Lucida Console"/>
            <family val="3"/>
          </rPr>
          <t>_x000D_
ACESSORIOS</t>
        </r>
      </text>
    </comment>
    <comment ref="AW888" authorId="0" shapeId="0" xr:uid="{AEB73C46-29D6-45BD-A99A-9399A0D2A473}">
      <text>
        <r>
          <rPr>
            <sz val="10"/>
            <color indexed="81"/>
            <rFont val="Lucida Console"/>
            <family val="3"/>
          </rPr>
          <t>Tempo de Estoque (Meses)_x000D_
_x000D_
100,0</t>
        </r>
      </text>
    </comment>
    <comment ref="A889" authorId="0" shapeId="0" xr:uid="{121D18E0-A5F8-4961-9B83-28B479AF6E1B}">
      <text>
        <r>
          <rPr>
            <sz val="10"/>
            <color indexed="81"/>
            <rFont val="Lucida Console"/>
            <family val="3"/>
          </rPr>
          <t>_x000D_
138528</t>
        </r>
      </text>
    </comment>
    <comment ref="B889" authorId="0" shapeId="0" xr:uid="{9372DF9F-3315-449F-AE38-32499E3B9370}">
      <text>
        <r>
          <rPr>
            <sz val="10"/>
            <color indexed="81"/>
            <rFont val="Lucida Console"/>
            <family val="3"/>
          </rPr>
          <t>DESCRIÇÃO DETALHADA_x000D_
TAMPO REDONDO PARA MESA, COM 1,10 M (VARIACAO +/- 0,05 M) DE DIAMETRO, EM MDF BRANCO TX 18 MM, ACABAMENTO NAS LATERIAIS COM FITA DE BORDA BRANCA.</t>
        </r>
      </text>
    </comment>
    <comment ref="W889" authorId="0" shapeId="0" xr:uid="{B5E103B0-3A87-43F8-8119-86CF2BE79ADB}">
      <text>
        <r>
          <rPr>
            <sz val="10"/>
            <color indexed="81"/>
            <rFont val="Lucida Console"/>
            <family val="3"/>
          </rPr>
          <t>_x000D_
DM-Marcenaria</t>
        </r>
      </text>
    </comment>
    <comment ref="X889" authorId="0" shapeId="0" xr:uid="{7342D506-9DB5-4BB8-A692-8DBB9E791DC4}">
      <text>
        <r>
          <rPr>
            <sz val="10"/>
            <color indexed="81"/>
            <rFont val="Lucida Console"/>
            <family val="3"/>
          </rPr>
          <t>_x000D_
MOBILIARIO E COFRE</t>
        </r>
      </text>
    </comment>
    <comment ref="Y889" authorId="0" shapeId="0" xr:uid="{87C1444B-04D2-4454-A464-7126186E11D8}">
      <text>
        <r>
          <rPr>
            <sz val="10"/>
            <color indexed="81"/>
            <rFont val="Lucida Console"/>
            <family val="3"/>
          </rPr>
          <t>_x000D_
MESA P/ESCRITORIO</t>
        </r>
      </text>
    </comment>
    <comment ref="AW889" authorId="0" shapeId="0" xr:uid="{959D336E-30BE-4AD9-AA91-223CC84689CF}">
      <text>
        <r>
          <rPr>
            <sz val="10"/>
            <color indexed="81"/>
            <rFont val="Lucida Console"/>
            <family val="3"/>
          </rPr>
          <t>Tempo de Estoque (Meses)_x000D_
_x000D_
29,0</t>
        </r>
      </text>
    </comment>
    <comment ref="A890" authorId="0" shapeId="0" xr:uid="{46A4D35A-C5C5-43C2-BF18-BAA7840373A7}">
      <text>
        <r>
          <rPr>
            <sz val="10"/>
            <color indexed="81"/>
            <rFont val="Lucida Console"/>
            <family val="3"/>
          </rPr>
          <t>_x000D_
20167</t>
        </r>
      </text>
    </comment>
    <comment ref="B890" authorId="0" shapeId="0" xr:uid="{CB9F13AF-8262-48A1-B38F-1651C64E69EC}">
      <text>
        <r>
          <rPr>
            <sz val="10"/>
            <color indexed="81"/>
            <rFont val="Lucida Console"/>
            <family val="3"/>
          </rPr>
          <t>DESCRIÇÃO DETALHADA_x000D_
LONA PLASTICA - 4 X 100M - PRETA. ESPESSURA MINIMA 110 MICRAS.</t>
        </r>
      </text>
    </comment>
    <comment ref="W890" authorId="0" shapeId="0" xr:uid="{B2362903-C5F0-4071-8280-DE67320B4FD8}">
      <text>
        <r>
          <rPr>
            <sz val="10"/>
            <color indexed="81"/>
            <rFont val="Lucida Console"/>
            <family val="3"/>
          </rPr>
          <t>_x000D_
DM-Geral</t>
        </r>
      </text>
    </comment>
    <comment ref="X890" authorId="0" shapeId="0" xr:uid="{8A880707-B6F8-4447-AC2B-7966B6D6EEBE}">
      <text>
        <r>
          <rPr>
            <sz val="10"/>
            <color indexed="81"/>
            <rFont val="Lucida Console"/>
            <family val="3"/>
          </rPr>
          <t>_x000D_
ART. DOMEST. DECO. GUARNI. DE AMBI.TECI. VEICULOS</t>
        </r>
      </text>
    </comment>
    <comment ref="Y890" authorId="0" shapeId="0" xr:uid="{D58CBBA3-615F-4175-BAC7-404C8440F430}">
      <text>
        <r>
          <rPr>
            <sz val="10"/>
            <color indexed="81"/>
            <rFont val="Lucida Console"/>
            <family val="3"/>
          </rPr>
          <t>_x000D_
TECI.LONAS TOLDOS E ENCERADOS DE PLASTICO</t>
        </r>
      </text>
    </comment>
    <comment ref="AW890" authorId="0" shapeId="0" xr:uid="{FBFEBF6B-72CD-4015-9D9E-B601A70D80B3}">
      <text>
        <r>
          <rPr>
            <sz val="10"/>
            <color indexed="81"/>
            <rFont val="Lucida Console"/>
            <family val="3"/>
          </rPr>
          <t>Tempo de Estoque (Meses)_x000D_
_x000D_
0,0</t>
        </r>
      </text>
    </comment>
    <comment ref="A891" authorId="0" shapeId="0" xr:uid="{92943F79-279F-4539-98EA-1D6C02546886}">
      <text>
        <r>
          <rPr>
            <sz val="10"/>
            <color indexed="81"/>
            <rFont val="Lucida Console"/>
            <family val="3"/>
          </rPr>
          <t>_x000D_
24219</t>
        </r>
      </text>
    </comment>
    <comment ref="B891" authorId="0" shapeId="0" xr:uid="{2FADFA4D-D9DE-43C5-86ED-85F0BACB723B}">
      <text>
        <r>
          <rPr>
            <sz val="10"/>
            <color indexed="81"/>
            <rFont val="Lucida Console"/>
            <family val="3"/>
          </rPr>
          <t>DESCRIÇÃO DETALHADA_x000D_
CAPACHO DE FIBRA DE COCO - 0,40 X 0,60 M</t>
        </r>
      </text>
    </comment>
    <comment ref="W891" authorId="0" shapeId="0" xr:uid="{F84DDD34-822F-418A-B358-3009D83B9AD5}">
      <text>
        <r>
          <rPr>
            <sz val="10"/>
            <color indexed="81"/>
            <rFont val="Lucida Console"/>
            <family val="3"/>
          </rPr>
          <t>_x000D_
Administrativo</t>
        </r>
      </text>
    </comment>
    <comment ref="X891" authorId="0" shapeId="0" xr:uid="{2EA6F208-FA82-4308-B61F-EA850727121C}">
      <text>
        <r>
          <rPr>
            <sz val="10"/>
            <color indexed="81"/>
            <rFont val="Lucida Console"/>
            <family val="3"/>
          </rPr>
          <t>_x000D_
ART. DOMEST. DECO. GUARNI. DE AMBI.TECI. VEICULOS</t>
        </r>
      </text>
    </comment>
    <comment ref="Y891" authorId="0" shapeId="0" xr:uid="{46391099-985D-432B-B126-EF211622B70B}">
      <text>
        <r>
          <rPr>
            <sz val="10"/>
            <color indexed="81"/>
            <rFont val="Lucida Console"/>
            <family val="3"/>
          </rPr>
          <t>_x000D_
ARTIGOS DE DECORACAO DE AMBIENTE</t>
        </r>
      </text>
    </comment>
    <comment ref="AW891" authorId="0" shapeId="0" xr:uid="{7C8F21CA-CF3F-4631-B2A9-2A34601BFEC4}">
      <text>
        <r>
          <rPr>
            <sz val="10"/>
            <color indexed="81"/>
            <rFont val="Lucida Console"/>
            <family val="3"/>
          </rPr>
          <t>Tempo de Estoque (Meses)_x000D_
_x000D_
387,0</t>
        </r>
      </text>
    </comment>
    <comment ref="A892" authorId="0" shapeId="0" xr:uid="{2329650B-94F7-4374-A956-225DAB6E178C}">
      <text>
        <r>
          <rPr>
            <sz val="10"/>
            <color indexed="81"/>
            <rFont val="Lucida Console"/>
            <family val="3"/>
          </rPr>
          <t>_x000D_
120615</t>
        </r>
      </text>
    </comment>
    <comment ref="B892" authorId="0" shapeId="0" xr:uid="{41067B13-0B15-41BA-87E9-B72E0391E7E2}">
      <text>
        <r>
          <rPr>
            <sz val="10"/>
            <color indexed="81"/>
            <rFont val="Lucida Console"/>
            <family val="3"/>
          </rPr>
          <t>DESCRIÇÃO DETALHADA_x000D_
GUARNICAO PARA POLICARBONATO, REFERENCIA "GUA-030", CONFECCIONADA EM EPDM - MEDIDAS: 12,0 X 6,5 X  4,8 X 2,5 MM (VARIACAO: 0,5 MM)</t>
        </r>
      </text>
    </comment>
    <comment ref="W892" authorId="0" shapeId="0" xr:uid="{B664B8D1-3FDB-4EF9-A0B5-0022D424B5E6}">
      <text>
        <r>
          <rPr>
            <sz val="10"/>
            <color indexed="81"/>
            <rFont val="Lucida Console"/>
            <family val="3"/>
          </rPr>
          <t>_x000D_
DM-Serralheria</t>
        </r>
      </text>
    </comment>
    <comment ref="X892" authorId="0" shapeId="0" xr:uid="{1D1F2F4F-BD8B-4B3F-94B1-B8CD7769BF39}">
      <text>
        <r>
          <rPr>
            <sz val="10"/>
            <color indexed="81"/>
            <rFont val="Lucida Console"/>
            <family val="3"/>
          </rPr>
          <t>_x000D_
CABOS CORRENTES CORDAS ESTICADORES E ART. BORRACHA</t>
        </r>
      </text>
    </comment>
    <comment ref="Y892" authorId="0" shapeId="0" xr:uid="{31E695CE-28BF-4FAB-BB8C-EA43DE50FCD5}">
      <text>
        <r>
          <rPr>
            <sz val="10"/>
            <color indexed="81"/>
            <rFont val="Lucida Console"/>
            <family val="3"/>
          </rPr>
          <t>_x000D_
ARTEFATOS DE BORRACHA</t>
        </r>
      </text>
    </comment>
    <comment ref="AW892" authorId="0" shapeId="0" xr:uid="{4730288F-C532-4A16-99C6-DA781672B9D7}">
      <text>
        <r>
          <rPr>
            <sz val="10"/>
            <color indexed="81"/>
            <rFont val="Lucida Console"/>
            <family val="3"/>
          </rPr>
          <t>Tempo de Estoque (Meses)_x000D_
_x000D_
1.276,0</t>
        </r>
      </text>
    </comment>
    <comment ref="A893" authorId="0" shapeId="0" xr:uid="{1B4BE96F-1EBA-4D80-8E02-7AF5A7F17A6A}">
      <text>
        <r>
          <rPr>
            <sz val="10"/>
            <color indexed="81"/>
            <rFont val="Lucida Console"/>
            <family val="3"/>
          </rPr>
          <t>_x000D_
24551</t>
        </r>
      </text>
    </comment>
    <comment ref="B893" authorId="0" shapeId="0" xr:uid="{0FD4DBBF-7133-4585-86E5-A8906EA1315B}">
      <text>
        <r>
          <rPr>
            <sz val="10"/>
            <color indexed="81"/>
            <rFont val="Lucida Console"/>
            <family val="3"/>
          </rPr>
          <t>DESCRIÇÃO DETALHADA_x000D_
LIXA CINTA DE PANO P/ MADEIRA - MEDIDAS: 610 X 75 MM GRAMATURA 80</t>
        </r>
      </text>
    </comment>
    <comment ref="W893" authorId="0" shapeId="0" xr:uid="{3CB501E3-E127-47F8-9016-9D767CFFC957}">
      <text>
        <r>
          <rPr>
            <sz val="10"/>
            <color indexed="81"/>
            <rFont val="Lucida Console"/>
            <family val="3"/>
          </rPr>
          <t>_x000D_
DM-Marcenaria</t>
        </r>
      </text>
    </comment>
    <comment ref="X893" authorId="0" shapeId="0" xr:uid="{50EF7A17-E294-464A-820F-6B0251055C9A}">
      <text>
        <r>
          <rPr>
            <sz val="10"/>
            <color indexed="81"/>
            <rFont val="Lucida Console"/>
            <family val="3"/>
          </rPr>
          <t>_x000D_
ABRASIVOS</t>
        </r>
      </text>
    </comment>
    <comment ref="Y893" authorId="0" shapeId="0" xr:uid="{839B365D-6B97-423D-892D-E7B0A4B4D98E}">
      <text>
        <r>
          <rPr>
            <sz val="10"/>
            <color indexed="81"/>
            <rFont val="Lucida Console"/>
            <family val="3"/>
          </rPr>
          <t>_x000D_
LIXAS EM ROLO</t>
        </r>
      </text>
    </comment>
    <comment ref="AW893" authorId="0" shapeId="0" xr:uid="{FDA713C1-51D5-4BD6-9B9F-0C823DBC481E}">
      <text>
        <r>
          <rPr>
            <sz val="10"/>
            <color indexed="81"/>
            <rFont val="Lucida Console"/>
            <family val="3"/>
          </rPr>
          <t>Tempo de Estoque (Meses)_x000D_
_x000D_
0,0</t>
        </r>
      </text>
    </comment>
    <comment ref="A894" authorId="0" shapeId="0" xr:uid="{5FC6C8E2-EF47-48AC-9518-6C69C8C5AC7F}">
      <text>
        <r>
          <rPr>
            <sz val="10"/>
            <color indexed="81"/>
            <rFont val="Lucida Console"/>
            <family val="3"/>
          </rPr>
          <t>_x000D_
60973</t>
        </r>
      </text>
    </comment>
    <comment ref="B894" authorId="0" shapeId="0" xr:uid="{6D0A02F3-356A-4E80-A66D-FD05B74FEDA4}">
      <text>
        <r>
          <rPr>
            <sz val="10"/>
            <color indexed="81"/>
            <rFont val="Lucida Console"/>
            <family val="3"/>
          </rPr>
          <t>DESCRIÇÃO DETALHADA_x000D_
LIXA CINTA DE PANO P/ MADEIRA - MEDIDAS: 610 X 75 MM / GRAMATURA 40</t>
        </r>
      </text>
    </comment>
    <comment ref="W894" authorId="0" shapeId="0" xr:uid="{27BB4651-CA0E-4EF2-8B86-1BBF6E692578}">
      <text>
        <r>
          <rPr>
            <sz val="10"/>
            <color indexed="81"/>
            <rFont val="Lucida Console"/>
            <family val="3"/>
          </rPr>
          <t>_x000D_
DM-Marcenaria</t>
        </r>
      </text>
    </comment>
    <comment ref="X894" authorId="0" shapeId="0" xr:uid="{CD03DBD1-ABB6-409B-A79C-71EBDD3A0A30}">
      <text>
        <r>
          <rPr>
            <sz val="10"/>
            <color indexed="81"/>
            <rFont val="Lucida Console"/>
            <family val="3"/>
          </rPr>
          <t>_x000D_
ABRASIVOS</t>
        </r>
      </text>
    </comment>
    <comment ref="Y894" authorId="0" shapeId="0" xr:uid="{D5ECB1B2-C396-4259-B79D-9EB9BA0D0C14}">
      <text>
        <r>
          <rPr>
            <sz val="10"/>
            <color indexed="81"/>
            <rFont val="Lucida Console"/>
            <family val="3"/>
          </rPr>
          <t>_x000D_
LIXAS EM ROLO</t>
        </r>
      </text>
    </comment>
    <comment ref="AW894" authorId="0" shapeId="0" xr:uid="{37C05138-C5EE-4E36-96B4-75B8E2E78C11}">
      <text>
        <r>
          <rPr>
            <sz val="10"/>
            <color indexed="81"/>
            <rFont val="Lucida Console"/>
            <family val="3"/>
          </rPr>
          <t>Tempo de Estoque (Meses)_x000D_
_x000D_
50,0</t>
        </r>
      </text>
    </comment>
    <comment ref="A895" authorId="0" shapeId="0" xr:uid="{9AF5CE2F-CD8D-4970-BE3B-DCA2E1210913}">
      <text>
        <r>
          <rPr>
            <sz val="10"/>
            <color indexed="81"/>
            <rFont val="Lucida Console"/>
            <family val="3"/>
          </rPr>
          <t>_x000D_
139545</t>
        </r>
      </text>
    </comment>
    <comment ref="B895" authorId="0" shapeId="0" xr:uid="{362252FF-B3F9-496A-A0E6-453F7BBE3A8D}">
      <text>
        <r>
          <rPr>
            <sz val="10"/>
            <color indexed="81"/>
            <rFont val="Lucida Console"/>
            <family val="3"/>
          </rPr>
          <t>DESCRIÇÃO DETALHADA_x000D_
DISCO DE DESBASTE INDUSTRIAL PARA ACO / ACO INOX, DIMENSOES: Ø 4.1/2" X 1/4" X Ø 7/8", ROTACAO: 12.250 A 13.200 RPM</t>
        </r>
      </text>
    </comment>
    <comment ref="W895" authorId="0" shapeId="0" xr:uid="{2FFA8EA5-4F35-4F9E-A7A1-B7ABC08E87E2}">
      <text>
        <r>
          <rPr>
            <sz val="10"/>
            <color indexed="81"/>
            <rFont val="Lucida Console"/>
            <family val="3"/>
          </rPr>
          <t>_x000D_
DM-Serralheria</t>
        </r>
      </text>
    </comment>
    <comment ref="X895" authorId="0" shapeId="0" xr:uid="{5A242939-427A-436F-9423-DCE42FD806AF}">
      <text>
        <r>
          <rPr>
            <sz val="10"/>
            <color indexed="81"/>
            <rFont val="Lucida Console"/>
            <family val="3"/>
          </rPr>
          <t>_x000D_
ABRASIVOS</t>
        </r>
      </text>
    </comment>
    <comment ref="Y895" authorId="0" shapeId="0" xr:uid="{E7D506D5-3EAE-4CFD-BC4A-06F4AF3EBD00}">
      <text>
        <r>
          <rPr>
            <sz val="10"/>
            <color indexed="81"/>
            <rFont val="Lucida Console"/>
            <family val="3"/>
          </rPr>
          <t>_x000D_
DISCO DE FIBRA</t>
        </r>
      </text>
    </comment>
    <comment ref="AW895" authorId="0" shapeId="0" xr:uid="{2765F845-4C22-46E1-8493-A409ABD6AA02}">
      <text>
        <r>
          <rPr>
            <sz val="10"/>
            <color indexed="81"/>
            <rFont val="Lucida Console"/>
            <family val="3"/>
          </rPr>
          <t>Tempo de Estoque (Meses)_x000D_
_x000D_
0,0</t>
        </r>
      </text>
    </comment>
    <comment ref="A896" authorId="0" shapeId="0" xr:uid="{06197C1B-D4CE-477D-A141-40240E5B8A4A}">
      <text>
        <r>
          <rPr>
            <sz val="10"/>
            <color indexed="81"/>
            <rFont val="Lucida Console"/>
            <family val="3"/>
          </rPr>
          <t>_x000D_
64634</t>
        </r>
      </text>
    </comment>
    <comment ref="B896" authorId="0" shapeId="0" xr:uid="{9A2DF52D-FA20-426B-BE5F-DDD9B81D935A}">
      <text>
        <r>
          <rPr>
            <sz val="10"/>
            <color indexed="81"/>
            <rFont val="Lucida Console"/>
            <family val="3"/>
          </rPr>
          <t>DESCRIÇÃO DETALHADA_x000D_
DISCO DE LIXA N. 40 - 30 CM DE DIAMETRO - PARA LIXADEIRA DE BANCADA</t>
        </r>
      </text>
    </comment>
    <comment ref="W896" authorId="0" shapeId="0" xr:uid="{A5E41140-BDD5-4DDB-8B8D-324ED1A1E2AE}">
      <text>
        <r>
          <rPr>
            <sz val="10"/>
            <color indexed="81"/>
            <rFont val="Lucida Console"/>
            <family val="3"/>
          </rPr>
          <t>_x000D_
DM-Serralheria</t>
        </r>
      </text>
    </comment>
    <comment ref="X896" authorId="0" shapeId="0" xr:uid="{8F5C1440-E7A2-42AF-8600-73C1D68EA1A2}">
      <text>
        <r>
          <rPr>
            <sz val="10"/>
            <color indexed="81"/>
            <rFont val="Lucida Console"/>
            <family val="3"/>
          </rPr>
          <t>_x000D_
ABRASIVOS</t>
        </r>
      </text>
    </comment>
    <comment ref="Y896" authorId="0" shapeId="0" xr:uid="{AA6CCA9D-3E5C-499D-A29A-B5EDFC3DA5A2}">
      <text>
        <r>
          <rPr>
            <sz val="10"/>
            <color indexed="81"/>
            <rFont val="Lucida Console"/>
            <family val="3"/>
          </rPr>
          <t>_x000D_
LIXAS EM DISCO</t>
        </r>
      </text>
    </comment>
    <comment ref="AW896" authorId="0" shapeId="0" xr:uid="{9BF19007-0D2B-4BF2-B191-F6C834355899}">
      <text>
        <r>
          <rPr>
            <sz val="10"/>
            <color indexed="81"/>
            <rFont val="Lucida Console"/>
            <family val="3"/>
          </rPr>
          <t>Tempo de Estoque (Meses)_x000D_
_x000D_
89,0</t>
        </r>
      </text>
    </comment>
    <comment ref="A897" authorId="0" shapeId="0" xr:uid="{EA514C48-AE2F-4ACF-BBE4-F48AC8B781BE}">
      <text>
        <r>
          <rPr>
            <sz val="10"/>
            <color indexed="81"/>
            <rFont val="Lucida Console"/>
            <family val="3"/>
          </rPr>
          <t>_x000D_
126345</t>
        </r>
      </text>
    </comment>
    <comment ref="B897" authorId="0" shapeId="0" xr:uid="{A5284576-42D0-45AC-B36D-9A638A391A59}">
      <text>
        <r>
          <rPr>
            <sz val="10"/>
            <color indexed="81"/>
            <rFont val="Lucida Console"/>
            <family val="3"/>
          </rPr>
          <t>DESCRIÇÃO DETALHADA_x000D_
AGUA DESTILADA PARA BATERIA - FRASCO C/ 1 LITRO</t>
        </r>
      </text>
    </comment>
    <comment ref="W897" authorId="0" shapeId="0" xr:uid="{2FD43CB2-0556-4CBD-B831-BF092305FFD6}">
      <text>
        <r>
          <rPr>
            <sz val="10"/>
            <color indexed="81"/>
            <rFont val="Lucida Console"/>
            <family val="3"/>
          </rPr>
          <t>_x000D_
DM-Geral</t>
        </r>
      </text>
    </comment>
    <comment ref="X897" authorId="0" shapeId="0" xr:uid="{95A74B0C-2956-43E9-932D-9AD91DBEC474}">
      <text>
        <r>
          <rPr>
            <sz val="10"/>
            <color indexed="81"/>
            <rFont val="Lucida Console"/>
            <family val="3"/>
          </rPr>
          <t>_x000D_
PEC.P/ VEICULO DE USO ESPECIAL E BATERIASROLAMENTO</t>
        </r>
      </text>
    </comment>
    <comment ref="Y897" authorId="0" shapeId="0" xr:uid="{F48A32C8-F41C-4F0A-9A70-AC69E8BB1B07}">
      <text>
        <r>
          <rPr>
            <sz val="10"/>
            <color indexed="81"/>
            <rFont val="Lucida Console"/>
            <family val="3"/>
          </rPr>
          <t>_x000D_
BATERIAS, COMPONENTES E ACESSORIOS - VEICULO LEVE</t>
        </r>
      </text>
    </comment>
    <comment ref="AW897" authorId="0" shapeId="0" xr:uid="{724E9F69-7D7A-4112-B82F-FB349B4D08A6}">
      <text>
        <r>
          <rPr>
            <sz val="10"/>
            <color indexed="81"/>
            <rFont val="Lucida Console"/>
            <family val="3"/>
          </rPr>
          <t>Tempo de Estoque (Meses)_x000D_
_x000D_
300,0</t>
        </r>
      </text>
    </comment>
    <comment ref="A898" authorId="0" shapeId="0" xr:uid="{BB9147ED-9C47-4700-A651-4E444A90B21D}">
      <text>
        <r>
          <rPr>
            <sz val="10"/>
            <color indexed="81"/>
            <rFont val="Lucida Console"/>
            <family val="3"/>
          </rPr>
          <t>_x000D_
36399</t>
        </r>
      </text>
    </comment>
    <comment ref="B898" authorId="0" shapeId="0" xr:uid="{616D6380-79C8-4FC5-B9F7-647C07B9B9B7}">
      <text>
        <r>
          <rPr>
            <sz val="10"/>
            <color indexed="81"/>
            <rFont val="Lucida Console"/>
            <family val="3"/>
          </rPr>
          <t>DESCRIÇÃO DETALHADA_x000D_
ROLAMENTO - 6202 - ZZ</t>
        </r>
      </text>
    </comment>
    <comment ref="W898" authorId="0" shapeId="0" xr:uid="{781F7DB1-0AB2-4A5E-A1D6-44D4DBDB6F2A}">
      <text>
        <r>
          <rPr>
            <sz val="10"/>
            <color indexed="81"/>
            <rFont val="Lucida Console"/>
            <family val="3"/>
          </rPr>
          <t>_x000D_
DM-Geral</t>
        </r>
      </text>
    </comment>
    <comment ref="X898" authorId="0" shapeId="0" xr:uid="{676015DA-5FC6-446E-BCEE-6522D0A4B269}">
      <text>
        <r>
          <rPr>
            <sz val="10"/>
            <color indexed="81"/>
            <rFont val="Lucida Console"/>
            <family val="3"/>
          </rPr>
          <t>_x000D_
PEC.P/ VEICULO DE USO ESPECIAL E BATERIASROLAMENTO</t>
        </r>
      </text>
    </comment>
    <comment ref="Y898" authorId="0" shapeId="0" xr:uid="{E66D73C8-4C1A-408A-8B4E-402C5117760D}">
      <text>
        <r>
          <rPr>
            <sz val="10"/>
            <color indexed="81"/>
            <rFont val="Lucida Console"/>
            <family val="3"/>
          </rPr>
          <t>_x000D_
ROLAMENTOS</t>
        </r>
      </text>
    </comment>
    <comment ref="AW898" authorId="0" shapeId="0" xr:uid="{FCA68E96-2167-465B-AA40-6FA879DE3B7B}">
      <text>
        <r>
          <rPr>
            <sz val="10"/>
            <color indexed="81"/>
            <rFont val="Lucida Console"/>
            <family val="3"/>
          </rPr>
          <t>Tempo de Estoque (Meses)_x000D_
_x000D_
143,0</t>
        </r>
      </text>
    </comment>
    <comment ref="A899" authorId="0" shapeId="0" xr:uid="{3C085B2C-6170-49FF-A511-51A68A3C69BD}">
      <text>
        <r>
          <rPr>
            <sz val="10"/>
            <color indexed="81"/>
            <rFont val="Lucida Console"/>
            <family val="3"/>
          </rPr>
          <t>_x000D_
71874</t>
        </r>
      </text>
    </comment>
    <comment ref="B899" authorId="0" shapeId="0" xr:uid="{77F69682-A3EB-42D6-9FDC-7916EFFE9778}">
      <text>
        <r>
          <rPr>
            <sz val="10"/>
            <color indexed="81"/>
            <rFont val="Lucida Console"/>
            <family val="3"/>
          </rPr>
          <t>DESCRIÇÃO DETALHADA_x000D_
ROLAMENTO - 6201 ZZ</t>
        </r>
      </text>
    </comment>
    <comment ref="W899" authorId="0" shapeId="0" xr:uid="{F094912F-2625-431D-B41A-1DA43C229275}">
      <text>
        <r>
          <rPr>
            <sz val="10"/>
            <color indexed="81"/>
            <rFont val="Lucida Console"/>
            <family val="3"/>
          </rPr>
          <t>_x000D_
DM-Geral</t>
        </r>
      </text>
    </comment>
    <comment ref="X899" authorId="0" shapeId="0" xr:uid="{109D878E-6A8C-4C66-AB54-716F76D14A1A}">
      <text>
        <r>
          <rPr>
            <sz val="10"/>
            <color indexed="81"/>
            <rFont val="Lucida Console"/>
            <family val="3"/>
          </rPr>
          <t>_x000D_
PEC.P/ VEICULO DE USO ESPECIAL E BATERIASROLAMENTO</t>
        </r>
      </text>
    </comment>
    <comment ref="Y899" authorId="0" shapeId="0" xr:uid="{870258C4-B8A6-4354-B00E-DFB426C08C98}">
      <text>
        <r>
          <rPr>
            <sz val="10"/>
            <color indexed="81"/>
            <rFont val="Lucida Console"/>
            <family val="3"/>
          </rPr>
          <t>_x000D_
ROLAMENTOS</t>
        </r>
      </text>
    </comment>
    <comment ref="AW899" authorId="0" shapeId="0" xr:uid="{1F634B7C-7FAF-4732-94E6-C2E55F6FA093}">
      <text>
        <r>
          <rPr>
            <sz val="10"/>
            <color indexed="81"/>
            <rFont val="Lucida Console"/>
            <family val="3"/>
          </rPr>
          <t>Tempo de Estoque (Meses)_x000D_
_x000D_
126,0</t>
        </r>
      </text>
    </comment>
    <comment ref="A900" authorId="0" shapeId="0" xr:uid="{20BC70FB-CFCA-4017-871F-C445FF3F1341}">
      <text>
        <r>
          <rPr>
            <sz val="10"/>
            <color indexed="81"/>
            <rFont val="Lucida Console"/>
            <family val="3"/>
          </rPr>
          <t>_x000D_
118244</t>
        </r>
      </text>
    </comment>
    <comment ref="B900" authorId="0" shapeId="0" xr:uid="{A304322D-47B9-4FD5-9810-3024C4112219}">
      <text>
        <r>
          <rPr>
            <sz val="10"/>
            <color indexed="81"/>
            <rFont val="Lucida Console"/>
            <family val="3"/>
          </rPr>
          <t>DESCRIÇÃO DETALHADA_x000D_
ROLAMENTO 6301 - ZZ</t>
        </r>
      </text>
    </comment>
    <comment ref="W900" authorId="0" shapeId="0" xr:uid="{95872DC5-04C2-49C3-8F7D-FF4AA9B68FAA}">
      <text>
        <r>
          <rPr>
            <sz val="10"/>
            <color indexed="81"/>
            <rFont val="Lucida Console"/>
            <family val="3"/>
          </rPr>
          <t>_x000D_
DM-Geral</t>
        </r>
      </text>
    </comment>
    <comment ref="X900" authorId="0" shapeId="0" xr:uid="{93444920-578C-47DB-BE89-4AC5D5B69645}">
      <text>
        <r>
          <rPr>
            <sz val="10"/>
            <color indexed="81"/>
            <rFont val="Lucida Console"/>
            <family val="3"/>
          </rPr>
          <t>_x000D_
PEC.P/ VEICULO DE USO ESPECIAL E BATERIASROLAMENTO</t>
        </r>
      </text>
    </comment>
    <comment ref="Y900" authorId="0" shapeId="0" xr:uid="{5E50D8F5-4ED4-459F-A40A-8002B6F041D2}">
      <text>
        <r>
          <rPr>
            <sz val="10"/>
            <color indexed="81"/>
            <rFont val="Lucida Console"/>
            <family val="3"/>
          </rPr>
          <t>_x000D_
ROLAMENTOS</t>
        </r>
      </text>
    </comment>
    <comment ref="AW900" authorId="0" shapeId="0" xr:uid="{BC9A2295-BB67-49A8-9208-6CEDECA53AF9}">
      <text>
        <r>
          <rPr>
            <sz val="10"/>
            <color indexed="81"/>
            <rFont val="Lucida Console"/>
            <family val="3"/>
          </rPr>
          <t>Tempo de Estoque (Meses)_x000D_
_x000D_
173,0</t>
        </r>
      </text>
    </comment>
    <comment ref="A901" authorId="0" shapeId="0" xr:uid="{02B3ED87-27FA-406F-8670-440572357E58}">
      <text>
        <r>
          <rPr>
            <sz val="10"/>
            <color indexed="81"/>
            <rFont val="Lucida Console"/>
            <family val="3"/>
          </rPr>
          <t>_x000D_
118245</t>
        </r>
      </text>
    </comment>
    <comment ref="B901" authorId="0" shapeId="0" xr:uid="{0E0FAA0C-1C3B-456F-AE28-F69B13B3F184}">
      <text>
        <r>
          <rPr>
            <sz val="10"/>
            <color indexed="81"/>
            <rFont val="Lucida Console"/>
            <family val="3"/>
          </rPr>
          <t>DESCRIÇÃO DETALHADA_x000D_
ROLAMENTO 6302 - ZZ</t>
        </r>
      </text>
    </comment>
    <comment ref="W901" authorId="0" shapeId="0" xr:uid="{B4D123FE-3BBC-4DAF-9C81-D26A187FE970}">
      <text>
        <r>
          <rPr>
            <sz val="10"/>
            <color indexed="81"/>
            <rFont val="Lucida Console"/>
            <family val="3"/>
          </rPr>
          <t>_x000D_
DM-Geral</t>
        </r>
      </text>
    </comment>
    <comment ref="X901" authorId="0" shapeId="0" xr:uid="{B9DC07A9-3CC4-4316-9F74-E57835124F28}">
      <text>
        <r>
          <rPr>
            <sz val="10"/>
            <color indexed="81"/>
            <rFont val="Lucida Console"/>
            <family val="3"/>
          </rPr>
          <t>_x000D_
PEC.P/ VEICULO DE USO ESPECIAL E BATERIASROLAMENTO</t>
        </r>
      </text>
    </comment>
    <comment ref="Y901" authorId="0" shapeId="0" xr:uid="{458E0ED5-8684-4824-8654-EFAC1B38176E}">
      <text>
        <r>
          <rPr>
            <sz val="10"/>
            <color indexed="81"/>
            <rFont val="Lucida Console"/>
            <family val="3"/>
          </rPr>
          <t>_x000D_
ROLAMENTOS</t>
        </r>
      </text>
    </comment>
    <comment ref="AW901" authorId="0" shapeId="0" xr:uid="{8A31A15A-4048-4031-9059-B13AA4488534}">
      <text>
        <r>
          <rPr>
            <sz val="10"/>
            <color indexed="81"/>
            <rFont val="Lucida Console"/>
            <family val="3"/>
          </rPr>
          <t>Tempo de Estoque (Meses)_x000D_
_x000D_
33,0</t>
        </r>
      </text>
    </comment>
    <comment ref="A902" authorId="0" shapeId="0" xr:uid="{95DC3AFC-46BD-451C-B0C6-0661517E76B0}">
      <text>
        <r>
          <rPr>
            <sz val="10"/>
            <color indexed="81"/>
            <rFont val="Lucida Console"/>
            <family val="3"/>
          </rPr>
          <t>_x000D_
118246</t>
        </r>
      </text>
    </comment>
    <comment ref="B902" authorId="0" shapeId="0" xr:uid="{33A90DC3-B4C9-4C55-AA81-AEBC15FFDD6F}">
      <text>
        <r>
          <rPr>
            <sz val="10"/>
            <color indexed="81"/>
            <rFont val="Lucida Console"/>
            <family val="3"/>
          </rPr>
          <t>DESCRIÇÃO DETALHADA_x000D_
ROLAMENTO 6000 - 2 RS</t>
        </r>
      </text>
    </comment>
    <comment ref="W902" authorId="0" shapeId="0" xr:uid="{F27B7FE5-66A5-4AC0-B88A-18DE10458C17}">
      <text>
        <r>
          <rPr>
            <sz val="10"/>
            <color indexed="81"/>
            <rFont val="Lucida Console"/>
            <family val="3"/>
          </rPr>
          <t>_x000D_
DM-Geral</t>
        </r>
      </text>
    </comment>
    <comment ref="X902" authorId="0" shapeId="0" xr:uid="{4813619B-A4CF-446D-B313-DF22A0D8052A}">
      <text>
        <r>
          <rPr>
            <sz val="10"/>
            <color indexed="81"/>
            <rFont val="Lucida Console"/>
            <family val="3"/>
          </rPr>
          <t>_x000D_
PEC.P/ VEICULO DE USO ESPECIAL E BATERIASROLAMENTO</t>
        </r>
      </text>
    </comment>
    <comment ref="Y902" authorId="0" shapeId="0" xr:uid="{7A562955-A549-42FF-A7EA-9C9AE2BFFA05}">
      <text>
        <r>
          <rPr>
            <sz val="10"/>
            <color indexed="81"/>
            <rFont val="Lucida Console"/>
            <family val="3"/>
          </rPr>
          <t>_x000D_
ROLAMENTOS</t>
        </r>
      </text>
    </comment>
    <comment ref="AW902" authorId="0" shapeId="0" xr:uid="{50C88184-D675-412A-BC3A-46B04AFBDDAA}">
      <text>
        <r>
          <rPr>
            <sz val="10"/>
            <color indexed="81"/>
            <rFont val="Lucida Console"/>
            <family val="3"/>
          </rPr>
          <t>Tempo de Estoque (Meses)_x000D_
_x000D_
60,0</t>
        </r>
      </text>
    </comment>
    <comment ref="A903" authorId="0" shapeId="0" xr:uid="{E49F0451-1465-4FA6-A201-51330E8E3D81}">
      <text>
        <r>
          <rPr>
            <sz val="10"/>
            <color indexed="81"/>
            <rFont val="Lucida Console"/>
            <family val="3"/>
          </rPr>
          <t>_x000D_
109251</t>
        </r>
      </text>
    </comment>
    <comment ref="B903" authorId="0" shapeId="0" xr:uid="{D4EDC2AE-220E-45C3-86B3-7A206BE5C347}">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903" authorId="0" shapeId="0" xr:uid="{D9724976-350D-4D44-86DB-BA852AD3DB14}">
      <text>
        <r>
          <rPr>
            <sz val="10"/>
            <color indexed="81"/>
            <rFont val="Lucida Console"/>
            <family val="3"/>
          </rPr>
          <t>_x000D_
Últ estimativa : 0_x000D_
Enviada em     : 19.10.2018_x000D_
Ata - Venc     : 93/21 - 29.03.2022</t>
        </r>
      </text>
    </comment>
    <comment ref="W903" authorId="0" shapeId="0" xr:uid="{1634DCF3-6A2E-4DCE-BB55-29E3CE7B7928}">
      <text>
        <r>
          <rPr>
            <sz val="10"/>
            <color indexed="81"/>
            <rFont val="Lucida Console"/>
            <family val="3"/>
          </rPr>
          <t>_x000D_
Administrativo</t>
        </r>
      </text>
    </comment>
    <comment ref="X903" authorId="0" shapeId="0" xr:uid="{2C84B935-04E0-457D-97AA-C571801016A2}">
      <text>
        <r>
          <rPr>
            <sz val="10"/>
            <color indexed="81"/>
            <rFont val="Lucida Console"/>
            <family val="3"/>
          </rPr>
          <t>_x000D_
MAQ.EQUIP.E MATERIAIS P/ HIGIEN.LIMP.POLIM.E LUBR.</t>
        </r>
      </text>
    </comment>
    <comment ref="Y903" authorId="0" shapeId="0" xr:uid="{5C26B511-AF86-4EBC-8DC7-FAC7B336C452}">
      <text>
        <r>
          <rPr>
            <sz val="10"/>
            <color indexed="81"/>
            <rFont val="Lucida Console"/>
            <family val="3"/>
          </rPr>
          <t>_x000D_
ESPONJAS,BALDES,SACOS E CESTOS DE LIXO, ETC</t>
        </r>
      </text>
    </comment>
    <comment ref="AW903" authorId="0" shapeId="0" xr:uid="{4A69AA42-2662-4DAB-ADCB-FDC67AFA4F25}">
      <text>
        <r>
          <rPr>
            <sz val="10"/>
            <color indexed="81"/>
            <rFont val="Lucida Console"/>
            <family val="3"/>
          </rPr>
          <t>Tempo de Estoque (Meses)_x000D_
_x000D_
259,0</t>
        </r>
      </text>
    </comment>
    <comment ref="A904" authorId="0" shapeId="0" xr:uid="{1FB5CF87-265E-4925-AEA9-729E1AB3A8FD}">
      <text>
        <r>
          <rPr>
            <sz val="10"/>
            <color indexed="81"/>
            <rFont val="Lucida Console"/>
            <family val="3"/>
          </rPr>
          <t>_x000D_
108440</t>
        </r>
      </text>
    </comment>
    <comment ref="B904" authorId="0" shapeId="0" xr:uid="{7D64E7A2-E8C8-4701-9169-BAD240D79CD7}">
      <text>
        <r>
          <rPr>
            <sz val="10"/>
            <color indexed="81"/>
            <rFont val="Lucida Console"/>
            <family val="3"/>
          </rPr>
          <t>DESCRIÇÃO DETALHADA_x000D_
HOLOFOTE RETANGULAR COM BASE E-40 EM ALUMINIO ESTAMPADO COM ALCA REGULAVEL MEDINDO: 280 x 300 x 160MM 400W PARA USO AO TEMPO COM GRADE PROTETORA.</t>
        </r>
      </text>
    </comment>
    <comment ref="G904" authorId="0" shapeId="0" xr:uid="{16D2CB62-295E-4F2F-A183-78243A40107D}">
      <text>
        <r>
          <rPr>
            <sz val="10"/>
            <color indexed="81"/>
            <rFont val="Lucida Console"/>
            <family val="3"/>
          </rPr>
          <t xml:space="preserve">_x000D_
Últ estimativa : 100_x000D_
Enviada em     : 25.09.2019_x000D_
Ata - Venc     : /-2000 - </t>
        </r>
      </text>
    </comment>
    <comment ref="O904" authorId="0" shapeId="0" xr:uid="{D0862C66-D930-4BBB-A47F-BF8D76D5D2CE}">
      <text>
        <r>
          <rPr>
            <sz val="10"/>
            <color indexed="81"/>
            <rFont val="Lucida Console"/>
            <family val="3"/>
          </rPr>
          <t>_x000D_
Ata anterior não identificada.</t>
        </r>
      </text>
    </comment>
    <comment ref="W904" authorId="0" shapeId="0" xr:uid="{48E87A72-5958-4462-B5E4-0B0060402BA6}">
      <text>
        <r>
          <rPr>
            <sz val="10"/>
            <color indexed="81"/>
            <rFont val="Lucida Console"/>
            <family val="3"/>
          </rPr>
          <t>_x000D_
DM-Elétrica</t>
        </r>
      </text>
    </comment>
    <comment ref="X904" authorId="0" shapeId="0" xr:uid="{AFA8FC5D-3F74-4C11-A736-EF25308B0CA6}">
      <text>
        <r>
          <rPr>
            <sz val="10"/>
            <color indexed="81"/>
            <rFont val="Lucida Console"/>
            <family val="3"/>
          </rPr>
          <t>_x000D_
EQUIP. MAT. P/ GERACAO, TRANSM. DISTR. RETIF...</t>
        </r>
      </text>
    </comment>
    <comment ref="Y904" authorId="0" shapeId="0" xr:uid="{F5720CDF-3684-4EB8-9CF9-6DAFDD6CE6E6}">
      <text>
        <r>
          <rPr>
            <sz val="10"/>
            <color indexed="81"/>
            <rFont val="Lucida Console"/>
            <family val="3"/>
          </rPr>
          <t>_x000D_
LUMINARIAS E PROJETORES COM EQUIPAMENTO</t>
        </r>
      </text>
    </comment>
    <comment ref="AW904" authorId="0" shapeId="0" xr:uid="{B2D91B7C-2175-4FD2-BD5B-66D21058BF4F}">
      <text>
        <r>
          <rPr>
            <sz val="10"/>
            <color indexed="81"/>
            <rFont val="Lucida Console"/>
            <family val="3"/>
          </rPr>
          <t>Tempo de Estoque (Meses)_x000D_
_x000D_
6,0</t>
        </r>
      </text>
    </comment>
    <comment ref="A905" authorId="0" shapeId="0" xr:uid="{9D264ED4-D4E6-43DF-A9D4-2688BEE98ED7}">
      <text>
        <r>
          <rPr>
            <sz val="10"/>
            <color indexed="81"/>
            <rFont val="Lucida Console"/>
            <family val="3"/>
          </rPr>
          <t>_x000D_
85798</t>
        </r>
      </text>
    </comment>
    <comment ref="B905" authorId="0" shapeId="0" xr:uid="{D596E0E0-9C4C-4C8E-AFF7-0A9CB779188E}">
      <text>
        <r>
          <rPr>
            <sz val="10"/>
            <color indexed="81"/>
            <rFont val="Lucida Console"/>
            <family val="3"/>
          </rPr>
          <t>DESCRIÇÃO DETALHADA_x000D_
DISCO DE DESBASTE DE  FERRO - 4 1/2" X 3/16" X 7/8" - PARA USO EM LIXADEIRA E FABRICADO CONFORME NORMAS ABNT</t>
        </r>
      </text>
    </comment>
    <comment ref="G905" authorId="0" shapeId="0" xr:uid="{02FA07CB-898F-446B-AB9D-CF9C52475B74}">
      <text>
        <r>
          <rPr>
            <sz val="10"/>
            <color indexed="81"/>
            <rFont val="Lucida Console"/>
            <family val="3"/>
          </rPr>
          <t xml:space="preserve">_x000D_
Últ estimativa : 250_x000D_
Enviada em     : 25.09.2019_x000D_
Ata - Venc     : /-2000 - </t>
        </r>
      </text>
    </comment>
    <comment ref="O905" authorId="0" shapeId="0" xr:uid="{BD00DD1B-F3A9-41A8-A726-599E5433E3BE}">
      <text>
        <r>
          <rPr>
            <sz val="10"/>
            <color indexed="81"/>
            <rFont val="Lucida Console"/>
            <family val="3"/>
          </rPr>
          <t>_x000D_
Ata anterior não identificada.</t>
        </r>
      </text>
    </comment>
    <comment ref="W905" authorId="0" shapeId="0" xr:uid="{054E4039-16AA-426E-A081-DDE93F04177E}">
      <text>
        <r>
          <rPr>
            <sz val="10"/>
            <color indexed="81"/>
            <rFont val="Lucida Console"/>
            <family val="3"/>
          </rPr>
          <t>_x000D_
DM-Serralheria</t>
        </r>
      </text>
    </comment>
    <comment ref="X905" authorId="0" shapeId="0" xr:uid="{6473F3ED-EC40-4572-9E03-7392481CA027}">
      <text>
        <r>
          <rPr>
            <sz val="10"/>
            <color indexed="81"/>
            <rFont val="Lucida Console"/>
            <family val="3"/>
          </rPr>
          <t>_x000D_
ABRASIVOS</t>
        </r>
      </text>
    </comment>
    <comment ref="Y905" authorId="0" shapeId="0" xr:uid="{17DA92DD-641F-44A8-B716-E07039C94CE4}">
      <text>
        <r>
          <rPr>
            <sz val="10"/>
            <color indexed="81"/>
            <rFont val="Lucida Console"/>
            <family val="3"/>
          </rPr>
          <t>_x000D_
DISCO DE FIBRA</t>
        </r>
      </text>
    </comment>
    <comment ref="AW905" authorId="0" shapeId="0" xr:uid="{74D89D24-4552-4CDC-9CAB-0846E500D1E8}">
      <text>
        <r>
          <rPr>
            <sz val="10"/>
            <color indexed="81"/>
            <rFont val="Lucida Console"/>
            <family val="3"/>
          </rPr>
          <t>Tempo de Estoque (Meses)_x000D_
_x000D_
264,0</t>
        </r>
      </text>
    </comment>
    <comment ref="A906" authorId="0" shapeId="0" xr:uid="{FEF00F2C-6B8D-4FE8-848B-094950EF7778}">
      <text>
        <r>
          <rPr>
            <sz val="10"/>
            <color indexed="81"/>
            <rFont val="Lucida Console"/>
            <family val="3"/>
          </rPr>
          <t>_x000D_
48178</t>
        </r>
      </text>
    </comment>
    <comment ref="B906" authorId="0" shapeId="0" xr:uid="{B430F019-B00B-4B95-A7C0-0AD31BB21293}">
      <text>
        <r>
          <rPr>
            <sz val="10"/>
            <color indexed="81"/>
            <rFont val="Lucida Console"/>
            <family val="3"/>
          </rPr>
          <t>DESCRIÇÃO DETALHADA_x000D_
CHAPA DE LAMINADO MELAMINICO COM 3,08 X 1,25 M, ESPESSURA 0,8 MM</t>
        </r>
      </text>
    </comment>
    <comment ref="G906" authorId="0" shapeId="0" xr:uid="{98BC6C07-9A36-44EB-8C2B-AEB2D2016E82}">
      <text>
        <r>
          <rPr>
            <sz val="10"/>
            <color indexed="81"/>
            <rFont val="Lucida Console"/>
            <family val="3"/>
          </rPr>
          <t>_x000D_
Últ estimativa : 0_x000D_
Enviada em     : 17.01.2020_x000D_
Ata - Venc     : 129/19 - 08.05.2020</t>
        </r>
      </text>
    </comment>
    <comment ref="O906" authorId="0" shapeId="0" xr:uid="{F9E45F6C-5478-47FE-BA73-5C04A8861171}">
      <text>
        <r>
          <rPr>
            <sz val="10"/>
            <color indexed="81"/>
            <rFont val="Lucida Console"/>
            <family val="3"/>
          </rPr>
          <t>_x000D_
Pertencia a ATA nº 129/19_x000D_
Estimativa de Renovação enviada em 17.01.2020 - Qtd _x000D_
PP  21/19 lote _x000D_
06.08.19 = Processo finalizado</t>
        </r>
      </text>
    </comment>
    <comment ref="W906" authorId="0" shapeId="0" xr:uid="{A04ACDB2-142F-4D38-BF52-7075EB2E0D3B}">
      <text>
        <r>
          <rPr>
            <sz val="10"/>
            <color indexed="81"/>
            <rFont val="Lucida Console"/>
            <family val="3"/>
          </rPr>
          <t>_x000D_
DM-Marcenaria</t>
        </r>
      </text>
    </comment>
    <comment ref="X906" authorId="0" shapeId="0" xr:uid="{750B9E8C-F611-43E5-892B-1AD153523093}">
      <text>
        <r>
          <rPr>
            <sz val="10"/>
            <color indexed="81"/>
            <rFont val="Lucida Console"/>
            <family val="3"/>
          </rPr>
          <t>_x000D_
MADEIRAS,LAMINADOS,COMPENSADOS E AGLOMERADOS</t>
        </r>
      </text>
    </comment>
    <comment ref="Y906" authorId="0" shapeId="0" xr:uid="{14CC989D-1006-4A98-9E16-146553B53B78}">
      <text>
        <r>
          <rPr>
            <sz val="10"/>
            <color indexed="81"/>
            <rFont val="Lucida Console"/>
            <family val="3"/>
          </rPr>
          <t>_x000D_
CHAPAS COMPENSADAS RESINADAS/PLASTIFICADAS</t>
        </r>
      </text>
    </comment>
    <comment ref="AW906" authorId="0" shapeId="0" xr:uid="{D824CD64-348C-4144-820C-5F57D54EAD1B}">
      <text>
        <r>
          <rPr>
            <sz val="10"/>
            <color indexed="81"/>
            <rFont val="Lucida Console"/>
            <family val="3"/>
          </rPr>
          <t>Tempo de Estoque (Meses)_x000D_
_x000D_
36,0</t>
        </r>
      </text>
    </comment>
    <comment ref="A907" authorId="0" shapeId="0" xr:uid="{CCEDC88B-BF6B-4D74-B518-AA27B794495A}">
      <text>
        <r>
          <rPr>
            <sz val="10"/>
            <color indexed="81"/>
            <rFont val="Lucida Console"/>
            <family val="3"/>
          </rPr>
          <t>_x000D_
12812</t>
        </r>
      </text>
    </comment>
    <comment ref="B907" authorId="0" shapeId="0" xr:uid="{6C6EEF9E-3588-4078-8A68-99B3F1DA744A}">
      <text>
        <r>
          <rPr>
            <sz val="10"/>
            <color indexed="81"/>
            <rFont val="Lucida Console"/>
            <family val="3"/>
          </rPr>
          <t>DESCRIÇÃO DETALHADA_x000D_
BROXA RETANGULAR - 16,5 X 6 CM</t>
        </r>
      </text>
    </comment>
    <comment ref="G907" authorId="0" shapeId="0" xr:uid="{B54289AC-4D5C-42A7-884A-6CACDBD44E84}">
      <text>
        <r>
          <rPr>
            <sz val="10"/>
            <color indexed="81"/>
            <rFont val="Lucida Console"/>
            <family val="3"/>
          </rPr>
          <t>_x000D_
Últ estimativa : 40_x000D_
Enviada em     : 24.10.2019_x000D_
Ata - Venc     : 16/19 - 29.01.2020</t>
        </r>
      </text>
    </comment>
    <comment ref="O907" authorId="0" shapeId="0" xr:uid="{2C159722-541F-4A2B-A8D3-0458FFE7407B}">
      <text>
        <r>
          <rPr>
            <sz val="10"/>
            <color indexed="81"/>
            <rFont val="Lucida Console"/>
            <family val="3"/>
          </rPr>
          <t>_x000D_
Pertencia a ATA nº 16/19_x000D_
Estimativa de Renovação enviada em 24.10.2019 - Qtd 40_x000D_
PE 147/20 lote 1 (Impróspero)_x000D_
04.09.20 = Finalizado. Ata 254/20</t>
        </r>
      </text>
    </comment>
    <comment ref="W907" authorId="0" shapeId="0" xr:uid="{6B606674-E9D5-4BC8-97C8-C257852E4CB6}">
      <text>
        <r>
          <rPr>
            <sz val="10"/>
            <color indexed="81"/>
            <rFont val="Lucida Console"/>
            <family val="3"/>
          </rPr>
          <t>_x000D_
DM-Pintura</t>
        </r>
      </text>
    </comment>
    <comment ref="X907" authorId="0" shapeId="0" xr:uid="{083EDC0D-3497-4DD1-944E-21D679BC3C4A}">
      <text>
        <r>
          <rPr>
            <sz val="10"/>
            <color indexed="81"/>
            <rFont val="Lucida Console"/>
            <family val="3"/>
          </rPr>
          <t>_x000D_
EQUIP. E MATERIAIS P/PINTURAS E IMPERMEABILIZACAO</t>
        </r>
      </text>
    </comment>
    <comment ref="Y907" authorId="0" shapeId="0" xr:uid="{4914BD32-8432-4DC3-8CDF-10D3D5B11BF2}">
      <text>
        <r>
          <rPr>
            <sz val="10"/>
            <color indexed="81"/>
            <rFont val="Lucida Console"/>
            <family val="3"/>
          </rPr>
          <t>_x000D_
MATERIAIS PARA PINTURA</t>
        </r>
      </text>
    </comment>
    <comment ref="AW907" authorId="0" shapeId="0" xr:uid="{DFB1268D-9AAE-4384-B618-4AF8DC4B9753}">
      <text>
        <r>
          <rPr>
            <sz val="10"/>
            <color indexed="81"/>
            <rFont val="Lucida Console"/>
            <family val="3"/>
          </rPr>
          <t>Tempo de Estoque (Meses)_x000D_
_x000D_
63,0</t>
        </r>
      </text>
    </comment>
    <comment ref="A908" authorId="0" shapeId="0" xr:uid="{2F83E30F-8534-4011-92C8-45ADFACD567C}">
      <text>
        <r>
          <rPr>
            <sz val="10"/>
            <color indexed="81"/>
            <rFont val="Lucida Console"/>
            <family val="3"/>
          </rPr>
          <t>_x000D_
88718</t>
        </r>
      </text>
    </comment>
    <comment ref="B908" authorId="0" shapeId="0" xr:uid="{45B864D8-452E-4477-9EC7-2B4E2A18E47D}">
      <text>
        <r>
          <rPr>
            <sz val="10"/>
            <color indexed="81"/>
            <rFont val="Lucida Console"/>
            <family val="3"/>
          </rPr>
          <t>DESCRIÇÃO DETALHADA_x000D_
DISJUNTOR NORMA DIN CURVA B PADRAO, BIPOLAR, 10 AMPERES</t>
        </r>
      </text>
    </comment>
    <comment ref="G908" authorId="0" shapeId="0" xr:uid="{34FE42E7-54E8-49F4-804D-496D9045CC2D}">
      <text>
        <r>
          <rPr>
            <sz val="10"/>
            <color indexed="81"/>
            <rFont val="Lucida Console"/>
            <family val="3"/>
          </rPr>
          <t>_x000D_
Últ estimativa : 70_x000D_
Enviada em     : 23.09.2020_x000D_
Ata - Venc     : 17/20 - 29.01.2021</t>
        </r>
      </text>
    </comment>
    <comment ref="O908" authorId="0" shapeId="0" xr:uid="{D4AB8568-38E6-4DEA-BE4D-8B4B1140F679}">
      <text>
        <r>
          <rPr>
            <sz val="10"/>
            <color indexed="81"/>
            <rFont val="Lucida Console"/>
            <family val="3"/>
          </rPr>
          <t>_x000D_
Pertencia a ATA nº 17/20_x000D_
Estimativa de Renovação enviada em 23.09.2020 - Qtd 70_x000D_
PP 241/19 lote _x000D_
21.02.20 = Processo conferido, finalizado.</t>
        </r>
      </text>
    </comment>
    <comment ref="W908" authorId="0" shapeId="0" xr:uid="{E3887B9D-1B79-44BB-8FEC-700CEE4BD2F4}">
      <text>
        <r>
          <rPr>
            <sz val="10"/>
            <color indexed="81"/>
            <rFont val="Lucida Console"/>
            <family val="3"/>
          </rPr>
          <t>_x000D_
DM-Elétrica</t>
        </r>
      </text>
    </comment>
    <comment ref="X908" authorId="0" shapeId="0" xr:uid="{6BEAE858-4409-40BB-B5CD-4EE78352E54B}">
      <text>
        <r>
          <rPr>
            <sz val="10"/>
            <color indexed="81"/>
            <rFont val="Lucida Console"/>
            <family val="3"/>
          </rPr>
          <t>_x000D_
EQUIP. MAT. P/ GERACAO, TRANSM. DISTR. RETIF...</t>
        </r>
      </text>
    </comment>
    <comment ref="Y908" authorId="0" shapeId="0" xr:uid="{A9B19E11-73E2-4542-A5CA-70F9879B609B}">
      <text>
        <r>
          <rPr>
            <sz val="10"/>
            <color indexed="81"/>
            <rFont val="Lucida Console"/>
            <family val="3"/>
          </rPr>
          <t>_x000D_
DISJUNTORES</t>
        </r>
      </text>
    </comment>
    <comment ref="AW908" authorId="0" shapeId="0" xr:uid="{32F2A789-8F8E-49CC-94B1-43592D86D15A}">
      <text>
        <r>
          <rPr>
            <sz val="10"/>
            <color indexed="81"/>
            <rFont val="Lucida Console"/>
            <family val="3"/>
          </rPr>
          <t>Tempo de Estoque (Meses)_x000D_
_x000D_
96,0</t>
        </r>
      </text>
    </comment>
    <comment ref="A909" authorId="0" shapeId="0" xr:uid="{595508D8-5E52-4B0D-A8E4-E141B41A2C65}">
      <text>
        <r>
          <rPr>
            <sz val="10"/>
            <color indexed="81"/>
            <rFont val="Lucida Console"/>
            <family val="3"/>
          </rPr>
          <t>_x000D_
104755</t>
        </r>
      </text>
    </comment>
    <comment ref="B909" authorId="0" shapeId="0" xr:uid="{15E0704C-5948-4631-830A-B66E48E5C095}">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909" authorId="0" shapeId="0" xr:uid="{1A82CDAE-AD2F-45FE-931C-59A5002F6E57}">
      <text>
        <r>
          <rPr>
            <sz val="10"/>
            <color indexed="81"/>
            <rFont val="Lucida Console"/>
            <family val="3"/>
          </rPr>
          <t>_x000D_
Últ estimativa : 0_x000D_
Enviada em     : 20.08.2018_x000D_
Ata - Venc     : 183/17 - 29.10.2018</t>
        </r>
      </text>
    </comment>
    <comment ref="O909" authorId="0" shapeId="0" xr:uid="{B4989165-F0DE-4C10-8104-C2B5A2E328D5}">
      <text>
        <r>
          <rPr>
            <sz val="10"/>
            <color indexed="81"/>
            <rFont val="Lucida Console"/>
            <family val="3"/>
          </rPr>
          <t xml:space="preserve">_x000D_
Pertencia a ATA nº 183/17_x000D_
Estimativa de Renovação enviada em 20.08.2018 - Qtd _x000D_
</t>
        </r>
      </text>
    </comment>
    <comment ref="W909" authorId="0" shapeId="0" xr:uid="{8648CD50-4BEB-4E97-AAC2-F1FB5ACF31E1}">
      <text>
        <r>
          <rPr>
            <sz val="10"/>
            <color indexed="81"/>
            <rFont val="Lucida Console"/>
            <family val="3"/>
          </rPr>
          <t>_x000D_
Pedagógico</t>
        </r>
      </text>
    </comment>
    <comment ref="X909" authorId="0" shapeId="0" xr:uid="{36C04166-9C68-4C97-8625-53940F9B7E31}">
      <text>
        <r>
          <rPr>
            <sz val="10"/>
            <color indexed="81"/>
            <rFont val="Lucida Console"/>
            <family val="3"/>
          </rPr>
          <t>_x000D_
MOBILIARIO E COFRE</t>
        </r>
      </text>
    </comment>
    <comment ref="Y909" authorId="0" shapeId="0" xr:uid="{38C730A9-D0B8-446B-8046-E7FAABFD1EEA}">
      <text>
        <r>
          <rPr>
            <sz val="10"/>
            <color indexed="81"/>
            <rFont val="Lucida Console"/>
            <family val="3"/>
          </rPr>
          <t>_x000D_
MOBILIARIO ESCOLAR</t>
        </r>
      </text>
    </comment>
    <comment ref="AW909" authorId="0" shapeId="0" xr:uid="{DE7DBAD4-78A2-40F6-81ED-419C68511939}">
      <text>
        <r>
          <rPr>
            <sz val="10"/>
            <color indexed="81"/>
            <rFont val="Lucida Console"/>
            <family val="3"/>
          </rPr>
          <t>Tempo de Estoque (Meses)_x000D_
_x000D_
60,0</t>
        </r>
      </text>
    </comment>
    <comment ref="A910" authorId="0" shapeId="0" xr:uid="{204F0433-5716-4FA3-B762-94777E71D2F6}">
      <text>
        <r>
          <rPr>
            <sz val="10"/>
            <color indexed="81"/>
            <rFont val="Lucida Console"/>
            <family val="3"/>
          </rPr>
          <t>_x000D_
64821</t>
        </r>
      </text>
    </comment>
    <comment ref="B910" authorId="0" shapeId="0" xr:uid="{2F73DC60-EADC-4621-8186-56B938103102}">
      <text>
        <r>
          <rPr>
            <sz val="10"/>
            <color indexed="81"/>
            <rFont val="Lucida Console"/>
            <family val="3"/>
          </rPr>
          <t>DESCRIÇÃO DETALHADA_x000D_
TINTA P/ PISO - AMARELO - LATA COM 18 LITROS</t>
        </r>
      </text>
    </comment>
    <comment ref="G910" authorId="0" shapeId="0" xr:uid="{E986040E-75F4-4204-968C-93AC4501E5BF}">
      <text>
        <r>
          <rPr>
            <sz val="10"/>
            <color indexed="81"/>
            <rFont val="Lucida Console"/>
            <family val="3"/>
          </rPr>
          <t>_x000D_
Últ estimativa : 0_x000D_
Enviada em     : 12.05.2020_x000D_
Ata - Venc     : 192/19 - 07.08.2020</t>
        </r>
      </text>
    </comment>
    <comment ref="O910" authorId="0" shapeId="0" xr:uid="{B537EB8B-0E49-43D0-87D0-C727B436B66D}">
      <text>
        <r>
          <rPr>
            <sz val="10"/>
            <color indexed="81"/>
            <rFont val="Lucida Console"/>
            <family val="3"/>
          </rPr>
          <t>_x000D_
Pertencia a ATA nº 192/19_x000D_
Estimativa de Renovação enviada em 12.05.2020 - Qtd _x000D_
PP 103/19 lote _x000D_
16.08.19 = Finalizar - contrato assinado</t>
        </r>
      </text>
    </comment>
    <comment ref="W910" authorId="0" shapeId="0" xr:uid="{2E033C90-8461-46FB-B1F5-8DEF935C4C89}">
      <text>
        <r>
          <rPr>
            <sz val="10"/>
            <color indexed="81"/>
            <rFont val="Lucida Console"/>
            <family val="3"/>
          </rPr>
          <t>_x000D_
DM-Pintura</t>
        </r>
      </text>
    </comment>
    <comment ref="X910" authorId="0" shapeId="0" xr:uid="{7579EA31-A0EF-448F-B0A6-8EB10569E832}">
      <text>
        <r>
          <rPr>
            <sz val="10"/>
            <color indexed="81"/>
            <rFont val="Lucida Console"/>
            <family val="3"/>
          </rPr>
          <t>_x000D_
EQUIP. E MATERIAIS P/PINTURAS E IMPERMEABILIZACAO</t>
        </r>
      </text>
    </comment>
    <comment ref="Y910" authorId="0" shapeId="0" xr:uid="{3A9DF94F-6C58-4866-96A4-7BB524D96485}">
      <text>
        <r>
          <rPr>
            <sz val="10"/>
            <color indexed="81"/>
            <rFont val="Lucida Console"/>
            <family val="3"/>
          </rPr>
          <t>_x000D_
TINTAS DIVERSAS</t>
        </r>
      </text>
    </comment>
    <comment ref="AW910" authorId="0" shapeId="0" xr:uid="{3404FBB2-99D4-496A-AB08-C208A13989A6}">
      <text>
        <r>
          <rPr>
            <sz val="10"/>
            <color indexed="81"/>
            <rFont val="Lucida Console"/>
            <family val="3"/>
          </rPr>
          <t>Tempo de Estoque (Meses)_x000D_
_x000D_
18,0</t>
        </r>
      </text>
    </comment>
    <comment ref="A911" authorId="0" shapeId="0" xr:uid="{FC64E263-7B1C-49EB-A422-E319F6A395B0}">
      <text>
        <r>
          <rPr>
            <sz val="10"/>
            <color indexed="81"/>
            <rFont val="Lucida Console"/>
            <family val="3"/>
          </rPr>
          <t>_x000D_
17663</t>
        </r>
      </text>
    </comment>
    <comment ref="B911" authorId="0" shapeId="0" xr:uid="{74DFACD7-BB9F-47B5-AAC9-2E6FE347CB16}">
      <text>
        <r>
          <rPr>
            <sz val="10"/>
            <color indexed="81"/>
            <rFont val="Lucida Console"/>
            <family val="3"/>
          </rPr>
          <t>DESCRIÇÃO DETALHADA_x000D_
LIXA D'AGUA EM FOLHA 225 X 275 MM GRAO 180</t>
        </r>
      </text>
    </comment>
    <comment ref="G911" authorId="0" shapeId="0" xr:uid="{FEB42543-6513-4E19-927F-08EDD8A4B240}">
      <text>
        <r>
          <rPr>
            <sz val="10"/>
            <color indexed="81"/>
            <rFont val="Lucida Console"/>
            <family val="3"/>
          </rPr>
          <t>_x000D_
Últ estimativa : 0_x000D_
Enviada em     : 12.05.2020_x000D_
Ata - Venc     : 192/19 - 07.08.2020</t>
        </r>
      </text>
    </comment>
    <comment ref="O911" authorId="0" shapeId="0" xr:uid="{ED595929-FB6A-4D25-AF38-7FA083886FC8}">
      <text>
        <r>
          <rPr>
            <sz val="10"/>
            <color indexed="81"/>
            <rFont val="Lucida Console"/>
            <family val="3"/>
          </rPr>
          <t>_x000D_
Pertencia a ATA nº 192/19_x000D_
Estimativa de Renovação enviada em 12.05.2020 - Qtd _x000D_
PP 103/19 lote _x000D_
16.08.19 = Finalizar - contrato assinado</t>
        </r>
      </text>
    </comment>
    <comment ref="W911" authorId="0" shapeId="0" xr:uid="{7DE424B2-BDB7-4E44-A663-FC8ECB9FDEC6}">
      <text>
        <r>
          <rPr>
            <sz val="10"/>
            <color indexed="81"/>
            <rFont val="Lucida Console"/>
            <family val="3"/>
          </rPr>
          <t>_x000D_
DM-Serralheria</t>
        </r>
      </text>
    </comment>
    <comment ref="X911" authorId="0" shapeId="0" xr:uid="{4B15D175-D796-40B7-858F-A9709A089BA5}">
      <text>
        <r>
          <rPr>
            <sz val="10"/>
            <color indexed="81"/>
            <rFont val="Lucida Console"/>
            <family val="3"/>
          </rPr>
          <t>_x000D_
ABRASIVOS</t>
        </r>
      </text>
    </comment>
    <comment ref="Y911" authorId="0" shapeId="0" xr:uid="{A75EAA84-6B1C-477C-BB22-40AB869FC5AA}">
      <text>
        <r>
          <rPr>
            <sz val="10"/>
            <color indexed="81"/>
            <rFont val="Lucida Console"/>
            <family val="3"/>
          </rPr>
          <t>_x000D_
LIXAS EM FOLHA</t>
        </r>
      </text>
    </comment>
    <comment ref="AW911" authorId="0" shapeId="0" xr:uid="{8EFD8BAD-E6BE-42A7-9ED1-D774D61B7B0E}">
      <text>
        <r>
          <rPr>
            <sz val="10"/>
            <color indexed="81"/>
            <rFont val="Lucida Console"/>
            <family val="3"/>
          </rPr>
          <t>Tempo de Estoque (Meses)_x000D_
_x000D_
190,0</t>
        </r>
      </text>
    </comment>
    <comment ref="A912" authorId="0" shapeId="0" xr:uid="{D7F4A595-8C82-4C54-90C6-0AC45CD91894}">
      <text>
        <r>
          <rPr>
            <sz val="10"/>
            <color indexed="81"/>
            <rFont val="Lucida Console"/>
            <family val="3"/>
          </rPr>
          <t>_x000D_
116771</t>
        </r>
      </text>
    </comment>
    <comment ref="B912" authorId="0" shapeId="0" xr:uid="{08AF6D41-9D60-4327-8E36-F4F4081236AB}">
      <text>
        <r>
          <rPr>
            <sz val="10"/>
            <color indexed="81"/>
            <rFont val="Lucida Console"/>
            <family val="3"/>
          </rPr>
          <t>DESCRIÇÃO DETALHADA_x000D_
CHAPA EM MDF, BRANCO, 02 FACES 2,75 X 1,83 X 25 MM</t>
        </r>
      </text>
    </comment>
    <comment ref="G912" authorId="0" shapeId="0" xr:uid="{BA53FFF0-772C-447D-991D-F92E5D3306C0}">
      <text>
        <r>
          <rPr>
            <sz val="10"/>
            <color indexed="81"/>
            <rFont val="Lucida Console"/>
            <family val="3"/>
          </rPr>
          <t>_x000D_
Últ estimativa : 0_x000D_
Enviada em     : 19.10.2018_x000D_
Ata - Venc     : 2/18 - 07.01.2019</t>
        </r>
      </text>
    </comment>
    <comment ref="O912" authorId="0" shapeId="0" xr:uid="{31D45F45-D8C0-41C8-B210-913ECDC87315}">
      <text>
        <r>
          <rPr>
            <sz val="10"/>
            <color indexed="81"/>
            <rFont val="Lucida Console"/>
            <family val="3"/>
          </rPr>
          <t>_x000D_
Pertencia a ATA nº 2/18_x000D_
Estimativa de Renovação enviada em 19.10.2018 - Qtd _x000D_
PP  21/19 lote _x000D_
06.08.19 = Processo finalizado</t>
        </r>
      </text>
    </comment>
    <comment ref="W912" authorId="0" shapeId="0" xr:uid="{B33C4D4E-43BD-4B9B-B677-14C267EC9A3E}">
      <text>
        <r>
          <rPr>
            <sz val="10"/>
            <color indexed="81"/>
            <rFont val="Lucida Console"/>
            <family val="3"/>
          </rPr>
          <t>_x000D_
DM-Serralheria</t>
        </r>
      </text>
    </comment>
    <comment ref="X912" authorId="0" shapeId="0" xr:uid="{8A24FDC4-1B72-4623-9402-DF2FA58E4E79}">
      <text>
        <r>
          <rPr>
            <sz val="10"/>
            <color indexed="81"/>
            <rFont val="Lucida Console"/>
            <family val="3"/>
          </rPr>
          <t>_x000D_
METAIS,LAMINAD.,PERFILADOS E ARTEFATOS METALICOS</t>
        </r>
      </text>
    </comment>
    <comment ref="Y912" authorId="0" shapeId="0" xr:uid="{35B317C3-64B7-4DC0-AEC6-035B700B18ED}">
      <text>
        <r>
          <rPr>
            <sz val="10"/>
            <color indexed="81"/>
            <rFont val="Lucida Console"/>
            <family val="3"/>
          </rPr>
          <t>_x000D_
CHAPAS</t>
        </r>
      </text>
    </comment>
    <comment ref="AW912" authorId="0" shapeId="0" xr:uid="{94C6FFA1-1970-4B47-84AA-DE8D9B1E6D27}">
      <text>
        <r>
          <rPr>
            <sz val="10"/>
            <color indexed="81"/>
            <rFont val="Lucida Console"/>
            <family val="3"/>
          </rPr>
          <t>Tempo de Estoque (Meses)_x000D_
_x000D_
28,0</t>
        </r>
      </text>
    </comment>
    <comment ref="A913" authorId="0" shapeId="0" xr:uid="{05B43A87-046D-4F89-A86C-C0551247600D}">
      <text>
        <r>
          <rPr>
            <sz val="10"/>
            <color indexed="81"/>
            <rFont val="Lucida Console"/>
            <family val="3"/>
          </rPr>
          <t>_x000D_
100383</t>
        </r>
      </text>
    </comment>
    <comment ref="B913" authorId="0" shapeId="0" xr:uid="{3520668E-BD55-4958-9BC1-BBD380EB6DC3}">
      <text>
        <r>
          <rPr>
            <sz val="10"/>
            <color indexed="81"/>
            <rFont val="Lucida Console"/>
            <family val="3"/>
          </rPr>
          <t>DESCRIÇÃO DETALHADA_x000D_
FIO DE NYLON DE 3,0MM, QUADRADO, USO EM ROCADEIRA LATERAL STIHL FS 220 - PESO APROXIMADO: ROLO C/2 KG</t>
        </r>
      </text>
    </comment>
    <comment ref="O913" authorId="0" shapeId="0" xr:uid="{1955292C-00F7-492E-982A-3A824A05D495}">
      <text>
        <r>
          <rPr>
            <sz val="10"/>
            <color indexed="81"/>
            <rFont val="Lucida Console"/>
            <family val="3"/>
          </rPr>
          <t>_x000D_
Pertencia a ATA nº 230/18_x000D_
Estimativa de Renovação enviada em  - Qtd _x000D_
PP 195/18 lote 22 (Impróspero)_x000D_
26.11.18 = Processo finalizado. Ata 230/18.</t>
        </r>
      </text>
    </comment>
    <comment ref="W913" authorId="0" shapeId="0" xr:uid="{6C8A8ED9-583F-422A-B89F-A2B57F91A989}">
      <text>
        <r>
          <rPr>
            <sz val="10"/>
            <color indexed="81"/>
            <rFont val="Lucida Console"/>
            <family val="3"/>
          </rPr>
          <t>_x000D_
DM-Jardinagem</t>
        </r>
      </text>
    </comment>
    <comment ref="X913" authorId="0" shapeId="0" xr:uid="{F7FA4EBF-0C41-4385-A28D-483C05F4946B}">
      <text>
        <r>
          <rPr>
            <sz val="10"/>
            <color indexed="81"/>
            <rFont val="Lucida Console"/>
            <family val="3"/>
          </rPr>
          <t>_x000D_
CABOS CORRENTES CORDAS ESTICADORES E ART. BORRACHA</t>
        </r>
      </text>
    </comment>
    <comment ref="Y913" authorId="0" shapeId="0" xr:uid="{9CD34240-1B8D-4CEA-ABCC-4933F4C24698}">
      <text>
        <r>
          <rPr>
            <sz val="10"/>
            <color indexed="81"/>
            <rFont val="Lucida Console"/>
            <family val="3"/>
          </rPr>
          <t>_x000D_
FIOS</t>
        </r>
      </text>
    </comment>
    <comment ref="AW913" authorId="0" shapeId="0" xr:uid="{514D2FDD-A4C5-4326-9222-3C479485198C}">
      <text>
        <r>
          <rPr>
            <sz val="10"/>
            <color indexed="81"/>
            <rFont val="Lucida Console"/>
            <family val="3"/>
          </rPr>
          <t>Tempo de Estoque (Meses)_x000D_
_x000D_
74,0</t>
        </r>
      </text>
    </comment>
    <comment ref="A914" authorId="0" shapeId="0" xr:uid="{407AAE8A-4D83-4478-9778-719187DCB1DA}">
      <text>
        <r>
          <rPr>
            <sz val="10"/>
            <color indexed="81"/>
            <rFont val="Lucida Console"/>
            <family val="3"/>
          </rPr>
          <t>_x000D_
98360</t>
        </r>
      </text>
    </comment>
    <comment ref="B914" authorId="0" shapeId="0" xr:uid="{AF9193C8-EFEE-48D6-A4AD-A2F9169A9270}">
      <text>
        <r>
          <rPr>
            <sz val="10"/>
            <color indexed="81"/>
            <rFont val="Lucida Console"/>
            <family val="3"/>
          </rPr>
          <t>DESCRIÇÃO DETALHADA_x000D_
FITA DE BORDA EM PVC TEXTURIZADA, 35MM - ROLO COM 50 MTS</t>
        </r>
      </text>
    </comment>
    <comment ref="G914" authorId="0" shapeId="0" xr:uid="{04C2F20F-0683-4779-868F-59196E3BC7EA}">
      <text>
        <r>
          <rPr>
            <sz val="10"/>
            <color indexed="81"/>
            <rFont val="Lucida Console"/>
            <family val="3"/>
          </rPr>
          <t>_x000D_
Últ estimativa : 45_x000D_
Enviada em     : 14.08.2017_x000D_
Ata - Venc     : 267/16 - 16.11.2017</t>
        </r>
      </text>
    </comment>
    <comment ref="O914" authorId="0" shapeId="0" xr:uid="{0FD3BC7C-AEFD-4946-9E6C-C95DE3C9A58D}">
      <text>
        <r>
          <rPr>
            <sz val="10"/>
            <color indexed="81"/>
            <rFont val="Lucida Console"/>
            <family val="3"/>
          </rPr>
          <t xml:space="preserve">_x000D_
Pertencia a ATA nº 267/16_x000D_
Estimativa de Renovação enviada em 14.08.2017 - Qtd 45_x000D_
</t>
        </r>
      </text>
    </comment>
    <comment ref="W914" authorId="0" shapeId="0" xr:uid="{8710A2DB-3F10-4A7F-9548-C93A8CAF7778}">
      <text>
        <r>
          <rPr>
            <sz val="10"/>
            <color indexed="81"/>
            <rFont val="Lucida Console"/>
            <family val="3"/>
          </rPr>
          <t>_x000D_
DM-Serralheria</t>
        </r>
      </text>
    </comment>
    <comment ref="X914" authorId="0" shapeId="0" xr:uid="{F053D2E7-97E3-485B-8163-D02B6D1BD253}">
      <text>
        <r>
          <rPr>
            <sz val="10"/>
            <color indexed="81"/>
            <rFont val="Lucida Console"/>
            <family val="3"/>
          </rPr>
          <t>_x000D_
FERRAMENTAS MAQ.FERRAMENTAS,ELETR.PECAS E ACESSORI</t>
        </r>
      </text>
    </comment>
    <comment ref="Y914" authorId="0" shapeId="0" xr:uid="{0B17FCB5-6709-4138-A9B8-8EE4508C01F1}">
      <text>
        <r>
          <rPr>
            <sz val="10"/>
            <color indexed="81"/>
            <rFont val="Lucida Console"/>
            <family val="3"/>
          </rPr>
          <t>_x000D_
MATERIAIS DIVERSOS P/ OFICINA MECANICA</t>
        </r>
      </text>
    </comment>
    <comment ref="AW914" authorId="0" shapeId="0" xr:uid="{38D7E278-D5F1-4483-83BF-4073980E5EBB}">
      <text>
        <r>
          <rPr>
            <sz val="10"/>
            <color indexed="81"/>
            <rFont val="Lucida Console"/>
            <family val="3"/>
          </rPr>
          <t>Tempo de Estoque (Meses)_x000D_
_x000D_
55,0</t>
        </r>
      </text>
    </comment>
    <comment ref="A915" authorId="0" shapeId="0" xr:uid="{213303E0-4738-40E8-B3BC-6F2AC38D6809}">
      <text>
        <r>
          <rPr>
            <sz val="10"/>
            <color indexed="81"/>
            <rFont val="Lucida Console"/>
            <family val="3"/>
          </rPr>
          <t>_x000D_
132714</t>
        </r>
      </text>
    </comment>
    <comment ref="B915" authorId="0" shapeId="0" xr:uid="{1A49FE34-0FF7-45D7-8F5D-00EC16F69C14}">
      <text>
        <r>
          <rPr>
            <sz val="10"/>
            <color indexed="81"/>
            <rFont val="Lucida Console"/>
            <family val="3"/>
          </rPr>
          <t>DESCRIÇÃO DETALHADA_x000D_
CUMEEIRA ARTICULADA FIBRA SINTETICA CRFS, 1,10 X 06 MM - SUPERIOR</t>
        </r>
      </text>
    </comment>
    <comment ref="G915" authorId="0" shapeId="0" xr:uid="{CDFD84B9-1CD8-480B-80EE-BA95AC27981D}">
      <text>
        <r>
          <rPr>
            <sz val="10"/>
            <color indexed="81"/>
            <rFont val="Lucida Console"/>
            <family val="3"/>
          </rPr>
          <t>_x000D_
Últ estimativa : 0_x000D_
Enviada em     : 24.10.2019_x000D_
Ata - Venc     : 47/19 - 17.02.2020</t>
        </r>
      </text>
    </comment>
    <comment ref="O915" authorId="0" shapeId="0" xr:uid="{A8C4DC16-69DE-451F-B40D-C82BA47291D4}">
      <text>
        <r>
          <rPr>
            <sz val="10"/>
            <color indexed="81"/>
            <rFont val="Lucida Console"/>
            <family val="3"/>
          </rPr>
          <t>_x000D_
Pertencia a ATA nº 47/19_x000D_
Estimativa de Renovação enviada em 24.10.2019 - Qtd _x000D_
PE  99/20 lote 28_x000D_
03.08.20 = Finalizado</t>
        </r>
      </text>
    </comment>
    <comment ref="W915" authorId="0" shapeId="0" xr:uid="{929E2A4B-EAFF-4134-A754-022791E03693}">
      <text>
        <r>
          <rPr>
            <sz val="10"/>
            <color indexed="81"/>
            <rFont val="Lucida Console"/>
            <family val="3"/>
          </rPr>
          <t>_x000D_
DM-Construção</t>
        </r>
      </text>
    </comment>
    <comment ref="X915" authorId="0" shapeId="0" xr:uid="{7F1955B0-9EF3-471A-9837-3790913BF146}">
      <text>
        <r>
          <rPr>
            <sz val="10"/>
            <color indexed="81"/>
            <rFont val="Lucida Console"/>
            <family val="3"/>
          </rPr>
          <t>_x000D_
MAT.E EQUIP. P/ CONSTR.CIVIL E CONSERV. DE VIAS PUBL.</t>
        </r>
      </text>
    </comment>
    <comment ref="Y915" authorId="0" shapeId="0" xr:uid="{F7212003-08F3-4AE8-87CF-A8AC64A2710F}">
      <text>
        <r>
          <rPr>
            <sz val="10"/>
            <color indexed="81"/>
            <rFont val="Lucida Console"/>
            <family val="3"/>
          </rPr>
          <t>_x000D_
TELHAS. CUMEEIRAS E ELEM. DE TELH. E CHAP. DE CIM. AMIANT</t>
        </r>
      </text>
    </comment>
    <comment ref="AW915" authorId="0" shapeId="0" xr:uid="{CC3F4A42-3E2C-4381-B070-0D892F8C315E}">
      <text>
        <r>
          <rPr>
            <sz val="10"/>
            <color indexed="81"/>
            <rFont val="Lucida Console"/>
            <family val="3"/>
          </rPr>
          <t>Tempo de Estoque (Meses)_x000D_
_x000D_
153,0</t>
        </r>
      </text>
    </comment>
    <comment ref="A916" authorId="0" shapeId="0" xr:uid="{7D793A18-820F-42E6-9E46-C98D07170BE2}">
      <text>
        <r>
          <rPr>
            <sz val="10"/>
            <color indexed="81"/>
            <rFont val="Lucida Console"/>
            <family val="3"/>
          </rPr>
          <t>_x000D_
132715</t>
        </r>
      </text>
    </comment>
    <comment ref="B916" authorId="0" shapeId="0" xr:uid="{2E423A8D-5805-4949-A3E3-7B1020597ACA}">
      <text>
        <r>
          <rPr>
            <sz val="10"/>
            <color indexed="81"/>
            <rFont val="Lucida Console"/>
            <family val="3"/>
          </rPr>
          <t>DESCRIÇÃO DETALHADA_x000D_
CUMEEIRA ARTICULADA FIBRA SINTETICA CRFS, 1,10 X 06 MM - INFERIOR</t>
        </r>
      </text>
    </comment>
    <comment ref="G916" authorId="0" shapeId="0" xr:uid="{B661C9BB-AC02-4D83-B7DD-9A4063A88BA1}">
      <text>
        <r>
          <rPr>
            <sz val="10"/>
            <color indexed="81"/>
            <rFont val="Lucida Console"/>
            <family val="3"/>
          </rPr>
          <t>_x000D_
Últ estimativa : 0_x000D_
Enviada em     : 24.10.2019_x000D_
Ata - Venc     : 47/19 - 17.02.2020</t>
        </r>
      </text>
    </comment>
    <comment ref="O916" authorId="0" shapeId="0" xr:uid="{E68AA8F0-8109-42C3-B8CD-3FF56D9B2324}">
      <text>
        <r>
          <rPr>
            <sz val="10"/>
            <color indexed="81"/>
            <rFont val="Lucida Console"/>
            <family val="3"/>
          </rPr>
          <t>_x000D_
Pertencia a ATA nº 47/19_x000D_
Estimativa de Renovação enviada em 24.10.2019 - Qtd _x000D_
PE  99/20 lote 29_x000D_
03.08.20 = Finalizado</t>
        </r>
      </text>
    </comment>
    <comment ref="W916" authorId="0" shapeId="0" xr:uid="{A5D4CC6E-8A5C-4C7E-A87E-0B61A03C4178}">
      <text>
        <r>
          <rPr>
            <sz val="10"/>
            <color indexed="81"/>
            <rFont val="Lucida Console"/>
            <family val="3"/>
          </rPr>
          <t>_x000D_
DM-Construção</t>
        </r>
      </text>
    </comment>
    <comment ref="X916" authorId="0" shapeId="0" xr:uid="{36341754-916C-4758-BABD-03777D330E6A}">
      <text>
        <r>
          <rPr>
            <sz val="10"/>
            <color indexed="81"/>
            <rFont val="Lucida Console"/>
            <family val="3"/>
          </rPr>
          <t>_x000D_
MAT.E EQUIP. P/ CONSTR.CIVIL E CONSERV. DE VIAS PUBL.</t>
        </r>
      </text>
    </comment>
    <comment ref="Y916" authorId="0" shapeId="0" xr:uid="{D0FEE722-20CE-4BFD-B3BD-597686D6A1C3}">
      <text>
        <r>
          <rPr>
            <sz val="10"/>
            <color indexed="81"/>
            <rFont val="Lucida Console"/>
            <family val="3"/>
          </rPr>
          <t>_x000D_
TELHAS. CUMEEIRAS E ELEM. DE TELH. E CHAP. DE CIM. AMIANT</t>
        </r>
      </text>
    </comment>
    <comment ref="AW916" authorId="0" shapeId="0" xr:uid="{12AD99DB-2EF7-4D87-8E45-A8E34C872D1C}">
      <text>
        <r>
          <rPr>
            <sz val="10"/>
            <color indexed="81"/>
            <rFont val="Lucida Console"/>
            <family val="3"/>
          </rPr>
          <t>Tempo de Estoque (Meses)_x000D_
_x000D_
172,0</t>
        </r>
      </text>
    </comment>
    <comment ref="A917" authorId="0" shapeId="0" xr:uid="{8F3294B9-4FE6-49F4-81BB-31879A524445}">
      <text>
        <r>
          <rPr>
            <sz val="10"/>
            <color indexed="81"/>
            <rFont val="Lucida Console"/>
            <family val="3"/>
          </rPr>
          <t>_x000D_
133953</t>
        </r>
      </text>
    </comment>
    <comment ref="B917" authorId="0" shapeId="0" xr:uid="{91F341F1-D8F4-4397-8F0C-36EDAD694665}">
      <text>
        <r>
          <rPr>
            <sz val="10"/>
            <color indexed="81"/>
            <rFont val="Lucida Console"/>
            <family val="3"/>
          </rPr>
          <t>DESCRIÇÃO DETALHADA_x000D_
CANETA HIDROGRAFICA PONTA FINA/MEDIA, CONJUNTO COM 12  CORES, TINTA LAVAVEL ATOXICA.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AS INFORMACOES QUE NAO PODEM SER COMPROVADAS POR MEIO DE ANALISE FISICA DO PRODUTO, DEVERAO ESTAR DESCRITAS NA EMBALAGEM.</t>
        </r>
      </text>
    </comment>
    <comment ref="W917" authorId="0" shapeId="0" xr:uid="{3F6700D9-93C4-4950-91A2-CEEA5DF68CA3}">
      <text>
        <r>
          <rPr>
            <sz val="10"/>
            <color indexed="81"/>
            <rFont val="Lucida Console"/>
            <family val="3"/>
          </rPr>
          <t>_x000D_
Pedagógico</t>
        </r>
      </text>
    </comment>
    <comment ref="X917" authorId="0" shapeId="0" xr:uid="{FF102D84-BF47-414F-A7BE-028582302E53}">
      <text>
        <r>
          <rPr>
            <sz val="10"/>
            <color indexed="81"/>
            <rFont val="Lucida Console"/>
            <family val="3"/>
          </rPr>
          <t>_x000D_
MAQ., EQUIP., COMP., ACES., MAT. PARA ESCRIT.E ESCOLAR</t>
        </r>
      </text>
    </comment>
    <comment ref="Y917" authorId="0" shapeId="0" xr:uid="{19266207-9883-425E-A046-B8A498CC789D}">
      <text>
        <r>
          <rPr>
            <sz val="10"/>
            <color indexed="81"/>
            <rFont val="Lucida Console"/>
            <family val="3"/>
          </rPr>
          <t>_x000D_
LAPIS, BORRACHA, APONTADORES, REGUAS E CORRETIVOS P/ ESCRIT.</t>
        </r>
      </text>
    </comment>
    <comment ref="AW917" authorId="0" shapeId="0" xr:uid="{1326E3C0-2ABC-473F-B139-796EA2A7ADB7}">
      <text>
        <r>
          <rPr>
            <sz val="10"/>
            <color indexed="81"/>
            <rFont val="Lucida Console"/>
            <family val="3"/>
          </rPr>
          <t>Tempo de Estoque (Meses)_x000D_
_x000D_
32.671,0</t>
        </r>
      </text>
    </comment>
    <comment ref="A918" authorId="0" shapeId="0" xr:uid="{6033A2DF-DD4D-419E-A926-8E0D99B69F5D}">
      <text>
        <r>
          <rPr>
            <sz val="10"/>
            <color indexed="81"/>
            <rFont val="Lucida Console"/>
            <family val="3"/>
          </rPr>
          <t>_x000D_
135699</t>
        </r>
      </text>
    </comment>
    <comment ref="B918" authorId="0" shapeId="0" xr:uid="{EB1AA098-F2D9-4DCC-B93B-4DF123C66E60}">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 TRANSLUCIDO. DIMENSAO MINIMA: 60MM X 25MM X 15MM (VARIACAO +/- 2MM). PRODUTO CERTIFICADO PELO INMETRO, COM CODIGO DE BARRA NO PRODUTO.</t>
        </r>
      </text>
    </comment>
    <comment ref="W918" authorId="0" shapeId="0" xr:uid="{A249EFA5-0897-4004-A0D2-AFFA9D214399}">
      <text>
        <r>
          <rPr>
            <sz val="10"/>
            <color indexed="81"/>
            <rFont val="Lucida Console"/>
            <family val="3"/>
          </rPr>
          <t>_x000D_
Pedagógico</t>
        </r>
      </text>
    </comment>
    <comment ref="X918" authorId="0" shapeId="0" xr:uid="{4480CAF6-8D43-45E2-BA22-375B6A9BAFF8}">
      <text>
        <r>
          <rPr>
            <sz val="10"/>
            <color indexed="81"/>
            <rFont val="Lucida Console"/>
            <family val="3"/>
          </rPr>
          <t>_x000D_
MAQ., EQUIP., COMP., ACES., MAT. PARA ESCRIT.E ESCOLAR</t>
        </r>
      </text>
    </comment>
    <comment ref="Y918" authorId="0" shapeId="0" xr:uid="{99A20DCC-E047-4171-9374-02ED6D5D775F}">
      <text>
        <r>
          <rPr>
            <sz val="10"/>
            <color indexed="81"/>
            <rFont val="Lucida Console"/>
            <family val="3"/>
          </rPr>
          <t>_x000D_
LAPIS, BORRACHA, APONTADORES, REGUAS E CORRETIVOS P/ ESCRIT.</t>
        </r>
      </text>
    </comment>
    <comment ref="AW918" authorId="0" shapeId="0" xr:uid="{65F6D03F-A930-4CD6-9760-6EBDB64F425E}">
      <text>
        <r>
          <rPr>
            <sz val="10"/>
            <color indexed="81"/>
            <rFont val="Lucida Console"/>
            <family val="3"/>
          </rPr>
          <t>Tempo de Estoque (Meses)_x000D_
_x000D_
40.830,0</t>
        </r>
      </text>
    </comment>
    <comment ref="A919" authorId="0" shapeId="0" xr:uid="{2DE24025-C4EF-481C-BCCA-7BBCDF3FACE4}">
      <text>
        <r>
          <rPr>
            <sz val="10"/>
            <color indexed="81"/>
            <rFont val="Lucida Console"/>
            <family val="3"/>
          </rPr>
          <t>_x000D_
50476</t>
        </r>
      </text>
    </comment>
    <comment ref="B919" authorId="0" shapeId="0" xr:uid="{C45AECF9-DFC3-4399-8B84-4B7C5AA2AD04}">
      <text>
        <r>
          <rPr>
            <sz val="10"/>
            <color indexed="81"/>
            <rFont val="Lucida Console"/>
            <family val="3"/>
          </rPr>
          <t>DESCRIÇÃO DETALHADA_x000D_
TELHA DE BARRO COZIDO - TIPO PAULISTINHA</t>
        </r>
      </text>
    </comment>
    <comment ref="W919" authorId="0" shapeId="0" xr:uid="{5DE75037-CD2D-44EC-A03F-A22A1FA068E5}">
      <text>
        <r>
          <rPr>
            <sz val="10"/>
            <color indexed="81"/>
            <rFont val="Lucida Console"/>
            <family val="3"/>
          </rPr>
          <t>_x000D_
DM-Construção</t>
        </r>
      </text>
    </comment>
    <comment ref="X919" authorId="0" shapeId="0" xr:uid="{6396EFF5-2E3D-4C30-B554-A1F054473A4D}">
      <text>
        <r>
          <rPr>
            <sz val="10"/>
            <color indexed="81"/>
            <rFont val="Lucida Console"/>
            <family val="3"/>
          </rPr>
          <t>_x000D_
MAT.E EQUIP. P/ CONSTR.CIVIL E CONSERV. DE VIAS PUBL.</t>
        </r>
      </text>
    </comment>
    <comment ref="Y919" authorId="0" shapeId="0" xr:uid="{21B42EC2-E4D3-404F-AD4E-AB97EE003F9B}">
      <text>
        <r>
          <rPr>
            <sz val="10"/>
            <color indexed="81"/>
            <rFont val="Lucida Console"/>
            <family val="3"/>
          </rPr>
          <t>_x000D_
TELHAS. CUMEEIRAS E ELEM. DE TELH. E CHAP. DE CIM. AMIANT</t>
        </r>
      </text>
    </comment>
    <comment ref="AW919" authorId="0" shapeId="0" xr:uid="{74C561CE-4F4B-4C62-AD85-BD77A009BE11}">
      <text>
        <r>
          <rPr>
            <sz val="10"/>
            <color indexed="81"/>
            <rFont val="Lucida Console"/>
            <family val="3"/>
          </rPr>
          <t>Tempo de Estoque (Meses)_x000D_
_x000D_
571,0</t>
        </r>
      </text>
    </comment>
    <comment ref="A920" authorId="0" shapeId="0" xr:uid="{88E78CBC-0A29-4E57-853C-2E4C6A8A292D}">
      <text>
        <r>
          <rPr>
            <sz val="10"/>
            <color indexed="81"/>
            <rFont val="Lucida Console"/>
            <family val="3"/>
          </rPr>
          <t>_x000D_
65609</t>
        </r>
      </text>
    </comment>
    <comment ref="B920" authorId="0" shapeId="0" xr:uid="{B62403E6-3C3F-40D5-BAF7-280BC36887A6}">
      <text>
        <r>
          <rPr>
            <sz val="10"/>
            <color indexed="81"/>
            <rFont val="Lucida Console"/>
            <family val="3"/>
          </rPr>
          <t>DESCRIÇÃO DETALHADA_x000D_
CUMEEIRA ARTICULADA PARA TELHA KALHETAO 90 - INFERIOR</t>
        </r>
      </text>
    </comment>
    <comment ref="W920" authorId="0" shapeId="0" xr:uid="{3745B5AD-612A-4BE4-A00D-F523369E6EA0}">
      <text>
        <r>
          <rPr>
            <sz val="10"/>
            <color indexed="81"/>
            <rFont val="Lucida Console"/>
            <family val="3"/>
          </rPr>
          <t>_x000D_
DM-Construção</t>
        </r>
      </text>
    </comment>
    <comment ref="X920" authorId="0" shapeId="0" xr:uid="{E0B3A423-E721-4659-9650-0114ED5090F9}">
      <text>
        <r>
          <rPr>
            <sz val="10"/>
            <color indexed="81"/>
            <rFont val="Lucida Console"/>
            <family val="3"/>
          </rPr>
          <t>_x000D_
MAT.E EQUIP. P/ CONSTR.CIVIL E CONSERV. DE VIAS PUBL.</t>
        </r>
      </text>
    </comment>
    <comment ref="Y920" authorId="0" shapeId="0" xr:uid="{85CD9E78-461F-42A2-AD23-1F9ABDB19454}">
      <text>
        <r>
          <rPr>
            <sz val="10"/>
            <color indexed="81"/>
            <rFont val="Lucida Console"/>
            <family val="3"/>
          </rPr>
          <t>_x000D_
TELHAS. CUMEEIRAS E ELEM. DE TELH. E CHAP. DE CIM. AMIANT</t>
        </r>
      </text>
    </comment>
    <comment ref="AW920" authorId="0" shapeId="0" xr:uid="{9FDAE36D-9E49-4918-86E7-94F82F1AA75F}">
      <text>
        <r>
          <rPr>
            <sz val="10"/>
            <color indexed="81"/>
            <rFont val="Lucida Console"/>
            <family val="3"/>
          </rPr>
          <t>Tempo de Estoque (Meses)_x000D_
_x000D_
3,0</t>
        </r>
      </text>
    </comment>
    <comment ref="A921" authorId="0" shapeId="0" xr:uid="{0C65FA0B-78CE-4A15-82DC-5E14C64AD039}">
      <text>
        <r>
          <rPr>
            <sz val="10"/>
            <color indexed="81"/>
            <rFont val="Lucida Console"/>
            <family val="3"/>
          </rPr>
          <t>_x000D_
65610</t>
        </r>
      </text>
    </comment>
    <comment ref="B921" authorId="0" shapeId="0" xr:uid="{35293B50-A0B4-43E5-BEF2-C855DAED8774}">
      <text>
        <r>
          <rPr>
            <sz val="10"/>
            <color indexed="81"/>
            <rFont val="Lucida Console"/>
            <family val="3"/>
          </rPr>
          <t>DESCRIÇÃO DETALHADA_x000D_
CUMEEIRA ARTICULADA PARA TELHA CALHETAO 90 - SUPERIOR</t>
        </r>
      </text>
    </comment>
    <comment ref="W921" authorId="0" shapeId="0" xr:uid="{E39A50A3-02DA-48E2-96D2-D0CE740FAB30}">
      <text>
        <r>
          <rPr>
            <sz val="10"/>
            <color indexed="81"/>
            <rFont val="Lucida Console"/>
            <family val="3"/>
          </rPr>
          <t>_x000D_
DM-Construção</t>
        </r>
      </text>
    </comment>
    <comment ref="X921" authorId="0" shapeId="0" xr:uid="{950DB943-AA86-42EA-93AB-8F8412C0EBE5}">
      <text>
        <r>
          <rPr>
            <sz val="10"/>
            <color indexed="81"/>
            <rFont val="Lucida Console"/>
            <family val="3"/>
          </rPr>
          <t>_x000D_
MAT.E EQUIP. P/ CONSTR.CIVIL E CONSERV. DE VIAS PUBL.</t>
        </r>
      </text>
    </comment>
    <comment ref="Y921" authorId="0" shapeId="0" xr:uid="{B02BD873-99C6-41EA-8B34-E7DCAE4C55ED}">
      <text>
        <r>
          <rPr>
            <sz val="10"/>
            <color indexed="81"/>
            <rFont val="Lucida Console"/>
            <family val="3"/>
          </rPr>
          <t>_x000D_
TELHAS. CUMEEIRAS E ELEM. DE TELH. E CHAP. DE CIM. AMIANT</t>
        </r>
      </text>
    </comment>
    <comment ref="AW921" authorId="0" shapeId="0" xr:uid="{E19CC2A7-4D20-43CB-BC97-E7D1B2D8957F}">
      <text>
        <r>
          <rPr>
            <sz val="10"/>
            <color indexed="81"/>
            <rFont val="Lucida Console"/>
            <family val="3"/>
          </rPr>
          <t>Tempo de Estoque (Meses)_x000D_
_x000D_
15,0</t>
        </r>
      </text>
    </comment>
    <comment ref="A922" authorId="0" shapeId="0" xr:uid="{8AE7D74C-1EE7-41F3-9EA2-37EE874EC09F}">
      <text>
        <r>
          <rPr>
            <sz val="10"/>
            <color indexed="81"/>
            <rFont val="Lucida Console"/>
            <family val="3"/>
          </rPr>
          <t>_x000D_
115135</t>
        </r>
      </text>
    </comment>
    <comment ref="B922" authorId="0" shapeId="0" xr:uid="{11BC16EA-96E4-4AEC-B9A7-1B2A465EBCF5}">
      <text>
        <r>
          <rPr>
            <sz val="10"/>
            <color indexed="81"/>
            <rFont val="Lucida Console"/>
            <family val="3"/>
          </rPr>
          <t xml:space="preserve">DESCRIÇÃO DETALHADA_x000D_
CUMEEIRA DE FIBROCIMENTO ONDA DA MEDIDA 0,50 CM X 15° </t>
        </r>
      </text>
    </comment>
    <comment ref="W922" authorId="0" shapeId="0" xr:uid="{F38448CE-EE46-4A9F-8584-E8A30AF65F49}">
      <text>
        <r>
          <rPr>
            <sz val="10"/>
            <color indexed="81"/>
            <rFont val="Lucida Console"/>
            <family val="3"/>
          </rPr>
          <t>_x000D_
DM-Construção</t>
        </r>
      </text>
    </comment>
    <comment ref="X922" authorId="0" shapeId="0" xr:uid="{651E2B7D-9E73-4CB2-8A1D-6121625021BF}">
      <text>
        <r>
          <rPr>
            <sz val="10"/>
            <color indexed="81"/>
            <rFont val="Lucida Console"/>
            <family val="3"/>
          </rPr>
          <t>_x000D_
MAT.E EQUIP. P/ CONSTR.CIVIL E CONSERV. DE VIAS PUBL.</t>
        </r>
      </text>
    </comment>
    <comment ref="Y922" authorId="0" shapeId="0" xr:uid="{572A8E79-45B0-4211-9F0D-96A0B7DC0010}">
      <text>
        <r>
          <rPr>
            <sz val="10"/>
            <color indexed="81"/>
            <rFont val="Lucida Console"/>
            <family val="3"/>
          </rPr>
          <t>_x000D_
TELHAS. CUMEEIRAS E ELEM. DE TELH. E CHAP. DE CIM. AMIANT</t>
        </r>
      </text>
    </comment>
    <comment ref="AW922" authorId="0" shapeId="0" xr:uid="{12E4D12E-5EF6-4E1B-BCFC-97F10DB876FE}">
      <text>
        <r>
          <rPr>
            <sz val="10"/>
            <color indexed="81"/>
            <rFont val="Lucida Console"/>
            <family val="3"/>
          </rPr>
          <t>Tempo de Estoque (Meses)_x000D_
_x000D_
177,0</t>
        </r>
      </text>
    </comment>
    <comment ref="A923" authorId="0" shapeId="0" xr:uid="{7856149A-E28E-4531-87D0-109DD82B9B07}">
      <text>
        <r>
          <rPr>
            <sz val="10"/>
            <color indexed="81"/>
            <rFont val="Lucida Console"/>
            <family val="3"/>
          </rPr>
          <t>_x000D_
133042</t>
        </r>
      </text>
    </comment>
    <comment ref="B923" authorId="0" shapeId="0" xr:uid="{1BBA12EF-2F12-4B93-AECE-0AC4E4C6E3E4}">
      <text>
        <r>
          <rPr>
            <sz val="10"/>
            <color indexed="81"/>
            <rFont val="Lucida Console"/>
            <family val="3"/>
          </rPr>
          <t xml:space="preserve">DESCRIÇÃO DETALHADA_x000D_
TELHA TRAPEZOIDAL 5000MM COMPRIMENTO X 1056MM LARGURA X 38 MM ALTURA COM LARGURA UTIL DE 990 MM, DE ALUMINIO  MODELO L38 - </t>
        </r>
      </text>
    </comment>
    <comment ref="W923" authorId="0" shapeId="0" xr:uid="{FEC0D3CA-E057-4CAA-AE99-415C5E467A72}">
      <text>
        <r>
          <rPr>
            <sz val="10"/>
            <color indexed="81"/>
            <rFont val="Lucida Console"/>
            <family val="3"/>
          </rPr>
          <t>_x000D_
DM-Construção</t>
        </r>
      </text>
    </comment>
    <comment ref="X923" authorId="0" shapeId="0" xr:uid="{190D19F7-CC0D-432A-917E-4181370D63CB}">
      <text>
        <r>
          <rPr>
            <sz val="10"/>
            <color indexed="81"/>
            <rFont val="Lucida Console"/>
            <family val="3"/>
          </rPr>
          <t>_x000D_
MAT.E EQUIP. P/ CONSTR.CIVIL E CONSERV. DE VIAS PUBL.</t>
        </r>
      </text>
    </comment>
    <comment ref="Y923" authorId="0" shapeId="0" xr:uid="{BE793A26-668E-443C-B0EE-F2B157B4A2C2}">
      <text>
        <r>
          <rPr>
            <sz val="10"/>
            <color indexed="81"/>
            <rFont val="Lucida Console"/>
            <family val="3"/>
          </rPr>
          <t>_x000D_
TELHAS. CUMEEIRAS E ELEM. DE TELH. E CHAP. DE CIM. AMIANT</t>
        </r>
      </text>
    </comment>
    <comment ref="AW923" authorId="0" shapeId="0" xr:uid="{0034B36E-8354-48AF-BEE6-1F66ADC3AA87}">
      <text>
        <r>
          <rPr>
            <sz val="10"/>
            <color indexed="81"/>
            <rFont val="Lucida Console"/>
            <family val="3"/>
          </rPr>
          <t>Tempo de Estoque (Meses)_x000D_
_x000D_
50,0</t>
        </r>
      </text>
    </comment>
    <comment ref="A924" authorId="0" shapeId="0" xr:uid="{148211C7-9EFF-4A43-851E-2A4BBC59CFAB}">
      <text>
        <r>
          <rPr>
            <sz val="10"/>
            <color indexed="81"/>
            <rFont val="Lucida Console"/>
            <family val="3"/>
          </rPr>
          <t>_x000D_
133043</t>
        </r>
      </text>
    </comment>
    <comment ref="B924" authorId="0" shapeId="0" xr:uid="{D00D91CE-42B3-46F9-AD54-74A01075A74F}">
      <text>
        <r>
          <rPr>
            <sz val="10"/>
            <color indexed="81"/>
            <rFont val="Lucida Console"/>
            <family val="3"/>
          </rPr>
          <t>DESCRIÇÃO DETALHADA_x000D_
CUMEEIRA PARA TELHA TRAPEZOIDAL, MODELO L38  -  MEDINDO 30° DE INCLINACAO E 1056 MM DE LARGURA, DE ALUMINIO.</t>
        </r>
      </text>
    </comment>
    <comment ref="W924" authorId="0" shapeId="0" xr:uid="{01272C90-9074-4716-ABBA-DF88292537E3}">
      <text>
        <r>
          <rPr>
            <sz val="10"/>
            <color indexed="81"/>
            <rFont val="Lucida Console"/>
            <family val="3"/>
          </rPr>
          <t>_x000D_
DM-Construção</t>
        </r>
      </text>
    </comment>
    <comment ref="X924" authorId="0" shapeId="0" xr:uid="{0C4D35B5-3135-453E-9EF7-68F7849E30F0}">
      <text>
        <r>
          <rPr>
            <sz val="10"/>
            <color indexed="81"/>
            <rFont val="Lucida Console"/>
            <family val="3"/>
          </rPr>
          <t>_x000D_
MAT.E EQUIP. P/ CONSTR.CIVIL E CONSERV. DE VIAS PUBL.</t>
        </r>
      </text>
    </comment>
    <comment ref="Y924" authorId="0" shapeId="0" xr:uid="{80447ED9-757A-4F63-A729-8ED2A0785D35}">
      <text>
        <r>
          <rPr>
            <sz val="10"/>
            <color indexed="81"/>
            <rFont val="Lucida Console"/>
            <family val="3"/>
          </rPr>
          <t>_x000D_
TELHAS. CUMEEIRAS E ELEM. DE TELH. E CHAP. DE CIM. AMIANT</t>
        </r>
      </text>
    </comment>
    <comment ref="AW924" authorId="0" shapeId="0" xr:uid="{5CE27AC5-1315-4FA3-8F4E-A84443591D78}">
      <text>
        <r>
          <rPr>
            <sz val="10"/>
            <color indexed="81"/>
            <rFont val="Lucida Console"/>
            <family val="3"/>
          </rPr>
          <t>Tempo de Estoque (Meses)_x000D_
_x000D_
25,0</t>
        </r>
      </text>
    </comment>
    <comment ref="A925" authorId="0" shapeId="0" xr:uid="{5D3C0B15-079D-4A62-BCB8-80320919C6A0}">
      <text>
        <r>
          <rPr>
            <sz val="10"/>
            <color indexed="81"/>
            <rFont val="Lucida Console"/>
            <family val="3"/>
          </rPr>
          <t>_x000D_
87157</t>
        </r>
      </text>
    </comment>
    <comment ref="B925" authorId="0" shapeId="0" xr:uid="{A17E591C-E930-4C85-A29B-C47BF9C40900}">
      <text>
        <r>
          <rPr>
            <sz val="10"/>
            <color indexed="81"/>
            <rFont val="Lucida Console"/>
            <family val="3"/>
          </rPr>
          <t>DESCRIÇÃO DETALHADA_x000D_
PASTILHA CERAMICA TELADA, 10 X 10 CM, COR VERDE</t>
        </r>
      </text>
    </comment>
    <comment ref="W925" authorId="0" shapeId="0" xr:uid="{51BCB34A-5239-4D98-9774-1D216D224C0C}">
      <text>
        <r>
          <rPr>
            <sz val="10"/>
            <color indexed="81"/>
            <rFont val="Lucida Console"/>
            <family val="3"/>
          </rPr>
          <t>_x000D_
DM-Construção</t>
        </r>
      </text>
    </comment>
    <comment ref="X925" authorId="0" shapeId="0" xr:uid="{C43999D3-355D-4714-A174-4160DF1F2638}">
      <text>
        <r>
          <rPr>
            <sz val="10"/>
            <color indexed="81"/>
            <rFont val="Lucida Console"/>
            <family val="3"/>
          </rPr>
          <t>_x000D_
MAT.E EQUIP. P/ CONSTR.CIVIL E CONSERV. DE VIAS PUBL.</t>
        </r>
      </text>
    </comment>
    <comment ref="Y925" authorId="0" shapeId="0" xr:uid="{589B80A4-072D-4EB8-B0D7-A24712D46FFC}">
      <text>
        <r>
          <rPr>
            <sz val="10"/>
            <color indexed="81"/>
            <rFont val="Lucida Console"/>
            <family val="3"/>
          </rPr>
          <t>_x000D_
AZULEJOS E PASTILHAS</t>
        </r>
      </text>
    </comment>
    <comment ref="AW925" authorId="0" shapeId="0" xr:uid="{868FC83E-EC55-459A-AB87-7E682DBC2D3E}">
      <text>
        <r>
          <rPr>
            <sz val="10"/>
            <color indexed="81"/>
            <rFont val="Lucida Console"/>
            <family val="3"/>
          </rPr>
          <t>Tempo de Estoque (Meses)_x000D_
_x000D_
329,5</t>
        </r>
      </text>
    </comment>
    <comment ref="A926" authorId="0" shapeId="0" xr:uid="{E76EFD00-5666-46A0-A62B-F6D9EB4702F2}">
      <text>
        <r>
          <rPr>
            <sz val="10"/>
            <color indexed="81"/>
            <rFont val="Lucida Console"/>
            <family val="3"/>
          </rPr>
          <t>_x000D_
136820</t>
        </r>
      </text>
    </comment>
    <comment ref="B926" authorId="0" shapeId="0" xr:uid="{6F68EBEF-D41A-4B8E-A372-70DFF360B996}">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926" authorId="0" shapeId="0" xr:uid="{3B997D09-AF22-4D24-8C67-240EB335D467}">
      <text>
        <r>
          <rPr>
            <sz val="10"/>
            <color indexed="81"/>
            <rFont val="Lucida Console"/>
            <family val="3"/>
          </rPr>
          <t>_x000D_
SegMedTra</t>
        </r>
      </text>
    </comment>
    <comment ref="X926" authorId="0" shapeId="0" xr:uid="{D0E09990-7079-4F3A-B40E-EB132DAB262E}">
      <text>
        <r>
          <rPr>
            <sz val="10"/>
            <color indexed="81"/>
            <rFont val="Lucida Console"/>
            <family val="3"/>
          </rPr>
          <t>_x000D_
EQUIP PROT IND, INST MAT P/ SINAL, CONTR, COMB ...</t>
        </r>
      </text>
    </comment>
    <comment ref="Y926" authorId="0" shapeId="0" xr:uid="{A9A752BF-B372-46FD-82BE-1C22C0E8D7A9}">
      <text>
        <r>
          <rPr>
            <sz val="10"/>
            <color indexed="81"/>
            <rFont val="Lucida Console"/>
            <family val="3"/>
          </rPr>
          <t>_x000D_
CALCADOS, LUVAS, OCULOS, MASCARAS, CAPACETES, CASSETETE</t>
        </r>
      </text>
    </comment>
    <comment ref="AW926" authorId="0" shapeId="0" xr:uid="{4CF86901-CE34-43CC-A55B-1739E0A90C29}">
      <text>
        <r>
          <rPr>
            <sz val="10"/>
            <color indexed="81"/>
            <rFont val="Lucida Console"/>
            <family val="3"/>
          </rPr>
          <t>Tempo de Estoque (Meses)_x000D_
_x000D_
12,0</t>
        </r>
      </text>
    </comment>
    <comment ref="A927" authorId="0" shapeId="0" xr:uid="{5A6D7E8C-B90E-4285-9199-F9A604395F43}">
      <text>
        <r>
          <rPr>
            <sz val="10"/>
            <color indexed="81"/>
            <rFont val="Lucida Console"/>
            <family val="3"/>
          </rPr>
          <t>_x000D_
136821</t>
        </r>
      </text>
    </comment>
    <comment ref="B927" authorId="0" shapeId="0" xr:uid="{6A84AD59-E8AB-46ED-931F-6650211FA0A8}">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927" authorId="0" shapeId="0" xr:uid="{7351E8B4-F78B-4224-8724-A83908B7B92A}">
      <text>
        <r>
          <rPr>
            <sz val="10"/>
            <color indexed="81"/>
            <rFont val="Lucida Console"/>
            <family val="3"/>
          </rPr>
          <t>_x000D_
SegMedTra</t>
        </r>
      </text>
    </comment>
    <comment ref="X927" authorId="0" shapeId="0" xr:uid="{3BD5A3B1-B898-4626-8CCE-4BBEF0FAD0E4}">
      <text>
        <r>
          <rPr>
            <sz val="10"/>
            <color indexed="81"/>
            <rFont val="Lucida Console"/>
            <family val="3"/>
          </rPr>
          <t>_x000D_
EQUIP PROT IND, INST MAT P/ SINAL, CONTR, COMB ...</t>
        </r>
      </text>
    </comment>
    <comment ref="Y927" authorId="0" shapeId="0" xr:uid="{93E9EB75-2175-4A90-BD68-1720C5C2CAC8}">
      <text>
        <r>
          <rPr>
            <sz val="10"/>
            <color indexed="81"/>
            <rFont val="Lucida Console"/>
            <family val="3"/>
          </rPr>
          <t>_x000D_
CALCADOS, LUVAS, OCULOS, MASCARAS, CAPACETES, CASSETETE</t>
        </r>
      </text>
    </comment>
    <comment ref="AW927" authorId="0" shapeId="0" xr:uid="{8D6EC262-7A72-463D-A1D9-66E9D50E4AB8}">
      <text>
        <r>
          <rPr>
            <sz val="10"/>
            <color indexed="81"/>
            <rFont val="Lucida Console"/>
            <family val="3"/>
          </rPr>
          <t>Tempo de Estoque (Meses)_x000D_
_x000D_
5,0</t>
        </r>
      </text>
    </comment>
    <comment ref="A928" authorId="0" shapeId="0" xr:uid="{D571713C-DBC2-42AD-89B4-88902B11DC15}">
      <text>
        <r>
          <rPr>
            <sz val="10"/>
            <color indexed="81"/>
            <rFont val="Lucida Console"/>
            <family val="3"/>
          </rPr>
          <t>_x000D_
136822</t>
        </r>
      </text>
    </comment>
    <comment ref="B928" authorId="0" shapeId="0" xr:uid="{D2E9302B-4EFE-4AB2-AB33-F9C6B52D5366}">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928" authorId="0" shapeId="0" xr:uid="{AA8F82BD-ED2E-443D-B089-7D8C67046BF0}">
      <text>
        <r>
          <rPr>
            <sz val="10"/>
            <color indexed="81"/>
            <rFont val="Lucida Console"/>
            <family val="3"/>
          </rPr>
          <t>_x000D_
SegMedTra</t>
        </r>
      </text>
    </comment>
    <comment ref="X928" authorId="0" shapeId="0" xr:uid="{F499E003-631D-41FC-AECD-5DA7A39EDAFA}">
      <text>
        <r>
          <rPr>
            <sz val="10"/>
            <color indexed="81"/>
            <rFont val="Lucida Console"/>
            <family val="3"/>
          </rPr>
          <t>_x000D_
EQUIP PROT IND, INST MAT P/ SINAL, CONTR, COMB ...</t>
        </r>
      </text>
    </comment>
    <comment ref="Y928" authorId="0" shapeId="0" xr:uid="{A6A0EB8D-82D3-46A8-9ACC-982C9E6F94EA}">
      <text>
        <r>
          <rPr>
            <sz val="10"/>
            <color indexed="81"/>
            <rFont val="Lucida Console"/>
            <family val="3"/>
          </rPr>
          <t>_x000D_
CALCADOS, LUVAS, OCULOS, MASCARAS, CAPACETES, CASSETETE</t>
        </r>
      </text>
    </comment>
    <comment ref="AW928" authorId="0" shapeId="0" xr:uid="{0B9732BD-7D3A-4CF8-975D-73614124ADD9}">
      <text>
        <r>
          <rPr>
            <sz val="10"/>
            <color indexed="81"/>
            <rFont val="Lucida Console"/>
            <family val="3"/>
          </rPr>
          <t>Tempo de Estoque (Meses)_x000D_
_x000D_
77,0</t>
        </r>
      </text>
    </comment>
    <comment ref="A929" authorId="0" shapeId="0" xr:uid="{F01583A6-606B-4116-B7C0-7804617ED016}">
      <text>
        <r>
          <rPr>
            <sz val="10"/>
            <color indexed="81"/>
            <rFont val="Lucida Console"/>
            <family val="3"/>
          </rPr>
          <t>_x000D_
136837</t>
        </r>
      </text>
    </comment>
    <comment ref="B929" authorId="0" shapeId="0" xr:uid="{1A20DE93-1078-415D-83E5-E55EE2189A8B}">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929" authorId="0" shapeId="0" xr:uid="{84CA480B-2850-4802-98E3-FC8B72A9DFDF}">
      <text>
        <r>
          <rPr>
            <sz val="10"/>
            <color indexed="81"/>
            <rFont val="Lucida Console"/>
            <family val="3"/>
          </rPr>
          <t>_x000D_
SegMedTra</t>
        </r>
      </text>
    </comment>
    <comment ref="X929" authorId="0" shapeId="0" xr:uid="{A41C41E4-116A-4793-940D-410A3DEA6B8D}">
      <text>
        <r>
          <rPr>
            <sz val="10"/>
            <color indexed="81"/>
            <rFont val="Lucida Console"/>
            <family val="3"/>
          </rPr>
          <t>_x000D_
EQUIP PROT IND, INST MAT P/ SINAL, CONTR, COMB ...</t>
        </r>
      </text>
    </comment>
    <comment ref="Y929" authorId="0" shapeId="0" xr:uid="{AC35A20E-3AF5-4015-8FB2-A3EC1BF6DBF5}">
      <text>
        <r>
          <rPr>
            <sz val="10"/>
            <color indexed="81"/>
            <rFont val="Lucida Console"/>
            <family val="3"/>
          </rPr>
          <t>_x000D_
CALCADOS, LUVAS, OCULOS, MASCARAS, CAPACETES, CASSETETE</t>
        </r>
      </text>
    </comment>
    <comment ref="AW929" authorId="0" shapeId="0" xr:uid="{A99926D7-C99E-4A03-B134-07321CBF1FB8}">
      <text>
        <r>
          <rPr>
            <sz val="10"/>
            <color indexed="81"/>
            <rFont val="Lucida Console"/>
            <family val="3"/>
          </rPr>
          <t>Tempo de Estoque (Meses)_x000D_
_x000D_
3,0</t>
        </r>
      </text>
    </comment>
    <comment ref="A930" authorId="0" shapeId="0" xr:uid="{0322E7B3-DB3F-4887-9C61-00057C79F6EE}">
      <text>
        <r>
          <rPr>
            <sz val="10"/>
            <color indexed="81"/>
            <rFont val="Lucida Console"/>
            <family val="3"/>
          </rPr>
          <t>_x000D_
136838</t>
        </r>
      </text>
    </comment>
    <comment ref="B930" authorId="0" shapeId="0" xr:uid="{B4A398D3-5693-49B8-84C5-B1AABA22BFF6}">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930" authorId="0" shapeId="0" xr:uid="{7DDB33C1-9B21-4874-8738-C1ACE071EC85}">
      <text>
        <r>
          <rPr>
            <sz val="10"/>
            <color indexed="81"/>
            <rFont val="Lucida Console"/>
            <family val="3"/>
          </rPr>
          <t>_x000D_
SegMedTra</t>
        </r>
      </text>
    </comment>
    <comment ref="X930" authorId="0" shapeId="0" xr:uid="{95BAA353-0C89-42B9-A3B5-59F9CD8CB3A3}">
      <text>
        <r>
          <rPr>
            <sz val="10"/>
            <color indexed="81"/>
            <rFont val="Lucida Console"/>
            <family val="3"/>
          </rPr>
          <t>_x000D_
EQUIP PROT IND, INST MAT P/ SINAL, CONTR, COMB ...</t>
        </r>
      </text>
    </comment>
    <comment ref="Y930" authorId="0" shapeId="0" xr:uid="{F1F56E2A-756A-465A-B7BC-19C52E75D3C2}">
      <text>
        <r>
          <rPr>
            <sz val="10"/>
            <color indexed="81"/>
            <rFont val="Lucida Console"/>
            <family val="3"/>
          </rPr>
          <t>_x000D_
CALCADOS, LUVAS, OCULOS, MASCARAS, CAPACETES, CASSETETE</t>
        </r>
      </text>
    </comment>
    <comment ref="AW930" authorId="0" shapeId="0" xr:uid="{27ECB6C4-2A9F-4056-849C-0D4BE4048F61}">
      <text>
        <r>
          <rPr>
            <sz val="10"/>
            <color indexed="81"/>
            <rFont val="Lucida Console"/>
            <family val="3"/>
          </rPr>
          <t>Tempo de Estoque (Meses)_x000D_
_x000D_
4,0</t>
        </r>
      </text>
    </comment>
    <comment ref="A931" authorId="0" shapeId="0" xr:uid="{B1B5D6E2-5BA5-41FD-B169-DAD7A466286F}">
      <text>
        <r>
          <rPr>
            <sz val="10"/>
            <color indexed="81"/>
            <rFont val="Lucida Console"/>
            <family val="3"/>
          </rPr>
          <t>_x000D_
136839</t>
        </r>
      </text>
    </comment>
    <comment ref="B931" authorId="0" shapeId="0" xr:uid="{3D5350FE-2795-46A0-BD59-71E96AE134E8}">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931" authorId="0" shapeId="0" xr:uid="{36EA2C28-467D-4037-8CDE-7CC96FEF4645}">
      <text>
        <r>
          <rPr>
            <sz val="10"/>
            <color indexed="81"/>
            <rFont val="Lucida Console"/>
            <family val="3"/>
          </rPr>
          <t>_x000D_
SegMedTra</t>
        </r>
      </text>
    </comment>
    <comment ref="X931" authorId="0" shapeId="0" xr:uid="{C6553E5B-5ED0-4FA4-8377-241988C2C127}">
      <text>
        <r>
          <rPr>
            <sz val="10"/>
            <color indexed="81"/>
            <rFont val="Lucida Console"/>
            <family val="3"/>
          </rPr>
          <t>_x000D_
EQUIP PROT IND, INST MAT P/ SINAL, CONTR, COMB ...</t>
        </r>
      </text>
    </comment>
    <comment ref="Y931" authorId="0" shapeId="0" xr:uid="{B8883483-C3F9-4CE3-A22D-6A96480654E5}">
      <text>
        <r>
          <rPr>
            <sz val="10"/>
            <color indexed="81"/>
            <rFont val="Lucida Console"/>
            <family val="3"/>
          </rPr>
          <t>_x000D_
CALCADOS, LUVAS, OCULOS, MASCARAS, CAPACETES, CASSETETE</t>
        </r>
      </text>
    </comment>
    <comment ref="AW931" authorId="0" shapeId="0" xr:uid="{4D99A778-CB76-4DD7-A05F-7CB84F1C09D2}">
      <text>
        <r>
          <rPr>
            <sz val="10"/>
            <color indexed="81"/>
            <rFont val="Lucida Console"/>
            <family val="3"/>
          </rPr>
          <t>Tempo de Estoque (Meses)_x000D_
_x000D_
16,0</t>
        </r>
      </text>
    </comment>
    <comment ref="A932" authorId="0" shapeId="0" xr:uid="{F0374623-3B66-4F68-B9E4-F10BC6A44C16}">
      <text>
        <r>
          <rPr>
            <sz val="10"/>
            <color indexed="81"/>
            <rFont val="Lucida Console"/>
            <family val="3"/>
          </rPr>
          <t>_x000D_
136840</t>
        </r>
      </text>
    </comment>
    <comment ref="B932" authorId="0" shapeId="0" xr:uid="{56FBC571-1AEF-45B2-A350-E02D8CB07750}">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932" authorId="0" shapeId="0" xr:uid="{54BD60BB-73FE-493C-9C83-3FB48F593245}">
      <text>
        <r>
          <rPr>
            <sz val="10"/>
            <color indexed="81"/>
            <rFont val="Lucida Console"/>
            <family val="3"/>
          </rPr>
          <t>_x000D_
SegMedTra</t>
        </r>
      </text>
    </comment>
    <comment ref="X932" authorId="0" shapeId="0" xr:uid="{F020281F-2E82-4456-A82D-702FF45CDF3D}">
      <text>
        <r>
          <rPr>
            <sz val="10"/>
            <color indexed="81"/>
            <rFont val="Lucida Console"/>
            <family val="3"/>
          </rPr>
          <t>_x000D_
EQUIP PROT IND, INST MAT P/ SINAL, CONTR, COMB ...</t>
        </r>
      </text>
    </comment>
    <comment ref="Y932" authorId="0" shapeId="0" xr:uid="{B2F793F6-9450-4095-9D98-A22980269C44}">
      <text>
        <r>
          <rPr>
            <sz val="10"/>
            <color indexed="81"/>
            <rFont val="Lucida Console"/>
            <family val="3"/>
          </rPr>
          <t>_x000D_
CALCADOS, LUVAS, OCULOS, MASCARAS, CAPACETES, CASSETETE</t>
        </r>
      </text>
    </comment>
    <comment ref="AW932" authorId="0" shapeId="0" xr:uid="{C8B2FCAB-94BC-471B-9370-2BA039C79386}">
      <text>
        <r>
          <rPr>
            <sz val="10"/>
            <color indexed="81"/>
            <rFont val="Lucida Console"/>
            <family val="3"/>
          </rPr>
          <t>Tempo de Estoque (Meses)_x000D_
_x000D_
0,0</t>
        </r>
      </text>
    </comment>
    <comment ref="A933" authorId="0" shapeId="0" xr:uid="{4B866D0D-2330-45BC-97BE-C7C07881B93D}">
      <text>
        <r>
          <rPr>
            <sz val="10"/>
            <color indexed="81"/>
            <rFont val="Lucida Console"/>
            <family val="3"/>
          </rPr>
          <t>_x000D_
136841</t>
        </r>
      </text>
    </comment>
    <comment ref="B933" authorId="0" shapeId="0" xr:uid="{74C34048-4DA5-4E5B-A986-04C62238C3AC}">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933" authorId="0" shapeId="0" xr:uid="{D90D399F-69EE-4A59-8301-CD61C9B615FF}">
      <text>
        <r>
          <rPr>
            <sz val="10"/>
            <color indexed="81"/>
            <rFont val="Lucida Console"/>
            <family val="3"/>
          </rPr>
          <t>_x000D_
SegMedTra</t>
        </r>
      </text>
    </comment>
    <comment ref="X933" authorId="0" shapeId="0" xr:uid="{BA97D91E-AD94-42CA-B5B3-27BECEC98F61}">
      <text>
        <r>
          <rPr>
            <sz val="10"/>
            <color indexed="81"/>
            <rFont val="Lucida Console"/>
            <family val="3"/>
          </rPr>
          <t>_x000D_
EQUIP PROT IND, INST MAT P/ SINAL, CONTR, COMB ...</t>
        </r>
      </text>
    </comment>
    <comment ref="Y933" authorId="0" shapeId="0" xr:uid="{0DB207D2-066B-42CE-8893-BF3364B920BC}">
      <text>
        <r>
          <rPr>
            <sz val="10"/>
            <color indexed="81"/>
            <rFont val="Lucida Console"/>
            <family val="3"/>
          </rPr>
          <t>_x000D_
CALCADOS, LUVAS, OCULOS, MASCARAS, CAPACETES, CASSETETE</t>
        </r>
      </text>
    </comment>
    <comment ref="AW933" authorId="0" shapeId="0" xr:uid="{74A56E4B-B4D0-4D90-BEEE-570CF74B2F57}">
      <text>
        <r>
          <rPr>
            <sz val="10"/>
            <color indexed="81"/>
            <rFont val="Lucida Console"/>
            <family val="3"/>
          </rPr>
          <t>Tempo de Estoque (Meses)_x000D_
_x000D_
0,0</t>
        </r>
      </text>
    </comment>
    <comment ref="A934" authorId="0" shapeId="0" xr:uid="{797A99F1-583A-4644-B6BD-4B085F5B9599}">
      <text>
        <r>
          <rPr>
            <sz val="10"/>
            <color indexed="81"/>
            <rFont val="Lucida Console"/>
            <family val="3"/>
          </rPr>
          <t>_x000D_
136842</t>
        </r>
      </text>
    </comment>
    <comment ref="B934" authorId="0" shapeId="0" xr:uid="{F3DD10C7-AA0A-43DC-A145-12F9FDB31252}">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934" authorId="0" shapeId="0" xr:uid="{2D012325-4F46-4432-B69E-98FA9CF2C531}">
      <text>
        <r>
          <rPr>
            <sz val="10"/>
            <color indexed="81"/>
            <rFont val="Lucida Console"/>
            <family val="3"/>
          </rPr>
          <t>_x000D_
SegMedTra</t>
        </r>
      </text>
    </comment>
    <comment ref="X934" authorId="0" shapeId="0" xr:uid="{E7FCF82F-5018-4540-97A6-53AE85CFECFE}">
      <text>
        <r>
          <rPr>
            <sz val="10"/>
            <color indexed="81"/>
            <rFont val="Lucida Console"/>
            <family val="3"/>
          </rPr>
          <t>_x000D_
EQUIP PROT IND, INST MAT P/ SINAL, CONTR, COMB ...</t>
        </r>
      </text>
    </comment>
    <comment ref="Y934" authorId="0" shapeId="0" xr:uid="{CE6AC6AB-B8E8-4212-AD75-50A271340271}">
      <text>
        <r>
          <rPr>
            <sz val="10"/>
            <color indexed="81"/>
            <rFont val="Lucida Console"/>
            <family val="3"/>
          </rPr>
          <t>_x000D_
CALCADOS, LUVAS, OCULOS, MASCARAS, CAPACETES, CASSETETE</t>
        </r>
      </text>
    </comment>
    <comment ref="AW934" authorId="0" shapeId="0" xr:uid="{F8BF52A2-5DBF-4F99-8E13-8A792F36DD66}">
      <text>
        <r>
          <rPr>
            <sz val="10"/>
            <color indexed="81"/>
            <rFont val="Lucida Console"/>
            <family val="3"/>
          </rPr>
          <t>Tempo de Estoque (Meses)_x000D_
_x000D_
0,0</t>
        </r>
      </text>
    </comment>
    <comment ref="A935" authorId="0" shapeId="0" xr:uid="{5CDE267F-23CA-47FE-BA6B-FB83FDD0F4C5}">
      <text>
        <r>
          <rPr>
            <sz val="10"/>
            <color indexed="81"/>
            <rFont val="Lucida Console"/>
            <family val="3"/>
          </rPr>
          <t>_x000D_
136843</t>
        </r>
      </text>
    </comment>
    <comment ref="B935" authorId="0" shapeId="0" xr:uid="{F415746A-E0AD-49E6-AB91-10538080E67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935" authorId="0" shapeId="0" xr:uid="{66989CA1-E294-4201-8B84-13EFC9722521}">
      <text>
        <r>
          <rPr>
            <sz val="10"/>
            <color indexed="81"/>
            <rFont val="Lucida Console"/>
            <family val="3"/>
          </rPr>
          <t>_x000D_
SegMedTra</t>
        </r>
      </text>
    </comment>
    <comment ref="X935" authorId="0" shapeId="0" xr:uid="{5A5217F4-A93B-4CA9-9CAA-B442879B6F30}">
      <text>
        <r>
          <rPr>
            <sz val="10"/>
            <color indexed="81"/>
            <rFont val="Lucida Console"/>
            <family val="3"/>
          </rPr>
          <t>_x000D_
EQUIP PROT IND, INST MAT P/ SINAL, CONTR, COMB ...</t>
        </r>
      </text>
    </comment>
    <comment ref="Y935" authorId="0" shapeId="0" xr:uid="{FD0EF0CD-16E5-47E7-84CC-0B3F0CE9E1B0}">
      <text>
        <r>
          <rPr>
            <sz val="10"/>
            <color indexed="81"/>
            <rFont val="Lucida Console"/>
            <family val="3"/>
          </rPr>
          <t>_x000D_
CALCADOS, LUVAS, OCULOS, MASCARAS, CAPACETES, CASSETETE</t>
        </r>
      </text>
    </comment>
    <comment ref="AW935" authorId="0" shapeId="0" xr:uid="{24A0B61B-026C-4D5D-A300-A05B644CD83F}">
      <text>
        <r>
          <rPr>
            <sz val="10"/>
            <color indexed="81"/>
            <rFont val="Lucida Console"/>
            <family val="3"/>
          </rPr>
          <t>Tempo de Estoque (Meses)_x000D_
_x000D_
4,0</t>
        </r>
      </text>
    </comment>
    <comment ref="A936" authorId="0" shapeId="0" xr:uid="{DBEED6FD-007F-45ED-A10C-C21648CB9BA3}">
      <text>
        <r>
          <rPr>
            <sz val="10"/>
            <color indexed="81"/>
            <rFont val="Lucida Console"/>
            <family val="3"/>
          </rPr>
          <t>_x000D_
38648</t>
        </r>
      </text>
    </comment>
    <comment ref="B936" authorId="0" shapeId="0" xr:uid="{1438950D-0B3D-40F4-A863-7313C9BC22B4}">
      <text>
        <r>
          <rPr>
            <sz val="10"/>
            <color indexed="81"/>
            <rFont val="Lucida Console"/>
            <family val="3"/>
          </rPr>
          <t>DESCRIÇÃO DETALHADA_x000D_
CABO CTP-APL - SN - 50/10 PARES</t>
        </r>
      </text>
    </comment>
    <comment ref="W936" authorId="0" shapeId="0" xr:uid="{53FD422E-4853-4AD6-B410-C432052E8AAF}">
      <text>
        <r>
          <rPr>
            <sz val="10"/>
            <color indexed="81"/>
            <rFont val="Lucida Console"/>
            <family val="3"/>
          </rPr>
          <t>_x000D_
Administrativo</t>
        </r>
      </text>
    </comment>
    <comment ref="X936" authorId="0" shapeId="0" xr:uid="{F1DC1539-AC12-416F-8699-518C6A6339D1}">
      <text>
        <r>
          <rPr>
            <sz val="10"/>
            <color indexed="81"/>
            <rFont val="Lucida Console"/>
            <family val="3"/>
          </rPr>
          <t>_x000D_
EQUIP.MAT.E ACESS.COMUNIC.CINE FOTO OTICA SOM</t>
        </r>
      </text>
    </comment>
    <comment ref="Y936" authorId="0" shapeId="0" xr:uid="{BEA8A551-11CA-4B5E-8452-8128BE386150}">
      <text>
        <r>
          <rPr>
            <sz val="10"/>
            <color indexed="81"/>
            <rFont val="Lucida Console"/>
            <family val="3"/>
          </rPr>
          <t>_x000D_
CABOS FIOS TOMADAS PLUGS CAIXAS P/ TELEFONIA, ETC</t>
        </r>
      </text>
    </comment>
    <comment ref="AW936" authorId="0" shapeId="0" xr:uid="{E6170F4B-AA9E-44DC-9445-178DE2335763}">
      <text>
        <r>
          <rPr>
            <sz val="10"/>
            <color indexed="81"/>
            <rFont val="Lucida Console"/>
            <family val="3"/>
          </rPr>
          <t>Tempo de Estoque (Meses)_x000D_
_x000D_
308,0</t>
        </r>
      </text>
    </comment>
    <comment ref="A937" authorId="0" shapeId="0" xr:uid="{E08DEAD8-137B-4528-BCE0-09523A744E70}">
      <text>
        <r>
          <rPr>
            <sz val="10"/>
            <color indexed="81"/>
            <rFont val="Lucida Console"/>
            <family val="3"/>
          </rPr>
          <t>_x000D_
103490</t>
        </r>
      </text>
    </comment>
    <comment ref="B937" authorId="0" shapeId="0" xr:uid="{0D01FADF-DD2D-4604-8824-00924FFD2A2B}">
      <text>
        <r>
          <rPr>
            <sz val="10"/>
            <color indexed="81"/>
            <rFont val="Lucida Console"/>
            <family val="3"/>
          </rPr>
          <t>DESCRIÇÃO DETALHADA_x000D_
FIO TELEFONICO EXTERNO FE - AA - 80 - PE HOMOLOGADO PELA ANATEL - ROLO COM 400 METROS</t>
        </r>
      </text>
    </comment>
    <comment ref="W937" authorId="0" shapeId="0" xr:uid="{2E8EA261-B4BC-4F78-8656-4C37DAB77829}">
      <text>
        <r>
          <rPr>
            <sz val="10"/>
            <color indexed="81"/>
            <rFont val="Lucida Console"/>
            <family val="3"/>
          </rPr>
          <t>_x000D_
Administrativo</t>
        </r>
      </text>
    </comment>
    <comment ref="X937" authorId="0" shapeId="0" xr:uid="{FAFA7AFC-D5FF-4C07-8484-CF9ECF92861B}">
      <text>
        <r>
          <rPr>
            <sz val="10"/>
            <color indexed="81"/>
            <rFont val="Lucida Console"/>
            <family val="3"/>
          </rPr>
          <t>_x000D_
EQUIP.MAT.E ACESS.COMUNIC.CINE FOTO OTICA SOM</t>
        </r>
      </text>
    </comment>
    <comment ref="Y937" authorId="0" shapeId="0" xr:uid="{A14466F5-4144-4D73-AB6D-2F68699402ED}">
      <text>
        <r>
          <rPr>
            <sz val="10"/>
            <color indexed="81"/>
            <rFont val="Lucida Console"/>
            <family val="3"/>
          </rPr>
          <t>_x000D_
CABOS FIOS TOMADAS PLUGS CAIXAS P/ TELEFONIA, ETC</t>
        </r>
      </text>
    </comment>
    <comment ref="AW937" authorId="0" shapeId="0" xr:uid="{A82E2CD5-C079-4809-9BCE-88F16B833031}">
      <text>
        <r>
          <rPr>
            <sz val="10"/>
            <color indexed="81"/>
            <rFont val="Lucida Console"/>
            <family val="3"/>
          </rPr>
          <t>Tempo de Estoque (Meses)_x000D_
_x000D_
3,0</t>
        </r>
      </text>
    </comment>
    <comment ref="A938" authorId="0" shapeId="0" xr:uid="{702564CC-3DA6-4736-80B7-17B0E2B19C36}">
      <text>
        <r>
          <rPr>
            <sz val="10"/>
            <color indexed="81"/>
            <rFont val="Lucida Console"/>
            <family val="3"/>
          </rPr>
          <t>_x000D_
119087</t>
        </r>
      </text>
    </comment>
    <comment ref="B938" authorId="0" shapeId="0" xr:uid="{B5E81CEB-37BF-467E-9F18-A5E2C3455DC3}">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938" authorId="0" shapeId="0" xr:uid="{E07EEFDF-C47A-4A3A-BFFD-DE1B137B974A}">
      <text>
        <r>
          <rPr>
            <sz val="10"/>
            <color indexed="81"/>
            <rFont val="Lucida Console"/>
            <family val="3"/>
          </rPr>
          <t>_x000D_
Administrativo</t>
        </r>
      </text>
    </comment>
    <comment ref="X938" authorId="0" shapeId="0" xr:uid="{92A0F33F-D223-4E0E-9EBF-7537340D67AC}">
      <text>
        <r>
          <rPr>
            <sz val="10"/>
            <color indexed="81"/>
            <rFont val="Lucida Console"/>
            <family val="3"/>
          </rPr>
          <t>_x000D_
EQUIP.MAT.E ACESS.COMUNIC.CINE FOTO OTICA SOM</t>
        </r>
      </text>
    </comment>
    <comment ref="Y938" authorId="0" shapeId="0" xr:uid="{1C6A182F-182D-4430-A29B-DB238AA6837D}">
      <text>
        <r>
          <rPr>
            <sz val="10"/>
            <color indexed="81"/>
            <rFont val="Lucida Console"/>
            <family val="3"/>
          </rPr>
          <t>_x000D_
CABOS FIOS TOMADAS PLUGS CAIXAS P/ TELEFONIA, ETC</t>
        </r>
      </text>
    </comment>
    <comment ref="AW938" authorId="0" shapeId="0" xr:uid="{09AC6183-B9A7-4B5D-9FB4-EB961314888E}">
      <text>
        <r>
          <rPr>
            <sz val="10"/>
            <color indexed="81"/>
            <rFont val="Lucida Console"/>
            <family val="3"/>
          </rPr>
          <t>Tempo de Estoque (Meses)_x000D_
_x000D_
255,0</t>
        </r>
      </text>
    </comment>
    <comment ref="A939" authorId="0" shapeId="0" xr:uid="{68A5BE90-875C-4711-9A63-738464F6AE83}">
      <text>
        <r>
          <rPr>
            <sz val="10"/>
            <color indexed="81"/>
            <rFont val="Lucida Console"/>
            <family val="3"/>
          </rPr>
          <t>_x000D_
13021</t>
        </r>
      </text>
    </comment>
    <comment ref="B939" authorId="0" shapeId="0" xr:uid="{BC53EC21-EDBB-4D24-B5C7-8A5C2FBEA389}">
      <text>
        <r>
          <rPr>
            <sz val="10"/>
            <color indexed="81"/>
            <rFont val="Lucida Console"/>
            <family val="3"/>
          </rPr>
          <t>DESCRIÇÃO DETALHADA_x000D_
GRAMPO ISOLANTE FIX-FIO 1,0 A 2,5 MM2  (TIPO MIGUELAO) - CXC/ 20 UNIDADES</t>
        </r>
      </text>
    </comment>
    <comment ref="W939" authorId="0" shapeId="0" xr:uid="{9D505D7F-FA4A-4A05-BC71-45909C11C6A7}">
      <text>
        <r>
          <rPr>
            <sz val="10"/>
            <color indexed="81"/>
            <rFont val="Lucida Console"/>
            <family val="3"/>
          </rPr>
          <t>_x000D_
DM-Construção</t>
        </r>
      </text>
    </comment>
    <comment ref="X939" authorId="0" shapeId="0" xr:uid="{AFA27505-44D4-45E8-B704-42BBEF8A99A4}">
      <text>
        <r>
          <rPr>
            <sz val="10"/>
            <color indexed="81"/>
            <rFont val="Lucida Console"/>
            <family val="3"/>
          </rPr>
          <t>_x000D_
PARAFUSOS ELEM. VEDACAO UNIAO CONEX . FIXACAO</t>
        </r>
      </text>
    </comment>
    <comment ref="Y939" authorId="0" shapeId="0" xr:uid="{E973FF48-0E78-4E04-BB28-3976234D66DF}">
      <text>
        <r>
          <rPr>
            <sz val="10"/>
            <color indexed="81"/>
            <rFont val="Lucida Console"/>
            <family val="3"/>
          </rPr>
          <t>_x000D_
PREGOS E GRAMPOS</t>
        </r>
      </text>
    </comment>
    <comment ref="AW939" authorId="0" shapeId="0" xr:uid="{909FFAB7-D4C0-4953-BAAA-D5C0DEC801F9}">
      <text>
        <r>
          <rPr>
            <sz val="10"/>
            <color indexed="81"/>
            <rFont val="Lucida Console"/>
            <family val="3"/>
          </rPr>
          <t>Tempo de Estoque (Meses)_x000D_
_x000D_
250,0</t>
        </r>
      </text>
    </comment>
    <comment ref="A940" authorId="0" shapeId="0" xr:uid="{C8A7816A-4FD4-4A4A-9CD9-BEB18AD18E68}">
      <text>
        <r>
          <rPr>
            <sz val="10"/>
            <color indexed="81"/>
            <rFont val="Lucida Console"/>
            <family val="3"/>
          </rPr>
          <t>_x000D_
2278</t>
        </r>
      </text>
    </comment>
    <comment ref="B940" authorId="0" shapeId="0" xr:uid="{4FA09C07-39CA-4ABB-B575-415FF959CC7D}">
      <text>
        <r>
          <rPr>
            <sz val="10"/>
            <color indexed="81"/>
            <rFont val="Lucida Console"/>
            <family val="3"/>
          </rPr>
          <t>DESCRIÇÃO DETALHADA_x000D_
LINHA DE PEDREIRO - ROLO COM 100 M</t>
        </r>
      </text>
    </comment>
    <comment ref="W940" authorId="0" shapeId="0" xr:uid="{0C5D71A8-F00C-4A5F-A14C-68BC4E486FFD}">
      <text>
        <r>
          <rPr>
            <sz val="10"/>
            <color indexed="81"/>
            <rFont val="Lucida Console"/>
            <family val="3"/>
          </rPr>
          <t>_x000D_
DM-Construção</t>
        </r>
      </text>
    </comment>
    <comment ref="X940" authorId="0" shapeId="0" xr:uid="{EEB19978-2E3A-4B70-8A59-1CA727A5E01D}">
      <text>
        <r>
          <rPr>
            <sz val="10"/>
            <color indexed="81"/>
            <rFont val="Lucida Console"/>
            <family val="3"/>
          </rPr>
          <t>_x000D_
FERRAMENTAS MAQ.FERRAMENTAS,ELETR.PECAS E ACESSORI</t>
        </r>
      </text>
    </comment>
    <comment ref="Y940" authorId="0" shapeId="0" xr:uid="{CA14F0BA-1B67-4BCD-91F8-4C9C9B993600}">
      <text>
        <r>
          <rPr>
            <sz val="10"/>
            <color indexed="81"/>
            <rFont val="Lucida Console"/>
            <family val="3"/>
          </rPr>
          <t>_x000D_
FERRAMENTAS E UTENSILIOS PARA PEDREIRO</t>
        </r>
      </text>
    </comment>
    <comment ref="AW940" authorId="0" shapeId="0" xr:uid="{76690D99-9433-4437-9B9E-C39C56437D05}">
      <text>
        <r>
          <rPr>
            <sz val="10"/>
            <color indexed="81"/>
            <rFont val="Lucida Console"/>
            <family val="3"/>
          </rPr>
          <t>Tempo de Estoque (Meses)_x000D_
_x000D_
208,0</t>
        </r>
      </text>
    </comment>
    <comment ref="A941" authorId="0" shapeId="0" xr:uid="{3161F8F0-D549-4922-B188-56AE6267A4AC}">
      <text>
        <r>
          <rPr>
            <sz val="10"/>
            <color indexed="81"/>
            <rFont val="Lucida Console"/>
            <family val="3"/>
          </rPr>
          <t>_x000D_
128392</t>
        </r>
      </text>
    </comment>
    <comment ref="B941" authorId="0" shapeId="0" xr:uid="{48C11739-1701-42AB-8F4B-ECCEAA63B3CD}">
      <text>
        <r>
          <rPr>
            <sz val="10"/>
            <color indexed="81"/>
            <rFont val="Lucida Console"/>
            <family val="3"/>
          </rPr>
          <t>DESCRIÇÃO DETALHADA_x000D_
FITA DE BORDO EM PVC TEXTURIZADA, COR BRANCA, MEDIDAS 45 X 0,45MM, ROLO COM 300 METROS</t>
        </r>
      </text>
    </comment>
    <comment ref="W941" authorId="0" shapeId="0" xr:uid="{CEEBAAC3-8147-40E4-B2DE-0FA46F76FB50}">
      <text>
        <r>
          <rPr>
            <sz val="10"/>
            <color indexed="81"/>
            <rFont val="Lucida Console"/>
            <family val="3"/>
          </rPr>
          <t>_x000D_
DM-Serralheria</t>
        </r>
      </text>
    </comment>
    <comment ref="X941" authorId="0" shapeId="0" xr:uid="{8FC1D608-B75E-49F2-A18C-FB03FF409F1A}">
      <text>
        <r>
          <rPr>
            <sz val="10"/>
            <color indexed="81"/>
            <rFont val="Lucida Console"/>
            <family val="3"/>
          </rPr>
          <t>_x000D_
FERRAMENTAS MAQ.FERRAMENTAS,ELETR.PECAS E ACESSORI</t>
        </r>
      </text>
    </comment>
    <comment ref="Y941" authorId="0" shapeId="0" xr:uid="{3D86C95B-C62E-4B46-9FE1-9B65F1D1670B}">
      <text>
        <r>
          <rPr>
            <sz val="10"/>
            <color indexed="81"/>
            <rFont val="Lucida Console"/>
            <family val="3"/>
          </rPr>
          <t>_x000D_
MATERIAIS DIVERSOS P/ OFICINA MECANICA</t>
        </r>
      </text>
    </comment>
    <comment ref="AW941" authorId="0" shapeId="0" xr:uid="{0BDA4F11-BE87-46F0-B3E2-46515A9AAD9B}">
      <text>
        <r>
          <rPr>
            <sz val="10"/>
            <color indexed="81"/>
            <rFont val="Lucida Console"/>
            <family val="3"/>
          </rPr>
          <t>Tempo de Estoque (Meses)_x000D_
_x000D_
103,0</t>
        </r>
      </text>
    </comment>
    <comment ref="A942" authorId="0" shapeId="0" xr:uid="{488E48FB-9D5A-489E-AD4C-B22ECD645AF8}">
      <text>
        <r>
          <rPr>
            <sz val="10"/>
            <color indexed="81"/>
            <rFont val="Lucida Console"/>
            <family val="3"/>
          </rPr>
          <t>_x000D_
130614</t>
        </r>
      </text>
    </comment>
    <comment ref="B942" authorId="0" shapeId="0" xr:uid="{C533FB80-6E28-4EB0-8A6E-62B2C4610B73}">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942" authorId="0" shapeId="0" xr:uid="{AEBBFE65-895A-41C8-8B09-AC4AF5D64361}">
      <text>
        <r>
          <rPr>
            <sz val="10"/>
            <color indexed="81"/>
            <rFont val="Lucida Console"/>
            <family val="3"/>
          </rPr>
          <t>_x000D_
DM-Jardinagem</t>
        </r>
      </text>
    </comment>
    <comment ref="X942" authorId="0" shapeId="0" xr:uid="{9409C808-AC1F-40BE-87C5-1CEC4E28D4FD}">
      <text>
        <r>
          <rPr>
            <sz val="10"/>
            <color indexed="81"/>
            <rFont val="Lucida Console"/>
            <family val="3"/>
          </rPr>
          <t>_x000D_
COMBUST.,LUBRIF.,OLEOS,GRAXAS,GAS</t>
        </r>
      </text>
    </comment>
    <comment ref="Y942" authorId="0" shapeId="0" xr:uid="{9D115D8C-D565-4111-9366-93C76E23BF84}">
      <text>
        <r>
          <rPr>
            <sz val="10"/>
            <color indexed="81"/>
            <rFont val="Lucida Console"/>
            <family val="3"/>
          </rPr>
          <t>_x000D_
OLEOS LUBRIF.,GRAXAS,CORTANTES,FLUIDOS HIDRAULICOS</t>
        </r>
      </text>
    </comment>
    <comment ref="AW942" authorId="0" shapeId="0" xr:uid="{8BEC9AD0-0587-4B0C-92A4-340CC751B84E}">
      <text>
        <r>
          <rPr>
            <sz val="10"/>
            <color indexed="81"/>
            <rFont val="Lucida Console"/>
            <family val="3"/>
          </rPr>
          <t>Tempo de Estoque (Meses)_x000D_
_x000D_
726,0</t>
        </r>
      </text>
    </comment>
    <comment ref="A943" authorId="0" shapeId="0" xr:uid="{F84A1917-6583-484C-B62F-964F88562B93}">
      <text>
        <r>
          <rPr>
            <sz val="10"/>
            <color indexed="81"/>
            <rFont val="Lucida Console"/>
            <family val="3"/>
          </rPr>
          <t>_x000D_
86891</t>
        </r>
      </text>
    </comment>
    <comment ref="B943" authorId="0" shapeId="0" xr:uid="{AC821770-5922-45A6-B8CC-6C8D27F9890C}">
      <text>
        <r>
          <rPr>
            <sz val="10"/>
            <color indexed="81"/>
            <rFont val="Lucida Console"/>
            <family val="3"/>
          </rPr>
          <t>DESCRIÇÃO DETALHADA_x000D_
PONTEIRA REDONDA DE BORRACHA,  EXTERNA DE 5/8"</t>
        </r>
      </text>
    </comment>
    <comment ref="W943" authorId="0" shapeId="0" xr:uid="{62C59B65-67B2-4508-9C70-5E94861F779A}">
      <text>
        <r>
          <rPr>
            <sz val="10"/>
            <color indexed="81"/>
            <rFont val="Lucida Console"/>
            <family val="3"/>
          </rPr>
          <t>_x000D_
DM-Marcenaria</t>
        </r>
      </text>
    </comment>
    <comment ref="X943" authorId="0" shapeId="0" xr:uid="{D78893E5-5B04-4A0E-87BF-2B433A3B37D2}">
      <text>
        <r>
          <rPr>
            <sz val="10"/>
            <color indexed="81"/>
            <rFont val="Lucida Console"/>
            <family val="3"/>
          </rPr>
          <t>_x000D_
MOBILIARIO E COFRE</t>
        </r>
      </text>
    </comment>
    <comment ref="Y943" authorId="0" shapeId="0" xr:uid="{652A81B5-FAF5-459B-BE65-6E51C523EF75}">
      <text>
        <r>
          <rPr>
            <sz val="10"/>
            <color indexed="81"/>
            <rFont val="Lucida Console"/>
            <family val="3"/>
          </rPr>
          <t>_x000D_
ACESSORIOS</t>
        </r>
      </text>
    </comment>
    <comment ref="AW943" authorId="0" shapeId="0" xr:uid="{86404830-67CE-4F42-9BA5-55716FB423A9}">
      <text>
        <r>
          <rPr>
            <sz val="10"/>
            <color indexed="81"/>
            <rFont val="Lucida Console"/>
            <family val="3"/>
          </rPr>
          <t>Tempo de Estoque (Meses)_x000D_
_x000D_
12.840,0</t>
        </r>
      </text>
    </comment>
    <comment ref="A944" authorId="0" shapeId="0" xr:uid="{2392FBF0-10E0-4EBC-80DB-39BDC425D72E}">
      <text>
        <r>
          <rPr>
            <sz val="10"/>
            <color indexed="81"/>
            <rFont val="Lucida Console"/>
            <family val="3"/>
          </rPr>
          <t>_x000D_
102443</t>
        </r>
      </text>
    </comment>
    <comment ref="B944" authorId="0" shapeId="0" xr:uid="{EC1C6A7F-27F6-4438-AED4-E24BAF57D84C}">
      <text>
        <r>
          <rPr>
            <sz val="10"/>
            <color indexed="81"/>
            <rFont val="Lucida Console"/>
            <family val="3"/>
          </rPr>
          <t>DESCRIÇÃO DETALHADA_x000D_
TAMPO EM COMPENSADO DE 18MM REVESTIDO EM LAMINADO MELAMINICO, ACABAMENTO EM PERFIL DE PVC - 0,73 X 0,42 X 0,40M ()VARIACAO DE +/- 5CM)</t>
        </r>
      </text>
    </comment>
    <comment ref="W944" authorId="0" shapeId="0" xr:uid="{C2B4674F-61EE-4746-9B8D-1B4EC9528736}">
      <text>
        <r>
          <rPr>
            <sz val="10"/>
            <color indexed="81"/>
            <rFont val="Lucida Console"/>
            <family val="3"/>
          </rPr>
          <t>_x000D_
Pedagógico</t>
        </r>
      </text>
    </comment>
    <comment ref="X944" authorId="0" shapeId="0" xr:uid="{A6E2CD6C-95C1-4C53-A800-AF684CE4E57B}">
      <text>
        <r>
          <rPr>
            <sz val="10"/>
            <color indexed="81"/>
            <rFont val="Lucida Console"/>
            <family val="3"/>
          </rPr>
          <t>_x000D_
MOBILIARIO E COFRE</t>
        </r>
      </text>
    </comment>
    <comment ref="Y944" authorId="0" shapeId="0" xr:uid="{F57BB83C-B42E-4064-9407-04D3B43F26ED}">
      <text>
        <r>
          <rPr>
            <sz val="10"/>
            <color indexed="81"/>
            <rFont val="Lucida Console"/>
            <family val="3"/>
          </rPr>
          <t>_x000D_
MOBILIARIO ESCOLAR</t>
        </r>
      </text>
    </comment>
    <comment ref="AW944" authorId="0" shapeId="0" xr:uid="{7F35C206-09A1-4669-92D4-88CD531601B1}">
      <text>
        <r>
          <rPr>
            <sz val="10"/>
            <color indexed="81"/>
            <rFont val="Lucida Console"/>
            <family val="3"/>
          </rPr>
          <t>Tempo de Estoque (Meses)_x000D_
_x000D_
210,0</t>
        </r>
      </text>
    </comment>
    <comment ref="A945" authorId="0" shapeId="0" xr:uid="{7074BBA2-9854-4ED4-8ABC-3F564F445B0D}">
      <text>
        <r>
          <rPr>
            <sz val="10"/>
            <color indexed="81"/>
            <rFont val="Lucida Console"/>
            <family val="3"/>
          </rPr>
          <t>_x000D_
128832</t>
        </r>
      </text>
    </comment>
    <comment ref="B945" authorId="0" shapeId="0" xr:uid="{90C4BC27-3CD7-40F1-B106-466DF3313D2C}">
      <text>
        <r>
          <rPr>
            <sz val="10"/>
            <color indexed="81"/>
            <rFont val="Lucida Console"/>
            <family val="3"/>
          </rPr>
          <t xml:space="preserve">DESCRIÇÃO DETALHADA_x000D_
PNEU 28 X 9 - 15 (7,0) MACICO PARA EMPILHADEIRA </t>
        </r>
      </text>
    </comment>
    <comment ref="W945" authorId="0" shapeId="0" xr:uid="{BF17205C-F40A-4026-94A3-0A7D10FE8BA9}">
      <text>
        <r>
          <rPr>
            <sz val="10"/>
            <color indexed="81"/>
            <rFont val="Lucida Console"/>
            <family val="3"/>
          </rPr>
          <t>_x000D_
Administrativo</t>
        </r>
      </text>
    </comment>
    <comment ref="X945" authorId="0" shapeId="0" xr:uid="{0B2ACE2A-8E2C-4F76-854C-686346D2446D}">
      <text>
        <r>
          <rPr>
            <sz val="10"/>
            <color indexed="81"/>
            <rFont val="Lucida Console"/>
            <family val="3"/>
          </rPr>
          <t>_x000D_
VEIC.TRANSP.DE CARGAS E PASSAG.-COMP.EQUIP.E ACES.</t>
        </r>
      </text>
    </comment>
    <comment ref="Y945" authorId="0" shapeId="0" xr:uid="{694C5E8E-0344-4115-B2E6-98204645B4AC}">
      <text>
        <r>
          <rPr>
            <sz val="10"/>
            <color indexed="81"/>
            <rFont val="Lucida Console"/>
            <family val="3"/>
          </rPr>
          <t>_x000D_
PNEUS P/ MICRO-TRATORES E TRATORES</t>
        </r>
      </text>
    </comment>
    <comment ref="AW945" authorId="0" shapeId="0" xr:uid="{4AD9800B-FFB9-45CF-8BE1-7D045BBB7355}">
      <text>
        <r>
          <rPr>
            <sz val="10"/>
            <color indexed="81"/>
            <rFont val="Lucida Console"/>
            <family val="3"/>
          </rPr>
          <t>Tempo de Estoque (Meses)_x000D_
_x000D_
2,0</t>
        </r>
      </text>
    </comment>
    <comment ref="A946" authorId="0" shapeId="0" xr:uid="{DB15A1A2-FE3C-4697-9918-07DF4F608086}">
      <text>
        <r>
          <rPr>
            <sz val="10"/>
            <color indexed="81"/>
            <rFont val="Lucida Console"/>
            <family val="3"/>
          </rPr>
          <t>_x000D_
125576</t>
        </r>
      </text>
    </comment>
    <comment ref="B946" authorId="0" shapeId="0" xr:uid="{F1C68D1E-F650-4571-8C01-C6F8D2FA89D9}">
      <text>
        <r>
          <rPr>
            <sz val="10"/>
            <color indexed="81"/>
            <rFont val="Lucida Console"/>
            <family val="3"/>
          </rPr>
          <t>DESCRIÇÃO DETALHADA_x000D_
PNEU 700/12, 14 LONAS, PNEUMATICO - PARA EMPILHADEIRA</t>
        </r>
      </text>
    </comment>
    <comment ref="W946" authorId="0" shapeId="0" xr:uid="{51B50AA5-1289-4A4B-90F3-F78CF751BB42}">
      <text>
        <r>
          <rPr>
            <sz val="10"/>
            <color indexed="81"/>
            <rFont val="Lucida Console"/>
            <family val="3"/>
          </rPr>
          <t>_x000D_
Administrativo</t>
        </r>
      </text>
    </comment>
    <comment ref="X946" authorId="0" shapeId="0" xr:uid="{D1B7914B-4BC5-4402-BA36-033683219DBF}">
      <text>
        <r>
          <rPr>
            <sz val="10"/>
            <color indexed="81"/>
            <rFont val="Lucida Console"/>
            <family val="3"/>
          </rPr>
          <t>_x000D_
VEIC.TRANSP.DE CARGAS E PASSAG.-COMP.EQUIP.E ACES.</t>
        </r>
      </text>
    </comment>
    <comment ref="Y946" authorId="0" shapeId="0" xr:uid="{E472174E-CADD-40C3-BFC7-2066FC5E9D78}">
      <text>
        <r>
          <rPr>
            <sz val="10"/>
            <color indexed="81"/>
            <rFont val="Lucida Console"/>
            <family val="3"/>
          </rPr>
          <t>_x000D_
PNEUS P/ EQUIP.INDUSTRIAIS</t>
        </r>
      </text>
    </comment>
    <comment ref="AW946" authorId="0" shapeId="0" xr:uid="{E06EC233-6CE1-4DDA-821C-02EC0678A8D0}">
      <text>
        <r>
          <rPr>
            <sz val="10"/>
            <color indexed="81"/>
            <rFont val="Lucida Console"/>
            <family val="3"/>
          </rPr>
          <t>Tempo de Estoque (Meses)_x000D_
_x000D_
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C33" authorId="0" shapeId="0" xr:uid="{D2A046A2-75F6-49EE-ADAE-AFFDCA75229E}">
      <text>
        <r>
          <rPr>
            <b/>
            <sz val="9"/>
            <color indexed="81"/>
            <rFont val="Segoe UI"/>
            <family val="2"/>
          </rPr>
          <t>Gráfico Pizza ARPs Ativas % por Mês Vencimento</t>
        </r>
      </text>
    </comment>
    <comment ref="E33" authorId="0" shapeId="0" xr:uid="{6FF33432-FA59-4112-9616-D63072F1A1A0}">
      <text>
        <r>
          <rPr>
            <b/>
            <sz val="9"/>
            <color indexed="81"/>
            <rFont val="Segoe UI"/>
            <family val="2"/>
          </rPr>
          <t>Gráfico Pizza Situação dos Itens (Ativos x Excluir do Estoque)</t>
        </r>
      </text>
    </comment>
    <comment ref="I33" authorId="0" shapeId="0" xr:uid="{49925A79-8ED7-4206-BA34-B21593AA4D3F}">
      <text>
        <r>
          <rPr>
            <b/>
            <sz val="9"/>
            <color indexed="81"/>
            <rFont val="Segoe UI"/>
            <family val="2"/>
          </rPr>
          <t>Gráfico Linha - Itens Zerados no Estoque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9AA4937A-119A-45A8-9230-D328754EF572}">
      <text>
        <r>
          <rPr>
            <sz val="10"/>
            <color indexed="81"/>
            <rFont val="Lucida Console"/>
            <family val="3"/>
          </rPr>
          <t xml:space="preserve">     CÓDIGO</t>
        </r>
      </text>
    </comment>
    <comment ref="B2" authorId="0" shapeId="0" xr:uid="{A0A97C49-C4E5-4279-B822-DEE755FCA264}">
      <text>
        <r>
          <rPr>
            <sz val="10"/>
            <color indexed="81"/>
            <rFont val="Lucida Console"/>
            <family val="3"/>
          </rPr>
          <t xml:space="preserve">     DESCRIÇÃO</t>
        </r>
      </text>
    </comment>
    <comment ref="C2" authorId="0" shapeId="0" xr:uid="{7ECAFA76-8C5C-4B4C-A9D1-F5018CCFB5B5}">
      <text>
        <r>
          <rPr>
            <sz val="10"/>
            <color indexed="81"/>
            <rFont val="Lucida Console"/>
            <family val="3"/>
          </rPr>
          <t xml:space="preserve">     UNIDADE</t>
        </r>
      </text>
    </comment>
    <comment ref="D2" authorId="0" shapeId="0" xr:uid="{5FC82950-BF9B-4410-B023-4D349DC14DBE}">
      <text>
        <r>
          <rPr>
            <sz val="10"/>
            <color indexed="81"/>
            <rFont val="Lucida Console"/>
            <family val="3"/>
          </rPr>
          <t xml:space="preserve">     VALOR UNIT.</t>
        </r>
      </text>
    </comment>
    <comment ref="E2" authorId="0" shapeId="0" xr:uid="{CC170E7B-425C-4FE3-BD59-A731E82D5E45}">
      <text>
        <r>
          <rPr>
            <sz val="10"/>
            <color indexed="81"/>
            <rFont val="Lucida Console"/>
            <family val="3"/>
          </rPr>
          <t xml:space="preserve">     MARCA</t>
        </r>
      </text>
    </comment>
    <comment ref="F2" authorId="0" shapeId="0" xr:uid="{21088F3E-4539-4097-9F45-A27D62121D57}">
      <text>
        <r>
          <rPr>
            <sz val="10"/>
            <color indexed="81"/>
            <rFont val="Lucida Console"/>
            <family val="3"/>
          </rPr>
          <t xml:space="preserve">     FORNECEDOR</t>
        </r>
      </text>
    </comment>
    <comment ref="G2" authorId="0" shapeId="0" xr:uid="{3112B6F6-E881-47E4-AF65-C9E8BBF47AC2}">
      <text>
        <r>
          <rPr>
            <sz val="10"/>
            <color indexed="81"/>
            <rFont val="Lucida Console"/>
            <family val="3"/>
          </rPr>
          <t xml:space="preserve">     LICITACAO</t>
        </r>
      </text>
    </comment>
    <comment ref="H2" authorId="0" shapeId="0" xr:uid="{EFE53D9A-2F21-42D9-841D-21236FAA639E}">
      <text>
        <r>
          <rPr>
            <sz val="10"/>
            <color indexed="81"/>
            <rFont val="Lucida Console"/>
            <family val="3"/>
          </rPr>
          <t xml:space="preserve">     QTDE ATUAL</t>
        </r>
      </text>
    </comment>
    <comment ref="I2" authorId="0" shapeId="0" xr:uid="{06E0AD52-19DF-458C-A75B-F1BED059B50B}">
      <text>
        <r>
          <rPr>
            <sz val="10"/>
            <color indexed="81"/>
            <rFont val="Lucida Console"/>
            <family val="3"/>
          </rPr>
          <t xml:space="preserve">     COD. ALMOX</t>
        </r>
      </text>
    </comment>
    <comment ref="J2" authorId="0" shapeId="0" xr:uid="{D58ABCFD-28DA-4DA0-961A-829389A5E8FF}">
      <text>
        <r>
          <rPr>
            <sz val="10"/>
            <color indexed="81"/>
            <rFont val="Lucida Console"/>
            <family val="3"/>
          </rPr>
          <t xml:space="preserve">     PREÇO MÉDIO</t>
        </r>
      </text>
    </comment>
    <comment ref="K2" authorId="0" shapeId="0" xr:uid="{E293F0AF-BE0F-4997-A28D-77B04162C7AE}">
      <text>
        <r>
          <rPr>
            <sz val="10"/>
            <color indexed="81"/>
            <rFont val="Lucida Console"/>
            <family val="3"/>
          </rPr>
          <t xml:space="preserve">     L.C. 6 MESES</t>
        </r>
      </text>
    </comment>
    <comment ref="L2" authorId="0" shapeId="0" xr:uid="{A5558555-35E4-4C36-8700-A70CF0618C04}">
      <text>
        <r>
          <rPr>
            <sz val="10"/>
            <color indexed="81"/>
            <rFont val="Lucida Console"/>
            <family val="3"/>
          </rPr>
          <t xml:space="preserve">     TEMPO ESTOQUE</t>
        </r>
      </text>
    </comment>
    <comment ref="M2" authorId="0" shapeId="0" xr:uid="{BD5A0884-2645-4CE2-9936-C10332357B34}">
      <text>
        <r>
          <rPr>
            <sz val="10"/>
            <color indexed="81"/>
            <rFont val="Lucida Console"/>
            <family val="3"/>
          </rPr>
          <t xml:space="preserve">     LC</t>
        </r>
      </text>
    </comment>
    <comment ref="N2" authorId="0" shapeId="0" xr:uid="{6BF812E9-AC84-4045-AB92-E8F29A361CF8}">
      <text>
        <r>
          <rPr>
            <sz val="10"/>
            <color indexed="81"/>
            <rFont val="Lucida Console"/>
            <family val="3"/>
          </rPr>
          <t xml:space="preserve">     TOTAL</t>
        </r>
      </text>
    </comment>
    <comment ref="O2" authorId="0" shapeId="0" xr:uid="{B795F55F-029E-4A89-9E08-E31FF1C333C4}">
      <text>
        <r>
          <rPr>
            <sz val="10"/>
            <color indexed="81"/>
            <rFont val="Lucida Console"/>
            <family val="3"/>
          </rPr>
          <t xml:space="preserve">     ATA Nº/ANO</t>
        </r>
      </text>
    </comment>
    <comment ref="P2" authorId="0" shapeId="0" xr:uid="{8D427A51-EB47-4777-9D70-07D58C807996}">
      <text>
        <r>
          <rPr>
            <sz val="10"/>
            <color indexed="81"/>
            <rFont val="Lucida Console"/>
            <family val="3"/>
          </rPr>
          <t xml:space="preserve">     ATA QTDE</t>
        </r>
      </text>
    </comment>
    <comment ref="Q2" authorId="0" shapeId="0" xr:uid="{137DF628-77C9-4084-A5CE-B23EEA715722}">
      <text>
        <r>
          <rPr>
            <sz val="10"/>
            <color indexed="81"/>
            <rFont val="Lucida Console"/>
            <family val="3"/>
          </rPr>
          <t xml:space="preserve">     ATA VALOR</t>
        </r>
      </text>
    </comment>
    <comment ref="R2" authorId="0" shapeId="0" xr:uid="{A3B139E4-139F-4CBC-8AFD-C495995A6523}">
      <text>
        <r>
          <rPr>
            <sz val="10"/>
            <color indexed="81"/>
            <rFont val="Lucida Console"/>
            <family val="3"/>
          </rPr>
          <t xml:space="preserve">     ATA DT.VALID.</t>
        </r>
      </text>
    </comment>
    <comment ref="S2" authorId="0" shapeId="0" xr:uid="{F50FFDF3-0DB8-4C63-8BD4-C8E78D39FB03}">
      <text>
        <r>
          <rPr>
            <sz val="10"/>
            <color indexed="81"/>
            <rFont val="Lucida Console"/>
            <family val="3"/>
          </rPr>
          <t xml:space="preserve">     DESCRIÇÃO DA ESTRUTURA</t>
        </r>
      </text>
    </comment>
    <comment ref="T2" authorId="0" shapeId="0" xr:uid="{E90D9245-4040-4544-886B-E0544D32AEE6}">
      <text>
        <r>
          <rPr>
            <sz val="10"/>
            <color indexed="81"/>
            <rFont val="Lucida Console"/>
            <family val="3"/>
          </rPr>
          <t xml:space="preserve">     ESTRUTURA</t>
        </r>
      </text>
    </comment>
    <comment ref="U2" authorId="0" shapeId="0" xr:uid="{09A469F8-25F5-47FE-A96B-2025A67E5B32}">
      <text>
        <r>
          <rPr>
            <sz val="10"/>
            <color indexed="81"/>
            <rFont val="Lucida Console"/>
            <family val="3"/>
          </rPr>
          <t xml:space="preserve">     GRUPO</t>
        </r>
      </text>
    </comment>
    <comment ref="V2" authorId="0" shapeId="0" xr:uid="{A046AD49-DD94-47E0-9438-F850E1E00EAB}">
      <text>
        <r>
          <rPr>
            <sz val="10"/>
            <color indexed="81"/>
            <rFont val="Lucida Console"/>
            <family val="3"/>
          </rPr>
          <t xml:space="preserve">     SUBGRUPO</t>
        </r>
      </text>
    </comment>
    <comment ref="W2" authorId="0" shapeId="0" xr:uid="{81C7494B-5EF7-4ACA-A9A2-AF769E7188D7}">
      <text>
        <r>
          <rPr>
            <sz val="10"/>
            <color indexed="81"/>
            <rFont val="Lucida Console"/>
            <family val="3"/>
          </rPr>
          <t xml:space="preserve">     RC Nº</t>
        </r>
      </text>
    </comment>
    <comment ref="X2" authorId="0" shapeId="0" xr:uid="{3DA6C3FA-518E-4605-998E-CE995877C1A7}">
      <text>
        <r>
          <rPr>
            <sz val="10"/>
            <color indexed="81"/>
            <rFont val="Lucida Console"/>
            <family val="3"/>
          </rPr>
          <t xml:space="preserve">     RC ANO </t>
        </r>
      </text>
    </comment>
    <comment ref="Y2" authorId="0" shapeId="0" xr:uid="{2CEAB200-2572-4DDB-8389-1374E777C4D3}">
      <text>
        <r>
          <rPr>
            <sz val="10"/>
            <color indexed="81"/>
            <rFont val="Lucida Console"/>
            <family val="3"/>
          </rPr>
          <t xml:space="preserve">     RC QTDE</t>
        </r>
      </text>
    </comment>
    <comment ref="Z2" authorId="0" shapeId="0" xr:uid="{29FBE0BB-E539-463D-A5FC-7477313F7DE3}">
      <text>
        <r>
          <rPr>
            <sz val="10"/>
            <color indexed="81"/>
            <rFont val="Lucida Console"/>
            <family val="3"/>
          </rPr>
          <t xml:space="preserve">     AF Nº</t>
        </r>
      </text>
    </comment>
    <comment ref="AA2" authorId="0" shapeId="0" xr:uid="{4C4C45ED-82ED-4C4B-A84B-11E37AA01E0D}">
      <text>
        <r>
          <rPr>
            <sz val="10"/>
            <color indexed="81"/>
            <rFont val="Lucida Console"/>
            <family val="3"/>
          </rPr>
          <t xml:space="preserve">     AF ANO</t>
        </r>
      </text>
    </comment>
    <comment ref="AB2" authorId="0" shapeId="0" xr:uid="{4C9BB15B-7204-4BA2-BCDD-5BCB68A01FDA}">
      <text>
        <r>
          <rPr>
            <sz val="10"/>
            <color indexed="81"/>
            <rFont val="Lucida Console"/>
            <family val="3"/>
          </rPr>
          <t xml:space="preserve">     AF SALDO</t>
        </r>
      </text>
    </comment>
    <comment ref="AC2" authorId="0" shapeId="0" xr:uid="{564E9C09-49DE-4FBF-9AB2-C097593542BC}">
      <text>
        <r>
          <rPr>
            <sz val="10"/>
            <color indexed="81"/>
            <rFont val="Lucida Console"/>
            <family val="3"/>
          </rPr>
          <t xml:space="preserve">     AF QTDE</t>
        </r>
      </text>
    </comment>
    <comment ref="AD2" authorId="0" shapeId="0" xr:uid="{F174B364-BB33-423F-8BD8-D2F5DB1C8FEE}">
      <text>
        <r>
          <rPr>
            <sz val="10"/>
            <color indexed="81"/>
            <rFont val="Lucida Console"/>
            <family val="3"/>
          </rPr>
          <t xml:space="preserve">     AF FORN</t>
        </r>
      </text>
    </comment>
    <comment ref="AE2" authorId="0" shapeId="0" xr:uid="{3207E835-9F08-4F59-A6AA-8192E4F4233E}">
      <text>
        <r>
          <rPr>
            <sz val="10"/>
            <color indexed="81"/>
            <rFont val="Lucida Console"/>
            <family val="3"/>
          </rPr>
          <t xml:space="preserve">     AF VENC</t>
        </r>
      </text>
    </comment>
    <comment ref="AF2" authorId="0" shapeId="0" xr:uid="{3F45B430-842E-4B0E-B0D1-3CD11BFC4282}">
      <text>
        <r>
          <rPr>
            <sz val="10"/>
            <color indexed="81"/>
            <rFont val="Lucida Console"/>
            <family val="3"/>
          </rPr>
          <t xml:space="preserve">     PONTO PEDIDO</t>
        </r>
      </text>
    </comment>
    <comment ref="AG2" authorId="0" shapeId="0" xr:uid="{B582AD58-BF8F-4F3E-B594-3115E5DD04F4}">
      <text>
        <r>
          <rPr>
            <sz val="10"/>
            <color indexed="81"/>
            <rFont val="Lucida Console"/>
            <family val="3"/>
          </rPr>
          <t xml:space="preserve">     DATA ENTREGA</t>
        </r>
      </text>
    </comment>
    <comment ref="AH2" authorId="0" shapeId="0" xr:uid="{58ED6378-A50F-4BD5-B294-0B632334C8E9}">
      <text>
        <r>
          <rPr>
            <sz val="10"/>
            <color indexed="81"/>
            <rFont val="Lucida Console"/>
            <family val="3"/>
          </rPr>
          <t xml:space="preserve">     DATA INCLUSÃO</t>
        </r>
      </text>
    </comment>
    <comment ref="AI2" authorId="0" shapeId="0" xr:uid="{7ED2A374-FCB2-40EA-930C-0C3FF3C899CF}">
      <text>
        <r>
          <rPr>
            <sz val="10"/>
            <color indexed="81"/>
            <rFont val="Lucida Console"/>
            <family val="3"/>
          </rPr>
          <t xml:space="preserve">     DATA ALTERAÇÃO</t>
        </r>
      </text>
    </comment>
    <comment ref="AJ2" authorId="0" shapeId="0" xr:uid="{68496573-4654-46B1-9116-D34C816AA282}">
      <text>
        <r>
          <rPr>
            <sz val="10"/>
            <color indexed="81"/>
            <rFont val="Lucida Console"/>
            <family val="3"/>
          </rPr>
          <t xml:space="preserve">     DATA DESATIVAÇÃO</t>
        </r>
      </text>
    </comment>
    <comment ref="AK2" authorId="0" shapeId="0" xr:uid="{2C5F77E9-4542-4711-878C-FAB62DC1777E}">
      <text>
        <r>
          <rPr>
            <sz val="10"/>
            <color indexed="81"/>
            <rFont val="Lucida Console"/>
            <family val="3"/>
          </rPr>
          <t xml:space="preserve">     DESCRIÇÃO DETALHADA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EE5A1FBF-468C-42C3-AD93-5C60CA91AEEC}">
      <text>
        <r>
          <rPr>
            <sz val="9"/>
            <color indexed="81"/>
            <rFont val="Segoe UI"/>
            <family val="2"/>
          </rPr>
          <t>Total de linhas da planilha = 862</t>
        </r>
      </text>
    </comment>
    <comment ref="A2" authorId="0" shapeId="0" xr:uid="{371BE60B-11D7-439F-A808-5F41FD400E86}">
      <text>
        <r>
          <rPr>
            <sz val="10"/>
            <color indexed="81"/>
            <rFont val="Lucida Console"/>
            <family val="3"/>
          </rPr>
          <t xml:space="preserve">Ordenado por: CÓDIGO_x000D_
_x000D_
</t>
        </r>
      </text>
    </comment>
    <comment ref="F2" authorId="0" shapeId="0" xr:uid="{C8842334-5998-47AF-AF21-9C3A9D0981B5}">
      <text>
        <r>
          <rPr>
            <sz val="10"/>
            <color indexed="81"/>
            <rFont val="Lucida Console"/>
            <family val="3"/>
          </rPr>
          <t xml:space="preserve"> 10_22</t>
        </r>
      </text>
    </comment>
    <comment ref="G2" authorId="0" shapeId="0" xr:uid="{3E9EC995-4134-4714-83EC-E42E6CF17C65}">
      <text>
        <r>
          <rPr>
            <sz val="10"/>
            <color indexed="81"/>
            <rFont val="Lucida Console"/>
            <family val="3"/>
          </rPr>
          <t xml:space="preserve"> 11_22</t>
        </r>
      </text>
    </comment>
    <comment ref="H2" authorId="0" shapeId="0" xr:uid="{6D9C8970-7F62-4060-A57E-EB23B3214C46}">
      <text>
        <r>
          <rPr>
            <sz val="10"/>
            <color indexed="81"/>
            <rFont val="Lucida Console"/>
            <family val="3"/>
          </rPr>
          <t xml:space="preserve"> 12_22</t>
        </r>
      </text>
    </comment>
    <comment ref="I2" authorId="0" shapeId="0" xr:uid="{B90F6E5A-02F0-4FB9-BA3D-EF7A3B5915B9}">
      <text>
        <r>
          <rPr>
            <sz val="10"/>
            <color indexed="81"/>
            <rFont val="Lucida Console"/>
            <family val="3"/>
          </rPr>
          <t xml:space="preserve"> 01_23</t>
        </r>
      </text>
    </comment>
    <comment ref="J2" authorId="0" shapeId="0" xr:uid="{FB5226CB-7F34-4BD9-955B-73D4F1A1C471}">
      <text>
        <r>
          <rPr>
            <sz val="10"/>
            <color indexed="81"/>
            <rFont val="Lucida Console"/>
            <family val="3"/>
          </rPr>
          <t xml:space="preserve"> 02_23</t>
        </r>
      </text>
    </comment>
    <comment ref="K2" authorId="0" shapeId="0" xr:uid="{28648435-F39F-4E9B-8EED-E73BD4EEF7AD}">
      <text>
        <r>
          <rPr>
            <sz val="10"/>
            <color indexed="81"/>
            <rFont val="Lucida Console"/>
            <family val="3"/>
          </rPr>
          <t xml:space="preserve"> 03_23</t>
        </r>
      </text>
    </comment>
    <comment ref="L2" authorId="0" shapeId="0" xr:uid="{F3598635-4A67-46B1-9872-3235BE6C974F}">
      <text>
        <r>
          <rPr>
            <sz val="10"/>
            <color indexed="81"/>
            <rFont val="Lucida Console"/>
            <family val="3"/>
          </rPr>
          <t xml:space="preserve"> 04_23</t>
        </r>
      </text>
    </comment>
    <comment ref="M2" authorId="0" shapeId="0" xr:uid="{EDA15CF4-342C-454F-9374-52DECDB76D93}">
      <text>
        <r>
          <rPr>
            <sz val="10"/>
            <color indexed="81"/>
            <rFont val="Lucida Console"/>
            <family val="3"/>
          </rPr>
          <t xml:space="preserve"> 05_23</t>
        </r>
      </text>
    </comment>
    <comment ref="N2" authorId="0" shapeId="0" xr:uid="{96158F11-A7A0-470F-94EF-098FD4F3B3C5}">
      <text>
        <r>
          <rPr>
            <sz val="10"/>
            <color indexed="81"/>
            <rFont val="Lucida Console"/>
            <family val="3"/>
          </rPr>
          <t xml:space="preserve"> 06_23</t>
        </r>
      </text>
    </comment>
    <comment ref="O2" authorId="0" shapeId="0" xr:uid="{0F2FA075-0C81-4FE5-8FB6-F40794EE4AD2}">
      <text>
        <r>
          <rPr>
            <sz val="10"/>
            <color indexed="81"/>
            <rFont val="Lucida Console"/>
            <family val="3"/>
          </rPr>
          <t xml:space="preserve"> 07_23</t>
        </r>
      </text>
    </comment>
    <comment ref="P2" authorId="0" shapeId="0" xr:uid="{B8DF35FA-037A-40AB-A92B-8B1BECE8A794}">
      <text>
        <r>
          <rPr>
            <sz val="10"/>
            <color indexed="81"/>
            <rFont val="Lucida Console"/>
            <family val="3"/>
          </rPr>
          <t xml:space="preserve"> 08_23</t>
        </r>
      </text>
    </comment>
    <comment ref="Q2" authorId="0" shapeId="0" xr:uid="{93B30428-0D32-4647-B940-AF24D3F2806F}">
      <text>
        <r>
          <rPr>
            <sz val="10"/>
            <color indexed="81"/>
            <rFont val="Lucida Console"/>
            <family val="3"/>
          </rPr>
          <t xml:space="preserve"> 09_23</t>
        </r>
      </text>
    </comment>
    <comment ref="R2" authorId="0" shapeId="0" xr:uid="{860357CD-B955-490E-A4D6-44242BD4AE4E}">
      <text>
        <r>
          <rPr>
            <sz val="10"/>
            <color indexed="81"/>
            <rFont val="Lucida Console"/>
            <family val="3"/>
          </rPr>
          <t>Data de inclusão do item no ADMC</t>
        </r>
      </text>
    </comment>
    <comment ref="T2" authorId="0" shapeId="0" xr:uid="{84895A8B-6986-4DE6-A728-AF578A6B6088}">
      <text>
        <r>
          <rPr>
            <sz val="10"/>
            <color indexed="81"/>
            <rFont val="Lucida Console"/>
            <family val="3"/>
          </rPr>
          <t>Média aritmética simples dos valores das colunas F até 09_23._x000D_
Divisor = 12</t>
        </r>
      </text>
    </comment>
    <comment ref="U2" authorId="0" shapeId="0" xr:uid="{CEB9E68B-314D-4C00-AF37-69F766F534A9}">
      <text>
        <r>
          <rPr>
            <sz val="10"/>
            <color indexed="81"/>
            <rFont val="Lucida Console"/>
            <family val="3"/>
          </rPr>
          <t>1ª Faixa do Desvio Padrão</t>
        </r>
      </text>
    </comment>
    <comment ref="V2" authorId="0" shapeId="0" xr:uid="{4E111988-FAC4-4673-BD00-10FC240FD36D}">
      <text>
        <r>
          <rPr>
            <sz val="10"/>
            <color indexed="81"/>
            <rFont val="Lucida Console"/>
            <family val="3"/>
          </rPr>
          <t>2ª Faixa do Desvio Padrão</t>
        </r>
      </text>
    </comment>
    <comment ref="W2" authorId="0" shapeId="0" xr:uid="{CEE26C63-BFC1-4DC9-B6E6-875808673E0D}">
      <text>
        <r>
          <rPr>
            <sz val="10"/>
            <color indexed="81"/>
            <rFont val="Lucida Console"/>
            <family val="3"/>
          </rPr>
          <t>3ª Faixa do Desvio Padrão</t>
        </r>
      </text>
    </comment>
    <comment ref="X2" authorId="0" shapeId="0" xr:uid="{7CD314E5-F64D-48EF-ACE0-5CA9B80E6AFC}">
      <text>
        <r>
          <rPr>
            <sz val="10"/>
            <color indexed="81"/>
            <rFont val="Lucida Console"/>
            <family val="3"/>
          </rPr>
          <t>Número da faixa de corte utilizada. Informar valores entre 1 e 3.</t>
        </r>
      </text>
    </comment>
    <comment ref="Y2" authorId="0" shapeId="0" xr:uid="{EB414AA8-6C5C-43F2-9BF4-06F29B67A489}">
      <text>
        <r>
          <rPr>
            <sz val="10"/>
            <color indexed="81"/>
            <rFont val="Lucida Console"/>
            <family val="3"/>
          </rPr>
          <t>Média considerada (Menos valores fora do desvio padrão).</t>
        </r>
      </text>
    </comment>
    <comment ref="Z2" authorId="0" shapeId="0" xr:uid="{DEEBD1DD-CE6A-47FC-8402-914602186E48}">
      <text>
        <r>
          <rPr>
            <sz val="10"/>
            <color indexed="81"/>
            <rFont val="Lucida Console"/>
            <family val="3"/>
          </rPr>
          <t>Consumo do Período mais a coluna Pendentes.</t>
        </r>
      </text>
    </comment>
    <comment ref="AA2" authorId="0" shapeId="0" xr:uid="{F4416559-644A-439B-BF35-D9374050A902}">
      <text>
        <r>
          <rPr>
            <sz val="10"/>
            <color indexed="81"/>
            <rFont val="Lucida Console"/>
            <family val="3"/>
          </rPr>
          <t>O maior consumo registrado no período entre as colunas 10_22 e 09_23</t>
        </r>
      </text>
    </comment>
    <comment ref="R3" authorId="0" shapeId="0" xr:uid="{E7E39B6F-4770-40D3-8167-2EE771CB3BC2}">
      <text>
        <r>
          <rPr>
            <sz val="10"/>
            <color indexed="81"/>
            <rFont val="Lucida Console"/>
            <family val="3"/>
          </rPr>
          <t>17.10.2006</t>
        </r>
      </text>
    </comment>
    <comment ref="Y3" authorId="0" shapeId="0" xr:uid="{8843A7B6-E9A2-4EF3-A5BA-DD182B9C71C5}">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5B9AA918-EF03-4139-A411-4E4F64A164D5}">
      <text>
        <r>
          <rPr>
            <sz val="10"/>
            <color indexed="81"/>
            <rFont val="Lucida Console"/>
            <family val="3"/>
          </rPr>
          <t>Última movimentação no estoque em 09/2023 quantidade 46.</t>
        </r>
      </text>
    </comment>
    <comment ref="R4" authorId="0" shapeId="0" xr:uid="{9F57AE82-9937-44A6-8BB6-48A61E44465F}">
      <text>
        <r>
          <rPr>
            <sz val="10"/>
            <color indexed="81"/>
            <rFont val="Lucida Console"/>
            <family val="3"/>
          </rPr>
          <t>17.10.2006</t>
        </r>
      </text>
    </comment>
    <comment ref="Y4" authorId="0" shapeId="0" xr:uid="{395C9AA2-2F35-4368-BF53-728B33BAE51E}">
      <text>
        <r>
          <rPr>
            <sz val="10"/>
            <color indexed="81"/>
            <rFont val="Courier New"/>
            <family val="3"/>
          </rPr>
          <t>_x000D_
    DESCRIÇÃO DO CÁLCULO_x000D_
Código    : 95.229_x000D_
Corte     : 2.695_x000D_
-----------------------------_x000D_
Pendente  : 1.687_x000D_
22 / 10_2 : 500_x000D_
22 / 11_2 : 350_x000D_
22 / 12_2 : 900_x000D_
23 / 01_2 : 400_x000D_
23 / 02_2 : 870_x000D_
23 / 03_2 : 1.332_x000D_
23 / 04_2 : 851_x000D_
23 / 05_2 : 1.203_x000D_
23 / 06_2 : 2.695 (corte = 3200)_x000D_
23 / 07_2 : 113_x000D_
23 / 08_2 : _x000D_
23 / 09_2 : _x000D_
_x000D_
    TOTAL : ( 10.901 )_x000D_
  DIVISOR : 12_x000D_
    MÉDIA : 908,42_x000D_
-----------------------------_x000D_
   Valores Desconsiderados_x000D_
-----------------------------_x000D_
23 / 06_2 : 505 (3.200)_x000D_
_x000D_
  TOTAL   : ( 505 )</t>
        </r>
      </text>
    </comment>
    <comment ref="AB4" authorId="0" shapeId="0" xr:uid="{07F5EC0C-C0CC-424D-B861-7B1978E95FBB}">
      <text>
        <r>
          <rPr>
            <sz val="10"/>
            <color indexed="81"/>
            <rFont val="Lucida Console"/>
            <family val="3"/>
          </rPr>
          <t>Última movimentação no estoque em 07/2023 quantidade 113.</t>
        </r>
      </text>
    </comment>
    <comment ref="R5" authorId="0" shapeId="0" xr:uid="{CA897276-EF43-494D-A973-30E2993E5E5E}">
      <text>
        <r>
          <rPr>
            <sz val="10"/>
            <color indexed="81"/>
            <rFont val="Lucida Console"/>
            <family val="3"/>
          </rPr>
          <t>19.04.2004</t>
        </r>
      </text>
    </comment>
    <comment ref="Y5" authorId="0" shapeId="0" xr:uid="{946F6EE3-9488-4485-8CFE-CB2A66AA3EB2}">
      <text>
        <r>
          <rPr>
            <sz val="10"/>
            <color indexed="81"/>
            <rFont val="Courier New"/>
            <family val="3"/>
          </rPr>
          <t>_x000D_
    DESCRIÇÃO DO CÁLCULO_x000D_
Código    : 78.399_x000D_
Corte     : 7_x000D_
-----------------------------_x000D_
Pendente  : _x000D_
22 / 10_2 : _x000D_
22 / 11_2 : 6_x000D_
22 / 12_2 : _x000D_
23 / 01_2 : _x000D_
23 / 02_2 : _x000D_
23 / 03_2 : _x000D_
23 / 04_2 : _x000D_
23 / 05_2 : _x000D_
23 / 06_2 : _x000D_
23 / 07_2 : 7 (corte = 10)_x000D_
23 / 08_2 : _x000D_
23 / 09_2 : _x000D_
_x000D_
    TOTAL : ( 13 )_x000D_
  DIVISOR : 12_x000D_
    MÉDIA : 1,08_x000D_
-----------------------------_x000D_
   Valores Desconsiderados_x000D_
-----------------------------_x000D_
23 / 07_2 : 3 (10)_x000D_
_x000D_
  TOTAL   : ( 3 )</t>
        </r>
      </text>
    </comment>
    <comment ref="AB5" authorId="0" shapeId="0" xr:uid="{6FBB85C8-46F2-4467-AA5C-98604BF4C8F9}">
      <text>
        <r>
          <rPr>
            <sz val="10"/>
            <color indexed="81"/>
            <rFont val="Lucida Console"/>
            <family val="3"/>
          </rPr>
          <t>Última movimentação no estoque em 07/2023 quantidade 10.</t>
        </r>
      </text>
    </comment>
    <comment ref="R6" authorId="0" shapeId="0" xr:uid="{1762DA0F-2058-46C1-A6B7-D5D08B653926}">
      <text>
        <r>
          <rPr>
            <sz val="10"/>
            <color indexed="81"/>
            <rFont val="Lucida Console"/>
            <family val="3"/>
          </rPr>
          <t>01.01.1901</t>
        </r>
      </text>
    </comment>
    <comment ref="Y6" authorId="0" shapeId="0" xr:uid="{6D1D1545-0949-4B27-BF57-ADA4F7C59A73}">
      <text>
        <r>
          <rPr>
            <sz val="10"/>
            <color indexed="81"/>
            <rFont val="Courier New"/>
            <family val="3"/>
          </rPr>
          <t>_x000D_
    DESCRIÇÃO DO CÁLCULO_x000D_
Código    : 14.013_x000D_
Corte     : 130_x000D_
-----------------------------_x000D_
Pendente  : _x000D_
22 / 10_2 : 30_x000D_
22 / 11_2 : 55_x000D_
22 / 12_2 : 70_x000D_
23 / 01_2 : 40_x000D_
23 / 02_2 : 50_x000D_
23 / 03_2 : 62_x000D_
23 / 04_2 : 90_x000D_
23 / 05_2 : _x000D_
23 / 06_2 : 100_x000D_
23 / 07_2 : _x000D_
23 / 08_2 : 100_x000D_
23 / 09_2 : 100_x000D_
_x000D_
    TOTAL : ( 697 )_x000D_
  DIVISOR : 12_x000D_
    MÉDIA : 58,08</t>
        </r>
      </text>
    </comment>
    <comment ref="AB6" authorId="0" shapeId="0" xr:uid="{3B88DABB-9C1A-453F-B96D-38C98B237460}">
      <text>
        <r>
          <rPr>
            <sz val="10"/>
            <color indexed="81"/>
            <rFont val="Lucida Console"/>
            <family val="3"/>
          </rPr>
          <t>Última movimentação no estoque em 09/2023 quantidade 100.</t>
        </r>
      </text>
    </comment>
    <comment ref="R7" authorId="0" shapeId="0" xr:uid="{5CD53079-79AB-4BE4-A725-F1A78C623D6E}">
      <text>
        <r>
          <rPr>
            <sz val="10"/>
            <color indexed="81"/>
            <rFont val="Lucida Console"/>
            <family val="3"/>
          </rPr>
          <t>01.01.1901</t>
        </r>
      </text>
    </comment>
    <comment ref="Y7" authorId="0" shapeId="0" xr:uid="{52A787DF-1136-46EB-8455-884CDDE5B732}">
      <text>
        <r>
          <rPr>
            <sz val="10"/>
            <color indexed="81"/>
            <rFont val="Courier New"/>
            <family val="3"/>
          </rPr>
          <t>_x000D_
    DESCRIÇÃO DO CÁLCULO_x000D_
Código    : 14.012_x000D_
Corte     : 214_x000D_
-----------------------------_x000D_
Pendente  : _x000D_
22 / 10_2 : 50_x000D_
22 / 11_2 : 40_x000D_
22 / 12_2 : 180_x000D_
23 / 01_2 : 214 (corte = 224)_x000D_
23 / 02_2 : 60_x000D_
23 / 03_2 : 30_x000D_
23 / 04_2 : 102_x000D_
23 / 05_2 : _x000D_
23 / 06_2 : 100_x000D_
23 / 07_2 : 40_x000D_
23 / 08_2 : 100_x000D_
23 / 09_2 : 100_x000D_
_x000D_
    TOTAL : ( 1.016 )_x000D_
  DIVISOR : 12_x000D_
    MÉDIA : 84,67_x000D_
-----------------------------_x000D_
   Valores Desconsiderados_x000D_
-----------------------------_x000D_
23 / 01_2 : 10 (224)_x000D_
_x000D_
  TOTAL   : ( 10 )</t>
        </r>
      </text>
    </comment>
    <comment ref="AB7" authorId="0" shapeId="0" xr:uid="{7D39EDA3-3BF4-4F48-B7F5-462BF3CF2114}">
      <text>
        <r>
          <rPr>
            <sz val="10"/>
            <color indexed="81"/>
            <rFont val="Lucida Console"/>
            <family val="3"/>
          </rPr>
          <t>Última movimentação no estoque em 09/2023 quantidade 100.</t>
        </r>
      </text>
    </comment>
    <comment ref="R8" authorId="0" shapeId="0" xr:uid="{DE5942A7-8EE8-4DF7-8813-405891B245AE}">
      <text>
        <r>
          <rPr>
            <sz val="10"/>
            <color indexed="81"/>
            <rFont val="Lucida Console"/>
            <family val="3"/>
          </rPr>
          <t>01.01.1901</t>
        </r>
      </text>
    </comment>
    <comment ref="Y8" authorId="0" shapeId="0" xr:uid="{89485EB5-082A-4339-A1E8-9E995F5CB767}">
      <text>
        <r>
          <rPr>
            <sz val="10"/>
            <color indexed="81"/>
            <rFont val="Courier New"/>
            <family val="3"/>
          </rPr>
          <t>_x000D_
    DESCRIÇÃO DO CÁLCULO_x000D_
Código    : 10.867_x000D_
Corte     : 5.755_x000D_
-----------------------------_x000D_
Pendente  : 234_x000D_
22 / 10_2 : 3.367_x000D_
22 / 11_2 : 4.128_x000D_
22 / 12_2 : 2.246_x000D_
23 / 01_2 : 1.272_x000D_
23 / 02_2 : 3.033_x000D_
23 / 03_2 : 4.414_x000D_
23 / 04_2 : 3.250_x000D_
23 / 05_2 : 3.240_x000D_
23 / 06_2 : 3.854_x000D_
23 / 07_2 : 3.597_x000D_
23 / 08_2 : 4.080_x000D_
23 / 09_2 : 3.603_x000D_
_x000D_
    TOTAL : ( 40.318 )_x000D_
  DIVISOR : 12_x000D_
    MÉDIA : 3.359,83</t>
        </r>
      </text>
    </comment>
    <comment ref="AB8" authorId="0" shapeId="0" xr:uid="{2B7D8D29-9950-4ED6-A8FE-BF013D3E16AC}">
      <text>
        <r>
          <rPr>
            <sz val="10"/>
            <color indexed="81"/>
            <rFont val="Lucida Console"/>
            <family val="3"/>
          </rPr>
          <t>Última movimentação no estoque em 09/2023 quantidade 3.603.</t>
        </r>
      </text>
    </comment>
    <comment ref="R9" authorId="0" shapeId="0" xr:uid="{486C57BC-4D9D-4C36-A649-5E704EAFA700}">
      <text>
        <r>
          <rPr>
            <sz val="10"/>
            <color indexed="81"/>
            <rFont val="Lucida Console"/>
            <family val="3"/>
          </rPr>
          <t>01.01.1901</t>
        </r>
      </text>
    </comment>
    <comment ref="Y9" authorId="0" shapeId="0" xr:uid="{9B25377E-8FA7-478B-A3ED-B4B049D66C97}">
      <text>
        <r>
          <rPr>
            <sz val="10"/>
            <color indexed="81"/>
            <rFont val="Courier New"/>
            <family val="3"/>
          </rPr>
          <t>_x000D_
    DESCRIÇÃO DO CÁLCULO_x000D_
Código    : 28.181_x000D_
Corte     : 3_x000D_
-----------------------------_x000D_
Pendente  : _x000D_
22 / 10_2 : _x000D_
22 / 11_2 : _x000D_
22 / 12_2 : _x000D_
23 / 01_2 : _x000D_
23 / 02_2 : _x000D_
23 / 03_2 : _x000D_
23 / 04_2 : 3 (corte = 5)_x000D_
23 / 05_2 : _x000D_
23 / 06_2 : _x000D_
23 / 07_2 : _x000D_
23 / 08_2 : _x000D_
23 / 09_2 : _x000D_
_x000D_
    TOTAL : ( 3 )_x000D_
  DIVISOR : 12_x000D_
    MÉDIA : ,25_x000D_
-----------------------------_x000D_
   Valores Desconsiderados_x000D_
-----------------------------_x000D_
23 / 04_2 : 2 (5)_x000D_
_x000D_
  TOTAL   : ( 2 )</t>
        </r>
      </text>
    </comment>
    <comment ref="AB9" authorId="0" shapeId="0" xr:uid="{0F99B2CD-35A0-4820-896B-283232BD3935}">
      <text>
        <r>
          <rPr>
            <sz val="10"/>
            <color indexed="81"/>
            <rFont val="Lucida Console"/>
            <family val="3"/>
          </rPr>
          <t>Última movimentação no estoque em 04/2023 quantidade 5.</t>
        </r>
      </text>
    </comment>
    <comment ref="R10" authorId="0" shapeId="0" xr:uid="{06302A70-C33E-4128-8065-7C94270B94C0}">
      <text>
        <r>
          <rPr>
            <sz val="10"/>
            <color indexed="81"/>
            <rFont val="Lucida Console"/>
            <family val="3"/>
          </rPr>
          <t>01.01.1901</t>
        </r>
      </text>
    </comment>
    <comment ref="Y10" authorId="0" shapeId="0" xr:uid="{52D6C990-8710-453A-9C1B-DA5D2496E275}">
      <text>
        <r>
          <rPr>
            <sz val="10"/>
            <color indexed="81"/>
            <rFont val="Courier New"/>
            <family val="3"/>
          </rPr>
          <t>_x000D_
    DESCRIÇÃO DO CÁLCULO_x000D_
Código    : 12.824_x000D_
Corte     : 5_x000D_
-----------------------------_x000D_
Pendente  : _x000D_
22 / 10_2 : 4_x000D_
22 / 11_2 : _x000D_
22 / 12_2 : 4_x000D_
23 / 01_2 : _x000D_
23 / 02_2 : 2_x000D_
23 / 03_2 : _x000D_
23 / 04_2 : 5_x000D_
23 / 05_2 : _x000D_
23 / 06_2 : _x000D_
23 / 07_2 : _x000D_
23 / 08_2 : _x000D_
23 / 09_2 : _x000D_
_x000D_
    TOTAL : ( 15 )_x000D_
  DIVISOR : 12_x000D_
    MÉDIA : 1,25</t>
        </r>
      </text>
    </comment>
    <comment ref="AB10" authorId="0" shapeId="0" xr:uid="{C144B2A9-C9B1-49A0-AFB9-4F9BB8408FB5}">
      <text>
        <r>
          <rPr>
            <sz val="10"/>
            <color indexed="81"/>
            <rFont val="Lucida Console"/>
            <family val="3"/>
          </rPr>
          <t>Última movimentação no estoque em 04/2023 quantidade 5.</t>
        </r>
      </text>
    </comment>
    <comment ref="R11" authorId="0" shapeId="0" xr:uid="{15D18414-A993-43BF-A6C1-7D9D6EDA6CCF}">
      <text>
        <r>
          <rPr>
            <sz val="10"/>
            <color indexed="81"/>
            <rFont val="Lucida Console"/>
            <family val="3"/>
          </rPr>
          <t>01.01.1901</t>
        </r>
      </text>
    </comment>
    <comment ref="Y11" authorId="0" shapeId="0" xr:uid="{4CAD95F2-2205-4DD3-B073-CEB9E9EB737E}">
      <text>
        <r>
          <rPr>
            <sz val="10"/>
            <color indexed="81"/>
            <rFont val="Courier New"/>
            <family val="3"/>
          </rPr>
          <t>_x000D_
    DESCRIÇÃO DO CÁLCULO_x000D_
Código    : 12.821_x000D_
Corte     : 4_x000D_
-----------------------------_x000D_
Pendente  : _x000D_
22 / 10_2 : _x000D_
22 / 11_2 : _x000D_
22 / 12_2 : _x000D_
23 / 01_2 : _x000D_
23 / 02_2 : 1_x000D_
23 / 03_2 : _x000D_
23 / 04_2 : 4 (corte = 7)_x000D_
23 / 05_2 : _x000D_
23 / 06_2 : _x000D_
23 / 07_2 : _x000D_
23 / 08_2 : _x000D_
23 / 09_2 : _x000D_
_x000D_
    TOTAL : ( 5 )_x000D_
  DIVISOR : 12_x000D_
    MÉDIA : ,42_x000D_
-----------------------------_x000D_
   Valores Desconsiderados_x000D_
-----------------------------_x000D_
23 / 04_2 : 3 (7)_x000D_
_x000D_
  TOTAL   : ( 3 )</t>
        </r>
      </text>
    </comment>
    <comment ref="AB11" authorId="0" shapeId="0" xr:uid="{D46F45F8-4154-4750-B057-A9241AF9D1FF}">
      <text>
        <r>
          <rPr>
            <sz val="10"/>
            <color indexed="81"/>
            <rFont val="Lucida Console"/>
            <family val="3"/>
          </rPr>
          <t>Última movimentação no estoque em 04/2023 quantidade 7.</t>
        </r>
      </text>
    </comment>
    <comment ref="R12" authorId="0" shapeId="0" xr:uid="{ADC444DB-7661-441F-9F66-5ABE04BAE3FB}">
      <text>
        <r>
          <rPr>
            <sz val="10"/>
            <color indexed="81"/>
            <rFont val="Lucida Console"/>
            <family val="3"/>
          </rPr>
          <t>01.01.1901</t>
        </r>
      </text>
    </comment>
    <comment ref="Y12" authorId="0" shapeId="0" xr:uid="{C4A36DD5-4179-4009-928B-3E7B22FC52E1}">
      <text>
        <r>
          <rPr>
            <sz val="10"/>
            <color indexed="81"/>
            <rFont val="Courier New"/>
            <family val="3"/>
          </rPr>
          <t>_x000D_
    DESCRIÇÃO DO CÁLCULO_x000D_
Código    : 12.813_x000D_
Corte     : 5_x000D_
-----------------------------_x000D_
Pendente  : _x000D_
22 / 10_2 : 2_x000D_
22 / 11_2 : 4_x000D_
22 / 12_2 : _x000D_
23 / 01_2 : _x000D_
23 / 02_2 : _x000D_
23 / 03_2 : 5 (corte = 6)_x000D_
23 / 04_2 : 5_x000D_
23 / 05_2 : _x000D_
23 / 06_2 : _x000D_
23 / 07_2 : _x000D_
23 / 08_2 : _x000D_
23 / 09_2 : _x000D_
_x000D_
    TOTAL : ( 16 )_x000D_
  DIVISOR : 12_x000D_
    MÉDIA : 1,33_x000D_
-----------------------------_x000D_
   Valores Desconsiderados_x000D_
-----------------------------_x000D_
23 / 03_2 : 1 (6)_x000D_
_x000D_
  TOTAL   : ( 1 )</t>
        </r>
      </text>
    </comment>
    <comment ref="AB12" authorId="0" shapeId="0" xr:uid="{4523EBCE-CA11-4007-99F1-B03617F7EF43}">
      <text>
        <r>
          <rPr>
            <sz val="10"/>
            <color indexed="81"/>
            <rFont val="Lucida Console"/>
            <family val="3"/>
          </rPr>
          <t>Última movimentação no estoque em 04/2023 quantidade 5.</t>
        </r>
      </text>
    </comment>
    <comment ref="R13" authorId="0" shapeId="0" xr:uid="{6210A3C8-0F9E-4294-BDD2-4A2CED040DB4}">
      <text>
        <r>
          <rPr>
            <sz val="10"/>
            <color indexed="81"/>
            <rFont val="Lucida Console"/>
            <family val="3"/>
          </rPr>
          <t>01.01.1901</t>
        </r>
      </text>
    </comment>
    <comment ref="Y13" authorId="0" shapeId="0" xr:uid="{3B105D98-7217-49D6-A800-36FB50EA4157}">
      <text>
        <r>
          <rPr>
            <sz val="10"/>
            <color indexed="81"/>
            <rFont val="Courier New"/>
            <family val="3"/>
          </rPr>
          <t>_x000D_
    DESCRIÇÃO DO CÁLCULO_x000D_
Código    : 12.830_x000D_
Corte     : 78_x000D_
-----------------------------_x000D_
Pendente  : _x000D_
22 / 10_2 : 7_x000D_
22 / 11_2 : 27_x000D_
22 / 12_2 : 17_x000D_
23 / 01_2 : 12_x000D_
23 / 02_2 : 12_x000D_
23 / 03_2 : 27_x000D_
23 / 04_2 : 25_x000D_
23 / 05_2 : 78 (corte = 80)_x000D_
23 / 06_2 : 30_x000D_
23 / 07_2 : _x000D_
23 / 08_2 : 76_x000D_
23 / 09_2 : _x000D_
_x000D_
    TOTAL : ( 311 )_x000D_
  DIVISOR : 12_x000D_
    MÉDIA : 25,92_x000D_
-----------------------------_x000D_
   Valores Desconsiderados_x000D_
-----------------------------_x000D_
23 / 05_2 : 2 (80)_x000D_
_x000D_
  TOTAL   : ( 2 )</t>
        </r>
      </text>
    </comment>
    <comment ref="AB13" authorId="0" shapeId="0" xr:uid="{C942532C-9EA3-40BA-8F4B-855BADACA511}">
      <text>
        <r>
          <rPr>
            <sz val="10"/>
            <color indexed="81"/>
            <rFont val="Lucida Console"/>
            <family val="3"/>
          </rPr>
          <t>Última movimentação no estoque em 08/2023 quantidade 76.</t>
        </r>
      </text>
    </comment>
    <comment ref="R14" authorId="0" shapeId="0" xr:uid="{24932304-FEE6-4AAC-96B9-00F0FA43258D}">
      <text>
        <r>
          <rPr>
            <sz val="10"/>
            <color indexed="81"/>
            <rFont val="Lucida Console"/>
            <family val="3"/>
          </rPr>
          <t>01.01.1901</t>
        </r>
      </text>
    </comment>
    <comment ref="Y14" authorId="0" shapeId="0" xr:uid="{BE71B8AC-F4BC-4837-AE44-9FAEC627817F}">
      <text>
        <r>
          <rPr>
            <sz val="10"/>
            <color indexed="81"/>
            <rFont val="Courier New"/>
            <family val="3"/>
          </rPr>
          <t>_x000D_
    DESCRIÇÃO DO CÁLCULO_x000D_
Código    : 12.835_x000D_
Corte     : 81_x000D_
-----------------------------_x000D_
Pendente  : _x000D_
22 / 10_2 : 4_x000D_
22 / 11_2 : 2_x000D_
22 / 12_2 : 20_x000D_
23 / 01_2 : 18_x000D_
23 / 02_2 : _x000D_
23 / 03_2 : 10_x000D_
23 / 04_2 : 45_x000D_
23 / 05_2 : 81 (corte = 100)_x000D_
23 / 06_2 : _x000D_
23 / 07_2 : _x000D_
23 / 08_2 : _x000D_
23 / 09_2 : 50_x000D_
_x000D_
    TOTAL : ( 230 )_x000D_
  DIVISOR : 12_x000D_
    MÉDIA : 19,17_x000D_
-----------------------------_x000D_
   Valores Desconsiderados_x000D_
-----------------------------_x000D_
23 / 05_2 : 19 (100)_x000D_
_x000D_
  TOTAL   : ( 19 )</t>
        </r>
      </text>
    </comment>
    <comment ref="AB14" authorId="0" shapeId="0" xr:uid="{9170993C-EAC5-4AE0-B6F0-4C184B519ED9}">
      <text>
        <r>
          <rPr>
            <sz val="10"/>
            <color indexed="81"/>
            <rFont val="Lucida Console"/>
            <family val="3"/>
          </rPr>
          <t>Última movimentação no estoque em 09/2023 quantidade 50.</t>
        </r>
      </text>
    </comment>
    <comment ref="R15" authorId="0" shapeId="0" xr:uid="{B8989380-C01A-4225-8F99-BBC8B5381221}">
      <text>
        <r>
          <rPr>
            <sz val="10"/>
            <color indexed="81"/>
            <rFont val="Lucida Console"/>
            <family val="3"/>
          </rPr>
          <t>01.01.1901</t>
        </r>
      </text>
    </comment>
    <comment ref="Y15" authorId="0" shapeId="0" xr:uid="{984F5B9D-23A6-4F89-844A-A589B8E77737}">
      <text>
        <r>
          <rPr>
            <sz val="10"/>
            <color indexed="81"/>
            <rFont val="Courier New"/>
            <family val="3"/>
          </rPr>
          <t>_x000D_
    DESCRIÇÃO DO CÁLCULO_x000D_
Código    : 28.184_x000D_
Corte     : 33_x000D_
-----------------------------_x000D_
Pendente  : _x000D_
22 / 10_2 : 10_x000D_
22 / 11_2 : 6_x000D_
22 / 12_2 : 19_x000D_
23 / 01_2 : 10_x000D_
23 / 02_2 : 10_x000D_
23 / 03_2 : 33 (corte = 38)_x000D_
23 / 04_2 : 24_x000D_
23 / 05_2 : _x000D_
23 / 06_2 : _x000D_
23 / 07_2 : _x000D_
23 / 08_2 : _x000D_
23 / 09_2 : _x000D_
_x000D_
    TOTAL : ( 112 )_x000D_
  DIVISOR : 12_x000D_
    MÉDIA : 9,33_x000D_
-----------------------------_x000D_
   Valores Desconsiderados_x000D_
-----------------------------_x000D_
23 / 03_2 : 5 (38)_x000D_
_x000D_
  TOTAL   : ( 5 )</t>
        </r>
      </text>
    </comment>
    <comment ref="AB15" authorId="0" shapeId="0" xr:uid="{EC4F102F-1914-4E5C-A9A6-C0D3C3690195}">
      <text>
        <r>
          <rPr>
            <sz val="10"/>
            <color indexed="81"/>
            <rFont val="Lucida Console"/>
            <family val="3"/>
          </rPr>
          <t>Última movimentação no estoque em 04/2023 quantidade 24.</t>
        </r>
      </text>
    </comment>
    <comment ref="R16" authorId="0" shapeId="0" xr:uid="{A24EBE33-C418-4490-9C78-6F91F55AB85E}">
      <text>
        <r>
          <rPr>
            <sz val="10"/>
            <color indexed="81"/>
            <rFont val="Lucida Console"/>
            <family val="3"/>
          </rPr>
          <t>01.01.1901</t>
        </r>
      </text>
    </comment>
    <comment ref="Y16" authorId="0" shapeId="0" xr:uid="{28DB84BC-D435-4376-A046-D3E040C1B919}">
      <text>
        <r>
          <rPr>
            <sz val="10"/>
            <color indexed="81"/>
            <rFont val="Courier New"/>
            <family val="3"/>
          </rPr>
          <t>_x000D_
    DESCRIÇÃO DO CÁLCULO_x000D_
Código    : 16.053_x000D_
Corte     : 27_x000D_
-----------------------------_x000D_
Pendente  : 16_x000D_
22 / 10_2 : 10_x000D_
22 / 11_2 : 21_x000D_
22 / 12_2 : 8_x000D_
23 / 01_2 : 20_x000D_
23 / 02_2 : 10_x000D_
23 / 03_2 : 4_x000D_
23 / 04_2 : 5_x000D_
23 / 05_2 : 22_x000D_
23 / 06_2 : 10_x000D_
23 / 07_2 : 15_x000D_
23 / 08_2 : _x000D_
23 / 09_2 : 20_x000D_
_x000D_
    TOTAL : ( 161 )_x000D_
  DIVISOR : 12_x000D_
    MÉDIA : 13,42</t>
        </r>
      </text>
    </comment>
    <comment ref="AB16" authorId="0" shapeId="0" xr:uid="{8519B45C-13AA-4163-966D-7F1BE7447434}">
      <text>
        <r>
          <rPr>
            <sz val="10"/>
            <color indexed="81"/>
            <rFont val="Lucida Console"/>
            <family val="3"/>
          </rPr>
          <t>Última movimentação no estoque em 09/2023 quantidade 20.</t>
        </r>
      </text>
    </comment>
    <comment ref="R17" authorId="0" shapeId="0" xr:uid="{35C12ACD-10BE-4299-9EB7-333F46D16C67}">
      <text>
        <r>
          <rPr>
            <sz val="10"/>
            <color indexed="81"/>
            <rFont val="Lucida Console"/>
            <family val="3"/>
          </rPr>
          <t>15.12.2020</t>
        </r>
      </text>
    </comment>
    <comment ref="Y17" authorId="0" shapeId="0" xr:uid="{72EB457D-6C17-4C15-B646-BE00EB270344}">
      <text>
        <r>
          <rPr>
            <sz val="10"/>
            <color indexed="81"/>
            <rFont val="Courier New"/>
            <family val="3"/>
          </rPr>
          <t>_x000D_
    DESCRIÇÃO DO CÁLCULO_x000D_
Código    : 140.326_x000D_
Corte     : 63_x000D_
-----------------------------_x000D_
Pendente  : 20_x000D_
22 / 10_2 : 63 (corte = 96)_x000D_
22 / 11_2 : _x000D_
22 / 12_2 : _x000D_
23 / 01_2 : _x000D_
23 / 02_2 : _x000D_
23 / 03_2 : _x000D_
23 / 04_2 : _x000D_
23 / 05_2 : _x000D_
23 / 06_2 : _x000D_
23 / 07_2 : _x000D_
23 / 08_2 : _x000D_
23 / 09_2 : _x000D_
_x000D_
    TOTAL : ( 83 )_x000D_
  DIVISOR : 12_x000D_
    MÉDIA : 6,92_x000D_
-----------------------------_x000D_
   Valores Desconsiderados_x000D_
-----------------------------_x000D_
22 / 10_2 : 33 (96)_x000D_
_x000D_
  TOTAL   : ( 33 )</t>
        </r>
      </text>
    </comment>
    <comment ref="AB17" authorId="0" shapeId="0" xr:uid="{70E45DD3-C3D6-447D-8BFC-2808E309C21A}">
      <text>
        <r>
          <rPr>
            <sz val="10"/>
            <color indexed="81"/>
            <rFont val="Lucida Console"/>
            <family val="3"/>
          </rPr>
          <t>Última movimentação no estoque em 10/2022 quantidade 96.</t>
        </r>
      </text>
    </comment>
    <comment ref="R18" authorId="0" shapeId="0" xr:uid="{8A095D8C-1C20-4511-ABA3-D16587FA8E9D}">
      <text>
        <r>
          <rPr>
            <sz val="10"/>
            <color indexed="81"/>
            <rFont val="Lucida Console"/>
            <family val="3"/>
          </rPr>
          <t>26.09.2013</t>
        </r>
      </text>
    </comment>
    <comment ref="Y18" authorId="0" shapeId="0" xr:uid="{E09D675C-AA47-4E43-98CE-D77DEB173FD2}">
      <text>
        <r>
          <rPr>
            <sz val="10"/>
            <color indexed="81"/>
            <rFont val="Courier New"/>
            <family val="3"/>
          </rPr>
          <t>_x000D_
    DESCRIÇÃO DO CÁLCULO_x000D_
Código    : 126.345_x000D_
Corte     : 11_x000D_
-----------------------------_x000D_
Pendente  : _x000D_
22 / 10_2 : 4_x000D_
22 / 11_2 : 8_x000D_
22 / 12_2 : 9_x000D_
23 / 01_2 : 5_x000D_
23 / 02_2 : _x000D_
23 / 03_2 : 10_x000D_
23 / 04_2 : _x000D_
23 / 05_2 : 2_x000D_
23 / 06_2 : 3_x000D_
23 / 07_2 : 2_x000D_
23 / 08_2 : 6_x000D_
23 / 09_2 : 4_x000D_
_x000D_
    TOTAL : ( 53 )_x000D_
  DIVISOR : 12_x000D_
    MÉDIA : 4,42</t>
        </r>
      </text>
    </comment>
    <comment ref="AB18" authorId="0" shapeId="0" xr:uid="{C1255403-8B03-4BFE-85CF-E17F6187AB81}">
      <text>
        <r>
          <rPr>
            <sz val="10"/>
            <color indexed="81"/>
            <rFont val="Lucida Console"/>
            <family val="3"/>
          </rPr>
          <t>Última movimentação no estoque em 09/2023 quantidade 4.</t>
        </r>
      </text>
    </comment>
    <comment ref="R19" authorId="0" shapeId="0" xr:uid="{1A067895-F889-45DE-B630-FE75355613AB}">
      <text>
        <r>
          <rPr>
            <sz val="10"/>
            <color indexed="81"/>
            <rFont val="Lucida Console"/>
            <family val="3"/>
          </rPr>
          <t>01.01.1901</t>
        </r>
      </text>
    </comment>
    <comment ref="Y19" authorId="0" shapeId="0" xr:uid="{266E18F7-AD6F-4B45-B732-BC6D083D7FFD}">
      <text>
        <r>
          <rPr>
            <sz val="10"/>
            <color indexed="81"/>
            <rFont val="Courier New"/>
            <family val="3"/>
          </rPr>
          <t>_x000D_
    DESCRIÇÃO DO CÁLCULO_x000D_
Código    : 12.685_x000D_
Corte     : 169_x000D_
-----------------------------_x000D_
Pendente  : 211_x000D_
22 / 10_2 : _x000D_
22 / 11_2 : _x000D_
22 / 12_2 : 21_x000D_
23 / 01_2 : 64_x000D_
23 / 02_2 : 52_x000D_
23 / 03_2 : 63_x000D_
23 / 04_2 : _x000D_
23 / 05_2 : _x000D_
23 / 06_2 : _x000D_
23 / 07_2 : 48_x000D_
23 / 08_2 : 80_x000D_
23 / 09_2 : 82_x000D_
_x000D_
    TOTAL : ( 621 )_x000D_
  DIVISOR : 12_x000D_
    MÉDIA : 51,75</t>
        </r>
      </text>
    </comment>
    <comment ref="AB19" authorId="0" shapeId="0" xr:uid="{B0C75BCE-CBBF-4196-A513-6AA6BEE293CC}">
      <text>
        <r>
          <rPr>
            <sz val="10"/>
            <color indexed="81"/>
            <rFont val="Lucida Console"/>
            <family val="3"/>
          </rPr>
          <t>Última movimentação no estoque em 09/2023 quantidade 82.</t>
        </r>
      </text>
    </comment>
    <comment ref="R20" authorId="0" shapeId="0" xr:uid="{A7F891CF-BAA1-4415-8218-DACD3C16D2A9}">
      <text>
        <r>
          <rPr>
            <sz val="10"/>
            <color indexed="81"/>
            <rFont val="Lucida Console"/>
            <family val="3"/>
          </rPr>
          <t>08.11.2005</t>
        </r>
      </text>
    </comment>
    <comment ref="Y20" authorId="0" shapeId="0" xr:uid="{ED73A445-8CDA-451F-91DE-8E7BB8FD2BE5}">
      <text>
        <r>
          <rPr>
            <sz val="10"/>
            <color indexed="81"/>
            <rFont val="Courier New"/>
            <family val="3"/>
          </rPr>
          <t>_x000D_
    DESCRIÇÃO DO CÁLCULO_x000D_
Código    : 88.876_x000D_
Corte     : 132_x000D_
-----------------------------_x000D_
Pendente  : _x000D_
22 / 10_2 : _x000D_
22 / 11_2 : _x000D_
22 / 12_2 : _x000D_
23 / 01_2 : _x000D_
23 / 02_2 : _x000D_
23 / 03_2 : _x000D_
23 / 04_2 : 132 (corte = 200)_x000D_
23 / 05_2 : _x000D_
23 / 06_2 : _x000D_
23 / 07_2 : _x000D_
23 / 08_2 : _x000D_
23 / 09_2 : _x000D_
_x000D_
    TOTAL : ( 132 )_x000D_
  DIVISOR : 12_x000D_
    MÉDIA : 11,00_x000D_
-----------------------------_x000D_
   Valores Desconsiderados_x000D_
-----------------------------_x000D_
23 / 04_2 : 68 (200)_x000D_
_x000D_
  TOTAL   : ( 68 )</t>
        </r>
      </text>
    </comment>
    <comment ref="AB20" authorId="0" shapeId="0" xr:uid="{AE81CCCB-0C27-4CA9-AF58-5605B19B3374}">
      <text>
        <r>
          <rPr>
            <sz val="10"/>
            <color indexed="81"/>
            <rFont val="Lucida Console"/>
            <family val="3"/>
          </rPr>
          <t>Última movimentação no estoque em 04/2023 quantidade 200.</t>
        </r>
      </text>
    </comment>
    <comment ref="R21" authorId="0" shapeId="0" xr:uid="{1F467529-ABC8-4F7B-AE5F-7874E5D17159}">
      <text>
        <r>
          <rPr>
            <sz val="10"/>
            <color indexed="81"/>
            <rFont val="Lucida Console"/>
            <family val="3"/>
          </rPr>
          <t>18.08.2009</t>
        </r>
      </text>
    </comment>
    <comment ref="Y21" authorId="0" shapeId="0" xr:uid="{FB23322B-AE0A-4F18-BD88-A42117BCE90A}">
      <text>
        <r>
          <rPr>
            <sz val="10"/>
            <color indexed="81"/>
            <rFont val="Courier New"/>
            <family val="3"/>
          </rPr>
          <t>_x000D_
    DESCRIÇÃO DO CÁLCULO_x000D_
Código    : 112.109_x000D_
Corte     : 5.382_x000D_
-----------------------------_x000D_
Pendente  : 20_x000D_
22 / 10_2 : 1.240_x000D_
22 / 11_2 : 1.191_x000D_
22 / 12_2 : 814_x000D_
23 / 01_2 : 450_x000D_
23 / 02_2 : 873_x000D_
23 / 03_2 : 5.382 (corte = 7812)_x000D_
23 / 04_2 : 626_x000D_
23 / 05_2 : 590_x000D_
23 / 06_2 : 703_x000D_
23 / 07_2 : 700_x000D_
23 / 08_2 : 834_x000D_
23 / 09_2 : 1.188_x000D_
_x000D_
    TOTAL : ( 14.611 )_x000D_
  DIVISOR : 12_x000D_
    MÉDIA : 1.217,58_x000D_
-----------------------------_x000D_
   Valores Desconsiderados_x000D_
-----------------------------_x000D_
23 / 03_2 : 2.430 (7.812)_x000D_
_x000D_
  TOTAL   : ( 2.430 )</t>
        </r>
      </text>
    </comment>
    <comment ref="AB21" authorId="0" shapeId="0" xr:uid="{EDCFC2B8-8F01-4FDB-BED6-9760FB7B359D}">
      <text>
        <r>
          <rPr>
            <sz val="10"/>
            <color indexed="81"/>
            <rFont val="Lucida Console"/>
            <family val="3"/>
          </rPr>
          <t>Última movimentação no estoque em 09/2023 quantidade 1.188.</t>
        </r>
      </text>
    </comment>
    <comment ref="R22" authorId="0" shapeId="0" xr:uid="{F8D7C296-33DF-4880-90B0-E5DC08231CBE}">
      <text>
        <r>
          <rPr>
            <sz val="10"/>
            <color indexed="81"/>
            <rFont val="Lucida Console"/>
            <family val="3"/>
          </rPr>
          <t>10.07.2019</t>
        </r>
      </text>
    </comment>
    <comment ref="Y22" authorId="0" shapeId="0" xr:uid="{A45DEFCD-5A05-4BF1-9828-5BACF611E13E}">
      <text>
        <r>
          <rPr>
            <sz val="10"/>
            <color indexed="81"/>
            <rFont val="Courier New"/>
            <family val="3"/>
          </rPr>
          <t>_x000D_
    DESCRIÇÃO DO CÁLCULO_x000D_
Código    : 138.054_x000D_
Corte     : 44_x000D_
-----------------------------_x000D_
Pendente  : _x000D_
22 / 10_2 : 8_x000D_
22 / 11_2 : 1_x000D_
22 / 12_2 : 23_x000D_
23 / 01_2 : 30_x000D_
23 / 02_2 : 5_x000D_
23 / 03_2 : 12_x000D_
23 / 04_2 : 44 (corte = 47)_x000D_
23 / 05_2 : _x000D_
23 / 06_2 : 30_x000D_
23 / 07_2 : 14_x000D_
23 / 08_2 : _x000D_
23 / 09_2 : _x000D_
_x000D_
    TOTAL : ( 167 )_x000D_
  DIVISOR : 12_x000D_
    MÉDIA : 13,92_x000D_
-----------------------------_x000D_
   Valores Desconsiderados_x000D_
-----------------------------_x000D_
23 / 04_2 : 3 (47)_x000D_
_x000D_
  TOTAL   : ( 3 )</t>
        </r>
      </text>
    </comment>
    <comment ref="AB22" authorId="0" shapeId="0" xr:uid="{3E707079-A259-4C78-AEAB-4498ADA35718}">
      <text>
        <r>
          <rPr>
            <sz val="10"/>
            <color indexed="81"/>
            <rFont val="Lucida Console"/>
            <family val="3"/>
          </rPr>
          <t>Última movimentação no estoque em 07/2023 quantidade 14.</t>
        </r>
      </text>
    </comment>
    <comment ref="R23" authorId="0" shapeId="0" xr:uid="{1D13F033-4BE9-4C13-A302-5133682EF0CC}">
      <text>
        <r>
          <rPr>
            <sz val="10"/>
            <color indexed="81"/>
            <rFont val="Lucida Console"/>
            <family val="3"/>
          </rPr>
          <t>01.01.1901</t>
        </r>
      </text>
    </comment>
    <comment ref="Y23" authorId="0" shapeId="0" xr:uid="{44518793-F125-48C9-ADE2-1299C7B4851C}">
      <text>
        <r>
          <rPr>
            <sz val="10"/>
            <color indexed="81"/>
            <rFont val="Courier New"/>
            <family val="3"/>
          </rPr>
          <t>_x000D_
    DESCRIÇÃO DO CÁLCULO_x000D_
Código    : 13.539_x000D_
Corte     : 733_x000D_
-----------------------------_x000D_
Pendente  : 45_x000D_
22 / 10_2 : 371_x000D_
22 / 11_2 : 268_x000D_
22 / 12_2 : _x000D_
23 / 01_2 : 261_x000D_
23 / 02_2 : 376_x000D_
23 / 03_2 : 661_x000D_
23 / 04_2 : 444_x000D_
23 / 05_2 : 437_x000D_
23 / 06_2 : 462_x000D_
23 / 07_2 : 399_x000D_
23 / 08_2 : 425_x000D_
23 / 09_2 : 429_x000D_
_x000D_
    TOTAL : ( 4.578 )_x000D_
  DIVISOR : 12_x000D_
    MÉDIA : 381,50</t>
        </r>
      </text>
    </comment>
    <comment ref="AB23" authorId="0" shapeId="0" xr:uid="{9C97ACB7-208D-4A25-81FB-4D84DBB1E7CE}">
      <text>
        <r>
          <rPr>
            <sz val="10"/>
            <color indexed="81"/>
            <rFont val="Lucida Console"/>
            <family val="3"/>
          </rPr>
          <t>Última movimentação no estoque em 09/2023 quantidade 429.</t>
        </r>
      </text>
    </comment>
    <comment ref="R24" authorId="0" shapeId="0" xr:uid="{89B0272A-E937-4A1C-9B75-8F6A9D62E8B5}">
      <text>
        <r>
          <rPr>
            <sz val="10"/>
            <color indexed="81"/>
            <rFont val="Lucida Console"/>
            <family val="3"/>
          </rPr>
          <t>08.08.2016</t>
        </r>
      </text>
    </comment>
    <comment ref="Y24" authorId="0" shapeId="0" xr:uid="{4000DBDC-908D-42AC-BB31-19CF7B2FBC2C}">
      <text>
        <r>
          <rPr>
            <sz val="10"/>
            <color indexed="81"/>
            <rFont val="Courier New"/>
            <family val="3"/>
          </rPr>
          <t>_x000D_
    DESCRIÇÃO DO CÁLCULO_x000D_
Código    : 131.917_x000D_
Corte     : 5.279_x000D_
-----------------------------_x000D_
Pendente  : _x000D_
22 / 10_2 : 172_x000D_
22 / 11_2 : 166_x000D_
22 / 12_2 : 151_x000D_
23 / 01_2 : 81_x000D_
23 / 02_2 : 263_x000D_
23 / 03_2 : 5.279 (corte = 7920)_x000D_
23 / 04_2 : 95_x000D_
23 / 05_2 : 110_x000D_
23 / 06_2 : 138_x000D_
23 / 07_2 : 126_x000D_
23 / 08_2 : 95_x000D_
23 / 09_2 : 79_x000D_
_x000D_
    TOTAL : ( 6.755 )_x000D_
  DIVISOR : 12_x000D_
    MÉDIA : 562,92_x000D_
-----------------------------_x000D_
   Valores Desconsiderados_x000D_
-----------------------------_x000D_
23 / 03_2 : 2.641 (7.920)_x000D_
_x000D_
  TOTAL   : ( 2.641 )</t>
        </r>
      </text>
    </comment>
    <comment ref="AB24" authorId="0" shapeId="0" xr:uid="{662F4947-9D5E-48D7-949B-9B319B059212}">
      <text>
        <r>
          <rPr>
            <sz val="10"/>
            <color indexed="81"/>
            <rFont val="Lucida Console"/>
            <family val="3"/>
          </rPr>
          <t>Última movimentação no estoque em 09/2023 quantidade 79.</t>
        </r>
      </text>
    </comment>
    <comment ref="R25" authorId="0" shapeId="0" xr:uid="{E8AC2FF1-09CE-4B7A-BB05-6004B365551B}">
      <text>
        <r>
          <rPr>
            <sz val="10"/>
            <color indexed="81"/>
            <rFont val="Lucida Console"/>
            <family val="3"/>
          </rPr>
          <t>12.09.2019</t>
        </r>
      </text>
    </comment>
    <comment ref="Y25" authorId="0" shapeId="0" xr:uid="{EFDB179F-978A-40BA-8A28-FCF290DC0DF8}">
      <text>
        <r>
          <rPr>
            <sz val="10"/>
            <color indexed="81"/>
            <rFont val="Courier New"/>
            <family val="3"/>
          </rPr>
          <t>_x000D_
    DESCRIÇÃO DO CÁLCULO_x000D_
Código    : 138.450_x000D_
Corte     : 1.318_x000D_
-----------------------------_x000D_
Pendente  : 435_x000D_
22 / 10_2 : 745_x000D_
22 / 11_2 : 935_x000D_
22 / 12_2 : 657_x000D_
23 / 01_2 : 36_x000D_
23 / 02_2 : 30_x000D_
23 / 03_2 : 1.005_x000D_
23 / 04_2 : 931_x000D_
23 / 05_2 : 739_x000D_
23 / 06_2 : 721_x000D_
23 / 07_2 : 477_x000D_
23 / 08_2 : 823_x000D_
23 / 09_2 : 748_x000D_
_x000D_
    TOTAL : ( 8.282 )_x000D_
  DIVISOR : 12_x000D_
    MÉDIA : 690,17</t>
        </r>
      </text>
    </comment>
    <comment ref="AB25" authorId="0" shapeId="0" xr:uid="{7C6468DC-F76A-4388-A49F-BAFFAC9BDE03}">
      <text>
        <r>
          <rPr>
            <sz val="10"/>
            <color indexed="81"/>
            <rFont val="Lucida Console"/>
            <family val="3"/>
          </rPr>
          <t>Última movimentação no estoque em 09/2023 quantidade 748.</t>
        </r>
      </text>
    </comment>
    <comment ref="R26" authorId="0" shapeId="0" xr:uid="{5AAFFE14-6312-4DC2-BB97-21750A378980}">
      <text>
        <r>
          <rPr>
            <sz val="10"/>
            <color indexed="81"/>
            <rFont val="Lucida Console"/>
            <family val="3"/>
          </rPr>
          <t>01.01.1901</t>
        </r>
      </text>
    </comment>
    <comment ref="Y26" authorId="0" shapeId="0" xr:uid="{B0F5A13D-84F8-4F6C-A1D2-BFE4D2D5415A}">
      <text>
        <r>
          <rPr>
            <sz val="10"/>
            <color indexed="81"/>
            <rFont val="Courier New"/>
            <family val="3"/>
          </rPr>
          <t>_x000D_
    DESCRIÇÃO DO CÁLCULO_x000D_
Código    : 33.609_x000D_
Corte     : 2_x000D_
-----------------------------_x000D_
Pendente  : _x000D_
22 / 10_2 : 2_x000D_
22 / 11_2 : 2 (corte = 3)_x000D_
22 / 12_2 : _x000D_
23 / 01_2 : _x000D_
23 / 02_2 : _x000D_
23 / 03_2 : _x000D_
23 / 04_2 : _x000D_
23 / 05_2 : _x000D_
23 / 06_2 : _x000D_
23 / 07_2 : _x000D_
23 / 08_2 : _x000D_
23 / 09_2 : _x000D_
_x000D_
    TOTAL : ( 4 )_x000D_
  DIVISOR : 12_x000D_
    MÉDIA : ,33_x000D_
-----------------------------_x000D_
   Valores Desconsiderados_x000D_
-----------------------------_x000D_
22 / 11_2 : 1 (3)_x000D_
_x000D_
  TOTAL   : ( 1 )</t>
        </r>
      </text>
    </comment>
    <comment ref="AB26" authorId="0" shapeId="0" xr:uid="{225F903A-625B-43C7-B1BB-08EFF1BDADB7}">
      <text>
        <r>
          <rPr>
            <sz val="10"/>
            <color indexed="81"/>
            <rFont val="Lucida Console"/>
            <family val="3"/>
          </rPr>
          <t>Última movimentação no estoque em 11/2022 quantidade 3.</t>
        </r>
      </text>
    </comment>
    <comment ref="R27" authorId="0" shapeId="0" xr:uid="{62366476-20FB-4077-942E-2594D3B225C8}">
      <text>
        <r>
          <rPr>
            <sz val="10"/>
            <color indexed="81"/>
            <rFont val="Lucida Console"/>
            <family val="3"/>
          </rPr>
          <t>01.01.1901</t>
        </r>
      </text>
    </comment>
    <comment ref="Y27" authorId="0" shapeId="0" xr:uid="{DE55B669-4138-49D0-9E41-BD7C075E89E9}">
      <text>
        <r>
          <rPr>
            <sz val="10"/>
            <color indexed="81"/>
            <rFont val="Courier New"/>
            <family val="3"/>
          </rPr>
          <t>_x000D_
    DESCRIÇÃO DO CÁLCULO_x000D_
Código    : 33.612_x000D_
Corte     : 18_x000D_
-----------------------------_x000D_
Pendente  : _x000D_
22 / 10_2 : 12_x000D_
22 / 11_2 : _x000D_
22 / 12_2 : 2_x000D_
23 / 01_2 : 1_x000D_
23 / 02_2 : 3_x000D_
23 / 03_2 : 9_x000D_
23 / 04_2 : 18 (corte = 22)_x000D_
23 / 05_2 : _x000D_
23 / 06_2 : 10_x000D_
23 / 07_2 : 5_x000D_
23 / 08_2 : _x000D_
23 / 09_2 : _x000D_
_x000D_
    TOTAL : ( 60 )_x000D_
  DIVISOR : 12_x000D_
    MÉDIA : 5,00_x000D_
-----------------------------_x000D_
   Valores Desconsiderados_x000D_
-----------------------------_x000D_
23 / 04_2 : 4 (22)_x000D_
_x000D_
  TOTAL   : ( 4 )</t>
        </r>
      </text>
    </comment>
    <comment ref="AB27" authorId="0" shapeId="0" xr:uid="{56DE8D06-675D-4A65-8EFE-F93DA7CEE594}">
      <text>
        <r>
          <rPr>
            <sz val="10"/>
            <color indexed="81"/>
            <rFont val="Lucida Console"/>
            <family val="3"/>
          </rPr>
          <t>Última movimentação no estoque em 07/2023 quantidade 5.</t>
        </r>
      </text>
    </comment>
    <comment ref="R28" authorId="0" shapeId="0" xr:uid="{C23AD6A3-EC2F-4C40-A456-296D36B00C1A}">
      <text>
        <r>
          <rPr>
            <sz val="10"/>
            <color indexed="81"/>
            <rFont val="Lucida Console"/>
            <family val="3"/>
          </rPr>
          <t>01.01.1901</t>
        </r>
      </text>
    </comment>
    <comment ref="Y28" authorId="0" shapeId="0" xr:uid="{1906E350-8148-4E8A-92EC-67D2A832FD96}">
      <text>
        <r>
          <rPr>
            <sz val="10"/>
            <color indexed="81"/>
            <rFont val="Courier New"/>
            <family val="3"/>
          </rPr>
          <t>_x000D_
    DESCRIÇÃO DO CÁLCULO_x000D_
Código    : 33.623_x000D_
Corte     : 78_x000D_
-----------------------------_x000D_
Pendente  : _x000D_
22 / 10_2 : 15_x000D_
22 / 11_2 : 29_x000D_
22 / 12_2 : 4_x000D_
23 / 01_2 : 58_x000D_
23 / 02_2 : 22_x000D_
23 / 03_2 : 72_x000D_
23 / 04_2 : 7_x000D_
23 / 05_2 : 74_x000D_
23 / 06_2 : 20_x000D_
23 / 07_2 : 11_x000D_
23 / 08_2 : 10_x000D_
23 / 09_2 : 20_x000D_
_x000D_
    TOTAL : ( 342 )_x000D_
  DIVISOR : 12_x000D_
    MÉDIA : 28,50</t>
        </r>
      </text>
    </comment>
    <comment ref="AB28" authorId="0" shapeId="0" xr:uid="{4EDC7F94-BD2F-4FD5-ACB6-D7172227E733}">
      <text>
        <r>
          <rPr>
            <sz val="10"/>
            <color indexed="81"/>
            <rFont val="Lucida Console"/>
            <family val="3"/>
          </rPr>
          <t>Última movimentação no estoque em 09/2023 quantidade 20.</t>
        </r>
      </text>
    </comment>
    <comment ref="R29" authorId="0" shapeId="0" xr:uid="{06F1FC0D-7A7B-4F1A-BF76-461D90676A59}">
      <text>
        <r>
          <rPr>
            <sz val="10"/>
            <color indexed="81"/>
            <rFont val="Lucida Console"/>
            <family val="3"/>
          </rPr>
          <t>12.02.2008</t>
        </r>
      </text>
    </comment>
    <comment ref="Y29" authorId="0" shapeId="0" xr:uid="{8058DD07-FCDB-4FB0-AF7D-C232E502AD83}">
      <text>
        <r>
          <rPr>
            <sz val="10"/>
            <color indexed="81"/>
            <rFont val="Courier New"/>
            <family val="3"/>
          </rPr>
          <t>_x000D_
    DESCRIÇÃO DO CÁLCULO_x000D_
Código    : 104.911_x000D_
Corte     : 16_x000D_
-----------------------------_x000D_
Pendente  : _x000D_
22 / 10_2 : 4_x000D_
22 / 11_2 : _x000D_
22 / 12_2 : _x000D_
23 / 01_2 : 8_x000D_
23 / 02_2 : 4_x000D_
23 / 03_2 : 10_x000D_
23 / 04_2 : _x000D_
23 / 05_2 : _x000D_
23 / 06_2 : _x000D_
23 / 07_2 : 16 (corte = 20)_x000D_
23 / 08_2 : _x000D_
23 / 09_2 : _x000D_
_x000D_
    TOTAL : ( 42 )_x000D_
  DIVISOR : 12_x000D_
    MÉDIA : 3,50_x000D_
-----------------------------_x000D_
   Valores Desconsiderados_x000D_
-----------------------------_x000D_
23 / 07_2 : 4 (20)_x000D_
_x000D_
  TOTAL   : ( 4 )</t>
        </r>
      </text>
    </comment>
    <comment ref="AB29" authorId="0" shapeId="0" xr:uid="{214C2797-8205-44A9-87A7-57309FE0106A}">
      <text>
        <r>
          <rPr>
            <sz val="10"/>
            <color indexed="81"/>
            <rFont val="Lucida Console"/>
            <family val="3"/>
          </rPr>
          <t>Última movimentação no estoque em 07/2023 quantidade 20.</t>
        </r>
      </text>
    </comment>
    <comment ref="R30" authorId="0" shapeId="0" xr:uid="{628E82F4-F201-47A4-A5FF-78629905328B}">
      <text>
        <r>
          <rPr>
            <sz val="10"/>
            <color indexed="81"/>
            <rFont val="Lucida Console"/>
            <family val="3"/>
          </rPr>
          <t>07.02.2018</t>
        </r>
      </text>
    </comment>
    <comment ref="Y30" authorId="0" shapeId="0" xr:uid="{B5D5B8BD-8AC8-4600-A594-4964B6B11D84}">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30" authorId="0" shapeId="0" xr:uid="{163D5F83-A403-44B0-A72E-355E2B0B2888}">
      <text>
        <r>
          <rPr>
            <sz val="10"/>
            <color indexed="81"/>
            <rFont val="Lucida Console"/>
            <family val="3"/>
          </rPr>
          <t>Última movimentação no estoque em 09/2023 quantidade 28.</t>
        </r>
      </text>
    </comment>
    <comment ref="R31" authorId="0" shapeId="0" xr:uid="{EDC18560-2EAE-4A1B-9187-E8E8D8483C5A}">
      <text>
        <r>
          <rPr>
            <sz val="10"/>
            <color indexed="81"/>
            <rFont val="Lucida Console"/>
            <family val="3"/>
          </rPr>
          <t>08.11.2005</t>
        </r>
      </text>
    </comment>
    <comment ref="Y31" authorId="0" shapeId="0" xr:uid="{7F6A16F4-FCEE-487C-BA69-BF7BD237DDFF}">
      <text>
        <r>
          <rPr>
            <sz val="10"/>
            <color indexed="81"/>
            <rFont val="Courier New"/>
            <family val="3"/>
          </rPr>
          <t>_x000D_
    DESCRIÇÃO DO CÁLCULO_x000D_
Código    : 88.849_x000D_
Corte     : 231_x000D_
-----------------------------_x000D_
Pendente  : _x000D_
22 / 10_2 : 2_x000D_
22 / 11_2 : 102_x000D_
22 / 12_2 : 2_x000D_
23 / 01_2 : 231 (corte = 331)_x000D_
23 / 02_2 : 2_x000D_
23 / 03_2 : 1_x000D_
23 / 04_2 : 8_x000D_
23 / 05_2 : 1_x000D_
23 / 06_2 : _x000D_
23 / 07_2 : _x000D_
23 / 08_2 : _x000D_
23 / 09_2 : _x000D_
_x000D_
    TOTAL : ( 349 )_x000D_
  DIVISOR : 12_x000D_
    MÉDIA : 29,08_x000D_
-----------------------------_x000D_
   Valores Desconsiderados_x000D_
-----------------------------_x000D_
23 / 01_2 : 100 (331)_x000D_
_x000D_
  TOTAL   : ( 100 )</t>
        </r>
      </text>
    </comment>
    <comment ref="AB31" authorId="0" shapeId="0" xr:uid="{04F50394-1C37-473C-9084-C2359A34CB6D}">
      <text>
        <r>
          <rPr>
            <sz val="10"/>
            <color indexed="81"/>
            <rFont val="Lucida Console"/>
            <family val="3"/>
          </rPr>
          <t>Última movimentação no estoque em 05/2023 quantidade 1.</t>
        </r>
      </text>
    </comment>
    <comment ref="R32" authorId="0" shapeId="0" xr:uid="{AB4D0761-5DE4-48AF-BE0B-37C36ACA479A}">
      <text>
        <r>
          <rPr>
            <sz val="10"/>
            <color indexed="81"/>
            <rFont val="Lucida Console"/>
            <family val="3"/>
          </rPr>
          <t>01.01.1901</t>
        </r>
      </text>
    </comment>
    <comment ref="Y32" authorId="0" shapeId="0" xr:uid="{72B139CC-8974-4FE8-BC53-4DDFC05427D8}">
      <text>
        <r>
          <rPr>
            <sz val="10"/>
            <color indexed="81"/>
            <rFont val="Courier New"/>
            <family val="3"/>
          </rPr>
          <t>_x000D_
    DESCRIÇÃO DO CÁLCULO_x000D_
Código    : 64.466_x000D_
Corte     : 86_x000D_
-----------------------------_x000D_
Pendente  : _x000D_
22 / 10_2 : _x000D_
22 / 11_2 : _x000D_
22 / 12_2 : 30_x000D_
23 / 01_2 : 86 (corte = 115)_x000D_
23 / 02_2 : _x000D_
23 / 03_2 : 50_x000D_
23 / 04_2 : _x000D_
23 / 05_2 : _x000D_
23 / 06_2 : _x000D_
23 / 07_2 : _x000D_
23 / 08_2 : _x000D_
23 / 09_2 : _x000D_
_x000D_
    TOTAL : ( 166 )_x000D_
  DIVISOR : 12_x000D_
    MÉDIA : 13,83_x000D_
-----------------------------_x000D_
   Valores Desconsiderados_x000D_
-----------------------------_x000D_
23 / 01_2 : 29 (115)_x000D_
_x000D_
  TOTAL   : ( 29 )</t>
        </r>
      </text>
    </comment>
    <comment ref="AB32" authorId="0" shapeId="0" xr:uid="{ABFE033E-3E7B-427C-8378-C98E0D62CC35}">
      <text>
        <r>
          <rPr>
            <sz val="10"/>
            <color indexed="81"/>
            <rFont val="Lucida Console"/>
            <family val="3"/>
          </rPr>
          <t>Última movimentação no estoque em 03/2023 quantidade 50.</t>
        </r>
      </text>
    </comment>
    <comment ref="R33" authorId="0" shapeId="0" xr:uid="{83ECDB28-2CEB-45AE-B973-CED85B77A029}">
      <text>
        <r>
          <rPr>
            <sz val="10"/>
            <color indexed="81"/>
            <rFont val="Lucida Console"/>
            <family val="3"/>
          </rPr>
          <t>01.01.1901</t>
        </r>
      </text>
    </comment>
    <comment ref="Y33" authorId="0" shapeId="0" xr:uid="{800BE537-5BE1-4B0F-AD2A-E39D5C7370F7}">
      <text>
        <r>
          <rPr>
            <sz val="10"/>
            <color indexed="81"/>
            <rFont val="Courier New"/>
            <family val="3"/>
          </rPr>
          <t>_x000D_
    DESCRIÇÃO DO CÁLCULO_x000D_
Código    : 54.032_x000D_
Corte     : 2.683_x000D_
-----------------------------_x000D_
Pendente  : _x000D_
22 / 10_2 : 1.724_x000D_
22 / 11_2 : 1.900_x000D_
22 / 12_2 : 2.010_x000D_
23 / 01_2 : 850_x000D_
23 / 02_2 : 1.890_x000D_
23 / 03_2 : 650_x000D_
23 / 04_2 : 1.800_x000D_
23 / 05_2 : _x000D_
23 / 06_2 : _x000D_
23 / 07_2 : _x000D_
23 / 08_2 : 1.000_x000D_
23 / 09_2 : _x000D_
_x000D_
    TOTAL : ( 11.824 )_x000D_
  DIVISOR : 12_x000D_
    MÉDIA : 985,33</t>
        </r>
      </text>
    </comment>
    <comment ref="AB33" authorId="0" shapeId="0" xr:uid="{D81F3E21-8167-4F58-B908-F5286280F2E7}">
      <text>
        <r>
          <rPr>
            <sz val="10"/>
            <color indexed="81"/>
            <rFont val="Lucida Console"/>
            <family val="3"/>
          </rPr>
          <t>Última movimentação no estoque em 08/2023 quantidade 1.000.</t>
        </r>
      </text>
    </comment>
    <comment ref="R34" authorId="0" shapeId="0" xr:uid="{A9727803-C5C3-4ECF-BCD4-E68880EB3A4B}">
      <text>
        <r>
          <rPr>
            <sz val="10"/>
            <color indexed="81"/>
            <rFont val="Lucida Console"/>
            <family val="3"/>
          </rPr>
          <t>01.01.1901</t>
        </r>
      </text>
    </comment>
    <comment ref="Y34" authorId="0" shapeId="0" xr:uid="{17694199-51E2-4333-9962-5E8869E6D5A3}">
      <text>
        <r>
          <rPr>
            <sz val="10"/>
            <color indexed="81"/>
            <rFont val="Courier New"/>
            <family val="3"/>
          </rPr>
          <t>_x000D_
    DESCRIÇÃO DO CÁLCULO_x000D_
Código    : 54.029_x000D_
Corte     : 698_x000D_
-----------------------------_x000D_
Pendente  : _x000D_
22 / 10_2 : _x000D_
22 / 11_2 : _x000D_
22 / 12_2 : 50_x000D_
23 / 01_2 : 100_x000D_
23 / 02_2 : _x000D_
23 / 03_2 : 200_x000D_
23 / 04_2 : 200_x000D_
23 / 05_2 : _x000D_
23 / 06_2 : _x000D_
23 / 07_2 : _x000D_
23 / 08_2 : 698 (corte = 1000)_x000D_
23 / 09_2 : _x000D_
_x000D_
    TOTAL : ( 1.248 )_x000D_
  DIVISOR : 12_x000D_
    MÉDIA : 104,00_x000D_
-----------------------------_x000D_
   Valores Desconsiderados_x000D_
-----------------------------_x000D_
23 / 08_2 : 302 (1.000)_x000D_
_x000D_
  TOTAL   : ( 302 )</t>
        </r>
      </text>
    </comment>
    <comment ref="AB34" authorId="0" shapeId="0" xr:uid="{17DBDE7E-C490-4985-BFB4-B464A4FFCFF7}">
      <text>
        <r>
          <rPr>
            <sz val="10"/>
            <color indexed="81"/>
            <rFont val="Lucida Console"/>
            <family val="3"/>
          </rPr>
          <t>Última movimentação no estoque em 08/2023 quantidade 1.000.</t>
        </r>
      </text>
    </comment>
    <comment ref="R35" authorId="0" shapeId="0" xr:uid="{06C2BC2E-5F55-40E2-85D0-E4EBFAFC9C78}">
      <text>
        <r>
          <rPr>
            <sz val="10"/>
            <color indexed="81"/>
            <rFont val="Lucida Console"/>
            <family val="3"/>
          </rPr>
          <t>01.01.1901</t>
        </r>
      </text>
    </comment>
    <comment ref="Y35" authorId="0" shapeId="0" xr:uid="{058954D0-7756-446E-935D-7FC879E6F3AC}">
      <text>
        <r>
          <rPr>
            <sz val="10"/>
            <color indexed="81"/>
            <rFont val="Courier New"/>
            <family val="3"/>
          </rPr>
          <t>_x000D_
    DESCRIÇÃO DO CÁLCULO_x000D_
Código    : 113.611_x000D_
Corte     : 23_x000D_
-----------------------------_x000D_
Pendente  : _x000D_
22 / 10_2 : 23 (corte = 35)_x000D_
22 / 11_2 : _x000D_
22 / 12_2 : _x000D_
23 / 01_2 : _x000D_
23 / 02_2 : _x000D_
23 / 03_2 : _x000D_
23 / 04_2 : _x000D_
23 / 05_2 : _x000D_
23 / 06_2 : _x000D_
23 / 07_2 : _x000D_
23 / 08_2 : _x000D_
23 / 09_2 : _x000D_
_x000D_
    TOTAL : ( 23 )_x000D_
  DIVISOR : 12_x000D_
    MÉDIA : 1,92_x000D_
-----------------------------_x000D_
   Valores Desconsiderados_x000D_
-----------------------------_x000D_
22 / 10_2 : 12 (35)_x000D_
_x000D_
  TOTAL   : ( 12 )</t>
        </r>
      </text>
    </comment>
    <comment ref="AB35" authorId="0" shapeId="0" xr:uid="{6C10F61D-ED59-471A-9EC3-B4054AF72486}">
      <text>
        <r>
          <rPr>
            <sz val="10"/>
            <color indexed="81"/>
            <rFont val="Lucida Console"/>
            <family val="3"/>
          </rPr>
          <t>Última movimentação no estoque em 10/2022 quantidade 35.</t>
        </r>
      </text>
    </comment>
    <comment ref="R36" authorId="0" shapeId="0" xr:uid="{8A63A348-4989-4928-A2DE-7826B1A66FEF}">
      <text>
        <r>
          <rPr>
            <sz val="10"/>
            <color indexed="81"/>
            <rFont val="Lucida Console"/>
            <family val="3"/>
          </rPr>
          <t>19.05.2022</t>
        </r>
      </text>
    </comment>
    <comment ref="Y36" authorId="0" shapeId="0" xr:uid="{118C5522-56D4-48FD-BE60-D59E92F3B2A8}">
      <text>
        <r>
          <rPr>
            <sz val="10"/>
            <color indexed="81"/>
            <rFont val="Courier New"/>
            <family val="3"/>
          </rPr>
          <t>_x000D_
    DESCRIÇÃO DO CÁLCULO_x000D_
Código    : 144.153_x000D_
Corte     : 160_x000D_
-----------------------------_x000D_
Pendente  : 10_x000D_
22 / 10_2 : 5_x000D_
22 / 11_2 : 23_x000D_
22 / 12_2 : 44_x000D_
23 / 01_2 : 104_x000D_
23 / 02_2 : 49_x000D_
23 / 03_2 : 39_x000D_
23 / 04_2 : 73_x000D_
23 / 05_2 : 160 (corte = 173)_x000D_
23 / 06_2 : 80_x000D_
23 / 07_2 : 40_x000D_
23 / 08_2 : 112_x000D_
23 / 09_2 : 56_x000D_
_x000D_
    TOTAL : ( 795 )_x000D_
  DIVISOR : 12_x000D_
    MÉDIA : 66,25_x000D_
-----------------------------_x000D_
   Valores Desconsiderados_x000D_
-----------------------------_x000D_
23 / 05_2 : 13 (173)_x000D_
_x000D_
  TOTAL   : ( 13 )</t>
        </r>
      </text>
    </comment>
    <comment ref="AB36" authorId="0" shapeId="0" xr:uid="{E6812748-2A70-43CB-9BE7-8994F55E8160}">
      <text>
        <r>
          <rPr>
            <sz val="10"/>
            <color indexed="81"/>
            <rFont val="Lucida Console"/>
            <family val="3"/>
          </rPr>
          <t>Última movimentação no estoque em 09/2023 quantidade 56.</t>
        </r>
      </text>
    </comment>
    <comment ref="R37" authorId="0" shapeId="0" xr:uid="{F8C25A4A-3E0C-4754-A348-3CAFADF6297F}">
      <text>
        <r>
          <rPr>
            <sz val="10"/>
            <color indexed="81"/>
            <rFont val="Lucida Console"/>
            <family val="3"/>
          </rPr>
          <t>13.06.2019</t>
        </r>
      </text>
    </comment>
    <comment ref="Y37" authorId="0" shapeId="0" xr:uid="{682837B7-404E-4BAB-8672-8466F3F31F94}">
      <text>
        <r>
          <rPr>
            <sz val="10"/>
            <color indexed="81"/>
            <rFont val="Courier New"/>
            <family val="3"/>
          </rPr>
          <t>_x000D_
    DESCRIÇÃO DO CÁLCULO_x000D_
Código    : 137.798_x000D_
Corte     : _x000D_
-----------------------------_x000D_
Pendente  : _x000D_
22 / 10_2 : _x000D_
22 / 11_2 : _x000D_
22 / 12_2 : _x000D_
23 / 01_2 : _x000D_
23 / 02_2 : _x000D_
23 / 03_2 : _x000D_
23 / 04_2 : _x000D_
23 / 05_2 : _x000D_
23 / 06_2 :  (corte = 1)_x000D_
23 / 07_2 : _x000D_
23 / 08_2 : _x000D_
23 / 09_2 : _x000D_
_x000D_
    TOTAL : (  )_x000D_
  DIVISOR : 12_x000D_
    MÉDIA : ,00_x000D_
-----------------------------_x000D_
   Valores Desconsiderados_x000D_
-----------------------------_x000D_
23 / 06_2 : 1 (1)_x000D_
_x000D_
  TOTAL   : ( 1 )</t>
        </r>
      </text>
    </comment>
    <comment ref="AB37" authorId="0" shapeId="0" xr:uid="{2FCE4A1C-3618-462D-AD66-377AD4A4684C}">
      <text>
        <r>
          <rPr>
            <sz val="10"/>
            <color indexed="81"/>
            <rFont val="Lucida Console"/>
            <family val="3"/>
          </rPr>
          <t>Última movimentação no estoque em 06/2023 quantidade 1.</t>
        </r>
      </text>
    </comment>
    <comment ref="R38" authorId="0" shapeId="0" xr:uid="{3AC7C921-25C9-47BE-BAEF-BF8EF1E308F3}">
      <text>
        <r>
          <rPr>
            <sz val="10"/>
            <color indexed="81"/>
            <rFont val="Lucida Console"/>
            <family val="3"/>
          </rPr>
          <t>01.01.1901</t>
        </r>
      </text>
    </comment>
    <comment ref="Y38" authorId="0" shapeId="0" xr:uid="{FC112F51-87BC-48E9-96C7-19E02B28F806}">
      <text>
        <r>
          <rPr>
            <sz val="10"/>
            <color indexed="81"/>
            <rFont val="Courier New"/>
            <family val="3"/>
          </rPr>
          <t>_x000D_
    DESCRIÇÃO DO CÁLCULO_x000D_
Código    : 63.991_x000D_
Corte     : 958_x000D_
-----------------------------_x000D_
Pendente  : 210_x000D_
22 / 10_2 : 253_x000D_
22 / 11_2 : 307_x000D_
22 / 12_2 : 167_x000D_
23 / 01_2 : 101_x000D_
23 / 02_2 : 215_x000D_
23 / 03_2 : 958 (corte = 1319)_x000D_
23 / 04_2 : 5_x000D_
23 / 05_2 : 130_x000D_
23 / 06_2 : 271_x000D_
23 / 07_2 : 274_x000D_
23 / 08_2 : 303_x000D_
23 / 09_2 : 257_x000D_
_x000D_
    TOTAL : ( 3.451 )_x000D_
  DIVISOR : 12_x000D_
    MÉDIA : 287,58_x000D_
-----------------------------_x000D_
   Valores Desconsiderados_x000D_
-----------------------------_x000D_
23 / 03_2 : 361 (1.319)_x000D_
_x000D_
  TOTAL   : ( 361 )</t>
        </r>
      </text>
    </comment>
    <comment ref="AB38" authorId="0" shapeId="0" xr:uid="{36C9471E-437B-41E8-8652-41006CCBC96E}">
      <text>
        <r>
          <rPr>
            <sz val="10"/>
            <color indexed="81"/>
            <rFont val="Lucida Console"/>
            <family val="3"/>
          </rPr>
          <t>Última movimentação no estoque em 09/2023 quantidade 257.</t>
        </r>
      </text>
    </comment>
    <comment ref="R39" authorId="0" shapeId="0" xr:uid="{325687FC-C67D-4D83-B33F-417597F8F27C}">
      <text>
        <r>
          <rPr>
            <sz val="10"/>
            <color indexed="81"/>
            <rFont val="Lucida Console"/>
            <family val="3"/>
          </rPr>
          <t>01.01.1901</t>
        </r>
      </text>
    </comment>
    <comment ref="Y39" authorId="0" shapeId="0" xr:uid="{059225A6-E5B7-472B-A803-EEFD48111828}">
      <text>
        <r>
          <rPr>
            <sz val="10"/>
            <color indexed="81"/>
            <rFont val="Courier New"/>
            <family val="3"/>
          </rPr>
          <t>_x000D_
    DESCRIÇÃO DO CÁLCULO_x000D_
Código    : 54.682_x000D_
Corte     : 2.411_x000D_
-----------------------------_x000D_
Pendente  : 154_x000D_
22 / 10_2 : 120_x000D_
22 / 11_2 : 143_x000D_
22 / 12_2 : 81_x000D_
23 / 01_2 : 78_x000D_
23 / 02_2 : 78_x000D_
23 / 03_2 : 2.411 (corte = 3731)_x000D_
23 / 04_2 : 84_x000D_
23 / 05_2 : _x000D_
23 / 06_2 : _x000D_
23 / 07_2 : _x000D_
23 / 08_2 : _x000D_
23 / 09_2 : _x000D_
_x000D_
    TOTAL : ( 3.149 )_x000D_
  DIVISOR : 12_x000D_
    MÉDIA : 262,42_x000D_
-----------------------------_x000D_
   Valores Desconsiderados_x000D_
-----------------------------_x000D_
23 / 03_2 : 1.320 (3.731)_x000D_
_x000D_
  TOTAL   : ( 1.320 )</t>
        </r>
      </text>
    </comment>
    <comment ref="AB39" authorId="0" shapeId="0" xr:uid="{218E6353-EF29-47AC-A7F2-A7D7F6FEF0B0}">
      <text>
        <r>
          <rPr>
            <sz val="10"/>
            <color indexed="81"/>
            <rFont val="Lucida Console"/>
            <family val="3"/>
          </rPr>
          <t>Última movimentação no estoque em 04/2023 quantidade 84.</t>
        </r>
      </text>
    </comment>
    <comment ref="R40" authorId="0" shapeId="0" xr:uid="{C90AEFDA-C9AD-4291-A451-D1DA4A3C7524}">
      <text>
        <r>
          <rPr>
            <sz val="10"/>
            <color indexed="81"/>
            <rFont val="Lucida Console"/>
            <family val="3"/>
          </rPr>
          <t>08.11.2005</t>
        </r>
      </text>
    </comment>
    <comment ref="Y40" authorId="0" shapeId="0" xr:uid="{9FB4500B-BF59-4193-B229-169D8A382668}">
      <text>
        <r>
          <rPr>
            <sz val="10"/>
            <color indexed="81"/>
            <rFont val="Courier New"/>
            <family val="3"/>
          </rPr>
          <t>_x000D_
    DESCRIÇÃO DO CÁLCULO_x000D_
Código    : 88.856_x000D_
Corte     : 72_x000D_
-----------------------------_x000D_
Pendente  : _x000D_
22 / 10_2 : 20_x000D_
22 / 11_2 : 72 (corte = 85)_x000D_
22 / 12_2 : 5_x000D_
23 / 01_2 : 40_x000D_
23 / 02_2 : 10_x000D_
23 / 03_2 : _x000D_
23 / 04_2 : 20_x000D_
23 / 05_2 : _x000D_
23 / 06_2 : 50_x000D_
23 / 07_2 : _x000D_
23 / 08_2 : _x000D_
23 / 09_2 : _x000D_
_x000D_
    TOTAL : ( 217 )_x000D_
  DIVISOR : 12_x000D_
    MÉDIA : 18,08_x000D_
-----------------------------_x000D_
   Valores Desconsiderados_x000D_
-----------------------------_x000D_
22 / 11_2 : 13 (85)_x000D_
_x000D_
  TOTAL   : ( 13 )</t>
        </r>
      </text>
    </comment>
    <comment ref="AB40" authorId="0" shapeId="0" xr:uid="{123FB96D-A7F5-44C9-B1B8-9C0AF3F9AA8E}">
      <text>
        <r>
          <rPr>
            <sz val="10"/>
            <color indexed="81"/>
            <rFont val="Lucida Console"/>
            <family val="3"/>
          </rPr>
          <t>Última movimentação no estoque em 06/2023 quantidade 50.</t>
        </r>
      </text>
    </comment>
    <comment ref="R41" authorId="0" shapeId="0" xr:uid="{ACEC1EBB-288E-4C40-9960-EAA5938B93C1}">
      <text>
        <r>
          <rPr>
            <sz val="10"/>
            <color indexed="81"/>
            <rFont val="Lucida Console"/>
            <family val="3"/>
          </rPr>
          <t>01.01.1901</t>
        </r>
      </text>
    </comment>
    <comment ref="Y41" authorId="0" shapeId="0" xr:uid="{010ACFFD-801E-4CFC-BEB1-F8624C8C6CEA}">
      <text>
        <r>
          <rPr>
            <sz val="10"/>
            <color indexed="81"/>
            <rFont val="Courier New"/>
            <family val="3"/>
          </rPr>
          <t>_x000D_
    DESCRIÇÃO DO CÁLCULO_x000D_
Código    : 59.882_x000D_
Corte     : 203_x000D_
-----------------------------_x000D_
Pendente  : _x000D_
22 / 10_2 : 12_x000D_
22 / 11_2 : 53_x000D_
22 / 12_2 : 15_x000D_
23 / 01_2 : 152_x000D_
23 / 02_2 : 31_x000D_
23 / 03_2 : 203 (corte = 240)_x000D_
23 / 04_2 : 75_x000D_
23 / 05_2 : 89_x000D_
23 / 06_2 : 60_x000D_
23 / 07_2 : 15_x000D_
23 / 08_2 : 28_x000D_
23 / 09_2 : _x000D_
_x000D_
    TOTAL : ( 733 )_x000D_
  DIVISOR : 12_x000D_
    MÉDIA : 61,08_x000D_
-----------------------------_x000D_
   Valores Desconsiderados_x000D_
-----------------------------_x000D_
23 / 03_2 : 37 (240)_x000D_
_x000D_
  TOTAL   : ( 37 )</t>
        </r>
      </text>
    </comment>
    <comment ref="AB41" authorId="0" shapeId="0" xr:uid="{E171E572-BA4F-4805-8067-1717D161465F}">
      <text>
        <r>
          <rPr>
            <sz val="10"/>
            <color indexed="81"/>
            <rFont val="Lucida Console"/>
            <family val="3"/>
          </rPr>
          <t>Última movimentação no estoque em 08/2023 quantidade 28.</t>
        </r>
      </text>
    </comment>
    <comment ref="R42" authorId="0" shapeId="0" xr:uid="{D3C88FF7-8F5E-4521-A466-B16525FC4451}">
      <text>
        <r>
          <rPr>
            <sz val="10"/>
            <color indexed="81"/>
            <rFont val="Lucida Console"/>
            <family val="3"/>
          </rPr>
          <t>01.01.1901</t>
        </r>
      </text>
    </comment>
    <comment ref="Y42" authorId="0" shapeId="0" xr:uid="{1ADBED38-FC02-42BB-ADF5-B07C6138C025}">
      <text>
        <r>
          <rPr>
            <sz val="10"/>
            <color indexed="81"/>
            <rFont val="Courier New"/>
            <family val="3"/>
          </rPr>
          <t>_x000D_
    DESCRIÇÃO DO CÁLCULO_x000D_
Código    : 59.942_x000D_
Corte     : 35_x000D_
-----------------------------_x000D_
Pendente  : _x000D_
22 / 10_2 : _x000D_
22 / 11_2 : _x000D_
22 / 12_2 : 5_x000D_
23 / 01_2 : 6_x000D_
23 / 02_2 : _x000D_
23 / 03_2 : 35 (corte = 39)_x000D_
23 / 04_2 : 4_x000D_
23 / 05_2 : 20_x000D_
23 / 06_2 : 9_x000D_
23 / 07_2 : 16_x000D_
23 / 08_2 : 26_x000D_
23 / 09_2 : _x000D_
_x000D_
    TOTAL : ( 121 )_x000D_
  DIVISOR : 12_x000D_
    MÉDIA : 10,08_x000D_
-----------------------------_x000D_
   Valores Desconsiderados_x000D_
-----------------------------_x000D_
23 / 03_2 : 4 (39)_x000D_
_x000D_
  TOTAL   : ( 4 )</t>
        </r>
      </text>
    </comment>
    <comment ref="AB42" authorId="0" shapeId="0" xr:uid="{379C2A3A-9330-4661-87FD-8C9BB95DCE64}">
      <text>
        <r>
          <rPr>
            <sz val="10"/>
            <color indexed="81"/>
            <rFont val="Lucida Console"/>
            <family val="3"/>
          </rPr>
          <t>Última movimentação no estoque em 08/2023 quantidade 26.</t>
        </r>
      </text>
    </comment>
    <comment ref="R43" authorId="0" shapeId="0" xr:uid="{D3CDAD96-FA8C-46FC-9995-D1033C07C8A1}">
      <text>
        <r>
          <rPr>
            <sz val="10"/>
            <color indexed="81"/>
            <rFont val="Lucida Console"/>
            <family val="3"/>
          </rPr>
          <t>01.01.1901</t>
        </r>
      </text>
    </comment>
    <comment ref="Y43" authorId="0" shapeId="0" xr:uid="{F6EEDF1C-FB68-44EF-89DA-047BE9D34D87}">
      <text>
        <r>
          <rPr>
            <sz val="10"/>
            <color indexed="81"/>
            <rFont val="Courier New"/>
            <family val="3"/>
          </rPr>
          <t>_x000D_
    DESCRIÇÃO DO CÁLCULO_x000D_
Código    : 64.604_x000D_
Corte     : 21_x000D_
-----------------------------_x000D_
Pendente  : _x000D_
22 / 10_2 : _x000D_
22 / 11_2 : _x000D_
22 / 12_2 : _x000D_
23 / 01_2 : 1_x000D_
23 / 02_2 : 2_x000D_
23 / 03_2 : 21 (corte = 30)_x000D_
23 / 04_2 : _x000D_
23 / 05_2 : _x000D_
23 / 06_2 : _x000D_
23 / 07_2 : 5_x000D_
23 / 08_2 : 10_x000D_
23 / 09_2 : _x000D_
_x000D_
    TOTAL : ( 39 )_x000D_
  DIVISOR : 12_x000D_
    MÉDIA : 3,25_x000D_
-----------------------------_x000D_
   Valores Desconsiderados_x000D_
-----------------------------_x000D_
23 / 03_2 : 9 (30)_x000D_
_x000D_
  TOTAL   : ( 9 )</t>
        </r>
      </text>
    </comment>
    <comment ref="AB43" authorId="0" shapeId="0" xr:uid="{EE21F674-D14B-48C2-9590-FC8F9D9FE87A}">
      <text>
        <r>
          <rPr>
            <sz val="10"/>
            <color indexed="81"/>
            <rFont val="Lucida Console"/>
            <family val="3"/>
          </rPr>
          <t>Última movimentação no estoque em 08/2023 quantidade 10.</t>
        </r>
      </text>
    </comment>
    <comment ref="R44" authorId="0" shapeId="0" xr:uid="{C280983D-56DD-45C9-AACB-7BB8E90E0ADA}">
      <text>
        <r>
          <rPr>
            <sz val="10"/>
            <color indexed="81"/>
            <rFont val="Lucida Console"/>
            <family val="3"/>
          </rPr>
          <t>01.01.1901</t>
        </r>
      </text>
    </comment>
    <comment ref="Y44" authorId="0" shapeId="0" xr:uid="{E1F5E0BE-30DC-4DB8-821B-3E84B90DF80F}">
      <text>
        <r>
          <rPr>
            <sz val="10"/>
            <color indexed="81"/>
            <rFont val="Courier New"/>
            <family val="3"/>
          </rPr>
          <t>_x000D_
    DESCRIÇÃO DO CÁLCULO_x000D_
Código    : 64.605_x000D_
Corte     : 112_x000D_
-----------------------------_x000D_
Pendente  : _x000D_
22 / 10_2 : 10_x000D_
22 / 11_2 : 31_x000D_
22 / 12_2 : 6_x000D_
23 / 01_2 : 105_x000D_
23 / 02_2 : 13_x000D_
23 / 03_2 : 106_x000D_
23 / 04_2 : 60_x000D_
23 / 05_2 : 46_x000D_
23 / 06_2 : 50_x000D_
23 / 07_2 : 5_x000D_
23 / 08_2 : 7_x000D_
23 / 09_2 : _x000D_
_x000D_
    TOTAL : ( 439 )_x000D_
  DIVISOR : 12_x000D_
    MÉDIA : 36,58</t>
        </r>
      </text>
    </comment>
    <comment ref="AB44" authorId="0" shapeId="0" xr:uid="{C910B3A1-4CBD-433A-BF0A-0CEDB8E9D2DF}">
      <text>
        <r>
          <rPr>
            <sz val="10"/>
            <color indexed="81"/>
            <rFont val="Lucida Console"/>
            <family val="3"/>
          </rPr>
          <t>Última movimentação no estoque em 08/2023 quantidade 7.</t>
        </r>
      </text>
    </comment>
    <comment ref="R45" authorId="0" shapeId="0" xr:uid="{BFD7AB61-0C2C-40CC-B369-64F24A922115}">
      <text>
        <r>
          <rPr>
            <sz val="10"/>
            <color indexed="81"/>
            <rFont val="Lucida Console"/>
            <family val="3"/>
          </rPr>
          <t>28.06.2004</t>
        </r>
      </text>
    </comment>
    <comment ref="Y45" authorId="0" shapeId="0" xr:uid="{5E041DCB-643E-4CE8-B704-EDB9B417AF33}">
      <text>
        <r>
          <rPr>
            <sz val="10"/>
            <color indexed="81"/>
            <rFont val="Courier New"/>
            <family val="3"/>
          </rPr>
          <t>_x000D_
    DESCRIÇÃO DO CÁLCULO_x000D_
Código    : 80.300_x000D_
Corte     : 14_x000D_
-----------------------------_x000D_
Pendente  : 5_x000D_
22 / 10_2 : 11_x000D_
22 / 11_2 : 3_x000D_
22 / 12_2 : 14_x000D_
23 / 01_2 : 7_x000D_
23 / 02_2 : 1_x000D_
23 / 03_2 : 9_x000D_
23 / 04_2 : 1_x000D_
23 / 05_2 : _x000D_
23 / 06_2 : 4_x000D_
23 / 07_2 : _x000D_
23 / 08_2 : _x000D_
23 / 09_2 : _x000D_
_x000D_
    TOTAL : ( 55 )_x000D_
  DIVISOR : 12_x000D_
    MÉDIA : 4,58</t>
        </r>
      </text>
    </comment>
    <comment ref="AB45" authorId="0" shapeId="0" xr:uid="{1A560A25-9A2A-4770-9275-ED6240D79D13}">
      <text>
        <r>
          <rPr>
            <sz val="10"/>
            <color indexed="81"/>
            <rFont val="Lucida Console"/>
            <family val="3"/>
          </rPr>
          <t>Última movimentação no estoque em 06/2023 quantidade 4.</t>
        </r>
      </text>
    </comment>
    <comment ref="R46" authorId="0" shapeId="0" xr:uid="{8153AD02-D6C9-4E7D-8081-E980571AF103}">
      <text>
        <r>
          <rPr>
            <sz val="10"/>
            <color indexed="81"/>
            <rFont val="Lucida Console"/>
            <family val="3"/>
          </rPr>
          <t>01.01.1901</t>
        </r>
      </text>
    </comment>
    <comment ref="Y46" authorId="0" shapeId="0" xr:uid="{B5A27450-F236-4D4D-8F40-6D04843178A1}">
      <text>
        <r>
          <rPr>
            <sz val="10"/>
            <color indexed="81"/>
            <rFont val="Courier New"/>
            <family val="3"/>
          </rPr>
          <t>_x000D_
    DESCRIÇÃO DO CÁLCULO_x000D_
Código    : 34.801_x000D_
Corte     : 805_x000D_
-----------------------------_x000D_
Pendente  : _x000D_
22 / 10_2 : 20_x000D_
22 / 11_2 : _x000D_
22 / 12_2 : 180_x000D_
23 / 01_2 : 805 (corte = 890)_x000D_
23 / 02_2 : 10_x000D_
23 / 03_2 : _x000D_
23 / 04_2 : 432_x000D_
23 / 05_2 : 432_x000D_
23 / 06_2 : 80_x000D_
23 / 07_2 : 276_x000D_
23 / 08_2 : 532_x000D_
23 / 09_2 : _x000D_
_x000D_
    TOTAL : ( 2.767 )_x000D_
  DIVISOR : 12_x000D_
    MÉDIA : 230,58_x000D_
-----------------------------_x000D_
   Valores Desconsiderados_x000D_
-----------------------------_x000D_
23 / 01_2 : 85 (890)_x000D_
_x000D_
  TOTAL   : ( 85 )</t>
        </r>
      </text>
    </comment>
    <comment ref="AB46" authorId="0" shapeId="0" xr:uid="{A9954D23-A8C7-4982-8E4F-0B266292FAEA}">
      <text>
        <r>
          <rPr>
            <sz val="10"/>
            <color indexed="81"/>
            <rFont val="Lucida Console"/>
            <family val="3"/>
          </rPr>
          <t>Última movimentação no estoque em 08/2023 quantidade 532.</t>
        </r>
      </text>
    </comment>
    <comment ref="R47" authorId="0" shapeId="0" xr:uid="{49D94B81-4650-48AA-96A5-83C31416B9FC}">
      <text>
        <r>
          <rPr>
            <sz val="10"/>
            <color indexed="81"/>
            <rFont val="Lucida Console"/>
            <family val="3"/>
          </rPr>
          <t>01.01.1901</t>
        </r>
      </text>
    </comment>
    <comment ref="Y47" authorId="0" shapeId="0" xr:uid="{F2151ACF-60ED-4216-AA21-AD9D4CF620D6}">
      <text>
        <r>
          <rPr>
            <sz val="10"/>
            <color indexed="81"/>
            <rFont val="Courier New"/>
            <family val="3"/>
          </rPr>
          <t>_x000D_
    DESCRIÇÃO DO CÁLCULO_x000D_
Código    : 24.371_x000D_
Corte     : 5.357_x000D_
-----------------------------_x000D_
Pendente  : _x000D_
22 / 10_2 : 2.330_x000D_
22 / 11_2 : 1.458_x000D_
22 / 12_2 : 1.108_x000D_
23 / 01_2 : 876_x000D_
23 / 02_2 : 2.394_x000D_
23 / 03_2 : 3.722_x000D_
23 / 04_2 : 4.608_x000D_
23 / 05_2 : 5.184_x000D_
23 / 06_2 : 2.334_x000D_
23 / 07_2 : 1.068_x000D_
23 / 08_2 : 2.160_x000D_
23 / 09_2 : 144_x000D_
_x000D_
    TOTAL : ( 27.386 )_x000D_
  DIVISOR : 12_x000D_
    MÉDIA : 2.282,17</t>
        </r>
      </text>
    </comment>
    <comment ref="AB47" authorId="0" shapeId="0" xr:uid="{87317E42-530B-4973-8287-4F036B6A030D}">
      <text>
        <r>
          <rPr>
            <sz val="10"/>
            <color indexed="81"/>
            <rFont val="Lucida Console"/>
            <family val="3"/>
          </rPr>
          <t>Última movimentação no estoque em 09/2023 quantidade 144.</t>
        </r>
      </text>
    </comment>
    <comment ref="R48" authorId="0" shapeId="0" xr:uid="{F00A6C9C-5539-4AF8-AABD-162DF11F6964}">
      <text>
        <r>
          <rPr>
            <sz val="10"/>
            <color indexed="81"/>
            <rFont val="Lucida Console"/>
            <family val="3"/>
          </rPr>
          <t>01.01.1901</t>
        </r>
      </text>
    </comment>
    <comment ref="Y48" authorId="0" shapeId="0" xr:uid="{6B98E141-4420-441B-94B4-EB2B9A6657BE}">
      <text>
        <r>
          <rPr>
            <sz val="10"/>
            <color indexed="81"/>
            <rFont val="Courier New"/>
            <family val="3"/>
          </rPr>
          <t>_x000D_
    DESCRIÇÃO DO CÁLCULO_x000D_
Código    : 32.534_x000D_
Corte     : 1.191_x000D_
-----------------------------_x000D_
Pendente  : _x000D_
22 / 10_2 : _x000D_
22 / 11_2 : 1.191 (corte = 1540)_x000D_
22 / 12_2 : 670_x000D_
23 / 01_2 : 25_x000D_
23 / 02_2 : 80_x000D_
23 / 03_2 : 364_x000D_
23 / 04_2 : 432_x000D_
23 / 05_2 : _x000D_
23 / 06_2 : 296_x000D_
23 / 07_2 : _x000D_
23 / 08_2 : _x000D_
23 / 09_2 : _x000D_
_x000D_
    TOTAL : ( 3.058 )_x000D_
  DIVISOR : 12_x000D_
    MÉDIA : 254,83_x000D_
-----------------------------_x000D_
   Valores Desconsiderados_x000D_
-----------------------------_x000D_
22 / 11_2 : 349 (1.540)_x000D_
_x000D_
  TOTAL   : ( 349 )</t>
        </r>
      </text>
    </comment>
    <comment ref="AB48" authorId="0" shapeId="0" xr:uid="{5DD8273A-8CA0-4659-BD05-5E544775ADB0}">
      <text>
        <r>
          <rPr>
            <sz val="10"/>
            <color indexed="81"/>
            <rFont val="Lucida Console"/>
            <family val="3"/>
          </rPr>
          <t>Última movimentação no estoque em 06/2023 quantidade 296.</t>
        </r>
      </text>
    </comment>
    <comment ref="R49" authorId="0" shapeId="0" xr:uid="{8D8018EF-5B96-4792-9DB8-6E0180327209}">
      <text>
        <r>
          <rPr>
            <sz val="10"/>
            <color indexed="81"/>
            <rFont val="Lucida Console"/>
            <family val="3"/>
          </rPr>
          <t>01.01.1901</t>
        </r>
      </text>
    </comment>
    <comment ref="Y49" authorId="0" shapeId="0" xr:uid="{D1DFC030-B81B-4C40-883B-A001B51811AB}">
      <text>
        <r>
          <rPr>
            <sz val="10"/>
            <color indexed="81"/>
            <rFont val="Courier New"/>
            <family val="3"/>
          </rPr>
          <t>_x000D_
    DESCRIÇÃO DO CÁLCULO_x000D_
Código    : 69.222_x000D_
Corte     : 1.148_x000D_
-----------------------------_x000D_
Pendente  : 1.202_x000D_
22 / 10_2 : 317_x000D_
22 / 11_2 : 248_x000D_
22 / 12_2 : _x000D_
23 / 01_2 : _x000D_
23 / 02_2 : _x000D_
23 / 03_2 : 649_x000D_
23 / 04_2 : 519_x000D_
23 / 05_2 : 587_x000D_
23 / 06_2 : 730_x000D_
23 / 07_2 : 518_x000D_
23 / 08_2 : 5_x000D_
23 / 09_2 : _x000D_
_x000D_
    TOTAL : ( 4.775 )_x000D_
  DIVISOR : 12_x000D_
    MÉDIA : 397,92</t>
        </r>
      </text>
    </comment>
    <comment ref="AB49" authorId="0" shapeId="0" xr:uid="{0A60ACAF-607A-4367-93FD-557B115E2960}">
      <text>
        <r>
          <rPr>
            <sz val="10"/>
            <color indexed="81"/>
            <rFont val="Lucida Console"/>
            <family val="3"/>
          </rPr>
          <t>Última movimentação no estoque em 08/2023 quantidade 5.</t>
        </r>
      </text>
    </comment>
    <comment ref="R50" authorId="0" shapeId="0" xr:uid="{A75DEC72-4DBD-482D-A9AE-718FFD9A92B6}">
      <text>
        <r>
          <rPr>
            <sz val="10"/>
            <color indexed="81"/>
            <rFont val="Lucida Console"/>
            <family val="3"/>
          </rPr>
          <t>01.01.1901</t>
        </r>
      </text>
    </comment>
    <comment ref="Y50" authorId="0" shapeId="0" xr:uid="{73BD9596-D22E-48C9-A7DF-0AB6AF860177}">
      <text>
        <r>
          <rPr>
            <sz val="10"/>
            <color indexed="81"/>
            <rFont val="Courier New"/>
            <family val="3"/>
          </rPr>
          <t>_x000D_
    DESCRIÇÃO DO CÁLCULO_x000D_
Código    : 59.074_x000D_
Corte     : 431_x000D_
-----------------------------_x000D_
Pendente  : 316_x000D_
22 / 10_2 : 110_x000D_
22 / 11_2 : 130_x000D_
22 / 12_2 : 421_x000D_
23 / 01_2 : 115_x000D_
23 / 02_2 : 117_x000D_
23 / 03_2 : 173_x000D_
23 / 04_2 : 343_x000D_
23 / 05_2 : 39_x000D_
23 / 06_2 : _x000D_
23 / 07_2 : _x000D_
23 / 08_2 : _x000D_
23 / 09_2 : _x000D_
_x000D_
    TOTAL : ( 1.764 )_x000D_
  DIVISOR : 12_x000D_
    MÉDIA : 147,00</t>
        </r>
      </text>
    </comment>
    <comment ref="AB50" authorId="0" shapeId="0" xr:uid="{F48F377E-58AE-4FB0-9E50-5BA991B3893B}">
      <text>
        <r>
          <rPr>
            <sz val="10"/>
            <color indexed="81"/>
            <rFont val="Lucida Console"/>
            <family val="3"/>
          </rPr>
          <t>Última movimentação no estoque em 05/2023 quantidade 39.</t>
        </r>
      </text>
    </comment>
    <comment ref="R51" authorId="0" shapeId="0" xr:uid="{EAAB9B41-B281-4C42-AB26-D2CCFE349FF3}">
      <text>
        <r>
          <rPr>
            <sz val="10"/>
            <color indexed="81"/>
            <rFont val="Lucida Console"/>
            <family val="3"/>
          </rPr>
          <t>19.03.2004</t>
        </r>
      </text>
    </comment>
    <comment ref="Y51" authorId="0" shapeId="0" xr:uid="{EDD18048-03D7-4D1B-AD65-2273C33B1F6D}">
      <text>
        <r>
          <rPr>
            <sz val="10"/>
            <color indexed="81"/>
            <rFont val="Courier New"/>
            <family val="3"/>
          </rPr>
          <t>_x000D_
    DESCRIÇÃO DO CÁLCULO_x000D_
Código    : 77.819_x000D_
Corte     : 382_x000D_
-----------------------------_x000D_
Pendente  : _x000D_
22 / 10_2 : 258_x000D_
22 / 11_2 : 261_x000D_
22 / 12_2 : 208_x000D_
23 / 01_2 : 61_x000D_
23 / 02_2 : 194_x000D_
23 / 03_2 : 380_x000D_
23 / 04_2 : 194_x000D_
23 / 05_2 : 286_x000D_
23 / 06_2 : 250_x000D_
23 / 07_2 : 233_x000D_
23 / 08_2 : 261_x000D_
23 / 09_2 : 233_x000D_
_x000D_
    TOTAL : ( 2.819 )_x000D_
  DIVISOR : 12_x000D_
    MÉDIA : 234,92</t>
        </r>
      </text>
    </comment>
    <comment ref="AB51" authorId="0" shapeId="0" xr:uid="{65393906-FFFF-48BB-A3DC-27AED3248BA4}">
      <text>
        <r>
          <rPr>
            <sz val="10"/>
            <color indexed="81"/>
            <rFont val="Lucida Console"/>
            <family val="3"/>
          </rPr>
          <t>Última movimentação no estoque em 09/2023 quantidade 233.</t>
        </r>
      </text>
    </comment>
    <comment ref="R52" authorId="0" shapeId="0" xr:uid="{DCBD702D-2713-49D5-8C5A-92A5D1A6C5BC}">
      <text>
        <r>
          <rPr>
            <sz val="10"/>
            <color indexed="81"/>
            <rFont val="Lucida Console"/>
            <family val="3"/>
          </rPr>
          <t>12.09.2019</t>
        </r>
      </text>
    </comment>
    <comment ref="Y52" authorId="0" shapeId="0" xr:uid="{FFFCD7F8-42AB-4BCB-B25B-3D4F86414214}">
      <text>
        <r>
          <rPr>
            <sz val="10"/>
            <color indexed="81"/>
            <rFont val="Courier New"/>
            <family val="3"/>
          </rPr>
          <t>_x000D_
    DESCRIÇÃO DO CÁLCULO_x000D_
Código    : 138.451_x000D_
Corte     : 15.139_x000D_
-----------------------------_x000D_
Pendente  : 300_x000D_
22 / 10_2 : 2.397_x000D_
22 / 11_2 : 3.300_x000D_
22 / 12_2 : 2.043_x000D_
23 / 01_2 : 1.044_x000D_
23 / 02_2 : 1.461_x000D_
23 / 03_2 : 15.139 (corte = 22155)_x000D_
23 / 04_2 : 2.348_x000D_
23 / 05_2 : 1.907_x000D_
23 / 06_2 : 2.256_x000D_
23 / 07_2 : 1.955_x000D_
23 / 08_2 : 2.629_x000D_
23 / 09_2 : 2.637_x000D_
_x000D_
    TOTAL : ( 39.416 )_x000D_
  DIVISOR : 12_x000D_
    MÉDIA : 3.284,67_x000D_
-----------------------------_x000D_
   Valores Desconsiderados_x000D_
-----------------------------_x000D_
23 / 03_2 : 7.016 (22.155)_x000D_
_x000D_
  TOTAL   : ( 7.016 )</t>
        </r>
      </text>
    </comment>
    <comment ref="AB52" authorId="0" shapeId="0" xr:uid="{4F33B5A0-8698-4573-876D-BC7132AEF635}">
      <text>
        <r>
          <rPr>
            <sz val="10"/>
            <color indexed="81"/>
            <rFont val="Lucida Console"/>
            <family val="3"/>
          </rPr>
          <t>Última movimentação no estoque em 09/2023 quantidade 2.637.</t>
        </r>
      </text>
    </comment>
    <comment ref="R53" authorId="0" shapeId="0" xr:uid="{84E72FB2-4F56-4CA0-91D5-FB97588C07EA}">
      <text>
        <r>
          <rPr>
            <sz val="10"/>
            <color indexed="81"/>
            <rFont val="Lucida Console"/>
            <family val="3"/>
          </rPr>
          <t>17.04.2019</t>
        </r>
      </text>
    </comment>
    <comment ref="Y53" authorId="0" shapeId="0" xr:uid="{20E83A0A-C5AE-48CE-A843-6595F5C1D4F5}">
      <text>
        <r>
          <rPr>
            <sz val="10"/>
            <color indexed="81"/>
            <rFont val="Courier New"/>
            <family val="3"/>
          </rPr>
          <t>_x000D_
    DESCRIÇÃO DO CÁLCULO_x000D_
Código    : 136.840_x000D_
Corte     : 2_x000D_
-----------------------------_x000D_
Pendente  : 4_x000D_
22 / 10_2 : _x000D_
22 / 11_2 : _x000D_
22 / 12_2 : _x000D_
23 / 01_2 : _x000D_
23 / 02_2 : _x000D_
23 / 03_2 : _x000D_
23 / 04_2 : _x000D_
23 / 05_2 : _x000D_
23 / 06_2 : _x000D_
23 / 07_2 : _x000D_
23 / 08_2 : _x000D_
23 / 09_2 : 1_x000D_
_x000D_
    TOTAL : ( 5 )_x000D_
  DIVISOR : 12_x000D_
    MÉDIA : ,42</t>
        </r>
      </text>
    </comment>
    <comment ref="AB53" authorId="0" shapeId="0" xr:uid="{9CA2E975-C9DD-422D-97F8-C854179FACD1}">
      <text>
        <r>
          <rPr>
            <sz val="10"/>
            <color indexed="81"/>
            <rFont val="Lucida Console"/>
            <family val="3"/>
          </rPr>
          <t>Última movimentação no estoque em 09/2023 quantidade 1.</t>
        </r>
      </text>
    </comment>
    <comment ref="R54" authorId="0" shapeId="0" xr:uid="{D1766CF7-387C-454F-A0D8-C6FE7EF58875}">
      <text>
        <r>
          <rPr>
            <sz val="10"/>
            <color indexed="81"/>
            <rFont val="Lucida Console"/>
            <family val="3"/>
          </rPr>
          <t>17.04.2019</t>
        </r>
      </text>
    </comment>
    <comment ref="Y54" authorId="0" shapeId="0" xr:uid="{980933B0-5D5D-47C9-AF4E-1922A71B05DF}">
      <text>
        <r>
          <rPr>
            <sz val="10"/>
            <color indexed="81"/>
            <rFont val="Courier New"/>
            <family val="3"/>
          </rPr>
          <t>_x000D_
    DESCRIÇÃO DO CÁLCULO_x000D_
Código    : 136.841_x000D_
Corte     : 4_x000D_
-----------------------------_x000D_
Pendente  : 2_x000D_
22 / 10_2 : _x000D_
22 / 11_2 : _x000D_
22 / 12_2 : _x000D_
23 / 01_2 : _x000D_
23 / 02_2 : _x000D_
23 / 03_2 : 1_x000D_
23 / 04_2 : _x000D_
23 / 05_2 : _x000D_
23 / 06_2 : _x000D_
23 / 07_2 : _x000D_
23 / 08_2 : _x000D_
23 / 09_2 : 4 (corte = 6)_x000D_
_x000D_
    TOTAL : ( 7 )_x000D_
  DIVISOR : 12_x000D_
    MÉDIA : ,58_x000D_
-----------------------------_x000D_
   Valores Desconsiderados_x000D_
-----------------------------_x000D_
23 / 09_2 : 2 (6)_x000D_
_x000D_
  TOTAL   : ( 2 )</t>
        </r>
      </text>
    </comment>
    <comment ref="AB54" authorId="0" shapeId="0" xr:uid="{23B026A9-8496-493C-866B-B8FE3AB66FC1}">
      <text>
        <r>
          <rPr>
            <sz val="10"/>
            <color indexed="81"/>
            <rFont val="Lucida Console"/>
            <family val="3"/>
          </rPr>
          <t>Última movimentação no estoque em 09/2023 quantidade 6.</t>
        </r>
      </text>
    </comment>
    <comment ref="R55" authorId="0" shapeId="0" xr:uid="{54EA3627-87AA-4D5D-801B-29CDB84A90A6}">
      <text>
        <r>
          <rPr>
            <sz val="10"/>
            <color indexed="81"/>
            <rFont val="Lucida Console"/>
            <family val="3"/>
          </rPr>
          <t>17.04.2019</t>
        </r>
      </text>
    </comment>
    <comment ref="Y55" authorId="0" shapeId="0" xr:uid="{0B396F18-634E-4F1E-AC18-4F3B83E02A9A}">
      <text>
        <r>
          <rPr>
            <sz val="10"/>
            <color indexed="81"/>
            <rFont val="Courier New"/>
            <family val="3"/>
          </rPr>
          <t>_x000D_
    DESCRIÇÃO DO CÁLCULO_x000D_
Código    : 136.842_x000D_
Corte     : 3_x000D_
-----------------------------_x000D_
Pendente  : _x000D_
22 / 10_2 : _x000D_
22 / 11_2 : _x000D_
22 / 12_2 : _x000D_
23 / 01_2 : _x000D_
23 / 02_2 : _x000D_
23 / 03_2 : 1_x000D_
23 / 04_2 : _x000D_
23 / 05_2 : _x000D_
23 / 06_2 : _x000D_
23 / 07_2 : _x000D_
23 / 08_2 : _x000D_
23 / 09_2 : 3 (corte = 5)_x000D_
_x000D_
    TOTAL : ( 4 )_x000D_
  DIVISOR : 12_x000D_
    MÉDIA : ,33_x000D_
-----------------------------_x000D_
   Valores Desconsiderados_x000D_
-----------------------------_x000D_
23 / 09_2 : 2 (5)_x000D_
_x000D_
  TOTAL   : ( 2 )</t>
        </r>
      </text>
    </comment>
    <comment ref="AB55" authorId="0" shapeId="0" xr:uid="{4FBB9579-0A6C-4A08-A8E8-F16AB5409E15}">
      <text>
        <r>
          <rPr>
            <sz val="10"/>
            <color indexed="81"/>
            <rFont val="Lucida Console"/>
            <family val="3"/>
          </rPr>
          <t>Última movimentação no estoque em 09/2023 quantidade 5.</t>
        </r>
      </text>
    </comment>
    <comment ref="R56" authorId="0" shapeId="0" xr:uid="{BF354022-BF35-496D-B33D-C27CCBE7CDB4}">
      <text>
        <r>
          <rPr>
            <sz val="10"/>
            <color indexed="81"/>
            <rFont val="Lucida Console"/>
            <family val="3"/>
          </rPr>
          <t>17.04.2019</t>
        </r>
      </text>
    </comment>
    <comment ref="Y56" authorId="0" shapeId="0" xr:uid="{22FCFB99-8661-4E29-AD77-1874FA66155B}">
      <text>
        <r>
          <rPr>
            <sz val="10"/>
            <color indexed="81"/>
            <rFont val="Courier New"/>
            <family val="3"/>
          </rPr>
          <t>_x000D_
    DESCRIÇÃO DO CÁLCULO_x000D_
Código    : 136.843_x000D_
Corte     : 1_x000D_
-----------------------------_x000D_
Pendente  : _x000D_
22 / 10_2 : _x000D_
22 / 11_2 : _x000D_
22 / 12_2 : _x000D_
23 / 01_2 : _x000D_
23 / 02_2 : _x000D_
23 / 03_2 : _x000D_
23 / 04_2 : _x000D_
23 / 05_2 : _x000D_
23 / 06_2 : _x000D_
23 / 07_2 : _x000D_
23 / 08_2 : _x000D_
23 / 09_2 : 1 (corte = 3)_x000D_
_x000D_
    TOTAL : ( 1 )_x000D_
  DIVISOR : 12_x000D_
    MÉDIA : ,08_x000D_
-----------------------------_x000D_
   Valores Desconsiderados_x000D_
-----------------------------_x000D_
23 / 09_2 : 2 (3)_x000D_
_x000D_
  TOTAL   : ( 2 )</t>
        </r>
      </text>
    </comment>
    <comment ref="AB56" authorId="0" shapeId="0" xr:uid="{AD5D6147-B958-42A4-A522-A071A10A6ABE}">
      <text>
        <r>
          <rPr>
            <sz val="10"/>
            <color indexed="81"/>
            <rFont val="Lucida Console"/>
            <family val="3"/>
          </rPr>
          <t>Última movimentação no estoque em 09/2023 quantidade 3.</t>
        </r>
      </text>
    </comment>
    <comment ref="R57" authorId="0" shapeId="0" xr:uid="{597BB492-D2A5-45E5-BD5E-1090590EA0B5}">
      <text>
        <r>
          <rPr>
            <sz val="10"/>
            <color indexed="81"/>
            <rFont val="Lucida Console"/>
            <family val="3"/>
          </rPr>
          <t>17.04.2019</t>
        </r>
      </text>
    </comment>
    <comment ref="Y57" authorId="0" shapeId="0" xr:uid="{226E0AF2-1064-494C-8A30-46ED09D11802}">
      <text>
        <r>
          <rPr>
            <sz val="10"/>
            <color indexed="81"/>
            <rFont val="Courier New"/>
            <family val="3"/>
          </rPr>
          <t>_x000D_
    DESCRIÇÃO DO CÁLCULO_x000D_
Código    : 136.820_x000D_
Corte     : 1_x000D_
-----------------------------_x000D_
Pendente  : _x000D_
22 / 10_2 : 1_x000D_
22 / 11_2 : _x000D_
22 / 12_2 : 1_x000D_
23 / 01_2 : _x000D_
23 / 02_2 : _x000D_
23 / 03_2 : 1_x000D_
23 / 04_2 : _x000D_
23 / 05_2 : _x000D_
23 / 06_2 : _x000D_
23 / 07_2 : _x000D_
23 / 08_2 : _x000D_
23 / 09_2 : _x000D_
_x000D_
    TOTAL : ( 3 )_x000D_
  DIVISOR : 12_x000D_
    MÉDIA : ,25</t>
        </r>
      </text>
    </comment>
    <comment ref="AB57" authorId="0" shapeId="0" xr:uid="{02451F91-D323-4818-8F76-2AF46436127B}">
      <text>
        <r>
          <rPr>
            <sz val="10"/>
            <color indexed="81"/>
            <rFont val="Lucida Console"/>
            <family val="3"/>
          </rPr>
          <t>Última movimentação no estoque em 03/2023 quantidade 1.</t>
        </r>
      </text>
    </comment>
    <comment ref="R58" authorId="0" shapeId="0" xr:uid="{0135A6A6-724A-4A34-9479-250B933CF534}">
      <text>
        <r>
          <rPr>
            <sz val="10"/>
            <color indexed="81"/>
            <rFont val="Lucida Console"/>
            <family val="3"/>
          </rPr>
          <t>17.04.2019</t>
        </r>
      </text>
    </comment>
    <comment ref="Y58" authorId="0" shapeId="0" xr:uid="{29FB3EB7-16F8-49D2-9416-140E8D427E8C}">
      <text>
        <r>
          <rPr>
            <sz val="10"/>
            <color indexed="81"/>
            <rFont val="Courier New"/>
            <family val="3"/>
          </rPr>
          <t>_x000D_
    DESCRIÇÃO DO CÁLCULO_x000D_
Código    : 136.821_x000D_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58" authorId="0" shapeId="0" xr:uid="{F7C845EF-B365-4605-8A17-CF39BBCCA123}">
      <text>
        <r>
          <rPr>
            <sz val="10"/>
            <color indexed="81"/>
            <rFont val="Lucida Console"/>
            <family val="3"/>
          </rPr>
          <t>Última movimentação no estoque em 03/2023 quantidade 1.</t>
        </r>
      </text>
    </comment>
    <comment ref="R59" authorId="0" shapeId="0" xr:uid="{ECE67AF9-F5A1-4477-9A7A-B40E19F6D9A1}">
      <text>
        <r>
          <rPr>
            <sz val="10"/>
            <color indexed="81"/>
            <rFont val="Lucida Console"/>
            <family val="3"/>
          </rPr>
          <t>17.04.2019</t>
        </r>
      </text>
    </comment>
    <comment ref="Y59" authorId="0" shapeId="0" xr:uid="{56050326-16A8-4722-BC49-4505AD87AA46}">
      <text>
        <r>
          <rPr>
            <sz val="10"/>
            <color indexed="81"/>
            <rFont val="Courier New"/>
            <family val="3"/>
          </rPr>
          <t>_x000D_
    DESCRIÇÃO DO CÁLCULO_x000D_
Código    : 136.822_x000D_
Corte     : 1_x000D_
-----------------------------_x000D_
Pendente  : _x000D_
22 / 10_2 : _x000D_
22 / 11_2 : _x000D_
22 / 12_2 : _x000D_
23 / 01_2 : 1_x000D_
23 / 02_2 : _x000D_
23 / 03_2 : _x000D_
23 / 04_2 : _x000D_
23 / 05_2 : _x000D_
23 / 06_2 : 1 (corte = 2)_x000D_
23 / 07_2 : _x000D_
23 / 08_2 : _x000D_
23 / 09_2 : _x000D_
_x000D_
    TOTAL : ( 2 )_x000D_
  DIVISOR : 12_x000D_
    MÉDIA : ,17_x000D_
-----------------------------_x000D_
   Valores Desconsiderados_x000D_
-----------------------------_x000D_
23 / 06_2 : 1 (2)_x000D_
_x000D_
  TOTAL   : ( 1 )</t>
        </r>
      </text>
    </comment>
    <comment ref="AB59" authorId="0" shapeId="0" xr:uid="{15CB7FF3-7384-4707-A2D8-369DA43B1D64}">
      <text>
        <r>
          <rPr>
            <sz val="10"/>
            <color indexed="81"/>
            <rFont val="Lucida Console"/>
            <family val="3"/>
          </rPr>
          <t>Última movimentação no estoque em 06/2023 quantidade 2.</t>
        </r>
      </text>
    </comment>
    <comment ref="R60" authorId="0" shapeId="0" xr:uid="{FF3DFC2A-875C-45C3-9506-5291B128E0AE}">
      <text>
        <r>
          <rPr>
            <sz val="10"/>
            <color indexed="81"/>
            <rFont val="Lucida Console"/>
            <family val="3"/>
          </rPr>
          <t>17.04.2019</t>
        </r>
      </text>
    </comment>
    <comment ref="Y60" authorId="0" shapeId="0" xr:uid="{6D174F18-CC2F-4D8D-8868-9B7B2B4760FF}">
      <text>
        <r>
          <rPr>
            <sz val="10"/>
            <color indexed="81"/>
            <rFont val="Courier New"/>
            <family val="3"/>
          </rPr>
          <t>_x000D_
    DESCRIÇÃO DO CÁLCULO_x000D_
Código    : 136.823_x000D_
Corte     : _x000D_
-----------------------------_x000D_
Pendente  : _x000D_
22 / 10_2 : _x000D_
22 / 11_2 :  (corte = 1)_x000D_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23 / 01_2 : 1 (1)_x000D_
_x000D_
  TOTAL   : ( 2 )</t>
        </r>
      </text>
    </comment>
    <comment ref="AB60" authorId="0" shapeId="0" xr:uid="{92254435-2BFC-4733-AAEA-02202FD4FF59}">
      <text>
        <r>
          <rPr>
            <sz val="10"/>
            <color indexed="81"/>
            <rFont val="Lucida Console"/>
            <family val="3"/>
          </rPr>
          <t>Última movimentação no estoque em 01/2023 quantidade 1.</t>
        </r>
      </text>
    </comment>
    <comment ref="R61" authorId="0" shapeId="0" xr:uid="{1CFD7714-195B-4A73-9509-C213859C5248}">
      <text>
        <r>
          <rPr>
            <sz val="10"/>
            <color indexed="81"/>
            <rFont val="Lucida Console"/>
            <family val="3"/>
          </rPr>
          <t>17.04.2019</t>
        </r>
      </text>
    </comment>
    <comment ref="Y61" authorId="0" shapeId="0" xr:uid="{48F6727A-96BD-48E0-B3F1-077EAD39D7E2}">
      <text>
        <r>
          <rPr>
            <sz val="10"/>
            <color indexed="81"/>
            <rFont val="Courier New"/>
            <family val="3"/>
          </rPr>
          <t>_x000D_
    DESCRIÇÃO DO CÁLCULO_x000D_
Código    : 136.824_x000D_
Corte     : 1_x000D_
-----------------------------_x000D_
Pendente  : _x000D_
22 / 10_2 : 1_x000D_
22 / 11_2 : 1_x000D_
22 / 12_2 : _x000D_
23 / 01_2 : _x000D_
23 / 02_2 : 1_x000D_
23 / 03_2 : 1_x000D_
23 / 04_2 : _x000D_
23 / 05_2 : 1_x000D_
23 / 06_2 : _x000D_
23 / 07_2 : _x000D_
23 / 08_2 : _x000D_
23 / 09_2 : _x000D_
_x000D_
    TOTAL : ( 5 )_x000D_
  DIVISOR : 12_x000D_
    MÉDIA : ,42</t>
        </r>
      </text>
    </comment>
    <comment ref="AB61" authorId="0" shapeId="0" xr:uid="{B79A0D8E-E559-447F-88EF-5C2E481E86F5}">
      <text>
        <r>
          <rPr>
            <sz val="10"/>
            <color indexed="81"/>
            <rFont val="Lucida Console"/>
            <family val="3"/>
          </rPr>
          <t>Última movimentação no estoque em 05/2023 quantidade 1.</t>
        </r>
      </text>
    </comment>
    <comment ref="R62" authorId="0" shapeId="0" xr:uid="{13223F54-AAAA-4847-B68F-C8BF048531C9}">
      <text>
        <r>
          <rPr>
            <sz val="10"/>
            <color indexed="81"/>
            <rFont val="Lucida Console"/>
            <family val="3"/>
          </rPr>
          <t>17.04.2019</t>
        </r>
      </text>
    </comment>
    <comment ref="Y62" authorId="0" shapeId="0" xr:uid="{88337382-91A9-4440-A2AF-9EF53004A457}">
      <text>
        <r>
          <rPr>
            <sz val="10"/>
            <color indexed="81"/>
            <rFont val="Courier New"/>
            <family val="3"/>
          </rPr>
          <t>_x000D_
    DESCRIÇÃO DO CÁLCULO_x000D_
Código    : 136.825_x000D_
Corte     : 1_x000D_
-----------------------------_x000D_
Pendente  : 1_x000D_
22 / 10_2 : 1_x000D_
22 / 11_2 : _x000D_
22 / 12_2 : 1_x000D_
23 / 01_2 : _x000D_
23 / 02_2 : _x000D_
23 / 03_2 : _x000D_
23 / 04_2 : 1_x000D_
23 / 05_2 : _x000D_
23 / 06_2 : _x000D_
23 / 07_2 : _x000D_
23 / 08_2 : _x000D_
23 / 09_2 : 1_x000D_
_x000D_
    TOTAL : ( 5 )_x000D_
  DIVISOR : 12_x000D_
    MÉDIA : ,42</t>
        </r>
      </text>
    </comment>
    <comment ref="AB62" authorId="0" shapeId="0" xr:uid="{F1151308-924E-48E4-BD55-4E6951FB0292}">
      <text>
        <r>
          <rPr>
            <sz val="10"/>
            <color indexed="81"/>
            <rFont val="Lucida Console"/>
            <family val="3"/>
          </rPr>
          <t>Última movimentação no estoque em 09/2023 quantidade 1.</t>
        </r>
      </text>
    </comment>
    <comment ref="R63" authorId="0" shapeId="0" xr:uid="{881E58A2-B47E-46A3-BA17-263468B7B7AE}">
      <text>
        <r>
          <rPr>
            <sz val="10"/>
            <color indexed="81"/>
            <rFont val="Lucida Console"/>
            <family val="3"/>
          </rPr>
          <t>17.04.2019</t>
        </r>
      </text>
    </comment>
    <comment ref="Y63" authorId="0" shapeId="0" xr:uid="{0A72B3C8-E659-4E44-963C-5D27C22FF87F}">
      <text>
        <r>
          <rPr>
            <sz val="10"/>
            <color indexed="81"/>
            <rFont val="Courier New"/>
            <family val="3"/>
          </rPr>
          <t>_x000D_
    DESCRIÇÃO DO CÁLCULO_x000D_
Código    : 136.826_x000D_
Corte     : 2_x000D_
-----------------------------_x000D_
Pendente  : _x000D_
22 / 10_2 : 1_x000D_
22 / 11_2 : 1_x000D_
22 / 12_2 : _x000D_
23 / 01_2 : 2_x000D_
23 / 02_2 : 1_x000D_
23 / 03_2 : _x000D_
23 / 04_2 : 1_x000D_
23 / 05_2 : _x000D_
23 / 06_2 : _x000D_
23 / 07_2 : _x000D_
23 / 08_2 : _x000D_
23 / 09_2 : 2_x000D_
_x000D_
    TOTAL : ( 8 )_x000D_
  DIVISOR : 12_x000D_
    MÉDIA : ,67</t>
        </r>
      </text>
    </comment>
    <comment ref="AB63" authorId="0" shapeId="0" xr:uid="{527049DB-F3A8-4005-8645-7328FE24E5BC}">
      <text>
        <r>
          <rPr>
            <sz val="10"/>
            <color indexed="81"/>
            <rFont val="Lucida Console"/>
            <family val="3"/>
          </rPr>
          <t>Última movimentação no estoque em 09/2023 quantidade 2.</t>
        </r>
      </text>
    </comment>
    <comment ref="R64" authorId="0" shapeId="0" xr:uid="{A8DCE3FC-A23B-4CAB-80AA-1EA427830515}">
      <text>
        <r>
          <rPr>
            <sz val="10"/>
            <color indexed="81"/>
            <rFont val="Lucida Console"/>
            <family val="3"/>
          </rPr>
          <t>01.01.1901</t>
        </r>
      </text>
    </comment>
    <comment ref="Y64" authorId="0" shapeId="0" xr:uid="{C09FC890-296A-417E-8841-F9202AA59DE4}">
      <text>
        <r>
          <rPr>
            <sz val="10"/>
            <color indexed="81"/>
            <rFont val="Courier New"/>
            <family val="3"/>
          </rPr>
          <t>_x000D_
    DESCRIÇÃO DO CÁLCULO_x000D_
Código    : 19.998_x000D_
Corte     : 32_x000D_
-----------------------------_x000D_
Pendente  : 49_x000D_
22 / 10_2 : 11_x000D_
22 / 11_2 : 3_x000D_
22 / 12_2 : _x000D_
23 / 01_2 : _x000D_
23 / 02_2 : _x000D_
23 / 03_2 : _x000D_
23 / 04_2 : _x000D_
23 / 05_2 : _x000D_
23 / 06_2 : _x000D_
23 / 07_2 : _x000D_
23 / 08_2 : _x000D_
23 / 09_2 : _x000D_
_x000D_
    TOTAL : ( 63 )_x000D_
  DIVISOR : 12_x000D_
    MÉDIA : 5,25</t>
        </r>
      </text>
    </comment>
    <comment ref="AB64" authorId="0" shapeId="0" xr:uid="{B2DB02CB-5E70-4095-B93A-434398982B54}">
      <text>
        <r>
          <rPr>
            <sz val="10"/>
            <color indexed="81"/>
            <rFont val="Lucida Console"/>
            <family val="3"/>
          </rPr>
          <t>Última movimentação no estoque em 11/2022 quantidade 3.</t>
        </r>
      </text>
    </comment>
    <comment ref="R65" authorId="0" shapeId="0" xr:uid="{DE33CF18-0F09-4825-868E-ED4FBD5FF5A5}">
      <text>
        <r>
          <rPr>
            <sz val="10"/>
            <color indexed="81"/>
            <rFont val="Lucida Console"/>
            <family val="3"/>
          </rPr>
          <t>01.01.1901</t>
        </r>
      </text>
    </comment>
    <comment ref="Y65" authorId="0" shapeId="0" xr:uid="{8730FFD3-2D0E-4A1A-A07B-67D5FC2A307E}">
      <text>
        <r>
          <rPr>
            <sz val="10"/>
            <color indexed="81"/>
            <rFont val="Courier New"/>
            <family val="3"/>
          </rPr>
          <t>_x000D_
    DESCRIÇÃO DO CÁLCULO_x000D_
Código    : 20.144_x000D_
Corte     : 69_x000D_
-----------------------------_x000D_
Pendente  : _x000D_
22 / 10_2 : 27_x000D_
22 / 11_2 : 38_x000D_
22 / 12_2 : 12_x000D_
23 / 01_2 : 16_x000D_
23 / 02_2 : 18_x000D_
23 / 03_2 : 25_x000D_
23 / 04_2 : 49_x000D_
23 / 05_2 : 10_x000D_
23 / 06_2 : 50_x000D_
23 / 07_2 : _x000D_
23 / 08_2 : _x000D_
23 / 09_2 : 69 (corte = 70)_x000D_
_x000D_
    TOTAL : ( 314 )_x000D_
  DIVISOR : 12_x000D_
    MÉDIA : 26,17_x000D_
-----------------------------_x000D_
   Valores Desconsiderados_x000D_
-----------------------------_x000D_
23 / 09_2 : 1 (70)_x000D_
_x000D_
  TOTAL   : ( 1 )</t>
        </r>
      </text>
    </comment>
    <comment ref="AB65" authorId="0" shapeId="0" xr:uid="{BB8911FF-15F8-4066-9C07-A46D182F1D38}">
      <text>
        <r>
          <rPr>
            <sz val="10"/>
            <color indexed="81"/>
            <rFont val="Lucida Console"/>
            <family val="3"/>
          </rPr>
          <t>Última movimentação no estoque em 09/2023 quantidade 70.</t>
        </r>
      </text>
    </comment>
    <comment ref="R66" authorId="0" shapeId="0" xr:uid="{7E9DFF49-B9E7-4DE4-82F8-49F5F45FEE43}">
      <text>
        <r>
          <rPr>
            <sz val="10"/>
            <color indexed="81"/>
            <rFont val="Lucida Console"/>
            <family val="3"/>
          </rPr>
          <t>01.01.1901</t>
        </r>
      </text>
    </comment>
    <comment ref="Y66" authorId="0" shapeId="0" xr:uid="{FEF83E08-78A1-4E10-A77A-981AFD3F39CF}">
      <text>
        <r>
          <rPr>
            <sz val="10"/>
            <color indexed="81"/>
            <rFont val="Courier New"/>
            <family val="3"/>
          </rPr>
          <t>_x000D_
    DESCRIÇÃO DO CÁLCULO_x000D_
Código    : 20.001_x000D_
Corte     : 65_x000D_
-----------------------------_x000D_
Pendente  : 103_x000D_
22 / 10_2 : _x000D_
22 / 11_2 : _x000D_
22 / 12_2 : _x000D_
23 / 01_2 : _x000D_
23 / 02_2 : _x000D_
23 / 03_2 : _x000D_
23 / 04_2 : _x000D_
23 / 05_2 : _x000D_
23 / 06_2 : _x000D_
23 / 07_2 : _x000D_
23 / 08_2 : _x000D_
23 / 09_2 : _x000D_
_x000D_
    TOTAL : ( 103 )_x000D_
  DIVISOR : 12_x000D_
    MÉDIA : 8,58</t>
        </r>
      </text>
    </comment>
    <comment ref="AB66" authorId="0" shapeId="0" xr:uid="{F12E9F80-95F6-4C83-9BD4-4CAF7E332974}">
      <text>
        <r>
          <rPr>
            <sz val="10"/>
            <color indexed="81"/>
            <rFont val="Lucida Console"/>
            <family val="3"/>
          </rPr>
          <t>Última movimentação no estoque em 09/2023 quantidade 70.</t>
        </r>
      </text>
    </comment>
    <comment ref="R67" authorId="0" shapeId="0" xr:uid="{5121BD4C-68F9-473E-81CD-7EB16201D419}">
      <text>
        <r>
          <rPr>
            <sz val="10"/>
            <color indexed="81"/>
            <rFont val="Lucida Console"/>
            <family val="3"/>
          </rPr>
          <t>01.01.1901</t>
        </r>
      </text>
    </comment>
    <comment ref="Y67" authorId="0" shapeId="0" xr:uid="{7A831AF9-15DF-4E4A-A013-F64FF1157C8A}">
      <text>
        <r>
          <rPr>
            <sz val="10"/>
            <color indexed="81"/>
            <rFont val="Courier New"/>
            <family val="3"/>
          </rPr>
          <t>_x000D_
    DESCRIÇÃO DO CÁLCULO_x000D_
Código    : 20.034_x000D_
Corte     : 143_x000D_
-----------------------------_x000D_
Pendente  : 5_x000D_
22 / 10_2 : 60_x000D_
22 / 11_2 : 58_x000D_
22 / 12_2 : 46_x000D_
23 / 01_2 : 117_x000D_
23 / 02_2 : 108_x000D_
23 / 03_2 : 90_x000D_
23 / 04_2 : 65_x000D_
23 / 05_2 : 5_x000D_
23 / 06_2 : _x000D_
23 / 07_2 : _x000D_
23 / 08_2 : _x000D_
23 / 09_2 : 100_x000D_
_x000D_
    TOTAL : ( 654 )_x000D_
  DIVISOR : 12_x000D_
    MÉDIA : 54,50</t>
        </r>
      </text>
    </comment>
    <comment ref="AB67" authorId="0" shapeId="0" xr:uid="{AE52764C-ED04-4A93-A584-A3C3BC5F0E66}">
      <text>
        <r>
          <rPr>
            <sz val="10"/>
            <color indexed="81"/>
            <rFont val="Lucida Console"/>
            <family val="3"/>
          </rPr>
          <t>Última movimentação no estoque em 09/2023 quantidade 100.</t>
        </r>
      </text>
    </comment>
    <comment ref="R68" authorId="0" shapeId="0" xr:uid="{A5746CBE-2A07-4A0A-966E-AF4B35B75154}">
      <text>
        <r>
          <rPr>
            <sz val="10"/>
            <color indexed="81"/>
            <rFont val="Lucida Console"/>
            <family val="3"/>
          </rPr>
          <t>01.01.1901</t>
        </r>
      </text>
    </comment>
    <comment ref="Y68" authorId="0" shapeId="0" xr:uid="{41F19814-930B-4238-BEB0-45245486D9D4}">
      <text>
        <r>
          <rPr>
            <sz val="10"/>
            <color indexed="81"/>
            <rFont val="Courier New"/>
            <family val="3"/>
          </rPr>
          <t>_x000D_
    DESCRIÇÃO DO CÁLCULO_x000D_
Código    : 20.035_x000D_
Corte     : 47_x000D_
-----------------------------_x000D_
Pendente  : _x000D_
22 / 10_2 : 12_x000D_
22 / 11_2 : 4_x000D_
22 / 12_2 : 9_x000D_
23 / 01_2 : 7_x000D_
23 / 02_2 : _x000D_
23 / 03_2 : 20_x000D_
23 / 04_2 : 38_x000D_
23 / 05_2 : 10_x000D_
23 / 06_2 : 30_x000D_
23 / 07_2 : _x000D_
23 / 08_2 : _x000D_
23 / 09_2 : 47 (corte = 50)_x000D_
_x000D_
    TOTAL : ( 177 )_x000D_
  DIVISOR : 12_x000D_
    MÉDIA : 14,75_x000D_
-----------------------------_x000D_
   Valores Desconsiderados_x000D_
-----------------------------_x000D_
23 / 09_2 : 3 (50)_x000D_
_x000D_
  TOTAL   : ( 3 )</t>
        </r>
      </text>
    </comment>
    <comment ref="AB68" authorId="0" shapeId="0" xr:uid="{F85E56F9-CF6B-43C9-9C86-F3A3C96D4163}">
      <text>
        <r>
          <rPr>
            <sz val="10"/>
            <color indexed="81"/>
            <rFont val="Lucida Console"/>
            <family val="3"/>
          </rPr>
          <t>Última movimentação no estoque em 09/2023 quantidade 50.</t>
        </r>
      </text>
    </comment>
    <comment ref="R69" authorId="0" shapeId="0" xr:uid="{B5979467-4C00-412D-BFB4-391F4185FBFA}">
      <text>
        <r>
          <rPr>
            <sz val="10"/>
            <color indexed="81"/>
            <rFont val="Lucida Console"/>
            <family val="3"/>
          </rPr>
          <t>01.01.1901</t>
        </r>
      </text>
    </comment>
    <comment ref="Y69" authorId="0" shapeId="0" xr:uid="{B7977258-AB5B-4FF2-BCDE-C09764F1BE8D}">
      <text>
        <r>
          <rPr>
            <sz val="10"/>
            <color indexed="81"/>
            <rFont val="Courier New"/>
            <family val="3"/>
          </rPr>
          <t>_x000D_
    DESCRIÇÃO DO CÁLCULO_x000D_
Código    : 20.037_x000D_
Corte     : 32_x000D_
-----------------------------_x000D_
Pendente  : _x000D_
22 / 10_2 : 12_x000D_
22 / 11_2 : 4_x000D_
22 / 12_2 : 9_x000D_
23 / 01_2 : 20_x000D_
23 / 02_2 : 4_x000D_
23 / 03_2 : 32 (corte = 36)_x000D_
23 / 04_2 : 23_x000D_
23 / 05_2 : _x000D_
23 / 06_2 : _x000D_
23 / 07_2 : _x000D_
23 / 08_2 : _x000D_
23 / 09_2 : 10_x000D_
_x000D_
    TOTAL : ( 114 )_x000D_
  DIVISOR : 12_x000D_
    MÉDIA : 9,50_x000D_
-----------------------------_x000D_
   Valores Desconsiderados_x000D_
-----------------------------_x000D_
23 / 03_2 : 4 (36)_x000D_
_x000D_
  TOTAL   : ( 4 )</t>
        </r>
      </text>
    </comment>
    <comment ref="AB69" authorId="0" shapeId="0" xr:uid="{BEF5FD6D-D933-4A30-A1CD-AD9ADA3E0B12}">
      <text>
        <r>
          <rPr>
            <sz val="10"/>
            <color indexed="81"/>
            <rFont val="Lucida Console"/>
            <family val="3"/>
          </rPr>
          <t>Última movimentação no estoque em 09/2023 quantidade 10.</t>
        </r>
      </text>
    </comment>
    <comment ref="R70" authorId="0" shapeId="0" xr:uid="{672DA861-AF2B-4C1D-80A5-7F1C18AB84DD}">
      <text>
        <r>
          <rPr>
            <sz val="10"/>
            <color indexed="81"/>
            <rFont val="Lucida Console"/>
            <family val="3"/>
          </rPr>
          <t>01.01.1901</t>
        </r>
      </text>
    </comment>
    <comment ref="Y70" authorId="0" shapeId="0" xr:uid="{3021286E-60C6-4427-ABF0-473E17B10F82}">
      <text>
        <r>
          <rPr>
            <sz val="10"/>
            <color indexed="81"/>
            <rFont val="Courier New"/>
            <family val="3"/>
          </rPr>
          <t>_x000D_
    DESCRIÇÃO DO CÁLCULO_x000D_
Código    : 20.104_x000D_
Corte     : 79_x000D_
-----------------------------_x000D_
Pendente  : _x000D_
22 / 10_2 : 15_x000D_
22 / 11_2 : 18_x000D_
22 / 12_2 : 1_x000D_
23 / 01_2 : 27_x000D_
23 / 02_2 : _x000D_
23 / 03_2 : 51_x000D_
23 / 04_2 : 20_x000D_
23 / 05_2 : _x000D_
23 / 06_2 : _x000D_
23 / 07_2 : _x000D_
23 / 08_2 : _x000D_
23 / 09_2 : 79 (corte = 100)_x000D_
_x000D_
    TOTAL : ( 211 )_x000D_
  DIVISOR : 12_x000D_
    MÉDIA : 17,58_x000D_
-----------------------------_x000D_
   Valores Desconsiderados_x000D_
-----------------------------_x000D_
23 / 09_2 : 21 (100)_x000D_
_x000D_
  TOTAL   : ( 21 )</t>
        </r>
      </text>
    </comment>
    <comment ref="AB70" authorId="0" shapeId="0" xr:uid="{B5D143F2-37E7-41B9-8C81-AD1D25F796CA}">
      <text>
        <r>
          <rPr>
            <sz val="10"/>
            <color indexed="81"/>
            <rFont val="Lucida Console"/>
            <family val="3"/>
          </rPr>
          <t>Última movimentação no estoque em 09/2023 quantidade 100.</t>
        </r>
      </text>
    </comment>
    <comment ref="R71" authorId="0" shapeId="0" xr:uid="{DA9855C9-1772-49DC-BDBC-5E34CBE24549}">
      <text>
        <r>
          <rPr>
            <sz val="10"/>
            <color indexed="81"/>
            <rFont val="Lucida Console"/>
            <family val="3"/>
          </rPr>
          <t>01.01.1901</t>
        </r>
      </text>
    </comment>
    <comment ref="Y71" authorId="0" shapeId="0" xr:uid="{F2A797E2-C178-482E-A411-2941E28324EF}">
      <text>
        <r>
          <rPr>
            <sz val="10"/>
            <color indexed="81"/>
            <rFont val="Courier New"/>
            <family val="3"/>
          </rPr>
          <t>_x000D_
    DESCRIÇÃO DO CÁLCULO_x000D_
Código    : 20.106_x000D_
Corte     : 88_x000D_
-----------------------------_x000D_
Pendente  : 10_x000D_
22 / 10_2 : 42_x000D_
22 / 11_2 : 32_x000D_
22 / 12_2 : 17_x000D_
23 / 01_2 : 56_x000D_
23 / 02_2 : 47_x000D_
23 / 03_2 : 88_x000D_
23 / 04_2 : 52_x000D_
23 / 05_2 : 6_x000D_
23 / 06_2 : _x000D_
23 / 07_2 : _x000D_
23 / 08_2 : _x000D_
23 / 09_2 : 50_x000D_
_x000D_
    TOTAL : ( 400 )_x000D_
  DIVISOR : 12_x000D_
    MÉDIA : 33,33</t>
        </r>
      </text>
    </comment>
    <comment ref="AB71" authorId="0" shapeId="0" xr:uid="{859922D6-7EDB-45F0-863A-0FE5E3BD3369}">
      <text>
        <r>
          <rPr>
            <sz val="10"/>
            <color indexed="81"/>
            <rFont val="Lucida Console"/>
            <family val="3"/>
          </rPr>
          <t>Última movimentação no estoque em 09/2023 quantidade 50.</t>
        </r>
      </text>
    </comment>
    <comment ref="R72" authorId="0" shapeId="0" xr:uid="{83EDA0AA-1F4B-4D9B-ADDC-8A06C3B11175}">
      <text>
        <r>
          <rPr>
            <sz val="10"/>
            <color indexed="81"/>
            <rFont val="Lucida Console"/>
            <family val="3"/>
          </rPr>
          <t>01.01.1901</t>
        </r>
      </text>
    </comment>
    <comment ref="Y72" authorId="0" shapeId="0" xr:uid="{3E46297C-B0FA-4473-B202-00319AAC6114}">
      <text>
        <r>
          <rPr>
            <sz val="10"/>
            <color indexed="81"/>
            <rFont val="Courier New"/>
            <family val="3"/>
          </rPr>
          <t>_x000D_
    DESCRIÇÃO DO CÁLCULO_x000D_
Código    : 19.871_x000D_
Corte     : 16_x000D_
-----------------------------_x000D_
Pendente  : _x000D_
22 / 10_2 : _x000D_
22 / 11_2 : 6_x000D_
22 / 12_2 : 1_x000D_
23 / 01_2 : 7_x000D_
23 / 02_2 : _x000D_
23 / 03_2 : 2_x000D_
23 / 04_2 : 16 (corte = 22)_x000D_
23 / 05_2 : _x000D_
23 / 06_2 : _x000D_
23 / 07_2 : _x000D_
23 / 08_2 : _x000D_
23 / 09_2 : _x000D_
_x000D_
    TOTAL : ( 32 )_x000D_
  DIVISOR : 12_x000D_
    MÉDIA : 2,67_x000D_
-----------------------------_x000D_
   Valores Desconsiderados_x000D_
-----------------------------_x000D_
23 / 04_2 : 6 (22)_x000D_
_x000D_
  TOTAL   : ( 6 )</t>
        </r>
      </text>
    </comment>
    <comment ref="AB72" authorId="0" shapeId="0" xr:uid="{8544C5E1-6D16-4248-A704-928AE0DA8E93}">
      <text>
        <r>
          <rPr>
            <sz val="10"/>
            <color indexed="81"/>
            <rFont val="Lucida Console"/>
            <family val="3"/>
          </rPr>
          <t>Última movimentação no estoque em 04/2023 quantidade 22.</t>
        </r>
      </text>
    </comment>
    <comment ref="R73" authorId="0" shapeId="0" xr:uid="{8A7286F3-AAEE-43B4-8996-9817E00A619F}">
      <text>
        <r>
          <rPr>
            <sz val="10"/>
            <color indexed="81"/>
            <rFont val="Lucida Console"/>
            <family val="3"/>
          </rPr>
          <t>01.01.1901</t>
        </r>
      </text>
    </comment>
    <comment ref="Y73" authorId="0" shapeId="0" xr:uid="{61AA179B-7435-48F7-9A1F-E981BA01B780}">
      <text>
        <r>
          <rPr>
            <sz val="10"/>
            <color indexed="81"/>
            <rFont val="Courier New"/>
            <family val="3"/>
          </rPr>
          <t>_x000D_
    DESCRIÇÃO DO CÁLCULO_x000D_
Código    : 19.882_x000D_
Corte     : 14_x000D_
-----------------------------_x000D_
Pendente  : _x000D_
22 / 10_2 : 4_x000D_
22 / 11_2 : 4_x000D_
22 / 12_2 : 2_x000D_
23 / 01_2 : 2_x000D_
23 / 02_2 : 2_x000D_
23 / 03_2 : _x000D_
23 / 04_2 : 14 (corte = 20)_x000D_
23 / 05_2 : _x000D_
23 / 06_2 : _x000D_
23 / 07_2 : _x000D_
23 / 08_2 : _x000D_
23 / 09_2 : _x000D_
_x000D_
    TOTAL : ( 28 )_x000D_
  DIVISOR : 12_x000D_
    MÉDIA : 2,33_x000D_
-----------------------------_x000D_
   Valores Desconsiderados_x000D_
-----------------------------_x000D_
23 / 04_2 : 6 (20)_x000D_
_x000D_
  TOTAL   : ( 6 )</t>
        </r>
      </text>
    </comment>
    <comment ref="AB73" authorId="0" shapeId="0" xr:uid="{9DF79D41-10C9-4AC6-92E0-1FF5DA6B7CC5}">
      <text>
        <r>
          <rPr>
            <sz val="10"/>
            <color indexed="81"/>
            <rFont val="Lucida Console"/>
            <family val="3"/>
          </rPr>
          <t>Última movimentação no estoque em 04/2023 quantidade 20.</t>
        </r>
      </text>
    </comment>
    <comment ref="R74" authorId="0" shapeId="0" xr:uid="{E933C883-7417-49F0-B9A2-AB427280D138}">
      <text>
        <r>
          <rPr>
            <sz val="10"/>
            <color indexed="81"/>
            <rFont val="Lucida Console"/>
            <family val="3"/>
          </rPr>
          <t>01.01.1901</t>
        </r>
      </text>
    </comment>
    <comment ref="Y74" authorId="0" shapeId="0" xr:uid="{F8EB1048-99D6-4982-8E63-44CBD0D42A59}">
      <text>
        <r>
          <rPr>
            <sz val="10"/>
            <color indexed="81"/>
            <rFont val="Courier New"/>
            <family val="3"/>
          </rPr>
          <t>_x000D_
    DESCRIÇÃO DO CÁLCULO_x000D_
Código    : 19.883_x000D_
Corte     : 15_x000D_
-----------------------------_x000D_
Pendente  : _x000D_
22 / 10_2 : 2_x000D_
22 / 11_2 : 4_x000D_
22 / 12_2 : 2_x000D_
23 / 01_2 : 6_x000D_
23 / 02_2 : _x000D_
23 / 03_2 : 2_x000D_
23 / 04_2 : 15 (corte = 22)_x000D_
23 / 05_2 : _x000D_
23 / 06_2 : _x000D_
23 / 07_2 : _x000D_
23 / 08_2 : _x000D_
23 / 09_2 : _x000D_
_x000D_
    TOTAL : ( 31 )_x000D_
  DIVISOR : 12_x000D_
    MÉDIA : 2,58_x000D_
-----------------------------_x000D_
   Valores Desconsiderados_x000D_
-----------------------------_x000D_
23 / 04_2 : 7 (22)_x000D_
_x000D_
  TOTAL   : ( 7 )</t>
        </r>
      </text>
    </comment>
    <comment ref="AB74" authorId="0" shapeId="0" xr:uid="{73EC1053-0164-43F8-B640-CFC0F7CAB0A6}">
      <text>
        <r>
          <rPr>
            <sz val="10"/>
            <color indexed="81"/>
            <rFont val="Lucida Console"/>
            <family val="3"/>
          </rPr>
          <t>Última movimentação no estoque em 04/2023 quantidade 22.</t>
        </r>
      </text>
    </comment>
    <comment ref="R75" authorId="0" shapeId="0" xr:uid="{E39BC71A-C27A-4436-B7AC-7B4B0E39CD17}">
      <text>
        <r>
          <rPr>
            <sz val="10"/>
            <color indexed="81"/>
            <rFont val="Lucida Console"/>
            <family val="3"/>
          </rPr>
          <t>01.01.1901</t>
        </r>
      </text>
    </comment>
    <comment ref="Y75" authorId="0" shapeId="0" xr:uid="{9939D9DE-A928-450D-A079-A45002D321EC}">
      <text>
        <r>
          <rPr>
            <sz val="10"/>
            <color indexed="81"/>
            <rFont val="Courier New"/>
            <family val="3"/>
          </rPr>
          <t>_x000D_
    DESCRIÇÃO DO CÁLCULO_x000D_
Código    : 12.812_x000D_
Corte     : 3_x000D_
-----------------------------_x000D_
Pendente  : _x000D_
22 / 10_2 : 2_x000D_
22 / 11_2 : 3_x000D_
22 / 12_2 : 3 (corte = 4)_x000D_
23 / 01_2 : 1_x000D_
23 / 02_2 : _x000D_
23 / 03_2 : 2_x000D_
23 / 04_2 : 2_x000D_
23 / 05_2 : _x000D_
23 / 06_2 : _x000D_
23 / 07_2 : _x000D_
23 / 08_2 : _x000D_
23 / 09_2 : _x000D_
_x000D_
    TOTAL : ( 13 )_x000D_
  DIVISOR : 12_x000D_
    MÉDIA : 1,08_x000D_
-----------------------------_x000D_
   Valores Desconsiderados_x000D_
-----------------------------_x000D_
22 / 12_2 : 1 (4)_x000D_
_x000D_
  TOTAL   : ( 1 )</t>
        </r>
      </text>
    </comment>
    <comment ref="AB75" authorId="0" shapeId="0" xr:uid="{7E23CF5F-C6F7-4C4F-9D94-0BCAFE978A56}">
      <text>
        <r>
          <rPr>
            <sz val="10"/>
            <color indexed="81"/>
            <rFont val="Lucida Console"/>
            <family val="3"/>
          </rPr>
          <t>Última movimentação no estoque em 04/2023 quantidade 2.</t>
        </r>
      </text>
    </comment>
    <comment ref="R76" authorId="0" shapeId="0" xr:uid="{8E64960B-7373-4BC5-A256-EEAE7E44EF60}">
      <text>
        <r>
          <rPr>
            <sz val="10"/>
            <color indexed="81"/>
            <rFont val="Lucida Console"/>
            <family val="3"/>
          </rPr>
          <t>01.01.1901</t>
        </r>
      </text>
    </comment>
    <comment ref="Y76" authorId="0" shapeId="0" xr:uid="{D69854FD-4906-4CA1-9947-87AFB45B9F8E}">
      <text>
        <r>
          <rPr>
            <sz val="10"/>
            <color indexed="81"/>
            <rFont val="Courier New"/>
            <family val="3"/>
          </rPr>
          <t>_x000D_
    DESCRIÇÃO DO CÁLCULO_x000D_
Código    : 13.178_x000D_
Corte     : 5.132_x000D_
-----------------------------_x000D_
Pendente  : 647_x000D_
22 / 10_2 : 1.310_x000D_
22 / 11_2 : 600_x000D_
22 / 12_2 : 1.450_x000D_
23 / 01_2 : 1.500_x000D_
23 / 02_2 : 500_x000D_
23 / 03_2 : 1.000_x000D_
23 / 04_2 : 2.620_x000D_
23 / 05_2 : 5.132 (corte = 6900)_x000D_
23 / 06_2 : 1.353_x000D_
23 / 07_2 : _x000D_
23 / 08_2 : _x000D_
23 / 09_2 : _x000D_
_x000D_
    TOTAL : ( 16.112 )_x000D_
  DIVISOR : 12_x000D_
    MÉDIA : 1.342,67_x000D_
-----------------------------_x000D_
   Valores Desconsiderados_x000D_
-----------------------------_x000D_
23 / 05_2 : 1.768 (6.900)_x000D_
_x000D_
  TOTAL   : ( 1.768 )</t>
        </r>
      </text>
    </comment>
    <comment ref="AB76" authorId="0" shapeId="0" xr:uid="{AE4A3D2F-B6E4-4675-904F-F683DF1B757E}">
      <text>
        <r>
          <rPr>
            <sz val="10"/>
            <color indexed="81"/>
            <rFont val="Lucida Console"/>
            <family val="3"/>
          </rPr>
          <t>Última movimentação no estoque em 06/2023 quantidade 1.353.</t>
        </r>
      </text>
    </comment>
    <comment ref="R77" authorId="0" shapeId="0" xr:uid="{7120FEC3-54C8-4FDA-9E7B-3284088C8D24}">
      <text>
        <r>
          <rPr>
            <sz val="10"/>
            <color indexed="81"/>
            <rFont val="Lucida Console"/>
            <family val="3"/>
          </rPr>
          <t>01.01.1901</t>
        </r>
      </text>
    </comment>
    <comment ref="Y77" authorId="0" shapeId="0" xr:uid="{4B82EDEF-6695-4F35-9300-F22D511C441F}">
      <text>
        <r>
          <rPr>
            <sz val="10"/>
            <color indexed="81"/>
            <rFont val="Courier New"/>
            <family val="3"/>
          </rPr>
          <t>_x000D_
    DESCRIÇÃO DO CÁLCULO_x000D_
Código    : 29.293_x000D_
Corte     : 1.759_x000D_
-----------------------------_x000D_
Pendente  : 2.055_x000D_
22 / 10_2 : 170_x000D_
22 / 11_2 : 500_x000D_
22 / 12_2 : 250_x000D_
23 / 01_2 : 750_x000D_
23 / 02_2 : _x000D_
23 / 03_2 : 1.495_x000D_
23 / 04_2 : _x000D_
23 / 05_2 : _x000D_
23 / 06_2 : _x000D_
23 / 07_2 : _x000D_
23 / 08_2 : _x000D_
23 / 09_2 : _x000D_
_x000D_
    TOTAL : ( 5.220 )_x000D_
  DIVISOR : 12_x000D_
    MÉDIA : 435,00</t>
        </r>
      </text>
    </comment>
    <comment ref="AB77" authorId="0" shapeId="0" xr:uid="{527BB0FF-71E8-4F3D-AD29-BC4609129628}">
      <text>
        <r>
          <rPr>
            <sz val="10"/>
            <color indexed="81"/>
            <rFont val="Lucida Console"/>
            <family val="3"/>
          </rPr>
          <t>Última movimentação no estoque em 03/2023 quantidade 1.495.</t>
        </r>
      </text>
    </comment>
    <comment ref="R78" authorId="0" shapeId="0" xr:uid="{CFA4F472-C8B7-47FD-8414-25594ACE2368}">
      <text>
        <r>
          <rPr>
            <sz val="10"/>
            <color indexed="81"/>
            <rFont val="Lucida Console"/>
            <family val="3"/>
          </rPr>
          <t>01.01.1901</t>
        </r>
      </text>
    </comment>
    <comment ref="Y78" authorId="0" shapeId="0" xr:uid="{A34E98B2-8DFB-45AF-9ADE-0B091597E25F}">
      <text>
        <r>
          <rPr>
            <sz val="10"/>
            <color indexed="81"/>
            <rFont val="Courier New"/>
            <family val="3"/>
          </rPr>
          <t>_x000D_
    DESCRIÇÃO DO CÁLCULO_x000D_
Código    : 13.179_x000D_
Corte     : 4.072_x000D_
-----------------------------_x000D_
Pendente  : _x000D_
22 / 10_2 : 2.465_x000D_
22 / 11_2 : 2.311_x000D_
22 / 12_2 : 1.450_x000D_
23 / 01_2 : 3.020_x000D_
23 / 02_2 : 1.090_x000D_
23 / 03_2 : 3.100_x000D_
23 / 04_2 : 3.800_x000D_
23 / 05_2 : 2.000_x000D_
23 / 06_2 : 1.000_x000D_
23 / 07_2 : 50_x000D_
23 / 08_2 : 1.000_x000D_
23 / 09_2 : 1.000_x000D_
_x000D_
    TOTAL : ( 22.286 )_x000D_
  DIVISOR : 12_x000D_
    MÉDIA : 1.857,17</t>
        </r>
      </text>
    </comment>
    <comment ref="AB78" authorId="0" shapeId="0" xr:uid="{25BBD495-08DF-4FE2-8702-26656B360018}">
      <text>
        <r>
          <rPr>
            <sz val="10"/>
            <color indexed="81"/>
            <rFont val="Lucida Console"/>
            <family val="3"/>
          </rPr>
          <t>Última movimentação no estoque em 09/2023 quantidade 1.000.</t>
        </r>
      </text>
    </comment>
    <comment ref="R79" authorId="0" shapeId="0" xr:uid="{F0DCCDB2-1EE2-4A0A-AB21-78558221398B}">
      <text>
        <r>
          <rPr>
            <sz val="10"/>
            <color indexed="81"/>
            <rFont val="Lucida Console"/>
            <family val="3"/>
          </rPr>
          <t>15.03.2018</t>
        </r>
      </text>
    </comment>
    <comment ref="Y79" authorId="0" shapeId="0" xr:uid="{98D705F0-97F3-4A0A-9D11-4BE42E554764}">
      <text>
        <r>
          <rPr>
            <sz val="10"/>
            <color indexed="81"/>
            <rFont val="Courier New"/>
            <family val="3"/>
          </rPr>
          <t>_x000D_
    DESCRIÇÃO DO CÁLCULO_x000D_
Código    : 134.568_x000D_
Corte     : 1.945_x000D_
-----------------------------_x000D_
Pendente  : _x000D_
22 / 10_2 : _x000D_
22 / 11_2 : 200_x000D_
22 / 12_2 : _x000D_
23 / 01_2 : 100_x000D_
23 / 02_2 : 200_x000D_
23 / 03_2 : 1.945 (corte = 2160)_x000D_
23 / 04_2 : 1.400_x000D_
23 / 05_2 : 1.000_x000D_
23 / 06_2 : 1.000_x000D_
23 / 07_2 : _x000D_
23 / 08_2 : 500_x000D_
23 / 09_2 : _x000D_
_x000D_
    TOTAL : ( 6.345 )_x000D_
  DIVISOR : 12_x000D_
    MÉDIA : 528,75_x000D_
-----------------------------_x000D_
   Valores Desconsiderados_x000D_
-----------------------------_x000D_
23 / 03_2 : 215 (2.160)_x000D_
_x000D_
  TOTAL   : ( 215 )</t>
        </r>
      </text>
    </comment>
    <comment ref="AB79" authorId="0" shapeId="0" xr:uid="{C3562E06-BCCD-43A8-882B-191F62AA8A82}">
      <text>
        <r>
          <rPr>
            <sz val="10"/>
            <color indexed="81"/>
            <rFont val="Lucida Console"/>
            <family val="3"/>
          </rPr>
          <t>Última movimentação no estoque em 08/2023 quantidade 500.</t>
        </r>
      </text>
    </comment>
    <comment ref="R80" authorId="0" shapeId="0" xr:uid="{95D1ADE5-BA83-4802-930F-6350BE585C85}">
      <text>
        <r>
          <rPr>
            <sz val="10"/>
            <color indexed="81"/>
            <rFont val="Lucida Console"/>
            <family val="3"/>
          </rPr>
          <t>15.03.2018</t>
        </r>
      </text>
    </comment>
    <comment ref="Y80" authorId="0" shapeId="0" xr:uid="{FF56187A-3A26-45C9-A4B2-59A1427A3ED1}">
      <text>
        <r>
          <rPr>
            <sz val="10"/>
            <color indexed="81"/>
            <rFont val="Courier New"/>
            <family val="3"/>
          </rPr>
          <t>_x000D_
    DESCRIÇÃO DO CÁLCULO_x000D_
Código    : 134.567_x000D_
Corte     : 1.826_x000D_
-----------------------------_x000D_
Pendente  : _x000D_
22 / 10_2 : 600_x000D_
22 / 11_2 : 50_x000D_
22 / 12_2 : _x000D_
23 / 01_2 : 1.000_x000D_
23 / 02_2 : 300_x000D_
23 / 03_2 : 1.826 (corte = 2200)_x000D_
23 / 04_2 : 700_x000D_
23 / 05_2 : 1.000_x000D_
23 / 06_2 : _x000D_
23 / 07_2 : _x000D_
23 / 08_2 : _x000D_
23 / 09_2 : _x000D_
_x000D_
    TOTAL : ( 5.476 )_x000D_
  DIVISOR : 12_x000D_
    MÉDIA : 456,33_x000D_
-----------------------------_x000D_
   Valores Desconsiderados_x000D_
-----------------------------_x000D_
23 / 03_2 : 374 (2.200)_x000D_
_x000D_
  TOTAL   : ( 374 )</t>
        </r>
      </text>
    </comment>
    <comment ref="AB80" authorId="0" shapeId="0" xr:uid="{F66F16DE-0F18-4B02-884C-991E55085C57}">
      <text>
        <r>
          <rPr>
            <sz val="10"/>
            <color indexed="81"/>
            <rFont val="Lucida Console"/>
            <family val="3"/>
          </rPr>
          <t>Última movimentação no estoque em 05/2023 quantidade 1.000.</t>
        </r>
      </text>
    </comment>
    <comment ref="R81" authorId="0" shapeId="0" xr:uid="{53DBC748-49D9-4743-A291-54F7C047B9E1}">
      <text>
        <r>
          <rPr>
            <sz val="10"/>
            <color indexed="81"/>
            <rFont val="Lucida Console"/>
            <family val="3"/>
          </rPr>
          <t>05.11.2004</t>
        </r>
      </text>
    </comment>
    <comment ref="Y81" authorId="0" shapeId="0" xr:uid="{58C698A1-0EA1-4688-A137-2D56A46A752B}">
      <text>
        <r>
          <rPr>
            <sz val="10"/>
            <color indexed="81"/>
            <rFont val="Courier New"/>
            <family val="3"/>
          </rPr>
          <t>_x000D_
    DESCRIÇÃO DO CÁLCULO_x000D_
Código    : 82.452_x000D_
Corte     : 49_x000D_
-----------------------------_x000D_
Pendente  : 48_x000D_
22 / 10_2 : 10_x000D_
22 / 11_2 : _x000D_
22 / 12_2 : _x000D_
23 / 01_2 : 10_x000D_
23 / 02_2 : 24_x000D_
23 / 03_2 : 49 (corte = 50)_x000D_
23 / 04_2 : 20_x000D_
23 / 05_2 : _x000D_
23 / 06_2 : _x000D_
23 / 07_2 : _x000D_
23 / 08_2 : 2_x000D_
23 / 09_2 : _x000D_
_x000D_
    TOTAL : ( 163 )_x000D_
  DIVISOR : 12_x000D_
    MÉDIA : 13,58_x000D_
-----------------------------_x000D_
   Valores Desconsiderados_x000D_
-----------------------------_x000D_
23 / 03_2 : 1 (50)_x000D_
_x000D_
  TOTAL   : ( 1 )</t>
        </r>
      </text>
    </comment>
    <comment ref="AB81" authorId="0" shapeId="0" xr:uid="{92491848-2ABC-4934-BFBC-E264398B02ED}">
      <text>
        <r>
          <rPr>
            <sz val="10"/>
            <color indexed="81"/>
            <rFont val="Lucida Console"/>
            <family val="3"/>
          </rPr>
          <t>Última movimentação no estoque em 08/2023 quantidade 2.</t>
        </r>
      </text>
    </comment>
    <comment ref="R82" authorId="0" shapeId="0" xr:uid="{B7CBCD6C-F7F0-4FD3-B185-A488C88A624B}">
      <text>
        <r>
          <rPr>
            <sz val="10"/>
            <color indexed="81"/>
            <rFont val="Lucida Console"/>
            <family val="3"/>
          </rPr>
          <t>11.08.2008</t>
        </r>
      </text>
    </comment>
    <comment ref="Y82" authorId="0" shapeId="0" xr:uid="{B1C3EA55-5DD9-4BBB-89D0-F8E0BAE904CA}">
      <text>
        <r>
          <rPr>
            <sz val="10"/>
            <color indexed="81"/>
            <rFont val="Courier New"/>
            <family val="3"/>
          </rPr>
          <t>_x000D_
    DESCRIÇÃO DO CÁLCULO_x000D_
Código    : 107.401_x000D_
Corte     : 19_x000D_
-----------------------------_x000D_
Pendente  : _x000D_
22 / 10_2 : 1_x000D_
22 / 11_2 : 2_x000D_
22 / 12_2 : 2_x000D_
23 / 01_2 : 7_x000D_
23 / 02_2 : _x000D_
23 / 03_2 : 4_x000D_
23 / 04_2 : 19 (corte = 20)_x000D_
23 / 05_2 : 19 (corte = 20)_x000D_
23 / 06_2 : _x000D_
23 / 07_2 : _x000D_
23 / 08_2 : _x000D_
23 / 09_2 : _x000D_
_x000D_
    TOTAL : ( 54 )_x000D_
  DIVISOR : 12_x000D_
    MÉDIA : 4,50_x000D_
-----------------------------_x000D_
   Valores Desconsiderados_x000D_
-----------------------------_x000D_
23 / 04_2 : 1 (20)_x000D_
23 / 05_2 : 1 (20)_x000D_
_x000D_
  TOTAL   : ( 2 )</t>
        </r>
      </text>
    </comment>
    <comment ref="AB82" authorId="0" shapeId="0" xr:uid="{FE58C2F2-6D66-4878-871B-742A19D6B1A6}">
      <text>
        <r>
          <rPr>
            <sz val="10"/>
            <color indexed="81"/>
            <rFont val="Lucida Console"/>
            <family val="3"/>
          </rPr>
          <t>Última movimentação no estoque em 05/2023 quantidade 20.</t>
        </r>
      </text>
    </comment>
    <comment ref="R83" authorId="0" shapeId="0" xr:uid="{2F05090A-3223-4486-A56E-7F38BB9B32FA}">
      <text>
        <r>
          <rPr>
            <sz val="10"/>
            <color indexed="81"/>
            <rFont val="Lucida Console"/>
            <family val="3"/>
          </rPr>
          <t>04.09.2017</t>
        </r>
      </text>
    </comment>
    <comment ref="Y83" authorId="0" shapeId="0" xr:uid="{9DCB88D2-F272-434F-A0E6-C5120FA1A1A7}">
      <text>
        <r>
          <rPr>
            <sz val="10"/>
            <color indexed="81"/>
            <rFont val="Courier New"/>
            <family val="3"/>
          </rPr>
          <t>_x000D_
    DESCRIÇÃO DO CÁLCULO_x000D_
Código    : 133.366_x000D_
Corte     : 941_x000D_
-----------------------------_x000D_
Pendente  : _x000D_
22 / 10_2 : 190_x000D_
22 / 11_2 : _x000D_
22 / 12_2 : 600_x000D_
23 / 01_2 : 420_x000D_
23 / 02_2 : 50_x000D_
23 / 03_2 : 200_x000D_
23 / 04_2 : 500_x000D_
23 / 05_2 : _x000D_
23 / 06_2 : _x000D_
23 / 07_2 : 941 (corte = 1100)_x000D_
23 / 08_2 : _x000D_
23 / 09_2 : _x000D_
_x000D_
    TOTAL : ( 2.901 )_x000D_
  DIVISOR : 12_x000D_
    MÉDIA : 241,75_x000D_
-----------------------------_x000D_
   Valores Desconsiderados_x000D_
-----------------------------_x000D_
23 / 07_2 : 159 (1.100)_x000D_
_x000D_
  TOTAL   : ( 159 )</t>
        </r>
      </text>
    </comment>
    <comment ref="AB83" authorId="0" shapeId="0" xr:uid="{26AD0584-2DC0-4124-B97A-0BB42BFB73E1}">
      <text>
        <r>
          <rPr>
            <sz val="10"/>
            <color indexed="81"/>
            <rFont val="Lucida Console"/>
            <family val="3"/>
          </rPr>
          <t>Última movimentação no estoque em 07/2023 quantidade 1.100.</t>
        </r>
      </text>
    </comment>
    <comment ref="R84" authorId="0" shapeId="0" xr:uid="{470259A4-9000-413F-86ED-ACFE96239173}">
      <text>
        <r>
          <rPr>
            <sz val="10"/>
            <color indexed="81"/>
            <rFont val="Lucida Console"/>
            <family val="3"/>
          </rPr>
          <t>01.01.1901</t>
        </r>
      </text>
    </comment>
    <comment ref="Y84" authorId="0" shapeId="0" xr:uid="{1D07DC97-E206-4165-821E-A93ADAA034C0}">
      <text>
        <r>
          <rPr>
            <sz val="10"/>
            <color indexed="81"/>
            <rFont val="Courier New"/>
            <family val="3"/>
          </rPr>
          <t>_x000D_
    DESCRIÇÃO DO CÁLCULO_x000D_
Código    : 16.763_x000D_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84" authorId="0" shapeId="0" xr:uid="{E80BEA36-0BCF-4D13-AC15-DF176BC532F4}">
      <text>
        <r>
          <rPr>
            <sz val="10"/>
            <color indexed="81"/>
            <rFont val="Lucida Console"/>
            <family val="3"/>
          </rPr>
          <t>Última movimentação no estoque em 11/2022 quantidade 4.</t>
        </r>
      </text>
    </comment>
    <comment ref="R85" authorId="0" shapeId="0" xr:uid="{7DF0D14C-080C-4521-A437-C956DCA5E352}">
      <text>
        <r>
          <rPr>
            <sz val="10"/>
            <color indexed="81"/>
            <rFont val="Lucida Console"/>
            <family val="3"/>
          </rPr>
          <t>11.05.2009</t>
        </r>
      </text>
    </comment>
    <comment ref="Y85" authorId="0" shapeId="0" xr:uid="{03F4A223-9333-4032-81F6-DC21F5FB5F43}">
      <text>
        <r>
          <rPr>
            <sz val="10"/>
            <color indexed="81"/>
            <rFont val="Courier New"/>
            <family val="3"/>
          </rPr>
          <t>_x000D_
    DESCRIÇÃO DO CÁLCULO_x000D_
Código    : 110.889_x000D_
Corte     : 145_x000D_
-----------------------------_x000D_
Pendente  : _x000D_
22 / 10_2 : _x000D_
22 / 11_2 : 145 (corte = 220)_x000D_
22 / 12_2 : _x000D_
23 / 01_2 : _x000D_
23 / 02_2 : _x000D_
23 / 03_2 : _x000D_
23 / 04_2 : _x000D_
23 / 05_2 : _x000D_
23 / 06_2 : _x000D_
23 / 07_2 : _x000D_
23 / 08_2 : _x000D_
23 / 09_2 : _x000D_
_x000D_
    TOTAL : ( 145 )_x000D_
  DIVISOR : 12_x000D_
    MÉDIA : 12,08_x000D_
-----------------------------_x000D_
   Valores Desconsiderados_x000D_
-----------------------------_x000D_
22 / 11_2 : 75 (220)_x000D_
_x000D_
  TOTAL   : ( 75 )</t>
        </r>
      </text>
    </comment>
    <comment ref="AB85" authorId="0" shapeId="0" xr:uid="{C98BB84F-A7B2-4CD4-A6AE-1A83C7A53DBF}">
      <text>
        <r>
          <rPr>
            <sz val="10"/>
            <color indexed="81"/>
            <rFont val="Lucida Console"/>
            <family val="3"/>
          </rPr>
          <t>Última movimentação no estoque em 11/2022 quantidade 220.</t>
        </r>
      </text>
    </comment>
    <comment ref="R86" authorId="0" shapeId="0" xr:uid="{FCE3A2F7-0E7E-46CD-8DC4-984DAA542ACD}">
      <text>
        <r>
          <rPr>
            <sz val="10"/>
            <color indexed="81"/>
            <rFont val="Lucida Console"/>
            <family val="3"/>
          </rPr>
          <t>11.07.2012</t>
        </r>
      </text>
    </comment>
    <comment ref="Y86" authorId="0" shapeId="0" xr:uid="{077E8DD9-AC1F-4A92-8544-ED7156DC9726}">
      <text>
        <r>
          <rPr>
            <sz val="10"/>
            <color indexed="81"/>
            <rFont val="Courier New"/>
            <family val="3"/>
          </rPr>
          <t>_x000D_
    DESCRIÇÃO DO CÁLCULO_x000D_
Código    : 123.370_x000D_
Corte     : 67_x000D_
-----------------------------_x000D_
Pendente  : _x000D_
22 / 10_2 : _x000D_
22 / 11_2 : _x000D_
22 / 12_2 : _x000D_
23 / 01_2 : _x000D_
23 / 02_2 : _x000D_
23 / 03_2 : _x000D_
23 / 04_2 : _x000D_
23 / 05_2 : _x000D_
23 / 06_2 : 20_x000D_
23 / 07_2 : 67 (corte = 100)_x000D_
23 / 08_2 : _x000D_
23 / 09_2 : _x000D_
_x000D_
    TOTAL : ( 87 )_x000D_
  DIVISOR : 12_x000D_
    MÉDIA : 7,25_x000D_
-----------------------------_x000D_
   Valores Desconsiderados_x000D_
-----------------------------_x000D_
23 / 07_2 : 33 (100)_x000D_
_x000D_
  TOTAL   : ( 33 )</t>
        </r>
      </text>
    </comment>
    <comment ref="AB86" authorId="0" shapeId="0" xr:uid="{D71F27C0-A504-4BAB-85FF-931DF8AA8553}">
      <text>
        <r>
          <rPr>
            <sz val="10"/>
            <color indexed="81"/>
            <rFont val="Lucida Console"/>
            <family val="3"/>
          </rPr>
          <t>Última movimentação no estoque em 07/2023 quantidade 100.</t>
        </r>
      </text>
    </comment>
    <comment ref="R87" authorId="0" shapeId="0" xr:uid="{790000EC-D2E8-4EE1-81A2-C8C06EECDE58}">
      <text>
        <r>
          <rPr>
            <sz val="10"/>
            <color indexed="81"/>
            <rFont val="Lucida Console"/>
            <family val="3"/>
          </rPr>
          <t>23.04.2010</t>
        </r>
      </text>
    </comment>
    <comment ref="Y87" authorId="0" shapeId="0" xr:uid="{0D09F71D-7770-445E-9515-BE73C0469A70}">
      <text>
        <r>
          <rPr>
            <sz val="10"/>
            <color indexed="81"/>
            <rFont val="Courier New"/>
            <family val="3"/>
          </rPr>
          <t>_x000D_
    DESCRIÇÃO DO CÁLCULO_x000D_
Código    : 114.976_x000D_
Corte     : 33_x000D_
-----------------------------_x000D_
Pendente  : _x000D_
22 / 10_2 : _x000D_
22 / 11_2 : _x000D_
22 / 12_2 : 33 (corte = 50)_x000D_
23 / 01_2 : 3_x000D_
23 / 02_2 : _x000D_
23 / 03_2 : _x000D_
23 / 04_2 : _x000D_
23 / 05_2 : _x000D_
23 / 06_2 : _x000D_
23 / 07_2 : _x000D_
23 / 08_2 : _x000D_
23 / 09_2 : _x000D_
_x000D_
    TOTAL : ( 36 )_x000D_
  DIVISOR : 12_x000D_
    MÉDIA : 3,00_x000D_
-----------------------------_x000D_
   Valores Desconsiderados_x000D_
-----------------------------_x000D_
22 / 12_2 : 17 (50)_x000D_
_x000D_
  TOTAL   : ( 17 )</t>
        </r>
      </text>
    </comment>
    <comment ref="AB87" authorId="0" shapeId="0" xr:uid="{AF3720DA-7DFC-4767-A224-1D01E8986928}">
      <text>
        <r>
          <rPr>
            <sz val="10"/>
            <color indexed="81"/>
            <rFont val="Lucida Console"/>
            <family val="3"/>
          </rPr>
          <t>Última movimentação no estoque em 01/2023 quantidade 3.</t>
        </r>
      </text>
    </comment>
    <comment ref="R88" authorId="0" shapeId="0" xr:uid="{836F0CAA-9D50-4DD2-B9F4-CC598C5A8C68}">
      <text>
        <r>
          <rPr>
            <sz val="10"/>
            <color indexed="81"/>
            <rFont val="Lucida Console"/>
            <family val="3"/>
          </rPr>
          <t>11.02.2015</t>
        </r>
      </text>
    </comment>
    <comment ref="Y88" authorId="0" shapeId="0" xr:uid="{9CA00FD1-88D6-487D-93BA-4C4C25F62966}">
      <text>
        <r>
          <rPr>
            <sz val="10"/>
            <color indexed="81"/>
            <rFont val="Courier New"/>
            <family val="3"/>
          </rPr>
          <t>_x000D_
    DESCRIÇÃO DO CÁLCULO_x000D_
Código    : 129.960_x000D_
Corte     : 6_x000D_
-----------------------------_x000D_
Pendente  : _x000D_
22 / 10_2 : _x000D_
22 / 11_2 : _x000D_
22 / 12_2 : _x000D_
23 / 01_2 : _x000D_
23 / 02_2 : _x000D_
23 / 03_2 : _x000D_
23 / 04_2 : _x000D_
23 / 05_2 : _x000D_
23 / 06_2 : _x000D_
23 / 07_2 : _x000D_
23 / 08_2 : 6 (corte = 10)_x000D_
23 / 09_2 : _x000D_
_x000D_
    TOTAL : ( 6 )_x000D_
  DIVISOR : 12_x000D_
    MÉDIA : ,50_x000D_
-----------------------------_x000D_
   Valores Desconsiderados_x000D_
-----------------------------_x000D_
23 / 08_2 : 4 (10)_x000D_
_x000D_
  TOTAL   : ( 4 )</t>
        </r>
      </text>
    </comment>
    <comment ref="AB88" authorId="0" shapeId="0" xr:uid="{BF866504-D453-463D-A906-E819E550343E}">
      <text>
        <r>
          <rPr>
            <sz val="10"/>
            <color indexed="81"/>
            <rFont val="Lucida Console"/>
            <family val="3"/>
          </rPr>
          <t>Última movimentação no estoque em 08/2023 quantidade 10.</t>
        </r>
      </text>
    </comment>
    <comment ref="R89" authorId="0" shapeId="0" xr:uid="{77920529-B17D-43C9-A348-2456BCE249E9}">
      <text>
        <r>
          <rPr>
            <sz val="10"/>
            <color indexed="81"/>
            <rFont val="Lucida Console"/>
            <family val="3"/>
          </rPr>
          <t>13.10.2016</t>
        </r>
      </text>
    </comment>
    <comment ref="Y89" authorId="0" shapeId="0" xr:uid="{BD8D6F31-F8E0-43B8-851C-C21C3A9A132A}">
      <text>
        <r>
          <rPr>
            <sz val="10"/>
            <color indexed="81"/>
            <rFont val="Courier New"/>
            <family val="3"/>
          </rPr>
          <t>_x000D_
    DESCRIÇÃO DO CÁLCULO_x000D_
Código    : 132.229_x000D_
Corte     : 99_x000D_
-----------------------------_x000D_
Pendente  : _x000D_
22 / 10_2 : _x000D_
22 / 11_2 : _x000D_
22 / 12_2 : 99 (corte = 100)_x000D_
23 / 01_2 : _x000D_
23 / 02_2 : _x000D_
23 / 03_2 : _x000D_
23 / 04_2 : 99 (corte = 110)_x000D_
23 / 05_2 : _x000D_
23 / 06_2 : _x000D_
23 / 07_2 : 6_x000D_
23 / 08_2 : 10_x000D_
23 / 09_2 : _x000D_
_x000D_
    TOTAL : ( 214 )_x000D_
  DIVISOR : 12_x000D_
    MÉDIA : 17,83_x000D_
-----------------------------_x000D_
   Valores Desconsiderados_x000D_
-----------------------------_x000D_
22 / 12_2 : 1 (100)_x000D_
23 / 04_2 : 11 (110)_x000D_
_x000D_
  TOTAL   : ( 12 )</t>
        </r>
      </text>
    </comment>
    <comment ref="AB89" authorId="0" shapeId="0" xr:uid="{6ADFEDF8-891D-4E8C-8A83-3336E877A21F}">
      <text>
        <r>
          <rPr>
            <sz val="10"/>
            <color indexed="81"/>
            <rFont val="Lucida Console"/>
            <family val="3"/>
          </rPr>
          <t>Última movimentação no estoque em 08/2023 quantidade 10.</t>
        </r>
      </text>
    </comment>
    <comment ref="R90" authorId="0" shapeId="0" xr:uid="{7B17A55C-5250-4EA4-8817-8CBA2669C43E}">
      <text>
        <r>
          <rPr>
            <sz val="10"/>
            <color indexed="81"/>
            <rFont val="Lucida Console"/>
            <family val="3"/>
          </rPr>
          <t>11.07.2012</t>
        </r>
      </text>
    </comment>
    <comment ref="Y90" authorId="0" shapeId="0" xr:uid="{E8DB24AF-E3B4-415A-88A2-4D13B6DB65E8}">
      <text>
        <r>
          <rPr>
            <sz val="10"/>
            <color indexed="81"/>
            <rFont val="Courier New"/>
            <family val="3"/>
          </rPr>
          <t>_x000D_
    DESCRIÇÃO DO CÁLCULO_x000D_
Código    : 123.372_x000D_
Corte     : 14_x000D_
-----------------------------_x000D_
Pendente  : _x000D_
22 / 10_2 : _x000D_
22 / 11_2 : _x000D_
22 / 12_2 : 14 (corte = 20)_x000D_
23 / 01_2 : _x000D_
23 / 02_2 : _x000D_
23 / 03_2 : _x000D_
23 / 04_2 : _x000D_
23 / 05_2 : _x000D_
23 / 06_2 : 7_x000D_
23 / 07_2 : _x000D_
23 / 08_2 : _x000D_
23 / 09_2 : _x000D_
_x000D_
    TOTAL : ( 21 )_x000D_
  DIVISOR : 12_x000D_
    MÉDIA : 1,75_x000D_
-----------------------------_x000D_
   Valores Desconsiderados_x000D_
-----------------------------_x000D_
22 / 12_2 : 6 (20)_x000D_
_x000D_
  TOTAL   : ( 6 )</t>
        </r>
      </text>
    </comment>
    <comment ref="AB90" authorId="0" shapeId="0" xr:uid="{5C76B297-C097-47B0-951D-FCE67B620184}">
      <text>
        <r>
          <rPr>
            <sz val="10"/>
            <color indexed="81"/>
            <rFont val="Lucida Console"/>
            <family val="3"/>
          </rPr>
          <t>Última movimentação no estoque em 06/2023 quantidade 7.</t>
        </r>
      </text>
    </comment>
    <comment ref="R91" authorId="0" shapeId="0" xr:uid="{5E46F528-8F2E-40FA-89EF-12A6B885737C}">
      <text>
        <r>
          <rPr>
            <sz val="10"/>
            <color indexed="81"/>
            <rFont val="Lucida Console"/>
            <family val="3"/>
          </rPr>
          <t>22.09.2020</t>
        </r>
      </text>
    </comment>
    <comment ref="Y91" authorId="0" shapeId="0" xr:uid="{BF1969DA-6697-4781-BE5B-EA8788D2323C}">
      <text>
        <r>
          <rPr>
            <sz val="10"/>
            <color indexed="81"/>
            <rFont val="Courier New"/>
            <family val="3"/>
          </rPr>
          <t>_x000D_
    DESCRIÇÃO DO CÁLCULO_x000D_
Código    : 140.049_x000D_
Corte     : 202_x000D_
-----------------------------_x000D_
Pendente  : _x000D_
22 / 10_2 : _x000D_
22 / 11_2 : _x000D_
22 / 12_2 : _x000D_
23 / 01_2 : _x000D_
23 / 02_2 : 100_x000D_
23 / 03_2 : 200_x000D_
23 / 04_2 : _x000D_
23 / 05_2 : 202 (corte = 204)_x000D_
23 / 06_2 : _x000D_
23 / 07_2 : _x000D_
23 / 08_2 : _x000D_
23 / 09_2 : _x000D_
_x000D_
    TOTAL : ( 502 )_x000D_
  DIVISOR : 12_x000D_
    MÉDIA : 41,83_x000D_
-----------------------------_x000D_
   Valores Desconsiderados_x000D_
-----------------------------_x000D_
23 / 05_2 : 2 (204)_x000D_
_x000D_
  TOTAL   : ( 2 )</t>
        </r>
      </text>
    </comment>
    <comment ref="AB91" authorId="0" shapeId="0" xr:uid="{0E2D61F9-D678-4A31-9620-A4E7D8E8B667}">
      <text>
        <r>
          <rPr>
            <sz val="10"/>
            <color indexed="81"/>
            <rFont val="Lucida Console"/>
            <family val="3"/>
          </rPr>
          <t>Última movimentação no estoque em 05/2023 quantidade 204.</t>
        </r>
      </text>
    </comment>
    <comment ref="R92" authorId="0" shapeId="0" xr:uid="{C3192D66-548D-4E0B-9622-869757AF1A02}">
      <text>
        <r>
          <rPr>
            <sz val="10"/>
            <color indexed="81"/>
            <rFont val="Lucida Console"/>
            <family val="3"/>
          </rPr>
          <t>22.09.2020</t>
        </r>
      </text>
    </comment>
    <comment ref="Y92" authorId="0" shapeId="0" xr:uid="{07FAC058-759E-4F88-865A-0D78ECC3CC09}">
      <text>
        <r>
          <rPr>
            <sz val="10"/>
            <color indexed="81"/>
            <rFont val="Courier New"/>
            <family val="3"/>
          </rPr>
          <t>_x000D_
    DESCRIÇÃO DO CÁLCULO_x000D_
Código    : 140.048_x000D_
Corte     : 704_x000D_
-----------------------------_x000D_
Pendente  : 140_x000D_
22 / 10_2 : 600_x000D_
22 / 11_2 : 100_x000D_
22 / 12_2 : 300_x000D_
23 / 01_2 : 680_x000D_
23 / 02_2 : 400_x000D_
23 / 03_2 : 360_x000D_
23 / 04_2 : _x000D_
23 / 05_2 : _x000D_
23 / 06_2 : _x000D_
23 / 07_2 : _x000D_
23 / 08_2 : _x000D_
23 / 09_2 : _x000D_
_x000D_
    TOTAL : ( 2.580 )_x000D_
  DIVISOR : 12_x000D_
    MÉDIA : 215,00</t>
        </r>
      </text>
    </comment>
    <comment ref="AB92" authorId="0" shapeId="0" xr:uid="{B7DC0A6A-66F1-4A23-8A60-D24FCC744587}">
      <text>
        <r>
          <rPr>
            <sz val="10"/>
            <color indexed="81"/>
            <rFont val="Lucida Console"/>
            <family val="3"/>
          </rPr>
          <t>Última movimentação no estoque em 03/2023 quantidade 360.</t>
        </r>
      </text>
    </comment>
    <comment ref="R93" authorId="0" shapeId="0" xr:uid="{BAAA3DF1-7908-48DB-9267-03610F6975C4}">
      <text>
        <r>
          <rPr>
            <sz val="10"/>
            <color indexed="81"/>
            <rFont val="Lucida Console"/>
            <family val="3"/>
          </rPr>
          <t>22.09.2020</t>
        </r>
      </text>
    </comment>
    <comment ref="Y93" authorId="0" shapeId="0" xr:uid="{19BAB279-7AC1-4E5C-A3D7-C86CA9D34CA5}">
      <text>
        <r>
          <rPr>
            <sz val="10"/>
            <color indexed="81"/>
            <rFont val="Courier New"/>
            <family val="3"/>
          </rPr>
          <t>_x000D_
    DESCRIÇÃO DO CÁLCULO_x000D_
Código    : 140.050_x000D_
Corte     : 242_x000D_
-----------------------------_x000D_
Pendente  : _x000D_
22 / 10_2 : 130_x000D_
22 / 11_2 : _x000D_
22 / 12_2 : 200_x000D_
23 / 01_2 : 100_x000D_
23 / 02_2 : 200_x000D_
23 / 03_2 : 150_x000D_
23 / 04_2 : 105_x000D_
23 / 05_2 : 109_x000D_
23 / 06_2 : _x000D_
23 / 07_2 : _x000D_
23 / 08_2 : _x000D_
23 / 09_2 : _x000D_
_x000D_
    TOTAL : ( 994 )_x000D_
  DIVISOR : 12_x000D_
    MÉDIA : 82,83</t>
        </r>
      </text>
    </comment>
    <comment ref="AB93" authorId="0" shapeId="0" xr:uid="{60646B3F-8125-41B2-B20A-AFE2C8E2EE2B}">
      <text>
        <r>
          <rPr>
            <sz val="10"/>
            <color indexed="81"/>
            <rFont val="Lucida Console"/>
            <family val="3"/>
          </rPr>
          <t>Última movimentação no estoque em 05/2023 quantidade 109.</t>
        </r>
      </text>
    </comment>
    <comment ref="R94" authorId="0" shapeId="0" xr:uid="{0BA668B7-A8F3-4443-BBBD-5F8E0F7D7935}">
      <text>
        <r>
          <rPr>
            <sz val="10"/>
            <color indexed="81"/>
            <rFont val="Lucida Console"/>
            <family val="3"/>
          </rPr>
          <t>22.09.2020</t>
        </r>
      </text>
    </comment>
    <comment ref="Y94" authorId="0" shapeId="0" xr:uid="{C24BA023-69D4-482E-9C9E-9C0BBB9577C2}">
      <text>
        <r>
          <rPr>
            <sz val="10"/>
            <color indexed="81"/>
            <rFont val="Courier New"/>
            <family val="3"/>
          </rPr>
          <t>_x000D_
    DESCRIÇÃO DO CÁLCULO_x000D_
Código    : 140.047_x000D_
Corte     : 68_x000D_
-----------------------------_x000D_
Pendente  : _x000D_
22 / 10_2 : _x000D_
22 / 11_2 : _x000D_
22 / 12_2 : 20_x000D_
23 / 01_2 : _x000D_
23 / 02_2 : _x000D_
23 / 03_2 : _x000D_
23 / 04_2 : _x000D_
23 / 05_2 : _x000D_
23 / 06_2 : _x000D_
23 / 07_2 : 68 (corte = 100)_x000D_
23 / 08_2 : 10_x000D_
23 / 09_2 : _x000D_
_x000D_
    TOTAL : ( 98 )_x000D_
  DIVISOR : 12_x000D_
    MÉDIA : 8,17_x000D_
-----------------------------_x000D_
   Valores Desconsiderados_x000D_
-----------------------------_x000D_
23 / 07_2 : 32 (100)_x000D_
_x000D_
  TOTAL   : ( 32 )</t>
        </r>
      </text>
    </comment>
    <comment ref="AB94" authorId="0" shapeId="0" xr:uid="{66F83F46-035E-4126-B2D9-F85CCFEFECF0}">
      <text>
        <r>
          <rPr>
            <sz val="10"/>
            <color indexed="81"/>
            <rFont val="Lucida Console"/>
            <family val="3"/>
          </rPr>
          <t>Última movimentação no estoque em 08/2023 quantidade 10.</t>
        </r>
      </text>
    </comment>
    <comment ref="R95" authorId="0" shapeId="0" xr:uid="{5A433515-97D5-4A9A-9383-04BD41A1E050}">
      <text>
        <r>
          <rPr>
            <sz val="10"/>
            <color indexed="81"/>
            <rFont val="Lucida Console"/>
            <family val="3"/>
          </rPr>
          <t>22.09.2020</t>
        </r>
      </text>
    </comment>
    <comment ref="Y95" authorId="0" shapeId="0" xr:uid="{FE9A02BA-44CA-49F0-BE32-0FEBA641CF07}">
      <text>
        <r>
          <rPr>
            <sz val="10"/>
            <color indexed="81"/>
            <rFont val="Courier New"/>
            <family val="3"/>
          </rPr>
          <t>_x000D_
    DESCRIÇÃO DO CÁLCULO_x000D_
Código    : 140.061_x000D_
Corte     : 128_x000D_
-----------------------------_x000D_
Pendente  : _x000D_
22 / 10_2 : _x000D_
22 / 11_2 : _x000D_
22 / 12_2 : 128 (corte = 150)_x000D_
23 / 01_2 : _x000D_
23 / 02_2 : _x000D_
23 / 03_2 : _x000D_
23 / 04_2 : _x000D_
23 / 05_2 : _x000D_
23 / 06_2 : 120_x000D_
23 / 07_2 : _x000D_
23 / 08_2 : 5_x000D_
23 / 09_2 : _x000D_
_x000D_
    TOTAL : ( 253 )_x000D_
  DIVISOR : 12_x000D_
    MÉDIA : 21,08_x000D_
-----------------------------_x000D_
   Valores Desconsiderados_x000D_
-----------------------------_x000D_
22 / 12_2 : 22 (150)_x000D_
_x000D_
  TOTAL   : ( 22 )</t>
        </r>
      </text>
    </comment>
    <comment ref="AB95" authorId="0" shapeId="0" xr:uid="{49863412-E777-47FD-820C-AAD8456B1EA1}">
      <text>
        <r>
          <rPr>
            <sz val="10"/>
            <color indexed="81"/>
            <rFont val="Lucida Console"/>
            <family val="3"/>
          </rPr>
          <t>Última movimentação no estoque em 08/2023 quantidade 5.</t>
        </r>
      </text>
    </comment>
    <comment ref="R96" authorId="0" shapeId="0" xr:uid="{511AFA4C-5120-477C-B37A-22958AEEBA56}">
      <text>
        <r>
          <rPr>
            <sz val="10"/>
            <color indexed="81"/>
            <rFont val="Lucida Console"/>
            <family val="3"/>
          </rPr>
          <t>22.09.2020</t>
        </r>
      </text>
    </comment>
    <comment ref="Y96" authorId="0" shapeId="0" xr:uid="{DB7DE344-F079-4887-B86E-8BCFD6E74BF2}">
      <text>
        <r>
          <rPr>
            <sz val="10"/>
            <color indexed="81"/>
            <rFont val="Courier New"/>
            <family val="3"/>
          </rPr>
          <t>_x000D_
    DESCRIÇÃO DO CÁLCULO_x000D_
Código    : 140.028_x000D_
Corte     : 14_x000D_
-----------------------------_x000D_
Pendente  : _x000D_
22 / 10_2 : 6_x000D_
22 / 11_2 : 4_x000D_
22 / 12_2 : 3_x000D_
23 / 01_2 : 14 (corte = 16)_x000D_
23 / 02_2 : 3_x000D_
23 / 03_2 : 7_x000D_
23 / 04_2 : 10_x000D_
23 / 05_2 : _x000D_
23 / 06_2 : _x000D_
23 / 07_2 : 3_x000D_
23 / 08_2 : _x000D_
23 / 09_2 : 6_x000D_
_x000D_
    TOTAL : ( 56 )_x000D_
  DIVISOR : 12_x000D_
    MÉDIA : 4,67_x000D_
-----------------------------_x000D_
   Valores Desconsiderados_x000D_
-----------------------------_x000D_
23 / 01_2 : 2 (16)_x000D_
_x000D_
  TOTAL   : ( 2 )</t>
        </r>
      </text>
    </comment>
    <comment ref="AB96" authorId="0" shapeId="0" xr:uid="{37277354-14FC-4307-A295-6F71BA3B0AB1}">
      <text>
        <r>
          <rPr>
            <sz val="10"/>
            <color indexed="81"/>
            <rFont val="Lucida Console"/>
            <family val="3"/>
          </rPr>
          <t>Última movimentação no estoque em 09/2023 quantidade 6.</t>
        </r>
      </text>
    </comment>
    <comment ref="R97" authorId="0" shapeId="0" xr:uid="{2AEA4759-3F3A-45F0-95BB-C76711B518D9}">
      <text>
        <r>
          <rPr>
            <sz val="10"/>
            <color indexed="81"/>
            <rFont val="Lucida Console"/>
            <family val="3"/>
          </rPr>
          <t>22.09.2020</t>
        </r>
      </text>
    </comment>
    <comment ref="Y97" authorId="0" shapeId="0" xr:uid="{E1A5FAD7-F805-40C8-9733-F2CD51EA05D5}">
      <text>
        <r>
          <rPr>
            <sz val="10"/>
            <color indexed="81"/>
            <rFont val="Courier New"/>
            <family val="3"/>
          </rPr>
          <t>_x000D_
    DESCRIÇÃO DO CÁLCULO_x000D_
Código    : 140.042_x000D_
Corte     : 1.285_x000D_
-----------------------------_x000D_
Pendente  : 54_x000D_
22 / 10_2 : 1.285 (corte = 1600)_x000D_
22 / 11_2 : 600_x000D_
22 / 12_2 : 500_x000D_
23 / 01_2 : _x000D_
23 / 02_2 : _x000D_
23 / 03_2 : 528_x000D_
23 / 04_2 : 706_x000D_
23 / 05_2 : 146_x000D_
23 / 06_2 : _x000D_
23 / 07_2 : _x000D_
23 / 08_2 : _x000D_
23 / 09_2 : _x000D_
_x000D_
    TOTAL : ( 3.819 )_x000D_
  DIVISOR : 12_x000D_
    MÉDIA : 318,25_x000D_
-----------------------------_x000D_
   Valores Desconsiderados_x000D_
-----------------------------_x000D_
22 / 10_2 : 315 (1.600)_x000D_
_x000D_
  TOTAL   : ( 315 )</t>
        </r>
      </text>
    </comment>
    <comment ref="AB97" authorId="0" shapeId="0" xr:uid="{9EC3C12A-B676-4828-B184-57E4C0B70CBF}">
      <text>
        <r>
          <rPr>
            <sz val="10"/>
            <color indexed="81"/>
            <rFont val="Lucida Console"/>
            <family val="3"/>
          </rPr>
          <t>Última movimentação no estoque em 05/2023 quantidade 146.</t>
        </r>
      </text>
    </comment>
    <comment ref="R98" authorId="0" shapeId="0" xr:uid="{711EB789-5760-4C25-968E-B21F2F4A3E22}">
      <text>
        <r>
          <rPr>
            <sz val="10"/>
            <color indexed="81"/>
            <rFont val="Lucida Console"/>
            <family val="3"/>
          </rPr>
          <t>22.09.2020</t>
        </r>
      </text>
    </comment>
    <comment ref="Y98" authorId="0" shapeId="0" xr:uid="{A27BBF1B-92CD-4D5D-B005-6F24AC7E3F35}">
      <text>
        <r>
          <rPr>
            <sz val="10"/>
            <color indexed="81"/>
            <rFont val="Courier New"/>
            <family val="3"/>
          </rPr>
          <t>_x000D_
    DESCRIÇÃO DO CÁLCULO_x000D_
Código    : 140.043_x000D_
Corte     : 389_x000D_
-----------------------------_x000D_
Pendente  : 263_x000D_
22 / 10_2 : 389 (corte = 510)_x000D_
22 / 11_2 : 100_x000D_
22 / 12_2 : 70_x000D_
23 / 01_2 : _x000D_
23 / 02_2 : _x000D_
23 / 03_2 : 100_x000D_
23 / 04_2 : 67_x000D_
23 / 05_2 : _x000D_
23 / 06_2 : _x000D_
23 / 07_2 : _x000D_
23 / 08_2 : _x000D_
23 / 09_2 : _x000D_
_x000D_
    TOTAL : ( 989 )_x000D_
  DIVISOR : 12_x000D_
    MÉDIA : 82,42_x000D_
-----------------------------_x000D_
   Valores Desconsiderados_x000D_
-----------------------------_x000D_
22 / 10_2 : 121 (510)_x000D_
_x000D_
  TOTAL   : ( 121 )</t>
        </r>
      </text>
    </comment>
    <comment ref="AB98" authorId="0" shapeId="0" xr:uid="{E5E80518-DE71-462A-8E54-0EF2BE839702}">
      <text>
        <r>
          <rPr>
            <sz val="10"/>
            <color indexed="81"/>
            <rFont val="Lucida Console"/>
            <family val="3"/>
          </rPr>
          <t>Última movimentação no estoque em 04/2023 quantidade 67.</t>
        </r>
      </text>
    </comment>
    <comment ref="R99" authorId="0" shapeId="0" xr:uid="{B37161A2-93C9-4C9E-9132-487C4B2E0C89}">
      <text>
        <r>
          <rPr>
            <sz val="10"/>
            <color indexed="81"/>
            <rFont val="Lucida Console"/>
            <family val="3"/>
          </rPr>
          <t>22.09.2020</t>
        </r>
      </text>
    </comment>
    <comment ref="Y99" authorId="0" shapeId="0" xr:uid="{3666FFBC-4127-44AD-9280-70412928F1F8}">
      <text>
        <r>
          <rPr>
            <sz val="10"/>
            <color indexed="81"/>
            <rFont val="Courier New"/>
            <family val="3"/>
          </rPr>
          <t>_x000D_
    DESCRIÇÃO DO CÁLCULO_x000D_
Código    : 140.051_x000D_
Corte     : 117_x000D_
-----------------------------_x000D_
Pendente  : _x000D_
22 / 10_2 : _x000D_
22 / 11_2 : _x000D_
22 / 12_2 : 100_x000D_
23 / 01_2 : _x000D_
23 / 02_2 : _x000D_
23 / 03_2 : _x000D_
23 / 04_2 : 104_x000D_
23 / 05_2 : _x000D_
23 / 06_2 : _x000D_
23 / 07_2 : _x000D_
23 / 08_2 : 10_x000D_
23 / 09_2 : 100_x000D_
_x000D_
    TOTAL : ( 314 )_x000D_
  DIVISOR : 12_x000D_
    MÉDIA : 26,17</t>
        </r>
      </text>
    </comment>
    <comment ref="AB99" authorId="0" shapeId="0" xr:uid="{12556D18-2CAF-4DDD-8C02-847FB8C91F15}">
      <text>
        <r>
          <rPr>
            <sz val="10"/>
            <color indexed="81"/>
            <rFont val="Lucida Console"/>
            <family val="3"/>
          </rPr>
          <t>Última movimentação no estoque em 09/2023 quantidade 100.</t>
        </r>
      </text>
    </comment>
    <comment ref="R100" authorId="0" shapeId="0" xr:uid="{A981BD16-91F6-4BC8-9250-A0D80355415C}">
      <text>
        <r>
          <rPr>
            <sz val="10"/>
            <color indexed="81"/>
            <rFont val="Lucida Console"/>
            <family val="3"/>
          </rPr>
          <t>22.09.2020</t>
        </r>
      </text>
    </comment>
    <comment ref="Y100" authorId="0" shapeId="0" xr:uid="{0BCFD301-BB52-4895-9AF2-8AA0E2D06BC6}">
      <text>
        <r>
          <rPr>
            <sz val="10"/>
            <color indexed="81"/>
            <rFont val="Courier New"/>
            <family val="3"/>
          </rPr>
          <t>_x000D_
    DESCRIÇÃO DO CÁLCULO_x000D_
Código    : 140.032_x000D_
Corte     : 50_x000D_
-----------------------------_x000D_
Pendente  : 3_x000D_
22 / 10_2 : 13_x000D_
22 / 11_2 : 15_x000D_
22 / 12_2 : 23_x000D_
23 / 01_2 : 39_x000D_
23 / 02_2 : 25_x000D_
23 / 03_2 : 23_x000D_
23 / 04_2 : 17_x000D_
23 / 05_2 : 16_x000D_
23 / 06_2 : 50_x000D_
23 / 07_2 : 30_x000D_
23 / 08_2 : 36_x000D_
23 / 09_2 : 20_x000D_
_x000D_
    TOTAL : ( 310 )_x000D_
  DIVISOR : 12_x000D_
    MÉDIA : 25,83</t>
        </r>
      </text>
    </comment>
    <comment ref="AB100" authorId="0" shapeId="0" xr:uid="{72FBF75B-57D0-4E4B-9C21-A4C76B7FDFE0}">
      <text>
        <r>
          <rPr>
            <sz val="10"/>
            <color indexed="81"/>
            <rFont val="Lucida Console"/>
            <family val="3"/>
          </rPr>
          <t>Última movimentação no estoque em 09/2023 quantidade 20.</t>
        </r>
      </text>
    </comment>
    <comment ref="R101" authorId="0" shapeId="0" xr:uid="{6E8767BD-8524-4622-A9DB-011BABCB2587}">
      <text>
        <r>
          <rPr>
            <sz val="10"/>
            <color indexed="81"/>
            <rFont val="Lucida Console"/>
            <family val="3"/>
          </rPr>
          <t>22.09.2020</t>
        </r>
      </text>
    </comment>
    <comment ref="Y101" authorId="0" shapeId="0" xr:uid="{7BAB9A7C-F62D-4176-91BB-C23BF3BC2F8F}">
      <text>
        <r>
          <rPr>
            <sz val="10"/>
            <color indexed="81"/>
            <rFont val="Courier New"/>
            <family val="3"/>
          </rPr>
          <t>_x000D_
    DESCRIÇÃO DO CÁLCULO_x000D_
Código    : 140.030_x000D_
Corte     : 25_x000D_
-----------------------------_x000D_
Pendente  : _x000D_
22 / 10_2 : 6_x000D_
22 / 11_2 : 3_x000D_
22 / 12_2 : 4_x000D_
23 / 01_2 : 6_x000D_
23 / 02_2 : 3_x000D_
23 / 03_2 : 2_x000D_
23 / 04_2 : 7_x000D_
23 / 05_2 : 4_x000D_
23 / 06_2 : 14_x000D_
23 / 07_2 : 25 (corte = 29)_x000D_
23 / 08_2 : 5_x000D_
23 / 09_2 : 20_x000D_
_x000D_
    TOTAL : ( 99 )_x000D_
  DIVISOR : 12_x000D_
    MÉDIA : 8,25_x000D_
-----------------------------_x000D_
   Valores Desconsiderados_x000D_
-----------------------------_x000D_
23 / 07_2 : 4 (29)_x000D_
_x000D_
  TOTAL   : ( 4 )</t>
        </r>
      </text>
    </comment>
    <comment ref="AB101" authorId="0" shapeId="0" xr:uid="{99085084-D6A9-4E75-B1DF-09C6F7DAFEC3}">
      <text>
        <r>
          <rPr>
            <sz val="10"/>
            <color indexed="81"/>
            <rFont val="Lucida Console"/>
            <family val="3"/>
          </rPr>
          <t>Última movimentação no estoque em 09/2023 quantidade 20.</t>
        </r>
      </text>
    </comment>
    <comment ref="R102" authorId="0" shapeId="0" xr:uid="{1E0F68B4-0F30-46F0-8262-8A663DF1D4B1}">
      <text>
        <r>
          <rPr>
            <sz val="10"/>
            <color indexed="81"/>
            <rFont val="Lucida Console"/>
            <family val="3"/>
          </rPr>
          <t>28.10.2020</t>
        </r>
      </text>
    </comment>
    <comment ref="Y102" authorId="0" shapeId="0" xr:uid="{C2D04368-DD79-4634-8452-F107283D6FB9}">
      <text>
        <r>
          <rPr>
            <sz val="10"/>
            <color indexed="81"/>
            <rFont val="Courier New"/>
            <family val="3"/>
          </rPr>
          <t>_x000D_
    DESCRIÇÃO DO CÁLCULO_x000D_
Código    : 140.242_x000D_
Corte     : 389_x000D_
-----------------------------_x000D_
Pendente  : _x000D_
22 / 10_2 : _x000D_
22 / 11_2 : 135_x000D_
22 / 12_2 : 100_x000D_
23 / 01_2 : 250_x000D_
23 / 02_2 : _x000D_
23 / 03_2 : _x000D_
23 / 04_2 : _x000D_
23 / 05_2 : 389 (corte = 500)_x000D_
23 / 06_2 : _x000D_
23 / 07_2 : _x000D_
23 / 08_2 : _x000D_
23 / 09_2 : _x000D_
_x000D_
    TOTAL : ( 874 )_x000D_
  DIVISOR : 12_x000D_
    MÉDIA : 72,83_x000D_
-----------------------------_x000D_
   Valores Desconsiderados_x000D_
-----------------------------_x000D_
23 / 05_2 : 111 (500)_x000D_
_x000D_
  TOTAL   : ( 111 )</t>
        </r>
      </text>
    </comment>
    <comment ref="AB102" authorId="0" shapeId="0" xr:uid="{BA88CDE7-464A-4EE6-BFFE-4CB2DA7EDAA7}">
      <text>
        <r>
          <rPr>
            <sz val="10"/>
            <color indexed="81"/>
            <rFont val="Lucida Console"/>
            <family val="3"/>
          </rPr>
          <t>Última movimentação no estoque em 05/2023 quantidade 500.</t>
        </r>
      </text>
    </comment>
    <comment ref="R103" authorId="0" shapeId="0" xr:uid="{037888B1-8BBE-4EE3-975C-595B40AC30D0}">
      <text>
        <r>
          <rPr>
            <sz val="10"/>
            <color indexed="81"/>
            <rFont val="Lucida Console"/>
            <family val="3"/>
          </rPr>
          <t>22.09.2020</t>
        </r>
      </text>
    </comment>
    <comment ref="Y103" authorId="0" shapeId="0" xr:uid="{C7D9217C-6490-409E-B517-93C4FE9E4FA1}">
      <text>
        <r>
          <rPr>
            <sz val="10"/>
            <color indexed="81"/>
            <rFont val="Courier New"/>
            <family val="3"/>
          </rPr>
          <t>_x000D_
    DESCRIÇÃO DO CÁLCULO_x000D_
Código    : 140.052_x000D_
Corte     : 705_x000D_
-----------------------------_x000D_
Pendente  : 10_x000D_
22 / 10_2 : 270_x000D_
22 / 11_2 : 150_x000D_
22 / 12_2 : 300_x000D_
23 / 01_2 : 475_x000D_
23 / 02_2 : 5_x000D_
23 / 03_2 : _x000D_
23 / 04_2 : _x000D_
23 / 05_2 : 705 (corte = 879)_x000D_
23 / 06_2 : _x000D_
23 / 07_2 : _x000D_
23 / 08_2 : _x000D_
23 / 09_2 : _x000D_
_x000D_
    TOTAL : ( 1.915 )_x000D_
  DIVISOR : 12_x000D_
    MÉDIA : 159,58_x000D_
-----------------------------_x000D_
   Valores Desconsiderados_x000D_
-----------------------------_x000D_
23 / 05_2 : 174 (879)_x000D_
_x000D_
  TOTAL   : ( 174 )</t>
        </r>
      </text>
    </comment>
    <comment ref="AB103" authorId="0" shapeId="0" xr:uid="{3D8E8536-533F-4C8A-A58A-3BDAC2604355}">
      <text>
        <r>
          <rPr>
            <sz val="10"/>
            <color indexed="81"/>
            <rFont val="Lucida Console"/>
            <family val="3"/>
          </rPr>
          <t>Última movimentação no estoque em 05/2023 quantidade 879.</t>
        </r>
      </text>
    </comment>
    <comment ref="R104" authorId="0" shapeId="0" xr:uid="{46778112-AF34-4556-A55E-9BCA96CE6E9A}">
      <text>
        <r>
          <rPr>
            <sz val="10"/>
            <color indexed="81"/>
            <rFont val="Lucida Console"/>
            <family val="3"/>
          </rPr>
          <t>22.09.2020</t>
        </r>
      </text>
    </comment>
    <comment ref="Y104" authorId="0" shapeId="0" xr:uid="{63E8987F-1E55-4B4B-AB4E-E1FB575FC1A3}">
      <text>
        <r>
          <rPr>
            <sz val="10"/>
            <color indexed="81"/>
            <rFont val="Courier New"/>
            <family val="3"/>
          </rPr>
          <t>_x000D_
    DESCRIÇÃO DO CÁLCULO_x000D_
Código    : 140.053_x000D_
Corte     : 300_x000D_
-----------------------------_x000D_
Pendente  : 64_x000D_
22 / 10_2 : _x000D_
22 / 11_2 : 135_x000D_
22 / 12_2 : 100_x000D_
23 / 01_2 : 300 (corte = 356)_x000D_
23 / 02_2 : _x000D_
23 / 03_2 : _x000D_
23 / 04_2 : _x000D_
23 / 05_2 : 236_x000D_
23 / 06_2 : _x000D_
23 / 07_2 : _x000D_
23 / 08_2 : _x000D_
23 / 09_2 : _x000D_
_x000D_
    TOTAL : ( 835 )_x000D_
  DIVISOR : 12_x000D_
    MÉDIA : 69,58_x000D_
-----------------------------_x000D_
   Valores Desconsiderados_x000D_
-----------------------------_x000D_
23 / 01_2 : 56 (356)_x000D_
_x000D_
  TOTAL   : ( 56 )</t>
        </r>
      </text>
    </comment>
    <comment ref="AB104" authorId="0" shapeId="0" xr:uid="{33F6CEF3-087D-4C14-A95A-32FFFD364F44}">
      <text>
        <r>
          <rPr>
            <sz val="10"/>
            <color indexed="81"/>
            <rFont val="Lucida Console"/>
            <family val="3"/>
          </rPr>
          <t>Última movimentação no estoque em 05/2023 quantidade 236.</t>
        </r>
      </text>
    </comment>
    <comment ref="R105" authorId="0" shapeId="0" xr:uid="{00E3DF38-0CA1-4A65-9257-96E5C49DE475}">
      <text>
        <r>
          <rPr>
            <sz val="10"/>
            <color indexed="81"/>
            <rFont val="Lucida Console"/>
            <family val="3"/>
          </rPr>
          <t>22.09.2020</t>
        </r>
      </text>
    </comment>
    <comment ref="Y105" authorId="0" shapeId="0" xr:uid="{074D881D-12A0-41C1-B3BE-6968B82B4E27}">
      <text>
        <r>
          <rPr>
            <sz val="10"/>
            <color indexed="81"/>
            <rFont val="Courier New"/>
            <family val="3"/>
          </rPr>
          <t>_x000D_
    DESCRIÇÃO DO CÁLCULO_x000D_
Código    : 140.056_x000D_
Corte     : 33_x000D_
-----------------------------_x000D_
Pendente  : _x000D_
22 / 10_2 : _x000D_
22 / 11_2 : _x000D_
22 / 12_2 : 30_x000D_
23 / 01_2 : _x000D_
23 / 02_2 : _x000D_
23 / 03_2 : _x000D_
23 / 04_2 : _x000D_
23 / 05_2 : _x000D_
23 / 06_2 : 5_x000D_
23 / 07_2 : _x000D_
23 / 08_2 : 33 (corte = 40)_x000D_
23 / 09_2 : _x000D_
_x000D_
    TOTAL : ( 68 )_x000D_
  DIVISOR : 12_x000D_
    MÉDIA : 5,67_x000D_
-----------------------------_x000D_
   Valores Desconsiderados_x000D_
-----------------------------_x000D_
23 / 08_2 : 7 (40)_x000D_
_x000D_
  TOTAL   : ( 7 )</t>
        </r>
      </text>
    </comment>
    <comment ref="AB105" authorId="0" shapeId="0" xr:uid="{4207397A-CEA5-4BEF-BEE6-AFEF4E8214C2}">
      <text>
        <r>
          <rPr>
            <sz val="10"/>
            <color indexed="81"/>
            <rFont val="Lucida Console"/>
            <family val="3"/>
          </rPr>
          <t>Última movimentação no estoque em 08/2023 quantidade 40.</t>
        </r>
      </text>
    </comment>
    <comment ref="R106" authorId="0" shapeId="0" xr:uid="{27D06E1E-57CF-4C27-AB3E-FC1BCBFAA999}">
      <text>
        <r>
          <rPr>
            <sz val="10"/>
            <color indexed="81"/>
            <rFont val="Lucida Console"/>
            <family val="3"/>
          </rPr>
          <t>22.09.2020</t>
        </r>
      </text>
    </comment>
    <comment ref="Y106" authorId="0" shapeId="0" xr:uid="{B6A725EF-3961-4CAE-9050-F87355138843}">
      <text>
        <r>
          <rPr>
            <sz val="10"/>
            <color indexed="81"/>
            <rFont val="Courier New"/>
            <family val="3"/>
          </rPr>
          <t>_x000D_
    DESCRIÇÃO DO CÁLCULO_x000D_
Código    : 140.055_x000D_
Corte     : 132_x000D_
-----------------------------_x000D_
Pendente  : _x000D_
22 / 10_2 : _x000D_
22 / 11_2 : 132 (corte = 150)_x000D_
22 / 12_2 : _x000D_
23 / 01_2 : 16_x000D_
23 / 02_2 : _x000D_
23 / 03_2 : _x000D_
23 / 04_2 : _x000D_
23 / 05_2 : _x000D_
23 / 06_2 : _x000D_
23 / 07_2 : _x000D_
23 / 08_2 : 120_x000D_
23 / 09_2 : 50_x000D_
_x000D_
    TOTAL : ( 318 )_x000D_
  DIVISOR : 12_x000D_
    MÉDIA : 26,50_x000D_
-----------------------------_x000D_
   Valores Desconsiderados_x000D_
-----------------------------_x000D_
22 / 11_2 : 18 (150)_x000D_
_x000D_
  TOTAL   : ( 18 )</t>
        </r>
      </text>
    </comment>
    <comment ref="AB106" authorId="0" shapeId="0" xr:uid="{478ED9F0-81F8-452E-84ED-D13C940E8B17}">
      <text>
        <r>
          <rPr>
            <sz val="10"/>
            <color indexed="81"/>
            <rFont val="Lucida Console"/>
            <family val="3"/>
          </rPr>
          <t>Última movimentação no estoque em 09/2023 quantidade 50.</t>
        </r>
      </text>
    </comment>
    <comment ref="R107" authorId="0" shapeId="0" xr:uid="{1C4F541C-7A44-4F2F-A91E-633E9F0C10A7}">
      <text>
        <r>
          <rPr>
            <sz val="10"/>
            <color indexed="81"/>
            <rFont val="Lucida Console"/>
            <family val="3"/>
          </rPr>
          <t>22.09.2020</t>
        </r>
      </text>
    </comment>
    <comment ref="Y107" authorId="0" shapeId="0" xr:uid="{3EDA301B-2096-4A0B-B06B-FC70969E4E79}">
      <text>
        <r>
          <rPr>
            <sz val="10"/>
            <color indexed="81"/>
            <rFont val="Courier New"/>
            <family val="3"/>
          </rPr>
          <t>_x000D_
    DESCRIÇÃO DO CÁLCULO_x000D_
Código    : 140.054_x000D_
Corte     : 249_x000D_
-----------------------------_x000D_
Pendente  : _x000D_
22 / 10_2 : _x000D_
22 / 11_2 : _x000D_
22 / 12_2 : 30_x000D_
23 / 01_2 : 10_x000D_
23 / 02_2 : _x000D_
23 / 03_2 : _x000D_
23 / 04_2 : _x000D_
23 / 05_2 : 249 (corte = 307)_x000D_
23 / 06_2 : 53_x000D_
23 / 07_2 : _x000D_
23 / 08_2 : 40_x000D_
23 / 09_2 : 200_x000D_
_x000D_
    TOTAL : ( 582 )_x000D_
  DIVISOR : 12_x000D_
    MÉDIA : 48,50_x000D_
-----------------------------_x000D_
   Valores Desconsiderados_x000D_
-----------------------------_x000D_
23 / 05_2 : 58 (307)_x000D_
_x000D_
  TOTAL   : ( 58 )</t>
        </r>
      </text>
    </comment>
    <comment ref="AB107" authorId="0" shapeId="0" xr:uid="{67A0EAF9-FBD6-4C57-91AB-9940C25CB827}">
      <text>
        <r>
          <rPr>
            <sz val="10"/>
            <color indexed="81"/>
            <rFont val="Lucida Console"/>
            <family val="3"/>
          </rPr>
          <t>Última movimentação no estoque em 09/2023 quantidade 200.</t>
        </r>
      </text>
    </comment>
    <comment ref="R108" authorId="0" shapeId="0" xr:uid="{36E0C508-9B94-4064-B621-DD4F5F66E60C}">
      <text>
        <r>
          <rPr>
            <sz val="10"/>
            <color indexed="81"/>
            <rFont val="Lucida Console"/>
            <family val="3"/>
          </rPr>
          <t>22.09.2020</t>
        </r>
      </text>
    </comment>
    <comment ref="Y108" authorId="0" shapeId="0" xr:uid="{7262E696-6EDA-4199-BC2C-361990E7B697}">
      <text>
        <r>
          <rPr>
            <sz val="10"/>
            <color indexed="81"/>
            <rFont val="Courier New"/>
            <family val="3"/>
          </rPr>
          <t>_x000D_
    DESCRIÇÃO DO CÁLCULO_x000D_
Código    : 140.033_x000D_
Corte     : 54_x000D_
-----------------------------_x000D_
Pendente  : _x000D_
22 / 10_2 : 7_x000D_
22 / 11_2 : 7_x000D_
22 / 12_2 : 14_x000D_
23 / 01_2 : 19_x000D_
23 / 02_2 : 15_x000D_
23 / 03_2 : 26_x000D_
23 / 04_2 : 20_x000D_
23 / 05_2 : 40_x000D_
23 / 06_2 : 28_x000D_
23 / 07_2 : 22_x000D_
23 / 08_2 : 54 (corte = 64)_x000D_
23 / 09_2 : 15_x000D_
_x000D_
    TOTAL : ( 267 )_x000D_
  DIVISOR : 12_x000D_
    MÉDIA : 22,25_x000D_
-----------------------------_x000D_
   Valores Desconsiderados_x000D_
-----------------------------_x000D_
23 / 08_2 : 10 (64)_x000D_
_x000D_
  TOTAL   : ( 10 )</t>
        </r>
      </text>
    </comment>
    <comment ref="AB108" authorId="0" shapeId="0" xr:uid="{C22BF281-C7C8-4F09-A08F-975E5F5219F4}">
      <text>
        <r>
          <rPr>
            <sz val="10"/>
            <color indexed="81"/>
            <rFont val="Lucida Console"/>
            <family val="3"/>
          </rPr>
          <t>Última movimentação no estoque em 09/2023 quantidade 15.</t>
        </r>
      </text>
    </comment>
    <comment ref="R109" authorId="0" shapeId="0" xr:uid="{FBE26389-8155-4A28-822D-3200384E609A}">
      <text>
        <r>
          <rPr>
            <sz val="10"/>
            <color indexed="81"/>
            <rFont val="Lucida Console"/>
            <family val="3"/>
          </rPr>
          <t>22.09.2020</t>
        </r>
      </text>
    </comment>
    <comment ref="Y109" authorId="0" shapeId="0" xr:uid="{72DA82BC-67B8-4CA2-8873-DFDB2DB6830F}">
      <text>
        <r>
          <rPr>
            <sz val="10"/>
            <color indexed="81"/>
            <rFont val="Courier New"/>
            <family val="3"/>
          </rPr>
          <t>_x000D_
    DESCRIÇÃO DO CÁLCULO_x000D_
Código    : 140.035_x000D_
Corte     : 20_x000D_
-----------------------------_x000D_
Pendente  : _x000D_
22 / 10_2 : 3_x000D_
22 / 11_2 : 2_x000D_
22 / 12_2 : 5_x000D_
23 / 01_2 : 7_x000D_
23 / 02_2 : 7_x000D_
23 / 03_2 : 10_x000D_
23 / 04_2 : 7_x000D_
23 / 05_2 : 19_x000D_
23 / 06_2 : 4_x000D_
23 / 07_2 : 18_x000D_
23 / 08_2 : 10_x000D_
23 / 09_2 : 15_x000D_
_x000D_
    TOTAL : ( 107 )_x000D_
  DIVISOR : 12_x000D_
    MÉDIA : 8,92</t>
        </r>
      </text>
    </comment>
    <comment ref="AB109" authorId="0" shapeId="0" xr:uid="{50AE36E4-F4F4-4C86-AA2A-191EADEBF224}">
      <text>
        <r>
          <rPr>
            <sz val="10"/>
            <color indexed="81"/>
            <rFont val="Lucida Console"/>
            <family val="3"/>
          </rPr>
          <t>Última movimentação no estoque em 09/2023 quantidade 15.</t>
        </r>
      </text>
    </comment>
    <comment ref="R110" authorId="0" shapeId="0" xr:uid="{533366C8-7E16-403A-A27F-174686B89889}">
      <text>
        <r>
          <rPr>
            <sz val="10"/>
            <color indexed="81"/>
            <rFont val="Lucida Console"/>
            <family val="3"/>
          </rPr>
          <t>22.09.2020</t>
        </r>
      </text>
    </comment>
    <comment ref="Y110" authorId="0" shapeId="0" xr:uid="{F06184C4-3E0A-41AD-BCCC-67FBF27534DD}">
      <text>
        <r>
          <rPr>
            <sz val="10"/>
            <color indexed="81"/>
            <rFont val="Courier New"/>
            <family val="3"/>
          </rPr>
          <t>_x000D_
    DESCRIÇÃO DO CÁLCULO_x000D_
Código    : 140.057_x000D_
Corte     : 818_x000D_
-----------------------------_x000D_
Pendente  : _x000D_
22 / 10_2 : _x000D_
22 / 11_2 : 100_x000D_
22 / 12_2 : 50_x000D_
23 / 01_2 : 490_x000D_
23 / 02_2 : _x000D_
23 / 03_2 : _x000D_
23 / 04_2 : _x000D_
23 / 05_2 : 818 (corte = 1000)_x000D_
23 / 06_2 : 120_x000D_
23 / 07_2 : _x000D_
23 / 08_2 : _x000D_
23 / 09_2 : 500_x000D_
_x000D_
    TOTAL : ( 2.078 )_x000D_
  DIVISOR : 12_x000D_
    MÉDIA : 173,17_x000D_
-----------------------------_x000D_
   Valores Desconsiderados_x000D_
-----------------------------_x000D_
23 / 05_2 : 182 (1.000)_x000D_
_x000D_
  TOTAL   : ( 182 )</t>
        </r>
      </text>
    </comment>
    <comment ref="AB110" authorId="0" shapeId="0" xr:uid="{8446C172-5CFB-41CE-990F-43A5226611B6}">
      <text>
        <r>
          <rPr>
            <sz val="10"/>
            <color indexed="81"/>
            <rFont val="Lucida Console"/>
            <family val="3"/>
          </rPr>
          <t>Última movimentação no estoque em 09/2023 quantidade 500.</t>
        </r>
      </text>
    </comment>
    <comment ref="R111" authorId="0" shapeId="0" xr:uid="{CD08F6A9-0613-4653-A0DD-E479F305EB5F}">
      <text>
        <r>
          <rPr>
            <sz val="10"/>
            <color indexed="81"/>
            <rFont val="Lucida Console"/>
            <family val="3"/>
          </rPr>
          <t>05.10.2020</t>
        </r>
      </text>
    </comment>
    <comment ref="Y111" authorId="0" shapeId="0" xr:uid="{B32F5520-9C0A-4BB4-A06D-F6B9D3129402}">
      <text>
        <r>
          <rPr>
            <sz val="10"/>
            <color indexed="81"/>
            <rFont val="Courier New"/>
            <family val="3"/>
          </rPr>
          <t>_x000D_
    DESCRIÇÃO DO CÁLCULO_x000D_
Código    : 140.126_x000D_
Corte     : 111_x000D_
-----------------------------_x000D_
Pendente  : _x000D_
22 / 10_2 : _x000D_
22 / 11_2 : 75_x000D_
22 / 12_2 : 100_x000D_
23 / 01_2 : _x000D_
23 / 02_2 : _x000D_
23 / 03_2 : _x000D_
23 / 04_2 : 110_x000D_
23 / 05_2 : _x000D_
23 / 06_2 : 5_x000D_
23 / 07_2 : 26_x000D_
23 / 08_2 : _x000D_
23 / 09_2 : _x000D_
_x000D_
    TOTAL : ( 316 )_x000D_
  DIVISOR : 12_x000D_
    MÉDIA : 26,33</t>
        </r>
      </text>
    </comment>
    <comment ref="AB111" authorId="0" shapeId="0" xr:uid="{504AE699-32E5-43D9-9CD3-5A50D56903F7}">
      <text>
        <r>
          <rPr>
            <sz val="10"/>
            <color indexed="81"/>
            <rFont val="Lucida Console"/>
            <family val="3"/>
          </rPr>
          <t>Última movimentação no estoque em 07/2023 quantidade 26.</t>
        </r>
      </text>
    </comment>
    <comment ref="R112" authorId="0" shapeId="0" xr:uid="{1E266AC2-51C0-4237-885B-2619D498F75C}">
      <text>
        <r>
          <rPr>
            <sz val="10"/>
            <color indexed="81"/>
            <rFont val="Lucida Console"/>
            <family val="3"/>
          </rPr>
          <t>22.09.2020</t>
        </r>
      </text>
    </comment>
    <comment ref="Y112" authorId="0" shapeId="0" xr:uid="{6F0EB0E8-0A1D-42E1-AC08-9EEB4943B6A3}">
      <text>
        <r>
          <rPr>
            <sz val="10"/>
            <color indexed="81"/>
            <rFont val="Courier New"/>
            <family val="3"/>
          </rPr>
          <t>_x000D_
    DESCRIÇÃO DO CÁLCULO_x000D_
Código    : 140.036_x000D_
Corte     : 25_x000D_
-----------------------------_x000D_
Pendente  : 21_x000D_
22 / 10_2 : 4_x000D_
22 / 11_2 : 8_x000D_
22 / 12_2 : 18_x000D_
23 / 01_2 : 23_x000D_
23 / 02_2 : 14_x000D_
23 / 03_2 : _x000D_
23 / 04_2 : _x000D_
23 / 05_2 : _x000D_
23 / 06_2 : _x000D_
23 / 07_2 : _x000D_
23 / 08_2 : _x000D_
23 / 09_2 : _x000D_
_x000D_
    TOTAL : ( 88 )_x000D_
  DIVISOR : 12_x000D_
    MÉDIA : 7,33</t>
        </r>
      </text>
    </comment>
    <comment ref="AB112" authorId="0" shapeId="0" xr:uid="{4335F1A7-FED1-4AD6-8961-236963979FD4}">
      <text>
        <r>
          <rPr>
            <sz val="10"/>
            <color indexed="81"/>
            <rFont val="Lucida Console"/>
            <family val="3"/>
          </rPr>
          <t>Última movimentação no estoque em 02/2023 quantidade 14.</t>
        </r>
      </text>
    </comment>
    <comment ref="R113" authorId="0" shapeId="0" xr:uid="{B33EE409-0A15-498E-B127-8C5609E3BCFB}">
      <text>
        <r>
          <rPr>
            <sz val="10"/>
            <color indexed="81"/>
            <rFont val="Lucida Console"/>
            <family val="3"/>
          </rPr>
          <t>22.09.2020</t>
        </r>
      </text>
    </comment>
    <comment ref="Y113" authorId="0" shapeId="0" xr:uid="{97C3B35E-3D93-4A99-8720-7672D15F967B}">
      <text>
        <r>
          <rPr>
            <sz val="10"/>
            <color indexed="81"/>
            <rFont val="Courier New"/>
            <family val="3"/>
          </rPr>
          <t>_x000D_
    DESCRIÇÃO DO CÁLCULO_x000D_
Código    : 140.038_x000D_
Corte     : 8_x000D_
-----------------------------_x000D_
Pendente  : _x000D_
22 / 10_2 : 1_x000D_
22 / 11_2 : 3_x000D_
22 / 12_2 : 4_x000D_
23 / 01_2 : 8 (corte = 10)_x000D_
23 / 02_2 : 4_x000D_
23 / 03_2 : 4_x000D_
23 / 04_2 : _x000D_
23 / 05_2 : 5_x000D_
23 / 06_2 : 2_x000D_
23 / 07_2 : _x000D_
23 / 08_2 : 2_x000D_
23 / 09_2 : _x000D_
_x000D_
    TOTAL : ( 33 )_x000D_
  DIVISOR : 12_x000D_
    MÉDIA : 2,75_x000D_
-----------------------------_x000D_
   Valores Desconsiderados_x000D_
-----------------------------_x000D_
23 / 01_2 : 2 (10)_x000D_
_x000D_
  TOTAL   : ( 2 )</t>
        </r>
      </text>
    </comment>
    <comment ref="AB113" authorId="0" shapeId="0" xr:uid="{4AE74F0F-361D-4717-985B-6AF9A3980104}">
      <text>
        <r>
          <rPr>
            <sz val="10"/>
            <color indexed="81"/>
            <rFont val="Lucida Console"/>
            <family val="3"/>
          </rPr>
          <t>Última movimentação no estoque em 08/2023 quantidade 2.</t>
        </r>
      </text>
    </comment>
    <comment ref="R114" authorId="0" shapeId="0" xr:uid="{38EB0E5A-D6E7-4CF7-A80F-E03D36CC744B}">
      <text>
        <r>
          <rPr>
            <sz val="10"/>
            <color indexed="81"/>
            <rFont val="Lucida Console"/>
            <family val="3"/>
          </rPr>
          <t>22.09.2020</t>
        </r>
      </text>
    </comment>
    <comment ref="Y114" authorId="0" shapeId="0" xr:uid="{509E96E6-1E3A-4F7F-915B-E73CF9783258}">
      <text>
        <r>
          <rPr>
            <sz val="10"/>
            <color indexed="81"/>
            <rFont val="Courier New"/>
            <family val="3"/>
          </rPr>
          <t>_x000D_
    DESCRIÇÃO DO CÁLCULO_x000D_
Código    : 140.058_x000D_
Corte     : 49_x000D_
-----------------------------_x000D_
Pendente  : _x000D_
22 / 10_2 : _x000D_
22 / 11_2 : 49 (corte = 75)_x000D_
22 / 12_2 : _x000D_
23 / 01_2 : _x000D_
23 / 02_2 : _x000D_
23 / 03_2 : _x000D_
23 / 04_2 : _x000D_
23 / 05_2 : _x000D_
23 / 06_2 : 3_x000D_
23 / 07_2 : _x000D_
23 / 08_2 : _x000D_
23 / 09_2 : _x000D_
_x000D_
    TOTAL : ( 52 )_x000D_
  DIVISOR : 12_x000D_
    MÉDIA : 4,33_x000D_
-----------------------------_x000D_
   Valores Desconsiderados_x000D_
-----------------------------_x000D_
22 / 11_2 : 26 (75)_x000D_
_x000D_
  TOTAL   : ( 26 )</t>
        </r>
      </text>
    </comment>
    <comment ref="AB114" authorId="0" shapeId="0" xr:uid="{C9191D91-E376-4848-9D93-424F670DCE61}">
      <text>
        <r>
          <rPr>
            <sz val="10"/>
            <color indexed="81"/>
            <rFont val="Lucida Console"/>
            <family val="3"/>
          </rPr>
          <t>Última movimentação no estoque em 06/2023 quantidade 3.</t>
        </r>
      </text>
    </comment>
    <comment ref="R115" authorId="0" shapeId="0" xr:uid="{A384867E-9654-4E23-9D2E-7DDEAA39EEB9}">
      <text>
        <r>
          <rPr>
            <sz val="10"/>
            <color indexed="81"/>
            <rFont val="Lucida Console"/>
            <family val="3"/>
          </rPr>
          <t>22.09.2020</t>
        </r>
      </text>
    </comment>
    <comment ref="Y115" authorId="0" shapeId="0" xr:uid="{F65DDB33-7FC1-485C-8555-9E0C33A9E944}">
      <text>
        <r>
          <rPr>
            <sz val="10"/>
            <color indexed="81"/>
            <rFont val="Courier New"/>
            <family val="3"/>
          </rPr>
          <t>_x000D_
    DESCRIÇÃO DO CÁLCULO_x000D_
Código    : 140.059_x000D_
Corte     : 85_x000D_
-----------------------------_x000D_
Pendente  : _x000D_
22 / 10_2 : _x000D_
22 / 11_2 : _x000D_
22 / 12_2 : 85 (corte = 105)_x000D_
23 / 01_2 : _x000D_
23 / 02_2 : _x000D_
23 / 03_2 : _x000D_
23 / 04_2 : _x000D_
23 / 05_2 : _x000D_
23 / 06_2 : 10_x000D_
23 / 07_2 : 20_x000D_
23 / 08_2 : _x000D_
23 / 09_2 : 70_x000D_
_x000D_
    TOTAL : ( 185 )_x000D_
  DIVISOR : 12_x000D_
    MÉDIA : 15,42_x000D_
-----------------------------_x000D_
   Valores Desconsiderados_x000D_
-----------------------------_x000D_
22 / 12_2 : 20 (105)_x000D_
_x000D_
  TOTAL   : ( 20 )</t>
        </r>
      </text>
    </comment>
    <comment ref="AB115" authorId="0" shapeId="0" xr:uid="{D4089D80-9BE4-4B9C-B4C0-C254F6129330}">
      <text>
        <r>
          <rPr>
            <sz val="10"/>
            <color indexed="81"/>
            <rFont val="Lucida Console"/>
            <family val="3"/>
          </rPr>
          <t>Última movimentação no estoque em 09/2023 quantidade 70.</t>
        </r>
      </text>
    </comment>
    <comment ref="R116" authorId="0" shapeId="0" xr:uid="{1D800F7D-D50F-418F-A500-53FF3C3D52DC}">
      <text>
        <r>
          <rPr>
            <sz val="10"/>
            <color indexed="81"/>
            <rFont val="Lucida Console"/>
            <family val="3"/>
          </rPr>
          <t>22.09.2020</t>
        </r>
      </text>
    </comment>
    <comment ref="Y116" authorId="0" shapeId="0" xr:uid="{4D4BC095-9B04-4118-9CF8-2EF199E84707}">
      <text>
        <r>
          <rPr>
            <sz val="10"/>
            <color indexed="81"/>
            <rFont val="Courier New"/>
            <family val="3"/>
          </rPr>
          <t>_x000D_
    DESCRIÇÃO DO CÁLCULO_x000D_
Código    : 140.060_x000D_
Corte     : 264_x000D_
-----------------------------_x000D_
Pendente  : _x000D_
22 / 10_2 : _x000D_
22 / 11_2 : _x000D_
22 / 12_2 : _x000D_
23 / 01_2 : _x000D_
23 / 02_2 : _x000D_
23 / 03_2 : _x000D_
23 / 04_2 : 264 (corte = 400)_x000D_
23 / 05_2 : _x000D_
23 / 06_2 : 12_x000D_
23 / 07_2 : _x000D_
23 / 08_2 : _x000D_
23 / 09_2 : _x000D_
_x000D_
    TOTAL : ( 276 )_x000D_
  DIVISOR : 12_x000D_
    MÉDIA : 23,00_x000D_
-----------------------------_x000D_
   Valores Desconsiderados_x000D_
-----------------------------_x000D_
23 / 04_2 : 136 (400)_x000D_
_x000D_
  TOTAL   : ( 136 )</t>
        </r>
      </text>
    </comment>
    <comment ref="AB116" authorId="0" shapeId="0" xr:uid="{70DC6911-6BF9-4E0B-8106-AFC115DA2DC9}">
      <text>
        <r>
          <rPr>
            <sz val="10"/>
            <color indexed="81"/>
            <rFont val="Lucida Console"/>
            <family val="3"/>
          </rPr>
          <t>Última movimentação no estoque em 06/2023 quantidade 12.</t>
        </r>
      </text>
    </comment>
    <comment ref="R117" authorId="0" shapeId="0" xr:uid="{3AAEFC47-3EB6-4456-9F37-84113094BF18}">
      <text>
        <r>
          <rPr>
            <sz val="10"/>
            <color indexed="81"/>
            <rFont val="Lucida Console"/>
            <family val="3"/>
          </rPr>
          <t>28.10.2020</t>
        </r>
      </text>
    </comment>
    <comment ref="Y117" authorId="0" shapeId="0" xr:uid="{76340FB2-3946-434F-B234-413ACEE982DB}">
      <text>
        <r>
          <rPr>
            <sz val="10"/>
            <color indexed="81"/>
            <rFont val="Courier New"/>
            <family val="3"/>
          </rPr>
          <t>_x000D_
    DESCRIÇÃO DO CÁLCULO_x000D_
Código    : 140.241_x000D_
Corte     : 448_x000D_
-----------------------------_x000D_
Pendente  : 194_x000D_
22 / 10_2 : _x000D_
22 / 11_2 : 128_x000D_
22 / 12_2 : 100_x000D_
23 / 01_2 : 50_x000D_
23 / 02_2 : _x000D_
23 / 03_2 : 50_x000D_
23 / 04_2 : 404_x000D_
23 / 05_2 : 300_x000D_
23 / 06_2 : 420_x000D_
23 / 07_2 : _x000D_
23 / 08_2 : 106_x000D_
23 / 09_2 : _x000D_
_x000D_
    TOTAL : ( 1.752 )_x000D_
  DIVISOR : 12_x000D_
    MÉDIA : 146,00</t>
        </r>
      </text>
    </comment>
    <comment ref="AB117" authorId="0" shapeId="0" xr:uid="{BD33CBCF-6F83-4477-BC6D-374F04D37605}">
      <text>
        <r>
          <rPr>
            <sz val="10"/>
            <color indexed="81"/>
            <rFont val="Lucida Console"/>
            <family val="3"/>
          </rPr>
          <t>Última movimentação no estoque em 08/2023 quantidade 106.</t>
        </r>
      </text>
    </comment>
    <comment ref="R118" authorId="0" shapeId="0" xr:uid="{A018EF16-7A32-405E-B3F4-2F6A27C921A1}">
      <text>
        <r>
          <rPr>
            <sz val="10"/>
            <color indexed="81"/>
            <rFont val="Lucida Console"/>
            <family val="3"/>
          </rPr>
          <t>22.09.2020</t>
        </r>
      </text>
    </comment>
    <comment ref="Y118" authorId="0" shapeId="0" xr:uid="{4863913A-4D52-4406-8B9D-EC6BCF427B7D}">
      <text>
        <r>
          <rPr>
            <sz val="10"/>
            <color indexed="81"/>
            <rFont val="Courier New"/>
            <family val="3"/>
          </rPr>
          <t>_x000D_
    DESCRIÇÃO DO CÁLCULO_x000D_
Código    : 140.063_x000D_
Corte     : 1.442_x000D_
-----------------------------_x000D_
Pendente  : 579_x000D_
22 / 10_2 : 800_x000D_
22 / 11_2 : 575_x000D_
22 / 12_2 : 600_x000D_
23 / 01_2 : 1.100_x000D_
23 / 02_2 : 310_x000D_
23 / 03_2 : 1.300_x000D_
23 / 04_2 : 846_x000D_
23 / 05_2 : 770_x000D_
23 / 06_2 : 124_x000D_
23 / 07_2 : _x000D_
23 / 08_2 : _x000D_
23 / 09_2 : _x000D_
_x000D_
    TOTAL : ( 7.004 )_x000D_
  DIVISOR : 12_x000D_
    MÉDIA : 583,67</t>
        </r>
      </text>
    </comment>
    <comment ref="AB118" authorId="0" shapeId="0" xr:uid="{6DFD56D4-C1D2-4727-B8BE-39B5E9D53CB9}">
      <text>
        <r>
          <rPr>
            <sz val="10"/>
            <color indexed="81"/>
            <rFont val="Lucida Console"/>
            <family val="3"/>
          </rPr>
          <t>Última movimentação no estoque em 06/2023 quantidade 124.</t>
        </r>
      </text>
    </comment>
    <comment ref="R119" authorId="0" shapeId="0" xr:uid="{B7DFFB83-3DDE-4352-B18A-91F927270284}">
      <text>
        <r>
          <rPr>
            <sz val="10"/>
            <color indexed="81"/>
            <rFont val="Lucida Console"/>
            <family val="3"/>
          </rPr>
          <t>25.02.2019</t>
        </r>
      </text>
    </comment>
    <comment ref="Y119" authorId="0" shapeId="0" xr:uid="{F3DA01E9-2170-47E4-9A0D-AB736CF07F3A}">
      <text>
        <r>
          <rPr>
            <sz val="10"/>
            <color indexed="81"/>
            <rFont val="Courier New"/>
            <family val="3"/>
          </rPr>
          <t>_x000D_
    DESCRIÇÃO DO CÁLCULO_x000D_
Código    : 136.564_x000D_
Corte     : 5.748_x000D_
-----------------------------_x000D_
Pendente  : _x000D_
22 / 10_2 : 3.355_x000D_
22 / 11_2 : 610_x000D_
22 / 12_2 : 3.355_x000D_
23 / 01_2 : 4.575_x000D_
23 / 02_2 : 3.965_x000D_
23 / 03_2 : 2.440_x000D_
23 / 04_2 : 2.745_x000D_
23 / 05_2 : 3.050_x000D_
23 / 06_2 : 1.525_x000D_
23 / 07_2 : 3.050_x000D_
23 / 08_2 : 4.880_x000D_
23 / 09_2 : _x000D_
_x000D_
    TOTAL : ( 33.550 )_x000D_
  DIVISOR : 12_x000D_
    MÉDIA : 2.795,83</t>
        </r>
      </text>
    </comment>
    <comment ref="AB119" authorId="0" shapeId="0" xr:uid="{35B9A12A-BB93-4BA7-ADFC-E14C5D70B54A}">
      <text>
        <r>
          <rPr>
            <sz val="10"/>
            <color indexed="81"/>
            <rFont val="Lucida Console"/>
            <family val="3"/>
          </rPr>
          <t>Última movimentação no estoque em 08/2023 quantidade 4.880.</t>
        </r>
      </text>
    </comment>
    <comment ref="R120" authorId="0" shapeId="0" xr:uid="{4E65FAD0-EECB-4CA9-8FA6-E8F7C4D07988}">
      <text>
        <r>
          <rPr>
            <sz val="10"/>
            <color indexed="81"/>
            <rFont val="Lucida Console"/>
            <family val="3"/>
          </rPr>
          <t>01.01.1901</t>
        </r>
      </text>
    </comment>
    <comment ref="Y120" authorId="0" shapeId="0" xr:uid="{05D08596-7524-4046-8065-882D4D2A5C8C}">
      <text>
        <r>
          <rPr>
            <sz val="10"/>
            <color indexed="81"/>
            <rFont val="Courier New"/>
            <family val="3"/>
          </rPr>
          <t>_x000D_
    DESCRIÇÃO DO CÁLCULO_x000D_
Código    : 13.180_x000D_
Corte     : 202_x000D_
-----------------------------_x000D_
Pendente  : 3_x000D_
22 / 10_2 : 3_x000D_
22 / 11_2 : 13_x000D_
22 / 12_2 : 4_x000D_
23 / 01_2 : 6_x000D_
23 / 02_2 : 202 (corte = 309)_x000D_
23 / 03_2 : 28_x000D_
23 / 04_2 : 44_x000D_
23 / 05_2 : _x000D_
23 / 06_2 : _x000D_
23 / 07_2 : _x000D_
23 / 08_2 : _x000D_
23 / 09_2 : _x000D_
_x000D_
    TOTAL : ( 303 )_x000D_
  DIVISOR : 12_x000D_
    MÉDIA : 25,25_x000D_
-----------------------------_x000D_
   Valores Desconsiderados_x000D_
-----------------------------_x000D_
23 / 02_2 : 107 (309)_x000D_
_x000D_
  TOTAL   : ( 107 )</t>
        </r>
      </text>
    </comment>
    <comment ref="AB120" authorId="0" shapeId="0" xr:uid="{142FD987-D90B-4140-85A5-A543DB2347DF}">
      <text>
        <r>
          <rPr>
            <sz val="10"/>
            <color indexed="81"/>
            <rFont val="Lucida Console"/>
            <family val="3"/>
          </rPr>
          <t>Última movimentação no estoque em 04/2023 quantidade 44.</t>
        </r>
      </text>
    </comment>
    <comment ref="R121" authorId="0" shapeId="0" xr:uid="{33743F98-038D-4A64-AE1B-25012475A829}">
      <text>
        <r>
          <rPr>
            <sz val="10"/>
            <color indexed="81"/>
            <rFont val="Lucida Console"/>
            <family val="3"/>
          </rPr>
          <t>01.01.1901</t>
        </r>
      </text>
    </comment>
    <comment ref="Y121" authorId="0" shapeId="0" xr:uid="{B7B6D498-EE85-4025-8ED2-A0FC50FA2622}">
      <text>
        <r>
          <rPr>
            <sz val="10"/>
            <color indexed="81"/>
            <rFont val="Courier New"/>
            <family val="3"/>
          </rPr>
          <t>_x000D_
    DESCRIÇÃO DO CÁLCULO_x000D_
Código    : 17.704_x000D_
Corte     : 27_x000D_
-----------------------------_x000D_
Pendente  : 1_x000D_
22 / 10_2 : 6_x000D_
22 / 11_2 : 7_x000D_
22 / 12_2 : 5_x000D_
23 / 01_2 : 14_x000D_
23 / 02_2 : 11_x000D_
23 / 03_2 : 17_x000D_
23 / 04_2 : 13_x000D_
23 / 05_2 : 7_x000D_
23 / 06_2 : 3_x000D_
23 / 07_2 : 27_x000D_
23 / 08_2 : 24_x000D_
23 / 09_2 : 13_x000D_
_x000D_
    TOTAL : ( 148 )_x000D_
  DIVISOR : 12_x000D_
    MÉDIA : 12,33</t>
        </r>
      </text>
    </comment>
    <comment ref="AB121" authorId="0" shapeId="0" xr:uid="{534A5D02-4321-45F5-9E6E-9CBF029E46C0}">
      <text>
        <r>
          <rPr>
            <sz val="10"/>
            <color indexed="81"/>
            <rFont val="Lucida Console"/>
            <family val="3"/>
          </rPr>
          <t>Última movimentação no estoque em 09/2023 quantidade 13.</t>
        </r>
      </text>
    </comment>
    <comment ref="R122" authorId="0" shapeId="0" xr:uid="{9CEC62ED-F5F5-4445-B679-A9AE1803EB5C}">
      <text>
        <r>
          <rPr>
            <sz val="10"/>
            <color indexed="81"/>
            <rFont val="Lucida Console"/>
            <family val="3"/>
          </rPr>
          <t>01.01.1901</t>
        </r>
      </text>
    </comment>
    <comment ref="Y122" authorId="0" shapeId="0" xr:uid="{238ED55E-855E-4489-858E-EA08836D28A9}">
      <text>
        <r>
          <rPr>
            <sz val="10"/>
            <color indexed="81"/>
            <rFont val="Courier New"/>
            <family val="3"/>
          </rPr>
          <t>_x000D_
    DESCRIÇÃO DO CÁLCULO_x000D_
Código    : 13.181_x000D_
Corte     : 14_x000D_
-----------------------------_x000D_
Pendente  : 1_x000D_
22 / 10_2 : 3_x000D_
22 / 11_2 : 6_x000D_
22 / 12_2 : 7_x000D_
23 / 01_2 : 6_x000D_
23 / 02_2 : 2_x000D_
23 / 03_2 : 6_x000D_
23 / 04_2 : 12_x000D_
23 / 05_2 : 4_x000D_
23 / 06_2 : 5_x000D_
23 / 07_2 : 14 (corte = 15)_x000D_
23 / 08_2 : 3_x000D_
23 / 09_2 : 4_x000D_
_x000D_
    TOTAL : ( 73 )_x000D_
  DIVISOR : 12_x000D_
    MÉDIA : 6,08_x000D_
-----------------------------_x000D_
   Valores Desconsiderados_x000D_
-----------------------------_x000D_
23 / 07_2 : 1 (15)_x000D_
_x000D_
  TOTAL   : ( 1 )</t>
        </r>
      </text>
    </comment>
    <comment ref="AB122" authorId="0" shapeId="0" xr:uid="{E598B6F5-D9D0-4BDC-8415-939FAF43E4BE}">
      <text>
        <r>
          <rPr>
            <sz val="10"/>
            <color indexed="81"/>
            <rFont val="Lucida Console"/>
            <family val="3"/>
          </rPr>
          <t>Última movimentação no estoque em 09/2023 quantidade 4.</t>
        </r>
      </text>
    </comment>
    <comment ref="R123" authorId="0" shapeId="0" xr:uid="{DFE38BAB-36E8-4E67-AC5D-4807A52FFDD6}">
      <text>
        <r>
          <rPr>
            <sz val="10"/>
            <color indexed="81"/>
            <rFont val="Lucida Console"/>
            <family val="3"/>
          </rPr>
          <t>12.09.2019</t>
        </r>
      </text>
    </comment>
    <comment ref="Y123" authorId="0" shapeId="0" xr:uid="{4737A9EF-7083-4722-8862-313119AF83FE}">
      <text>
        <r>
          <rPr>
            <sz val="10"/>
            <color indexed="81"/>
            <rFont val="Courier New"/>
            <family val="3"/>
          </rPr>
          <t>_x000D_
    DESCRIÇÃO DO CÁLCULO_x000D_
Código    : 138.453_x000D_
Corte     : 1.381_x000D_
-----------------------------_x000D_
Pendente  : 43_x000D_
22 / 10_2 : 769_x000D_
22 / 11_2 : 723_x000D_
22 / 12_2 : 445_x000D_
23 / 01_2 : 75_x000D_
23 / 02_2 : 580_x000D_
23 / 03_2 : 1.381 (corte = 1388)_x000D_
23 / 04_2 : 848_x000D_
23 / 05_2 : 834_x000D_
23 / 06_2 : 661_x000D_
23 / 07_2 : 630_x000D_
23 / 08_2 : 781_x000D_
23 / 09_2 : 590_x000D_
_x000D_
    TOTAL : ( 8.360 )_x000D_
  DIVISOR : 12_x000D_
    MÉDIA : 696,67_x000D_
-----------------------------_x000D_
   Valores Desconsiderados_x000D_
-----------------------------_x000D_
23 / 03_2 : 7 (1.388)_x000D_
_x000D_
  TOTAL   : ( 7 )</t>
        </r>
      </text>
    </comment>
    <comment ref="AB123" authorId="0" shapeId="0" xr:uid="{BDC332E3-C276-40F9-9874-92AC212FF5FF}">
      <text>
        <r>
          <rPr>
            <sz val="10"/>
            <color indexed="81"/>
            <rFont val="Lucida Console"/>
            <family val="3"/>
          </rPr>
          <t>Última movimentação no estoque em 09/2023 quantidade 590.</t>
        </r>
      </text>
    </comment>
    <comment ref="R124" authorId="0" shapeId="0" xr:uid="{A95CFDCE-CF25-44A0-88AA-54E5C02DD2FC}">
      <text>
        <r>
          <rPr>
            <sz val="10"/>
            <color indexed="81"/>
            <rFont val="Lucida Console"/>
            <family val="3"/>
          </rPr>
          <t>12.09.2019</t>
        </r>
      </text>
    </comment>
    <comment ref="Y124" authorId="0" shapeId="0" xr:uid="{4254892E-27F1-4AA5-A389-FECD7F3C7E28}">
      <text>
        <r>
          <rPr>
            <sz val="10"/>
            <color indexed="81"/>
            <rFont val="Courier New"/>
            <family val="3"/>
          </rPr>
          <t>_x000D_
    DESCRIÇÃO DO CÁLCULO_x000D_
Código    : 138.454_x000D_
Corte     : 5.114_x000D_
-----------------------------_x000D_
Pendente  : 3.744_x000D_
22 / 10_2 : 277_x000D_
22 / 11_2 : 244_x000D_
22 / 12_2 : 174_x000D_
23 / 01_2 : 39_x000D_
23 / 02_2 : 461_x000D_
23 / 03_2 : 4.026_x000D_
23 / 04_2 : 5.114 (corte = 5618)_x000D_
23 / 05_2 : 433_x000D_
23 / 06_2 : 309_x000D_
23 / 07_2 : 258_x000D_
23 / 08_2 : 319_x000D_
23 / 09_2 : 316_x000D_
_x000D_
    TOTAL : ( 15.714 )_x000D_
  DIVISOR : 12_x000D_
    MÉDIA : 1.309,50_x000D_
-----------------------------_x000D_
   Valores Desconsiderados_x000D_
-----------------------------_x000D_
23 / 04_2 : 504 (5.618)_x000D_
_x000D_
  TOTAL   : ( 504 )</t>
        </r>
      </text>
    </comment>
    <comment ref="AB124" authorId="0" shapeId="0" xr:uid="{C85333E6-7C72-4181-A564-8BF75478458B}">
      <text>
        <r>
          <rPr>
            <sz val="10"/>
            <color indexed="81"/>
            <rFont val="Lucida Console"/>
            <family val="3"/>
          </rPr>
          <t>Última movimentação no estoque em 09/2023 quantidade 316.</t>
        </r>
      </text>
    </comment>
    <comment ref="R125" authorId="0" shapeId="0" xr:uid="{A8E7F040-AFBE-4240-9082-04FD3123D960}">
      <text>
        <r>
          <rPr>
            <sz val="10"/>
            <color indexed="81"/>
            <rFont val="Lucida Console"/>
            <family val="3"/>
          </rPr>
          <t>12.09.2019</t>
        </r>
      </text>
    </comment>
    <comment ref="Y125" authorId="0" shapeId="0" xr:uid="{0FEC94AD-77B8-465C-86FB-51813D3ADA34}">
      <text>
        <r>
          <rPr>
            <sz val="10"/>
            <color indexed="81"/>
            <rFont val="Courier New"/>
            <family val="3"/>
          </rPr>
          <t>_x000D_
    DESCRIÇÃO DO CÁLCULO_x000D_
Código    : 138.456_x000D_
Corte     : 22.458_x000D_
-----------------------------_x000D_
Pendente  : 34_x000D_
22 / 10_2 : 350_x000D_
22 / 11_2 : 377_x000D_
22 / 12_2 : 541_x000D_
23 / 01_2 : 22.458 (corte = 34890)_x000D_
23 / 02_2 : 816_x000D_
23 / 03_2 : 723_x000D_
23 / 04_2 : 465_x000D_
23 / 05_2 : 346_x000D_
23 / 06_2 : 426_x000D_
23 / 07_2 : 405_x000D_
23 / 08_2 : 415_x000D_
23 / 09_2 : 322_x000D_
_x000D_
    TOTAL : ( 27.678 )_x000D_
  DIVISOR : 12_x000D_
    MÉDIA : 2.306,50_x000D_
-----------------------------_x000D_
   Valores Desconsiderados_x000D_
-----------------------------_x000D_
23 / 01_2 : 12.432 (34.890)_x000D_
_x000D_
  TOTAL   : ( 12.432 )</t>
        </r>
      </text>
    </comment>
    <comment ref="AB125" authorId="0" shapeId="0" xr:uid="{B1B81CB5-9EDA-4F2A-B21F-70A19C9DB0C8}">
      <text>
        <r>
          <rPr>
            <sz val="10"/>
            <color indexed="81"/>
            <rFont val="Lucida Console"/>
            <family val="3"/>
          </rPr>
          <t>Última movimentação no estoque em 09/2023 quantidade 322.</t>
        </r>
      </text>
    </comment>
    <comment ref="R126" authorId="0" shapeId="0" xr:uid="{2FAB4B6A-D182-4EED-A3AB-686251FF1AE0}">
      <text>
        <r>
          <rPr>
            <sz val="10"/>
            <color indexed="81"/>
            <rFont val="Lucida Console"/>
            <family val="3"/>
          </rPr>
          <t>12.09.2019</t>
        </r>
      </text>
    </comment>
    <comment ref="Y126" authorId="0" shapeId="0" xr:uid="{69F732BF-5D33-410E-A9DE-FB0048882E81}">
      <text>
        <r>
          <rPr>
            <sz val="10"/>
            <color indexed="81"/>
            <rFont val="Courier New"/>
            <family val="3"/>
          </rPr>
          <t>_x000D_
    DESCRIÇÃO DO CÁLCULO_x000D_
Código    : 138.458_x000D_
Corte     : 1.154_x000D_
-----------------------------_x000D_
Pendente  : 10_x000D_
22 / 10_2 : 803_x000D_
22 / 11_2 : 651_x000D_
22 / 12_2 : 410_x000D_
23 / 01_2 : 113_x000D_
23 / 02_2 : 577_x000D_
23 / 03_2 : 954_x000D_
23 / 04_2 : 812_x000D_
23 / 05_2 : 561_x000D_
23 / 06_2 : 670_x000D_
23 / 07_2 : 558_x000D_
23 / 08_2 : 711_x000D_
23 / 09_2 : 640_x000D_
_x000D_
    TOTAL : ( 7.470 )_x000D_
  DIVISOR : 12_x000D_
    MÉDIA : 622,50</t>
        </r>
      </text>
    </comment>
    <comment ref="AB126" authorId="0" shapeId="0" xr:uid="{DC4547FE-BC62-4544-9833-AEE36B1B256E}">
      <text>
        <r>
          <rPr>
            <sz val="10"/>
            <color indexed="81"/>
            <rFont val="Lucida Console"/>
            <family val="3"/>
          </rPr>
          <t>Última movimentação no estoque em 09/2023 quantidade 640.</t>
        </r>
      </text>
    </comment>
    <comment ref="R127" authorId="0" shapeId="0" xr:uid="{5E312413-75C3-4640-814D-39F268499A53}">
      <text>
        <r>
          <rPr>
            <sz val="10"/>
            <color indexed="81"/>
            <rFont val="Lucida Console"/>
            <family val="3"/>
          </rPr>
          <t>12.09.2019</t>
        </r>
      </text>
    </comment>
    <comment ref="Y127" authorId="0" shapeId="0" xr:uid="{E5BE17B1-0D85-441E-961D-6ED97A7CA575}">
      <text>
        <r>
          <rPr>
            <sz val="10"/>
            <color indexed="81"/>
            <rFont val="Courier New"/>
            <family val="3"/>
          </rPr>
          <t>_x000D_
    DESCRIÇÃO DO CÁLCULO_x000D_
Código    : 138.457_x000D_
Corte     : 50_x000D_
-----------------------------_x000D_
Pendente  : 1_x000D_
22 / 10_2 : 13_x000D_
22 / 11_2 : 22_x000D_
22 / 12_2 : 17_x000D_
23 / 01_2 : 10_x000D_
23 / 02_2 : 15_x000D_
23 / 03_2 : 37_x000D_
23 / 04_2 : 26_x000D_
23 / 05_2 : 25_x000D_
23 / 06_2 : 26_x000D_
23 / 07_2 : 50 (corte = 56)_x000D_
23 / 08_2 : 21_x000D_
23 / 09_2 : 17_x000D_
_x000D_
    TOTAL : ( 280 )_x000D_
  DIVISOR : 12_x000D_
    MÉDIA : 23,33_x000D_
-----------------------------_x000D_
   Valores Desconsiderados_x000D_
-----------------------------_x000D_
23 / 07_2 : 6 (56)_x000D_
_x000D_
  TOTAL   : ( 6 )</t>
        </r>
      </text>
    </comment>
    <comment ref="AB127" authorId="0" shapeId="0" xr:uid="{47B250D1-1ADD-4A64-B2C7-C8BFA4762F83}">
      <text>
        <r>
          <rPr>
            <sz val="10"/>
            <color indexed="81"/>
            <rFont val="Lucida Console"/>
            <family val="3"/>
          </rPr>
          <t>Última movimentação no estoque em 09/2023 quantidade 17.</t>
        </r>
      </text>
    </comment>
    <comment ref="R128" authorId="0" shapeId="0" xr:uid="{A1EF4874-DEB2-4C9B-899C-E10EFD5BFA09}">
      <text>
        <r>
          <rPr>
            <sz val="10"/>
            <color indexed="81"/>
            <rFont val="Lucida Console"/>
            <family val="3"/>
          </rPr>
          <t>01.01.1901</t>
        </r>
      </text>
    </comment>
    <comment ref="Y128" authorId="0" shapeId="0" xr:uid="{5470EB8E-F6E2-4DA9-B341-64759967BBC0}">
      <text>
        <r>
          <rPr>
            <sz val="10"/>
            <color indexed="81"/>
            <rFont val="Courier New"/>
            <family val="3"/>
          </rPr>
          <t>_x000D_
    DESCRIÇÃO DO CÁLCULO_x000D_
Código    : 10.719_x000D_
Corte     : 5.950_x000D_
-----------------------------_x000D_
Pendente  : 132_x000D_
22 / 10_2 : 3.831_x000D_
22 / 11_2 : 3.815_x000D_
22 / 12_2 : 2.396_x000D_
23 / 01_2 : 1.269_x000D_
23 / 02_2 : 3.281_x000D_
23 / 03_2 : 4.731_x000D_
23 / 04_2 : 3.722_x000D_
23 / 05_2 : 3.646_x000D_
23 / 06_2 : 3.842_x000D_
23 / 07_2 : 3.538_x000D_
23 / 08_2 : 3.800_x000D_
23 / 09_2 : 3.635_x000D_
_x000D_
    TOTAL : ( 41.638 )_x000D_
  DIVISOR : 12_x000D_
    MÉDIA : 3.469,83</t>
        </r>
      </text>
    </comment>
    <comment ref="AB128" authorId="0" shapeId="0" xr:uid="{CD0C0AB6-C49E-4EF6-BDE1-F52E69D139C5}">
      <text>
        <r>
          <rPr>
            <sz val="10"/>
            <color indexed="81"/>
            <rFont val="Lucida Console"/>
            <family val="3"/>
          </rPr>
          <t>Última movimentação no estoque em 09/2023 quantidade 3.635.</t>
        </r>
      </text>
    </comment>
    <comment ref="R129" authorId="0" shapeId="0" xr:uid="{36102CB6-4E65-4CD2-882E-F26B7DD8257D}">
      <text>
        <r>
          <rPr>
            <sz val="10"/>
            <color indexed="81"/>
            <rFont val="Lucida Console"/>
            <family val="3"/>
          </rPr>
          <t>07.11.2007</t>
        </r>
      </text>
    </comment>
    <comment ref="Y129" authorId="0" shapeId="0" xr:uid="{63E69C4B-3E77-4BA8-A6A2-AF1A1565C098}">
      <text>
        <r>
          <rPr>
            <sz val="10"/>
            <color indexed="81"/>
            <rFont val="Courier New"/>
            <family val="3"/>
          </rPr>
          <t>_x000D_
    DESCRIÇÃO DO CÁLCULO_x000D_
Código    : 103.142_x000D_
Corte     : 2_x000D_
-----------------------------_x000D_
Pendente  : _x000D_
22 / 10_2 : _x000D_
22 / 11_2 : 1_x000D_
22 / 12_2 : _x000D_
23 / 01_2 : _x000D_
23 / 02_2 : 1_x000D_
23 / 03_2 : 2_x000D_
23 / 04_2 : _x000D_
23 / 05_2 : _x000D_
23 / 06_2 : 1_x000D_
23 / 07_2 : _x000D_
23 / 08_2 : 2_x000D_
23 / 09_2 : _x000D_
_x000D_
    TOTAL : ( 7 )_x000D_
  DIVISOR : 12_x000D_
    MÉDIA : ,58</t>
        </r>
      </text>
    </comment>
    <comment ref="AB129" authorId="0" shapeId="0" xr:uid="{9F3DB32D-409B-4B47-AE7C-C011EE8CC956}">
      <text>
        <r>
          <rPr>
            <sz val="10"/>
            <color indexed="81"/>
            <rFont val="Lucida Console"/>
            <family val="3"/>
          </rPr>
          <t>Última movimentação no estoque em 08/2023 quantidade 2.</t>
        </r>
      </text>
    </comment>
    <comment ref="R130" authorId="0" shapeId="0" xr:uid="{A3171DC3-7B0F-4922-B841-332E8FF0F5C1}">
      <text>
        <r>
          <rPr>
            <sz val="10"/>
            <color indexed="81"/>
            <rFont val="Lucida Console"/>
            <family val="3"/>
          </rPr>
          <t>01.01.1901</t>
        </r>
      </text>
    </comment>
    <comment ref="Y130" authorId="0" shapeId="0" xr:uid="{981515AD-9DE5-42D2-B3E9-F99A91FA0686}">
      <text>
        <r>
          <rPr>
            <sz val="10"/>
            <color indexed="81"/>
            <rFont val="Courier New"/>
            <family val="3"/>
          </rPr>
          <t>_x000D_
    DESCRIÇÃO DO CÁLCULO_x000D_
Código    : 17.426_x000D_
Corte     : 6_x000D_
-----------------------------_x000D_
Pendente  : 1_x000D_
22 / 10_2 : _x000D_
22 / 11_2 : 1_x000D_
22 / 12_2 : _x000D_
23 / 01_2 : _x000D_
23 / 02_2 : 1_x000D_
23 / 03_2 : 6_x000D_
23 / 04_2 : _x000D_
23 / 05_2 : 6 (corte = 8)_x000D_
23 / 06_2 : 1_x000D_
23 / 07_2 : 3_x000D_
23 / 08_2 : _x000D_
23 / 09_2 : _x000D_
_x000D_
    TOTAL : ( 19 )_x000D_
  DIVISOR : 12_x000D_
    MÉDIA : 1,58_x000D_
-----------------------------_x000D_
   Valores Desconsiderados_x000D_
-----------------------------_x000D_
23 / 05_2 : 2 (8)_x000D_
_x000D_
  TOTAL   : ( 2 )</t>
        </r>
      </text>
    </comment>
    <comment ref="AB130" authorId="0" shapeId="0" xr:uid="{55F58320-1767-4536-912A-8CF10FDEA940}">
      <text>
        <r>
          <rPr>
            <sz val="10"/>
            <color indexed="81"/>
            <rFont val="Lucida Console"/>
            <family val="3"/>
          </rPr>
          <t>Última movimentação no estoque em 07/2023 quantidade 3.</t>
        </r>
      </text>
    </comment>
    <comment ref="R131" authorId="0" shapeId="0" xr:uid="{73141631-4412-4C92-8C53-EE6841B16DCE}">
      <text>
        <r>
          <rPr>
            <sz val="10"/>
            <color indexed="81"/>
            <rFont val="Lucida Console"/>
            <family val="3"/>
          </rPr>
          <t>03.12.2009</t>
        </r>
      </text>
    </comment>
    <comment ref="Y131" authorId="0" shapeId="0" xr:uid="{6C3BD803-A2CF-4E52-8FDA-97A9596A46EA}">
      <text>
        <r>
          <rPr>
            <sz val="10"/>
            <color indexed="81"/>
            <rFont val="Courier New"/>
            <family val="3"/>
          </rPr>
          <t>_x000D_
    DESCRIÇÃO DO CÁLCULO_x000D_
Código    : 113.634_x000D_
Corte     : 2_x000D_
-----------------------------_x000D_
Pendente  : _x000D_
22 / 10_2 : _x000D_
22 / 11_2 : 2 (corte = 3)_x000D_
22 / 12_2 : _x000D_
23 / 01_2 : _x000D_
23 / 02_2 : _x000D_
23 / 03_2 : 1_x000D_
23 / 04_2 : _x000D_
23 / 05_2 : _x000D_
23 / 06_2 : _x000D_
23 / 07_2 : _x000D_
23 / 08_2 : _x000D_
23 / 09_2 : _x000D_
_x000D_
    TOTAL : ( 3 )_x000D_
  DIVISOR : 12_x000D_
    MÉDIA : ,25_x000D_
-----------------------------_x000D_
   Valores Desconsiderados_x000D_
-----------------------------_x000D_
22 / 11_2 : 1 (3)_x000D_
_x000D_
  TOTAL   : ( 1 )</t>
        </r>
      </text>
    </comment>
    <comment ref="AB131" authorId="0" shapeId="0" xr:uid="{9156B992-58B4-4940-A17A-634FC4CE7F5F}">
      <text>
        <r>
          <rPr>
            <sz val="10"/>
            <color indexed="81"/>
            <rFont val="Lucida Console"/>
            <family val="3"/>
          </rPr>
          <t>Última movimentação no estoque em 03/2023 quantidade 1.</t>
        </r>
      </text>
    </comment>
    <comment ref="R132" authorId="0" shapeId="0" xr:uid="{30C5B4E7-4CA8-46C0-B0BF-D1EDCC7285C9}">
      <text>
        <r>
          <rPr>
            <sz val="10"/>
            <color indexed="81"/>
            <rFont val="Lucida Console"/>
            <family val="3"/>
          </rPr>
          <t>01.01.1901</t>
        </r>
      </text>
    </comment>
    <comment ref="Y132" authorId="0" shapeId="0" xr:uid="{1A66B5D0-17F9-4C82-8A77-9134DABF431E}">
      <text>
        <r>
          <rPr>
            <sz val="10"/>
            <color indexed="81"/>
            <rFont val="Courier New"/>
            <family val="3"/>
          </rPr>
          <t>_x000D_
    DESCRIÇÃO DO CÁLCULO_x000D_
Código    : 12.971_x000D_
Corte     : 66_x000D_
-----------------------------_x000D_
Pendente  : _x000D_
22 / 10_2 : 66 (corte = 100)_x000D_
22 / 11_2 : _x000D_
22 / 12_2 : _x000D_
23 / 01_2 : _x000D_
23 / 02_2 : _x000D_
23 / 03_2 : _x000D_
23 / 04_2 : _x000D_
23 / 05_2 : _x000D_
23 / 06_2 : _x000D_
23 / 07_2 : _x000D_
23 / 08_2 : _x000D_
23 / 09_2 : _x000D_
_x000D_
    TOTAL : ( 66 )_x000D_
  DIVISOR : 12_x000D_
    MÉDIA : 5,50_x000D_
-----------------------------_x000D_
   Valores Desconsiderados_x000D_
-----------------------------_x000D_
22 / 10_2 : 34 (100)_x000D_
_x000D_
  TOTAL   : ( 34 )</t>
        </r>
      </text>
    </comment>
    <comment ref="AB132" authorId="0" shapeId="0" xr:uid="{1B9ED80A-9A5B-4E13-B913-337C2B27032F}">
      <text>
        <r>
          <rPr>
            <sz val="10"/>
            <color indexed="81"/>
            <rFont val="Lucida Console"/>
            <family val="3"/>
          </rPr>
          <t>Última movimentação no estoque em 10/2022 quantidade 100.</t>
        </r>
      </text>
    </comment>
    <comment ref="R133" authorId="0" shapeId="0" xr:uid="{209C129B-039F-4A67-B690-D848603C3B73}">
      <text>
        <r>
          <rPr>
            <sz val="10"/>
            <color indexed="81"/>
            <rFont val="Lucida Console"/>
            <family val="3"/>
          </rPr>
          <t>01.01.1901</t>
        </r>
      </text>
    </comment>
    <comment ref="Y133" authorId="0" shapeId="0" xr:uid="{94E3EF00-6E85-442E-A78E-0B0520640454}">
      <text>
        <r>
          <rPr>
            <sz val="10"/>
            <color indexed="81"/>
            <rFont val="Courier New"/>
            <family val="3"/>
          </rPr>
          <t>_x000D_
    DESCRIÇÃO DO CÁLCULO_x000D_
Código    : 13.768_x000D_
Corte     : 614_x000D_
-----------------------------_x000D_
Pendente  : 61_x000D_
22 / 10_2 : 605_x000D_
22 / 11_2 : 405_x000D_
22 / 12_2 : 285_x000D_
23 / 01_2 : 266_x000D_
23 / 02_2 : 411_x000D_
23 / 03_2 : 471_x000D_
23 / 04_2 : 351_x000D_
23 / 05_2 : 325_x000D_
23 / 06_2 : 287_x000D_
23 / 07_2 : 252_x000D_
23 / 08_2 : 286_x000D_
23 / 09_2 : 277_x000D_
_x000D_
    TOTAL : ( 4.282 )_x000D_
  DIVISOR : 12_x000D_
    MÉDIA : 356,83</t>
        </r>
      </text>
    </comment>
    <comment ref="AB133" authorId="0" shapeId="0" xr:uid="{ECF660DC-B78D-45F6-B59F-30B37D9D558E}">
      <text>
        <r>
          <rPr>
            <sz val="10"/>
            <color indexed="81"/>
            <rFont val="Lucida Console"/>
            <family val="3"/>
          </rPr>
          <t>Última movimentação no estoque em 09/2023 quantidade 277.</t>
        </r>
      </text>
    </comment>
    <comment ref="R134" authorId="0" shapeId="0" xr:uid="{098A91E0-3D3A-4AAA-919F-78046B88BF8F}">
      <text>
        <r>
          <rPr>
            <sz val="10"/>
            <color indexed="81"/>
            <rFont val="Lucida Console"/>
            <family val="3"/>
          </rPr>
          <t>17.09.2010</t>
        </r>
      </text>
    </comment>
    <comment ref="Y134" authorId="0" shapeId="0" xr:uid="{630F3387-AF3B-4AD9-9FE3-F4DAADB8A5AB}">
      <text>
        <r>
          <rPr>
            <sz val="10"/>
            <color indexed="81"/>
            <rFont val="Courier New"/>
            <family val="3"/>
          </rPr>
          <t>_x000D_
    DESCRIÇÃO DO CÁLCULO_x000D_
Código    : 117.734_x000D_
Corte     : 1_x000D_
-----------------------------_x000D_
Pendente  : _x000D_
22 / 10_2 : _x000D_
22 / 11_2 : 1 (corte = 2)_x000D_
22 / 12_2 : 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11_2 : 1 (2)_x000D_
23 / 01_2 : 1 (2)_x000D_
_x000D_
  TOTAL   : ( 2 )</t>
        </r>
      </text>
    </comment>
    <comment ref="AB134" authorId="0" shapeId="0" xr:uid="{F6E987B7-E5DC-41FE-ACF6-A4BEDFAC4865}">
      <text>
        <r>
          <rPr>
            <sz val="10"/>
            <color indexed="81"/>
            <rFont val="Lucida Console"/>
            <family val="3"/>
          </rPr>
          <t>Última movimentação no estoque em 01/2023 quantidade 2.</t>
        </r>
      </text>
    </comment>
    <comment ref="R135" authorId="0" shapeId="0" xr:uid="{10AD7EFE-1F4C-4786-B683-853E0F7BD066}">
      <text>
        <r>
          <rPr>
            <sz val="10"/>
            <color indexed="81"/>
            <rFont val="Lucida Console"/>
            <family val="3"/>
          </rPr>
          <t>01.01.1901</t>
        </r>
      </text>
    </comment>
    <comment ref="Y135" authorId="0" shapeId="0" xr:uid="{5EE6B3D3-22C7-464B-95E9-12CF1B0FAA6C}">
      <text>
        <r>
          <rPr>
            <sz val="10"/>
            <color indexed="81"/>
            <rFont val="Courier New"/>
            <family val="3"/>
          </rPr>
          <t>_x000D_
    DESCRIÇÃO DO CÁLCULO_x000D_
Código    : 13.092_x000D_
Corte     : 15_x000D_
-----------------------------_x000D_
Pendente  : _x000D_
22 / 10_2 : _x000D_
22 / 11_2 : 3_x000D_
22 / 12_2 : 5_x000D_
23 / 01_2 : 6_x000D_
23 / 02_2 : 1_x000D_
23 / 03_2 : 2_x000D_
23 / 04_2 : _x000D_
23 / 05_2 : _x000D_
23 / 06_2 : _x000D_
23 / 07_2 : 10_x000D_
23 / 08_2 : _x000D_
23 / 09_2 : 15 (corte = 20)_x000D_
_x000D_
    TOTAL : ( 42 )_x000D_
  DIVISOR : 12_x000D_
    MÉDIA : 3,50_x000D_
-----------------------------_x000D_
   Valores Desconsiderados_x000D_
-----------------------------_x000D_
23 / 09_2 : 5 (20)_x000D_
_x000D_
  TOTAL   : ( 5 )</t>
        </r>
      </text>
    </comment>
    <comment ref="AB135" authorId="0" shapeId="0" xr:uid="{DEF53484-9540-4755-B010-FC295218DDA4}">
      <text>
        <r>
          <rPr>
            <sz val="10"/>
            <color indexed="81"/>
            <rFont val="Lucida Console"/>
            <family val="3"/>
          </rPr>
          <t>Última movimentação no estoque em 09/2023 quantidade 20.</t>
        </r>
      </text>
    </comment>
    <comment ref="R136" authorId="0" shapeId="0" xr:uid="{883BA0CE-ED1C-478B-A06C-58671B3D0726}">
      <text>
        <r>
          <rPr>
            <sz val="10"/>
            <color indexed="81"/>
            <rFont val="Lucida Console"/>
            <family val="3"/>
          </rPr>
          <t>01.01.1901</t>
        </r>
      </text>
    </comment>
    <comment ref="Y136" authorId="0" shapeId="0" xr:uid="{AECEF5C7-AC27-4816-BDE5-A4E68E26C266}">
      <text>
        <r>
          <rPr>
            <sz val="10"/>
            <color indexed="81"/>
            <rFont val="Courier New"/>
            <family val="3"/>
          </rPr>
          <t>_x000D_
    DESCRIÇÃO DO CÁLCULO_x000D_
Código    : 17.422_x000D_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36" authorId="0" shapeId="0" xr:uid="{7A32E99C-EF76-4540-BC84-B25EA63F6499}">
      <text>
        <r>
          <rPr>
            <sz val="10"/>
            <color indexed="81"/>
            <rFont val="Lucida Console"/>
            <family val="3"/>
          </rPr>
          <t>Última movimentação no estoque em 10/2022 quantidade 2.</t>
        </r>
      </text>
    </comment>
    <comment ref="R137" authorId="0" shapeId="0" xr:uid="{42C99F47-D37C-4641-A7BA-23BDD9EAF862}">
      <text>
        <r>
          <rPr>
            <sz val="10"/>
            <color indexed="81"/>
            <rFont val="Lucida Console"/>
            <family val="3"/>
          </rPr>
          <t>01.01.1901</t>
        </r>
      </text>
    </comment>
    <comment ref="Y137" authorId="0" shapeId="0" xr:uid="{B6586D19-82CA-4272-807A-550C51556A3F}">
      <text>
        <r>
          <rPr>
            <sz val="10"/>
            <color indexed="81"/>
            <rFont val="Courier New"/>
            <family val="3"/>
          </rPr>
          <t>_x000D_
    DESCRIÇÃO DO CÁLCULO_x000D_
Código    : 12.763_x000D_
Corte     : 240_x000D_
-----------------------------_x000D_
Pendente  : 122_x000D_
22 / 10_2 : 145_x000D_
22 / 11_2 : 5_x000D_
22 / 12_2 : _x000D_
23 / 01_2 : 26_x000D_
23 / 02_2 : 111_x000D_
23 / 03_2 : 168_x000D_
23 / 04_2 : 133_x000D_
23 / 05_2 : 217_x000D_
23 / 06_2 : 60_x000D_
23 / 07_2 : 85_x000D_
23 / 08_2 : 134_x000D_
23 / 09_2 : _x000D_
_x000D_
    TOTAL : ( 1.206 )_x000D_
  DIVISOR : 12_x000D_
    MÉDIA : 100,50</t>
        </r>
      </text>
    </comment>
    <comment ref="AB137" authorId="0" shapeId="0" xr:uid="{9F41D783-E664-4E30-8B36-0A0E81435D19}">
      <text>
        <r>
          <rPr>
            <sz val="10"/>
            <color indexed="81"/>
            <rFont val="Lucida Console"/>
            <family val="3"/>
          </rPr>
          <t>Última movimentação no estoque em 08/2023 quantidade 134.</t>
        </r>
      </text>
    </comment>
    <comment ref="R138" authorId="0" shapeId="0" xr:uid="{3F8934D2-092A-4969-ABDC-7CF3807312CD}">
      <text>
        <r>
          <rPr>
            <sz val="10"/>
            <color indexed="81"/>
            <rFont val="Lucida Console"/>
            <family val="3"/>
          </rPr>
          <t>21.02.2008</t>
        </r>
      </text>
    </comment>
    <comment ref="Y138" authorId="0" shapeId="0" xr:uid="{F1F49CAC-2C8F-4830-B99C-CF10D6C1B295}">
      <text>
        <r>
          <rPr>
            <sz val="10"/>
            <color indexed="81"/>
            <rFont val="Courier New"/>
            <family val="3"/>
          </rPr>
          <t>_x000D_
    DESCRIÇÃO DO CÁLCULO_x000D_
Código    : 105.106_x000D_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138" authorId="0" shapeId="0" xr:uid="{07AB9E8A-B83A-45AA-A9E6-19D634987502}">
      <text>
        <r>
          <rPr>
            <sz val="10"/>
            <color indexed="81"/>
            <rFont val="Lucida Console"/>
            <family val="3"/>
          </rPr>
          <t>Última movimentação no estoque em 01/2023 quantidade 2.</t>
        </r>
      </text>
    </comment>
    <comment ref="R139" authorId="0" shapeId="0" xr:uid="{881EDE33-37F5-4D02-9773-AF51CDDF3F9A}">
      <text>
        <r>
          <rPr>
            <sz val="10"/>
            <color indexed="81"/>
            <rFont val="Lucida Console"/>
            <family val="3"/>
          </rPr>
          <t>21.02.2008</t>
        </r>
      </text>
    </comment>
    <comment ref="Y139" authorId="0" shapeId="0" xr:uid="{9014FB44-1827-469C-ACE7-6C7504117265}">
      <text>
        <r>
          <rPr>
            <sz val="10"/>
            <color indexed="81"/>
            <rFont val="Courier New"/>
            <family val="3"/>
          </rPr>
          <t>_x000D_
    DESCRIÇÃO DO CÁLCULO_x000D_
Código    : 105.107_x000D_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39" authorId="0" shapeId="0" xr:uid="{99D3B6C6-9AFA-44E6-B4C4-A9E381833C3A}">
      <text>
        <r>
          <rPr>
            <sz val="10"/>
            <color indexed="81"/>
            <rFont val="Lucida Console"/>
            <family val="3"/>
          </rPr>
          <t>Última movimentação no estoque em 03/2023 quantidade 2.</t>
        </r>
      </text>
    </comment>
    <comment ref="R140" authorId="0" shapeId="0" xr:uid="{CC323951-88E8-4F63-81D7-4EC7D85C4E4A}">
      <text>
        <r>
          <rPr>
            <sz val="10"/>
            <color indexed="81"/>
            <rFont val="Lucida Console"/>
            <family val="3"/>
          </rPr>
          <t>21.02.2008</t>
        </r>
      </text>
    </comment>
    <comment ref="Y140" authorId="0" shapeId="0" xr:uid="{EB4E5CF0-CED0-480F-9CF6-B492C7F2EFCB}">
      <text>
        <r>
          <rPr>
            <sz val="10"/>
            <color indexed="81"/>
            <rFont val="Courier New"/>
            <family val="3"/>
          </rPr>
          <t>_x000D_
    DESCRIÇÃO DO CÁLCULO_x000D_
Código    : 105.108_x000D_
Corte     : 2_x000D_
-----------------------------_x000D_
Pendente  : _x000D_
22 / 10_2 : _x000D_
22 / 11_2 : _x000D_
22 / 12_2 : _x000D_
23 / 01_2 : 2_x000D_
23 / 02_2 : 2_x000D_
23 / 03_2 : 1_x000D_
23 / 04_2 : _x000D_
23 / 05_2 : _x000D_
23 / 06_2 : _x000D_
23 / 07_2 : _x000D_
23 / 08_2 : _x000D_
23 / 09_2 : _x000D_
_x000D_
    TOTAL : ( 5 )_x000D_
  DIVISOR : 12_x000D_
    MÉDIA : ,42</t>
        </r>
      </text>
    </comment>
    <comment ref="AB140" authorId="0" shapeId="0" xr:uid="{8F2354D9-7526-472A-A5F3-97FFC23BAB49}">
      <text>
        <r>
          <rPr>
            <sz val="10"/>
            <color indexed="81"/>
            <rFont val="Lucida Console"/>
            <family val="3"/>
          </rPr>
          <t>Última movimentação no estoque em 03/2023 quantidade 1.</t>
        </r>
      </text>
    </comment>
    <comment ref="R141" authorId="0" shapeId="0" xr:uid="{D392E927-5690-4C66-B819-0B3473F74540}">
      <text>
        <r>
          <rPr>
            <sz val="10"/>
            <color indexed="81"/>
            <rFont val="Lucida Console"/>
            <family val="3"/>
          </rPr>
          <t>25.06.2008</t>
        </r>
      </text>
    </comment>
    <comment ref="Y141" authorId="0" shapeId="0" xr:uid="{C8EFEE89-04B8-4D52-B8BF-4D2E9198FD90}">
      <text>
        <r>
          <rPr>
            <sz val="10"/>
            <color indexed="81"/>
            <rFont val="Courier New"/>
            <family val="3"/>
          </rPr>
          <t>_x000D_
    DESCRIÇÃO DO CÁLCULO_x000D_
Código    : 106.917_x000D_
Corte     : _x000D_
-----------------------------_x000D_
Pendente  : 1_x000D_
22 / 10_2 :  (corte = 1)_x000D_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(1)_x000D_
_x000D_
  TOTAL   : ( 1 )</t>
        </r>
      </text>
    </comment>
    <comment ref="AB141" authorId="0" shapeId="0" xr:uid="{6B17FAF1-22AE-45DA-9E26-B8D263DDFD0C}">
      <text>
        <r>
          <rPr>
            <sz val="10"/>
            <color indexed="81"/>
            <rFont val="Lucida Console"/>
            <family val="3"/>
          </rPr>
          <t>Última movimentação no estoque em 10/2022 quantidade 1.</t>
        </r>
      </text>
    </comment>
    <comment ref="R142" authorId="0" shapeId="0" xr:uid="{44159F67-5EA8-4022-AADF-84E4AA72A1EA}">
      <text>
        <r>
          <rPr>
            <sz val="10"/>
            <color indexed="81"/>
            <rFont val="Lucida Console"/>
            <family val="3"/>
          </rPr>
          <t>25.06.2008</t>
        </r>
      </text>
    </comment>
    <comment ref="Y142" authorId="0" shapeId="0" xr:uid="{3D402D55-A15D-40D0-833D-1928F1B534B2}">
      <text>
        <r>
          <rPr>
            <sz val="10"/>
            <color indexed="81"/>
            <rFont val="Courier New"/>
            <family val="3"/>
          </rPr>
          <t>_x000D_
    DESCRIÇÃO DO CÁLCULO_x000D_
Código    : 106.918_x000D_
Corte     : 1_x000D_
-----------------------------_x000D_
Pendente  : _x000D_
22 / 10_2 : _x000D_
22 / 11_2 : _x000D_
22 / 12_2 : _x000D_
23 / 01_2 : _x000D_
23 / 02_2 : _x000D_
23 / 03_2 : _x000D_
23 / 04_2 : _x000D_
23 / 05_2 : _x000D_
23 / 06_2 : _x000D_
23 / 07_2 : 1 (corte = 2)_x000D_
23 / 08_2 : _x000D_
23 / 09_2 : 1 (corte = 2)_x000D_
_x000D_
    TOTAL : ( 2 )_x000D_
  DIVISOR : 12_x000D_
    MÉDIA : ,17_x000D_
-----------------------------_x000D_
   Valores Desconsiderados_x000D_
-----------------------------_x000D_
23 / 07_2 : 1 (2)_x000D_
23 / 09_2 : 1 (2)_x000D_
_x000D_
  TOTAL   : ( 2 )</t>
        </r>
      </text>
    </comment>
    <comment ref="AB142" authorId="0" shapeId="0" xr:uid="{A35166CD-58C9-4BA7-91DB-38C8AF9ED843}">
      <text>
        <r>
          <rPr>
            <sz val="10"/>
            <color indexed="81"/>
            <rFont val="Lucida Console"/>
            <family val="3"/>
          </rPr>
          <t>Última movimentação no estoque em 09/2023 quantidade 2.</t>
        </r>
      </text>
    </comment>
    <comment ref="R143" authorId="0" shapeId="0" xr:uid="{3DC942C5-4BAC-48D1-A3AB-7109E392419F}">
      <text>
        <r>
          <rPr>
            <sz val="10"/>
            <color indexed="81"/>
            <rFont val="Lucida Console"/>
            <family val="3"/>
          </rPr>
          <t>21.02.2008</t>
        </r>
      </text>
    </comment>
    <comment ref="Y143" authorId="0" shapeId="0" xr:uid="{8E3AE566-7C8D-4411-8654-9C631C6E0462}">
      <text>
        <r>
          <rPr>
            <sz val="10"/>
            <color indexed="81"/>
            <rFont val="Courier New"/>
            <family val="3"/>
          </rPr>
          <t>_x000D_
    DESCRIÇÃO DO CÁLCULO_x000D_
Código    : 105.110_x000D_
Corte     : 1_x000D_
-----------------------------_x000D_
Pendente  : _x000D_
22 / 10_2 : _x000D_
22 / 11_2 : _x000D_
22 / 12_2 : _x000D_
23 / 01_2 : _x000D_
23 / 02_2 : _x000D_
23 / 03_2 : _x000D_
23 / 04_2 : _x000D_
23 / 05_2 : _x000D_
23 / 06_2 : _x000D_
23 / 07_2 : 1 (corte = 2)_x000D_
23 / 08_2 : _x000D_
23 / 09_2 : _x000D_
_x000D_
    TOTAL : ( 1 )_x000D_
  DIVISOR : 12_x000D_
    MÉDIA : ,08_x000D_
-----------------------------_x000D_
   Valores Desconsiderados_x000D_
-----------------------------_x000D_
23 / 07_2 : 1 (2)_x000D_
_x000D_
  TOTAL   : ( 1 )</t>
        </r>
      </text>
    </comment>
    <comment ref="AB143" authorId="0" shapeId="0" xr:uid="{EF1D3F15-6340-4831-A310-46AB5DA20882}">
      <text>
        <r>
          <rPr>
            <sz val="10"/>
            <color indexed="81"/>
            <rFont val="Lucida Console"/>
            <family val="3"/>
          </rPr>
          <t>Última movimentação no estoque em 07/2023 quantidade 2.</t>
        </r>
      </text>
    </comment>
    <comment ref="R144" authorId="0" shapeId="0" xr:uid="{218AF225-F7E2-4F02-96F4-20D32D65CCE4}">
      <text>
        <r>
          <rPr>
            <sz val="10"/>
            <color indexed="81"/>
            <rFont val="Lucida Console"/>
            <family val="3"/>
          </rPr>
          <t>09.01.2014</t>
        </r>
      </text>
    </comment>
    <comment ref="Y144" authorId="0" shapeId="0" xr:uid="{BDD23F19-E56C-479B-8243-66A57E59BC08}">
      <text>
        <r>
          <rPr>
            <sz val="10"/>
            <color indexed="81"/>
            <rFont val="Courier New"/>
            <family val="3"/>
          </rPr>
          <t>_x000D_
    DESCRIÇÃO DO CÁLCULO_x000D_
Código    : 127.107_x000D_
Corte     : 1_x000D_
-----------------------------_x000D_
Pendente  : _x000D_
22 / 10_2 : 1 (corte = 2)_x000D_
22 / 11_2 : _x000D_
22 / 12_2 : _x000D_
23 / 01_2 : _x000D_
23 / 02_2 : 1 (corte = 2)_x000D_
23 / 03_2 : _x000D_
23 / 04_2 : _x000D_
23 / 05_2 : _x000D_
23 / 06_2 : _x000D_
23 / 07_2 : _x000D_
23 / 08_2 : _x000D_
23 / 09_2 : _x000D_
_x000D_
    TOTAL : ( 2 )_x000D_
  DIVISOR : 12_x000D_
    MÉDIA : ,17_x000D_
-----------------------------_x000D_
   Valores Desconsiderados_x000D_
-----------------------------_x000D_
22 / 10_2 : 1 (2)_x000D_
23 / 02_2 : 1 (2)_x000D_
_x000D_
  TOTAL   : ( 2 )</t>
        </r>
      </text>
    </comment>
    <comment ref="AB144" authorId="0" shapeId="0" xr:uid="{E7F577FE-2898-41C3-8B03-293493B58E28}">
      <text>
        <r>
          <rPr>
            <sz val="10"/>
            <color indexed="81"/>
            <rFont val="Lucida Console"/>
            <family val="3"/>
          </rPr>
          <t>Última movimentação no estoque em 02/2023 quantidade 2.</t>
        </r>
      </text>
    </comment>
    <comment ref="R145" authorId="0" shapeId="0" xr:uid="{DC1DF980-D67B-4359-B5A0-67B0BAE8C756}">
      <text>
        <r>
          <rPr>
            <sz val="10"/>
            <color indexed="81"/>
            <rFont val="Lucida Console"/>
            <family val="3"/>
          </rPr>
          <t>15.05.2018</t>
        </r>
      </text>
    </comment>
    <comment ref="Y145" authorId="0" shapeId="0" xr:uid="{A1BB5CF4-7F24-4BC9-A8AE-79F8EC9B7DCB}">
      <text>
        <r>
          <rPr>
            <sz val="10"/>
            <color indexed="81"/>
            <rFont val="Courier New"/>
            <family val="3"/>
          </rPr>
          <t>_x000D_
    DESCRIÇÃO DO CÁLCULO_x000D_
Código    : 135.014_x000D_
Corte     : 1_x000D_
-----------------------------_x000D_
Pendente  : _x000D_
22 / 10_2 : _x000D_
22 / 11_2 : _x000D_
22 / 12_2 : _x000D_
23 / 01_2 : _x000D_
23 / 02_2 : 1_x000D_
23 / 03_2 : 1_x000D_
23 / 04_2 : 1 (corte = 2)_x000D_
23 / 05_2 : _x000D_
23 / 06_2 : _x000D_
23 / 07_2 : _x000D_
23 / 08_2 : _x000D_
23 / 09_2 : _x000D_
_x000D_
    TOTAL : ( 3 )_x000D_
  DIVISOR : 12_x000D_
    MÉDIA : ,25_x000D_
-----------------------------_x000D_
   Valores Desconsiderados_x000D_
-----------------------------_x000D_
23 / 04_2 : 1 (2)_x000D_
_x000D_
  TOTAL   : ( 1 )</t>
        </r>
      </text>
    </comment>
    <comment ref="AB145" authorId="0" shapeId="0" xr:uid="{61FB1B70-1F0B-4CD4-9757-7A5E1164D88A}">
      <text>
        <r>
          <rPr>
            <sz val="10"/>
            <color indexed="81"/>
            <rFont val="Lucida Console"/>
            <family val="3"/>
          </rPr>
          <t>Última movimentação no estoque em 04/2023 quantidade 2.</t>
        </r>
      </text>
    </comment>
    <comment ref="R146" authorId="0" shapeId="0" xr:uid="{25BAA4ED-87D9-4F22-97BD-04627A385985}">
      <text>
        <r>
          <rPr>
            <sz val="10"/>
            <color indexed="81"/>
            <rFont val="Lucida Console"/>
            <family val="3"/>
          </rPr>
          <t>21.02.2008</t>
        </r>
      </text>
    </comment>
    <comment ref="Y146" authorId="0" shapeId="0" xr:uid="{F1C5FA26-D656-4768-A27B-A0350264A3F1}">
      <text>
        <r>
          <rPr>
            <sz val="10"/>
            <color indexed="81"/>
            <rFont val="Courier New"/>
            <family val="3"/>
          </rPr>
          <t>_x000D_
    DESCRIÇÃO DO CÁLCULO_x000D_
Código    : 105.114_x000D_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46" authorId="0" shapeId="0" xr:uid="{3FA85B1E-16BC-477A-A394-70D37FD9D470}">
      <text>
        <r>
          <rPr>
            <sz val="10"/>
            <color indexed="81"/>
            <rFont val="Lucida Console"/>
            <family val="3"/>
          </rPr>
          <t>Última movimentação no estoque em 03/2023 quantidade 2.</t>
        </r>
      </text>
    </comment>
    <comment ref="R147" authorId="0" shapeId="0" xr:uid="{950225F2-618B-425B-8928-AE06077668EB}">
      <text>
        <r>
          <rPr>
            <sz val="10"/>
            <color indexed="81"/>
            <rFont val="Lucida Console"/>
            <family val="3"/>
          </rPr>
          <t>25.06.2008</t>
        </r>
      </text>
    </comment>
    <comment ref="Y147" authorId="0" shapeId="0" xr:uid="{CEAC6C93-EEA7-4E6D-9111-4B9178D11CFB}">
      <text>
        <r>
          <rPr>
            <sz val="10"/>
            <color indexed="81"/>
            <rFont val="Courier New"/>
            <family val="3"/>
          </rPr>
          <t>_x000D_
    DESCRIÇÃO DO CÁLCULO_x000D_
Código    : 106.910_x000D_
Corte     : 1_x000D_
-----------------------------_x000D_
Pendente  : _x000D_
22 / 10_2 : 1 (corte = 2)_x000D_
22 / 11_2 : _x000D_
22 / 12_2 : _x000D_
23 / 01_2 : _x000D_
23 / 02_2 : _x000D_
23 / 03_2 : _x000D_
23 / 04_2 : _x000D_
23 / 05_2 : _x000D_
23 / 06_2 : _x000D_
23 / 07_2 : 1 (corte = 2)_x000D_
23 / 08_2 : _x000D_
23 / 09_2 : _x000D_
_x000D_
    TOTAL : ( 2 )_x000D_
  DIVISOR : 12_x000D_
    MÉDIA : ,17_x000D_
-----------------------------_x000D_
   Valores Desconsiderados_x000D_
-----------------------------_x000D_
22 / 10_2 : 1 (2)_x000D_
23 / 07_2 : 1 (2)_x000D_
_x000D_
  TOTAL   : ( 2 )</t>
        </r>
      </text>
    </comment>
    <comment ref="AB147" authorId="0" shapeId="0" xr:uid="{6EE24389-D73E-4C52-A62E-BC6951B020AC}">
      <text>
        <r>
          <rPr>
            <sz val="10"/>
            <color indexed="81"/>
            <rFont val="Lucida Console"/>
            <family val="3"/>
          </rPr>
          <t>Última movimentação no estoque em 07/2023 quantidade 2.</t>
        </r>
      </text>
    </comment>
    <comment ref="R148" authorId="0" shapeId="0" xr:uid="{825923E5-55ED-4778-8772-798DB3E0A138}">
      <text>
        <r>
          <rPr>
            <sz val="10"/>
            <color indexed="81"/>
            <rFont val="Lucida Console"/>
            <family val="3"/>
          </rPr>
          <t>21.02.2008</t>
        </r>
      </text>
    </comment>
    <comment ref="Y148" authorId="0" shapeId="0" xr:uid="{88324D85-7002-4FF0-ABB0-DD016A319D2B}">
      <text>
        <r>
          <rPr>
            <sz val="10"/>
            <color indexed="81"/>
            <rFont val="Courier New"/>
            <family val="3"/>
          </rPr>
          <t>_x000D_
    DESCRIÇÃO DO CÁLCULO_x000D_
Código    : 105.115_x000D_
Corte     : 1_x000D_
-----------------------------_x000D_
Pendente  : _x000D_
22 / 10_2 : _x000D_
22 / 11_2 : _x000D_
22 / 12_2 : _x000D_
23 / 01_2 : 1 (corte = 2)_x000D_
23 / 02_2 : 1 (corte = 2)_x000D_
23 / 03_2 : _x000D_
23 / 04_2 : _x000D_
23 / 05_2 : _x000D_
23 / 06_2 : _x000D_
23 / 07_2 : _x000D_
23 / 08_2 : _x000D_
23 / 09_2 : _x000D_
_x000D_
    TOTAL : ( 2 )_x000D_
  DIVISOR : 12_x000D_
    MÉDIA : ,17_x000D_
-----------------------------_x000D_
   Valores Desconsiderados_x000D_
-----------------------------_x000D_
23 / 01_2 : 1 (2)_x000D_
23 / 02_2 : 1 (2)_x000D_
_x000D_
  TOTAL   : ( 2 )</t>
        </r>
      </text>
    </comment>
    <comment ref="AB148" authorId="0" shapeId="0" xr:uid="{27E53545-F6FE-4E44-96CA-EA79D370B095}">
      <text>
        <r>
          <rPr>
            <sz val="10"/>
            <color indexed="81"/>
            <rFont val="Lucida Console"/>
            <family val="3"/>
          </rPr>
          <t>Última movimentação no estoque em 02/2023 quantidade 2.</t>
        </r>
      </text>
    </comment>
    <comment ref="R149" authorId="0" shapeId="0" xr:uid="{623D9E97-EF3B-4EC4-BB24-08321CBA1E5A}">
      <text>
        <r>
          <rPr>
            <sz val="10"/>
            <color indexed="81"/>
            <rFont val="Lucida Console"/>
            <family val="3"/>
          </rPr>
          <t>25.06.2008</t>
        </r>
      </text>
    </comment>
    <comment ref="Y149" authorId="0" shapeId="0" xr:uid="{D02821D2-FDC2-4423-BD49-C98B42004385}">
      <text>
        <r>
          <rPr>
            <sz val="10"/>
            <color indexed="81"/>
            <rFont val="Courier New"/>
            <family val="3"/>
          </rPr>
          <t>_x000D_
    DESCRIÇÃO DO CÁLCULO_x000D_
Código    : 106.911_x000D_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49" authorId="0" shapeId="0" xr:uid="{56EC54DF-4A2D-4876-9A87-B25E85147647}">
      <text>
        <r>
          <rPr>
            <sz val="10"/>
            <color indexed="81"/>
            <rFont val="Lucida Console"/>
            <family val="3"/>
          </rPr>
          <t>Última movimentação no estoque em 10/2022 quantidade 2.</t>
        </r>
      </text>
    </comment>
    <comment ref="R150" authorId="0" shapeId="0" xr:uid="{659ADD86-B719-49E1-B9E2-D12E02704A76}">
      <text>
        <r>
          <rPr>
            <sz val="10"/>
            <color indexed="81"/>
            <rFont val="Lucida Console"/>
            <family val="3"/>
          </rPr>
          <t>25.06.2008</t>
        </r>
      </text>
    </comment>
    <comment ref="Y150" authorId="0" shapeId="0" xr:uid="{BB3AC24D-2BAE-4ADB-AEE1-FE512DF4037E}">
      <text>
        <r>
          <rPr>
            <sz val="10"/>
            <color indexed="81"/>
            <rFont val="Courier New"/>
            <family val="3"/>
          </rPr>
          <t>_x000D_
    DESCRIÇÃO DO CÁLCULO_x000D_
Código    : 106.913_x000D_
Corte     : _x000D_
-----------------------------_x000D_
Pendente  : 1_x000D_
22 / 10_2 : _x000D_
22 / 11_2 : _x000D_
22 / 12_2 : _x000D_
23 / 01_2 : _x000D_
23 / 02_2 : _x000D_
23 / 03_2 : _x000D_
23 / 04_2 : _x000D_
23 / 05_2 : _x000D_
23 / 06_2 : _x000D_
23 / 07_2 : _x000D_
23 / 08_2 : _x000D_
23 / 09_2 :  (corte = 1)_x000D_
_x000D_
    TOTAL : ( 1 )_x000D_
  DIVISOR : 12_x000D_
    MÉDIA : ,08_x000D_
-----------------------------_x000D_
   Valores Desconsiderados_x000D_
-----------------------------_x000D_
23 / 09_2 : 1 (1)_x000D_
_x000D_
  TOTAL   : ( 1 )</t>
        </r>
      </text>
    </comment>
    <comment ref="AB150" authorId="0" shapeId="0" xr:uid="{91D8F3A4-7434-4901-83EF-50698AB20B91}">
      <text>
        <r>
          <rPr>
            <sz val="10"/>
            <color indexed="81"/>
            <rFont val="Lucida Console"/>
            <family val="3"/>
          </rPr>
          <t>Última movimentação no estoque em 09/2023 quantidade 1.</t>
        </r>
      </text>
    </comment>
    <comment ref="R151" authorId="0" shapeId="0" xr:uid="{DA4CDB52-AC89-4ED8-B420-DF4092CC0459}">
      <text>
        <r>
          <rPr>
            <sz val="10"/>
            <color indexed="81"/>
            <rFont val="Lucida Console"/>
            <family val="3"/>
          </rPr>
          <t>21.02.2008</t>
        </r>
      </text>
    </comment>
    <comment ref="Y151" authorId="0" shapeId="0" xr:uid="{530E7F95-DCD3-4938-AB3D-B0F0FE81ADD0}">
      <text>
        <r>
          <rPr>
            <sz val="10"/>
            <color indexed="81"/>
            <rFont val="Courier New"/>
            <family val="3"/>
          </rPr>
          <t>_x000D_
    DESCRIÇÃO DO CÁLCULO_x000D_
Código    : 105.118_x000D_
Corte     : 2_x000D_
-----------------------------_x000D_
Pendente  : _x000D_
22 / 10_2 : _x000D_
22 / 11_2 : _x000D_
22 / 12_2 : _x000D_
23 / 01_2 : _x000D_
23 / 02_2 : 2 (corte = 4)_x000D_
23 / 03_2 : _x000D_
23 / 04_2 : _x000D_
23 / 05_2 : _x000D_
23 / 06_2 : _x000D_
23 / 07_2 : 2_x000D_
23 / 08_2 : _x000D_
23 / 09_2 : _x000D_
_x000D_
    TOTAL : ( 4 )_x000D_
  DIVISOR : 12_x000D_
    MÉDIA : ,33_x000D_
-----------------------------_x000D_
   Valores Desconsiderados_x000D_
-----------------------------_x000D_
23 / 02_2 : 2 (4)_x000D_
_x000D_
  TOTAL   : ( 2 )</t>
        </r>
      </text>
    </comment>
    <comment ref="AB151" authorId="0" shapeId="0" xr:uid="{6B8BF7D1-DC50-48AA-997D-6898B55276D1}">
      <text>
        <r>
          <rPr>
            <sz val="10"/>
            <color indexed="81"/>
            <rFont val="Lucida Console"/>
            <family val="3"/>
          </rPr>
          <t>Última movimentação no estoque em 07/2023 quantidade 2.</t>
        </r>
      </text>
    </comment>
    <comment ref="R152" authorId="0" shapeId="0" xr:uid="{B004828A-588D-49B8-B602-8F1558C16772}">
      <text>
        <r>
          <rPr>
            <sz val="10"/>
            <color indexed="81"/>
            <rFont val="Lucida Console"/>
            <family val="3"/>
          </rPr>
          <t>12.09.2019</t>
        </r>
      </text>
    </comment>
    <comment ref="Y152" authorId="0" shapeId="0" xr:uid="{47C40C15-39AD-4ABE-8517-73F71B17A353}">
      <text>
        <r>
          <rPr>
            <sz val="10"/>
            <color indexed="81"/>
            <rFont val="Courier New"/>
            <family val="3"/>
          </rPr>
          <t>_x000D_
    DESCRIÇÃO DO CÁLCULO_x000D_
Código    : 138.459_x000D_
Corte     : 8.197_x000D_
-----------------------------_x000D_
Pendente  : 1.147_x000D_
22 / 10_2 : 1.370_x000D_
22 / 11_2 : _x000D_
22 / 12_2 : _x000D_
23 / 01_2 : 911_x000D_
23 / 02_2 : 2.222_x000D_
23 / 03_2 : 8.197 (corte = 11167)_x000D_
23 / 04_2 : 2.310_x000D_
23 / 05_2 : 2.384_x000D_
23 / 06_2 : 2.343_x000D_
23 / 07_2 : 2.109_x000D_
23 / 08_2 : 3.040_x000D_
23 / 09_2 : 2.269_x000D_
_x000D_
    TOTAL : ( 28.302 )_x000D_
  DIVISOR : 12_x000D_
    MÉDIA : 2.358,50_x000D_
-----------------------------_x000D_
   Valores Desconsiderados_x000D_
-----------------------------_x000D_
23 / 03_2 : 2.970 (11.167)_x000D_
_x000D_
  TOTAL   : ( 2.970 )</t>
        </r>
      </text>
    </comment>
    <comment ref="AB152" authorId="0" shapeId="0" xr:uid="{C509AD70-02EE-4629-938F-2051EB9D5018}">
      <text>
        <r>
          <rPr>
            <sz val="10"/>
            <color indexed="81"/>
            <rFont val="Lucida Console"/>
            <family val="3"/>
          </rPr>
          <t>Última movimentação no estoque em 09/2023 quantidade 2.269.</t>
        </r>
      </text>
    </comment>
    <comment ref="R153" authorId="0" shapeId="0" xr:uid="{9554B1EA-88F5-4644-98C0-30462799FAAD}">
      <text>
        <r>
          <rPr>
            <sz val="10"/>
            <color indexed="81"/>
            <rFont val="Lucida Console"/>
            <family val="3"/>
          </rPr>
          <t>12.09.2019</t>
        </r>
      </text>
    </comment>
    <comment ref="Y153" authorId="0" shapeId="0" xr:uid="{D6F13FE3-59E0-494D-9F7D-EBD87CE30BA8}">
      <text>
        <r>
          <rPr>
            <sz val="10"/>
            <color indexed="81"/>
            <rFont val="Courier New"/>
            <family val="3"/>
          </rPr>
          <t>_x000D_
    DESCRIÇÃO DO CÁLCULO_x000D_
Código    : 138.460_x000D_
Corte     : 3.424_x000D_
-----------------------------_x000D_
Pendente  : 15_x000D_
22 / 10_2 : 481_x000D_
22 / 11_2 : 372_x000D_
22 / 12_2 : 545_x000D_
23 / 01_2 : 149_x000D_
23 / 02_2 : 575_x000D_
23 / 03_2 : 3.424 (corte = 4977)_x000D_
23 / 04_2 : 585_x000D_
23 / 05_2 : 744_x000D_
23 / 06_2 : 668_x000D_
23 / 07_2 : 423_x000D_
23 / 08_2 : 628_x000D_
23 / 09_2 : 610_x000D_
_x000D_
    TOTAL : ( 9.219 )_x000D_
  DIVISOR : 12_x000D_
    MÉDIA : 768,25_x000D_
-----------------------------_x000D_
   Valores Desconsiderados_x000D_
-----------------------------_x000D_
23 / 03_2 : 1.553 (4.977)_x000D_
_x000D_
  TOTAL   : ( 1.553 )</t>
        </r>
      </text>
    </comment>
    <comment ref="AB153" authorId="0" shapeId="0" xr:uid="{E935FBEF-7235-40FE-BE5F-92D307819CD1}">
      <text>
        <r>
          <rPr>
            <sz val="10"/>
            <color indexed="81"/>
            <rFont val="Lucida Console"/>
            <family val="3"/>
          </rPr>
          <t>Última movimentação no estoque em 09/2023 quantidade 610.</t>
        </r>
      </text>
    </comment>
    <comment ref="R154" authorId="0" shapeId="0" xr:uid="{0CCF2B53-BCD6-4F01-B0C9-BEF0346AA29B}">
      <text>
        <r>
          <rPr>
            <sz val="10"/>
            <color indexed="81"/>
            <rFont val="Lucida Console"/>
            <family val="3"/>
          </rPr>
          <t>05.05.2017</t>
        </r>
      </text>
    </comment>
    <comment ref="Y154" authorId="0" shapeId="0" xr:uid="{5B976F90-8982-43E2-9CFD-0359D4A8E70C}">
      <text>
        <r>
          <rPr>
            <sz val="10"/>
            <color indexed="81"/>
            <rFont val="Courier New"/>
            <family val="3"/>
          </rPr>
          <t>_x000D_
    DESCRIÇÃO DO CÁLCULO_x000D_
Código    : 132.646_x000D_
Corte     : 3.771_x000D_
-----------------------------_x000D_
Pendente  : 303_x000D_
22 / 10_2 : 688_x000D_
22 / 11_2 : 706_x000D_
22 / 12_2 : 808_x000D_
23 / 01_2 : 353_x000D_
23 / 02_2 : 1.130_x000D_
23 / 03_2 : 3.771 (corte = 5390)_x000D_
23 / 04_2 : 470_x000D_
23 / 05_2 : 457_x000D_
23 / 06_2 : 716_x000D_
23 / 07_2 : 674_x000D_
23 / 08_2 : 834_x000D_
23 / 09_2 : 809_x000D_
_x000D_
    TOTAL : ( 11.719 )_x000D_
  DIVISOR : 12_x000D_
    MÉDIA : 976,58_x000D_
-----------------------------_x000D_
   Valores Desconsiderados_x000D_
-----------------------------_x000D_
23 / 03_2 : 1.619 (5.390)_x000D_
_x000D_
  TOTAL   : ( 1.619 )</t>
        </r>
      </text>
    </comment>
    <comment ref="AB154" authorId="0" shapeId="0" xr:uid="{0E2B1EF6-D479-4B40-8204-74D1F3392AA2}">
      <text>
        <r>
          <rPr>
            <sz val="10"/>
            <color indexed="81"/>
            <rFont val="Lucida Console"/>
            <family val="3"/>
          </rPr>
          <t>Última movimentação no estoque em 09/2023 quantidade 809.</t>
        </r>
      </text>
    </comment>
    <comment ref="R155" authorId="0" shapeId="0" xr:uid="{5A5149AC-D581-463C-ABAF-1F6B71AC3FBB}">
      <text>
        <r>
          <rPr>
            <sz val="10"/>
            <color indexed="81"/>
            <rFont val="Lucida Console"/>
            <family val="3"/>
          </rPr>
          <t>05.05.2017</t>
        </r>
      </text>
    </comment>
    <comment ref="Y155" authorId="0" shapeId="0" xr:uid="{51E90315-39AA-4D79-8173-3B3FB3EF2012}">
      <text>
        <r>
          <rPr>
            <sz val="10"/>
            <color indexed="81"/>
            <rFont val="Courier New"/>
            <family val="3"/>
          </rPr>
          <t>_x000D_
    DESCRIÇÃO DO CÁLCULO_x000D_
Código    : 132.647_x000D_
Corte     : 5.159_x000D_
-----------------------------_x000D_
Pendente  : 279_x000D_
22 / 10_2 : 744_x000D_
22 / 11_2 : 919_x000D_
22 / 12_2 : 592_x000D_
23 / 01_2 : 340_x000D_
23 / 02_2 : 626_x000D_
23 / 03_2 : 5.159 (corte = 7646)_x000D_
23 / 04_2 : 511_x000D_
23 / 05_2 : 609_x000D_
23 / 06_2 : 670_x000D_
23 / 07_2 : 644_x000D_
23 / 08_2 : 840_x000D_
23 / 09_2 : 198_x000D_
_x000D_
    TOTAL : ( 12.131 )_x000D_
  DIVISOR : 12_x000D_
    MÉDIA : 1.010,92_x000D_
-----------------------------_x000D_
   Valores Desconsiderados_x000D_
-----------------------------_x000D_
23 / 03_2 : 2.487 (7.646)_x000D_
_x000D_
  TOTAL   : ( 2.487 )</t>
        </r>
      </text>
    </comment>
    <comment ref="AB155" authorId="0" shapeId="0" xr:uid="{CCC66BC5-B060-4E30-9B01-08C99D86901D}">
      <text>
        <r>
          <rPr>
            <sz val="10"/>
            <color indexed="81"/>
            <rFont val="Lucida Console"/>
            <family val="3"/>
          </rPr>
          <t>Última movimentação no estoque em 09/2023 quantidade 198.</t>
        </r>
      </text>
    </comment>
    <comment ref="R156" authorId="0" shapeId="0" xr:uid="{7ECB053B-06B0-4D92-90A3-7A9AB972AA95}">
      <text>
        <r>
          <rPr>
            <sz val="10"/>
            <color indexed="81"/>
            <rFont val="Lucida Console"/>
            <family val="3"/>
          </rPr>
          <t>12.09.2019</t>
        </r>
      </text>
    </comment>
    <comment ref="Y156" authorId="0" shapeId="0" xr:uid="{EC9D5B98-E057-400B-9A9F-5E0590BD1477}">
      <text>
        <r>
          <rPr>
            <sz val="10"/>
            <color indexed="81"/>
            <rFont val="Courier New"/>
            <family val="3"/>
          </rPr>
          <t>_x000D_
    DESCRIÇÃO DO CÁLCULO_x000D_
Código    : 138.461_x000D_
Corte     : 4.367_x000D_
-----------------------------_x000D_
Pendente  : 1.182_x000D_
22 / 10_2 : 798_x000D_
22 / 11_2 : 902_x000D_
22 / 12_2 : 669_x000D_
23 / 01_2 : 303_x000D_
23 / 02_2 : 799_x000D_
23 / 03_2 : 4.367 (corte = 6228)_x000D_
23 / 04_2 : _x000D_
23 / 05_2 : _x000D_
23 / 06_2 : 491_x000D_
23 / 07_2 : 919_x000D_
23 / 08_2 : 1.055_x000D_
23 / 09_2 : 999_x000D_
_x000D_
    TOTAL : ( 12.484 )_x000D_
  DIVISOR : 12_x000D_
    MÉDIA : 1.040,33_x000D_
-----------------------------_x000D_
   Valores Desconsiderados_x000D_
-----------------------------_x000D_
23 / 03_2 : 1.861 (6.228)_x000D_
_x000D_
  TOTAL   : ( 1.861 )</t>
        </r>
      </text>
    </comment>
    <comment ref="AB156" authorId="0" shapeId="0" xr:uid="{3D18ECA7-DFC1-4E63-A420-E6824F467DDA}">
      <text>
        <r>
          <rPr>
            <sz val="10"/>
            <color indexed="81"/>
            <rFont val="Lucida Console"/>
            <family val="3"/>
          </rPr>
          <t>Última movimentação no estoque em 09/2023 quantidade 999.</t>
        </r>
      </text>
    </comment>
    <comment ref="R157" authorId="0" shapeId="0" xr:uid="{8055D78D-D53E-4EF9-9392-9BAB4E1BAFCA}">
      <text>
        <r>
          <rPr>
            <sz val="10"/>
            <color indexed="81"/>
            <rFont val="Lucida Console"/>
            <family val="3"/>
          </rPr>
          <t>05.05.2017</t>
        </r>
      </text>
    </comment>
    <comment ref="Y157" authorId="0" shapeId="0" xr:uid="{48F4A0D2-2E94-4C81-A969-340A7B867B22}">
      <text>
        <r>
          <rPr>
            <sz val="10"/>
            <color indexed="81"/>
            <rFont val="Courier New"/>
            <family val="3"/>
          </rPr>
          <t>_x000D_
    DESCRIÇÃO DO CÁLCULO_x000D_
Código    : 132.649_x000D_
Corte     : 4.654_x000D_
-----------------------------_x000D_
Pendente  : 837_x000D_
22 / 10_2 : 129_x000D_
22 / 11_2 : _x000D_
22 / 12_2 : _x000D_
23 / 01_2 : 166_x000D_
23 / 02_2 : 548_x000D_
23 / 03_2 : 4.654 (corte = 7130)_x000D_
23 / 04_2 : 220_x000D_
23 / 05_2 : _x000D_
23 / 06_2 : 24_x000D_
23 / 07_2 : _x000D_
23 / 08_2 : _x000D_
23 / 09_2 : _x000D_
_x000D_
    TOTAL : ( 6.578 )_x000D_
  DIVISOR : 12_x000D_
    MÉDIA : 548,17_x000D_
-----------------------------_x000D_
   Valores Desconsiderados_x000D_
-----------------------------_x000D_
23 / 03_2 : 2.476 (7.130)_x000D_
_x000D_
  TOTAL   : ( 2.476 )</t>
        </r>
      </text>
    </comment>
    <comment ref="AB157" authorId="0" shapeId="0" xr:uid="{83FB60FC-CDCA-4656-A908-7A61153551DD}">
      <text>
        <r>
          <rPr>
            <sz val="10"/>
            <color indexed="81"/>
            <rFont val="Lucida Console"/>
            <family val="3"/>
          </rPr>
          <t>Última movimentação no estoque em 06/2023 quantidade 24.</t>
        </r>
      </text>
    </comment>
    <comment ref="R158" authorId="0" shapeId="0" xr:uid="{22F6AF54-4C66-4E07-9EF3-8D029DB96B22}">
      <text>
        <r>
          <rPr>
            <sz val="10"/>
            <color indexed="81"/>
            <rFont val="Lucida Console"/>
            <family val="3"/>
          </rPr>
          <t>01.01.1901</t>
        </r>
      </text>
    </comment>
    <comment ref="Y158" authorId="0" shapeId="0" xr:uid="{6A644328-BB85-4543-ABCF-31AE1673FFE5}">
      <text>
        <r>
          <rPr>
            <sz val="10"/>
            <color indexed="81"/>
            <rFont val="Courier New"/>
            <family val="3"/>
          </rPr>
          <t>_x000D_
    DESCRIÇÃO DO CÁLCULO_x000D_
Código    : 10.392_x000D_
Corte     : 3.099_x000D_
-----------------------------_x000D_
Pendente  : 1.379_x000D_
22 / 10_2 : 297_x000D_
22 / 11_2 : 37_x000D_
22 / 12_2 : _x000D_
23 / 01_2 : 415_x000D_
23 / 02_2 : 441_x000D_
23 / 03_2 : 3.099 (corte = 4461)_x000D_
23 / 04_2 : 644_x000D_
23 / 05_2 : 80_x000D_
23 / 06_2 : 15_x000D_
23 / 07_2 : _x000D_
23 / 08_2 : _x000D_
23 / 09_2 : _x000D_
_x000D_
    TOTAL : ( 6.407 )_x000D_
  DIVISOR : 12_x000D_
    MÉDIA : 533,92_x000D_
-----------------------------_x000D_
   Valores Desconsiderados_x000D_
-----------------------------_x000D_
23 / 03_2 : 1.362 (4.461)_x000D_
_x000D_
  TOTAL   : ( 1.362 )</t>
        </r>
      </text>
    </comment>
    <comment ref="AB158" authorId="0" shapeId="0" xr:uid="{559214C5-4595-43A7-860E-D687C364D302}">
      <text>
        <r>
          <rPr>
            <sz val="10"/>
            <color indexed="81"/>
            <rFont val="Lucida Console"/>
            <family val="3"/>
          </rPr>
          <t>Última movimentação no estoque em 06/2023 quantidade 15.</t>
        </r>
      </text>
    </comment>
    <comment ref="R159" authorId="0" shapeId="0" xr:uid="{0ED1FA8E-17F1-4DEB-9D6F-7B0DED6143D8}">
      <text>
        <r>
          <rPr>
            <sz val="10"/>
            <color indexed="81"/>
            <rFont val="Lucida Console"/>
            <family val="3"/>
          </rPr>
          <t>01.01.1901</t>
        </r>
      </text>
    </comment>
    <comment ref="Y159" authorId="0" shapeId="0" xr:uid="{26854081-DFD5-494C-AAA8-0659E38038DE}">
      <text>
        <r>
          <rPr>
            <sz val="10"/>
            <color indexed="81"/>
            <rFont val="Courier New"/>
            <family val="3"/>
          </rPr>
          <t>_x000D_
    DESCRIÇÃO DO CÁLCULO_x000D_
Código    : 11.418_x000D_
Corte     : 3.610_x000D_
-----------------------------_x000D_
Pendente  : 230_x000D_
22 / 10_2 : 258_x000D_
22 / 11_2 : _x000D_
22 / 12_2 : _x000D_
23 / 01_2 : 216_x000D_
23 / 02_2 : 384_x000D_
23 / 03_2 : 3.610 (corte = 5441)_x000D_
23 / 04_2 : 334_x000D_
23 / 05_2 : 479_x000D_
23 / 06_2 : 373_x000D_
23 / 07_2 : 344_x000D_
23 / 08_2 : 400_x000D_
23 / 09_2 : 349_x000D_
_x000D_
    TOTAL : ( 6.977 )_x000D_
  DIVISOR : 12_x000D_
    MÉDIA : 581,42_x000D_
-----------------------------_x000D_
   Valores Desconsiderados_x000D_
-----------------------------_x000D_
23 / 03_2 : 1.831 (5.441)_x000D_
_x000D_
  TOTAL   : ( 1.831 )</t>
        </r>
      </text>
    </comment>
    <comment ref="AB159" authorId="0" shapeId="0" xr:uid="{730FE510-63F7-4462-9165-567E5CF1829E}">
      <text>
        <r>
          <rPr>
            <sz val="10"/>
            <color indexed="81"/>
            <rFont val="Lucida Console"/>
            <family val="3"/>
          </rPr>
          <t>Última movimentação no estoque em 09/2023 quantidade 349.</t>
        </r>
      </text>
    </comment>
    <comment ref="R160" authorId="0" shapeId="0" xr:uid="{3D9F524F-880E-4BCF-A065-97AE440EE680}">
      <text>
        <r>
          <rPr>
            <sz val="10"/>
            <color indexed="81"/>
            <rFont val="Lucida Console"/>
            <family val="3"/>
          </rPr>
          <t>01.01.1901</t>
        </r>
      </text>
    </comment>
    <comment ref="Y160" authorId="0" shapeId="0" xr:uid="{1ED6321D-A157-425B-8B03-AE481DE1BBCC}">
      <text>
        <r>
          <rPr>
            <sz val="10"/>
            <color indexed="81"/>
            <rFont val="Courier New"/>
            <family val="3"/>
          </rPr>
          <t>_x000D_
    DESCRIÇÃO DO CÁLCULO_x000D_
Código    : 11.509_x000D_
Corte     : 3.619_x000D_
-----------------------------_x000D_
Pendente  : _x000D_
22 / 10_2 : 352_x000D_
22 / 11_2 : 334_x000D_
22 / 12_2 : 210_x000D_
23 / 01_2 : 255_x000D_
23 / 02_2 : 331_x000D_
23 / 03_2 : 3.619 (corte = 5318)_x000D_
23 / 04_2 : 274_x000D_
23 / 05_2 : 352_x000D_
23 / 06_2 : 338_x000D_
23 / 07_2 : 291_x000D_
23 / 08_2 : 326_x000D_
23 / 09_2 : 321_x000D_
_x000D_
    TOTAL : ( 7.003 )_x000D_
  DIVISOR : 12_x000D_
    MÉDIA : 583,58_x000D_
-----------------------------_x000D_
   Valores Desconsiderados_x000D_
-----------------------------_x000D_
23 / 03_2 : 1.699 (5.318)_x000D_
_x000D_
  TOTAL   : ( 1.699 )</t>
        </r>
      </text>
    </comment>
    <comment ref="AB160" authorId="0" shapeId="0" xr:uid="{436C9B79-3A3D-4F4D-9192-74CC8F7820F0}">
      <text>
        <r>
          <rPr>
            <sz val="10"/>
            <color indexed="81"/>
            <rFont val="Lucida Console"/>
            <family val="3"/>
          </rPr>
          <t>Última movimentação no estoque em 09/2023 quantidade 321.</t>
        </r>
      </text>
    </comment>
    <comment ref="R161" authorId="0" shapeId="0" xr:uid="{1D8FCB83-B8DF-4BCE-9409-8E4BB530D0C5}">
      <text>
        <r>
          <rPr>
            <sz val="10"/>
            <color indexed="81"/>
            <rFont val="Lucida Console"/>
            <family val="3"/>
          </rPr>
          <t>01.01.1901</t>
        </r>
      </text>
    </comment>
    <comment ref="Y161" authorId="0" shapeId="0" xr:uid="{50A8779B-7CB2-42CA-98C5-9337FA390694}">
      <text>
        <r>
          <rPr>
            <sz val="10"/>
            <color indexed="81"/>
            <rFont val="Courier New"/>
            <family val="3"/>
          </rPr>
          <t>_x000D_
    DESCRIÇÃO DO CÁLCULO_x000D_
Código    : 70.967_x000D_
Corte     : 27_x000D_
-----------------------------_x000D_
Pendente  : _x000D_
22 / 10_2 : _x000D_
22 / 11_2 : _x000D_
22 / 12_2 : _x000D_
23 / 01_2 : _x000D_
23 / 02_2 : 21_x000D_
23 / 03_2 : 7_x000D_
23 / 04_2 : 27 (corte = 35)_x000D_
23 / 05_2 : _x000D_
23 / 06_2 : _x000D_
23 / 07_2 : _x000D_
23 / 08_2 : _x000D_
23 / 09_2 : _x000D_
_x000D_
    TOTAL : ( 55 )_x000D_
  DIVISOR : 12_x000D_
    MÉDIA : 4,58_x000D_
-----------------------------_x000D_
   Valores Desconsiderados_x000D_
-----------------------------_x000D_
23 / 04_2 : 8 (35)_x000D_
_x000D_
  TOTAL   : ( 8 )</t>
        </r>
      </text>
    </comment>
    <comment ref="AB161" authorId="0" shapeId="0" xr:uid="{3C8A8DF5-ED3B-4302-A61A-A6F987A77CFB}">
      <text>
        <r>
          <rPr>
            <sz val="10"/>
            <color indexed="81"/>
            <rFont val="Lucida Console"/>
            <family val="3"/>
          </rPr>
          <t>Última movimentação no estoque em 04/2023 quantidade 35.</t>
        </r>
      </text>
    </comment>
    <comment ref="R162" authorId="0" shapeId="0" xr:uid="{8A7FA0C6-A029-4D7D-9CA7-AABE19685B9E}">
      <text>
        <r>
          <rPr>
            <sz val="10"/>
            <color indexed="81"/>
            <rFont val="Lucida Console"/>
            <family val="3"/>
          </rPr>
          <t>01.01.1901</t>
        </r>
      </text>
    </comment>
    <comment ref="Y162" authorId="0" shapeId="0" xr:uid="{5917D999-7C52-4740-9EA9-00CD627625CB}">
      <text>
        <r>
          <rPr>
            <sz val="10"/>
            <color indexed="81"/>
            <rFont val="Courier New"/>
            <family val="3"/>
          </rPr>
          <t>_x000D_
    DESCRIÇÃO DO CÁLCULO_x000D_
Código    : 24.500_x000D_
Corte     : 530_x000D_
-----------------------------_x000D_
Pendente  : 39_x000D_
22 / 10_2 : 3_x000D_
22 / 11_2 : _x000D_
22 / 12_2 : _x000D_
23 / 01_2 : _x000D_
23 / 02_2 : 60_x000D_
23 / 03_2 : 54_x000D_
23 / 04_2 : 74_x000D_
23 / 05_2 : 55_x000D_
23 / 06_2 : _x000D_
23 / 07_2 : 50_x000D_
23 / 08_2 : _x000D_
23 / 09_2 : 530 (corte = 806)_x000D_
_x000D_
    TOTAL : ( 865 )_x000D_
  DIVISOR : 12_x000D_
    MÉDIA : 72,08_x000D_
-----------------------------_x000D_
   Valores Desconsiderados_x000D_
-----------------------------_x000D_
23 / 09_2 : 276 (806)_x000D_
_x000D_
  TOTAL   : ( 276 )</t>
        </r>
      </text>
    </comment>
    <comment ref="AB162" authorId="0" shapeId="0" xr:uid="{EF428275-342B-4F07-AB22-A16E269734CF}">
      <text>
        <r>
          <rPr>
            <sz val="10"/>
            <color indexed="81"/>
            <rFont val="Lucida Console"/>
            <family val="3"/>
          </rPr>
          <t>Última movimentação no estoque em 09/2023 quantidade 806.</t>
        </r>
      </text>
    </comment>
    <comment ref="R163" authorId="0" shapeId="0" xr:uid="{3E511C7A-52C0-4507-974D-52BEED17EAF6}">
      <text>
        <r>
          <rPr>
            <sz val="10"/>
            <color indexed="81"/>
            <rFont val="Lucida Console"/>
            <family val="3"/>
          </rPr>
          <t>01.01.1901</t>
        </r>
      </text>
    </comment>
    <comment ref="Y163" authorId="0" shapeId="0" xr:uid="{7A511AA9-19F7-4C28-8ADF-C72345810228}">
      <text>
        <r>
          <rPr>
            <sz val="10"/>
            <color indexed="81"/>
            <rFont val="Courier New"/>
            <family val="3"/>
          </rPr>
          <t>_x000D_
    DESCRIÇÃO DO CÁLCULO_x000D_
Código    : 64.607_x000D_
Corte     : 185_x000D_
-----------------------------_x000D_
Pendente  : 4_x000D_
22 / 10_2 : _x000D_
22 / 11_2 : 185 (corte = 190)_x000D_
22 / 12_2 : _x000D_
23 / 01_2 : _x000D_
23 / 02_2 : _x000D_
23 / 03_2 : 20_x000D_
23 / 04_2 : 150_x000D_
23 / 05_2 : _x000D_
23 / 06_2 : _x000D_
23 / 07_2 : 150_x000D_
23 / 08_2 : _x000D_
23 / 09_2 : _x000D_
_x000D_
    TOTAL : ( 509 )_x000D_
  DIVISOR : 12_x000D_
    MÉDIA : 42,42_x000D_
-----------------------------_x000D_
   Valores Desconsiderados_x000D_
-----------------------------_x000D_
22 / 11_2 : 5 (190)_x000D_
_x000D_
  TOTAL   : ( 5 )</t>
        </r>
      </text>
    </comment>
    <comment ref="AB163" authorId="0" shapeId="0" xr:uid="{CE949A73-1AC5-4966-93EA-3FF61A7C6358}">
      <text>
        <r>
          <rPr>
            <sz val="10"/>
            <color indexed="81"/>
            <rFont val="Lucida Console"/>
            <family val="3"/>
          </rPr>
          <t>Última movimentação no estoque em 07/2023 quantidade 150.</t>
        </r>
      </text>
    </comment>
    <comment ref="R164" authorId="0" shapeId="0" xr:uid="{499656FB-B3FA-443D-BF20-1861E9FB05BD}">
      <text>
        <r>
          <rPr>
            <sz val="10"/>
            <color indexed="81"/>
            <rFont val="Lucida Console"/>
            <family val="3"/>
          </rPr>
          <t>01.01.1901</t>
        </r>
      </text>
    </comment>
    <comment ref="Y164" authorId="0" shapeId="0" xr:uid="{8671195B-3E9A-48B8-8817-A7F2D9A6B3BF}">
      <text>
        <r>
          <rPr>
            <sz val="10"/>
            <color indexed="81"/>
            <rFont val="Courier New"/>
            <family val="3"/>
          </rPr>
          <t>_x000D_
    DESCRIÇÃO DO CÁLCULO_x000D_
Código    : 64.609_x000D_
Corte     : 88_x000D_
-----------------------------_x000D_
Pendente  : _x000D_
22 / 10_2 : 16_x000D_
22 / 11_2 : 55_x000D_
22 / 12_2 : 20_x000D_
23 / 01_2 : 45_x000D_
23 / 02_2 : _x000D_
23 / 03_2 : 50_x000D_
23 / 04_2 : _x000D_
23 / 05_2 : _x000D_
23 / 06_2 : 88 (corte = 100)_x000D_
23 / 07_2 : _x000D_
23 / 08_2 : _x000D_
23 / 09_2 : _x000D_
_x000D_
    TOTAL : ( 274 )_x000D_
  DIVISOR : 12_x000D_
    MÉDIA : 22,83_x000D_
-----------------------------_x000D_
   Valores Desconsiderados_x000D_
-----------------------------_x000D_
23 / 06_2 : 12 (100)_x000D_
_x000D_
  TOTAL   : ( 12 )</t>
        </r>
      </text>
    </comment>
    <comment ref="AB164" authorId="0" shapeId="0" xr:uid="{65DD65FC-E537-400F-9537-7DF0C63C720C}">
      <text>
        <r>
          <rPr>
            <sz val="10"/>
            <color indexed="81"/>
            <rFont val="Lucida Console"/>
            <family val="3"/>
          </rPr>
          <t>Última movimentação no estoque em 06/2023 quantidade 100.</t>
        </r>
      </text>
    </comment>
    <comment ref="R165" authorId="0" shapeId="0" xr:uid="{DAC4C9F5-42B4-42F9-AC96-7C99A259F72C}">
      <text>
        <r>
          <rPr>
            <sz val="10"/>
            <color indexed="81"/>
            <rFont val="Lucida Console"/>
            <family val="3"/>
          </rPr>
          <t>01.01.1901</t>
        </r>
      </text>
    </comment>
    <comment ref="Y165" authorId="0" shapeId="0" xr:uid="{754BB20C-F1FE-4358-922B-197E256390D8}">
      <text>
        <r>
          <rPr>
            <sz val="10"/>
            <color indexed="81"/>
            <rFont val="Courier New"/>
            <family val="3"/>
          </rPr>
          <t>_x000D_
    DESCRIÇÃO DO CÁLCULO_x000D_
Código    : 59.018_x000D_
Corte     : 72_x000D_
-----------------------------_x000D_
Pendente  : _x000D_
22 / 10_2 : 10_x000D_
22 / 11_2 : 5_x000D_
22 / 12_2 : 4_x000D_
23 / 01_2 : 2_x000D_
23 / 02_2 : 7_x000D_
23 / 03_2 : _x000D_
23 / 04_2 : _x000D_
23 / 05_2 : 40_x000D_
23 / 06_2 : 72 (corte = 100)_x000D_
23 / 07_2 : _x000D_
23 / 08_2 : _x000D_
23 / 09_2 : _x000D_
_x000D_
    TOTAL : ( 140 )_x000D_
  DIVISOR : 12_x000D_
    MÉDIA : 11,67_x000D_
-----------------------------_x000D_
   Valores Desconsiderados_x000D_
-----------------------------_x000D_
23 / 06_2 : 28 (100)_x000D_
_x000D_
  TOTAL   : ( 28 )</t>
        </r>
      </text>
    </comment>
    <comment ref="AB165" authorId="0" shapeId="0" xr:uid="{3DCC5142-C708-48CC-B5FC-90556D27E530}">
      <text>
        <r>
          <rPr>
            <sz val="10"/>
            <color indexed="81"/>
            <rFont val="Lucida Console"/>
            <family val="3"/>
          </rPr>
          <t>Última movimentação no estoque em 06/2023 quantidade 100.</t>
        </r>
      </text>
    </comment>
    <comment ref="R166" authorId="0" shapeId="0" xr:uid="{264BC962-800B-4654-B779-B57D5AF7EB5B}">
      <text>
        <r>
          <rPr>
            <sz val="10"/>
            <color indexed="81"/>
            <rFont val="Lucida Console"/>
            <family val="3"/>
          </rPr>
          <t>01.01.1901</t>
        </r>
      </text>
    </comment>
    <comment ref="Y166" authorId="0" shapeId="0" xr:uid="{DB83E51F-DC89-40E7-986A-EFFA6FC1222B}">
      <text>
        <r>
          <rPr>
            <sz val="10"/>
            <color indexed="81"/>
            <rFont val="Courier New"/>
            <family val="3"/>
          </rPr>
          <t>_x000D_
    DESCRIÇÃO DO CÁLCULO_x000D_
Código    : 61.046_x000D_
Corte     : 4_x000D_
-----------------------------_x000D_
Pendente  : _x000D_
22 / 10_2 : 4_x000D_
22 / 11_2 : 3_x000D_
22 / 12_2 : 1_x000D_
23 / 01_2 : _x000D_
23 / 02_2 : 1_x000D_
23 / 03_2 : 4_x000D_
23 / 04_2 : _x000D_
23 / 05_2 : _x000D_
23 / 06_2 : _x000D_
23 / 07_2 : _x000D_
23 / 08_2 : _x000D_
23 / 09_2 : _x000D_
_x000D_
    TOTAL : ( 13 )_x000D_
  DIVISOR : 12_x000D_
    MÉDIA : 1,08</t>
        </r>
      </text>
    </comment>
    <comment ref="AB166" authorId="0" shapeId="0" xr:uid="{3953D9BC-9875-4875-88A4-4DC7C8594351}">
      <text>
        <r>
          <rPr>
            <sz val="10"/>
            <color indexed="81"/>
            <rFont val="Lucida Console"/>
            <family val="3"/>
          </rPr>
          <t>Última movimentação no estoque em 03/2023 quantidade 4.</t>
        </r>
      </text>
    </comment>
    <comment ref="R167" authorId="0" shapeId="0" xr:uid="{41062819-BD4E-4FC4-947B-3C29B8335494}">
      <text>
        <r>
          <rPr>
            <sz val="10"/>
            <color indexed="81"/>
            <rFont val="Lucida Console"/>
            <family val="3"/>
          </rPr>
          <t>23.07.2010</t>
        </r>
      </text>
    </comment>
    <comment ref="Y167" authorId="0" shapeId="0" xr:uid="{C9253FDE-E22F-4FA5-BA2B-BD053ED90F16}">
      <text>
        <r>
          <rPr>
            <sz val="10"/>
            <color indexed="81"/>
            <rFont val="Courier New"/>
            <family val="3"/>
          </rPr>
          <t>_x000D_
    DESCRIÇÃO DO CÁLCULO_x000D_
Código    : 116.466_x000D_
Corte     : 2.340_x000D_
-----------------------------_x000D_
Pendente  : _x000D_
22 / 10_2 : 1.050_x000D_
22 / 11_2 : 200_x000D_
22 / 12_2 : 200_x000D_
23 / 01_2 : 650_x000D_
23 / 02_2 : 100_x000D_
23 / 03_2 : 250_x000D_
23 / 04_2 : 500_x000D_
23 / 05_2 : _x000D_
23 / 06_2 : 2.340 (corte = 3000)_x000D_
23 / 07_2 : 1.056_x000D_
23 / 08_2 : 1.000_x000D_
23 / 09_2 : _x000D_
_x000D_
    TOTAL : ( 7.346 )_x000D_
  DIVISOR : 12_x000D_
    MÉDIA : 612,17_x000D_
-----------------------------_x000D_
   Valores Desconsiderados_x000D_
-----------------------------_x000D_
23 / 06_2 : 660 (3.000)_x000D_
_x000D_
  TOTAL   : ( 660 )</t>
        </r>
      </text>
    </comment>
    <comment ref="AB167" authorId="0" shapeId="0" xr:uid="{8BB53007-54C0-4CB0-BF51-868C5BA541BA}">
      <text>
        <r>
          <rPr>
            <sz val="10"/>
            <color indexed="81"/>
            <rFont val="Lucida Console"/>
            <family val="3"/>
          </rPr>
          <t>Última movimentação no estoque em 08/2023 quantidade 1.000.</t>
        </r>
      </text>
    </comment>
    <comment ref="R168" authorId="0" shapeId="0" xr:uid="{7780AD54-AA78-4A34-8194-C345871CF983}">
      <text>
        <r>
          <rPr>
            <sz val="10"/>
            <color indexed="81"/>
            <rFont val="Lucida Console"/>
            <family val="3"/>
          </rPr>
          <t>24.06.2014</t>
        </r>
      </text>
    </comment>
    <comment ref="Y168" authorId="0" shapeId="0" xr:uid="{5816B005-CD33-45F7-8A39-EE20ACA0C6EE}">
      <text>
        <r>
          <rPr>
            <sz val="10"/>
            <color indexed="81"/>
            <rFont val="Courier New"/>
            <family val="3"/>
          </rPr>
          <t>_x000D_
    DESCRIÇÃO DO CÁLCULO_x000D_
Código    : 128.229_x000D_
Corte     : 5_x000D_
-----------------------------_x000D_
Pendente  : _x000D_
22 / 10_2 : 2_x000D_
22 / 11_2 : 3_x000D_
22 / 12_2 : 2_x000D_
23 / 01_2 : 2_x000D_
23 / 02_2 : 4_x000D_
23 / 03_2 : 1_x000D_
23 / 04_2 : 5_x000D_
23 / 05_2 : _x000D_
23 / 06_2 : _x000D_
23 / 07_2 : _x000D_
23 / 08_2 : _x000D_
23 / 09_2 : _x000D_
_x000D_
    TOTAL : ( 19 )_x000D_
  DIVISOR : 12_x000D_
    MÉDIA : 1,58</t>
        </r>
      </text>
    </comment>
    <comment ref="AB168" authorId="0" shapeId="0" xr:uid="{32FAE1DC-B664-451D-B4DD-3E47B57A745B}">
      <text>
        <r>
          <rPr>
            <sz val="10"/>
            <color indexed="81"/>
            <rFont val="Lucida Console"/>
            <family val="3"/>
          </rPr>
          <t>Última movimentação no estoque em 04/2023 quantidade 5.</t>
        </r>
      </text>
    </comment>
    <comment ref="R169" authorId="0" shapeId="0" xr:uid="{39062D02-2DCE-417F-B262-2C415454C73C}">
      <text>
        <r>
          <rPr>
            <sz val="10"/>
            <color indexed="81"/>
            <rFont val="Lucida Console"/>
            <family val="3"/>
          </rPr>
          <t>11.02.2004</t>
        </r>
      </text>
    </comment>
    <comment ref="Y169" authorId="0" shapeId="0" xr:uid="{66E97DEF-FCF2-46B7-BA46-A32B0563AAB4}">
      <text>
        <r>
          <rPr>
            <sz val="10"/>
            <color indexed="81"/>
            <rFont val="Courier New"/>
            <family val="3"/>
          </rPr>
          <t>_x000D_
    DESCRIÇÃO DO CÁLCULO_x000D_
Código    : 77.110_x000D_
Corte     : 9_x000D_
-----------------------------_x000D_
Pendente  : _x000D_
22 / 10_2 : _x000D_
22 / 11_2 : _x000D_
22 / 12_2 : _x000D_
23 / 01_2 : _x000D_
23 / 02_2 : 6_x000D_
23 / 03_2 : 4_x000D_
23 / 04_2 : 9 (corte = 12)_x000D_
23 / 05_2 : _x000D_
23 / 06_2 : _x000D_
23 / 07_2 : _x000D_
23 / 08_2 : _x000D_
23 / 09_2 : _x000D_
_x000D_
    TOTAL : ( 19 )_x000D_
  DIVISOR : 12_x000D_
    MÉDIA : 1,58_x000D_
-----------------------------_x000D_
   Valores Desconsiderados_x000D_
-----------------------------_x000D_
23 / 04_2 : 3 (12)_x000D_
_x000D_
  TOTAL   : ( 3 )</t>
        </r>
      </text>
    </comment>
    <comment ref="AB169" authorId="0" shapeId="0" xr:uid="{84C75803-A633-4C06-A01A-24904936F1AC}">
      <text>
        <r>
          <rPr>
            <sz val="10"/>
            <color indexed="81"/>
            <rFont val="Lucida Console"/>
            <family val="3"/>
          </rPr>
          <t>Última movimentação no estoque em 04/2023 quantidade 12.</t>
        </r>
      </text>
    </comment>
    <comment ref="R170" authorId="0" shapeId="0" xr:uid="{8D8939D2-6755-44E3-82A6-0D70CF61A012}">
      <text>
        <r>
          <rPr>
            <sz val="10"/>
            <color indexed="81"/>
            <rFont val="Lucida Console"/>
            <family val="3"/>
          </rPr>
          <t>11.02.2004</t>
        </r>
      </text>
    </comment>
    <comment ref="Y170" authorId="0" shapeId="0" xr:uid="{F0B67C10-234F-40A2-9BB4-A82029E1FF3C}">
      <text>
        <r>
          <rPr>
            <sz val="10"/>
            <color indexed="81"/>
            <rFont val="Courier New"/>
            <family val="3"/>
          </rPr>
          <t>_x000D_
    DESCRIÇÃO DO CÁLCULO_x000D_
Código    : 77.109_x000D_
Corte     : 39_x000D_
-----------------------------_x000D_
Pendente  : _x000D_
22 / 10_2 : 10_x000D_
22 / 11_2 : 5_x000D_
22 / 12_2 : 5_x000D_
23 / 01_2 : 5_x000D_
23 / 02_2 : 16_x000D_
23 / 03_2 : 22_x000D_
23 / 04_2 : 14_x000D_
23 / 05_2 : _x000D_
23 / 06_2 : _x000D_
23 / 07_2 : 39 (corte = 50)_x000D_
23 / 08_2 : _x000D_
23 / 09_2 : _x000D_
_x000D_
    TOTAL : ( 116 )_x000D_
  DIVISOR : 12_x000D_
    MÉDIA : 9,67_x000D_
-----------------------------_x000D_
   Valores Desconsiderados_x000D_
-----------------------------_x000D_
23 / 07_2 : 11 (50)_x000D_
_x000D_
  TOTAL   : ( 11 )</t>
        </r>
      </text>
    </comment>
    <comment ref="AB170" authorId="0" shapeId="0" xr:uid="{F86E93DA-9FB7-4675-881F-3B3CC75AD1AE}">
      <text>
        <r>
          <rPr>
            <sz val="10"/>
            <color indexed="81"/>
            <rFont val="Lucida Console"/>
            <family val="3"/>
          </rPr>
          <t>Última movimentação no estoque em 07/2023 quantidade 50.</t>
        </r>
      </text>
    </comment>
    <comment ref="R171" authorId="0" shapeId="0" xr:uid="{D1CF5B51-7CCA-454B-98CD-EA2F0F56B054}">
      <text>
        <r>
          <rPr>
            <sz val="10"/>
            <color indexed="81"/>
            <rFont val="Lucida Console"/>
            <family val="3"/>
          </rPr>
          <t>25.04.2019</t>
        </r>
      </text>
    </comment>
    <comment ref="Y171" authorId="0" shapeId="0" xr:uid="{877DE24C-428D-4418-92B3-DFD80D4F2127}">
      <text>
        <r>
          <rPr>
            <sz val="10"/>
            <color indexed="81"/>
            <rFont val="Courier New"/>
            <family val="3"/>
          </rPr>
          <t>_x000D_
    DESCRIÇÃO DO CÁLCULO_x000D_
Código    : 136.880_x000D_
Corte     : 14_x000D_
-----------------------------_x000D_
Pendente  : 8_x000D_
22 / 10_2 : _x000D_
22 / 11_2 : 10_x000D_
22 / 12_2 : 7_x000D_
23 / 01_2 : _x000D_
23 / 02_2 : 1_x000D_
23 / 03_2 : _x000D_
23 / 04_2 : _x000D_
23 / 05_2 : _x000D_
23 / 06_2 : _x000D_
23 / 07_2 : _x000D_
23 / 08_2 : _x000D_
23 / 09_2 : 14 (corte = 17)_x000D_
_x000D_
    TOTAL : ( 40 )_x000D_
  DIVISOR : 12_x000D_
    MÉDIA : 3,33_x000D_
-----------------------------_x000D_
   Valores Desconsiderados_x000D_
-----------------------------_x000D_
23 / 09_2 : 3 (17)_x000D_
_x000D_
  TOTAL   : ( 3 )</t>
        </r>
      </text>
    </comment>
    <comment ref="AB171" authorId="0" shapeId="0" xr:uid="{09ABB773-63B4-4B4E-936D-8EDE824FFBAE}">
      <text>
        <r>
          <rPr>
            <sz val="10"/>
            <color indexed="81"/>
            <rFont val="Lucida Console"/>
            <family val="3"/>
          </rPr>
          <t>Última movimentação no estoque em 09/2023 quantidade 17.</t>
        </r>
      </text>
    </comment>
    <comment ref="R172" authorId="0" shapeId="0" xr:uid="{A131CA96-57BB-4B59-B0AE-F35AB7ADAD32}">
      <text>
        <r>
          <rPr>
            <sz val="10"/>
            <color indexed="81"/>
            <rFont val="Lucida Console"/>
            <family val="3"/>
          </rPr>
          <t>31.05.2004</t>
        </r>
      </text>
    </comment>
    <comment ref="Y172" authorId="0" shapeId="0" xr:uid="{C880666D-CAFB-46A3-B69E-45EBA33929FC}">
      <text>
        <r>
          <rPr>
            <sz val="10"/>
            <color indexed="81"/>
            <rFont val="Courier New"/>
            <family val="3"/>
          </rPr>
          <t>_x000D_
    DESCRIÇÃO DO CÁLCULO_x000D_
Código    : 79.688_x000D_
Corte     : 2.151_x000D_
-----------------------------_x000D_
Pendente  : 41_x000D_
22 / 10_2 : 1.082_x000D_
22 / 11_2 : 1.360_x000D_
22 / 12_2 : 978_x000D_
23 / 01_2 : 464_x000D_
23 / 02_2 : 1.203_x000D_
23 / 03_2 : 2.043_x000D_
23 / 04_2 : 1.168_x000D_
23 / 05_2 : 1.425_x000D_
23 / 06_2 : 1.170_x000D_
23 / 07_2 : 1.243_x000D_
23 / 08_2 : 1.233_x000D_
23 / 09_2 : 1.115_x000D_
_x000D_
    TOTAL : ( 14.525 )_x000D_
  DIVISOR : 12_x000D_
    MÉDIA : 1.210,42</t>
        </r>
      </text>
    </comment>
    <comment ref="AB172" authorId="0" shapeId="0" xr:uid="{21BE5D93-2564-41AC-BA5A-7494A1B72B69}">
      <text>
        <r>
          <rPr>
            <sz val="10"/>
            <color indexed="81"/>
            <rFont val="Lucida Console"/>
            <family val="3"/>
          </rPr>
          <t>Última movimentação no estoque em 09/2023 quantidade 1.115.</t>
        </r>
      </text>
    </comment>
    <comment ref="R173" authorId="0" shapeId="0" xr:uid="{266B18B6-C78D-43C9-8388-16D708384780}">
      <text>
        <r>
          <rPr>
            <sz val="10"/>
            <color indexed="81"/>
            <rFont val="Lucida Console"/>
            <family val="3"/>
          </rPr>
          <t>31.05.2004</t>
        </r>
      </text>
    </comment>
    <comment ref="Y173" authorId="0" shapeId="0" xr:uid="{0CDAF14D-D5DD-4F1B-A55C-C5BE8D3B17BF}">
      <text>
        <r>
          <rPr>
            <sz val="10"/>
            <color indexed="81"/>
            <rFont val="Courier New"/>
            <family val="3"/>
          </rPr>
          <t>_x000D_
    DESCRIÇÃO DO CÁLCULO_x000D_
Código    : 79.687_x000D_
Corte     : 2.431_x000D_
-----------------------------_x000D_
Pendente  : 41_x000D_
22 / 10_2 : 2.111_x000D_
22 / 11_2 : 1.447_x000D_
22 / 12_2 : 1.105_x000D_
23 / 01_2 : 640_x000D_
23 / 02_2 : 1.461_x000D_
23 / 03_2 : 2.077_x000D_
23 / 04_2 : 1.193_x000D_
23 / 05_2 : 1.466_x000D_
23 / 06_2 : 1.163_x000D_
23 / 07_2 : 1.273_x000D_
23 / 08_2 : 1.236_x000D_
23 / 09_2 : 1.117_x000D_
_x000D_
    TOTAL : ( 16.330 )_x000D_
  DIVISOR : 12_x000D_
    MÉDIA : 1.360,83</t>
        </r>
      </text>
    </comment>
    <comment ref="AB173" authorId="0" shapeId="0" xr:uid="{D90A3616-6973-41BD-B02E-87C0ED98FD2D}">
      <text>
        <r>
          <rPr>
            <sz val="10"/>
            <color indexed="81"/>
            <rFont val="Lucida Console"/>
            <family val="3"/>
          </rPr>
          <t>Última movimentação no estoque em 09/2023 quantidade 1.117.</t>
        </r>
      </text>
    </comment>
    <comment ref="R174" authorId="0" shapeId="0" xr:uid="{AF5B6F0B-BD30-43C3-88CA-C9C45D66084F}">
      <text>
        <r>
          <rPr>
            <sz val="10"/>
            <color indexed="81"/>
            <rFont val="Lucida Console"/>
            <family val="3"/>
          </rPr>
          <t>23.04.2019</t>
        </r>
      </text>
    </comment>
    <comment ref="Y174" authorId="0" shapeId="0" xr:uid="{6FAA1633-A0BA-441B-B373-4A4C02060CCE}">
      <text>
        <r>
          <rPr>
            <sz val="10"/>
            <color indexed="81"/>
            <rFont val="Courier New"/>
            <family val="3"/>
          </rPr>
          <t>_x000D_
    DESCRIÇÃO DO CÁLCULO_x000D_
Código    : 136.860_x000D_
Corte     : _x000D_
-----------------------------_x000D_
Pendente  : _x000D_
22 / 10_2 : _x000D_
22 / 11_2 : _x000D_
22 / 12_2 :  (corte = 1)_x000D_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12_2 : 1 (1)_x000D_
23 / 01_2 : 1 (1)_x000D_
_x000D_
  TOTAL   : ( 2 )</t>
        </r>
      </text>
    </comment>
    <comment ref="AB174" authorId="0" shapeId="0" xr:uid="{3930B599-0B3C-4BDD-9211-1AE5817FD77B}">
      <text>
        <r>
          <rPr>
            <sz val="10"/>
            <color indexed="81"/>
            <rFont val="Lucida Console"/>
            <family val="3"/>
          </rPr>
          <t>Última movimentação no estoque em 01/2023 quantidade 1.</t>
        </r>
      </text>
    </comment>
    <comment ref="R175" authorId="0" shapeId="0" xr:uid="{18C13C7E-F64B-419F-88AF-0FB2B0751E98}">
      <text>
        <r>
          <rPr>
            <sz val="10"/>
            <color indexed="81"/>
            <rFont val="Lucida Console"/>
            <family val="3"/>
          </rPr>
          <t>01.01.1901</t>
        </r>
      </text>
    </comment>
    <comment ref="Y175" authorId="0" shapeId="0" xr:uid="{1BB0484B-E8F9-4C42-B300-1DAFB31EC952}">
      <text>
        <r>
          <rPr>
            <sz val="10"/>
            <color indexed="81"/>
            <rFont val="Courier New"/>
            <family val="3"/>
          </rPr>
          <t>_x000D_
    DESCRIÇÃO DO CÁLCULO_x000D_
Código    : 24.219_x000D_
Corte     : 50_x000D_
-----------------------------_x000D_
Pendente  : 1_x000D_
22 / 10_2 : 17_x000D_
22 / 11_2 : 25_x000D_
22 / 12_2 : 9_x000D_
23 / 01_2 : 23_x000D_
23 / 02_2 : 32_x000D_
23 / 03_2 : 43_x000D_
23 / 04_2 : 24_x000D_
23 / 05_2 : 30_x000D_
23 / 06_2 : 25_x000D_
23 / 07_2 : 30_x000D_
23 / 08_2 : 35_x000D_
23 / 09_2 : 37_x000D_
_x000D_
    TOTAL : ( 331 )_x000D_
  DIVISOR : 12_x000D_
    MÉDIA : 27,58</t>
        </r>
      </text>
    </comment>
    <comment ref="AB175" authorId="0" shapeId="0" xr:uid="{54EDBA62-5A4E-422E-BF96-6AD16FE799CA}">
      <text>
        <r>
          <rPr>
            <sz val="10"/>
            <color indexed="81"/>
            <rFont val="Lucida Console"/>
            <family val="3"/>
          </rPr>
          <t>Última movimentação no estoque em 09/2023 quantidade 37.</t>
        </r>
      </text>
    </comment>
    <comment ref="R176" authorId="0" shapeId="0" xr:uid="{34462141-1FD4-4A73-BD45-F3B4F872DFFA}">
      <text>
        <r>
          <rPr>
            <sz val="10"/>
            <color indexed="81"/>
            <rFont val="Lucida Console"/>
            <family val="3"/>
          </rPr>
          <t>01.01.1901</t>
        </r>
      </text>
    </comment>
    <comment ref="Y176" authorId="0" shapeId="0" xr:uid="{F7C8C2E1-9189-4824-BDA6-BE7E77F75BC5}">
      <text>
        <r>
          <rPr>
            <sz val="10"/>
            <color indexed="81"/>
            <rFont val="Courier New"/>
            <family val="3"/>
          </rPr>
          <t>_x000D_
    DESCRIÇÃO DO CÁLCULO_x000D_
Código    : 12.635_x000D_
Corte     : 2.772_x000D_
-----------------------------_x000D_
Pendente  : 80_x000D_
22 / 10_2 : 1.696_x000D_
22 / 11_2 : 1.586_x000D_
22 / 12_2 : 970_x000D_
23 / 01_2 : 480_x000D_
23 / 02_2 : 1.140_x000D_
23 / 03_2 : 2.100_x000D_
23 / 04_2 : 1.313_x000D_
23 / 05_2 : 1.720_x000D_
23 / 06_2 : 2.431_x000D_
23 / 07_2 : 1.430_x000D_
23 / 08_2 : 1.651_x000D_
23 / 09_2 : 1.605_x000D_
_x000D_
    TOTAL : ( 18.202 )_x000D_
  DIVISOR : 12_x000D_
    MÉDIA : 1.516,83</t>
        </r>
      </text>
    </comment>
    <comment ref="AB176" authorId="0" shapeId="0" xr:uid="{48A77A4B-7CEA-4061-9D8E-916B6CA11A5F}">
      <text>
        <r>
          <rPr>
            <sz val="10"/>
            <color indexed="81"/>
            <rFont val="Lucida Console"/>
            <family val="3"/>
          </rPr>
          <t>Última movimentação no estoque em 09/2023 quantidade 1.605.</t>
        </r>
      </text>
    </comment>
    <comment ref="R177" authorId="0" shapeId="0" xr:uid="{667D3BE0-70A3-464E-8D0C-BD319ECA3C79}">
      <text>
        <r>
          <rPr>
            <sz val="10"/>
            <color indexed="81"/>
            <rFont val="Lucida Console"/>
            <family val="3"/>
          </rPr>
          <t>01.01.1901</t>
        </r>
      </text>
    </comment>
    <comment ref="Y177" authorId="0" shapeId="0" xr:uid="{EB19278A-A98A-40F3-9881-42E9AACFA098}">
      <text>
        <r>
          <rPr>
            <sz val="10"/>
            <color indexed="81"/>
            <rFont val="Courier New"/>
            <family val="3"/>
          </rPr>
          <t>_x000D_
    DESCRIÇÃO DO CÁLCULO_x000D_
Código    : 23.687_x000D_
Corte     : 3.647_x000D_
-----------------------------_x000D_
Pendente  : 70_x000D_
22 / 10_2 : 3.647 (corte = 3767)_x000D_
22 / 11_2 : 1.656_x000D_
22 / 12_2 : 910_x000D_
23 / 01_2 : 491_x000D_
23 / 02_2 : 1.170_x000D_
23 / 03_2 : 2.210_x000D_
23 / 04_2 : 1.415_x000D_
23 / 05_2 : 1.815_x000D_
23 / 06_2 : 2.593_x000D_
23 / 07_2 : 1.544_x000D_
23 / 08_2 : 1.881_x000D_
23 / 09_2 : 1.825_x000D_
_x000D_
    TOTAL : ( 21.227 )_x000D_
  DIVISOR : 12_x000D_
    MÉDIA : 1.768,92_x000D_
-----------------------------_x000D_
   Valores Desconsiderados_x000D_
-----------------------------_x000D_
22 / 10_2 : 120 (3.767)_x000D_
_x000D_
  TOTAL   : ( 120 )</t>
        </r>
      </text>
    </comment>
    <comment ref="AB177" authorId="0" shapeId="0" xr:uid="{A418DF1C-89D6-4CA3-8FBD-B9E4FBD1F0A4}">
      <text>
        <r>
          <rPr>
            <sz val="10"/>
            <color indexed="81"/>
            <rFont val="Lucida Console"/>
            <family val="3"/>
          </rPr>
          <t>Última movimentação no estoque em 09/2023 quantidade 1.825.</t>
        </r>
      </text>
    </comment>
    <comment ref="R178" authorId="0" shapeId="0" xr:uid="{9CE99897-CCC3-4323-AA28-6FA7A0128BAC}">
      <text>
        <r>
          <rPr>
            <sz val="10"/>
            <color indexed="81"/>
            <rFont val="Lucida Console"/>
            <family val="3"/>
          </rPr>
          <t>01.01.1901</t>
        </r>
      </text>
    </comment>
    <comment ref="Y178" authorId="0" shapeId="0" xr:uid="{4E868D36-FDE4-4C9A-8B4F-D4144A1064F2}">
      <text>
        <r>
          <rPr>
            <sz val="10"/>
            <color indexed="81"/>
            <rFont val="Courier New"/>
            <family val="3"/>
          </rPr>
          <t>_x000D_
    DESCRIÇÃO DO CÁLCULO_x000D_
Código    : 12.623_x000D_
Corte     : 16.723_x000D_
-----------------------------_x000D_
Pendente  : 857_x000D_
22 / 10_2 : _x000D_
22 / 11_2 : _x000D_
22 / 12_2 : _x000D_
23 / 01_2 : _x000D_
23 / 02_2 : 720_x000D_
23 / 03_2 : 6.115_x000D_
23 / 04_2 : 3.319_x000D_
23 / 05_2 : 3.625_x000D_
23 / 06_2 : 4.632_x000D_
23 / 07_2 : 3.238_x000D_
23 / 08_2 : 16.723 (corte = 23574)_x000D_
23 / 09_2 : 3.835_x000D_
_x000D_
    TOTAL : ( 43.064 )_x000D_
  DIVISOR : 12_x000D_
    MÉDIA : 3.588,67_x000D_
-----------------------------_x000D_
   Valores Desconsiderados_x000D_
-----------------------------_x000D_
23 / 08_2 : 6.851 (23.574)_x000D_
_x000D_
  TOTAL   : ( 6.851 )</t>
        </r>
      </text>
    </comment>
    <comment ref="AB178" authorId="0" shapeId="0" xr:uid="{74992F75-F824-459F-B25D-CD93DB13C893}">
      <text>
        <r>
          <rPr>
            <sz val="10"/>
            <color indexed="81"/>
            <rFont val="Lucida Console"/>
            <family val="3"/>
          </rPr>
          <t>Última movimentação no estoque em 09/2023 quantidade 3.835.</t>
        </r>
      </text>
    </comment>
    <comment ref="R179" authorId="0" shapeId="0" xr:uid="{4E0AB9DF-C2B9-4C43-822A-032215B40DEC}">
      <text>
        <r>
          <rPr>
            <sz val="10"/>
            <color indexed="81"/>
            <rFont val="Lucida Console"/>
            <family val="3"/>
          </rPr>
          <t>01.01.1901</t>
        </r>
      </text>
    </comment>
    <comment ref="Y179" authorId="0" shapeId="0" xr:uid="{3EAD77D1-6C36-45DA-89D6-6CDF4943ED74}">
      <text>
        <r>
          <rPr>
            <sz val="10"/>
            <color indexed="81"/>
            <rFont val="Courier New"/>
            <family val="3"/>
          </rPr>
          <t>_x000D_
    DESCRIÇÃO DO CÁLCULO_x000D_
Código    : 23.692_x000D_
Corte     : 2.485_x000D_
-----------------------------_x000D_
Pendente  : 40_x000D_
22 / 10_2 : 1.196_x000D_
22 / 11_2 : 1.291_x000D_
22 / 12_2 : 700_x000D_
23 / 01_2 : 365_x000D_
23 / 02_2 : 1.080_x000D_
23 / 03_2 : 1.885_x000D_
23 / 04_2 : 1.155_x000D_
23 / 05_2 : 1.536_x000D_
23 / 06_2 : 2.340_x000D_
23 / 07_2 : 1.231_x000D_
23 / 08_2 : 1.351_x000D_
23 / 09_2 : 1.370_x000D_
_x000D_
    TOTAL : ( 15.540 )_x000D_
  DIVISOR : 12_x000D_
    MÉDIA : 1.295,00</t>
        </r>
      </text>
    </comment>
    <comment ref="AB179" authorId="0" shapeId="0" xr:uid="{E3FE910A-1E04-4FC9-B0B5-33E85AAFF2C0}">
      <text>
        <r>
          <rPr>
            <sz val="10"/>
            <color indexed="81"/>
            <rFont val="Lucida Console"/>
            <family val="3"/>
          </rPr>
          <t>Última movimentação no estoque em 09/2023 quantidade 1.370.</t>
        </r>
      </text>
    </comment>
    <comment ref="R180" authorId="0" shapeId="0" xr:uid="{4D797170-A6EC-4157-8EF0-338F84376E00}">
      <text>
        <r>
          <rPr>
            <sz val="10"/>
            <color indexed="81"/>
            <rFont val="Lucida Console"/>
            <family val="3"/>
          </rPr>
          <t>01.01.1901</t>
        </r>
      </text>
    </comment>
    <comment ref="Y180" authorId="0" shapeId="0" xr:uid="{8EA3381B-5D1B-43B9-9ACB-323A6B0AECB7}">
      <text>
        <r>
          <rPr>
            <sz val="10"/>
            <color indexed="81"/>
            <rFont val="Courier New"/>
            <family val="3"/>
          </rPr>
          <t>_x000D_
    DESCRIÇÃO DO CÁLCULO_x000D_
Código    : 47.447_x000D_
Corte     : 2.744_x000D_
-----------------------------_x000D_
Pendente  : 80_x000D_
22 / 10_2 : 1.381_x000D_
22 / 11_2 : 1.521_x000D_
22 / 12_2 : 945_x000D_
23 / 01_2 : 460_x000D_
23 / 02_2 : 1.130_x000D_
23 / 03_2 : 2.125_x000D_
23 / 04_2 : 1.382_x000D_
23 / 05_2 : 1.705_x000D_
23 / 06_2 : 2.463_x000D_
23 / 07_2 : 1.355_x000D_
23 / 08_2 : 1.590_x000D_
23 / 09_2 : 1.670_x000D_
_x000D_
    TOTAL : ( 17.807 )_x000D_
  DIVISOR : 12_x000D_
    MÉDIA : 1.483,92</t>
        </r>
      </text>
    </comment>
    <comment ref="AB180" authorId="0" shapeId="0" xr:uid="{F304EC99-B4FE-48E1-8830-E416192A4A9A}">
      <text>
        <r>
          <rPr>
            <sz val="10"/>
            <color indexed="81"/>
            <rFont val="Lucida Console"/>
            <family val="3"/>
          </rPr>
          <t>Última movimentação no estoque em 09/2023 quantidade 1.670.</t>
        </r>
      </text>
    </comment>
    <comment ref="R181" authorId="0" shapeId="0" xr:uid="{91D8D046-B25C-4C44-B48F-2A6D0E31E05A}">
      <text>
        <r>
          <rPr>
            <sz val="10"/>
            <color indexed="81"/>
            <rFont val="Lucida Console"/>
            <family val="3"/>
          </rPr>
          <t>05.12.2017</t>
        </r>
      </text>
    </comment>
    <comment ref="Y181" authorId="0" shapeId="0" xr:uid="{AFA5D4F1-3A73-4E86-8DE4-F3C263B421B0}">
      <text>
        <r>
          <rPr>
            <sz val="10"/>
            <color indexed="81"/>
            <rFont val="Courier New"/>
            <family val="3"/>
          </rPr>
          <t>_x000D_
    DESCRIÇÃO DO CÁLCULO_x000D_
Código    : 133.843_x000D_
Corte     : 2.700_x000D_
-----------------------------_x000D_
Pendente  : 20_x000D_
22 / 10_2 : 1.694_x000D_
22 / 11_2 : 1.665_x000D_
22 / 12_2 : 1.167_x000D_
23 / 01_2 : 655_x000D_
23 / 02_2 : 1.260_x000D_
23 / 03_2 : 2.310_x000D_
23 / 04_2 : 1.267_x000D_
23 / 05_2 : 1.770_x000D_
23 / 06_2 : 1.703_x000D_
23 / 07_2 : 1.498_x000D_
23 / 08_2 : 1.797_x000D_
23 / 09_2 : 1.711_x000D_
_x000D_
    TOTAL : ( 18.517 )_x000D_
  DIVISOR : 12_x000D_
    MÉDIA : 1.543,08</t>
        </r>
      </text>
    </comment>
    <comment ref="AB181" authorId="0" shapeId="0" xr:uid="{72555462-C742-4EE3-9AD2-EBD1DE7FFAD2}">
      <text>
        <r>
          <rPr>
            <sz val="10"/>
            <color indexed="81"/>
            <rFont val="Lucida Console"/>
            <family val="3"/>
          </rPr>
          <t>Última movimentação no estoque em 09/2023 quantidade 1.711.</t>
        </r>
      </text>
    </comment>
    <comment ref="R182" authorId="0" shapeId="0" xr:uid="{558FA560-77DB-47E1-853C-84D1CA878385}">
      <text>
        <r>
          <rPr>
            <sz val="10"/>
            <color indexed="81"/>
            <rFont val="Lucida Console"/>
            <family val="3"/>
          </rPr>
          <t>05.12.2017</t>
        </r>
      </text>
    </comment>
    <comment ref="Y182" authorId="0" shapeId="0" xr:uid="{D37D6CEC-2EC0-41F4-A261-F8B627FF6138}">
      <text>
        <r>
          <rPr>
            <sz val="10"/>
            <color indexed="81"/>
            <rFont val="Courier New"/>
            <family val="3"/>
          </rPr>
          <t>_x000D_
    DESCRIÇÃO DO CÁLCULO_x000D_
Código    : 133.844_x000D_
Corte     : 2.800_x000D_
-----------------------------_x000D_
Pendente  : 965_x000D_
22 / 10_2 : 1.846_x000D_
22 / 11_2 : 1.785_x000D_
22 / 12_2 : 1.195_x000D_
23 / 01_2 : 700_x000D_
23 / 02_2 : 1.290_x000D_
23 / 03_2 : 2.515_x000D_
23 / 04_2 : 1.322_x000D_
23 / 05_2 : 1.775_x000D_
23 / 06_2 : 1.853_x000D_
23 / 07_2 : 1.583_x000D_
23 / 08_2 : 2.032_x000D_
23 / 09_2 : 245_x000D_
_x000D_
    TOTAL : ( 19.106 )_x000D_
  DIVISOR : 12_x000D_
    MÉDIA : 1.592,17</t>
        </r>
      </text>
    </comment>
    <comment ref="AB182" authorId="0" shapeId="0" xr:uid="{A0F889AF-ED79-4786-AE60-3C2A250B3A9E}">
      <text>
        <r>
          <rPr>
            <sz val="10"/>
            <color indexed="81"/>
            <rFont val="Lucida Console"/>
            <family val="3"/>
          </rPr>
          <t>Última movimentação no estoque em 09/2023 quantidade 245.</t>
        </r>
      </text>
    </comment>
    <comment ref="R183" authorId="0" shapeId="0" xr:uid="{6FF8E6F1-B65E-41E9-9142-C77FC1920DE8}">
      <text>
        <r>
          <rPr>
            <sz val="10"/>
            <color indexed="81"/>
            <rFont val="Lucida Console"/>
            <family val="3"/>
          </rPr>
          <t>05.12.2017</t>
        </r>
      </text>
    </comment>
    <comment ref="Y183" authorId="0" shapeId="0" xr:uid="{8120AECF-6540-4E18-B6FE-823ED95F9F75}">
      <text>
        <r>
          <rPr>
            <sz val="10"/>
            <color indexed="81"/>
            <rFont val="Courier New"/>
            <family val="3"/>
          </rPr>
          <t>_x000D_
    DESCRIÇÃO DO CÁLCULO_x000D_
Código    : 133.845_x000D_
Corte     : 2.601_x000D_
-----------------------------_x000D_
Pendente  : 15_x000D_
22 / 10_2 : 1.464_x000D_
22 / 11_2 : 1.560_x000D_
22 / 12_2 : 1.051_x000D_
23 / 01_2 : 620_x000D_
23 / 02_2 : 1.185_x000D_
23 / 03_2 : 2.325_x000D_
23 / 04_2 : 1.242_x000D_
23 / 05_2 : 1.700_x000D_
23 / 06_2 : 1.663_x000D_
23 / 07_2 : 1.385_x000D_
23 / 08_2 : 1.656_x000D_
23 / 09_2 : 1.696_x000D_
_x000D_
    TOTAL : ( 17.562 )_x000D_
  DIVISOR : 12_x000D_
    MÉDIA : 1.463,50</t>
        </r>
      </text>
    </comment>
    <comment ref="AB183" authorId="0" shapeId="0" xr:uid="{608641B0-3139-4094-8F8C-736C174AD512}">
      <text>
        <r>
          <rPr>
            <sz val="10"/>
            <color indexed="81"/>
            <rFont val="Lucida Console"/>
            <family val="3"/>
          </rPr>
          <t>Última movimentação no estoque em 09/2023 quantidade 1.696.</t>
        </r>
      </text>
    </comment>
    <comment ref="R184" authorId="0" shapeId="0" xr:uid="{382B4A89-A956-4029-964F-39E6C17E1A77}">
      <text>
        <r>
          <rPr>
            <sz val="10"/>
            <color indexed="81"/>
            <rFont val="Lucida Console"/>
            <family val="3"/>
          </rPr>
          <t>05.12.2017</t>
        </r>
      </text>
    </comment>
    <comment ref="Y184" authorId="0" shapeId="0" xr:uid="{6C20C35C-2A8E-4E47-A8D1-86A40E723845}">
      <text>
        <r>
          <rPr>
            <sz val="10"/>
            <color indexed="81"/>
            <rFont val="Courier New"/>
            <family val="3"/>
          </rPr>
          <t>_x000D_
    DESCRIÇÃO DO CÁLCULO_x000D_
Código    : 133.846_x000D_
Corte     : 2.204_x000D_
-----------------------------_x000D_
Pendente  : 545_x000D_
22 / 10_2 : 1.305_x000D_
22 / 11_2 : 1.305_x000D_
22 / 12_2 : 1.072_x000D_
23 / 01_2 : 575_x000D_
23 / 02_2 : 1.155_x000D_
23 / 03_2 : 2.025_x000D_
23 / 04_2 : 1.132_x000D_
23 / 05_2 : 1.370_x000D_
23 / 06_2 : 1.493_x000D_
23 / 07_2 : 1.301_x000D_
23 / 08_2 : 496_x000D_
23 / 09_2 : _x000D_
_x000D_
    TOTAL : ( 13.774 )_x000D_
  DIVISOR : 12_x000D_
    MÉDIA : 1.147,83</t>
        </r>
      </text>
    </comment>
    <comment ref="AB184" authorId="0" shapeId="0" xr:uid="{434E06AC-1FA5-48EC-BF70-D69DF5F7A4B4}">
      <text>
        <r>
          <rPr>
            <sz val="10"/>
            <color indexed="81"/>
            <rFont val="Lucida Console"/>
            <family val="3"/>
          </rPr>
          <t>Última movimentação no estoque em 08/2023 quantidade 496.</t>
        </r>
      </text>
    </comment>
    <comment ref="R185" authorId="0" shapeId="0" xr:uid="{3BF11805-3243-4D85-A33A-B804C70221DF}">
      <text>
        <r>
          <rPr>
            <sz val="10"/>
            <color indexed="81"/>
            <rFont val="Lucida Console"/>
            <family val="3"/>
          </rPr>
          <t>05.12.2017</t>
        </r>
      </text>
    </comment>
    <comment ref="Y185" authorId="0" shapeId="0" xr:uid="{2A8A63B7-33D0-4711-BA2C-30E076765A88}">
      <text>
        <r>
          <rPr>
            <sz val="10"/>
            <color indexed="81"/>
            <rFont val="Courier New"/>
            <family val="3"/>
          </rPr>
          <t>_x000D_
    DESCRIÇÃO DO CÁLCULO_x000D_
Código    : 133.847_x000D_
Corte     : 3.101_x000D_
-----------------------------_x000D_
Pendente  : 1.365_x000D_
22 / 10_2 : 2.006_x000D_
22 / 11_2 : 1.867_x000D_
22 / 12_2 : 90_x000D_
23 / 01_2 : 554_x000D_
23 / 02_2 : 450_x000D_
23 / 03_2 : 2.700_x000D_
23 / 04_2 : 1.575_x000D_
23 / 05_2 : 1.985_x000D_
23 / 06_2 : 1.937_x000D_
23 / 07_2 : 1.388_x000D_
23 / 08_2 : 255_x000D_
23 / 09_2 : _x000D_
_x000D_
    TOTAL : ( 16.172 )_x000D_
  DIVISOR : 12_x000D_
    MÉDIA : 1.347,67</t>
        </r>
      </text>
    </comment>
    <comment ref="AB185" authorId="0" shapeId="0" xr:uid="{26A32449-49E0-444D-9C69-AA3A058680AE}">
      <text>
        <r>
          <rPr>
            <sz val="10"/>
            <color indexed="81"/>
            <rFont val="Lucida Console"/>
            <family val="3"/>
          </rPr>
          <t>Última movimentação no estoque em 08/2023 quantidade 255.</t>
        </r>
      </text>
    </comment>
    <comment ref="R186" authorId="0" shapeId="0" xr:uid="{9A151E1B-5DA8-47E3-B22F-B060D4BFC70E}">
      <text>
        <r>
          <rPr>
            <sz val="10"/>
            <color indexed="81"/>
            <rFont val="Lucida Console"/>
            <family val="3"/>
          </rPr>
          <t>05.12.2017</t>
        </r>
      </text>
    </comment>
    <comment ref="Y186" authorId="0" shapeId="0" xr:uid="{B2F9FD3D-AFA1-467B-ABD4-44469124B9F0}">
      <text>
        <r>
          <rPr>
            <sz val="10"/>
            <color indexed="81"/>
            <rFont val="Courier New"/>
            <family val="3"/>
          </rPr>
          <t>_x000D_
    DESCRIÇÃO DO CÁLCULO_x000D_
Código    : 133.848_x000D_
Corte     : 2.373_x000D_
-----------------------------_x000D_
Pendente  : 965_x000D_
22 / 10_2 : 1.441_x000D_
22 / 11_2 : 1.490_x000D_
22 / 12_2 : 1.020_x000D_
23 / 01_2 : 560_x000D_
23 / 02_2 : 1.215_x000D_
23 / 03_2 : 2.020_x000D_
23 / 04_2 : 1.237_x000D_
23 / 05_2 : 1.486_x000D_
23 / 06_2 : 1.505_x000D_
23 / 07_2 : 195_x000D_
23 / 08_2 : _x000D_
23 / 09_2 : _x000D_
_x000D_
    TOTAL : ( 13.134 )_x000D_
  DIVISOR : 12_x000D_
    MÉDIA : 1.094,50</t>
        </r>
      </text>
    </comment>
    <comment ref="AB186" authorId="0" shapeId="0" xr:uid="{11563467-ADD7-470A-9EEF-868FF1EC4B7F}">
      <text>
        <r>
          <rPr>
            <sz val="10"/>
            <color indexed="81"/>
            <rFont val="Lucida Console"/>
            <family val="3"/>
          </rPr>
          <t>Última movimentação no estoque em 07/2023 quantidade 195.</t>
        </r>
      </text>
    </comment>
    <comment ref="R187" authorId="0" shapeId="0" xr:uid="{C64CBDFB-39B8-4666-8437-A28BAC480C3B}">
      <text>
        <r>
          <rPr>
            <sz val="10"/>
            <color indexed="81"/>
            <rFont val="Lucida Console"/>
            <family val="3"/>
          </rPr>
          <t>05.12.2017</t>
        </r>
      </text>
    </comment>
    <comment ref="Y187" authorId="0" shapeId="0" xr:uid="{657713EA-798A-4DC9-B9F4-7FB6E1683C14}">
      <text>
        <r>
          <rPr>
            <sz val="10"/>
            <color indexed="81"/>
            <rFont val="Courier New"/>
            <family val="3"/>
          </rPr>
          <t>_x000D_
    DESCRIÇÃO DO CÁLCULO_x000D_
Código    : 133.849_x000D_
Corte     : 2.644_x000D_
-----------------------------_x000D_
Pendente  : 35_x000D_
22 / 10_2 : 1.611_x000D_
22 / 11_2 : 1.755_x000D_
22 / 12_2 : 1.120_x000D_
23 / 01_2 : 690_x000D_
23 / 02_2 : 1.231_x000D_
23 / 03_2 : 2.320_x000D_
23 / 04_2 : 1.293_x000D_
23 / 05_2 : 1.631_x000D_
23 / 06_2 : 1.720_x000D_
23 / 07_2 : 1.438_x000D_
23 / 08_2 : 1.692_x000D_
23 / 09_2 : 1.663_x000D_
_x000D_
    TOTAL : ( 18.199 )_x000D_
  DIVISOR : 12_x000D_
    MÉDIA : 1.516,58</t>
        </r>
      </text>
    </comment>
    <comment ref="AB187" authorId="0" shapeId="0" xr:uid="{950F83EE-0729-415B-847F-C1F9032420F8}">
      <text>
        <r>
          <rPr>
            <sz val="10"/>
            <color indexed="81"/>
            <rFont val="Lucida Console"/>
            <family val="3"/>
          </rPr>
          <t>Última movimentação no estoque em 09/2023 quantidade 1.663.</t>
        </r>
      </text>
    </comment>
    <comment ref="R188" authorId="0" shapeId="0" xr:uid="{E2994E86-6565-46FA-B006-0D7DA182E09A}">
      <text>
        <r>
          <rPr>
            <sz val="10"/>
            <color indexed="81"/>
            <rFont val="Lucida Console"/>
            <family val="3"/>
          </rPr>
          <t>05.12.2017</t>
        </r>
      </text>
    </comment>
    <comment ref="Y188" authorId="0" shapeId="0" xr:uid="{4B9809A0-2197-409B-B309-0EC4836BBA9C}">
      <text>
        <r>
          <rPr>
            <sz val="10"/>
            <color indexed="81"/>
            <rFont val="Courier New"/>
            <family val="3"/>
          </rPr>
          <t>_x000D_
    DESCRIÇÃO DO CÁLCULO_x000D_
Código    : 133.850_x000D_
Corte     : 2.624_x000D_
-----------------------------_x000D_
Pendente  : 843_x000D_
22 / 10_2 : 1.621_x000D_
22 / 11_2 : 1.740_x000D_
22 / 12_2 : 1.110_x000D_
23 / 01_2 : 630_x000D_
23 / 02_2 : 1.215_x000D_
23 / 03_2 : 2.255_x000D_
23 / 04_2 : 1.240_x000D_
23 / 05_2 : 1.800_x000D_
23 / 06_2 : 1.670_x000D_
23 / 07_2 : 1.515_x000D_
23 / 08_2 : 238_x000D_
23 / 09_2 : _x000D_
_x000D_
    TOTAL : ( 15.877 )_x000D_
  DIVISOR : 12_x000D_
    MÉDIA : 1.323,08</t>
        </r>
      </text>
    </comment>
    <comment ref="AB188" authorId="0" shapeId="0" xr:uid="{404EACFD-7120-4FEF-AB92-E7F82592E825}">
      <text>
        <r>
          <rPr>
            <sz val="10"/>
            <color indexed="81"/>
            <rFont val="Lucida Console"/>
            <family val="3"/>
          </rPr>
          <t>Última movimentação no estoque em 08/2023 quantidade 238.</t>
        </r>
      </text>
    </comment>
    <comment ref="R189" authorId="0" shapeId="0" xr:uid="{481B5949-070B-49DB-A1AE-393623220D97}">
      <text>
        <r>
          <rPr>
            <sz val="10"/>
            <color indexed="81"/>
            <rFont val="Lucida Console"/>
            <family val="3"/>
          </rPr>
          <t>01.01.1901</t>
        </r>
      </text>
    </comment>
    <comment ref="Y189" authorId="0" shapeId="0" xr:uid="{17EA867A-86DC-446C-A95F-23AE95F9FA55}">
      <text>
        <r>
          <rPr>
            <sz val="10"/>
            <color indexed="81"/>
            <rFont val="Courier New"/>
            <family val="3"/>
          </rPr>
          <t>_x000D_
    DESCRIÇÃO DO CÁLCULO_x000D_
Código    : 13.991_x000D_
Corte     : 81_x000D_
-----------------------------_x000D_
Pendente  : 52_x000D_
22 / 10_2 : 58_x000D_
22 / 11_2 : 37_x000D_
22 / 12_2 : _x000D_
23 / 01_2 : 69_x000D_
23 / 02_2 : 62_x000D_
23 / 03_2 : 20_x000D_
23 / 04_2 : _x000D_
23 / 05_2 : _x000D_
23 / 06_2 : _x000D_
23 / 07_2 : _x000D_
23 / 08_2 : _x000D_
23 / 09_2 : _x000D_
_x000D_
    TOTAL : ( 298 )_x000D_
  DIVISOR : 12_x000D_
    MÉDIA : 24,83</t>
        </r>
      </text>
    </comment>
    <comment ref="AB189" authorId="0" shapeId="0" xr:uid="{E218303A-DC59-480B-BA9A-3BD4BAEDE9D5}">
      <text>
        <r>
          <rPr>
            <sz val="10"/>
            <color indexed="81"/>
            <rFont val="Lucida Console"/>
            <family val="3"/>
          </rPr>
          <t>Última movimentação no estoque em 03/2023 quantidade 20.</t>
        </r>
      </text>
    </comment>
    <comment ref="R190" authorId="0" shapeId="0" xr:uid="{E56493D1-38B9-4A35-8EF0-6BDC64CC24FE}">
      <text>
        <r>
          <rPr>
            <sz val="10"/>
            <color indexed="81"/>
            <rFont val="Lucida Console"/>
            <family val="3"/>
          </rPr>
          <t>04.04.2014</t>
        </r>
      </text>
    </comment>
    <comment ref="Y190" authorId="0" shapeId="0" xr:uid="{F4200ED0-470F-4024-BFA6-61E7D87A54F7}">
      <text>
        <r>
          <rPr>
            <sz val="10"/>
            <color indexed="81"/>
            <rFont val="Courier New"/>
            <family val="3"/>
          </rPr>
          <t>_x000D_
    DESCRIÇÃO DO CÁLCULO_x000D_
Código    : 127.664_x000D_
Corte     : 833_x000D_
-----------------------------_x000D_
Pendente  : 23_x000D_
22 / 10_2 : 512_x000D_
22 / 11_2 : 548_x000D_
22 / 12_2 : 314_x000D_
23 / 01_2 : 170_x000D_
23 / 02_2 : 505_x000D_
23 / 03_2 : 563_x000D_
23 / 04_2 : 456_x000D_
23 / 05_2 : 494_x000D_
23 / 06_2 : 589_x000D_
23 / 07_2 : 542_x000D_
23 / 08_2 : 588_x000D_
23 / 09_2 : 522_x000D_
_x000D_
    TOTAL : ( 5.826 )_x000D_
  DIVISOR : 12_x000D_
    MÉDIA : 485,50</t>
        </r>
      </text>
    </comment>
    <comment ref="AB190" authorId="0" shapeId="0" xr:uid="{83F3FAD4-FFC1-49F5-97FF-7429D5AE9E1C}">
      <text>
        <r>
          <rPr>
            <sz val="10"/>
            <color indexed="81"/>
            <rFont val="Lucida Console"/>
            <family val="3"/>
          </rPr>
          <t>Última movimentação no estoque em 09/2023 quantidade 522.</t>
        </r>
      </text>
    </comment>
    <comment ref="R191" authorId="0" shapeId="0" xr:uid="{145DB576-5153-4EF9-B0C0-7631D31A5564}">
      <text>
        <r>
          <rPr>
            <sz val="10"/>
            <color indexed="81"/>
            <rFont val="Lucida Console"/>
            <family val="3"/>
          </rPr>
          <t>01.01.1901</t>
        </r>
      </text>
    </comment>
    <comment ref="Y191" authorId="0" shapeId="0" xr:uid="{7425E349-4B57-4F2B-BBB4-6CB9706CC090}">
      <text>
        <r>
          <rPr>
            <sz val="10"/>
            <color indexed="81"/>
            <rFont val="Courier New"/>
            <family val="3"/>
          </rPr>
          <t>_x000D_
    DESCRIÇÃO DO CÁLCULO_x000D_
Código    : 64.610_x000D_
Corte     : 142_x000D_
-----------------------------_x000D_
Pendente  : 12_x000D_
22 / 10_2 : 85_x000D_
22 / 11_2 : 39_x000D_
22 / 12_2 : 39_x000D_
23 / 01_2 : _x000D_
23 / 02_2 : _x000D_
23 / 03_2 : _x000D_
23 / 04_2 : _x000D_
23 / 05_2 : _x000D_
23 / 06_2 : _x000D_
23 / 07_2 : _x000D_
23 / 08_2 : _x000D_
23 / 09_2 : 142 (corte = 194)_x000D_
_x000D_
    TOTAL : ( 317 )_x000D_
  DIVISOR : 12_x000D_
    MÉDIA : 26,42_x000D_
-----------------------------_x000D_
   Valores Desconsiderados_x000D_
-----------------------------_x000D_
23 / 09_2 : 52 (194)_x000D_
_x000D_
  TOTAL   : ( 52 )</t>
        </r>
      </text>
    </comment>
    <comment ref="AB191" authorId="0" shapeId="0" xr:uid="{D30985A7-7A0A-44B7-A2CF-EAC184828158}">
      <text>
        <r>
          <rPr>
            <sz val="10"/>
            <color indexed="81"/>
            <rFont val="Lucida Console"/>
            <family val="3"/>
          </rPr>
          <t>Última movimentação no estoque em 09/2023 quantidade 194.</t>
        </r>
      </text>
    </comment>
    <comment ref="R192" authorId="0" shapeId="0" xr:uid="{4B477682-AF04-4800-8D44-99B052E9947F}">
      <text>
        <r>
          <rPr>
            <sz val="10"/>
            <color indexed="81"/>
            <rFont val="Lucida Console"/>
            <family val="3"/>
          </rPr>
          <t>01.01.1901</t>
        </r>
      </text>
    </comment>
    <comment ref="Y192" authorId="0" shapeId="0" xr:uid="{54F4E884-7CAD-4164-A550-38E4A4450FAA}">
      <text>
        <r>
          <rPr>
            <sz val="10"/>
            <color indexed="81"/>
            <rFont val="Courier New"/>
            <family val="3"/>
          </rPr>
          <t>_x000D_
    DESCRIÇÃO DO CÁLCULO_x000D_
Código    : 20.135_x000D_
Corte     : 119_x000D_
-----------------------------_x000D_
Pendente  : 5_x000D_
22 / 10_2 : 49_x000D_
22 / 11_2 : 22_x000D_
22 / 12_2 : 14_x000D_
23 / 01_2 : 20_x000D_
23 / 02_2 : 51_x000D_
23 / 03_2 : 48_x000D_
23 / 04_2 : _x000D_
23 / 05_2 : _x000D_
23 / 06_2 : _x000D_
23 / 07_2 : _x000D_
23 / 08_2 : _x000D_
23 / 09_2 : 119 (corte = 160)_x000D_
_x000D_
    TOTAL : ( 328 )_x000D_
  DIVISOR : 12_x000D_
    MÉDIA : 27,33_x000D_
-----------------------------_x000D_
   Valores Desconsiderados_x000D_
-----------------------------_x000D_
23 / 09_2 : 41 (160)_x000D_
_x000D_
  TOTAL   : ( 41 )</t>
        </r>
      </text>
    </comment>
    <comment ref="AB192" authorId="0" shapeId="0" xr:uid="{62F925BE-415E-42D9-A886-E116F803CF93}">
      <text>
        <r>
          <rPr>
            <sz val="10"/>
            <color indexed="81"/>
            <rFont val="Lucida Console"/>
            <family val="3"/>
          </rPr>
          <t>Última movimentação no estoque em 09/2023 quantidade 160.</t>
        </r>
      </text>
    </comment>
    <comment ref="R193" authorId="0" shapeId="0" xr:uid="{FBFEF9AA-7029-4A8F-9E80-53BEA9998DE6}">
      <text>
        <r>
          <rPr>
            <sz val="10"/>
            <color indexed="81"/>
            <rFont val="Lucida Console"/>
            <family val="3"/>
          </rPr>
          <t>03.03.2009</t>
        </r>
      </text>
    </comment>
    <comment ref="Y193" authorId="0" shapeId="0" xr:uid="{A8F68966-DAD0-45C3-B83D-9EE91492C803}">
      <text>
        <r>
          <rPr>
            <sz val="10"/>
            <color indexed="81"/>
            <rFont val="Courier New"/>
            <family val="3"/>
          </rPr>
          <t>_x000D_
    DESCRIÇÃO DO CÁLCULO_x000D_
Código    : 109.944_x000D_
Corte     : 154_x000D_
-----------------------------_x000D_
Pendente  : _x000D_
22 / 10_2 : 30_x000D_
22 / 11_2 : 30_x000D_
22 / 12_2 : 30_x000D_
23 / 01_2 : 154 (corte = 200)_x000D_
23 / 02_2 : _x000D_
23 / 03_2 : _x000D_
23 / 04_2 : _x000D_
23 / 05_2 : 70_x000D_
23 / 06_2 : _x000D_
23 / 07_2 : _x000D_
23 / 08_2 : _x000D_
23 / 09_2 : 80_x000D_
_x000D_
    TOTAL : ( 394 )_x000D_
  DIVISOR : 12_x000D_
    MÉDIA : 32,83_x000D_
-----------------------------_x000D_
   Valores Desconsiderados_x000D_
-----------------------------_x000D_
23 / 01_2 : 46 (200)_x000D_
_x000D_
  TOTAL   : ( 46 )</t>
        </r>
      </text>
    </comment>
    <comment ref="AB193" authorId="0" shapeId="0" xr:uid="{5D22473C-C73A-4607-B2AD-2C6E8C95D391}">
      <text>
        <r>
          <rPr>
            <sz val="10"/>
            <color indexed="81"/>
            <rFont val="Lucida Console"/>
            <family val="3"/>
          </rPr>
          <t>Última movimentação no estoque em 09/2023 quantidade 80.</t>
        </r>
      </text>
    </comment>
    <comment ref="R194" authorId="0" shapeId="0" xr:uid="{3F98A28C-D5D0-43DB-A3F7-021B9998EDF6}">
      <text>
        <r>
          <rPr>
            <sz val="10"/>
            <color indexed="81"/>
            <rFont val="Lucida Console"/>
            <family val="3"/>
          </rPr>
          <t>01.01.1901</t>
        </r>
      </text>
    </comment>
    <comment ref="Y194" authorId="0" shapeId="0" xr:uid="{0311C24B-A0C4-4C6C-BF43-593DBC8B5762}">
      <text>
        <r>
          <rPr>
            <sz val="10"/>
            <color indexed="81"/>
            <rFont val="Courier New"/>
            <family val="3"/>
          </rPr>
          <t>_x000D_
    DESCRIÇÃO DO CÁLCULO_x000D_
Código    : 26.215_x000D_
Corte     : 34_x000D_
-----------------------------_x000D_
Pendente  : _x000D_
22 / 10_2 : 34 (corte = 38)_x000D_
22 / 11_2 : 15_x000D_
22 / 12_2 : _x000D_
23 / 01_2 : 1_x000D_
23 / 02_2 : _x000D_
23 / 03_2 : _x000D_
23 / 04_2 : 10_x000D_
23 / 05_2 : 29_x000D_
23 / 06_2 : _x000D_
23 / 07_2 : _x000D_
23 / 08_2 : 6_x000D_
23 / 09_2 : _x000D_
_x000D_
    TOTAL : ( 95 )_x000D_
  DIVISOR : 12_x000D_
    MÉDIA : 7,92_x000D_
-----------------------------_x000D_
   Valores Desconsiderados_x000D_
-----------------------------_x000D_
22 / 10_2 : 4 (38)_x000D_
_x000D_
  TOTAL   : ( 4 )</t>
        </r>
      </text>
    </comment>
    <comment ref="AB194" authorId="0" shapeId="0" xr:uid="{A1E6E93C-B344-4735-925F-5DD672D9F7A8}">
      <text>
        <r>
          <rPr>
            <sz val="10"/>
            <color indexed="81"/>
            <rFont val="Lucida Console"/>
            <family val="3"/>
          </rPr>
          <t>Última movimentação no estoque em 08/2023 quantidade 6.</t>
        </r>
      </text>
    </comment>
    <comment ref="R195" authorId="0" shapeId="0" xr:uid="{4F19E3CF-D7B5-470E-8392-C0712D96B19B}">
      <text>
        <r>
          <rPr>
            <sz val="10"/>
            <color indexed="81"/>
            <rFont val="Lucida Console"/>
            <family val="3"/>
          </rPr>
          <t>09.01.2004</t>
        </r>
      </text>
    </comment>
    <comment ref="Y195" authorId="0" shapeId="0" xr:uid="{57986EA2-062F-4B0C-AF4E-18824ACB013B}">
      <text>
        <r>
          <rPr>
            <sz val="10"/>
            <color indexed="81"/>
            <rFont val="Courier New"/>
            <family val="3"/>
          </rPr>
          <t>_x000D_
    DESCRIÇÃO DO CÁLCULO_x000D_
Código    : 76.583_x000D_
Corte     : 28_x000D_
-----------------------------_x000D_
Pendente  : _x000D_
22 / 10_2 : _x000D_
22 / 11_2 : 10_x000D_
22 / 12_2 : 4_x000D_
23 / 01_2 : 28 (corte = 37)_x000D_
23 / 02_2 : _x000D_
23 / 03_2 : _x000D_
23 / 04_2 : 5_x000D_
23 / 05_2 : 13_x000D_
23 / 06_2 : _x000D_
23 / 07_2 : _x000D_
23 / 08_2 : 15_x000D_
23 / 09_2 : _x000D_
_x000D_
    TOTAL : ( 75 )_x000D_
  DIVISOR : 12_x000D_
    MÉDIA : 6,25_x000D_
-----------------------------_x000D_
   Valores Desconsiderados_x000D_
-----------------------------_x000D_
23 / 01_2 : 9 (37)_x000D_
_x000D_
  TOTAL   : ( 9 )</t>
        </r>
      </text>
    </comment>
    <comment ref="AB195" authorId="0" shapeId="0" xr:uid="{FA86754D-08AF-45FE-A372-C2DAEAF3EAAB}">
      <text>
        <r>
          <rPr>
            <sz val="10"/>
            <color indexed="81"/>
            <rFont val="Lucida Console"/>
            <family val="3"/>
          </rPr>
          <t>Última movimentação no estoque em 08/2023 quantidade 15.</t>
        </r>
      </text>
    </comment>
    <comment ref="R196" authorId="0" shapeId="0" xr:uid="{5C22229E-D93E-45DE-A93B-3556D7025D63}">
      <text>
        <r>
          <rPr>
            <sz val="10"/>
            <color indexed="81"/>
            <rFont val="Lucida Console"/>
            <family val="3"/>
          </rPr>
          <t>01.01.1901</t>
        </r>
      </text>
    </comment>
    <comment ref="Y196" authorId="0" shapeId="0" xr:uid="{477AFBCE-6369-4E2B-BC9D-AA21998C6471}">
      <text>
        <r>
          <rPr>
            <sz val="10"/>
            <color indexed="81"/>
            <rFont val="Courier New"/>
            <family val="3"/>
          </rPr>
          <t>_x000D_
    DESCRIÇÃO DO CÁLCULO_x000D_
Código    : 16.363_x000D_
Corte     : 114_x000D_
-----------------------------_x000D_
Pendente  : _x000D_
22 / 10_2 : 41_x000D_
22 / 11_2 : 46_x000D_
22 / 12_2 : _x000D_
23 / 01_2 : 13_x000D_
23 / 02_2 : 20_x000D_
23 / 03_2 : 99_x000D_
23 / 04_2 : 94_x000D_
23 / 05_2 : 12_x000D_
23 / 06_2 : 80_x000D_
23 / 07_2 : _x000D_
23 / 08_2 : 73_x000D_
23 / 09_2 : 23_x000D_
_x000D_
    TOTAL : ( 501 )_x000D_
  DIVISOR : 12_x000D_
    MÉDIA : 41,75</t>
        </r>
      </text>
    </comment>
    <comment ref="AB196" authorId="0" shapeId="0" xr:uid="{994004AA-6398-40FF-B2F8-7C4C689B55E3}">
      <text>
        <r>
          <rPr>
            <sz val="10"/>
            <color indexed="81"/>
            <rFont val="Lucida Console"/>
            <family val="3"/>
          </rPr>
          <t>Última movimentação no estoque em 09/2023 quantidade 23.</t>
        </r>
      </text>
    </comment>
    <comment ref="R197" authorId="0" shapeId="0" xr:uid="{3D606197-BC1A-435E-9CD2-DA61283D9974}">
      <text>
        <r>
          <rPr>
            <sz val="10"/>
            <color indexed="81"/>
            <rFont val="Lucida Console"/>
            <family val="3"/>
          </rPr>
          <t>01.01.1901</t>
        </r>
      </text>
    </comment>
    <comment ref="Y197" authorId="0" shapeId="0" xr:uid="{5F6B98AA-C8C7-4913-9C15-B1198FD18605}">
      <text>
        <r>
          <rPr>
            <sz val="10"/>
            <color indexed="81"/>
            <rFont val="Courier New"/>
            <family val="3"/>
          </rPr>
          <t>_x000D_
    DESCRIÇÃO DO CÁLCULO_x000D_
Código    : 16.365_x000D_
Corte     : 28_x000D_
-----------------------------_x000D_
Pendente  : _x000D_
22 / 10_2 : 18_x000D_
22 / 11_2 : 28 (corte = 30)_x000D_
22 / 12_2 : 20_x000D_
23 / 01_2 : _x000D_
23 / 02_2 : 14_x000D_
23 / 03_2 : 9_x000D_
23 / 04_2 : _x000D_
23 / 05_2 : _x000D_
23 / 06_2 : _x000D_
23 / 07_2 : _x000D_
23 / 08_2 : _x000D_
23 / 09_2 : _x000D_
_x000D_
    TOTAL : ( 89 )_x000D_
  DIVISOR : 12_x000D_
    MÉDIA : 7,42_x000D_
-----------------------------_x000D_
   Valores Desconsiderados_x000D_
-----------------------------_x000D_
22 / 11_2 : 2 (30)_x000D_
_x000D_
  TOTAL   : ( 2 )</t>
        </r>
      </text>
    </comment>
    <comment ref="AB197" authorId="0" shapeId="0" xr:uid="{66C73F9B-9310-4CF6-A3C0-B45F751ECC1A}">
      <text>
        <r>
          <rPr>
            <sz val="10"/>
            <color indexed="81"/>
            <rFont val="Lucida Console"/>
            <family val="3"/>
          </rPr>
          <t>Última movimentação no estoque em 03/2023 quantidade 9.</t>
        </r>
      </text>
    </comment>
    <comment ref="R198" authorId="0" shapeId="0" xr:uid="{962CA4DF-508A-49BB-82CD-FB828E141A70}">
      <text>
        <r>
          <rPr>
            <sz val="10"/>
            <color indexed="81"/>
            <rFont val="Lucida Console"/>
            <family val="3"/>
          </rPr>
          <t>08.04.2011</t>
        </r>
      </text>
    </comment>
    <comment ref="Y198" authorId="0" shapeId="0" xr:uid="{423E9677-D746-482E-ADA3-DAD6044FBADC}">
      <text>
        <r>
          <rPr>
            <sz val="10"/>
            <color indexed="81"/>
            <rFont val="Courier New"/>
            <family val="3"/>
          </rPr>
          <t>_x000D_
    DESCRIÇÃO DO CÁLCULO_x000D_
Código    : 119.621_x000D_
Corte     : 163_x000D_
-----------------------------_x000D_
Pendente  : _x000D_
22 / 10_2 : 20_x000D_
22 / 11_2 : 50_x000D_
22 / 12_2 : 25_x000D_
23 / 01_2 : 40_x000D_
23 / 02_2 : _x000D_
23 / 03_2 : 42_x000D_
23 / 04_2 : 42_x000D_
23 / 05_2 : 123_x000D_
23 / 06_2 : _x000D_
23 / 07_2 : 30_x000D_
23 / 08_2 : 163 (corte = 198)_x000D_
23 / 09_2 : _x000D_
_x000D_
    TOTAL : ( 535 )_x000D_
  DIVISOR : 12_x000D_
    MÉDIA : 44,58_x000D_
-----------------------------_x000D_
   Valores Desconsiderados_x000D_
-----------------------------_x000D_
23 / 08_2 : 35 (198)_x000D_
_x000D_
  TOTAL   : ( 35 )</t>
        </r>
      </text>
    </comment>
    <comment ref="AB198" authorId="0" shapeId="0" xr:uid="{FF5F3023-712E-4C49-AF06-7774F1B1121E}">
      <text>
        <r>
          <rPr>
            <sz val="10"/>
            <color indexed="81"/>
            <rFont val="Lucida Console"/>
            <family val="3"/>
          </rPr>
          <t>Última movimentação no estoque em 08/2023 quantidade 198.</t>
        </r>
      </text>
    </comment>
    <comment ref="R199" authorId="0" shapeId="0" xr:uid="{80144985-1115-4FE7-A243-72C0B7AFF70B}">
      <text>
        <r>
          <rPr>
            <sz val="10"/>
            <color indexed="81"/>
            <rFont val="Lucida Console"/>
            <family val="3"/>
          </rPr>
          <t>30.03.2011</t>
        </r>
      </text>
    </comment>
    <comment ref="Y199" authorId="0" shapeId="0" xr:uid="{05DBA6E4-7378-46B3-BEE5-278135F72A60}">
      <text>
        <r>
          <rPr>
            <sz val="10"/>
            <color indexed="81"/>
            <rFont val="Courier New"/>
            <family val="3"/>
          </rPr>
          <t>_x000D_
    DESCRIÇÃO DO CÁLCULO_x000D_
Código    : 119.554_x000D_
Corte     : 55_x000D_
-----------------------------_x000D_
Pendente  : _x000D_
22 / 10_2 : 42_x000D_
22 / 11_2 : _x000D_
22 / 12_2 : _x000D_
23 / 01_2 : _x000D_
23 / 02_2 : _x000D_
23 / 03_2 : _x000D_
23 / 04_2 : _x000D_
23 / 05_2 : 42_x000D_
23 / 06_2 : _x000D_
23 / 07_2 : 42_x000D_
23 / 08_2 : _x000D_
23 / 09_2 : 42_x000D_
_x000D_
    TOTAL : ( 168 )_x000D_
  DIVISOR : 12_x000D_
    MÉDIA : 14,00</t>
        </r>
      </text>
    </comment>
    <comment ref="AB199" authorId="0" shapeId="0" xr:uid="{25723A03-05B9-4022-8C1C-1F23C7CDBC57}">
      <text>
        <r>
          <rPr>
            <sz val="10"/>
            <color indexed="81"/>
            <rFont val="Lucida Console"/>
            <family val="3"/>
          </rPr>
          <t>Última movimentação no estoque em 09/2023 quantidade 42.</t>
        </r>
      </text>
    </comment>
    <comment ref="R200" authorId="0" shapeId="0" xr:uid="{65F7AC8C-C1FC-477F-B6B3-879BB1B21999}">
      <text>
        <r>
          <rPr>
            <sz val="10"/>
            <color indexed="81"/>
            <rFont val="Lucida Console"/>
            <family val="3"/>
          </rPr>
          <t>15.09.2003</t>
        </r>
      </text>
    </comment>
    <comment ref="Y200" authorId="0" shapeId="0" xr:uid="{6A10E974-E5A8-4995-A7EF-2CAF7C99EC6C}">
      <text>
        <r>
          <rPr>
            <sz val="10"/>
            <color indexed="81"/>
            <rFont val="Courier New"/>
            <family val="3"/>
          </rPr>
          <t>_x000D_
    DESCRIÇÃO DO CÁLCULO_x000D_
Código    : 75.334_x000D_
Corte     : 105_x000D_
-----------------------------_x000D_
Pendente  : _x000D_
22 / 10_2 : 42_x000D_
22 / 11_2 : 42_x000D_
22 / 12_2 : _x000D_
23 / 01_2 : 42_x000D_
23 / 02_2 : _x000D_
23 / 03_2 : 42_x000D_
23 / 04_2 : _x000D_
23 / 05_2 : 105 (corte = 126)_x000D_
23 / 06_2 : 42_x000D_
23 / 07_2 : _x000D_
23 / 08_2 : 42_x000D_
23 / 09_2 : 42_x000D_
_x000D_
    TOTAL : ( 399 )_x000D_
  DIVISOR : 12_x000D_
    MÉDIA : 33,25_x000D_
-----------------------------_x000D_
   Valores Desconsiderados_x000D_
-----------------------------_x000D_
23 / 05_2 : 21 (126)_x000D_
_x000D_
  TOTAL   : ( 21 )</t>
        </r>
      </text>
    </comment>
    <comment ref="AB200" authorId="0" shapeId="0" xr:uid="{06CE44CD-C258-4F0C-9966-49F7F58FAE5A}">
      <text>
        <r>
          <rPr>
            <sz val="10"/>
            <color indexed="81"/>
            <rFont val="Lucida Console"/>
            <family val="3"/>
          </rPr>
          <t>Última movimentação no estoque em 09/2023 quantidade 42.</t>
        </r>
      </text>
    </comment>
    <comment ref="R201" authorId="0" shapeId="0" xr:uid="{14E544F1-6D5D-4BDB-8386-2338B1C8DA6A}">
      <text>
        <r>
          <rPr>
            <sz val="10"/>
            <color indexed="81"/>
            <rFont val="Lucida Console"/>
            <family val="3"/>
          </rPr>
          <t>06.08.2010</t>
        </r>
      </text>
    </comment>
    <comment ref="Y201" authorId="0" shapeId="0" xr:uid="{9F0459DC-5C9D-4422-B756-5C06CD36868B}">
      <text>
        <r>
          <rPr>
            <sz val="10"/>
            <color indexed="81"/>
            <rFont val="Courier New"/>
            <family val="3"/>
          </rPr>
          <t>_x000D_
    DESCRIÇÃO DO CÁLCULO_x000D_
Código    : 116.771_x000D_
Corte     : 4_x000D_
-----------------------------_x000D_
Pendente  : _x000D_
22 / 10_2 : _x000D_
22 / 11_2 : _x000D_
22 / 12_2 : 2_x000D_
23 / 01_2 : _x000D_
23 / 02_2 : _x000D_
23 / 03_2 : _x000D_
23 / 04_2 : _x000D_
23 / 05_2 : 4_x000D_
23 / 06_2 : _x000D_
23 / 07_2 : 4 (corte = 5)_x000D_
23 / 08_2 : _x000D_
23 / 09_2 : _x000D_
_x000D_
    TOTAL : ( 10 )_x000D_
  DIVISOR : 12_x000D_
    MÉDIA : ,83_x000D_
-----------------------------_x000D_
   Valores Desconsiderados_x000D_
-----------------------------_x000D_
23 / 07_2 : 1 (5)_x000D_
_x000D_
  TOTAL   : ( 1 )</t>
        </r>
      </text>
    </comment>
    <comment ref="AB201" authorId="0" shapeId="0" xr:uid="{E82029D2-2850-4451-9E7E-F07B03D12666}">
      <text>
        <r>
          <rPr>
            <sz val="10"/>
            <color indexed="81"/>
            <rFont val="Lucida Console"/>
            <family val="3"/>
          </rPr>
          <t>Última movimentação no estoque em 07/2023 quantidade 5.</t>
        </r>
      </text>
    </comment>
    <comment ref="R202" authorId="0" shapeId="0" xr:uid="{8DA037E1-126C-42C2-9AE4-76ACF95213B9}">
      <text>
        <r>
          <rPr>
            <sz val="10"/>
            <color indexed="81"/>
            <rFont val="Lucida Console"/>
            <family val="3"/>
          </rPr>
          <t>23.06.2010</t>
        </r>
      </text>
    </comment>
    <comment ref="Y202" authorId="0" shapeId="0" xr:uid="{746670DC-B778-40BD-B30A-D5C08021CF1E}">
      <text>
        <r>
          <rPr>
            <sz val="10"/>
            <color indexed="81"/>
            <rFont val="Courier New"/>
            <family val="3"/>
          </rPr>
          <t>_x000D_
    DESCRIÇÃO DO CÁLCULO_x000D_
Código    : 115.807_x000D_
Corte     : 101_x000D_
-----------------------------_x000D_
Pendente  : _x000D_
22 / 10_2 : 40_x000D_
22 / 11_2 : 40_x000D_
22 / 12_2 : _x000D_
23 / 01_2 : 40_x000D_
23 / 02_2 : 40_x000D_
23 / 03_2 : 40_x000D_
23 / 04_2 : 40_x000D_
23 / 05_2 : 40_x000D_
23 / 06_2 : _x000D_
23 / 07_2 : 101 (corte = 122)_x000D_
23 / 08_2 : _x000D_
23 / 09_2 : _x000D_
_x000D_
    TOTAL : ( 381 )_x000D_
  DIVISOR : 12_x000D_
    MÉDIA : 31,75_x000D_
-----------------------------_x000D_
   Valores Desconsiderados_x000D_
-----------------------------_x000D_
23 / 07_2 : 21 (122)_x000D_
_x000D_
  TOTAL   : ( 21 )</t>
        </r>
      </text>
    </comment>
    <comment ref="AB202" authorId="0" shapeId="0" xr:uid="{236274A5-7E12-4338-9069-FE1AE8F30D63}">
      <text>
        <r>
          <rPr>
            <sz val="10"/>
            <color indexed="81"/>
            <rFont val="Lucida Console"/>
            <family val="3"/>
          </rPr>
          <t>Última movimentação no estoque em 07/2023 quantidade 122.</t>
        </r>
      </text>
    </comment>
    <comment ref="R203" authorId="0" shapeId="0" xr:uid="{6734E459-7B81-4F1F-AA3C-A67A5B1573FE}">
      <text>
        <r>
          <rPr>
            <sz val="10"/>
            <color indexed="81"/>
            <rFont val="Lucida Console"/>
            <family val="3"/>
          </rPr>
          <t>15.09.2003</t>
        </r>
      </text>
    </comment>
    <comment ref="Y203" authorId="0" shapeId="0" xr:uid="{8CC29016-DFCD-410B-AE11-02EC64B04C30}">
      <text>
        <r>
          <rPr>
            <sz val="10"/>
            <color indexed="81"/>
            <rFont val="Courier New"/>
            <family val="3"/>
          </rPr>
          <t>_x000D_
    DESCRIÇÃO DO CÁLCULO_x000D_
Código    : 75.324_x000D_
Corte     : 155_x000D_
-----------------------------_x000D_
Pendente  : _x000D_
22 / 10_2 : 73_x000D_
22 / 11_2 : _x000D_
22 / 12_2 : _x000D_
23 / 01_2 : 155 (corte = 193)_x000D_
23 / 02_2 : _x000D_
23 / 03_2 : _x000D_
23 / 04_2 : _x000D_
23 / 05_2 : 73_x000D_
23 / 06_2 : _x000D_
23 / 07_2 : _x000D_
23 / 08_2 : _x000D_
23 / 09_2 : 80_x000D_
_x000D_
    TOTAL : ( 381 )_x000D_
  DIVISOR : 12_x000D_
    MÉDIA : 31,75_x000D_
-----------------------------_x000D_
   Valores Desconsiderados_x000D_
-----------------------------_x000D_
23 / 01_2 : 38 (193)_x000D_
_x000D_
  TOTAL   : ( 38 )</t>
        </r>
      </text>
    </comment>
    <comment ref="AB203" authorId="0" shapeId="0" xr:uid="{6027497E-CEC7-4D05-AA74-2E951291B6E6}">
      <text>
        <r>
          <rPr>
            <sz val="10"/>
            <color indexed="81"/>
            <rFont val="Lucida Console"/>
            <family val="3"/>
          </rPr>
          <t>Última movimentação no estoque em 09/2023 quantidade 80.</t>
        </r>
      </text>
    </comment>
    <comment ref="R204" authorId="0" shapeId="0" xr:uid="{5DA77314-2688-41E5-BE4A-23BBCDFD2CF6}">
      <text>
        <r>
          <rPr>
            <sz val="10"/>
            <color indexed="81"/>
            <rFont val="Lucida Console"/>
            <family val="3"/>
          </rPr>
          <t>22.08.2013</t>
        </r>
      </text>
    </comment>
    <comment ref="Y204" authorId="0" shapeId="0" xr:uid="{13CD9FC2-AEF1-4587-A6F2-C2B77460F009}">
      <text>
        <r>
          <rPr>
            <sz val="10"/>
            <color indexed="81"/>
            <rFont val="Courier New"/>
            <family val="3"/>
          </rPr>
          <t>_x000D_
    DESCRIÇÃO DO CÁLCULO_x000D_
Código    : 126.044_x000D_
Corte     : 14_x000D_
-----------------------------_x000D_
Pendente  : _x000D_
22 / 10_2 : _x000D_
22 / 11_2 : _x000D_
22 / 12_2 : 8_x000D_
23 / 01_2 : 4_x000D_
23 / 02_2 : _x000D_
23 / 03_2 : _x000D_
23 / 04_2 : _x000D_
23 / 05_2 : _x000D_
23 / 06_2 : 10_x000D_
23 / 07_2 : _x000D_
23 / 08_2 : 14 (corte = 17)_x000D_
23 / 09_2 : _x000D_
_x000D_
    TOTAL : ( 36 )_x000D_
  DIVISOR : 12_x000D_
    MÉDIA : 3,00_x000D_
-----------------------------_x000D_
   Valores Desconsiderados_x000D_
-----------------------------_x000D_
23 / 08_2 : 3 (17)_x000D_
_x000D_
  TOTAL   : ( 3 )</t>
        </r>
      </text>
    </comment>
    <comment ref="AB204" authorId="0" shapeId="0" xr:uid="{CFFA0ECF-5898-40F2-8EF4-4A3B16DD0D05}">
      <text>
        <r>
          <rPr>
            <sz val="10"/>
            <color indexed="81"/>
            <rFont val="Lucida Console"/>
            <family val="3"/>
          </rPr>
          <t>Última movimentação no estoque em 08/2023 quantidade 17.</t>
        </r>
      </text>
    </comment>
    <comment ref="R205" authorId="0" shapeId="0" xr:uid="{94F22475-0344-4858-9EDD-244812C21028}">
      <text>
        <r>
          <rPr>
            <sz val="10"/>
            <color indexed="81"/>
            <rFont val="Lucida Console"/>
            <family val="3"/>
          </rPr>
          <t>18.09.2008</t>
        </r>
      </text>
    </comment>
    <comment ref="Y205" authorId="0" shapeId="0" xr:uid="{D8FDC8D1-E5DD-4027-91C2-53B7CC35A85A}">
      <text>
        <r>
          <rPr>
            <sz val="10"/>
            <color indexed="81"/>
            <rFont val="Courier New"/>
            <family val="3"/>
          </rPr>
          <t>_x000D_
    DESCRIÇÃO DO CÁLCULO_x000D_
Código    : 107.889_x000D_
Corte     : 55_x000D_
-----------------------------_x000D_
Pendente  : 19_x000D_
22 / 10_2 : 9_x000D_
22 / 11_2 : 55 (corte = 57)_x000D_
22 / 12_2 : 4_x000D_
23 / 01_2 : 19_x000D_
23 / 02_2 : 14_x000D_
23 / 03_2 : 46_x000D_
23 / 04_2 : 20_x000D_
23 / 05_2 : _x000D_
23 / 06_2 : 35_x000D_
23 / 07_2 : 4_x000D_
23 / 08_2 : _x000D_
23 / 09_2 : _x000D_
_x000D_
    TOTAL : ( 225 )_x000D_
  DIVISOR : 12_x000D_
    MÉDIA : 18,75_x000D_
-----------------------------_x000D_
   Valores Desconsiderados_x000D_
-----------------------------_x000D_
22 / 11_2 : 2 (57)_x000D_
_x000D_
  TOTAL   : ( 2 )</t>
        </r>
      </text>
    </comment>
    <comment ref="AB205" authorId="0" shapeId="0" xr:uid="{6F28416E-73F7-4CA5-8C90-A2F51D850C04}">
      <text>
        <r>
          <rPr>
            <sz val="10"/>
            <color indexed="81"/>
            <rFont val="Lucida Console"/>
            <family val="3"/>
          </rPr>
          <t>Última movimentação no estoque em 07/2023 quantidade 4.</t>
        </r>
      </text>
    </comment>
    <comment ref="R206" authorId="0" shapeId="0" xr:uid="{3C98FE3A-C16C-42A0-AF74-6C18A9D8B877}">
      <text>
        <r>
          <rPr>
            <sz val="10"/>
            <color indexed="81"/>
            <rFont val="Lucida Console"/>
            <family val="3"/>
          </rPr>
          <t>21.05.2008</t>
        </r>
      </text>
    </comment>
    <comment ref="Y206" authorId="0" shapeId="0" xr:uid="{DF842A4C-2AC3-4BC9-9504-A572D0DD5937}">
      <text>
        <r>
          <rPr>
            <sz val="10"/>
            <color indexed="81"/>
            <rFont val="Courier New"/>
            <family val="3"/>
          </rPr>
          <t>_x000D_
    DESCRIÇÃO DO CÁLCULO_x000D_
Código    : 106.546_x000D_
Corte     : 602_x000D_
-----------------------------_x000D_
Pendente  : _x000D_
22 / 10_2 : 95_x000D_
22 / 11_2 : _x000D_
22 / 12_2 : 20_x000D_
23 / 01_2 : 150_x000D_
23 / 02_2 : 32_x000D_
23 / 03_2 : 441_x000D_
23 / 04_2 : _x000D_
23 / 05_2 : 600_x000D_
23 / 06_2 : _x000D_
23 / 07_2 : _x000D_
23 / 08_2 : _x000D_
23 / 09_2 : 500_x000D_
_x000D_
    TOTAL : ( 1.838 )_x000D_
  DIVISOR : 12_x000D_
    MÉDIA : 153,17</t>
        </r>
      </text>
    </comment>
    <comment ref="AB206" authorId="0" shapeId="0" xr:uid="{13E45C96-7B71-49A4-ACEE-D3F97FB61356}">
      <text>
        <r>
          <rPr>
            <sz val="10"/>
            <color indexed="81"/>
            <rFont val="Lucida Console"/>
            <family val="3"/>
          </rPr>
          <t>Última movimentação no estoque em 09/2023 quantidade 500.</t>
        </r>
      </text>
    </comment>
    <comment ref="R207" authorId="0" shapeId="0" xr:uid="{4F3A03D0-5552-49A4-AE16-A54F2F9AE828}">
      <text>
        <r>
          <rPr>
            <sz val="10"/>
            <color indexed="81"/>
            <rFont val="Lucida Console"/>
            <family val="3"/>
          </rPr>
          <t>21.05.2008</t>
        </r>
      </text>
    </comment>
    <comment ref="Y207" authorId="0" shapeId="0" xr:uid="{DD0646DC-543B-465C-962D-E413F8965C78}">
      <text>
        <r>
          <rPr>
            <sz val="10"/>
            <color indexed="81"/>
            <rFont val="Courier New"/>
            <family val="3"/>
          </rPr>
          <t>_x000D_
    DESCRIÇÃO DO CÁLCULO_x000D_
Código    : 106.544_x000D_
Corte     : 670_x000D_
-----------------------------_x000D_
Pendente  : 397_x000D_
22 / 10_2 : 80_x000D_
22 / 11_2 : 106_x000D_
22 / 12_2 : 500_x000D_
23 / 01_2 : 666_x000D_
23 / 02_2 : 45_x000D_
23 / 03_2 : 450_x000D_
23 / 04_2 : _x000D_
23 / 05_2 : 203_x000D_
23 / 06_2 : _x000D_
23 / 07_2 : _x000D_
23 / 08_2 : _x000D_
23 / 09_2 : _x000D_
_x000D_
    TOTAL : ( 2.447 )_x000D_
  DIVISOR : 12_x000D_
    MÉDIA : 203,92</t>
        </r>
      </text>
    </comment>
    <comment ref="AB207" authorId="0" shapeId="0" xr:uid="{477A7C6D-98FD-40FF-80C9-2DDDE25E77AC}">
      <text>
        <r>
          <rPr>
            <sz val="10"/>
            <color indexed="81"/>
            <rFont val="Lucida Console"/>
            <family val="3"/>
          </rPr>
          <t>Última movimentação no estoque em 05/2023 quantidade 203.</t>
        </r>
      </text>
    </comment>
    <comment ref="R208" authorId="0" shapeId="0" xr:uid="{B21C45F2-9BF1-4849-BE4E-994C609B7762}">
      <text>
        <r>
          <rPr>
            <sz val="10"/>
            <color indexed="81"/>
            <rFont val="Lucida Console"/>
            <family val="3"/>
          </rPr>
          <t>01.01.1901</t>
        </r>
      </text>
    </comment>
    <comment ref="Y208" authorId="0" shapeId="0" xr:uid="{C63CEE13-D7CD-4BED-B123-69560664BC55}">
      <text>
        <r>
          <rPr>
            <sz val="10"/>
            <color indexed="81"/>
            <rFont val="Courier New"/>
            <family val="3"/>
          </rPr>
          <t>_x000D_
    DESCRIÇÃO DO CÁLCULO_x000D_
Código    : 50.797_x000D_
Corte     : 56_x000D_
-----------------------------_x000D_
Pendente  : _x000D_
22 / 10_2 : 7_x000D_
22 / 11_2 : 10_x000D_
22 / 12_2 : 3_x000D_
23 / 01_2 : _x000D_
23 / 02_2 : 56 (corte = 61)_x000D_
23 / 03_2 : 13_x000D_
23 / 04_2 : 35_x000D_
23 / 05_2 : 18_x000D_
23 / 06_2 : 43_x000D_
23 / 07_2 : _x000D_
23 / 08_2 : 20_x000D_
23 / 09_2 : _x000D_
_x000D_
    TOTAL : ( 205 )_x000D_
  DIVISOR : 12_x000D_
    MÉDIA : 17,08_x000D_
-----------------------------_x000D_
   Valores Desconsiderados_x000D_
-----------------------------_x000D_
23 / 02_2 : 5 (61)_x000D_
_x000D_
  TOTAL   : ( 5 )</t>
        </r>
      </text>
    </comment>
    <comment ref="AB208" authorId="0" shapeId="0" xr:uid="{521EB415-C6B3-4A89-B322-1DA3A7ECF305}">
      <text>
        <r>
          <rPr>
            <sz val="10"/>
            <color indexed="81"/>
            <rFont val="Lucida Console"/>
            <family val="3"/>
          </rPr>
          <t>Última movimentação no estoque em 08/2023 quantidade 20.</t>
        </r>
      </text>
    </comment>
    <comment ref="R209" authorId="0" shapeId="0" xr:uid="{4234503A-073E-4DD3-922D-4F53484EA572}">
      <text>
        <r>
          <rPr>
            <sz val="10"/>
            <color indexed="81"/>
            <rFont val="Lucida Console"/>
            <family val="3"/>
          </rPr>
          <t>25.06.2007</t>
        </r>
      </text>
    </comment>
    <comment ref="Y209" authorId="0" shapeId="0" xr:uid="{EC79E9ED-310A-42C6-A975-916F16191704}">
      <text>
        <r>
          <rPr>
            <sz val="10"/>
            <color indexed="81"/>
            <rFont val="Courier New"/>
            <family val="3"/>
          </rPr>
          <t>_x000D_
    DESCRIÇÃO DO CÁLCULO_x000D_
Código    : 100.362_x000D_
Corte     : 1.044_x000D_
-----------------------------_x000D_
Pendente  : 137_x000D_
22 / 10_2 : 744_x000D_
22 / 11_2 : 259_x000D_
22 / 12_2 : 1.044 (corte = 1091)_x000D_
23 / 01_2 : 337_x000D_
23 / 02_2 : _x000D_
23 / 03_2 : _x000D_
23 / 04_2 : _x000D_
23 / 05_2 : _x000D_
23 / 06_2 : _x000D_
23 / 07_2 : _x000D_
23 / 08_2 : 645_x000D_
23 / 09_2 : 585_x000D_
_x000D_
    TOTAL : ( 3.751 )_x000D_
  DIVISOR : 12_x000D_
    MÉDIA : 312,58_x000D_
-----------------------------_x000D_
   Valores Desconsiderados_x000D_
-----------------------------_x000D_
22 / 12_2 : 47 (1.091)_x000D_
_x000D_
  TOTAL   : ( 47 )</t>
        </r>
      </text>
    </comment>
    <comment ref="AB209" authorId="0" shapeId="0" xr:uid="{310DB978-C5D7-49BF-BB1C-E8863A7F35AD}">
      <text>
        <r>
          <rPr>
            <sz val="10"/>
            <color indexed="81"/>
            <rFont val="Lucida Console"/>
            <family val="3"/>
          </rPr>
          <t>Última movimentação no estoque em 09/2023 quantidade 585.</t>
        </r>
      </text>
    </comment>
    <comment ref="R210" authorId="0" shapeId="0" xr:uid="{00AC15BB-C924-436A-994D-31BA368097C7}">
      <text>
        <r>
          <rPr>
            <sz val="10"/>
            <color indexed="81"/>
            <rFont val="Lucida Console"/>
            <family val="3"/>
          </rPr>
          <t>01.01.1901</t>
        </r>
      </text>
    </comment>
    <comment ref="Y210" authorId="0" shapeId="0" xr:uid="{2A096098-05E3-4A85-897F-46D339AC9467}">
      <text>
        <r>
          <rPr>
            <sz val="10"/>
            <color indexed="81"/>
            <rFont val="Courier New"/>
            <family val="3"/>
          </rPr>
          <t>_x000D_
    DESCRIÇÃO DO CÁLCULO_x000D_
Código    : 14.662_x000D_
Corte     : 796_x000D_
-----------------------------_x000D_
Pendente  : 146_x000D_
22 / 10_2 : 471_x000D_
22 / 11_2 : 485_x000D_
22 / 12_2 : 379_x000D_
23 / 01_2 : 374_x000D_
23 / 02_2 : 602_x000D_
23 / 03_2 : 500_x000D_
23 / 04_2 : 653_x000D_
23 / 05_2 : 539_x000D_
23 / 06_2 : 455_x000D_
23 / 07_2 : 386_x000D_
23 / 08_2 : 550_x000D_
23 / 09_2 : 85_x000D_
_x000D_
    TOTAL : ( 5.625 )_x000D_
  DIVISOR : 12_x000D_
    MÉDIA : 468,75</t>
        </r>
      </text>
    </comment>
    <comment ref="AB210" authorId="0" shapeId="0" xr:uid="{1818D72E-1ED7-446E-A58F-52B1FC5728E7}">
      <text>
        <r>
          <rPr>
            <sz val="10"/>
            <color indexed="81"/>
            <rFont val="Lucida Console"/>
            <family val="3"/>
          </rPr>
          <t>Última movimentação no estoque em 09/2023 quantidade 85.</t>
        </r>
      </text>
    </comment>
    <comment ref="R211" authorId="0" shapeId="0" xr:uid="{BA5941BE-FDE3-407A-A396-8103997CACD2}">
      <text>
        <r>
          <rPr>
            <sz val="10"/>
            <color indexed="81"/>
            <rFont val="Lucida Console"/>
            <family val="3"/>
          </rPr>
          <t>01.01.1901</t>
        </r>
      </text>
    </comment>
    <comment ref="Y211" authorId="0" shapeId="0" xr:uid="{8FC9F7F9-00FE-426A-93F5-290F3E9D9091}">
      <text>
        <r>
          <rPr>
            <sz val="10"/>
            <color indexed="81"/>
            <rFont val="Courier New"/>
            <family val="3"/>
          </rPr>
          <t>_x000D_
    DESCRIÇÃO DO CÁLCULO_x000D_
Código    : 11.109_x000D_
Corte     : 645_x000D_
-----------------------------_x000D_
Pendente  : 490_x000D_
22 / 10_2 : 313_x000D_
22 / 11_2 : 362_x000D_
22 / 12_2 : 92_x000D_
23 / 01_2 : 49_x000D_
23 / 02_2 : _x000D_
23 / 03_2 : 22_x000D_
23 / 04_2 : 363_x000D_
23 / 05_2 : 462_x000D_
23 / 06_2 : 407_x000D_
23 / 07_2 : 357_x000D_
23 / 08_2 : 372_x000D_
23 / 09_2 : 43_x000D_
_x000D_
    TOTAL : ( 3.332 )_x000D_
  DIVISOR : 12_x000D_
    MÉDIA : 277,67</t>
        </r>
      </text>
    </comment>
    <comment ref="AB211" authorId="0" shapeId="0" xr:uid="{F5EE98A1-F853-4D83-A1DE-360445F8E9EF}">
      <text>
        <r>
          <rPr>
            <sz val="10"/>
            <color indexed="81"/>
            <rFont val="Lucida Console"/>
            <family val="3"/>
          </rPr>
          <t>Última movimentação no estoque em 09/2023 quantidade 43.</t>
        </r>
      </text>
    </comment>
    <comment ref="R212" authorId="0" shapeId="0" xr:uid="{3BCF64F3-387B-465A-915C-D442F4C15462}">
      <text>
        <r>
          <rPr>
            <sz val="10"/>
            <color indexed="81"/>
            <rFont val="Lucida Console"/>
            <family val="3"/>
          </rPr>
          <t>02.03.2015</t>
        </r>
      </text>
    </comment>
    <comment ref="Y212" authorId="0" shapeId="0" xr:uid="{A5DFC4C5-C84C-4231-AEE3-7B051F80AED4}">
      <text>
        <r>
          <rPr>
            <sz val="10"/>
            <color indexed="81"/>
            <rFont val="Courier New"/>
            <family val="3"/>
          </rPr>
          <t>_x000D_
    DESCRIÇÃO DO CÁLCULO_x000D_
Código    : 130.024_x000D_
Corte     : 586_x000D_
-----------------------------_x000D_
Pendente  : 15_x000D_
22 / 10_2 : 336_x000D_
22 / 11_2 : 343_x000D_
22 / 12_2 : 214_x000D_
23 / 01_2 : 105_x000D_
23 / 02_2 : 388_x000D_
23 / 03_2 : 469_x000D_
23 / 04_2 : 336_x000D_
23 / 05_2 : 379_x000D_
23 / 06_2 : 356_x000D_
23 / 07_2 : 346_x000D_
23 / 08_2 : 391_x000D_
23 / 09_2 : 349_x000D_
_x000D_
    TOTAL : ( 4.027 )_x000D_
  DIVISOR : 12_x000D_
    MÉDIA : 335,58</t>
        </r>
      </text>
    </comment>
    <comment ref="AB212" authorId="0" shapeId="0" xr:uid="{B9DE985E-53AE-45E7-AE00-8236C77B0D09}">
      <text>
        <r>
          <rPr>
            <sz val="10"/>
            <color indexed="81"/>
            <rFont val="Lucida Console"/>
            <family val="3"/>
          </rPr>
          <t>Última movimentação no estoque em 09/2023 quantidade 349.</t>
        </r>
      </text>
    </comment>
    <comment ref="R213" authorId="0" shapeId="0" xr:uid="{F983C933-2765-43CC-8E0D-4A9BC6B46244}">
      <text>
        <r>
          <rPr>
            <sz val="10"/>
            <color indexed="81"/>
            <rFont val="Lucida Console"/>
            <family val="3"/>
          </rPr>
          <t>05.05.2017</t>
        </r>
      </text>
    </comment>
    <comment ref="Y213" authorId="0" shapeId="0" xr:uid="{35E4E3BB-6A7E-4373-9A10-EA22EEDC6D70}">
      <text>
        <r>
          <rPr>
            <sz val="10"/>
            <color indexed="81"/>
            <rFont val="Courier New"/>
            <family val="3"/>
          </rPr>
          <t>_x000D_
    DESCRIÇÃO DO CÁLCULO_x000D_
Código    : 132.650_x000D_
Corte     : 460_x000D_
-----------------------------_x000D_
Pendente  : 356_x000D_
22 / 10_2 : 124_x000D_
22 / 11_2 : 133_x000D_
22 / 12_2 : 87_x000D_
23 / 01_2 : 186_x000D_
23 / 02_2 : 150_x000D_
23 / 03_2 : 460 (corte = 543)_x000D_
23 / 04_2 : 45_x000D_
23 / 05_2 : _x000D_
23 / 06_2 : 73_x000D_
23 / 07_2 : _x000D_
23 / 08_2 : _x000D_
23 / 09_2 : _x000D_
_x000D_
    TOTAL : ( 1.614 )_x000D_
  DIVISOR : 12_x000D_
    MÉDIA : 134,50_x000D_
-----------------------------_x000D_
   Valores Desconsiderados_x000D_
-----------------------------_x000D_
23 / 03_2 : 83 (543)_x000D_
_x000D_
  TOTAL   : ( 83 )</t>
        </r>
      </text>
    </comment>
    <comment ref="AB213" authorId="0" shapeId="0" xr:uid="{8DC35780-B0CB-4047-A91F-7074557EBD8B}">
      <text>
        <r>
          <rPr>
            <sz val="10"/>
            <color indexed="81"/>
            <rFont val="Lucida Console"/>
            <family val="3"/>
          </rPr>
          <t>Última movimentação no estoque em 06/2023 quantidade 73.</t>
        </r>
      </text>
    </comment>
    <comment ref="R214" authorId="0" shapeId="0" xr:uid="{72FE6CE5-EECE-43E8-9937-D368B012E083}">
      <text>
        <r>
          <rPr>
            <sz val="10"/>
            <color indexed="81"/>
            <rFont val="Lucida Console"/>
            <family val="3"/>
          </rPr>
          <t>04.02.2019</t>
        </r>
      </text>
    </comment>
    <comment ref="Y214" authorId="0" shapeId="0" xr:uid="{FCD8F35E-43F6-424E-B496-D538458EC279}">
      <text>
        <r>
          <rPr>
            <sz val="10"/>
            <color indexed="81"/>
            <rFont val="Courier New"/>
            <family val="3"/>
          </rPr>
          <t>_x000D_
    DESCRIÇÃO DO CÁLCULO_x000D_
Código    : 136.408_x000D_
Corte     : 13.454_x000D_
-----------------------------_x000D_
Pendente  : 1.047_x000D_
22 / 10_2 : 1.066_x000D_
22 / 11_2 : 1.217_x000D_
22 / 12_2 : 753_x000D_
23 / 01_2 : 438_x000D_
23 / 02_2 : 636_x000D_
23 / 03_2 : 13.454 (corte = 20690)_x000D_
23 / 04_2 : 253_x000D_
23 / 05_2 : _x000D_
23 / 06_2 : _x000D_
23 / 07_2 : 504_x000D_
23 / 08_2 : _x000D_
23 / 09_2 : _x000D_
_x000D_
    TOTAL : ( 19.368 )_x000D_
  DIVISOR : 12_x000D_
    MÉDIA : 1.614,00_x000D_
-----------------------------_x000D_
   Valores Desconsiderados_x000D_
-----------------------------_x000D_
23 / 03_2 : 7.236 (20.690)_x000D_
_x000D_
  TOTAL   : ( 7.236 )</t>
        </r>
      </text>
    </comment>
    <comment ref="AB214" authorId="0" shapeId="0" xr:uid="{423E57D4-D1F0-47B9-999F-CAC7548D2D2F}">
      <text>
        <r>
          <rPr>
            <sz val="10"/>
            <color indexed="81"/>
            <rFont val="Lucida Console"/>
            <family val="3"/>
          </rPr>
          <t>Última movimentação no estoque em 07/2023 quantidade 504.</t>
        </r>
      </text>
    </comment>
    <comment ref="R215" authorId="0" shapeId="0" xr:uid="{8F89525F-F2B4-4426-B260-82C0B84211DB}">
      <text>
        <r>
          <rPr>
            <sz val="10"/>
            <color indexed="81"/>
            <rFont val="Lucida Console"/>
            <family val="3"/>
          </rPr>
          <t>01.01.1901</t>
        </r>
      </text>
    </comment>
    <comment ref="Y215" authorId="0" shapeId="0" xr:uid="{63948CB1-4AF6-4F7C-8B56-5CC78E68AFF1}">
      <text>
        <r>
          <rPr>
            <sz val="10"/>
            <color indexed="81"/>
            <rFont val="Courier New"/>
            <family val="3"/>
          </rPr>
          <t>_x000D_
    DESCRIÇÃO DO CÁLCULO_x000D_
Código    : 63.839_x000D_
Corte     : 74_x000D_
-----------------------------_x000D_
Pendente  : _x000D_
22 / 10_2 : 27_x000D_
22 / 11_2 : 12_x000D_
22 / 12_2 : 16_x000D_
23 / 01_2 : 74 (corte = 84)_x000D_
23 / 02_2 : 2_x000D_
23 / 03_2 : 2_x000D_
23 / 04_2 : 21_x000D_
23 / 05_2 : 65_x000D_
23 / 06_2 : _x000D_
23 / 07_2 : _x000D_
23 / 08_2 : _x000D_
23 / 09_2 : _x000D_
_x000D_
    TOTAL : ( 219 )_x000D_
  DIVISOR : 12_x000D_
    MÉDIA : 18,25_x000D_
-----------------------------_x000D_
   Valores Desconsiderados_x000D_
-----------------------------_x000D_
23 / 01_2 : 10 (84)_x000D_
_x000D_
  TOTAL   : ( 10 )</t>
        </r>
      </text>
    </comment>
    <comment ref="AB215" authorId="0" shapeId="0" xr:uid="{D0CF6F50-2037-4C4F-A836-594607415196}">
      <text>
        <r>
          <rPr>
            <sz val="10"/>
            <color indexed="81"/>
            <rFont val="Lucida Console"/>
            <family val="3"/>
          </rPr>
          <t>Última movimentação no estoque em 05/2023 quantidade 65.</t>
        </r>
      </text>
    </comment>
    <comment ref="R216" authorId="0" shapeId="0" xr:uid="{8337414F-4C14-47C9-B17D-35DFF7E2416F}">
      <text>
        <r>
          <rPr>
            <sz val="10"/>
            <color indexed="81"/>
            <rFont val="Lucida Console"/>
            <family val="3"/>
          </rPr>
          <t>01.01.1901</t>
        </r>
      </text>
    </comment>
    <comment ref="Y216" authorId="0" shapeId="0" xr:uid="{44BF282F-6FBB-4572-9209-023AB35963D4}">
      <text>
        <r>
          <rPr>
            <sz val="10"/>
            <color indexed="81"/>
            <rFont val="Courier New"/>
            <family val="3"/>
          </rPr>
          <t>_x000D_
    DESCRIÇÃO DO CÁLCULO_x000D_
Código    : 13.186_x000D_
Corte     : 21_x000D_
-----------------------------_x000D_
Pendente  : 21_x000D_
22 / 10_2 : _x000D_
22 / 11_2 : 10_x000D_
22 / 12_2 : 21 (corte = 22)_x000D_
23 / 01_2 : 10_x000D_
23 / 02_2 : _x000D_
23 / 03_2 : _x000D_
23 / 04_2 : _x000D_
23 / 05_2 : _x000D_
23 / 06_2 : _x000D_
23 / 07_2 : _x000D_
23 / 08_2 : _x000D_
23 / 09_2 : _x000D_
_x000D_
    TOTAL : ( 62 )_x000D_
  DIVISOR : 12_x000D_
    MÉDIA : 5,17_x000D_
-----------------------------_x000D_
   Valores Desconsiderados_x000D_
-----------------------------_x000D_
22 / 12_2 : 1 (22)_x000D_
_x000D_
  TOTAL   : ( 1 )</t>
        </r>
      </text>
    </comment>
    <comment ref="AB216" authorId="0" shapeId="0" xr:uid="{6CE78EB5-B6F4-4A75-A0A1-39AE5050D358}">
      <text>
        <r>
          <rPr>
            <sz val="10"/>
            <color indexed="81"/>
            <rFont val="Lucida Console"/>
            <family val="3"/>
          </rPr>
          <t>Última movimentação no estoque em 01/2023 quantidade 10.</t>
        </r>
      </text>
    </comment>
    <comment ref="R217" authorId="0" shapeId="0" xr:uid="{2279B9C9-2D0B-4D6F-A6E7-8D5F6B2C5C40}">
      <text>
        <r>
          <rPr>
            <sz val="10"/>
            <color indexed="81"/>
            <rFont val="Lucida Console"/>
            <family val="3"/>
          </rPr>
          <t>01.01.1901</t>
        </r>
      </text>
    </comment>
    <comment ref="Y217" authorId="0" shapeId="0" xr:uid="{5BF98B55-047B-4612-B6B5-2212E44639B6}">
      <text>
        <r>
          <rPr>
            <sz val="10"/>
            <color indexed="81"/>
            <rFont val="Courier New"/>
            <family val="3"/>
          </rPr>
          <t>_x000D_
    DESCRIÇÃO DO CÁLCULO_x000D_
Código    : 13.063_x000D_
Corte     : 105_x000D_
-----------------------------_x000D_
Pendente  : _x000D_
22 / 10_2 : 42_x000D_
22 / 11_2 : 72_x000D_
22 / 12_2 : 80_x000D_
23 / 01_2 : 51_x000D_
23 / 02_2 : 27_x000D_
23 / 03_2 : 79_x000D_
23 / 04_2 : 53_x000D_
23 / 05_2 : 80_x000D_
23 / 06_2 : _x000D_
23 / 07_2 : 33_x000D_
23 / 08_2 : 80_x000D_
23 / 09_2 : 30_x000D_
_x000D_
    TOTAL : ( 627 )_x000D_
  DIVISOR : 12_x000D_
    MÉDIA : 52,25</t>
        </r>
      </text>
    </comment>
    <comment ref="AB217" authorId="0" shapeId="0" xr:uid="{2824645F-7A77-4219-B22B-4CE36A9961F2}">
      <text>
        <r>
          <rPr>
            <sz val="10"/>
            <color indexed="81"/>
            <rFont val="Lucida Console"/>
            <family val="3"/>
          </rPr>
          <t>Última movimentação no estoque em 09/2023 quantidade 30.</t>
        </r>
      </text>
    </comment>
    <comment ref="R218" authorId="0" shapeId="0" xr:uid="{10052B71-EC4E-4B6E-A030-12FF596B0A49}">
      <text>
        <r>
          <rPr>
            <sz val="10"/>
            <color indexed="81"/>
            <rFont val="Lucida Console"/>
            <family val="3"/>
          </rPr>
          <t>01.01.1901</t>
        </r>
      </text>
    </comment>
    <comment ref="Y218" authorId="0" shapeId="0" xr:uid="{33222963-183F-47D5-82C6-ED9FBDD10FED}">
      <text>
        <r>
          <rPr>
            <sz val="10"/>
            <color indexed="81"/>
            <rFont val="Courier New"/>
            <family val="3"/>
          </rPr>
          <t>_x000D_
    DESCRIÇÃO DO CÁLCULO_x000D_
Código    : 11.287_x000D_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218" authorId="0" shapeId="0" xr:uid="{9FB7D679-5DE8-40F3-82F0-075DDB1B1A3F}">
      <text>
        <r>
          <rPr>
            <sz val="10"/>
            <color indexed="81"/>
            <rFont val="Lucida Console"/>
            <family val="3"/>
          </rPr>
          <t>Última movimentação no estoque em 09/2023 quantidade 30.</t>
        </r>
      </text>
    </comment>
    <comment ref="R219" authorId="0" shapeId="0" xr:uid="{E690BCA9-D2BF-4BF2-BCD2-1960A7FB9AD4}">
      <text>
        <r>
          <rPr>
            <sz val="10"/>
            <color indexed="81"/>
            <rFont val="Lucida Console"/>
            <family val="3"/>
          </rPr>
          <t>13.05.2008</t>
        </r>
      </text>
    </comment>
    <comment ref="Y219" authorId="0" shapeId="0" xr:uid="{A9E1A0DD-FA8D-43B1-BED1-059B9D3ED367}">
      <text>
        <r>
          <rPr>
            <sz val="10"/>
            <color indexed="81"/>
            <rFont val="Courier New"/>
            <family val="3"/>
          </rPr>
          <t>_x000D_
    DESCRIÇÃO DO CÁLCULO_x000D_
Código    : 106.414_x000D_
Corte     : 665_x000D_
-----------------------------_x000D_
Pendente  : _x000D_
22 / 10_2 : 356_x000D_
22 / 11_2 : 220_x000D_
22 / 12_2 : 550_x000D_
23 / 01_2 : 618_x000D_
23 / 02_2 : 280_x000D_
23 / 03_2 : 393_x000D_
23 / 04_2 : 280_x000D_
23 / 05_2 : 190_x000D_
23 / 06_2 : 520_x000D_
23 / 07_2 : 220_x000D_
23 / 08_2 : 500_x000D_
23 / 09_2 : 400_x000D_
_x000D_
    TOTAL : ( 4.527 )_x000D_
  DIVISOR : 12_x000D_
    MÉDIA : 377,25</t>
        </r>
      </text>
    </comment>
    <comment ref="AB219" authorId="0" shapeId="0" xr:uid="{1A9C48A5-EDD2-421D-B8F2-80A17ECEB27F}">
      <text>
        <r>
          <rPr>
            <sz val="10"/>
            <color indexed="81"/>
            <rFont val="Lucida Console"/>
            <family val="3"/>
          </rPr>
          <t>Última movimentação no estoque em 09/2023 quantidade 400.</t>
        </r>
      </text>
    </comment>
    <comment ref="R220" authorId="0" shapeId="0" xr:uid="{4729A472-C4C5-4E98-AF01-5098A7FFF7B8}">
      <text>
        <r>
          <rPr>
            <sz val="10"/>
            <color indexed="81"/>
            <rFont val="Lucida Console"/>
            <family val="3"/>
          </rPr>
          <t>13.05.2008</t>
        </r>
      </text>
    </comment>
    <comment ref="Y220" authorId="0" shapeId="0" xr:uid="{F726F748-8C0C-46D6-BF6A-9C058D6DD275}">
      <text>
        <r>
          <rPr>
            <sz val="10"/>
            <color indexed="81"/>
            <rFont val="Courier New"/>
            <family val="3"/>
          </rPr>
          <t>_x000D_
    DESCRIÇÃO DO CÁLCULO_x000D_
Código    : 106.408_x000D_
Corte     : 43_x000D_
-----------------------------_x000D_
Pendente  : _x000D_
22 / 10_2 : _x000D_
22 / 11_2 : 6_x000D_
22 / 12_2 : 10_x000D_
23 / 01_2 : 43 (corte = 59)_x000D_
23 / 02_2 : 26_x000D_
23 / 03_2 : _x000D_
23 / 04_2 : _x000D_
23 / 05_2 : _x000D_
23 / 06_2 : 6_x000D_
23 / 07_2 : 4_x000D_
23 / 08_2 : _x000D_
23 / 09_2 : _x000D_
_x000D_
    TOTAL : ( 95 )_x000D_
  DIVISOR : 12_x000D_
    MÉDIA : 7,92_x000D_
-----------------------------_x000D_
   Valores Desconsiderados_x000D_
-----------------------------_x000D_
23 / 01_2 : 16 (59)_x000D_
_x000D_
  TOTAL   : ( 16 )</t>
        </r>
      </text>
    </comment>
    <comment ref="AB220" authorId="0" shapeId="0" xr:uid="{6E9CC2C9-17B3-4118-A194-9C0E6593ED41}">
      <text>
        <r>
          <rPr>
            <sz val="10"/>
            <color indexed="81"/>
            <rFont val="Lucida Console"/>
            <family val="3"/>
          </rPr>
          <t>Última movimentação no estoque em 07/2023 quantidade 4.</t>
        </r>
      </text>
    </comment>
    <comment ref="R221" authorId="0" shapeId="0" xr:uid="{473DAB5B-0BFB-43B8-9916-A18D8182AFEE}">
      <text>
        <r>
          <rPr>
            <sz val="10"/>
            <color indexed="81"/>
            <rFont val="Lucida Console"/>
            <family val="3"/>
          </rPr>
          <t>14.10.2014</t>
        </r>
      </text>
    </comment>
    <comment ref="Y221" authorId="0" shapeId="0" xr:uid="{928D2452-2E78-4AE8-9CE2-F0F2BAC12FB8}">
      <text>
        <r>
          <rPr>
            <sz val="10"/>
            <color indexed="81"/>
            <rFont val="Courier New"/>
            <family val="3"/>
          </rPr>
          <t>_x000D_
    DESCRIÇÃO DO CÁLCULO_x000D_
Código    : 128.819_x000D_
Corte     : 79_x000D_
-----------------------------_x000D_
Pendente  : _x000D_
22 / 10_2 : _x000D_
22 / 11_2 : 6_x000D_
22 / 12_2 : 20_x000D_
23 / 01_2 : 79 (corte = 110)_x000D_
23 / 02_2 : 36_x000D_
23 / 03_2 : _x000D_
23 / 04_2 : _x000D_
23 / 05_2 : _x000D_
23 / 06_2 : 10_x000D_
23 / 07_2 : 10_x000D_
23 / 08_2 : _x000D_
23 / 09_2 : _x000D_
_x000D_
    TOTAL : ( 161 )_x000D_
  DIVISOR : 12_x000D_
    MÉDIA : 13,42_x000D_
-----------------------------_x000D_
   Valores Desconsiderados_x000D_
-----------------------------_x000D_
23 / 01_2 : 31 (110)_x000D_
_x000D_
  TOTAL   : ( 31 )</t>
        </r>
      </text>
    </comment>
    <comment ref="AB221" authorId="0" shapeId="0" xr:uid="{18E1E293-3E2B-41E4-97A0-7DFA48E296DE}">
      <text>
        <r>
          <rPr>
            <sz val="10"/>
            <color indexed="81"/>
            <rFont val="Lucida Console"/>
            <family val="3"/>
          </rPr>
          <t>Última movimentação no estoque em 07/2023 quantidade 10.</t>
        </r>
      </text>
    </comment>
    <comment ref="R222" authorId="0" shapeId="0" xr:uid="{1C9DD04E-C644-45F1-8914-B740B43B49DB}">
      <text>
        <r>
          <rPr>
            <sz val="10"/>
            <color indexed="81"/>
            <rFont val="Lucida Console"/>
            <family val="3"/>
          </rPr>
          <t>14.10.2014</t>
        </r>
      </text>
    </comment>
    <comment ref="Y222" authorId="0" shapeId="0" xr:uid="{705D5E16-B058-45D4-A3F0-8DC56E1DC670}">
      <text>
        <r>
          <rPr>
            <sz val="10"/>
            <color indexed="81"/>
            <rFont val="Courier New"/>
            <family val="3"/>
          </rPr>
          <t>_x000D_
    DESCRIÇÃO DO CÁLCULO_x000D_
Código    : 128.818_x000D_
Corte     : 1.134_x000D_
-----------------------------_x000D_
Pendente  : _x000D_
22 / 10_2 : 590_x000D_
22 / 11_2 : 300_x000D_
22 / 12_2 : 940_x000D_
23 / 01_2 : 835_x000D_
23 / 02_2 : 420_x000D_
23 / 03_2 : 482_x000D_
23 / 04_2 : 500_x000D_
23 / 05_2 : 140_x000D_
23 / 06_2 : 800_x000D_
23 / 07_2 : _x000D_
23 / 08_2 : 560_x000D_
23 / 09_2 : 900_x000D_
_x000D_
    TOTAL : ( 6.467 )_x000D_
  DIVISOR : 12_x000D_
    MÉDIA : 538,92</t>
        </r>
      </text>
    </comment>
    <comment ref="AB222" authorId="0" shapeId="0" xr:uid="{C9A3FF76-7F7C-4856-BA12-F37BCC454A0C}">
      <text>
        <r>
          <rPr>
            <sz val="10"/>
            <color indexed="81"/>
            <rFont val="Lucida Console"/>
            <family val="3"/>
          </rPr>
          <t>Última movimentação no estoque em 09/2023 quantidade 900.</t>
        </r>
      </text>
    </comment>
    <comment ref="R223" authorId="0" shapeId="0" xr:uid="{CDCAFA85-46B7-427C-A890-0F24265F7F5D}">
      <text>
        <r>
          <rPr>
            <sz val="10"/>
            <color indexed="81"/>
            <rFont val="Lucida Console"/>
            <family val="3"/>
          </rPr>
          <t>16.04.2008</t>
        </r>
      </text>
    </comment>
    <comment ref="Y223" authorId="0" shapeId="0" xr:uid="{B73E8E94-EF83-4877-9DFC-B05CC1E7FF1F}">
      <text>
        <r>
          <rPr>
            <sz val="10"/>
            <color indexed="81"/>
            <rFont val="Courier New"/>
            <family val="3"/>
          </rPr>
          <t>_x000D_
    DESCRIÇÃO DO CÁLCULO_x000D_
Código    : 106.038_x000D_
Corte     : 53_x000D_
-----------------------------_x000D_
Pendente  : 20_x000D_
22 / 10_2 : _x000D_
22 / 11_2 : _x000D_
22 / 12_2 : 53 (corte = 80)_x000D_
23 / 01_2 : _x000D_
23 / 02_2 : _x000D_
23 / 03_2 : _x000D_
23 / 04_2 : _x000D_
23 / 05_2 : _x000D_
23 / 06_2 : _x000D_
23 / 07_2 : _x000D_
23 / 08_2 : _x000D_
23 / 09_2 : _x000D_
_x000D_
    TOTAL : ( 73 )_x000D_
  DIVISOR : 12_x000D_
    MÉDIA : 6,08_x000D_
-----------------------------_x000D_
   Valores Desconsiderados_x000D_
-----------------------------_x000D_
22 / 12_2 : 27 (80)_x000D_
_x000D_
  TOTAL   : ( 27 )</t>
        </r>
      </text>
    </comment>
    <comment ref="AB223" authorId="0" shapeId="0" xr:uid="{A1204F71-9CC3-4FD8-A895-03F9CE6C9490}">
      <text>
        <r>
          <rPr>
            <sz val="10"/>
            <color indexed="81"/>
            <rFont val="Lucida Console"/>
            <family val="3"/>
          </rPr>
          <t>Última movimentação no estoque em 12/2022 quantidade 80.</t>
        </r>
      </text>
    </comment>
    <comment ref="R224" authorId="0" shapeId="0" xr:uid="{A4155DE2-708B-4D35-917F-0BBC919324AF}">
      <text>
        <r>
          <rPr>
            <sz val="10"/>
            <color indexed="81"/>
            <rFont val="Lucida Console"/>
            <family val="3"/>
          </rPr>
          <t>04.04.2013</t>
        </r>
      </text>
    </comment>
    <comment ref="Y224" authorId="0" shapeId="0" xr:uid="{D62F408E-5D6C-4B7C-BE34-77E033B4DA8F}">
      <text>
        <r>
          <rPr>
            <sz val="10"/>
            <color indexed="81"/>
            <rFont val="Courier New"/>
            <family val="3"/>
          </rPr>
          <t>_x000D_
    DESCRIÇÃO DO CÁLCULO_x000D_
Código    : 125.269_x000D_
Corte     : 83_x000D_
-----------------------------_x000D_
Pendente  : _x000D_
22 / 10_2 : _x000D_
22 / 11_2 : 30_x000D_
22 / 12_2 : 83 (corte = 120)_x000D_
23 / 01_2 : 15_x000D_
23 / 02_2 : _x000D_
23 / 03_2 : _x000D_
23 / 04_2 : _x000D_
23 / 05_2 : _x000D_
23 / 06_2 : _x000D_
23 / 07_2 : _x000D_
23 / 08_2 : _x000D_
23 / 09_2 : _x000D_
_x000D_
    TOTAL : ( 128 )_x000D_
  DIVISOR : 12_x000D_
    MÉDIA : 10,67_x000D_
-----------------------------_x000D_
   Valores Desconsiderados_x000D_
-----------------------------_x000D_
22 / 12_2 : 37 (120)_x000D_
_x000D_
  TOTAL   : ( 37 )</t>
        </r>
      </text>
    </comment>
    <comment ref="AB224" authorId="0" shapeId="0" xr:uid="{BB23823B-B134-437C-A87C-A40DF2491383}">
      <text>
        <r>
          <rPr>
            <sz val="10"/>
            <color indexed="81"/>
            <rFont val="Lucida Console"/>
            <family val="3"/>
          </rPr>
          <t>Última movimentação no estoque em 01/2023 quantidade 15.</t>
        </r>
      </text>
    </comment>
    <comment ref="R225" authorId="0" shapeId="0" xr:uid="{326EC70E-4D99-4820-9D27-29E117882464}">
      <text>
        <r>
          <rPr>
            <sz val="10"/>
            <color indexed="81"/>
            <rFont val="Lucida Console"/>
            <family val="3"/>
          </rPr>
          <t>01.01.1901</t>
        </r>
      </text>
    </comment>
    <comment ref="Y225" authorId="0" shapeId="0" xr:uid="{FA7AE3F9-81E0-4341-B8C6-A18733229BF9}">
      <text>
        <r>
          <rPr>
            <sz val="10"/>
            <color indexed="81"/>
            <rFont val="Courier New"/>
            <family val="3"/>
          </rPr>
          <t>_x000D_
    DESCRIÇÃO DO CÁLCULO_x000D_
Código    : 15.267_x000D_
Corte     : 19_x000D_
-----------------------------_x000D_
Pendente  : _x000D_
22 / 10_2 : _x000D_
22 / 11_2 : _x000D_
22 / 12_2 : _x000D_
23 / 01_2 : _x000D_
23 / 02_2 : _x000D_
23 / 03_2 : _x000D_
23 / 04_2 : _x000D_
23 / 05_2 : _x000D_
23 / 06_2 : 19 (corte = 30)_x000D_
23 / 07_2 : _x000D_
23 / 08_2 : _x000D_
23 / 09_2 : _x000D_
_x000D_
    TOTAL : ( 19 )_x000D_
  DIVISOR : 12_x000D_
    MÉDIA : 1,58_x000D_
-----------------------------_x000D_
   Valores Desconsiderados_x000D_
-----------------------------_x000D_
23 / 06_2 : 11 (30)_x000D_
_x000D_
  TOTAL   : ( 11 )</t>
        </r>
      </text>
    </comment>
    <comment ref="AB225" authorId="0" shapeId="0" xr:uid="{CEC2E345-4711-4E04-AAF0-8653D839F185}">
      <text>
        <r>
          <rPr>
            <sz val="10"/>
            <color indexed="81"/>
            <rFont val="Lucida Console"/>
            <family val="3"/>
          </rPr>
          <t>Última movimentação no estoque em 06/2023 quantidade 30.</t>
        </r>
      </text>
    </comment>
    <comment ref="R226" authorId="0" shapeId="0" xr:uid="{A35838AF-5B1C-4D1E-92D3-8424A9365059}">
      <text>
        <r>
          <rPr>
            <sz val="10"/>
            <color indexed="81"/>
            <rFont val="Lucida Console"/>
            <family val="3"/>
          </rPr>
          <t>08.03.2004</t>
        </r>
      </text>
    </comment>
    <comment ref="Y226" authorId="0" shapeId="0" xr:uid="{B53CFC1D-C094-4100-977B-C887067EAB20}">
      <text>
        <r>
          <rPr>
            <sz val="10"/>
            <color indexed="81"/>
            <rFont val="Courier New"/>
            <family val="3"/>
          </rPr>
          <t>_x000D_
    DESCRIÇÃO DO CÁLCULO_x000D_
Código    : 77.493_x000D_
Corte     : 13_x000D_
-----------------------------_x000D_
Pendente  : _x000D_
22 / 10_2 : _x000D_
22 / 11_2 : _x000D_
22 / 12_2 : _x000D_
23 / 01_2 : _x000D_
23 / 02_2 : _x000D_
23 / 03_2 : _x000D_
23 / 04_2 : _x000D_
23 / 05_2 : _x000D_
23 / 06_2 : 13 (corte = 20)_x000D_
23 / 07_2 : _x000D_
23 / 08_2 : _x000D_
23 / 09_2 : _x000D_
_x000D_
    TOTAL : ( 13 )_x000D_
  DIVISOR : 12_x000D_
    MÉDIA : 1,08_x000D_
-----------------------------_x000D_
   Valores Desconsiderados_x000D_
-----------------------------_x000D_
23 / 06_2 : 7 (20)_x000D_
_x000D_
  TOTAL   : ( 7 )</t>
        </r>
      </text>
    </comment>
    <comment ref="AB226" authorId="0" shapeId="0" xr:uid="{5FCAF28A-1138-43C4-8074-84D3C4CB0180}">
      <text>
        <r>
          <rPr>
            <sz val="10"/>
            <color indexed="81"/>
            <rFont val="Lucida Console"/>
            <family val="3"/>
          </rPr>
          <t>Última movimentação no estoque em 06/2023 quantidade 20.</t>
        </r>
      </text>
    </comment>
    <comment ref="R227" authorId="0" shapeId="0" xr:uid="{4D322CFD-1E27-43F4-A6EA-507DAA2E0470}">
      <text>
        <r>
          <rPr>
            <sz val="10"/>
            <color indexed="81"/>
            <rFont val="Lucida Console"/>
            <family val="3"/>
          </rPr>
          <t>01.01.1901</t>
        </r>
      </text>
    </comment>
    <comment ref="Y227" authorId="0" shapeId="0" xr:uid="{C0BEE385-5A26-4EF8-BDC2-9157FADB5BA9}">
      <text>
        <r>
          <rPr>
            <sz val="10"/>
            <color indexed="81"/>
            <rFont val="Courier New"/>
            <family val="3"/>
          </rPr>
          <t>_x000D_
    DESCRIÇÃO DO CÁLCULO_x000D_
Código    : 15.272_x000D_
Corte     : 14_x000D_
-----------------------------_x000D_
Pendente  : _x000D_
22 / 10_2 : _x000D_
22 / 11_2 : 10_x000D_
22 / 12_2 : _x000D_
23 / 01_2 : _x000D_
23 / 02_2 : _x000D_
23 / 03_2 : 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7" authorId="0" shapeId="0" xr:uid="{9EC54B25-B437-4C85-B24E-BD8A487F16DA}">
      <text>
        <r>
          <rPr>
            <sz val="10"/>
            <color indexed="81"/>
            <rFont val="Lucida Console"/>
            <family val="3"/>
          </rPr>
          <t>Última movimentação no estoque em 06/2023 quantidade 20.</t>
        </r>
      </text>
    </comment>
    <comment ref="R228" authorId="0" shapeId="0" xr:uid="{7C8F61C8-964C-4956-ADC8-F7A5FA904757}">
      <text>
        <r>
          <rPr>
            <sz val="10"/>
            <color indexed="81"/>
            <rFont val="Lucida Console"/>
            <family val="3"/>
          </rPr>
          <t>01.01.1901</t>
        </r>
      </text>
    </comment>
    <comment ref="Y228" authorId="0" shapeId="0" xr:uid="{19005A8A-9AD7-4F45-B71A-F5666AA9F923}">
      <text>
        <r>
          <rPr>
            <sz val="10"/>
            <color indexed="81"/>
            <rFont val="Courier New"/>
            <family val="3"/>
          </rPr>
          <t>_x000D_
    DESCRIÇÃO DO CÁLCULO_x000D_
Código    : 15.465_x000D_
Corte     : 14_x000D_
-----------------------------_x000D_
Pendente  : _x000D_
22 / 10_2 : _x000D_
22 / 11_2 : _x000D_
22 / 12_2 : _x000D_
23 / 01_2 : _x000D_
23 / 02_2 : _x000D_
23 / 03_2 : 10_x000D_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8" authorId="0" shapeId="0" xr:uid="{A69DB553-03D4-4DC4-B39B-2DEAB5066490}">
      <text>
        <r>
          <rPr>
            <sz val="10"/>
            <color indexed="81"/>
            <rFont val="Lucida Console"/>
            <family val="3"/>
          </rPr>
          <t>Última movimentação no estoque em 06/2023 quantidade 20.</t>
        </r>
      </text>
    </comment>
    <comment ref="R229" authorId="0" shapeId="0" xr:uid="{53025443-130A-4E8F-8642-60E89810CD38}">
      <text>
        <r>
          <rPr>
            <sz val="10"/>
            <color indexed="81"/>
            <rFont val="Lucida Console"/>
            <family val="3"/>
          </rPr>
          <t>01.01.1901</t>
        </r>
      </text>
    </comment>
    <comment ref="Y229" authorId="0" shapeId="0" xr:uid="{272C1501-D784-4E33-9C5A-2083391682DD}">
      <text>
        <r>
          <rPr>
            <sz val="10"/>
            <color indexed="81"/>
            <rFont val="Courier New"/>
            <family val="3"/>
          </rPr>
          <t>_x000D_
    DESCRIÇÃO DO CÁLCULO_x000D_
Código    : 15.466_x000D_
Corte     : 16_x000D_
-----------------------------_x000D_
Pendente  : _x000D_
22 / 10_2 : 4_x000D_
22 / 11_2 : _x000D_
22 / 12_2 : _x000D_
23 / 01_2 : _x000D_
23 / 02_2 : _x000D_
23 / 03_2 : _x000D_
23 / 04_2 : _x000D_
23 / 05_2 : 15_x000D_
23 / 06_2 : 16 (corte = 20)_x000D_
23 / 07_2 : _x000D_
23 / 08_2 : _x000D_
23 / 09_2 : _x000D_
_x000D_
    TOTAL : ( 35 )_x000D_
  DIVISOR : 12_x000D_
    MÉDIA : 2,92_x000D_
-----------------------------_x000D_
   Valores Desconsiderados_x000D_
-----------------------------_x000D_
23 / 06_2 : 4 (20)_x000D_
_x000D_
  TOTAL   : ( 4 )</t>
        </r>
      </text>
    </comment>
    <comment ref="AB229" authorId="0" shapeId="0" xr:uid="{6DA289FC-878A-43F2-8694-6FD32F8510CA}">
      <text>
        <r>
          <rPr>
            <sz val="10"/>
            <color indexed="81"/>
            <rFont val="Lucida Console"/>
            <family val="3"/>
          </rPr>
          <t>Última movimentação no estoque em 06/2023 quantidade 20.</t>
        </r>
      </text>
    </comment>
    <comment ref="R230" authorId="0" shapeId="0" xr:uid="{2F25E011-2EFB-4FE9-8602-1C2FFDA251A0}">
      <text>
        <r>
          <rPr>
            <sz val="10"/>
            <color indexed="81"/>
            <rFont val="Lucida Console"/>
            <family val="3"/>
          </rPr>
          <t>01.01.1901</t>
        </r>
      </text>
    </comment>
    <comment ref="Y230" authorId="0" shapeId="0" xr:uid="{6E87F3F1-903F-4A10-9BFF-C52B78C9BD5B}">
      <text>
        <r>
          <rPr>
            <sz val="10"/>
            <color indexed="81"/>
            <rFont val="Courier New"/>
            <family val="3"/>
          </rPr>
          <t>_x000D_
    DESCRIÇÃO DO CÁLCULO_x000D_
Código    : 15.469_x000D_
Corte     : 20_x000D_
-----------------------------_x000D_
Pendente  : _x000D_
22 / 10_2 : _x000D_
22 / 11_2 : _x000D_
22 / 12_2 : _x000D_
23 / 01_2 : 3_x000D_
23 / 02_2 : _x000D_
23 / 03_2 : _x000D_
23 / 04_2 : _x000D_
23 / 05_2 : 15_x000D_
23 / 06_2 : 20 (corte = 26)_x000D_
23 / 07_2 : _x000D_
23 / 08_2 : _x000D_
23 / 09_2 : _x000D_
_x000D_
    TOTAL : ( 38 )_x000D_
  DIVISOR : 12_x000D_
    MÉDIA : 3,17_x000D_
-----------------------------_x000D_
   Valores Desconsiderados_x000D_
-----------------------------_x000D_
23 / 06_2 : 6 (26)_x000D_
_x000D_
  TOTAL   : ( 6 )</t>
        </r>
      </text>
    </comment>
    <comment ref="AB230" authorId="0" shapeId="0" xr:uid="{AA7583AA-9E0C-408B-A15B-DE3A60A946D0}">
      <text>
        <r>
          <rPr>
            <sz val="10"/>
            <color indexed="81"/>
            <rFont val="Lucida Console"/>
            <family val="3"/>
          </rPr>
          <t>Última movimentação no estoque em 06/2023 quantidade 26.</t>
        </r>
      </text>
    </comment>
    <comment ref="R231" authorId="0" shapeId="0" xr:uid="{84A437C2-B911-400E-A339-B8A3577A48DB}">
      <text>
        <r>
          <rPr>
            <sz val="10"/>
            <color indexed="81"/>
            <rFont val="Lucida Console"/>
            <family val="3"/>
          </rPr>
          <t>01.01.1901</t>
        </r>
      </text>
    </comment>
    <comment ref="Y231" authorId="0" shapeId="0" xr:uid="{884FC2C1-415F-4348-BDB6-8B3D55AAA0D7}">
      <text>
        <r>
          <rPr>
            <sz val="10"/>
            <color indexed="81"/>
            <rFont val="Courier New"/>
            <family val="3"/>
          </rPr>
          <t>_x000D_
    DESCRIÇÃO DO CÁLCULO_x000D_
Código    : 15.473_x000D_
Corte     : 15_x000D_
-----------------------------_x000D_
Pendente  : _x000D_
22 / 10_2 : _x000D_
22 / 11_2 : _x000D_
22 / 12_2 : _x000D_
23 / 01_2 : _x000D_
23 / 02_2 : _x000D_
23 / 03_2 : _x000D_
23 / 04_2 : _x000D_
23 / 05_2 : _x000D_
23 / 06_2 : 15 (corte = 24)_x000D_
23 / 07_2 : _x000D_
23 / 08_2 : _x000D_
23 / 09_2 : _x000D_
_x000D_
    TOTAL : ( 15 )_x000D_
  DIVISOR : 12_x000D_
    MÉDIA : 1,25_x000D_
-----------------------------_x000D_
   Valores Desconsiderados_x000D_
-----------------------------_x000D_
23 / 06_2 : 9 (24)_x000D_
_x000D_
  TOTAL   : ( 9 )</t>
        </r>
      </text>
    </comment>
    <comment ref="AB231" authorId="0" shapeId="0" xr:uid="{A7845F03-88AD-4213-A047-E8A7F1F174A5}">
      <text>
        <r>
          <rPr>
            <sz val="10"/>
            <color indexed="81"/>
            <rFont val="Lucida Console"/>
            <family val="3"/>
          </rPr>
          <t>Última movimentação no estoque em 06/2023 quantidade 24.</t>
        </r>
      </text>
    </comment>
    <comment ref="R232" authorId="0" shapeId="0" xr:uid="{F32FD312-F50F-4D0D-BBA9-AEA081F2A18B}">
      <text>
        <r>
          <rPr>
            <sz val="10"/>
            <color indexed="81"/>
            <rFont val="Lucida Console"/>
            <family val="3"/>
          </rPr>
          <t>01.01.1901</t>
        </r>
      </text>
    </comment>
    <comment ref="Y232" authorId="0" shapeId="0" xr:uid="{0361A664-5128-4768-87DE-B4A1439B7435}">
      <text>
        <r>
          <rPr>
            <sz val="10"/>
            <color indexed="81"/>
            <rFont val="Courier New"/>
            <family val="3"/>
          </rPr>
          <t>_x000D_
    DESCRIÇÃO DO CÁLCULO_x000D_
Código    : 15.467_x000D_
Corte     : 15_x000D_
-----------------------------_x000D_
Pendente  : _x000D_
22 / 10_2 : _x000D_
22 / 11_2 : _x000D_
22 / 12_2 : _x000D_
23 / 01_2 : 3_x000D_
23 / 02_2 : _x000D_
23 / 03_2 : _x000D_
23 / 04_2 : _x000D_
23 / 05_2 : _x000D_
23 / 06_2 : 15 (corte = 23)_x000D_
23 / 07_2 : _x000D_
23 / 08_2 : _x000D_
23 / 09_2 : _x000D_
_x000D_
    TOTAL : ( 18 )_x000D_
  DIVISOR : 12_x000D_
    MÉDIA : 1,50_x000D_
-----------------------------_x000D_
   Valores Desconsiderados_x000D_
-----------------------------_x000D_
23 / 06_2 : 8 (23)_x000D_
_x000D_
  TOTAL   : ( 8 )</t>
        </r>
      </text>
    </comment>
    <comment ref="AB232" authorId="0" shapeId="0" xr:uid="{77A51AD6-2BD3-4EDE-BAFA-8B3FA9247B3C}">
      <text>
        <r>
          <rPr>
            <sz val="10"/>
            <color indexed="81"/>
            <rFont val="Lucida Console"/>
            <family val="3"/>
          </rPr>
          <t>Última movimentação no estoque em 06/2023 quantidade 23.</t>
        </r>
      </text>
    </comment>
    <comment ref="R233" authorId="0" shapeId="0" xr:uid="{39AC510F-59A3-484A-BBDE-6A3918CDC35E}">
      <text>
        <r>
          <rPr>
            <sz val="10"/>
            <color indexed="81"/>
            <rFont val="Lucida Console"/>
            <family val="3"/>
          </rPr>
          <t>01.01.1901</t>
        </r>
      </text>
    </comment>
    <comment ref="Y233" authorId="0" shapeId="0" xr:uid="{190F0A13-788B-4995-B7C4-65153D7A1A7E}">
      <text>
        <r>
          <rPr>
            <sz val="10"/>
            <color indexed="81"/>
            <rFont val="Courier New"/>
            <family val="3"/>
          </rPr>
          <t>_x000D_
    DESCRIÇÃO DO CÁLCULO_x000D_
Código    : 15.475_x000D_
Corte     : 14_x000D_
-----------------------------_x000D_
Pendente  : _x000D_
22 / 10_2 : _x000D_
22 / 11_2 : _x000D_
22 / 12_2 : _x000D_
23 / 01_2 : _x000D_
23 / 02_2 : _x000D_
23 / 03_2 : _x000D_
23 / 04_2 : _x000D_
23 / 05_2 : _x000D_
23 / 06_2 : 14 (corte = 20)_x000D_
23 / 07_2 : 10_x000D_
23 / 08_2 : _x000D_
23 / 09_2 : _x000D_
_x000D_
    TOTAL : ( 24 )_x000D_
  DIVISOR : 12_x000D_
    MÉDIA : 2,00_x000D_
-----------------------------_x000D_
   Valores Desconsiderados_x000D_
-----------------------------_x000D_
23 / 06_2 : 6 (20)_x000D_
_x000D_
  TOTAL   : ( 6 )</t>
        </r>
      </text>
    </comment>
    <comment ref="AB233" authorId="0" shapeId="0" xr:uid="{BCDB318F-768D-4D18-AECE-7E5830FBEDBA}">
      <text>
        <r>
          <rPr>
            <sz val="10"/>
            <color indexed="81"/>
            <rFont val="Lucida Console"/>
            <family val="3"/>
          </rPr>
          <t>Última movimentação no estoque em 07/2023 quantidade 10.</t>
        </r>
      </text>
    </comment>
    <comment ref="R234" authorId="0" shapeId="0" xr:uid="{ADED66CC-CA0E-4C82-A3EE-D3D6A9D97EB4}">
      <text>
        <r>
          <rPr>
            <sz val="10"/>
            <color indexed="81"/>
            <rFont val="Lucida Console"/>
            <family val="3"/>
          </rPr>
          <t>01.07.2004</t>
        </r>
      </text>
    </comment>
    <comment ref="Y234" authorId="0" shapeId="0" xr:uid="{90BFB45B-2CEF-4416-924E-F823ADFDE0CB}">
      <text>
        <r>
          <rPr>
            <sz val="10"/>
            <color indexed="81"/>
            <rFont val="Courier New"/>
            <family val="3"/>
          </rPr>
          <t>_x000D_
    DESCRIÇÃO DO CÁLCULO_x000D_
Código    : 80.385_x000D_
Corte     : 23_x000D_
-----------------------------_x000D_
Pendente  : _x000D_
22 / 10_2 : 5_x000D_
22 / 11_2 : _x000D_
22 / 12_2 : _x000D_
23 / 01_2 : _x000D_
23 / 02_2 : _x000D_
23 / 03_2 : 15_x000D_
23 / 04_2 : _x000D_
23 / 05_2 : 10_x000D_
23 / 06_2 : _x000D_
23 / 07_2 : _x000D_
23 / 08_2 : 23 (corte = 30)_x000D_
23 / 09_2 : _x000D_
_x000D_
    TOTAL : ( 53 )_x000D_
  DIVISOR : 12_x000D_
    MÉDIA : 4,42_x000D_
-----------------------------_x000D_
   Valores Desconsiderados_x000D_
-----------------------------_x000D_
23 / 08_2 : 7 (30)_x000D_
_x000D_
  TOTAL   : ( 7 )</t>
        </r>
      </text>
    </comment>
    <comment ref="AB234" authorId="0" shapeId="0" xr:uid="{2606DDD2-B34E-4F2C-A6A1-32DC2F7F13E8}">
      <text>
        <r>
          <rPr>
            <sz val="10"/>
            <color indexed="81"/>
            <rFont val="Lucida Console"/>
            <family val="3"/>
          </rPr>
          <t>Última movimentação no estoque em 08/2023 quantidade 30.</t>
        </r>
      </text>
    </comment>
    <comment ref="R235" authorId="0" shapeId="0" xr:uid="{72E68B83-F31C-4DE8-B32F-B003A8A079C0}">
      <text>
        <r>
          <rPr>
            <sz val="10"/>
            <color indexed="81"/>
            <rFont val="Lucida Console"/>
            <family val="3"/>
          </rPr>
          <t>15.06.2021</t>
        </r>
      </text>
    </comment>
    <comment ref="Y235" authorId="0" shapeId="0" xr:uid="{66584B34-E5A3-446E-8DF5-AF1CC7B5052B}">
      <text>
        <r>
          <rPr>
            <sz val="10"/>
            <color indexed="81"/>
            <rFont val="Courier New"/>
            <family val="3"/>
          </rPr>
          <t>_x000D_
    DESCRIÇÃO DO CÁLCULO_x000D_
Código    : 141.430_x000D_
Corte     : 31_x000D_
-----------------------------_x000D_
Pendente  : _x000D_
22 / 10_2 : 2_x000D_
22 / 11_2 : 2_x000D_
22 / 12_2 : 3_x000D_
23 / 01_2 : _x000D_
23 / 02_2 : 10_x000D_
23 / 03_2 : 8_x000D_
23 / 04_2 : 31_x000D_
23 / 05_2 : _x000D_
23 / 06_2 : 31 (corte = 32)_x000D_
23 / 07_2 : _x000D_
23 / 08_2 : 12_x000D_
23 / 09_2 : 8_x000D_
_x000D_
    TOTAL : ( 107 )_x000D_
  DIVISOR : 12_x000D_
    MÉDIA : 8,92_x000D_
-----------------------------_x000D_
   Valores Desconsiderados_x000D_
-----------------------------_x000D_
23 / 06_2 : 1 (32)_x000D_
_x000D_
  TOTAL   : ( 1 )</t>
        </r>
      </text>
    </comment>
    <comment ref="AB235" authorId="0" shapeId="0" xr:uid="{A624E612-905D-45EA-9B1E-834A345311DB}">
      <text>
        <r>
          <rPr>
            <sz val="10"/>
            <color indexed="81"/>
            <rFont val="Lucida Console"/>
            <family val="3"/>
          </rPr>
          <t>Última movimentação no estoque em 09/2023 quantidade 8.</t>
        </r>
      </text>
    </comment>
    <comment ref="R236" authorId="0" shapeId="0" xr:uid="{9D597A1E-603D-4ACA-B39C-D4D58E4FFF47}">
      <text>
        <r>
          <rPr>
            <sz val="10"/>
            <color indexed="81"/>
            <rFont val="Lucida Console"/>
            <family val="3"/>
          </rPr>
          <t>01.01.1901</t>
        </r>
      </text>
    </comment>
    <comment ref="Y236" authorId="0" shapeId="0" xr:uid="{C93B4ED0-E81E-4E28-B135-D7DF257EF796}">
      <text>
        <r>
          <rPr>
            <sz val="10"/>
            <color indexed="81"/>
            <rFont val="Courier New"/>
            <family val="3"/>
          </rPr>
          <t>_x000D_
    DESCRIÇÃO DO CÁLCULO_x000D_
Código    : 23.676_x000D_
Corte     : 1.295_x000D_
-----------------------------_x000D_
Pendente  : _x000D_
22 / 10_2 : 170_x000D_
22 / 11_2 : 370_x000D_
22 / 12_2 : 24_x000D_
23 / 01_2 : 75_x000D_
23 / 02_2 : 160_x000D_
23 / 03_2 : 420_x000D_
23 / 04_2 : 172_x000D_
23 / 05_2 : 250_x000D_
23 / 06_2 : 150_x000D_
23 / 07_2 : 1.295 (corte = 1820)_x000D_
23 / 08_2 : 200_x000D_
23 / 09_2 : _x000D_
_x000D_
    TOTAL : ( 3.286 )_x000D_
  DIVISOR : 12_x000D_
    MÉDIA : 273,83_x000D_
-----------------------------_x000D_
   Valores Desconsiderados_x000D_
-----------------------------_x000D_
23 / 07_2 : 525 (1.820)_x000D_
_x000D_
  TOTAL   : ( 525 )</t>
        </r>
      </text>
    </comment>
    <comment ref="AB236" authorId="0" shapeId="0" xr:uid="{3A748D1D-CE38-477F-A37E-7B4FCB427D38}">
      <text>
        <r>
          <rPr>
            <sz val="10"/>
            <color indexed="81"/>
            <rFont val="Lucida Console"/>
            <family val="3"/>
          </rPr>
          <t>Última movimentação no estoque em 08/2023 quantidade 200.</t>
        </r>
      </text>
    </comment>
    <comment ref="R237" authorId="0" shapeId="0" xr:uid="{07DAB31A-69D2-4E8A-B2AE-A0C635FF7A9F}">
      <text>
        <r>
          <rPr>
            <sz val="10"/>
            <color indexed="81"/>
            <rFont val="Lucida Console"/>
            <family val="3"/>
          </rPr>
          <t>20.08.2021</t>
        </r>
      </text>
    </comment>
    <comment ref="Y237" authorId="0" shapeId="0" xr:uid="{BCCC2F4B-A4A9-4912-96F1-3A678EA94298}">
      <text>
        <r>
          <rPr>
            <sz val="10"/>
            <color indexed="81"/>
            <rFont val="Courier New"/>
            <family val="3"/>
          </rPr>
          <t>_x000D_
    DESCRIÇÃO DO CÁLCULO_x000D_
Código    : 142.982_x000D_
Corte     : 20_x000D_
-----------------------------_x000D_
Pendente  : 16_x000D_
22 / 10_2 : 6_x000D_
22 / 11_2 : 16_x000D_
22 / 12_2 : 6_x000D_
23 / 01_2 : 14_x000D_
23 / 02_2 : 4_x000D_
23 / 03_2 : 16_x000D_
23 / 04_2 : 5_x000D_
23 / 05_2 : _x000D_
23 / 06_2 : _x000D_
23 / 07_2 : 4_x000D_
23 / 08_2 : _x000D_
23 / 09_2 : _x000D_
_x000D_
    TOTAL : ( 87 )_x000D_
  DIVISOR : 12_x000D_
    MÉDIA : 7,25</t>
        </r>
      </text>
    </comment>
    <comment ref="AB237" authorId="0" shapeId="0" xr:uid="{564245AB-F70F-4498-9FB3-FF7CD50D6DC5}">
      <text>
        <r>
          <rPr>
            <sz val="10"/>
            <color indexed="81"/>
            <rFont val="Lucida Console"/>
            <family val="3"/>
          </rPr>
          <t>Última movimentação no estoque em 07/2023 quantidade 4.</t>
        </r>
      </text>
    </comment>
    <comment ref="R238" authorId="0" shapeId="0" xr:uid="{8DD21864-06BA-40EA-9E96-4DF0EA133E5F}">
      <text>
        <r>
          <rPr>
            <sz val="10"/>
            <color indexed="81"/>
            <rFont val="Lucida Console"/>
            <family val="3"/>
          </rPr>
          <t>09.09.2008</t>
        </r>
      </text>
    </comment>
    <comment ref="Y238" authorId="0" shapeId="0" xr:uid="{555BEDB8-83FE-4E2D-9242-B3A157EEF7A2}">
      <text>
        <r>
          <rPr>
            <sz val="10"/>
            <color indexed="81"/>
            <rFont val="Courier New"/>
            <family val="3"/>
          </rPr>
          <t>_x000D_
    DESCRIÇÃO DO CÁLCULO_x000D_
Código    : 107.790_x000D_
Corte     : 39_x000D_
-----------------------------_x000D_
Pendente  : _x000D_
22 / 10_2 : 11_x000D_
22 / 11_2 : 5_x000D_
22 / 12_2 : 8_x000D_
23 / 01_2 : 16_x000D_
23 / 02_2 : 29_x000D_
23 / 03_2 : 38_x000D_
23 / 04_2 : 31_x000D_
23 / 05_2 : _x000D_
23 / 06_2 : _x000D_
23 / 07_2 : _x000D_
23 / 08_2 : _x000D_
23 / 09_2 : _x000D_
_x000D_
    TOTAL : ( 138 )_x000D_
  DIVISOR : 12_x000D_
    MÉDIA : 11,50</t>
        </r>
      </text>
    </comment>
    <comment ref="AB238" authorId="0" shapeId="0" xr:uid="{965D035A-C229-4F4C-9A00-08A8EC0E72A2}">
      <text>
        <r>
          <rPr>
            <sz val="10"/>
            <color indexed="81"/>
            <rFont val="Lucida Console"/>
            <family val="3"/>
          </rPr>
          <t>Última movimentação no estoque em 04/2023 quantidade 31.</t>
        </r>
      </text>
    </comment>
    <comment ref="R239" authorId="0" shapeId="0" xr:uid="{820DA3EC-74A7-486D-ADAD-2C97308AC115}">
      <text>
        <r>
          <rPr>
            <sz val="10"/>
            <color indexed="81"/>
            <rFont val="Lucida Console"/>
            <family val="3"/>
          </rPr>
          <t>01.01.1901</t>
        </r>
      </text>
    </comment>
    <comment ref="Y239" authorId="0" shapeId="0" xr:uid="{6AFD8E3E-B275-41CB-AE62-8FE2B2235B91}">
      <text>
        <r>
          <rPr>
            <sz val="10"/>
            <color indexed="81"/>
            <rFont val="Courier New"/>
            <family val="3"/>
          </rPr>
          <t>_x000D_
    DESCRIÇÃO DO CÁLCULO_x000D_
Código    : 12.654_x000D_
Corte     : 14.493_x000D_
-----------------------------_x000D_
Pendente  : 239_x000D_
22 / 10_2 : 6.790_x000D_
22 / 11_2 : 7.714_x000D_
22 / 12_2 : 5.656_x000D_
23 / 01_2 : 5.749_x000D_
23 / 02_2 : 6.917_x000D_
23 / 03_2 : 13.289_x000D_
23 / 04_2 : 8.771_x000D_
23 / 05_2 : 10.798_x000D_
23 / 06_2 : 9.680_x000D_
23 / 07_2 : 7.426_x000D_
23 / 08_2 : 8.801_x000D_
23 / 09_2 : 8.482_x000D_
_x000D_
    TOTAL : ( 100.312 )_x000D_
  DIVISOR : 12_x000D_
    MÉDIA : 8.359,33</t>
        </r>
      </text>
    </comment>
    <comment ref="AB239" authorId="0" shapeId="0" xr:uid="{2AC4AECD-5618-4DEF-998C-789019DA1102}">
      <text>
        <r>
          <rPr>
            <sz val="10"/>
            <color indexed="81"/>
            <rFont val="Lucida Console"/>
            <family val="3"/>
          </rPr>
          <t>Última movimentação no estoque em 09/2023 quantidade 8.482.</t>
        </r>
      </text>
    </comment>
    <comment ref="R240" authorId="0" shapeId="0" xr:uid="{6960DAD9-49C2-4B97-963D-F8479B6E8FC8}">
      <text>
        <r>
          <rPr>
            <sz val="10"/>
            <color indexed="81"/>
            <rFont val="Lucida Console"/>
            <family val="3"/>
          </rPr>
          <t>01.01.1901</t>
        </r>
      </text>
    </comment>
    <comment ref="Y240" authorId="0" shapeId="0" xr:uid="{D7083B6B-0B9D-41E7-BBDD-19C57FADB3D2}">
      <text>
        <r>
          <rPr>
            <sz val="10"/>
            <color indexed="81"/>
            <rFont val="Courier New"/>
            <family val="3"/>
          </rPr>
          <t>_x000D_
    DESCRIÇÃO DO CÁLCULO_x000D_
Código    : 12.652_x000D_
Corte     : 1.887_x000D_
-----------------------------_x000D_
Pendente  : 84_x000D_
22 / 10_2 : 99_x000D_
22 / 11_2 : 790_x000D_
22 / 12_2 : 412_x000D_
23 / 01_2 : 116_x000D_
23 / 02_2 : 416_x000D_
23 / 03_2 : 1.847_x000D_
23 / 04_2 : 1.372_x000D_
23 / 05_2 : 1.137_x000D_
23 / 06_2 : 1.198_x000D_
23 / 07_2 : 756_x000D_
23 / 08_2 : 696_x000D_
23 / 09_2 : 859_x000D_
_x000D_
    TOTAL : ( 9.782 )_x000D_
  DIVISOR : 12_x000D_
    MÉDIA : 815,17</t>
        </r>
      </text>
    </comment>
    <comment ref="AB240" authorId="0" shapeId="0" xr:uid="{98D12822-35E7-46A2-9201-06377B73EAAA}">
      <text>
        <r>
          <rPr>
            <sz val="10"/>
            <color indexed="81"/>
            <rFont val="Lucida Console"/>
            <family val="3"/>
          </rPr>
          <t>Última movimentação no estoque em 09/2023 quantidade 859.</t>
        </r>
      </text>
    </comment>
    <comment ref="R241" authorId="0" shapeId="0" xr:uid="{52443E7F-E1B5-467C-85D6-9AD7EB497D96}">
      <text>
        <r>
          <rPr>
            <sz val="10"/>
            <color indexed="81"/>
            <rFont val="Lucida Console"/>
            <family val="3"/>
          </rPr>
          <t>18.08.2004</t>
        </r>
      </text>
    </comment>
    <comment ref="Y241" authorId="0" shapeId="0" xr:uid="{57FC2119-EDA3-4EFC-B09C-8113C1BA8DF1}">
      <text>
        <r>
          <rPr>
            <sz val="10"/>
            <color indexed="81"/>
            <rFont val="Courier New"/>
            <family val="3"/>
          </rPr>
          <t>_x000D_
    DESCRIÇÃO DO CÁLCULO_x000D_
Código    : 81.371_x000D_
Corte     : 1.173_x000D_
-----------------------------_x000D_
Pendente  : 180_x000D_
22 / 10_2 : 191_x000D_
22 / 11_2 : 253_x000D_
22 / 12_2 : 137_x000D_
23 / 01_2 : 122_x000D_
23 / 02_2 : 128_x000D_
23 / 03_2 : 1.173 (corte = 1704)_x000D_
23 / 04_2 : 181_x000D_
23 / 05_2 : 255_x000D_
23 / 06_2 : 223_x000D_
23 / 07_2 : 193_x000D_
23 / 08_2 : 176_x000D_
23 / 09_2 : _x000D_
_x000D_
    TOTAL : ( 3.212 )_x000D_
  DIVISOR : 12_x000D_
    MÉDIA : 267,67_x000D_
-----------------------------_x000D_
   Valores Desconsiderados_x000D_
-----------------------------_x000D_
23 / 03_2 : 531 (1.704)_x000D_
_x000D_
  TOTAL   : ( 531 )</t>
        </r>
      </text>
    </comment>
    <comment ref="AB241" authorId="0" shapeId="0" xr:uid="{528AD1D7-1BC7-49E9-A376-022FF1C81E17}">
      <text>
        <r>
          <rPr>
            <sz val="10"/>
            <color indexed="81"/>
            <rFont val="Lucida Console"/>
            <family val="3"/>
          </rPr>
          <t>Última movimentação no estoque em 08/2023 quantidade 176.</t>
        </r>
      </text>
    </comment>
    <comment ref="R242" authorId="0" shapeId="0" xr:uid="{C93C7FFC-0EAF-4EF4-A709-6333D20FA57B}">
      <text>
        <r>
          <rPr>
            <sz val="10"/>
            <color indexed="81"/>
            <rFont val="Lucida Console"/>
            <family val="3"/>
          </rPr>
          <t>30.01.2017</t>
        </r>
      </text>
    </comment>
    <comment ref="Y242" authorId="0" shapeId="0" xr:uid="{55A5E413-2EF0-4F31-AB0B-C3D0159F9AB0}">
      <text>
        <r>
          <rPr>
            <sz val="10"/>
            <color indexed="81"/>
            <rFont val="Courier New"/>
            <family val="3"/>
          </rPr>
          <t>_x000D_
    DESCRIÇÃO DO CÁLCULO_x000D_
Código    : 132.400_x000D_
Corte     : 1.172_x000D_
-----------------------------_x000D_
Pendente  : 179_x000D_
22 / 10_2 : 197_x000D_
22 / 11_2 : 255_x000D_
22 / 12_2 : 140_x000D_
23 / 01_2 : 125_x000D_
23 / 02_2 : 130_x000D_
23 / 03_2 : 1.172 (corte = 1701)_x000D_
23 / 04_2 : 184_x000D_
23 / 05_2 : 255_x000D_
23 / 06_2 : 223_x000D_
23 / 07_2 : 191_x000D_
23 / 08_2 : 188_x000D_
23 / 09_2 : _x000D_
_x000D_
    TOTAL : ( 3.239 )_x000D_
  DIVISOR : 12_x000D_
    MÉDIA : 269,92_x000D_
-----------------------------_x000D_
   Valores Desconsiderados_x000D_
-----------------------------_x000D_
23 / 03_2 : 529 (1.701)_x000D_
_x000D_
  TOTAL   : ( 529 )</t>
        </r>
      </text>
    </comment>
    <comment ref="AB242" authorId="0" shapeId="0" xr:uid="{8920193A-7719-4B76-A66C-75D5DA72B5CC}">
      <text>
        <r>
          <rPr>
            <sz val="10"/>
            <color indexed="81"/>
            <rFont val="Lucida Console"/>
            <family val="3"/>
          </rPr>
          <t>Última movimentação no estoque em 08/2023 quantidade 188.</t>
        </r>
      </text>
    </comment>
    <comment ref="R243" authorId="0" shapeId="0" xr:uid="{FDB3476F-A34D-4D01-8E57-A826DC70D368}">
      <text>
        <r>
          <rPr>
            <sz val="10"/>
            <color indexed="81"/>
            <rFont val="Lucida Console"/>
            <family val="3"/>
          </rPr>
          <t>18.08.2004</t>
        </r>
      </text>
    </comment>
    <comment ref="Y243" authorId="0" shapeId="0" xr:uid="{94B19E0D-B6A9-4484-BAB5-E5E8E4E342EE}">
      <text>
        <r>
          <rPr>
            <sz val="10"/>
            <color indexed="81"/>
            <rFont val="Courier New"/>
            <family val="3"/>
          </rPr>
          <t>_x000D_
    DESCRIÇÃO DO CÁLCULO_x000D_
Código    : 81.370_x000D_
Corte     : 1.169_x000D_
-----------------------------_x000D_
Pendente  : 183_x000D_
22 / 10_2 : 195_x000D_
22 / 11_2 : 253_x000D_
22 / 12_2 : 137_x000D_
23 / 01_2 : 125_x000D_
23 / 02_2 : 126_x000D_
23 / 03_2 : 1.169 (corte = 1694)_x000D_
23 / 04_2 : 180_x000D_
23 / 05_2 : 255_x000D_
23 / 06_2 : 223_x000D_
23 / 07_2 : 191_x000D_
23 / 08_2 : 245_x000D_
23 / 09_2 : 80_x000D_
_x000D_
    TOTAL : ( 3.362 )_x000D_
  DIVISOR : 12_x000D_
    MÉDIA : 280,17_x000D_
-----------------------------_x000D_
   Valores Desconsiderados_x000D_
-----------------------------_x000D_
23 / 03_2 : 525 (1.694)_x000D_
_x000D_
  TOTAL   : ( 525 )</t>
        </r>
      </text>
    </comment>
    <comment ref="AB243" authorId="0" shapeId="0" xr:uid="{A9C02C58-62DF-47D9-A120-6738A6522944}">
      <text>
        <r>
          <rPr>
            <sz val="10"/>
            <color indexed="81"/>
            <rFont val="Lucida Console"/>
            <family val="3"/>
          </rPr>
          <t>Última movimentação no estoque em 09/2023 quantidade 80.</t>
        </r>
      </text>
    </comment>
    <comment ref="R244" authorId="0" shapeId="0" xr:uid="{E0589FAC-8A30-4F2C-919D-DE243100D402}">
      <text>
        <r>
          <rPr>
            <sz val="10"/>
            <color indexed="81"/>
            <rFont val="Lucida Console"/>
            <family val="3"/>
          </rPr>
          <t>26.03.2004</t>
        </r>
      </text>
    </comment>
    <comment ref="Y244" authorId="0" shapeId="0" xr:uid="{13A90D24-8712-40C2-A6D7-091E3B5B1B33}">
      <text>
        <r>
          <rPr>
            <sz val="10"/>
            <color indexed="81"/>
            <rFont val="Courier New"/>
            <family val="3"/>
          </rPr>
          <t>_x000D_
    DESCRIÇÃO DO CÁLCULO_x000D_
Código    : 78.055_x000D_
Corte     : 146_x000D_
-----------------------------_x000D_
Pendente  : _x000D_
22 / 10_2 : _x000D_
22 / 11_2 : _x000D_
22 / 12_2 : 13_x000D_
23 / 01_2 : 6_x000D_
23 / 02_2 : 4_x000D_
23 / 03_2 : 20_x000D_
23 / 04_2 : 146 (corte = 218)_x000D_
23 / 05_2 : _x000D_
23 / 06_2 : _x000D_
23 / 07_2 : _x000D_
23 / 08_2 : _x000D_
23 / 09_2 : _x000D_
_x000D_
    TOTAL : ( 189 )_x000D_
  DIVISOR : 12_x000D_
    MÉDIA : 15,75_x000D_
-----------------------------_x000D_
   Valores Desconsiderados_x000D_
-----------------------------_x000D_
23 / 04_2 : 72 (218)_x000D_
_x000D_
  TOTAL   : ( 72 )</t>
        </r>
      </text>
    </comment>
    <comment ref="AB244" authorId="0" shapeId="0" xr:uid="{10C2E4B8-8FD4-448C-90E5-B1A5A49CD59F}">
      <text>
        <r>
          <rPr>
            <sz val="10"/>
            <color indexed="81"/>
            <rFont val="Lucida Console"/>
            <family val="3"/>
          </rPr>
          <t>Última movimentação no estoque em 04/2023 quantidade 218.</t>
        </r>
      </text>
    </comment>
    <comment ref="R245" authorId="0" shapeId="0" xr:uid="{7BA3904C-1101-42EA-B7BE-58CBD83EF192}">
      <text>
        <r>
          <rPr>
            <sz val="10"/>
            <color indexed="81"/>
            <rFont val="Lucida Console"/>
            <family val="3"/>
          </rPr>
          <t>15.03.2018</t>
        </r>
      </text>
    </comment>
    <comment ref="Y245" authorId="0" shapeId="0" xr:uid="{881289A9-C4F2-49B8-9F1C-AD91F8A0BC1C}">
      <text>
        <r>
          <rPr>
            <sz val="10"/>
            <color indexed="81"/>
            <rFont val="Courier New"/>
            <family val="3"/>
          </rPr>
          <t>_x000D_
    DESCRIÇÃO DO CÁLCULO_x000D_
Código    : 134.569_x000D_
Corte     : 93_x000D_
-----------------------------_x000D_
Pendente  : _x000D_
22 / 10_2 : 31_x000D_
22 / 11_2 : 10_x000D_
22 / 12_2 : _x000D_
23 / 01_2 : 32_x000D_
23 / 02_2 : _x000D_
23 / 03_2 : 20_x000D_
23 / 04_2 : 93 (corte = 100)_x000D_
23 / 05_2 : 86_x000D_
23 / 06_2 : _x000D_
23 / 07_2 : _x000D_
23 / 08_2 : _x000D_
23 / 09_2 : _x000D_
_x000D_
    TOTAL : ( 272 )_x000D_
  DIVISOR : 12_x000D_
    MÉDIA : 22,67_x000D_
-----------------------------_x000D_
   Valores Desconsiderados_x000D_
-----------------------------_x000D_
23 / 04_2 : 7 (100)_x000D_
_x000D_
  TOTAL   : ( 7 )</t>
        </r>
      </text>
    </comment>
    <comment ref="AB245" authorId="0" shapeId="0" xr:uid="{1832C651-BED3-4639-AB9A-B32CE98DBC07}">
      <text>
        <r>
          <rPr>
            <sz val="10"/>
            <color indexed="81"/>
            <rFont val="Lucida Console"/>
            <family val="3"/>
          </rPr>
          <t>Última movimentação no estoque em 05/2023 quantidade 86.</t>
        </r>
      </text>
    </comment>
    <comment ref="R246" authorId="0" shapeId="0" xr:uid="{A30F44F9-D590-424B-8607-7C9A43E322AE}">
      <text>
        <r>
          <rPr>
            <sz val="10"/>
            <color indexed="81"/>
            <rFont val="Lucida Console"/>
            <family val="3"/>
          </rPr>
          <t>01.01.1901</t>
        </r>
      </text>
    </comment>
    <comment ref="Y246" authorId="0" shapeId="0" xr:uid="{B28516FD-B3D1-4030-9F06-DE3E6C5A4EBE}">
      <text>
        <r>
          <rPr>
            <sz val="10"/>
            <color indexed="81"/>
            <rFont val="Courier New"/>
            <family val="3"/>
          </rPr>
          <t>_x000D_
    DESCRIÇÃO DO CÁLCULO_x000D_
Código    : 11.448_x000D_
Corte     : 124_x000D_
-----------------------------_x000D_
Pendente  : 76_x000D_
22 / 10_2 : 63_x000D_
22 / 11_2 : 67_x000D_
22 / 12_2 : 51_x000D_
23 / 01_2 : _x000D_
23 / 02_2 : _x000D_
23 / 03_2 : _x000D_
23 / 04_2 : 71_x000D_
23 / 05_2 : 94_x000D_
23 / 06_2 : 82_x000D_
23 / 07_2 : 73_x000D_
23 / 08_2 : 65_x000D_
23 / 09_2 : 65_x000D_
_x000D_
    TOTAL : ( 707 )_x000D_
  DIVISOR : 12_x000D_
    MÉDIA : 58,92</t>
        </r>
      </text>
    </comment>
    <comment ref="AB246" authorId="0" shapeId="0" xr:uid="{EDA3952E-EEE1-4213-B922-F3EFC5E3633C}">
      <text>
        <r>
          <rPr>
            <sz val="10"/>
            <color indexed="81"/>
            <rFont val="Lucida Console"/>
            <family val="3"/>
          </rPr>
          <t>Última movimentação no estoque em 09/2023 quantidade 65.</t>
        </r>
      </text>
    </comment>
    <comment ref="R247" authorId="0" shapeId="0" xr:uid="{ED4A4477-F96C-4E95-AE4F-DC414236B0D5}">
      <text>
        <r>
          <rPr>
            <sz val="10"/>
            <color indexed="81"/>
            <rFont val="Lucida Console"/>
            <family val="3"/>
          </rPr>
          <t>26.06.2018</t>
        </r>
      </text>
    </comment>
    <comment ref="Y247" authorId="0" shapeId="0" xr:uid="{CEB886E2-E1ED-41B8-ABCF-3758AD5EDF6D}">
      <text>
        <r>
          <rPr>
            <sz val="10"/>
            <color indexed="81"/>
            <rFont val="Courier New"/>
            <family val="3"/>
          </rPr>
          <t>_x000D_
    DESCRIÇÃO DO CÁLCULO_x000D_
Código    : 135.301_x000D_
Corte     : 40_x000D_
-----------------------------_x000D_
Pendente  : _x000D_
22 / 10_2 : 19_x000D_
22 / 11_2 : 6_x000D_
22 / 12_2 : 14_x000D_
23 / 01_2 : 22_x000D_
23 / 02_2 : 20_x000D_
23 / 03_2 : 32_x000D_
23 / 04_2 : 10_x000D_
23 / 05_2 : 40_x000D_
23 / 06_2 : _x000D_
23 / 07_2 : _x000D_
23 / 08_2 : _x000D_
23 / 09_2 : 20_x000D_
_x000D_
    TOTAL : ( 183 )_x000D_
  DIVISOR : 12_x000D_
    MÉDIA : 15,25</t>
        </r>
      </text>
    </comment>
    <comment ref="AB247" authorId="0" shapeId="0" xr:uid="{D396726E-50A4-403B-9562-048447C61BFB}">
      <text>
        <r>
          <rPr>
            <sz val="10"/>
            <color indexed="81"/>
            <rFont val="Lucida Console"/>
            <family val="3"/>
          </rPr>
          <t>Última movimentação no estoque em 09/2023 quantidade 20.</t>
        </r>
      </text>
    </comment>
    <comment ref="R248" authorId="0" shapeId="0" xr:uid="{62718ADC-5CE1-423D-81B2-26DA5623727F}">
      <text>
        <r>
          <rPr>
            <sz val="10"/>
            <color indexed="81"/>
            <rFont val="Lucida Console"/>
            <family val="3"/>
          </rPr>
          <t>01.01.1901</t>
        </r>
      </text>
    </comment>
    <comment ref="Y248" authorId="0" shapeId="0" xr:uid="{0AC8EC91-CAEE-4B47-A9CE-7D51D0ABF05D}">
      <text>
        <r>
          <rPr>
            <sz val="10"/>
            <color indexed="81"/>
            <rFont val="Courier New"/>
            <family val="3"/>
          </rPr>
          <t>_x000D_
    DESCRIÇÃO DO CÁLCULO_x000D_
Código    : 25.523_x000D_
Corte     : 67_x000D_
-----------------------------_x000D_
Pendente  : _x000D_
22 / 10_2 : 33_x000D_
22 / 11_2 : 17_x000D_
22 / 12_2 : 24_x000D_
23 / 01_2 : 31_x000D_
23 / 02_2 : 15_x000D_
23 / 03_2 : 67 (corte = 71)_x000D_
23 / 04_2 : 30_x000D_
23 / 05_2 : _x000D_
23 / 06_2 : _x000D_
23 / 07_2 : _x000D_
23 / 08_2 : _x000D_
23 / 09_2 : 50_x000D_
_x000D_
    TOTAL : ( 267 )_x000D_
  DIVISOR : 12_x000D_
    MÉDIA : 22,25_x000D_
-----------------------------_x000D_
   Valores Desconsiderados_x000D_
-----------------------------_x000D_
23 / 03_2 : 4 (71)_x000D_
_x000D_
  TOTAL   : ( 4 )</t>
        </r>
      </text>
    </comment>
    <comment ref="AB248" authorId="0" shapeId="0" xr:uid="{9E06FFFE-7ED5-41FB-AFF6-B3ABA4B89416}">
      <text>
        <r>
          <rPr>
            <sz val="10"/>
            <color indexed="81"/>
            <rFont val="Lucida Console"/>
            <family val="3"/>
          </rPr>
          <t>Última movimentação no estoque em 09/2023 quantidade 50.</t>
        </r>
      </text>
    </comment>
    <comment ref="R249" authorId="0" shapeId="0" xr:uid="{CC4F91E0-3E4C-4DAE-9487-DCA80E509A7D}">
      <text>
        <r>
          <rPr>
            <sz val="10"/>
            <color indexed="81"/>
            <rFont val="Lucida Console"/>
            <family val="3"/>
          </rPr>
          <t>26.06.2018</t>
        </r>
      </text>
    </comment>
    <comment ref="Y249" authorId="0" shapeId="0" xr:uid="{103FECA3-CDD9-460D-A3A2-DC17F2D3E83F}">
      <text>
        <r>
          <rPr>
            <sz val="10"/>
            <color indexed="81"/>
            <rFont val="Courier New"/>
            <family val="3"/>
          </rPr>
          <t>_x000D_
    DESCRIÇÃO DO CÁLCULO_x000D_
Código    : 135.299_x000D_
Corte     : 16_x000D_
-----------------------------_x000D_
Pendente  : _x000D_
22 / 10_2 : 14_x000D_
22 / 11_2 : 4_x000D_
22 / 12_2 : _x000D_
23 / 01_2 : _x000D_
23 / 02_2 : 5_x000D_
23 / 03_2 : 4_x000D_
23 / 04_2 : 16 (corte = 20)_x000D_
23 / 05_2 : _x000D_
23 / 06_2 : _x000D_
23 / 07_2 : _x000D_
23 / 08_2 : _x000D_
23 / 09_2 : _x000D_
_x000D_
    TOTAL : ( 43 )_x000D_
  DIVISOR : 12_x000D_
    MÉDIA : 3,58_x000D_
-----------------------------_x000D_
   Valores Desconsiderados_x000D_
-----------------------------_x000D_
23 / 04_2 : 4 (20)_x000D_
_x000D_
  TOTAL   : ( 4 )</t>
        </r>
      </text>
    </comment>
    <comment ref="AB249" authorId="0" shapeId="0" xr:uid="{D6729FA0-1A46-4411-B067-A6097B0CDBF8}">
      <text>
        <r>
          <rPr>
            <sz val="10"/>
            <color indexed="81"/>
            <rFont val="Lucida Console"/>
            <family val="3"/>
          </rPr>
          <t>Última movimentação no estoque em 04/2023 quantidade 20.</t>
        </r>
      </text>
    </comment>
    <comment ref="R250" authorId="0" shapeId="0" xr:uid="{905A3876-28AF-49AD-82A5-EF1874C391E6}">
      <text>
        <r>
          <rPr>
            <sz val="10"/>
            <color indexed="81"/>
            <rFont val="Lucida Console"/>
            <family val="3"/>
          </rPr>
          <t>26.06.2018</t>
        </r>
      </text>
    </comment>
    <comment ref="Y250" authorId="0" shapeId="0" xr:uid="{5DE90183-2037-4D2B-AEDF-6390598A6EF7}">
      <text>
        <r>
          <rPr>
            <sz val="10"/>
            <color indexed="81"/>
            <rFont val="Courier New"/>
            <family val="3"/>
          </rPr>
          <t>_x000D_
    DESCRIÇÃO DO CÁLCULO_x000D_
Código    : 135.300_x000D_
Corte     : 21_x000D_
-----------------------------_x000D_
Pendente  : _x000D_
22 / 10_2 : 14_x000D_
22 / 11_2 : 14_x000D_
22 / 12_2 : 18_x000D_
23 / 01_2 : 11_x000D_
23 / 02_2 : 9_x000D_
23 / 03_2 : 4_x000D_
23 / 04_2 : 15_x000D_
23 / 05_2 : _x000D_
23 / 06_2 : _x000D_
23 / 07_2 : _x000D_
23 / 08_2 : _x000D_
23 / 09_2 : 10_x000D_
_x000D_
    TOTAL : ( 95 )_x000D_
  DIVISOR : 12_x000D_
    MÉDIA : 7,92</t>
        </r>
      </text>
    </comment>
    <comment ref="AB250" authorId="0" shapeId="0" xr:uid="{C67F23F7-FE3C-464A-AA02-5558C2357CD7}">
      <text>
        <r>
          <rPr>
            <sz val="10"/>
            <color indexed="81"/>
            <rFont val="Lucida Console"/>
            <family val="3"/>
          </rPr>
          <t>Última movimentação no estoque em 09/2023 quantidade 10.</t>
        </r>
      </text>
    </comment>
    <comment ref="R251" authorId="0" shapeId="0" xr:uid="{8F622259-976F-4281-8CCD-D645A89B4EBC}">
      <text>
        <r>
          <rPr>
            <sz val="10"/>
            <color indexed="81"/>
            <rFont val="Lucida Console"/>
            <family val="3"/>
          </rPr>
          <t>01.01.1901</t>
        </r>
      </text>
    </comment>
    <comment ref="Y251" authorId="0" shapeId="0" xr:uid="{9A1592AE-7476-4311-9DC1-E7F52200EDD3}">
      <text>
        <r>
          <rPr>
            <sz val="10"/>
            <color indexed="81"/>
            <rFont val="Courier New"/>
            <family val="3"/>
          </rPr>
          <t>_x000D_
    DESCRIÇÃO DO CÁLCULO_x000D_
Código    : 54.586_x000D_
Corte     : 19_x000D_
-----------------------------_x000D_
Pendente  : 1_x000D_
22 / 10_2 : 4_x000D_
22 / 11_2 : 10_x000D_
22 / 12_2 : 3_x000D_
23 / 01_2 : 19 (corte = 25)_x000D_
23 / 02_2 : 5_x000D_
23 / 03_2 : 5_x000D_
23 / 04_2 : 6_x000D_
23 / 05_2 : _x000D_
23 / 06_2 : _x000D_
23 / 07_2 : _x000D_
23 / 08_2 : 11_x000D_
23 / 09_2 : _x000D_
_x000D_
    TOTAL : ( 64 )_x000D_
  DIVISOR : 12_x000D_
    MÉDIA : 5,33_x000D_
-----------------------------_x000D_
   Valores Desconsiderados_x000D_
-----------------------------_x000D_
23 / 01_2 : 6 (25)_x000D_
_x000D_
  TOTAL   : ( 6 )</t>
        </r>
      </text>
    </comment>
    <comment ref="AB251" authorId="0" shapeId="0" xr:uid="{DB901A32-4201-4D02-962D-DF868704DB2E}">
      <text>
        <r>
          <rPr>
            <sz val="10"/>
            <color indexed="81"/>
            <rFont val="Lucida Console"/>
            <family val="3"/>
          </rPr>
          <t>Última movimentação no estoque em 08/2023 quantidade 11.</t>
        </r>
      </text>
    </comment>
    <comment ref="R252" authorId="0" shapeId="0" xr:uid="{A202D1BC-92F2-4BB8-BE84-DDC230F4B388}">
      <text>
        <r>
          <rPr>
            <sz val="10"/>
            <color indexed="81"/>
            <rFont val="Lucida Console"/>
            <family val="3"/>
          </rPr>
          <t>01.01.1901</t>
        </r>
      </text>
    </comment>
    <comment ref="Y252" authorId="0" shapeId="0" xr:uid="{0274E8D1-FD37-4C83-A8CF-5E657FE6DEB4}">
      <text>
        <r>
          <rPr>
            <sz val="10"/>
            <color indexed="81"/>
            <rFont val="Courier New"/>
            <family val="3"/>
          </rPr>
          <t>_x000D_
    DESCRIÇÃO DO CÁLCULO_x000D_
Código    : 63.277_x000D_
Corte     : 25_x000D_
-----------------------------_x000D_
Pendente  : _x000D_
22 / 10_2 : 14_x000D_
22 / 11_2 : 9_x000D_
22 / 12_2 : 21_x000D_
23 / 01_2 : 2_x000D_
23 / 02_2 : _x000D_
23 / 03_2 : _x000D_
23 / 04_2 : 20_x000D_
23 / 05_2 : 10_x000D_
23 / 06_2 : _x000D_
23 / 07_2 : 20_x000D_
23 / 08_2 : _x000D_
23 / 09_2 : _x000D_
_x000D_
    TOTAL : ( 96 )_x000D_
  DIVISOR : 12_x000D_
    MÉDIA : 8,00</t>
        </r>
      </text>
    </comment>
    <comment ref="AB252" authorId="0" shapeId="0" xr:uid="{C36408F6-7D21-4CDD-96D1-A45643F64088}">
      <text>
        <r>
          <rPr>
            <sz val="10"/>
            <color indexed="81"/>
            <rFont val="Lucida Console"/>
            <family val="3"/>
          </rPr>
          <t>Última movimentação no estoque em 07/2023 quantidade 20.</t>
        </r>
      </text>
    </comment>
    <comment ref="R253" authorId="0" shapeId="0" xr:uid="{26B3D2D3-9220-40B3-8839-C42719BD68C7}">
      <text>
        <r>
          <rPr>
            <sz val="10"/>
            <color indexed="81"/>
            <rFont val="Lucida Console"/>
            <family val="3"/>
          </rPr>
          <t>26.06.2018</t>
        </r>
      </text>
    </comment>
    <comment ref="Y253" authorId="0" shapeId="0" xr:uid="{5E4E3E1B-AD29-49AB-8329-BC500A4EB3D5}">
      <text>
        <r>
          <rPr>
            <sz val="10"/>
            <color indexed="81"/>
            <rFont val="Courier New"/>
            <family val="3"/>
          </rPr>
          <t>_x000D_
    DESCRIÇÃO DO CÁLCULO_x000D_
Código    : 135.302_x000D_
Corte     : 66_x000D_
-----------------------------_x000D_
Pendente  : _x000D_
22 / 10_2 : 8_x000D_
22 / 11_2 : 30_x000D_
22 / 12_2 : 19_x000D_
23 / 01_2 : 14_x000D_
23 / 02_2 : 47_x000D_
23 / 03_2 : 13_x000D_
23 / 04_2 : 66 (corte = 80)_x000D_
23 / 05_2 : 2_x000D_
23 / 06_2 : _x000D_
23 / 07_2 : _x000D_
23 / 08_2 : _x000D_
23 / 09_2 : _x000D_
_x000D_
    TOTAL : ( 199 )_x000D_
  DIVISOR : 12_x000D_
    MÉDIA : 16,58_x000D_
-----------------------------_x000D_
   Valores Desconsiderados_x000D_
-----------------------------_x000D_
23 / 04_2 : 14 (80)_x000D_
_x000D_
  TOTAL   : ( 14 )</t>
        </r>
      </text>
    </comment>
    <comment ref="AB253" authorId="0" shapeId="0" xr:uid="{8FCA99B1-51C1-402A-BCD9-6B7526884A89}">
      <text>
        <r>
          <rPr>
            <sz val="10"/>
            <color indexed="81"/>
            <rFont val="Lucida Console"/>
            <family val="3"/>
          </rPr>
          <t>Última movimentação no estoque em 05/2023 quantidade 2.</t>
        </r>
      </text>
    </comment>
    <comment ref="R254" authorId="0" shapeId="0" xr:uid="{5B888C1E-EF82-479A-864C-5018E6B48508}">
      <text>
        <r>
          <rPr>
            <sz val="10"/>
            <color indexed="81"/>
            <rFont val="Lucida Console"/>
            <family val="3"/>
          </rPr>
          <t>01.01.1901</t>
        </r>
      </text>
    </comment>
    <comment ref="Y254" authorId="0" shapeId="0" xr:uid="{ED97A5F3-6D77-4D45-BE79-72734E9435FF}">
      <text>
        <r>
          <rPr>
            <sz val="10"/>
            <color indexed="81"/>
            <rFont val="Courier New"/>
            <family val="3"/>
          </rPr>
          <t>_x000D_
    DESCRIÇÃO DO CÁLCULO_x000D_
Código    : 54.587_x000D_
Corte     : 26_x000D_
-----------------------------_x000D_
Pendente  : _x000D_
22 / 10_2 : 26 (corte = 36)_x000D_
22 / 11_2 : 8_x000D_
22 / 12_2 : 1_x000D_
23 / 01_2 : 6_x000D_
23 / 02_2 : _x000D_
23 / 03_2 : 10_x000D_
23 / 04_2 : _x000D_
23 / 05_2 : 10_x000D_
23 / 06_2 : _x000D_
23 / 07_2 : _x000D_
23 / 08_2 : _x000D_
23 / 09_2 : _x000D_
_x000D_
    TOTAL : ( 61 )_x000D_
  DIVISOR : 12_x000D_
    MÉDIA : 5,08_x000D_
-----------------------------_x000D_
   Valores Desconsiderados_x000D_
-----------------------------_x000D_
22 / 10_2 : 10 (36)_x000D_
_x000D_
  TOTAL   : ( 10 )</t>
        </r>
      </text>
    </comment>
    <comment ref="AB254" authorId="0" shapeId="0" xr:uid="{1EDAD2AA-D1FF-48D9-985C-16BCCD8EEB0C}">
      <text>
        <r>
          <rPr>
            <sz val="10"/>
            <color indexed="81"/>
            <rFont val="Lucida Console"/>
            <family val="3"/>
          </rPr>
          <t>Última movimentação no estoque em 05/2023 quantidade 10.</t>
        </r>
      </text>
    </comment>
    <comment ref="R255" authorId="0" shapeId="0" xr:uid="{E42FBB2F-635A-4C33-93DB-7B955B4630E2}">
      <text>
        <r>
          <rPr>
            <sz val="10"/>
            <color indexed="81"/>
            <rFont val="Lucida Console"/>
            <family val="3"/>
          </rPr>
          <t>01.01.1901</t>
        </r>
      </text>
    </comment>
    <comment ref="Y255" authorId="0" shapeId="0" xr:uid="{1361EA99-B4A2-4BD7-9D86-ABE8A7C00AC6}">
      <text>
        <r>
          <rPr>
            <sz val="10"/>
            <color indexed="81"/>
            <rFont val="Courier New"/>
            <family val="3"/>
          </rPr>
          <t>_x000D_
    DESCRIÇÃO DO CÁLCULO_x000D_
Código    : 12.881_x000D_
Corte     : 33_x000D_
-----------------------------_x000D_
Pendente  : _x000D_
22 / 10_2 : 4_x000D_
22 / 11_2 : 15_x000D_
22 / 12_2 : 15_x000D_
23 / 01_2 : 10_x000D_
23 / 02_2 : 4_x000D_
23 / 03_2 : 3_x000D_
23 / 04_2 : 29_x000D_
23 / 05_2 : 8_x000D_
23 / 06_2 : _x000D_
23 / 07_2 : 32_x000D_
23 / 08_2 : 15_x000D_
23 / 09_2 : 20_x000D_
_x000D_
    TOTAL : ( 155 )_x000D_
  DIVISOR : 12_x000D_
    MÉDIA : 12,92</t>
        </r>
      </text>
    </comment>
    <comment ref="AB255" authorId="0" shapeId="0" xr:uid="{B373405D-3FDA-489D-ABDD-CF2C405F7178}">
      <text>
        <r>
          <rPr>
            <sz val="10"/>
            <color indexed="81"/>
            <rFont val="Lucida Console"/>
            <family val="3"/>
          </rPr>
          <t>Última movimentação no estoque em 09/2023 quantidade 20.</t>
        </r>
      </text>
    </comment>
    <comment ref="R256" authorId="0" shapeId="0" xr:uid="{A69388C2-9C77-44C5-A2AF-4608F7A1BF9F}">
      <text>
        <r>
          <rPr>
            <sz val="10"/>
            <color indexed="81"/>
            <rFont val="Lucida Console"/>
            <family val="3"/>
          </rPr>
          <t>01.01.1901</t>
        </r>
      </text>
    </comment>
    <comment ref="Y256" authorId="0" shapeId="0" xr:uid="{2FBBD858-9D2A-4A1B-8008-74DD35F7C541}">
      <text>
        <r>
          <rPr>
            <sz val="10"/>
            <color indexed="81"/>
            <rFont val="Courier New"/>
            <family val="3"/>
          </rPr>
          <t>_x000D_
    DESCRIÇÃO DO CÁLCULO_x000D_
Código    : 12.884_x000D_
Corte     : 50_x000D_
-----------------------------_x000D_
Pendente  : _x000D_
22 / 10_2 : 17_x000D_
22 / 11_2 : 7_x000D_
22 / 12_2 : 12_x000D_
23 / 01_2 : 13_x000D_
23 / 02_2 : 14_x000D_
23 / 03_2 : 50 (corte = 56)_x000D_
23 / 04_2 : 26_x000D_
23 / 05_2 : 40_x000D_
23 / 06_2 : _x000D_
23 / 07_2 : 20_x000D_
23 / 08_2 : _x000D_
23 / 09_2 : 20_x000D_
_x000D_
    TOTAL : ( 219 )_x000D_
  DIVISOR : 12_x000D_
    MÉDIA : 18,25_x000D_
-----------------------------_x000D_
   Valores Desconsiderados_x000D_
-----------------------------_x000D_
23 / 03_2 : 6 (56)_x000D_
_x000D_
  TOTAL   : ( 6 )</t>
        </r>
      </text>
    </comment>
    <comment ref="AB256" authorId="0" shapeId="0" xr:uid="{877760AA-AF8F-44E6-9643-27FD4F32F7E0}">
      <text>
        <r>
          <rPr>
            <sz val="10"/>
            <color indexed="81"/>
            <rFont val="Lucida Console"/>
            <family val="3"/>
          </rPr>
          <t>Última movimentação no estoque em 09/2023 quantidade 20.</t>
        </r>
      </text>
    </comment>
    <comment ref="R257" authorId="0" shapeId="0" xr:uid="{1774C525-1D27-4A22-BCD7-36A8F23FFBAF}">
      <text>
        <r>
          <rPr>
            <sz val="10"/>
            <color indexed="81"/>
            <rFont val="Lucida Console"/>
            <family val="3"/>
          </rPr>
          <t>01.01.1901</t>
        </r>
      </text>
    </comment>
    <comment ref="Y257" authorId="0" shapeId="0" xr:uid="{682AA4BC-0F43-4252-8BBE-124B9AC6502F}">
      <text>
        <r>
          <rPr>
            <sz val="10"/>
            <color indexed="81"/>
            <rFont val="Courier New"/>
            <family val="3"/>
          </rPr>
          <t>_x000D_
    DESCRIÇÃO DO CÁLCULO_x000D_
Código    : 38.534_x000D_
Corte     : 3_x000D_
-----------------------------_x000D_
Pendente  : _x000D_
22 / 10_2 : _x000D_
22 / 11_2 : _x000D_
22 / 12_2 : _x000D_
23 / 01_2 : _x000D_
23 / 02_2 : _x000D_
23 / 03_2 : _x000D_
23 / 04_2 : 3 (corte = 6)_x000D_
23 / 05_2 : _x000D_
23 / 06_2 : _x000D_
23 / 07_2 : _x000D_
23 / 08_2 : _x000D_
23 / 09_2 : _x000D_
_x000D_
    TOTAL : ( 3 )_x000D_
  DIVISOR : 12_x000D_
    MÉDIA : ,25_x000D_
-----------------------------_x000D_
   Valores Desconsiderados_x000D_
-----------------------------_x000D_
23 / 04_2 : 3 (6)_x000D_
_x000D_
  TOTAL   : ( 3 )</t>
        </r>
      </text>
    </comment>
    <comment ref="AB257" authorId="0" shapeId="0" xr:uid="{8AA2DD50-49A3-4B2E-8071-44C348147206}">
      <text>
        <r>
          <rPr>
            <sz val="10"/>
            <color indexed="81"/>
            <rFont val="Lucida Console"/>
            <family val="3"/>
          </rPr>
          <t>Última movimentação no estoque em 04/2023 quantidade 6.</t>
        </r>
      </text>
    </comment>
    <comment ref="R258" authorId="0" shapeId="0" xr:uid="{EF7E5199-D49B-4355-98CE-58ACF2DF4131}">
      <text>
        <r>
          <rPr>
            <sz val="10"/>
            <color indexed="81"/>
            <rFont val="Lucida Console"/>
            <family val="3"/>
          </rPr>
          <t>01.01.1901</t>
        </r>
      </text>
    </comment>
    <comment ref="Y258" authorId="0" shapeId="0" xr:uid="{3FC5D931-E303-4E8A-8C19-44B136D73487}">
      <text>
        <r>
          <rPr>
            <sz val="10"/>
            <color indexed="81"/>
            <rFont val="Courier New"/>
            <family val="3"/>
          </rPr>
          <t>_x000D_
    DESCRIÇÃO DO CÁLCULO_x000D_
Código    : 12.891_x000D_
Corte     : 17_x000D_
-----------------------------_x000D_
Pendente  : _x000D_
22 / 10_2 : _x000D_
22 / 11_2 : 9_x000D_
22 / 12_2 : 5_x000D_
23 / 01_2 : 15_x000D_
23 / 02_2 : 5_x000D_
23 / 03_2 : 8_x000D_
23 / 04_2 : 10_x000D_
23 / 05_2 : 15_x000D_
23 / 06_2 : _x000D_
23 / 07_2 : _x000D_
23 / 08_2 : _x000D_
23 / 09_2 : _x000D_
_x000D_
    TOTAL : ( 67 )_x000D_
  DIVISOR : 12_x000D_
    MÉDIA : 5,58</t>
        </r>
      </text>
    </comment>
    <comment ref="AB258" authorId="0" shapeId="0" xr:uid="{1A038B23-EB65-4884-BC01-BBEADBEAC4F6}">
      <text>
        <r>
          <rPr>
            <sz val="10"/>
            <color indexed="81"/>
            <rFont val="Lucida Console"/>
            <family val="3"/>
          </rPr>
          <t>Última movimentação no estoque em 05/2023 quantidade 15.</t>
        </r>
      </text>
    </comment>
    <comment ref="R259" authorId="0" shapeId="0" xr:uid="{365A4FA5-5CDC-445D-8D8C-29ADA3075F5B}">
      <text>
        <r>
          <rPr>
            <sz val="10"/>
            <color indexed="81"/>
            <rFont val="Lucida Console"/>
            <family val="3"/>
          </rPr>
          <t>01.01.1901</t>
        </r>
      </text>
    </comment>
    <comment ref="Y259" authorId="0" shapeId="0" xr:uid="{363B1E6A-A918-4255-99AD-912223DD2DB5}">
      <text>
        <r>
          <rPr>
            <sz val="10"/>
            <color indexed="81"/>
            <rFont val="Courier New"/>
            <family val="3"/>
          </rPr>
          <t>_x000D_
    DESCRIÇÃO DO CÁLCULO_x000D_
Código    : 12.894_x000D_
Corte     : 309_x000D_
-----------------------------_x000D_
Pendente  : _x000D_
22 / 10_2 : 209_x000D_
22 / 11_2 : 130_x000D_
22 / 12_2 : 147_x000D_
23 / 01_2 : 141_x000D_
23 / 02_2 : 99_x000D_
23 / 03_2 : 295_x000D_
23 / 04_2 : 65_x000D_
23 / 05_2 : 130_x000D_
23 / 06_2 : 40_x000D_
23 / 07_2 : 55_x000D_
23 / 08_2 : 262_x000D_
23 / 09_2 : _x000D_
_x000D_
    TOTAL : ( 1.573 )_x000D_
  DIVISOR : 12_x000D_
    MÉDIA : 131,08</t>
        </r>
      </text>
    </comment>
    <comment ref="AB259" authorId="0" shapeId="0" xr:uid="{34D50FEA-10A4-440C-A6E3-C8A85373ACC1}">
      <text>
        <r>
          <rPr>
            <sz val="10"/>
            <color indexed="81"/>
            <rFont val="Lucida Console"/>
            <family val="3"/>
          </rPr>
          <t>Última movimentação no estoque em 08/2023 quantidade 262.</t>
        </r>
      </text>
    </comment>
    <comment ref="R260" authorId="0" shapeId="0" xr:uid="{657668FA-C0B0-4297-B842-5B932BED1619}">
      <text>
        <r>
          <rPr>
            <sz val="10"/>
            <color indexed="81"/>
            <rFont val="Lucida Console"/>
            <family val="3"/>
          </rPr>
          <t>01.01.1901</t>
        </r>
      </text>
    </comment>
    <comment ref="Y260" authorId="0" shapeId="0" xr:uid="{5A2F4157-8446-4918-B929-5FDA2C3D0E66}">
      <text>
        <r>
          <rPr>
            <sz val="10"/>
            <color indexed="81"/>
            <rFont val="Courier New"/>
            <family val="3"/>
          </rPr>
          <t>_x000D_
    DESCRIÇÃO DO CÁLCULO_x000D_
Código    : 12.886_x000D_
Corte     : 31_x000D_
-----------------------------_x000D_
Pendente  : _x000D_
22 / 10_2 : 14_x000D_
22 / 11_2 : 20_x000D_
22 / 12_2 : 21_x000D_
23 / 01_2 : 13_x000D_
23 / 02_2 : 13_x000D_
23 / 03_2 : _x000D_
23 / 04_2 : 24_x000D_
23 / 05_2 : _x000D_
23 / 06_2 : _x000D_
23 / 07_2 : 20_x000D_
23 / 08_2 : _x000D_
23 / 09_2 : 20_x000D_
_x000D_
    TOTAL : ( 145 )_x000D_
  DIVISOR : 12_x000D_
    MÉDIA : 12,08</t>
        </r>
      </text>
    </comment>
    <comment ref="AB260" authorId="0" shapeId="0" xr:uid="{3C4E5B4E-AC52-4C1C-B02C-0BD329541EC3}">
      <text>
        <r>
          <rPr>
            <sz val="10"/>
            <color indexed="81"/>
            <rFont val="Lucida Console"/>
            <family val="3"/>
          </rPr>
          <t>Última movimentação no estoque em 09/2023 quantidade 20.</t>
        </r>
      </text>
    </comment>
    <comment ref="R261" authorId="0" shapeId="0" xr:uid="{B199D821-C5B6-441A-8303-241A2FC9C66B}">
      <text>
        <r>
          <rPr>
            <sz val="10"/>
            <color indexed="81"/>
            <rFont val="Lucida Console"/>
            <family val="3"/>
          </rPr>
          <t>01.01.1901</t>
        </r>
      </text>
    </comment>
    <comment ref="Y261" authorId="0" shapeId="0" xr:uid="{FFCB583F-856B-4C24-9080-375A722DA238}">
      <text>
        <r>
          <rPr>
            <sz val="10"/>
            <color indexed="81"/>
            <rFont val="Courier New"/>
            <family val="3"/>
          </rPr>
          <t>_x000D_
    DESCRIÇÃO DO CÁLCULO_x000D_
Código    : 67.376_x000D_
Corte     : 22_x000D_
-----------------------------_x000D_
Pendente  : _x000D_
22 / 10_2 : 13_x000D_
22 / 11_2 : 10_x000D_
22 / 12_2 : _x000D_
23 / 01_2 : 15_x000D_
23 / 02_2 : _x000D_
23 / 03_2 : 20_x000D_
23 / 04_2 : _x000D_
23 / 05_2 : _x000D_
23 / 06_2 : _x000D_
23 / 07_2 : _x000D_
23 / 08_2 : 15_x000D_
23 / 09_2 : 10_x000D_
_x000D_
    TOTAL : ( 83 )_x000D_
  DIVISOR : 12_x000D_
    MÉDIA : 6,92</t>
        </r>
      </text>
    </comment>
    <comment ref="AB261" authorId="0" shapeId="0" xr:uid="{168B0204-6007-4D50-9F52-8AA08B8C9E96}">
      <text>
        <r>
          <rPr>
            <sz val="10"/>
            <color indexed="81"/>
            <rFont val="Lucida Console"/>
            <family val="3"/>
          </rPr>
          <t>Última movimentação no estoque em 09/2023 quantidade 10.</t>
        </r>
      </text>
    </comment>
    <comment ref="R262" authorId="0" shapeId="0" xr:uid="{85CF6820-B000-42CC-BFF5-BE86B2B06C9A}">
      <text>
        <r>
          <rPr>
            <sz val="10"/>
            <color indexed="81"/>
            <rFont val="Lucida Console"/>
            <family val="3"/>
          </rPr>
          <t>01.01.1901</t>
        </r>
      </text>
    </comment>
    <comment ref="Y262" authorId="0" shapeId="0" xr:uid="{FB21577A-F5E9-4F02-A451-EE44E06DBA01}">
      <text>
        <r>
          <rPr>
            <sz val="10"/>
            <color indexed="81"/>
            <rFont val="Courier New"/>
            <family val="3"/>
          </rPr>
          <t>_x000D_
    DESCRIÇÃO DO CÁLCULO_x000D_
Código    : 67.375_x000D_
Corte     : 25_x000D_
-----------------------------_x000D_
Pendente  : _x000D_
22 / 10_2 : 8_x000D_
22 / 11_2 : 1_x000D_
22 / 12_2 : _x000D_
23 / 01_2 : 3_x000D_
23 / 02_2 : 7_x000D_
23 / 03_2 : 25 (corte = 30)_x000D_
23 / 04_2 : _x000D_
23 / 05_2 : _x000D_
23 / 06_2 : 17_x000D_
23 / 07_2 : 13_x000D_
23 / 08_2 : _x000D_
23 / 09_2 : 10_x000D_
_x000D_
    TOTAL : ( 84 )_x000D_
  DIVISOR : 12_x000D_
    MÉDIA : 7,00_x000D_
-----------------------------_x000D_
   Valores Desconsiderados_x000D_
-----------------------------_x000D_
23 / 03_2 : 5 (30)_x000D_
_x000D_
  TOTAL   : ( 5 )</t>
        </r>
      </text>
    </comment>
    <comment ref="AB262" authorId="0" shapeId="0" xr:uid="{B6237DD7-6799-4FEC-8FFC-D55FDEAF5744}">
      <text>
        <r>
          <rPr>
            <sz val="10"/>
            <color indexed="81"/>
            <rFont val="Lucida Console"/>
            <family val="3"/>
          </rPr>
          <t>Última movimentação no estoque em 09/2023 quantidade 10.</t>
        </r>
      </text>
    </comment>
    <comment ref="R263" authorId="0" shapeId="0" xr:uid="{9C1B8E60-4B57-4B80-9707-C0E414D4383E}">
      <text>
        <r>
          <rPr>
            <sz val="10"/>
            <color indexed="81"/>
            <rFont val="Lucida Console"/>
            <family val="3"/>
          </rPr>
          <t>05.05.2010</t>
        </r>
      </text>
    </comment>
    <comment ref="Y263" authorId="0" shapeId="0" xr:uid="{A08A4A92-3B26-47CE-A494-B491E78BEB27}">
      <text>
        <r>
          <rPr>
            <sz val="10"/>
            <color indexed="81"/>
            <rFont val="Courier New"/>
            <family val="3"/>
          </rPr>
          <t>_x000D_
    DESCRIÇÃO DO CÁLCULO_x000D_
Código    : 115.135_x000D_
Corte     : 1_x000D_
-----------------------------_x000D_
Pendente  : _x000D_
22 / 10_2 : _x000D_
22 / 11_2 : _x000D_
22 / 12_2 : _x000D_
23 / 01_2 : _x000D_
23 / 02_2 : _x000D_
23 / 03_2 : _x000D_
23 / 04_2 : _x000D_
23 / 05_2 : 1 (corte = 3)_x000D_
23 / 06_2 : _x000D_
23 / 07_2 : _x000D_
23 / 08_2 : _x000D_
23 / 09_2 : _x000D_
_x000D_
    TOTAL : ( 1 )_x000D_
  DIVISOR : 12_x000D_
    MÉDIA : ,08_x000D_
-----------------------------_x000D_
   Valores Desconsiderados_x000D_
-----------------------------_x000D_
23 / 05_2 : 2 (3)_x000D_
_x000D_
  TOTAL   : ( 2 )</t>
        </r>
      </text>
    </comment>
    <comment ref="AB263" authorId="0" shapeId="0" xr:uid="{D90E14BA-BC1C-40D8-BFC3-224252057ED2}">
      <text>
        <r>
          <rPr>
            <sz val="10"/>
            <color indexed="81"/>
            <rFont val="Lucida Console"/>
            <family val="3"/>
          </rPr>
          <t>Última movimentação no estoque em 05/2023 quantidade 3.</t>
        </r>
      </text>
    </comment>
    <comment ref="R264" authorId="0" shapeId="0" xr:uid="{F042FA2E-2952-49DC-879D-F804EB9AE249}">
      <text>
        <r>
          <rPr>
            <sz val="10"/>
            <color indexed="81"/>
            <rFont val="Lucida Console"/>
            <family val="3"/>
          </rPr>
          <t>01.01.1901</t>
        </r>
      </text>
    </comment>
    <comment ref="Y264" authorId="0" shapeId="0" xr:uid="{96F97F35-53CA-4BE1-8AE1-1F9E704671E7}">
      <text>
        <r>
          <rPr>
            <sz val="10"/>
            <color indexed="81"/>
            <rFont val="Courier New"/>
            <family val="3"/>
          </rPr>
          <t>_x000D_
    DESCRIÇÃO DO CÁLCULO_x000D_
Código    : 14.784_x000D_
Corte     : 70_x000D_
-----------------------------_x000D_
Pendente  : 52_x000D_
22 / 10_2 : 10_x000D_
22 / 11_2 : _x000D_
22 / 12_2 : 52_x000D_
23 / 01_2 : 61_x000D_
23 / 02_2 : 10_x000D_
23 / 03_2 : 42_x000D_
23 / 04_2 : 38_x000D_
23 / 05_2 : _x000D_
23 / 06_2 : _x000D_
23 / 07_2 : _x000D_
23 / 08_2 : _x000D_
23 / 09_2 : _x000D_
_x000D_
    TOTAL : ( 265 )_x000D_
  DIVISOR : 12_x000D_
    MÉDIA : 22,08</t>
        </r>
      </text>
    </comment>
    <comment ref="AB264" authorId="0" shapeId="0" xr:uid="{C75F05C7-29C5-411B-B6A0-D33D78F3E4CA}">
      <text>
        <r>
          <rPr>
            <sz val="10"/>
            <color indexed="81"/>
            <rFont val="Lucida Console"/>
            <family val="3"/>
          </rPr>
          <t>Última movimentação no estoque em 04/2023 quantidade 38.</t>
        </r>
      </text>
    </comment>
    <comment ref="R265" authorId="0" shapeId="0" xr:uid="{55113524-A2B4-4CA5-AD6F-7BD42E66BCA5}">
      <text>
        <r>
          <rPr>
            <sz val="10"/>
            <color indexed="81"/>
            <rFont val="Lucida Console"/>
            <family val="3"/>
          </rPr>
          <t>01.01.1901</t>
        </r>
      </text>
    </comment>
    <comment ref="Y265" authorId="0" shapeId="0" xr:uid="{2DDB8DFA-3FB7-4FD5-8132-5AB0BEEF3FD2}">
      <text>
        <r>
          <rPr>
            <sz val="10"/>
            <color indexed="81"/>
            <rFont val="Courier New"/>
            <family val="3"/>
          </rPr>
          <t>_x000D_
    DESCRIÇÃO DO CÁLCULO_x000D_
Código    : 119.407_x000D_
Corte     : 21_x000D_
-----------------------------_x000D_
Pendente  : 4_x000D_
22 / 10_2 : 21 (corte = 30)_x000D_
22 / 11_2 : 15_x000D_
22 / 12_2 : _x000D_
23 / 01_2 : _x000D_
23 / 02_2 : _x000D_
23 / 03_2 : _x000D_
23 / 04_2 : _x000D_
23 / 05_2 : _x000D_
23 / 06_2 : _x000D_
23 / 07_2 : _x000D_
23 / 08_2 : _x000D_
23 / 09_2 : _x000D_
_x000D_
    TOTAL : ( 40 )_x000D_
  DIVISOR : 12_x000D_
    MÉDIA : 3,33_x000D_
-----------------------------_x000D_
   Valores Desconsiderados_x000D_
-----------------------------_x000D_
22 / 10_2 : 9 (30)_x000D_
_x000D_
  TOTAL   : ( 9 )</t>
        </r>
      </text>
    </comment>
    <comment ref="AB265" authorId="0" shapeId="0" xr:uid="{99E73184-68B6-4960-8C23-C5E6280F2629}">
      <text>
        <r>
          <rPr>
            <sz val="10"/>
            <color indexed="81"/>
            <rFont val="Lucida Console"/>
            <family val="3"/>
          </rPr>
          <t>Última movimentação no estoque em 11/2022 quantidade 15.</t>
        </r>
      </text>
    </comment>
    <comment ref="R266" authorId="0" shapeId="0" xr:uid="{DD4B9DA8-BAB2-43DD-8AD2-B4AB3FAF1262}">
      <text>
        <r>
          <rPr>
            <sz val="10"/>
            <color indexed="81"/>
            <rFont val="Lucida Console"/>
            <family val="3"/>
          </rPr>
          <t>24.10.2007</t>
        </r>
      </text>
    </comment>
    <comment ref="Y266" authorId="0" shapeId="0" xr:uid="{D7A7BE7A-40CF-4ACA-8F59-BD7BA6991344}">
      <text>
        <r>
          <rPr>
            <sz val="10"/>
            <color indexed="81"/>
            <rFont val="Courier New"/>
            <family val="3"/>
          </rPr>
          <t>_x000D_
    DESCRIÇÃO DO CÁLCULO_x000D_
Código    : 102.922_x000D_
Corte     : 3.689_x000D_
-----------------------------_x000D_
Pendente  : 3.100_x000D_
22 / 10_2 : 2.270_x000D_
22 / 11_2 : 2.090_x000D_
22 / 12_2 : 1.330_x000D_
23 / 01_2 : 879_x000D_
23 / 02_2 : 1.494_x000D_
23 / 03_2 : 2.538_x000D_
23 / 04_2 : 125_x000D_
23 / 05_2 : 72_x000D_
23 / 06_2 : 2.574_x000D_
23 / 07_2 : 2.476_x000D_
23 / 08_2 : 1.057_x000D_
23 / 09_2 : 1.124_x000D_
_x000D_
    TOTAL : ( 21.129 )_x000D_
  DIVISOR : 12_x000D_
    MÉDIA : 1.760,75</t>
        </r>
      </text>
    </comment>
    <comment ref="AB266" authorId="0" shapeId="0" xr:uid="{FCC1ACC1-01DA-45B1-AE87-B8890D06C5AE}">
      <text>
        <r>
          <rPr>
            <sz val="10"/>
            <color indexed="81"/>
            <rFont val="Lucida Console"/>
            <family val="3"/>
          </rPr>
          <t>Última movimentação no estoque em 09/2023 quantidade 1.124.</t>
        </r>
      </text>
    </comment>
    <comment ref="R267" authorId="0" shapeId="0" xr:uid="{8FED15AA-823C-4C25-A63E-F0DF66936682}">
      <text>
        <r>
          <rPr>
            <sz val="10"/>
            <color indexed="81"/>
            <rFont val="Lucida Console"/>
            <family val="3"/>
          </rPr>
          <t>01.01.1901</t>
        </r>
      </text>
    </comment>
    <comment ref="Y267" authorId="0" shapeId="0" xr:uid="{227FC7B8-55DC-45E6-A9AA-CE1F00D6E7E6}">
      <text>
        <r>
          <rPr>
            <sz val="10"/>
            <color indexed="81"/>
            <rFont val="Courier New"/>
            <family val="3"/>
          </rPr>
          <t>_x000D_
    DESCRIÇÃO DO CÁLCULO_x000D_
Código    : 52.129_x000D_
Corte     : 78_x000D_
-----------------------------_x000D_
Pendente  : _x000D_
22 / 10_2 : 25_x000D_
22 / 11_2 : _x000D_
22 / 12_2 : _x000D_
23 / 01_2 : 20_x000D_
23 / 02_2 : 50_x000D_
23 / 03_2 : 78 (corte = 100)_x000D_
23 / 04_2 : _x000D_
23 / 05_2 : 20_x000D_
23 / 06_2 : _x000D_
23 / 07_2 : _x000D_
23 / 08_2 : _x000D_
23 / 09_2 : _x000D_
_x000D_
    TOTAL : ( 193 )_x000D_
  DIVISOR : 12_x000D_
    MÉDIA : 16,08_x000D_
-----------------------------_x000D_
   Valores Desconsiderados_x000D_
-----------------------------_x000D_
23 / 03_2 : 22 (100)_x000D_
_x000D_
  TOTAL   : ( 22 )</t>
        </r>
      </text>
    </comment>
    <comment ref="AB267" authorId="0" shapeId="0" xr:uid="{DC7CBA84-E34B-4605-8B13-A3310EBF34FC}">
      <text>
        <r>
          <rPr>
            <sz val="10"/>
            <color indexed="81"/>
            <rFont val="Lucida Console"/>
            <family val="3"/>
          </rPr>
          <t>Última movimentação no estoque em 05/2023 quantidade 20.</t>
        </r>
      </text>
    </comment>
    <comment ref="R268" authorId="0" shapeId="0" xr:uid="{FDF77549-12B6-4C67-A862-7B013280ED53}">
      <text>
        <r>
          <rPr>
            <sz val="10"/>
            <color indexed="81"/>
            <rFont val="Lucida Console"/>
            <family val="3"/>
          </rPr>
          <t>13.09.2019</t>
        </r>
      </text>
    </comment>
    <comment ref="Y268" authorId="0" shapeId="0" xr:uid="{E5F89C0E-67CE-4CF0-AB84-8ECBC1F5445F}">
      <text>
        <r>
          <rPr>
            <sz val="10"/>
            <color indexed="81"/>
            <rFont val="Courier New"/>
            <family val="3"/>
          </rPr>
          <t>_x000D_
    DESCRIÇÃO DO CÁLCULO_x000D_
Código    : 138.475_x000D_
Corte     : 8_x000D_
-----------------------------_x000D_
Pendente  : _x000D_
22 / 10_2 : _x000D_
22 / 11_2 : _x000D_
22 / 12_2 : 5_x000D_
23 / 01_2 : 6_x000D_
23 / 02_2 : _x000D_
23 / 03_2 : 8 (corte = 10)_x000D_
23 / 04_2 : _x000D_
23 / 05_2 : _x000D_
23 / 06_2 : _x000D_
23 / 07_2 : _x000D_
23 / 08_2 : _x000D_
23 / 09_2 : _x000D_
_x000D_
    TOTAL : ( 19 )_x000D_
  DIVISOR : 12_x000D_
    MÉDIA : 1,58_x000D_
-----------------------------_x000D_
   Valores Desconsiderados_x000D_
-----------------------------_x000D_
23 / 03_2 : 2 (10)_x000D_
_x000D_
  TOTAL   : ( 2 )</t>
        </r>
      </text>
    </comment>
    <comment ref="AB268" authorId="0" shapeId="0" xr:uid="{D2FF80CD-942C-41A8-938C-A8E3E58913D5}">
      <text>
        <r>
          <rPr>
            <sz val="10"/>
            <color indexed="81"/>
            <rFont val="Lucida Console"/>
            <family val="3"/>
          </rPr>
          <t>Última movimentação no estoque em 03/2023 quantidade 10.</t>
        </r>
      </text>
    </comment>
    <comment ref="R269" authorId="0" shapeId="0" xr:uid="{29E39D08-4507-4188-94F6-CA6FBEF765A6}">
      <text>
        <r>
          <rPr>
            <sz val="10"/>
            <color indexed="81"/>
            <rFont val="Lucida Console"/>
            <family val="3"/>
          </rPr>
          <t>07.02.2012</t>
        </r>
      </text>
    </comment>
    <comment ref="Y269" authorId="0" shapeId="0" xr:uid="{6F6C5643-633A-4C2F-86C4-9A6D99CC802F}">
      <text>
        <r>
          <rPr>
            <sz val="10"/>
            <color indexed="81"/>
            <rFont val="Courier New"/>
            <family val="3"/>
          </rPr>
          <t>_x000D_
    DESCRIÇÃO DO CÁLCULO_x000D_
Código    : 122.304_x000D_
Corte     : 577_x000D_
-----------------------------_x000D_
Pendente  : 205_x000D_
22 / 10_2 : 194_x000D_
22 / 11_2 : 371_x000D_
22 / 12_2 : 130_x000D_
23 / 01_2 : 320_x000D_
23 / 02_2 : 351_x000D_
23 / 03_2 : 577 (corte = 619)_x000D_
23 / 04_2 : _x000D_
23 / 05_2 : _x000D_
23 / 06_2 : _x000D_
23 / 07_2 : 65_x000D_
23 / 08_2 : _x000D_
23 / 09_2 : _x000D_
_x000D_
    TOTAL : ( 2.213 )_x000D_
  DIVISOR : 12_x000D_
    MÉDIA : 184,42_x000D_
-----------------------------_x000D_
   Valores Desconsiderados_x000D_
-----------------------------_x000D_
23 / 03_2 : 42 (619)_x000D_
_x000D_
  TOTAL   : ( 42 )</t>
        </r>
      </text>
    </comment>
    <comment ref="AB269" authorId="0" shapeId="0" xr:uid="{F31D7AF7-1EDA-42D3-99C2-72B58D201C9D}">
      <text>
        <r>
          <rPr>
            <sz val="10"/>
            <color indexed="81"/>
            <rFont val="Lucida Console"/>
            <family val="3"/>
          </rPr>
          <t>Última movimentação no estoque em 07/2023 quantidade 65.</t>
        </r>
      </text>
    </comment>
    <comment ref="R270" authorId="0" shapeId="0" xr:uid="{F3731503-A2E2-44E1-9CCE-3DFD0CEC8B41}">
      <text>
        <r>
          <rPr>
            <sz val="10"/>
            <color indexed="81"/>
            <rFont val="Lucida Console"/>
            <family val="3"/>
          </rPr>
          <t>07.02.2012</t>
        </r>
      </text>
    </comment>
    <comment ref="Y270" authorId="0" shapeId="0" xr:uid="{C185148B-2697-4FFA-902A-D880AC15D7D0}">
      <text>
        <r>
          <rPr>
            <sz val="10"/>
            <color indexed="81"/>
            <rFont val="Courier New"/>
            <family val="3"/>
          </rPr>
          <t>_x000D_
    DESCRIÇÃO DO CÁLCULO_x000D_
Código    : 122.305_x000D_
Corte     : 332_x000D_
-----------------------------_x000D_
Pendente  : _x000D_
22 / 10_2 : _x000D_
22 / 11_2 : 50_x000D_
22 / 12_2 : 25_x000D_
23 / 01_2 : 4_x000D_
23 / 02_2 : _x000D_
23 / 03_2 : 254_x000D_
23 / 04_2 : 20_x000D_
23 / 05_2 : 332 (corte = 400)_x000D_
23 / 06_2 : _x000D_
23 / 07_2 : _x000D_
23 / 08_2 : 150_x000D_
23 / 09_2 : _x000D_
_x000D_
    TOTAL : ( 835 )_x000D_
  DIVISOR : 12_x000D_
    MÉDIA : 69,58_x000D_
-----------------------------_x000D_
   Valores Desconsiderados_x000D_
-----------------------------_x000D_
23 / 05_2 : 68 (400)_x000D_
_x000D_
  TOTAL   : ( 68 )</t>
        </r>
      </text>
    </comment>
    <comment ref="AB270" authorId="0" shapeId="0" xr:uid="{B03D4528-C596-4EC8-8941-64C59C26C485}">
      <text>
        <r>
          <rPr>
            <sz val="10"/>
            <color indexed="81"/>
            <rFont val="Lucida Console"/>
            <family val="3"/>
          </rPr>
          <t>Última movimentação no estoque em 08/2023 quantidade 150.</t>
        </r>
      </text>
    </comment>
    <comment ref="R271" authorId="0" shapeId="0" xr:uid="{FBD1F184-26FC-459C-AFC5-B1788959515A}">
      <text>
        <r>
          <rPr>
            <sz val="10"/>
            <color indexed="81"/>
            <rFont val="Lucida Console"/>
            <family val="3"/>
          </rPr>
          <t>24.08.2004</t>
        </r>
      </text>
    </comment>
    <comment ref="Y271" authorId="0" shapeId="0" xr:uid="{9A4A5ED8-CF3F-4E3E-B6B5-A2F1250012D4}">
      <text>
        <r>
          <rPr>
            <sz val="10"/>
            <color indexed="81"/>
            <rFont val="Courier New"/>
            <family val="3"/>
          </rPr>
          <t>_x000D_
    DESCRIÇÃO DO CÁLCULO_x000D_
Código    : 81.455_x000D_
Corte     : 218_x000D_
-----------------------------_x000D_
Pendente  : 68_x000D_
22 / 10_2 : 20_x000D_
22 / 11_2 : 130_x000D_
22 / 12_2 : 30_x000D_
23 / 01_2 : _x000D_
23 / 02_2 : _x000D_
23 / 03_2 : 218 (corte = 270)_x000D_
23 / 04_2 : _x000D_
23 / 05_2 : 132_x000D_
23 / 06_2 : _x000D_
23 / 07_2 : _x000D_
23 / 08_2 : _x000D_
23 / 09_2 : _x000D_
_x000D_
    TOTAL : ( 598 )_x000D_
  DIVISOR : 12_x000D_
    MÉDIA : 49,83_x000D_
-----------------------------_x000D_
   Valores Desconsiderados_x000D_
-----------------------------_x000D_
23 / 03_2 : 52 (270)_x000D_
_x000D_
  TOTAL   : ( 52 )</t>
        </r>
      </text>
    </comment>
    <comment ref="AB271" authorId="0" shapeId="0" xr:uid="{95A8AD9F-5DD4-4D58-B3B2-5CF653B3AD4C}">
      <text>
        <r>
          <rPr>
            <sz val="10"/>
            <color indexed="81"/>
            <rFont val="Lucida Console"/>
            <family val="3"/>
          </rPr>
          <t>Última movimentação no estoque em 05/2023 quantidade 132.</t>
        </r>
      </text>
    </comment>
    <comment ref="R272" authorId="0" shapeId="0" xr:uid="{7A2F2CAB-8BE5-4638-AB6A-FB8262E38BCD}">
      <text>
        <r>
          <rPr>
            <sz val="10"/>
            <color indexed="81"/>
            <rFont val="Lucida Console"/>
            <family val="3"/>
          </rPr>
          <t>01.07.2004</t>
        </r>
      </text>
    </comment>
    <comment ref="Y272" authorId="0" shapeId="0" xr:uid="{455DCB82-0C20-48D8-9672-38F643EDBA34}">
      <text>
        <r>
          <rPr>
            <sz val="10"/>
            <color indexed="81"/>
            <rFont val="Courier New"/>
            <family val="3"/>
          </rPr>
          <t>_x000D_
    DESCRIÇÃO DO CÁLCULO_x000D_
Código    : 80.387_x000D_
Corte     : 253_x000D_
-----------------------------_x000D_
Pendente  : _x000D_
22 / 10_2 : 30_x000D_
22 / 11_2 : 50_x000D_
22 / 12_2 : 50_x000D_
23 / 01_2 : 50_x000D_
23 / 02_2 : 50_x000D_
23 / 03_2 : 253 (corte = 310)_x000D_
23 / 04_2 : _x000D_
23 / 05_2 : 200_x000D_
23 / 06_2 : _x000D_
23 / 07_2 : _x000D_
23 / 08_2 : _x000D_
23 / 09_2 : _x000D_
_x000D_
    TOTAL : ( 683 )_x000D_
  DIVISOR : 12_x000D_
    MÉDIA : 56,92_x000D_
-----------------------------_x000D_
   Valores Desconsiderados_x000D_
-----------------------------_x000D_
23 / 03_2 : 57 (310)_x000D_
_x000D_
  TOTAL   : ( 57 )</t>
        </r>
      </text>
    </comment>
    <comment ref="AB272" authorId="0" shapeId="0" xr:uid="{D63F7F34-535C-4A21-A0A2-023C3E6F1E1A}">
      <text>
        <r>
          <rPr>
            <sz val="10"/>
            <color indexed="81"/>
            <rFont val="Lucida Console"/>
            <family val="3"/>
          </rPr>
          <t>Última movimentação no estoque em 05/2023 quantidade 200.</t>
        </r>
      </text>
    </comment>
    <comment ref="R273" authorId="0" shapeId="0" xr:uid="{FEDA870F-9E7F-47C8-B592-B8923642FCF0}">
      <text>
        <r>
          <rPr>
            <sz val="10"/>
            <color indexed="81"/>
            <rFont val="Lucida Console"/>
            <family val="3"/>
          </rPr>
          <t>30.05.2005</t>
        </r>
      </text>
    </comment>
    <comment ref="Y273" authorId="0" shapeId="0" xr:uid="{21AF97BE-CEAB-4C4B-8A4C-CB36939B6043}">
      <text>
        <r>
          <rPr>
            <sz val="10"/>
            <color indexed="81"/>
            <rFont val="Courier New"/>
            <family val="3"/>
          </rPr>
          <t>_x000D_
    DESCRIÇÃO DO CÁLCULO_x000D_
Código    : 85.798_x000D_
Corte     : 1_x000D_
-----------------------------_x000D_
Pendente  : _x000D_
22 / 10_2 : _x000D_
22 / 11_2 : _x000D_
22 / 12_2 : _x000D_
23 / 01_2 : _x000D_
23 / 02_2 : _x000D_
23 / 03_2 : _x000D_
23 / 04_2 : 1 (corte = 2)_x000D_
23 / 05_2 : _x000D_
23 / 06_2 : _x000D_
23 / 07_2 : _x000D_
23 / 08_2 : _x000D_
23 / 09_2 : _x000D_
_x000D_
    TOTAL : ( 1 )_x000D_
  DIVISOR : 12_x000D_
    MÉDIA : ,08_x000D_
-----------------------------_x000D_
   Valores Desconsiderados_x000D_
-----------------------------_x000D_
23 / 04_2 : 1 (2)_x000D_
_x000D_
  TOTAL   : ( 1 )</t>
        </r>
      </text>
    </comment>
    <comment ref="AB273" authorId="0" shapeId="0" xr:uid="{E6BA8ECC-4EE1-411D-8DF2-3808517F7982}">
      <text>
        <r>
          <rPr>
            <sz val="10"/>
            <color indexed="81"/>
            <rFont val="Lucida Console"/>
            <family val="3"/>
          </rPr>
          <t>Última movimentação no estoque em 04/2023 quantidade 2.</t>
        </r>
      </text>
    </comment>
    <comment ref="D274" authorId="0" shapeId="0" xr:uid="{6C941E09-D1CC-4625-9985-BD72D2AF3336}">
      <text>
        <r>
          <rPr>
            <sz val="10"/>
            <color indexed="81"/>
            <rFont val="Lucida Console"/>
            <family val="3"/>
          </rPr>
          <t>_x000D_
Quantidade Original: 0_x000D_
Quantidade importada do código 85.798: +264</t>
        </r>
      </text>
    </comment>
    <comment ref="L274" authorId="0" shapeId="0" xr:uid="{608BA76A-DF94-40E2-B199-3A76B3B31BF3}">
      <text>
        <r>
          <rPr>
            <sz val="10"/>
            <color indexed="81"/>
            <rFont val="Lucida Console"/>
            <family val="3"/>
          </rPr>
          <t>_x000D_
Quantidade Original: 2_x000D_
Quantidade importada do código 85.798: +2</t>
        </r>
      </text>
    </comment>
    <comment ref="R274" authorId="0" shapeId="0" xr:uid="{E3C49B45-7D0F-4CFF-81D1-36F4F348CBCE}">
      <text>
        <r>
          <rPr>
            <sz val="10"/>
            <color indexed="81"/>
            <rFont val="Lucida Console"/>
            <family val="3"/>
          </rPr>
          <t>01.06.2020</t>
        </r>
      </text>
    </comment>
    <comment ref="Y274" authorId="0" shapeId="0" xr:uid="{686D0ADC-AA81-463A-9A27-A8C33E971108}">
      <text>
        <r>
          <rPr>
            <sz val="10"/>
            <color indexed="81"/>
            <rFont val="Courier New"/>
            <family val="3"/>
          </rPr>
          <t>_x000D_
    DESCRIÇÃO DO CÁLCULO_x000D_
Código    : 139.545_x000D_
Corte     : 37_x000D_
-----------------------------_x000D_
Pendente  : _x000D_
22 / 10_2 : _x000D_
22 / 11_2 : _x000D_
22 / 12_2 : _x000D_
23 / 01_2 : 25_x000D_
23 / 02_2 : _x000D_
23 / 03_2 : 37 (corte = 50)_x000D_
23 / 04_2 : 4_x000D_
23 / 05_2 : _x000D_
23 / 06_2 : _x000D_
23 / 07_2 : _x000D_
23 / 08_2 : _x000D_
23 / 09_2 : _x000D_
_x000D_
    TOTAL : ( 66 )_x000D_
  DIVISOR : 12_x000D_
    MÉDIA : 5,50_x000D_
-----------------------------_x000D_
   Valores Desconsiderados_x000D_
-----------------------------_x000D_
23 / 03_2 : 13 (50)_x000D_
_x000D_
  TOTAL   : ( 13 )</t>
        </r>
      </text>
    </comment>
    <comment ref="AB274" authorId="0" shapeId="0" xr:uid="{EDD5ABE8-F7BD-4FF8-AD23-5491AC3B09C8}">
      <text>
        <r>
          <rPr>
            <sz val="10"/>
            <color indexed="81"/>
            <rFont val="Lucida Console"/>
            <family val="3"/>
          </rPr>
          <t>Última movimentação no estoque em 04/2023 quantidade 4.</t>
        </r>
      </text>
    </comment>
    <comment ref="R275" authorId="0" shapeId="0" xr:uid="{9E95BF10-D338-40B6-9FF7-6E5F1A16FD18}">
      <text>
        <r>
          <rPr>
            <sz val="10"/>
            <color indexed="81"/>
            <rFont val="Lucida Console"/>
            <family val="3"/>
          </rPr>
          <t>01.01.1901</t>
        </r>
      </text>
    </comment>
    <comment ref="Y275" authorId="0" shapeId="0" xr:uid="{18E91483-EE9E-4785-BC7E-B6F27E36D00F}">
      <text>
        <r>
          <rPr>
            <sz val="10"/>
            <color indexed="81"/>
            <rFont val="Courier New"/>
            <family val="3"/>
          </rPr>
          <t>_x000D_
    DESCRIÇÃO DO CÁLCULO_x000D_
Código    : 17.562_x000D_
Corte     : 21_x000D_
-----------------------------_x000D_
Pendente  : _x000D_
22 / 10_2 : _x000D_
22 / 11_2 : 21 (corte = 30)_x000D_
22 / 12_2 : _x000D_
23 / 01_2 : _x000D_
23 / 02_2 : _x000D_
23 / 03_2 : 10_x000D_
23 / 04_2 : _x000D_
23 / 05_2 : _x000D_
23 / 06_2 : _x000D_
23 / 07_2 : _x000D_
23 / 08_2 : _x000D_
23 / 09_2 : _x000D_
_x000D_
    TOTAL : ( 31 )_x000D_
  DIVISOR : 12_x000D_
    MÉDIA : 2,58_x000D_
-----------------------------_x000D_
   Valores Desconsiderados_x000D_
-----------------------------_x000D_
22 / 11_2 : 9 (30)_x000D_
_x000D_
  TOTAL   : ( 9 )</t>
        </r>
      </text>
    </comment>
    <comment ref="AB275" authorId="0" shapeId="0" xr:uid="{2B98BE83-966F-4905-9413-9214D6783533}">
      <text>
        <r>
          <rPr>
            <sz val="10"/>
            <color indexed="81"/>
            <rFont val="Lucida Console"/>
            <family val="3"/>
          </rPr>
          <t>Última movimentação no estoque em 03/2023 quantidade 10.</t>
        </r>
      </text>
    </comment>
    <comment ref="R276" authorId="0" shapeId="0" xr:uid="{D40D833D-DBF0-43D4-8A9D-BBFC77DBA7B9}">
      <text>
        <r>
          <rPr>
            <sz val="10"/>
            <color indexed="81"/>
            <rFont val="Lucida Console"/>
            <family val="3"/>
          </rPr>
          <t>01.01.1901</t>
        </r>
      </text>
    </comment>
    <comment ref="Y276" authorId="0" shapeId="0" xr:uid="{DC2FE159-6024-46F8-8F7C-129B5C2559F6}">
      <text>
        <r>
          <rPr>
            <sz val="10"/>
            <color indexed="81"/>
            <rFont val="Courier New"/>
            <family val="3"/>
          </rPr>
          <t>_x000D_
    DESCRIÇÃO DO CÁLCULO_x000D_
Código    : 40.251_x000D_
Corte     : 157_x000D_
-----------------------------_x000D_
Pendente  : 110_x000D_
22 / 10_2 : 20_x000D_
22 / 11_2 : 30_x000D_
22 / 12_2 : 50_x000D_
23 / 01_2 : 37_x000D_
23 / 02_2 : 32_x000D_
23 / 03_2 : 78_x000D_
23 / 04_2 : 157 (corte = 191)_x000D_
23 / 05_2 : _x000D_
23 / 06_2 : _x000D_
23 / 07_2 : _x000D_
23 / 08_2 : _x000D_
23 / 09_2 : _x000D_
_x000D_
    TOTAL : ( 514 )_x000D_
  DIVISOR : 12_x000D_
    MÉDIA : 42,83_x000D_
-----------------------------_x000D_
   Valores Desconsiderados_x000D_
-----------------------------_x000D_
23 / 04_2 : 34 (191)_x000D_
_x000D_
  TOTAL   : ( 34 )</t>
        </r>
      </text>
    </comment>
    <comment ref="AB276" authorId="0" shapeId="0" xr:uid="{2C49B0B6-BF77-4B6B-9B32-245153B1E561}">
      <text>
        <r>
          <rPr>
            <sz val="10"/>
            <color indexed="81"/>
            <rFont val="Lucida Console"/>
            <family val="3"/>
          </rPr>
          <t>Última movimentação no estoque em 04/2023 quantidade 191.</t>
        </r>
      </text>
    </comment>
    <comment ref="R277" authorId="0" shapeId="0" xr:uid="{E492EF3D-5C5A-42E5-8FEF-DBB3CF17D063}">
      <text>
        <r>
          <rPr>
            <sz val="10"/>
            <color indexed="81"/>
            <rFont val="Lucida Console"/>
            <family val="3"/>
          </rPr>
          <t>31.10.2005</t>
        </r>
      </text>
    </comment>
    <comment ref="Y277" authorId="0" shapeId="0" xr:uid="{AFCA97C3-FD7F-4AE8-95C6-DA7326960176}">
      <text>
        <r>
          <rPr>
            <sz val="10"/>
            <color indexed="81"/>
            <rFont val="Courier New"/>
            <family val="3"/>
          </rPr>
          <t>_x000D_
    DESCRIÇÃO DO CÁLCULO_x000D_
Código    : 88.718_x000D_
Corte     : 5_x000D_
-----------------------------_x000D_
Pendente  : _x000D_
22 / 10_2 : _x000D_
22 / 11_2 : _x000D_
22 / 12_2 : 5 (corte = 6)_x000D_
23 / 01_2 : _x000D_
23 / 02_2 : _x000D_
23 / 03_2 : 2_x000D_
23 / 04_2 : _x000D_
23 / 05_2 : 4_x000D_
23 / 06_2 : _x000D_
23 / 07_2 : _x000D_
23 / 08_2 : _x000D_
23 / 09_2 : _x000D_
_x000D_
    TOTAL : ( 11 )_x000D_
  DIVISOR : 12_x000D_
    MÉDIA : ,92_x000D_
-----------------------------_x000D_
   Valores Desconsiderados_x000D_
-----------------------------_x000D_
22 / 12_2 : 1 (6)_x000D_
_x000D_
  TOTAL   : ( 1 )</t>
        </r>
      </text>
    </comment>
    <comment ref="AB277" authorId="0" shapeId="0" xr:uid="{2F8F4FDF-0A65-42C9-8CC1-6AE65C1EFCB6}">
      <text>
        <r>
          <rPr>
            <sz val="10"/>
            <color indexed="81"/>
            <rFont val="Lucida Console"/>
            <family val="3"/>
          </rPr>
          <t>Última movimentação no estoque em 05/2023 quantidade 4.</t>
        </r>
      </text>
    </comment>
    <comment ref="R278" authorId="0" shapeId="0" xr:uid="{2904B717-01EF-4C1C-96E3-5C7721BD7D61}">
      <text>
        <r>
          <rPr>
            <sz val="10"/>
            <color indexed="81"/>
            <rFont val="Lucida Console"/>
            <family val="3"/>
          </rPr>
          <t>30.04.2009</t>
        </r>
      </text>
    </comment>
    <comment ref="Y278" authorId="0" shapeId="0" xr:uid="{9333DA2A-FE38-4262-896E-9FA4F0A52BD7}">
      <text>
        <r>
          <rPr>
            <sz val="10"/>
            <color indexed="81"/>
            <rFont val="Courier New"/>
            <family val="3"/>
          </rPr>
          <t>_x000D_
    DESCRIÇÃO DO CÁLCULO_x000D_
Código    : 110.771_x000D_
Corte     : 27_x000D_
-----------------------------_x000D_
Pendente  : _x000D_
22 / 10_2 : 10_x000D_
22 / 11_2 : _x000D_
22 / 12_2 : 27_x000D_
23 / 01_2 : 4_x000D_
23 / 02_2 : 3_x000D_
23 / 03_2 : _x000D_
23 / 04_2 : 15_x000D_
23 / 05_2 : _x000D_
23 / 06_2 : _x000D_
23 / 07_2 : _x000D_
23 / 08_2 : 15_x000D_
23 / 09_2 : 22_x000D_
_x000D_
    TOTAL : ( 96 )_x000D_
  DIVISOR : 12_x000D_
    MÉDIA : 8,00</t>
        </r>
      </text>
    </comment>
    <comment ref="AB278" authorId="0" shapeId="0" xr:uid="{09EDF2A8-D7CE-4DB8-9CC4-4F3F85EF4142}">
      <text>
        <r>
          <rPr>
            <sz val="10"/>
            <color indexed="81"/>
            <rFont val="Lucida Console"/>
            <family val="3"/>
          </rPr>
          <t>Última movimentação no estoque em 09/2023 quantidade 22.</t>
        </r>
      </text>
    </comment>
    <comment ref="R279" authorId="0" shapeId="0" xr:uid="{1AED0965-11F3-46A9-BFF5-53A424A4EEE8}">
      <text>
        <r>
          <rPr>
            <sz val="10"/>
            <color indexed="81"/>
            <rFont val="Lucida Console"/>
            <family val="3"/>
          </rPr>
          <t>31.10.2005</t>
        </r>
      </text>
    </comment>
    <comment ref="Y279" authorId="0" shapeId="0" xr:uid="{D1160F0D-AD3B-443D-8438-D89282A39EC2}">
      <text>
        <r>
          <rPr>
            <sz val="10"/>
            <color indexed="81"/>
            <rFont val="Courier New"/>
            <family val="3"/>
          </rPr>
          <t>_x000D_
    DESCRIÇÃO DO CÁLCULO_x000D_
Código    : 88.726_x000D_
Corte     : 16_x000D_
-----------------------------_x000D_
Pendente  : _x000D_
22 / 10_2 : 2_x000D_
22 / 11_2 : 4_x000D_
22 / 12_2 : 2_x000D_
23 / 01_2 : 4_x000D_
23 / 02_2 : 1_x000D_
23 / 03_2 : _x000D_
23 / 04_2 : 12_x000D_
23 / 05_2 : 4_x000D_
23 / 06_2 : _x000D_
23 / 07_2 : _x000D_
23 / 08_2 : _x000D_
23 / 09_2 : 16 (corte = 20)_x000D_
_x000D_
    TOTAL : ( 45 )_x000D_
  DIVISOR : 12_x000D_
    MÉDIA : 3,75_x000D_
-----------------------------_x000D_
   Valores Desconsiderados_x000D_
-----------------------------_x000D_
23 / 09_2 : 4 (20)_x000D_
_x000D_
  TOTAL   : ( 4 )</t>
        </r>
      </text>
    </comment>
    <comment ref="AB279" authorId="0" shapeId="0" xr:uid="{A4E46E04-5E58-4B1A-8C2C-1DA09DB81AC5}">
      <text>
        <r>
          <rPr>
            <sz val="10"/>
            <color indexed="81"/>
            <rFont val="Lucida Console"/>
            <family val="3"/>
          </rPr>
          <t>Última movimentação no estoque em 09/2023 quantidade 20.</t>
        </r>
      </text>
    </comment>
    <comment ref="R280" authorId="0" shapeId="0" xr:uid="{79A93707-8D18-471F-9C8A-88B7A2D54210}">
      <text>
        <r>
          <rPr>
            <sz val="10"/>
            <color indexed="81"/>
            <rFont val="Lucida Console"/>
            <family val="3"/>
          </rPr>
          <t>31.10.2005</t>
        </r>
      </text>
    </comment>
    <comment ref="Y280" authorId="0" shapeId="0" xr:uid="{78B0B9F0-954C-4FC3-A01E-3DE304A9FFB6}">
      <text>
        <r>
          <rPr>
            <sz val="10"/>
            <color indexed="81"/>
            <rFont val="Courier New"/>
            <family val="3"/>
          </rPr>
          <t>_x000D_
    DESCRIÇÃO DO CÁLCULO_x000D_
Código    : 88.727_x000D_
Corte     : 47_x000D_
-----------------------------_x000D_
Pendente  : _x000D_
22 / 10_2 : 18_x000D_
22 / 11_2 : 2_x000D_
22 / 12_2 : 32_x000D_
23 / 01_2 : 47 (corte = 51)_x000D_
23 / 02_2 : 14_x000D_
23 / 03_2 : 8_x000D_
23 / 04_2 : 20_x000D_
23 / 05_2 : _x000D_
23 / 06_2 : 10_x000D_
23 / 07_2 : _x000D_
23 / 08_2 : _x000D_
23 / 09_2 : 30_x000D_
_x000D_
    TOTAL : ( 181 )_x000D_
  DIVISOR : 12_x000D_
    MÉDIA : 15,08_x000D_
-----------------------------_x000D_
   Valores Desconsiderados_x000D_
-----------------------------_x000D_
23 / 01_2 : 4 (51)_x000D_
_x000D_
  TOTAL   : ( 4 )</t>
        </r>
      </text>
    </comment>
    <comment ref="AB280" authorId="0" shapeId="0" xr:uid="{6C3C1704-09F4-4D65-9484-D0C4D42683AE}">
      <text>
        <r>
          <rPr>
            <sz val="10"/>
            <color indexed="81"/>
            <rFont val="Lucida Console"/>
            <family val="3"/>
          </rPr>
          <t>Última movimentação no estoque em 09/2023 quantidade 30.</t>
        </r>
      </text>
    </comment>
    <comment ref="R281" authorId="0" shapeId="0" xr:uid="{D5AF2002-A7CD-4DA5-ADC7-BEAA6984FC93}">
      <text>
        <r>
          <rPr>
            <sz val="10"/>
            <color indexed="81"/>
            <rFont val="Lucida Console"/>
            <family val="3"/>
          </rPr>
          <t>31.10.2005</t>
        </r>
      </text>
    </comment>
    <comment ref="Y281" authorId="0" shapeId="0" xr:uid="{3BCD065D-DA08-438C-A693-50BB854DF52B}">
      <text>
        <r>
          <rPr>
            <sz val="10"/>
            <color indexed="81"/>
            <rFont val="Courier New"/>
            <family val="3"/>
          </rPr>
          <t>_x000D_
    DESCRIÇÃO DO CÁLCULO_x000D_
Código    : 88.728_x000D_
Corte     : 24_x000D_
-----------------------------_x000D_
Pendente  : _x000D_
22 / 10_2 : 14_x000D_
22 / 11_2 : 5_x000D_
22 / 12_2 : 11_x000D_
23 / 01_2 : 5_x000D_
23 / 02_2 : 11_x000D_
23 / 03_2 : 7_x000D_
23 / 04_2 : 24_x000D_
23 / 05_2 : _x000D_
23 / 06_2 : _x000D_
23 / 07_2 : 20_x000D_
23 / 08_2 : _x000D_
23 / 09_2 : _x000D_
_x000D_
    TOTAL : ( 97 )_x000D_
  DIVISOR : 12_x000D_
    MÉDIA : 8,08</t>
        </r>
      </text>
    </comment>
    <comment ref="AB281" authorId="0" shapeId="0" xr:uid="{BEF178AA-A102-4363-BCFA-3432FED4E177}">
      <text>
        <r>
          <rPr>
            <sz val="10"/>
            <color indexed="81"/>
            <rFont val="Lucida Console"/>
            <family val="3"/>
          </rPr>
          <t>Última movimentação no estoque em 07/2023 quantidade 20.</t>
        </r>
      </text>
    </comment>
    <comment ref="R282" authorId="0" shapeId="0" xr:uid="{FE21545B-F9B1-42F1-8A17-B4DCD85472A2}">
      <text>
        <r>
          <rPr>
            <sz val="10"/>
            <color indexed="81"/>
            <rFont val="Lucida Console"/>
            <family val="3"/>
          </rPr>
          <t>31.10.2005</t>
        </r>
      </text>
    </comment>
    <comment ref="Y282" authorId="0" shapeId="0" xr:uid="{181E77A3-CFDF-4003-A49A-80C80298CBEF}">
      <text>
        <r>
          <rPr>
            <sz val="10"/>
            <color indexed="81"/>
            <rFont val="Courier New"/>
            <family val="3"/>
          </rPr>
          <t>_x000D_
    DESCRIÇÃO DO CÁLCULO_x000D_
Código    : 88.729_x000D_
Corte     : 15_x000D_
-----------------------------_x000D_
Pendente  : _x000D_
22 / 10_2 : 5_x000D_
22 / 11_2 : 2_x000D_
22 / 12_2 : 6_x000D_
23 / 01_2 : _x000D_
23 / 02_2 : 3_x000D_
23 / 03_2 : 3_x000D_
23 / 04_2 : 10_x000D_
23 / 05_2 : _x000D_
23 / 06_2 : 15 (corte = 20)_x000D_
23 / 07_2 : _x000D_
23 / 08_2 : _x000D_
23 / 09_2 : _x000D_
_x000D_
    TOTAL : ( 44 )_x000D_
  DIVISOR : 12_x000D_
    MÉDIA : 3,67_x000D_
-----------------------------_x000D_
   Valores Desconsiderados_x000D_
-----------------------------_x000D_
23 / 06_2 : 5 (20)_x000D_
_x000D_
  TOTAL   : ( 5 )</t>
        </r>
      </text>
    </comment>
    <comment ref="AB282" authorId="0" shapeId="0" xr:uid="{3C21B57D-AFAD-4973-9B57-CF7C7D0D28B8}">
      <text>
        <r>
          <rPr>
            <sz val="10"/>
            <color indexed="81"/>
            <rFont val="Lucida Console"/>
            <family val="3"/>
          </rPr>
          <t>Última movimentação no estoque em 06/2023 quantidade 20.</t>
        </r>
      </text>
    </comment>
    <comment ref="R283" authorId="0" shapeId="0" xr:uid="{4FC5B527-EC4A-41BB-B3B9-D7331569A0EA}">
      <text>
        <r>
          <rPr>
            <sz val="10"/>
            <color indexed="81"/>
            <rFont val="Lucida Console"/>
            <family val="3"/>
          </rPr>
          <t>31.10.2005</t>
        </r>
      </text>
    </comment>
    <comment ref="Y283" authorId="0" shapeId="0" xr:uid="{9301A7B6-2658-4BB4-A385-B470055D4721}">
      <text>
        <r>
          <rPr>
            <sz val="10"/>
            <color indexed="81"/>
            <rFont val="Courier New"/>
            <family val="3"/>
          </rPr>
          <t>_x000D_
    DESCRIÇÃO DO CÁLCULO_x000D_
Código    : 88.730_x000D_
Corte     : 11_x000D_
-----------------------------_x000D_
Pendente  : _x000D_
22 / 10_2 : 6_x000D_
22 / 11_2 : 2_x000D_
22 / 12_2 : 4_x000D_
23 / 01_2 : _x000D_
23 / 02_2 : 1_x000D_
23 / 03_2 : 2_x000D_
23 / 04_2 : _x000D_
23 / 05_2 : _x000D_
23 / 06_2 : _x000D_
23 / 07_2 : _x000D_
23 / 08_2 : 11 (corte = 15)_x000D_
23 / 09_2 : _x000D_
_x000D_
    TOTAL : ( 26 )_x000D_
  DIVISOR : 12_x000D_
    MÉDIA : 2,17_x000D_
-----------------------------_x000D_
   Valores Desconsiderados_x000D_
-----------------------------_x000D_
23 / 08_2 : 4 (15)_x000D_
_x000D_
  TOTAL   : ( 4 )</t>
        </r>
      </text>
    </comment>
    <comment ref="AB283" authorId="0" shapeId="0" xr:uid="{672E4CFF-1936-41A9-B9CE-50531775D48D}">
      <text>
        <r>
          <rPr>
            <sz val="10"/>
            <color indexed="81"/>
            <rFont val="Lucida Console"/>
            <family val="3"/>
          </rPr>
          <t>Última movimentação no estoque em 08/2023 quantidade 15.</t>
        </r>
      </text>
    </comment>
    <comment ref="R284" authorId="0" shapeId="0" xr:uid="{0BBA8D6B-5C92-43F0-98E0-F9B416D75051}">
      <text>
        <r>
          <rPr>
            <sz val="10"/>
            <color indexed="81"/>
            <rFont val="Lucida Console"/>
            <family val="3"/>
          </rPr>
          <t>31.10.2005</t>
        </r>
      </text>
    </comment>
    <comment ref="Y284" authorId="0" shapeId="0" xr:uid="{68C378FE-BF77-4D15-B2CD-8B370D953BBF}">
      <text>
        <r>
          <rPr>
            <sz val="10"/>
            <color indexed="81"/>
            <rFont val="Courier New"/>
            <family val="3"/>
          </rPr>
          <t>_x000D_
    DESCRIÇÃO DO CÁLCULO_x000D_
Código    : 88.740_x000D_
Corte     : 42_x000D_
-----------------------------_x000D_
Pendente  : _x000D_
22 / 10_2 : 5_x000D_
22 / 11_2 : _x000D_
22 / 12_2 : 3_x000D_
23 / 01_2 : _x000D_
23 / 02_2 : 1_x000D_
23 / 03_2 : 2_x000D_
23 / 04_2 : 42 (corte = 63)_x000D_
23 / 05_2 : _x000D_
23 / 06_2 : _x000D_
23 / 07_2 : _x000D_
23 / 08_2 : 10_x000D_
23 / 09_2 : _x000D_
_x000D_
    TOTAL : ( 63 )_x000D_
  DIVISOR : 12_x000D_
    MÉDIA : 5,25_x000D_
-----------------------------_x000D_
   Valores Desconsiderados_x000D_
-----------------------------_x000D_
23 / 04_2 : 21 (63)_x000D_
_x000D_
  TOTAL   : ( 21 )</t>
        </r>
      </text>
    </comment>
    <comment ref="AB284" authorId="0" shapeId="0" xr:uid="{C005A3F1-0838-4A61-A0DA-C4E16701A145}">
      <text>
        <r>
          <rPr>
            <sz val="10"/>
            <color indexed="81"/>
            <rFont val="Lucida Console"/>
            <family val="3"/>
          </rPr>
          <t>Última movimentação no estoque em 08/2023 quantidade 10.</t>
        </r>
      </text>
    </comment>
    <comment ref="R285" authorId="0" shapeId="0" xr:uid="{FA875CC4-4DF3-4245-99B6-E1E064B59194}">
      <text>
        <r>
          <rPr>
            <sz val="10"/>
            <color indexed="81"/>
            <rFont val="Lucida Console"/>
            <family val="3"/>
          </rPr>
          <t>31.10.2005</t>
        </r>
      </text>
    </comment>
    <comment ref="Y285" authorId="0" shapeId="0" xr:uid="{F061619E-27B6-48F8-9946-8F6D511A4C25}">
      <text>
        <r>
          <rPr>
            <sz val="10"/>
            <color indexed="81"/>
            <rFont val="Courier New"/>
            <family val="3"/>
          </rPr>
          <t>_x000D_
    DESCRIÇÃO DO CÁLCULO_x000D_
Código    : 88.731_x000D_
Corte     : _x000D_
-----------------------------_x000D_
Pendente  : _x000D_
22 / 10_2 : _x000D_
22 / 11_2 : _x000D_
22 / 12_2 : _x000D_
23 / 01_2 : _x000D_
23 / 02_2 :  (corte = 1)_x000D_
23 / 03_2 : _x000D_
23 / 04_2 : _x000D_
23 / 05_2 : _x000D_
23 / 06_2 : _x000D_
23 / 07_2 : _x000D_
23 / 08_2 : _x000D_
23 / 09_2 : _x000D_
_x000D_
    TOTAL : (  )_x000D_
  DIVISOR : 12_x000D_
    MÉDIA : ,00_x000D_
-----------------------------_x000D_
   Valores Desconsiderados_x000D_
-----------------------------_x000D_
23 / 02_2 : 1 (1)_x000D_
_x000D_
  TOTAL   : ( 1 )</t>
        </r>
      </text>
    </comment>
    <comment ref="AB285" authorId="0" shapeId="0" xr:uid="{53CEB3B8-AEA5-4523-A324-7A5612F46EAF}">
      <text>
        <r>
          <rPr>
            <sz val="10"/>
            <color indexed="81"/>
            <rFont val="Lucida Console"/>
            <family val="3"/>
          </rPr>
          <t>Última movimentação no estoque em 02/2023 quantidade 1.</t>
        </r>
      </text>
    </comment>
    <comment ref="R286" authorId="0" shapeId="0" xr:uid="{3C54BD62-372F-4DEC-BA59-036E37614186}">
      <text>
        <r>
          <rPr>
            <sz val="10"/>
            <color indexed="81"/>
            <rFont val="Lucida Console"/>
            <family val="3"/>
          </rPr>
          <t>31.10.2005</t>
        </r>
      </text>
    </comment>
    <comment ref="Y286" authorId="0" shapeId="0" xr:uid="{4FB7453C-7469-450D-B999-F39EA3D65C3F}">
      <text>
        <r>
          <rPr>
            <sz val="10"/>
            <color indexed="81"/>
            <rFont val="Courier New"/>
            <family val="3"/>
          </rPr>
          <t>_x000D_
    DESCRIÇÃO DO CÁLCULO_x000D_
Código    : 88.746_x000D_
Corte     : 3_x000D_
-----------------------------_x000D_
Pendente  : _x000D_
22 / 10_2 : _x000D_
22 / 11_2 : _x000D_
22 / 12_2 : _x000D_
23 / 01_2 : 2_x000D_
23 / 02_2 : 1_x000D_
23 / 03_2 : 1_x000D_
23 / 04_2 : 3 (corte = 5)_x000D_
23 / 05_2 : _x000D_
23 / 06_2 : _x000D_
23 / 07_2 : _x000D_
23 / 08_2 : _x000D_
23 / 09_2 : _x000D_
_x000D_
    TOTAL : ( 7 )_x000D_
  DIVISOR : 12_x000D_
    MÉDIA : ,58_x000D_
-----------------------------_x000D_
   Valores Desconsiderados_x000D_
-----------------------------_x000D_
23 / 04_2 : 2 (5)_x000D_
_x000D_
  TOTAL   : ( 2 )</t>
        </r>
      </text>
    </comment>
    <comment ref="AB286" authorId="0" shapeId="0" xr:uid="{38103B1C-6C6A-493E-B3D0-E30EB524B298}">
      <text>
        <r>
          <rPr>
            <sz val="10"/>
            <color indexed="81"/>
            <rFont val="Lucida Console"/>
            <family val="3"/>
          </rPr>
          <t>Última movimentação no estoque em 04/2023 quantidade 5.</t>
        </r>
      </text>
    </comment>
    <comment ref="R287" authorId="0" shapeId="0" xr:uid="{C9ABE56C-00A1-49C2-B7A0-33C16AFEBECC}">
      <text>
        <r>
          <rPr>
            <sz val="10"/>
            <color indexed="81"/>
            <rFont val="Lucida Console"/>
            <family val="3"/>
          </rPr>
          <t>31.10.2005</t>
        </r>
      </text>
    </comment>
    <comment ref="Y287" authorId="0" shapeId="0" xr:uid="{168E10B1-23F5-4A77-A06B-20AF317A77A5}">
      <text>
        <r>
          <rPr>
            <sz val="10"/>
            <color indexed="81"/>
            <rFont val="Courier New"/>
            <family val="3"/>
          </rPr>
          <t>_x000D_
    DESCRIÇÃO DO CÁLCULO_x000D_
Código    : 88.747_x000D_
Corte     : 2_x000D_
-----------------------------_x000D_
Pendente  : _x000D_
22 / 10_2 : _x000D_
22 / 11_2 : _x000D_
22 / 12_2 : _x000D_
23 / 01_2 : _x000D_
23 / 02_2 : 1_x000D_
23 / 03_2 : 1_x000D_
23 / 04_2 : 2 (corte = 3)_x000D_
23 / 05_2 : _x000D_
23 / 06_2 : _x000D_
23 / 07_2 : _x000D_
23 / 08_2 : _x000D_
23 / 09_2 : _x000D_
_x000D_
    TOTAL : ( 4 )_x000D_
  DIVISOR : 12_x000D_
    MÉDIA : ,33_x000D_
-----------------------------_x000D_
   Valores Desconsiderados_x000D_
-----------------------------_x000D_
23 / 04_2 : 1 (3)_x000D_
_x000D_
  TOTAL   : ( 1 )</t>
        </r>
      </text>
    </comment>
    <comment ref="AB287" authorId="0" shapeId="0" xr:uid="{73985E37-08C8-47CC-895B-0B2896BF584A}">
      <text>
        <r>
          <rPr>
            <sz val="10"/>
            <color indexed="81"/>
            <rFont val="Lucida Console"/>
            <family val="3"/>
          </rPr>
          <t>Última movimentação no estoque em 04/2023 quantidade 3.</t>
        </r>
      </text>
    </comment>
    <comment ref="R288" authorId="0" shapeId="0" xr:uid="{5DC4AE10-EC3C-49FB-B381-E887BD2A8327}">
      <text>
        <r>
          <rPr>
            <sz val="10"/>
            <color indexed="81"/>
            <rFont val="Lucida Console"/>
            <family val="3"/>
          </rPr>
          <t>31.10.2005</t>
        </r>
      </text>
    </comment>
    <comment ref="Y288" authorId="0" shapeId="0" xr:uid="{3F6743F8-1766-4E76-9FBA-D9F7A6DB4214}">
      <text>
        <r>
          <rPr>
            <sz val="10"/>
            <color indexed="81"/>
            <rFont val="Courier New"/>
            <family val="3"/>
          </rPr>
          <t>_x000D_
    DESCRIÇÃO DO CÁLCULO_x000D_
Código    : 88.732_x000D_
Corte     : 10_x000D_
-----------------------------_x000D_
Pendente  : _x000D_
22 / 10_2 : 7_x000D_
22 / 11_2 : _x000D_
22 / 12_2 : 7_x000D_
23 / 01_2 : 6_x000D_
23 / 02_2 : 2_x000D_
23 / 03_2 : _x000D_
23 / 04_2 : 10_x000D_
23 / 05_2 : _x000D_
23 / 06_2 : _x000D_
23 / 07_2 : _x000D_
23 / 08_2 : _x000D_
23 / 09_2 : _x000D_
_x000D_
    TOTAL : ( 32 )_x000D_
  DIVISOR : 12_x000D_
    MÉDIA : 2,67</t>
        </r>
      </text>
    </comment>
    <comment ref="AB288" authorId="0" shapeId="0" xr:uid="{1A2D3CA5-12A8-4A01-863A-9991A2E40A4E}">
      <text>
        <r>
          <rPr>
            <sz val="10"/>
            <color indexed="81"/>
            <rFont val="Lucida Console"/>
            <family val="3"/>
          </rPr>
          <t>Última movimentação no estoque em 04/2023 quantidade 10.</t>
        </r>
      </text>
    </comment>
    <comment ref="R289" authorId="0" shapeId="0" xr:uid="{D26C8704-9BBB-4627-BD5B-CC484B8C3B63}">
      <text>
        <r>
          <rPr>
            <sz val="10"/>
            <color indexed="81"/>
            <rFont val="Lucida Console"/>
            <family val="3"/>
          </rPr>
          <t>31.10.2005</t>
        </r>
      </text>
    </comment>
    <comment ref="Y289" authorId="0" shapeId="0" xr:uid="{4F68A515-A41B-4A9B-A1E1-3556B57C93B1}">
      <text>
        <r>
          <rPr>
            <sz val="10"/>
            <color indexed="81"/>
            <rFont val="Courier New"/>
            <family val="3"/>
          </rPr>
          <t>_x000D_
    DESCRIÇÃO DO CÁLCULO_x000D_
Código    : 88.733_x000D_
Corte     : 17_x000D_
-----------------------------_x000D_
Pendente  : 2_x000D_
22 / 10_2 : 3_x000D_
22 / 11_2 : _x000D_
22 / 12_2 : 5_x000D_
23 / 01_2 : 17 (corte = 20)_x000D_
23 / 02_2 : 7_x000D_
23 / 03_2 : 12_x000D_
23 / 04_2 : 9_x000D_
23 / 05_2 : _x000D_
23 / 06_2 : _x000D_
23 / 07_2 : _x000D_
23 / 08_2 : _x000D_
23 / 09_2 : _x000D_
_x000D_
    TOTAL : ( 55 )_x000D_
  DIVISOR : 12_x000D_
    MÉDIA : 4,58_x000D_
-----------------------------_x000D_
   Valores Desconsiderados_x000D_
-----------------------------_x000D_
23 / 01_2 : 3 (20)_x000D_
_x000D_
  TOTAL   : ( 3 )</t>
        </r>
      </text>
    </comment>
    <comment ref="AB289" authorId="0" shapeId="0" xr:uid="{E0E9DB4A-58EF-4D7B-AECB-60A7D880A1C3}">
      <text>
        <r>
          <rPr>
            <sz val="10"/>
            <color indexed="81"/>
            <rFont val="Lucida Console"/>
            <family val="3"/>
          </rPr>
          <t>Última movimentação no estoque em 04/2023 quantidade 9.</t>
        </r>
      </text>
    </comment>
    <comment ref="R290" authorId="0" shapeId="0" xr:uid="{BEA0F125-307D-4F6E-92E3-B6ED7FD0A7B8}">
      <text>
        <r>
          <rPr>
            <sz val="10"/>
            <color indexed="81"/>
            <rFont val="Lucida Console"/>
            <family val="3"/>
          </rPr>
          <t>31.10.2005</t>
        </r>
      </text>
    </comment>
    <comment ref="Y290" authorId="0" shapeId="0" xr:uid="{2F37EA76-DD07-4061-9ECD-CFCEF3B268FB}">
      <text>
        <r>
          <rPr>
            <sz val="10"/>
            <color indexed="81"/>
            <rFont val="Courier New"/>
            <family val="3"/>
          </rPr>
          <t>_x000D_
    DESCRIÇÃO DO CÁLCULO_x000D_
Código    : 88.734_x000D_
Corte     : 2_x000D_
-----------------------------_x000D_
Pendente  : _x000D_
22 / 10_2 : 2 (corte = 3)_x000D_
22 / 11_2 : 1_x000D_
22 / 12_2 : _x000D_
23 / 01_2 : 1_x000D_
23 / 02_2 : 2 (corte = 3)_x000D_
23 / 03_2 : _x000D_
23 / 04_2 : _x000D_
23 / 05_2 : _x000D_
23 / 06_2 : _x000D_
23 / 07_2 : _x000D_
23 / 08_2 : _x000D_
23 / 09_2 : _x000D_
_x000D_
    TOTAL : ( 6 )_x000D_
  DIVISOR : 12_x000D_
    MÉDIA : ,50_x000D_
-----------------------------_x000D_
   Valores Desconsiderados_x000D_
-----------------------------_x000D_
22 / 10_2 : 1 (3)_x000D_
23 / 02_2 : 1 (3)_x000D_
_x000D_
  TOTAL   : ( 2 )</t>
        </r>
      </text>
    </comment>
    <comment ref="AB290" authorId="0" shapeId="0" xr:uid="{EB5C8B5B-35C7-450B-BA4B-5506E05D2209}">
      <text>
        <r>
          <rPr>
            <sz val="10"/>
            <color indexed="81"/>
            <rFont val="Lucida Console"/>
            <family val="3"/>
          </rPr>
          <t>Última movimentação no estoque em 02/2023 quantidade 3.</t>
        </r>
      </text>
    </comment>
    <comment ref="R291" authorId="0" shapeId="0" xr:uid="{58F02B1F-BA99-4E48-A7FF-8B3770E2DACA}">
      <text>
        <r>
          <rPr>
            <sz val="10"/>
            <color indexed="81"/>
            <rFont val="Lucida Console"/>
            <family val="3"/>
          </rPr>
          <t>31.10.2005</t>
        </r>
      </text>
    </comment>
    <comment ref="Y291" authorId="0" shapeId="0" xr:uid="{6FCDCA75-03CD-44EA-908D-1DC4B4082FD8}">
      <text>
        <r>
          <rPr>
            <sz val="10"/>
            <color indexed="81"/>
            <rFont val="Courier New"/>
            <family val="3"/>
          </rPr>
          <t>_x000D_
    DESCRIÇÃO DO CÁLCULO_x000D_
Código    : 88.735_x000D_
Corte     : 6_x000D_
-----------------------------_x000D_
Pendente  : _x000D_
22 / 10_2 : 3_x000D_
22 / 11_2 : 1_x000D_
22 / 12_2 : 3_x000D_
23 / 01_2 : 5_x000D_
23 / 02_2 : 1_x000D_
23 / 03_2 : _x000D_
23 / 04_2 : 5_x000D_
23 / 05_2 : _x000D_
23 / 06_2 : 5_x000D_
23 / 07_2 : _x000D_
23 / 08_2 : _x000D_
23 / 09_2 : _x000D_
_x000D_
    TOTAL : ( 23 )_x000D_
  DIVISOR : 12_x000D_
    MÉDIA : 1,92</t>
        </r>
      </text>
    </comment>
    <comment ref="AB291" authorId="0" shapeId="0" xr:uid="{E6C1BDDC-D814-47D8-A8A4-D3E65E831BF1}">
      <text>
        <r>
          <rPr>
            <sz val="10"/>
            <color indexed="81"/>
            <rFont val="Lucida Console"/>
            <family val="3"/>
          </rPr>
          <t>Última movimentação no estoque em 06/2023 quantidade 5.</t>
        </r>
      </text>
    </comment>
    <comment ref="R292" authorId="0" shapeId="0" xr:uid="{AD201412-D748-48AB-ABB2-FF4FC49DB138}">
      <text>
        <r>
          <rPr>
            <sz val="10"/>
            <color indexed="81"/>
            <rFont val="Lucida Console"/>
            <family val="3"/>
          </rPr>
          <t>31.10.2005</t>
        </r>
      </text>
    </comment>
    <comment ref="Y292" authorId="0" shapeId="0" xr:uid="{9DFE19E3-C093-4879-9D09-CD5C67C0727B}">
      <text>
        <r>
          <rPr>
            <sz val="10"/>
            <color indexed="81"/>
            <rFont val="Courier New"/>
            <family val="3"/>
          </rPr>
          <t>_x000D_
    DESCRIÇÃO DO CÁLCULO_x000D_
Código    : 88.744_x000D_
Corte     : 5_x000D_
-----------------------------_x000D_
Pendente  : _x000D_
22 / 10_2 : 4_x000D_
22 / 11_2 : 1_x000D_
22 / 12_2 : 3_x000D_
23 / 01_2 : 1_x000D_
23 / 02_2 : 3_x000D_
23 / 03_2 : 1_x000D_
23 / 04_2 : 5_x000D_
23 / 05_2 : _x000D_
23 / 06_2 : _x000D_
23 / 07_2 : _x000D_
23 / 08_2 : _x000D_
23 / 09_2 : 1_x000D_
_x000D_
    TOTAL : ( 19 )_x000D_
  DIVISOR : 12_x000D_
    MÉDIA : 1,58</t>
        </r>
      </text>
    </comment>
    <comment ref="AB292" authorId="0" shapeId="0" xr:uid="{28116033-3ADE-40E3-9EF4-09CA944B79EF}">
      <text>
        <r>
          <rPr>
            <sz val="10"/>
            <color indexed="81"/>
            <rFont val="Lucida Console"/>
            <family val="3"/>
          </rPr>
          <t>Última movimentação no estoque em 09/2023 quantidade 1.</t>
        </r>
      </text>
    </comment>
    <comment ref="R293" authorId="0" shapeId="0" xr:uid="{3D0A888F-7706-49F8-AE5D-4EC231F7CA2D}">
      <text>
        <r>
          <rPr>
            <sz val="10"/>
            <color indexed="81"/>
            <rFont val="Lucida Console"/>
            <family val="3"/>
          </rPr>
          <t>31.10.2005</t>
        </r>
      </text>
    </comment>
    <comment ref="Y293" authorId="0" shapeId="0" xr:uid="{11990EDC-F76B-41C8-A705-830770B1B0A8}">
      <text>
        <r>
          <rPr>
            <sz val="10"/>
            <color indexed="81"/>
            <rFont val="Courier New"/>
            <family val="3"/>
          </rPr>
          <t>_x000D_
    DESCRIÇÃO DO CÁLCULO_x000D_
Código    : 88.745_x000D_
Corte     : 4_x000D_
-----------------------------_x000D_
Pendente  : _x000D_
22 / 10_2 : 1_x000D_
22 / 11_2 : _x000D_
22 / 12_2 : 1_x000D_
23 / 01_2 : 4_x000D_
23 / 02_2 : 1_x000D_
23 / 03_2 : _x000D_
23 / 04_2 : 4 (corte = 5)_x000D_
23 / 05_2 : _x000D_
23 / 06_2 : _x000D_
23 / 07_2 : _x000D_
23 / 08_2 : _x000D_
23 / 09_2 : _x000D_
_x000D_
    TOTAL : ( 11 )_x000D_
  DIVISOR : 12_x000D_
    MÉDIA : ,92_x000D_
-----------------------------_x000D_
   Valores Desconsiderados_x000D_
-----------------------------_x000D_
23 / 04_2 : 1 (5)_x000D_
_x000D_
  TOTAL   : ( 1 )</t>
        </r>
      </text>
    </comment>
    <comment ref="AB293" authorId="0" shapeId="0" xr:uid="{683003A9-3F29-45F7-80C9-0B8F38593C19}">
      <text>
        <r>
          <rPr>
            <sz val="10"/>
            <color indexed="81"/>
            <rFont val="Lucida Console"/>
            <family val="3"/>
          </rPr>
          <t>Última movimentação no estoque em 04/2023 quantidade 5.</t>
        </r>
      </text>
    </comment>
    <comment ref="R294" authorId="0" shapeId="0" xr:uid="{A764A628-2505-4F9F-BE39-C37CAA6EF00B}">
      <text>
        <r>
          <rPr>
            <sz val="10"/>
            <color indexed="81"/>
            <rFont val="Lucida Console"/>
            <family val="3"/>
          </rPr>
          <t>19.10.2007</t>
        </r>
      </text>
    </comment>
    <comment ref="Y294" authorId="0" shapeId="0" xr:uid="{2DB02094-6CF2-412F-B121-353293AC1BD4}">
      <text>
        <r>
          <rPr>
            <sz val="10"/>
            <color indexed="81"/>
            <rFont val="Courier New"/>
            <family val="3"/>
          </rPr>
          <t>_x000D_
    DESCRIÇÃO DO CÁLCULO_x000D_
Código    : 102.820_x000D_
Corte     : 2_x000D_
-----------------------------_x000D_
Pendente  : _x000D_
22 / 10_2 : _x000D_
22 / 11_2 : _x000D_
22 / 12_2 : 2_x000D_
23 / 01_2 : 2 (corte = 3)_x000D_
23 / 02_2 : 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294" authorId="0" shapeId="0" xr:uid="{2E468F38-90D9-4298-AB1F-2900295F362D}">
      <text>
        <r>
          <rPr>
            <sz val="10"/>
            <color indexed="81"/>
            <rFont val="Lucida Console"/>
            <family val="3"/>
          </rPr>
          <t>Última movimentação no estoque em 01/2023 quantidade 3.</t>
        </r>
      </text>
    </comment>
    <comment ref="R295" authorId="0" shapeId="0" xr:uid="{2073F069-D291-4C41-97BD-59E162F5DAD2}">
      <text>
        <r>
          <rPr>
            <sz val="10"/>
            <color indexed="81"/>
            <rFont val="Lucida Console"/>
            <family val="3"/>
          </rPr>
          <t>19.10.2007</t>
        </r>
      </text>
    </comment>
    <comment ref="Y295" authorId="0" shapeId="0" xr:uid="{06A968A7-6C03-4976-B385-69450066DB05}">
      <text>
        <r>
          <rPr>
            <sz val="10"/>
            <color indexed="81"/>
            <rFont val="Courier New"/>
            <family val="3"/>
          </rPr>
          <t>_x000D_
    DESCRIÇÃO DO CÁLCULO_x000D_
Código    : 102.819_x000D_
Corte     : 3_x000D_
-----------------------------_x000D_
Pendente  : _x000D_
22 / 10_2 : _x000D_
22 / 11_2 : _x000D_
22 / 12_2 : _x000D_
23 / 01_2 : 3 (corte = 4)_x000D_
23 / 02_2 : _x000D_
23 / 03_2 : _x000D_
23 / 04_2 : _x000D_
23 / 05_2 : _x000D_
23 / 06_2 : 2_x000D_
23 / 07_2 : 3_x000D_
23 / 08_2 : _x000D_
23 / 09_2 : _x000D_
_x000D_
    TOTAL : ( 8 )_x000D_
  DIVISOR : 12_x000D_
    MÉDIA : ,67_x000D_
-----------------------------_x000D_
   Valores Desconsiderados_x000D_
-----------------------------_x000D_
23 / 01_2 : 1 (4)_x000D_
_x000D_
  TOTAL   : ( 1 )</t>
        </r>
      </text>
    </comment>
    <comment ref="AB295" authorId="0" shapeId="0" xr:uid="{768F2211-82D2-4450-9965-4653E4FF66D9}">
      <text>
        <r>
          <rPr>
            <sz val="10"/>
            <color indexed="81"/>
            <rFont val="Lucida Console"/>
            <family val="3"/>
          </rPr>
          <t>Última movimentação no estoque em 07/2023 quantidade 3.</t>
        </r>
      </text>
    </comment>
    <comment ref="R296" authorId="0" shapeId="0" xr:uid="{27010AEA-EFEC-46AF-9592-F43223A035C9}">
      <text>
        <r>
          <rPr>
            <sz val="10"/>
            <color indexed="81"/>
            <rFont val="Lucida Console"/>
            <family val="3"/>
          </rPr>
          <t>11.05.2009</t>
        </r>
      </text>
    </comment>
    <comment ref="Y296" authorId="0" shapeId="0" xr:uid="{5F7A1B72-0BAA-47C4-808F-C4E7ACFBC479}">
      <text>
        <r>
          <rPr>
            <sz val="10"/>
            <color indexed="81"/>
            <rFont val="Courier New"/>
            <family val="3"/>
          </rPr>
          <t>_x000D_
    DESCRIÇÃO DO CÁLCULO_x000D_
Código    : 110.888_x000D_
Corte     : 1_x000D_
-----------------------------_x000D_
Pendente  : _x000D_
22 / 10_2 : _x000D_
22 / 11_2 : _x000D_
22 / 12_2 : _x000D_
23 / 01_2 : 1 (corte = 2)_x000D_
23 / 02_2 : _x000D_
23 / 03_2 : _x000D_
23 / 04_2 : 1_x000D_
23 / 05_2 : _x000D_
23 / 06_2 : _x000D_
23 / 07_2 : _x000D_
23 / 08_2 : _x000D_
23 / 09_2 : _x000D_
_x000D_
    TOTAL : ( 2 )_x000D_
  DIVISOR : 12_x000D_
    MÉDIA : ,17_x000D_
-----------------------------_x000D_
   Valores Desconsiderados_x000D_
-----------------------------_x000D_
23 / 01_2 : 1 (2)_x000D_
_x000D_
  TOTAL   : ( 1 )</t>
        </r>
      </text>
    </comment>
    <comment ref="AB296" authorId="0" shapeId="0" xr:uid="{D35BBE26-58B3-4D3C-AD1C-9C24F1A66F65}">
      <text>
        <r>
          <rPr>
            <sz val="10"/>
            <color indexed="81"/>
            <rFont val="Lucida Console"/>
            <family val="3"/>
          </rPr>
          <t>Última movimentação no estoque em 04/2023 quantidade 1.</t>
        </r>
      </text>
    </comment>
    <comment ref="R297" authorId="0" shapeId="0" xr:uid="{46A36F52-2808-4C05-8A3C-2F87320DC59D}">
      <text>
        <r>
          <rPr>
            <sz val="10"/>
            <color indexed="81"/>
            <rFont val="Lucida Console"/>
            <family val="3"/>
          </rPr>
          <t>11.02.2015</t>
        </r>
      </text>
    </comment>
    <comment ref="Y297" authorId="0" shapeId="0" xr:uid="{79959E6D-1AB1-4074-9E51-E1702D494885}">
      <text>
        <r>
          <rPr>
            <sz val="10"/>
            <color indexed="81"/>
            <rFont val="Courier New"/>
            <family val="3"/>
          </rPr>
          <t>_x000D_
    DESCRIÇÃO DO CÁLCULO_x000D_
Código    : 129.962_x000D_
Corte     : 1_x000D_
-----------------------------_x000D_
Pendente  : _x000D_
22 / 10_2 : _x000D_
22 / 11_2 : _x000D_
22 / 12_2 : 1_x000D_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23 / 01_2 : 1 (2)_x000D_
_x000D_
  TOTAL   : ( 1 )</t>
        </r>
      </text>
    </comment>
    <comment ref="AB297" authorId="0" shapeId="0" xr:uid="{728CA976-F609-4437-A44D-F2EAB9EA7EA6}">
      <text>
        <r>
          <rPr>
            <sz val="10"/>
            <color indexed="81"/>
            <rFont val="Lucida Console"/>
            <family val="3"/>
          </rPr>
          <t>Última movimentação no estoque em 01/2023 quantidade 2.</t>
        </r>
      </text>
    </comment>
    <comment ref="R298" authorId="0" shapeId="0" xr:uid="{1BDB79B3-1E50-4DF5-A5CC-1BFED8CBD35B}">
      <text>
        <r>
          <rPr>
            <sz val="10"/>
            <color indexed="81"/>
            <rFont val="Lucida Console"/>
            <family val="3"/>
          </rPr>
          <t>11.02.2015</t>
        </r>
      </text>
    </comment>
    <comment ref="Y298" authorId="0" shapeId="0" xr:uid="{FE5956B3-B4AF-4417-8ECE-C3BE5971D5E8}">
      <text>
        <r>
          <rPr>
            <sz val="10"/>
            <color indexed="81"/>
            <rFont val="Courier New"/>
            <family val="3"/>
          </rPr>
          <t>_x000D_
    DESCRIÇÃO DO CÁLCULO_x000D_
Código    : 129.961_x000D_
Corte     : _x000D_
-----------------------------_x000D_
Pendente  : _x000D_
22 / 10_2 : _x000D_
22 / 11_2 : _x000D_
22 / 12_2 : _x000D_
23 / 01_2 : _x000D_
23 / 02_2 : _x000D_
23 / 03_2 : _x000D_
23 / 04_2 : _x000D_
23 / 05_2 : _x000D_
23 / 06_2 : _x000D_
23 / 07_2 : _x000D_
23 / 08_2 :  (corte = 1)_x000D_
23 / 09_2 : _x000D_
_x000D_
    TOTAL : (  )_x000D_
  DIVISOR : 12_x000D_
    MÉDIA : ,00_x000D_
-----------------------------_x000D_
   Valores Desconsiderados_x000D_
-----------------------------_x000D_
23 / 08_2 : 1 (1)_x000D_
_x000D_
  TOTAL   : ( 1 )</t>
        </r>
      </text>
    </comment>
    <comment ref="AB298" authorId="0" shapeId="0" xr:uid="{D39DD59B-3A0E-44E7-B358-1D4CF397DD2A}">
      <text>
        <r>
          <rPr>
            <sz val="10"/>
            <color indexed="81"/>
            <rFont val="Lucida Console"/>
            <family val="3"/>
          </rPr>
          <t>Última movimentação no estoque em 08/2023 quantidade 1.</t>
        </r>
      </text>
    </comment>
    <comment ref="R299" authorId="0" shapeId="0" xr:uid="{81A7A04F-EB75-4C4B-A837-D04A2290512D}">
      <text>
        <r>
          <rPr>
            <sz val="10"/>
            <color indexed="81"/>
            <rFont val="Lucida Console"/>
            <family val="3"/>
          </rPr>
          <t>05.09.2007</t>
        </r>
      </text>
    </comment>
    <comment ref="Y299" authorId="0" shapeId="0" xr:uid="{E09B8821-B587-4524-B5E1-782BFEDA9740}">
      <text>
        <r>
          <rPr>
            <sz val="10"/>
            <color indexed="81"/>
            <rFont val="Courier New"/>
            <family val="3"/>
          </rPr>
          <t>_x000D_
    DESCRIÇÃO DO CÁLCULO_x000D_
Código    : 101.891_x000D_
Corte     : 13_x000D_
-----------------------------_x000D_
Pendente  : _x000D_
22 / 10_2 : _x000D_
22 / 11_2 : _x000D_
22 / 12_2 : 13 (corte = 16)_x000D_
23 / 01_2 : _x000D_
23 / 02_2 : _x000D_
23 / 03_2 : _x000D_
23 / 04_2 : 10_x000D_
23 / 05_2 : _x000D_
23 / 06_2 : _x000D_
23 / 07_2 : _x000D_
23 / 08_2 : _x000D_
23 / 09_2 : 6_x000D_
_x000D_
    TOTAL : ( 29 )_x000D_
  DIVISOR : 12_x000D_
    MÉDIA : 2,42_x000D_
-----------------------------_x000D_
   Valores Desconsiderados_x000D_
-----------------------------_x000D_
22 / 12_2 : 3 (16)_x000D_
_x000D_
  TOTAL   : ( 3 )</t>
        </r>
      </text>
    </comment>
    <comment ref="AB299" authorId="0" shapeId="0" xr:uid="{FF5FDD5F-B34F-4DE1-AADC-CCF184FE2A43}">
      <text>
        <r>
          <rPr>
            <sz val="10"/>
            <color indexed="81"/>
            <rFont val="Lucida Console"/>
            <family val="3"/>
          </rPr>
          <t>Última movimentação no estoque em 09/2023 quantidade 6.</t>
        </r>
      </text>
    </comment>
    <comment ref="R300" authorId="0" shapeId="0" xr:uid="{D0C5AC4F-6BD6-48FB-A101-892DC13388E6}">
      <text>
        <r>
          <rPr>
            <sz val="10"/>
            <color indexed="81"/>
            <rFont val="Lucida Console"/>
            <family val="3"/>
          </rPr>
          <t>01.01.1901</t>
        </r>
      </text>
    </comment>
    <comment ref="Y300" authorId="0" shapeId="0" xr:uid="{EECADF3D-27B0-4BB5-9FFD-3A2D88A1EA7F}">
      <text>
        <r>
          <rPr>
            <sz val="10"/>
            <color indexed="81"/>
            <rFont val="Courier New"/>
            <family val="3"/>
          </rPr>
          <t>_x000D_
    DESCRIÇÃO DO CÁLCULO_x000D_
Código    : 13.197_x000D_
Corte     : 48_x000D_
-----------------------------_x000D_
Pendente  : _x000D_
22 / 10_2 : _x000D_
22 / 11_2 : _x000D_
22 / 12_2 : _x000D_
23 / 01_2 : _x000D_
23 / 02_2 : _x000D_
23 / 03_2 : 48 (corte = 55)_x000D_
23 / 04_2 : 48_x000D_
23 / 05_2 : _x000D_
23 / 06_2 : _x000D_
23 / 07_2 : _x000D_
23 / 08_2 : _x000D_
23 / 09_2 : _x000D_
_x000D_
    TOTAL : ( 96 )_x000D_
  DIVISOR : 12_x000D_
    MÉDIA : 8,00_x000D_
-----------------------------_x000D_
   Valores Desconsiderados_x000D_
-----------------------------_x000D_
23 / 03_2 : 7 (55)_x000D_
_x000D_
  TOTAL   : ( 7 )</t>
        </r>
      </text>
    </comment>
    <comment ref="AB300" authorId="0" shapeId="0" xr:uid="{95FCC1E1-506B-41CD-BD02-94BF4E8DD671}">
      <text>
        <r>
          <rPr>
            <sz val="10"/>
            <color indexed="81"/>
            <rFont val="Lucida Console"/>
            <family val="3"/>
          </rPr>
          <t>Última movimentação no estoque em 04/2023 quantidade 48.</t>
        </r>
      </text>
    </comment>
    <comment ref="R301" authorId="0" shapeId="0" xr:uid="{644EA7F8-BE36-4ADC-AD61-D8F14B688264}">
      <text>
        <r>
          <rPr>
            <sz val="10"/>
            <color indexed="81"/>
            <rFont val="Lucida Console"/>
            <family val="3"/>
          </rPr>
          <t>01.01.1901</t>
        </r>
      </text>
    </comment>
    <comment ref="Y301" authorId="0" shapeId="0" xr:uid="{BDE20927-D5DE-4ECE-A387-0BF7DA79D159}">
      <text>
        <r>
          <rPr>
            <sz val="10"/>
            <color indexed="81"/>
            <rFont val="Courier New"/>
            <family val="3"/>
          </rPr>
          <t>_x000D_
    DESCRIÇÃO DO CÁLCULO_x000D_
Código    : 13.199_x000D_
Corte     : 63_x000D_
-----------------------------_x000D_
Pendente  : 1_x000D_
22 / 10_2 : _x000D_
22 / 11_2 : _x000D_
22 / 12_2 : _x000D_
23 / 01_2 : _x000D_
23 / 02_2 : 50_x000D_
23 / 03_2 : _x000D_
23 / 04_2 : _x000D_
23 / 05_2 : 63 (corte = 70)_x000D_
23 / 06_2 : _x000D_
23 / 07_2 : _x000D_
23 / 08_2 : _x000D_
23 / 09_2 : 47_x000D_
_x000D_
    TOTAL : ( 161 )_x000D_
  DIVISOR : 12_x000D_
    MÉDIA : 13,42_x000D_
-----------------------------_x000D_
   Valores Desconsiderados_x000D_
-----------------------------_x000D_
23 / 05_2 : 7 (70)_x000D_
_x000D_
  TOTAL   : ( 7 )</t>
        </r>
      </text>
    </comment>
    <comment ref="AB301" authorId="0" shapeId="0" xr:uid="{905AF402-EAD7-4FEE-A45D-AAA251BD9D72}">
      <text>
        <r>
          <rPr>
            <sz val="10"/>
            <color indexed="81"/>
            <rFont val="Lucida Console"/>
            <family val="3"/>
          </rPr>
          <t>Última movimentação no estoque em 09/2023 quantidade 47.</t>
        </r>
      </text>
    </comment>
    <comment ref="R302" authorId="0" shapeId="0" xr:uid="{44E66F47-2E36-4AB8-B048-5BBBB705F3CB}">
      <text>
        <r>
          <rPr>
            <sz val="10"/>
            <color indexed="81"/>
            <rFont val="Lucida Console"/>
            <family val="3"/>
          </rPr>
          <t>22.02.2019</t>
        </r>
      </text>
    </comment>
    <comment ref="Y302" authorId="0" shapeId="0" xr:uid="{11F00623-48F0-4A4D-AB3A-29EB29F6C2DF}">
      <text>
        <r>
          <rPr>
            <sz val="10"/>
            <color indexed="81"/>
            <rFont val="Courier New"/>
            <family val="3"/>
          </rPr>
          <t>_x000D_
    DESCRIÇÃO DO CÁLCULO_x000D_
Código    : 136.553_x000D_
Corte     : 533_x000D_
-----------------------------_x000D_
Pendente  : 200_x000D_
22 / 10_2 : 440_x000D_
22 / 11_2 : 100_x000D_
22 / 12_2 : 90_x000D_
23 / 01_2 : 320_x000D_
23 / 02_2 : 105_x000D_
23 / 03_2 : 504_x000D_
23 / 04_2 : 330_x000D_
23 / 05_2 : 48_x000D_
23 / 06_2 : _x000D_
23 / 07_2 : _x000D_
23 / 08_2 : _x000D_
23 / 09_2 : _x000D_
_x000D_
    TOTAL : ( 2.137 )_x000D_
  DIVISOR : 12_x000D_
    MÉDIA : 178,08</t>
        </r>
      </text>
    </comment>
    <comment ref="AB302" authorId="0" shapeId="0" xr:uid="{88D2571C-0067-4EFA-B7BF-6BAC362B9C41}">
      <text>
        <r>
          <rPr>
            <sz val="10"/>
            <color indexed="81"/>
            <rFont val="Lucida Console"/>
            <family val="3"/>
          </rPr>
          <t>Última movimentação no estoque em 05/2023 quantidade 48.</t>
        </r>
      </text>
    </comment>
    <comment ref="R303" authorId="0" shapeId="0" xr:uid="{EC3B4EC0-E4E2-44B2-86E2-CBE51A64F6F5}">
      <text>
        <r>
          <rPr>
            <sz val="10"/>
            <color indexed="81"/>
            <rFont val="Lucida Console"/>
            <family val="3"/>
          </rPr>
          <t>22.02.2019</t>
        </r>
      </text>
    </comment>
    <comment ref="Y303" authorId="0" shapeId="0" xr:uid="{682A49A9-F6E5-40BE-9E08-2B759439790D}">
      <text>
        <r>
          <rPr>
            <sz val="10"/>
            <color indexed="81"/>
            <rFont val="Courier New"/>
            <family val="3"/>
          </rPr>
          <t>_x000D_
    DESCRIÇÃO DO CÁLCULO_x000D_
Código    : 136.556_x000D_
Corte     : 188_x000D_
-----------------------------_x000D_
Pendente  : 97_x000D_
22 / 10_2 : 105_x000D_
22 / 11_2 : 48_x000D_
22 / 12_2 : 12_x000D_
23 / 01_2 : 139_x000D_
23 / 02_2 : 112_x000D_
23 / 03_2 : 134_x000D_
23 / 04_2 : 144_x000D_
23 / 05_2 : _x000D_
23 / 06_2 : _x000D_
23 / 07_2 : _x000D_
23 / 08_2 : _x000D_
23 / 09_2 : _x000D_
_x000D_
    TOTAL : ( 791 )_x000D_
  DIVISOR : 12_x000D_
    MÉDIA : 65,92</t>
        </r>
      </text>
    </comment>
    <comment ref="AB303" authorId="0" shapeId="0" xr:uid="{8235E82C-5E51-46F3-98AC-08FE91224BA0}">
      <text>
        <r>
          <rPr>
            <sz val="10"/>
            <color indexed="81"/>
            <rFont val="Lucida Console"/>
            <family val="3"/>
          </rPr>
          <t>Última movimentação no estoque em 04/2023 quantidade 144.</t>
        </r>
      </text>
    </comment>
    <comment ref="R304" authorId="0" shapeId="0" xr:uid="{089689FD-D871-4171-9D79-F72A3AF8D148}">
      <text>
        <r>
          <rPr>
            <sz val="10"/>
            <color indexed="81"/>
            <rFont val="Lucida Console"/>
            <family val="3"/>
          </rPr>
          <t>01.01.1901</t>
        </r>
      </text>
    </comment>
    <comment ref="Y304" authorId="0" shapeId="0" xr:uid="{C3D274B0-0FAF-4D6B-8400-A05F7D1AD90E}">
      <text>
        <r>
          <rPr>
            <sz val="10"/>
            <color indexed="81"/>
            <rFont val="Courier New"/>
            <family val="3"/>
          </rPr>
          <t>_x000D_
    DESCRIÇÃO DO CÁLCULO_x000D_
Código    : 17.132_x000D_
Corte     : 359_x000D_
-----------------------------_x000D_
Pendente  : _x000D_
22 / 10_2 : 30_x000D_
22 / 11_2 : 56_x000D_
22 / 12_2 : 35_x000D_
23 / 01_2 : 27_x000D_
23 / 02_2 : 35_x000D_
23 / 03_2 : 359 (corte = 519)_x000D_
23 / 04_2 : 46_x000D_
23 / 05_2 : 42_x000D_
23 / 06_2 : 65_x000D_
23 / 07_2 : 45_x000D_
23 / 08_2 : 50_x000D_
23 / 09_2 : 63_x000D_
_x000D_
    TOTAL : ( 853 )_x000D_
  DIVISOR : 12_x000D_
    MÉDIA : 71,08_x000D_
-----------------------------_x000D_
   Valores Desconsiderados_x000D_
-----------------------------_x000D_
23 / 03_2 : 160 (519)_x000D_
_x000D_
  TOTAL   : ( 160 )</t>
        </r>
      </text>
    </comment>
    <comment ref="AB304" authorId="0" shapeId="0" xr:uid="{22E81DCC-C429-4EB3-9858-82DBBEE2549D}">
      <text>
        <r>
          <rPr>
            <sz val="10"/>
            <color indexed="81"/>
            <rFont val="Lucida Console"/>
            <family val="3"/>
          </rPr>
          <t>Última movimentação no estoque em 09/2023 quantidade 63.</t>
        </r>
      </text>
    </comment>
    <comment ref="R305" authorId="0" shapeId="0" xr:uid="{DC9088E4-F1A3-40AB-9C6C-7EF4CF7DCB11}">
      <text>
        <r>
          <rPr>
            <sz val="10"/>
            <color indexed="81"/>
            <rFont val="Lucida Console"/>
            <family val="3"/>
          </rPr>
          <t>10.11.2008</t>
        </r>
      </text>
    </comment>
    <comment ref="Y305" authorId="0" shapeId="0" xr:uid="{0D7C84FD-EB19-4B09-81E1-3CDC92D17CA2}">
      <text>
        <r>
          <rPr>
            <sz val="10"/>
            <color indexed="81"/>
            <rFont val="Courier New"/>
            <family val="3"/>
          </rPr>
          <t>_x000D_
    DESCRIÇÃO DO CÁLCULO_x000D_
Código    : 108.711_x000D_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05" authorId="0" shapeId="0" xr:uid="{CE8A8FB0-0599-4F55-B9DA-92CA98CB642D}">
      <text>
        <r>
          <rPr>
            <sz val="10"/>
            <color indexed="81"/>
            <rFont val="Lucida Console"/>
            <family val="3"/>
          </rPr>
          <t>Última movimentação no estoque em 11/2022 quantidade 1.</t>
        </r>
      </text>
    </comment>
    <comment ref="R306" authorId="0" shapeId="0" xr:uid="{F7DCC026-AD34-40E9-8E28-A46817CCAE76}">
      <text>
        <r>
          <rPr>
            <sz val="10"/>
            <color indexed="81"/>
            <rFont val="Lucida Console"/>
            <family val="3"/>
          </rPr>
          <t>16.10.2007</t>
        </r>
      </text>
    </comment>
    <comment ref="Y306" authorId="0" shapeId="0" xr:uid="{86BBA061-3FC5-492C-A8F6-E51F030D0E8F}">
      <text>
        <r>
          <rPr>
            <sz val="10"/>
            <color indexed="81"/>
            <rFont val="Courier New"/>
            <family val="3"/>
          </rPr>
          <t>_x000D_
    DESCRIÇÃO DO CÁLCULO_x000D_
Código    : 102.723_x000D_
Corte     : 33_x000D_
-----------------------------_x000D_
Pendente  : _x000D_
22 / 10_2 : 27_x000D_
22 / 11_2 : 29_x000D_
22 / 12_2 : _x000D_
23 / 01_2 : _x000D_
23 / 02_2 : 15_x000D_
23 / 03_2 : _x000D_
23 / 04_2 : _x000D_
23 / 05_2 : _x000D_
23 / 06_2 : 20_x000D_
23 / 07_2 : 20_x000D_
23 / 08_2 : _x000D_
23 / 09_2 : _x000D_
_x000D_
    TOTAL : ( 111 )_x000D_
  DIVISOR : 12_x000D_
    MÉDIA : 9,25</t>
        </r>
      </text>
    </comment>
    <comment ref="AB306" authorId="0" shapeId="0" xr:uid="{8505BCCF-2CDF-40C1-8C9C-23FC812F2163}">
      <text>
        <r>
          <rPr>
            <sz val="10"/>
            <color indexed="81"/>
            <rFont val="Lucida Console"/>
            <family val="3"/>
          </rPr>
          <t>Última movimentação no estoque em 07/2023 quantidade 20.</t>
        </r>
      </text>
    </comment>
    <comment ref="R307" authorId="0" shapeId="0" xr:uid="{7B9DC294-B1E2-4636-86AF-2B6F997236D9}">
      <text>
        <r>
          <rPr>
            <sz val="10"/>
            <color indexed="81"/>
            <rFont val="Lucida Console"/>
            <family val="3"/>
          </rPr>
          <t>16.10.2007</t>
        </r>
      </text>
    </comment>
    <comment ref="Y307" authorId="0" shapeId="0" xr:uid="{BE8C2F16-3176-4540-90C2-410E648B4C92}">
      <text>
        <r>
          <rPr>
            <sz val="10"/>
            <color indexed="81"/>
            <rFont val="Courier New"/>
            <family val="3"/>
          </rPr>
          <t>_x000D_
    DESCRIÇÃO DO CÁLCULO_x000D_
Código    : 102.690_x000D_
Corte     : 24_x000D_
-----------------------------_x000D_
Pendente  : 7_x000D_
22 / 10_2 : _x000D_
22 / 11_2 : 8_x000D_
22 / 12_2 : 20_x000D_
23 / 01_2 : 24 (corte = 26)_x000D_
23 / 02_2 : 12_x000D_
23 / 03_2 : _x000D_
23 / 04_2 : 10_x000D_
23 / 05_2 : _x000D_
23 / 06_2 : _x000D_
23 / 07_2 : _x000D_
23 / 08_2 : _x000D_
23 / 09_2 : _x000D_
_x000D_
    TOTAL : ( 81 )_x000D_
  DIVISOR : 12_x000D_
    MÉDIA : 6,75_x000D_
-----------------------------_x000D_
   Valores Desconsiderados_x000D_
-----------------------------_x000D_
23 / 01_2 : 2 (26)_x000D_
_x000D_
  TOTAL   : ( 2 )</t>
        </r>
      </text>
    </comment>
    <comment ref="AB307" authorId="0" shapeId="0" xr:uid="{8B22F3FC-4CDC-475B-AB9C-60B17E7B461F}">
      <text>
        <r>
          <rPr>
            <sz val="10"/>
            <color indexed="81"/>
            <rFont val="Lucida Console"/>
            <family val="3"/>
          </rPr>
          <t>Última movimentação no estoque em 04/2023 quantidade 10.</t>
        </r>
      </text>
    </comment>
    <comment ref="R308" authorId="0" shapeId="0" xr:uid="{75378A90-F1A4-465F-B478-E3DD32250CD6}">
      <text>
        <r>
          <rPr>
            <sz val="10"/>
            <color indexed="81"/>
            <rFont val="Lucida Console"/>
            <family val="3"/>
          </rPr>
          <t>05.09.2017</t>
        </r>
      </text>
    </comment>
    <comment ref="Y308" authorId="0" shapeId="0" xr:uid="{3AA848F9-3B53-49EB-96ED-8A9E06965264}">
      <text>
        <r>
          <rPr>
            <sz val="10"/>
            <color indexed="81"/>
            <rFont val="Courier New"/>
            <family val="3"/>
          </rPr>
          <t>_x000D_
    DESCRIÇÃO DO CÁLCULO_x000D_
Código    : 133.371_x000D_
Corte     : 149_x000D_
-----------------------------_x000D_
Pendente  : _x000D_
22 / 10_2 : 20_x000D_
22 / 11_2 : 60_x000D_
22 / 12_2 : _x000D_
23 / 01_2 : 60_x000D_
23 / 02_2 : 40_x000D_
23 / 03_2 : 40_x000D_
23 / 04_2 : _x000D_
23 / 05_2 : 149 (corte = 200)_x000D_
23 / 06_2 : _x000D_
23 / 07_2 : _x000D_
23 / 08_2 : _x000D_
23 / 09_2 : _x000D_
_x000D_
    TOTAL : ( 369 )_x000D_
  DIVISOR : 12_x000D_
    MÉDIA : 30,75_x000D_
-----------------------------_x000D_
   Valores Desconsiderados_x000D_
-----------------------------_x000D_
23 / 05_2 : 51 (200)_x000D_
_x000D_
  TOTAL   : ( 51 )</t>
        </r>
      </text>
    </comment>
    <comment ref="AB308" authorId="0" shapeId="0" xr:uid="{8A0CAA40-AA20-4E17-A629-704985009D1F}">
      <text>
        <r>
          <rPr>
            <sz val="10"/>
            <color indexed="81"/>
            <rFont val="Lucida Console"/>
            <family val="3"/>
          </rPr>
          <t>Última movimentação no estoque em 05/2023 quantidade 200.</t>
        </r>
      </text>
    </comment>
    <comment ref="R309" authorId="0" shapeId="0" xr:uid="{2B5C8C72-4F3A-4E56-9EF2-11040CEBB09D}">
      <text>
        <r>
          <rPr>
            <sz val="10"/>
            <color indexed="81"/>
            <rFont val="Lucida Console"/>
            <family val="3"/>
          </rPr>
          <t>20.02.2015</t>
        </r>
      </text>
    </comment>
    <comment ref="Y309" authorId="0" shapeId="0" xr:uid="{4958C3DE-D74D-4E14-9A25-DEC3A78D5509}">
      <text>
        <r>
          <rPr>
            <sz val="10"/>
            <color indexed="81"/>
            <rFont val="Courier New"/>
            <family val="3"/>
          </rPr>
          <t>_x000D_
    DESCRIÇÃO DO CÁLCULO_x000D_
Código    : 129.991_x000D_
Corte     : 50_x000D_
-----------------------------_x000D_
Pendente  : _x000D_
22 / 10_2 : 50_x000D_
22 / 11_2 : 26_x000D_
22 / 12_2 : _x000D_
23 / 01_2 : _x000D_
23 / 02_2 : _x000D_
23 / 03_2 : _x000D_
23 / 04_2 : _x000D_
23 / 05_2 : _x000D_
23 / 06_2 : _x000D_
23 / 07_2 : 2_x000D_
23 / 08_2 : 50_x000D_
23 / 09_2 : _x000D_
_x000D_
    TOTAL : ( 128 )_x000D_
  DIVISOR : 12_x000D_
    MÉDIA : 10,67</t>
        </r>
      </text>
    </comment>
    <comment ref="AB309" authorId="0" shapeId="0" xr:uid="{47DF2DDB-6905-4992-95B5-F6AED80AD8DA}">
      <text>
        <r>
          <rPr>
            <sz val="10"/>
            <color indexed="81"/>
            <rFont val="Lucida Console"/>
            <family val="3"/>
          </rPr>
          <t>Última movimentação no estoque em 08/2023 quantidade 50.</t>
        </r>
      </text>
    </comment>
    <comment ref="R310" authorId="0" shapeId="0" xr:uid="{30C812C7-8925-4C37-AB0E-6592DBD6DF8B}">
      <text>
        <r>
          <rPr>
            <sz val="10"/>
            <color indexed="81"/>
            <rFont val="Lucida Console"/>
            <family val="3"/>
          </rPr>
          <t>08.09.2011</t>
        </r>
      </text>
    </comment>
    <comment ref="Y310" authorId="0" shapeId="0" xr:uid="{45FA4BAE-B442-42C7-8AE9-1A23C0A09F30}">
      <text>
        <r>
          <rPr>
            <sz val="10"/>
            <color indexed="81"/>
            <rFont val="Courier New"/>
            <family val="3"/>
          </rPr>
          <t>_x000D_
    DESCRIÇÃO DO CÁLCULO_x000D_
Código    : 120.995_x000D_
Corte     : 48_x000D_
-----------------------------_x000D_
Pendente  : _x000D_
22 / 10_2 : _x000D_
22 / 11_2 : 30_x000D_
22 / 12_2 : _x000D_
23 / 01_2 : 40_x000D_
23 / 02_2 : _x000D_
23 / 03_2 : 20_x000D_
23 / 04_2 : _x000D_
23 / 05_2 : _x000D_
23 / 06_2 : 48 (corte = 50)_x000D_
23 / 07_2 : _x000D_
23 / 08_2 : _x000D_
23 / 09_2 : _x000D_
_x000D_
    TOTAL : ( 138 )_x000D_
  DIVISOR : 12_x000D_
    MÉDIA : 11,50_x000D_
-----------------------------_x000D_
   Valores Desconsiderados_x000D_
-----------------------------_x000D_
23 / 06_2 : 2 (50)_x000D_
_x000D_
  TOTAL   : ( 2 )</t>
        </r>
      </text>
    </comment>
    <comment ref="AB310" authorId="0" shapeId="0" xr:uid="{6A75F840-3678-4DB9-9A83-805A6C42B7D4}">
      <text>
        <r>
          <rPr>
            <sz val="10"/>
            <color indexed="81"/>
            <rFont val="Lucida Console"/>
            <family val="3"/>
          </rPr>
          <t>Última movimentação no estoque em 06/2023 quantidade 50.</t>
        </r>
      </text>
    </comment>
    <comment ref="R311" authorId="0" shapeId="0" xr:uid="{0D07991F-EFA1-4A60-9F98-CEF112ED5D0B}">
      <text>
        <r>
          <rPr>
            <sz val="10"/>
            <color indexed="81"/>
            <rFont val="Lucida Console"/>
            <family val="3"/>
          </rPr>
          <t>25.05.2007</t>
        </r>
      </text>
    </comment>
    <comment ref="Y311" authorId="0" shapeId="0" xr:uid="{03AC8D64-D60B-4196-BAB7-75FB14B6C702}">
      <text>
        <r>
          <rPr>
            <sz val="10"/>
            <color indexed="81"/>
            <rFont val="Courier New"/>
            <family val="3"/>
          </rPr>
          <t>_x000D_
    DESCRIÇÃO DO CÁLCULO_x000D_
Código    : 99.787_x000D_
Corte     : 25_x000D_
-----------------------------_x000D_
Pendente  : _x000D_
22 / 10_2 : _x000D_
22 / 11_2 : 2_x000D_
22 / 12_2 : 5_x000D_
23 / 01_2 : 25 (corte = 35)_x000D_
23 / 02_2 : 12_x000D_
23 / 03_2 : _x000D_
23 / 04_2 : _x000D_
23 / 05_2 : 4_x000D_
23 / 06_2 : 4_x000D_
23 / 07_2 : 2_x000D_
23 / 08_2 : _x000D_
23 / 09_2 : _x000D_
_x000D_
    TOTAL : ( 54 )_x000D_
  DIVISOR : 12_x000D_
    MÉDIA : 4,50_x000D_
-----------------------------_x000D_
   Valores Desconsiderados_x000D_
-----------------------------_x000D_
23 / 01_2 : 10 (35)_x000D_
_x000D_
  TOTAL   : ( 10 )</t>
        </r>
      </text>
    </comment>
    <comment ref="AB311" authorId="0" shapeId="0" xr:uid="{46136603-F813-42F4-9E2F-D0B87DEF6F5F}">
      <text>
        <r>
          <rPr>
            <sz val="10"/>
            <color indexed="81"/>
            <rFont val="Lucida Console"/>
            <family val="3"/>
          </rPr>
          <t>Última movimentação no estoque em 07/2023 quantidade 2.</t>
        </r>
      </text>
    </comment>
    <comment ref="R312" authorId="0" shapeId="0" xr:uid="{43933F23-073D-43DA-859E-E4DB71DDEE4F}">
      <text>
        <r>
          <rPr>
            <sz val="10"/>
            <color indexed="81"/>
            <rFont val="Lucida Console"/>
            <family val="3"/>
          </rPr>
          <t>01.01.1901</t>
        </r>
      </text>
    </comment>
    <comment ref="Y312" authorId="0" shapeId="0" xr:uid="{2C30BABA-0C41-4DF1-9B58-3DC37F54C36F}">
      <text>
        <r>
          <rPr>
            <sz val="10"/>
            <color indexed="81"/>
            <rFont val="Courier New"/>
            <family val="3"/>
          </rPr>
          <t>_x000D_
    DESCRIÇÃO DO CÁLCULO_x000D_
Código    : 60.889_x000D_
Corte     : 294_x000D_
-----------------------------_x000D_
Pendente  : _x000D_
22 / 10_2 : 156_x000D_
22 / 11_2 : 107_x000D_
22 / 12_2 : 158_x000D_
23 / 01_2 : 294 (corte = 320)_x000D_
23 / 02_2 : 130_x000D_
23 / 03_2 : 161_x000D_
23 / 04_2 : 163_x000D_
23 / 05_2 : 40_x000D_
23 / 06_2 : 190_x000D_
23 / 07_2 : 190_x000D_
23 / 08_2 : 200_x000D_
23 / 09_2 : 130_x000D_
_x000D_
    TOTAL : ( 1.919 )_x000D_
  DIVISOR : 12_x000D_
    MÉDIA : 159,92_x000D_
-----------------------------_x000D_
   Valores Desconsiderados_x000D_
-----------------------------_x000D_
23 / 01_2 : 26 (320)_x000D_
_x000D_
  TOTAL   : ( 26 )</t>
        </r>
      </text>
    </comment>
    <comment ref="AB312" authorId="0" shapeId="0" xr:uid="{367E68F7-8DD4-49A6-8A5F-9657D1275297}">
      <text>
        <r>
          <rPr>
            <sz val="10"/>
            <color indexed="81"/>
            <rFont val="Lucida Console"/>
            <family val="3"/>
          </rPr>
          <t>Última movimentação no estoque em 09/2023 quantidade 130.</t>
        </r>
      </text>
    </comment>
    <comment ref="R313" authorId="0" shapeId="0" xr:uid="{250BCED4-97C8-46D3-BAE7-A9C45E084D2B}">
      <text>
        <r>
          <rPr>
            <sz val="10"/>
            <color indexed="81"/>
            <rFont val="Lucida Console"/>
            <family val="3"/>
          </rPr>
          <t>01.01.1901</t>
        </r>
      </text>
    </comment>
    <comment ref="Y313" authorId="0" shapeId="0" xr:uid="{DC57BABC-2191-49B2-BC48-A87D028BEF4C}">
      <text>
        <r>
          <rPr>
            <sz val="10"/>
            <color indexed="81"/>
            <rFont val="Courier New"/>
            <family val="3"/>
          </rPr>
          <t>_x000D_
    DESCRIÇÃO DO CÁLCULO_x000D_
Código    : 14.885_x000D_
Corte     : 111_x000D_
-----------------------------_x000D_
Pendente  : 35_x000D_
22 / 10_2 : _x000D_
22 / 11_2 : _x000D_
22 / 12_2 : _x000D_
23 / 01_2 : 35_x000D_
23 / 02_2 : _x000D_
23 / 03_2 : _x000D_
23 / 04_2 : 111 (corte = 165)_x000D_
23 / 05_2 : _x000D_
23 / 06_2 : _x000D_
23 / 07_2 : _x000D_
23 / 08_2 : _x000D_
23 / 09_2 : _x000D_
_x000D_
    TOTAL : ( 181 )_x000D_
  DIVISOR : 12_x000D_
    MÉDIA : 15,08_x000D_
-----------------------------_x000D_
   Valores Desconsiderados_x000D_
-----------------------------_x000D_
23 / 04_2 : 54 (165)_x000D_
_x000D_
  TOTAL   : ( 54 )</t>
        </r>
      </text>
    </comment>
    <comment ref="AB313" authorId="0" shapeId="0" xr:uid="{D97E1FA8-DBB2-4457-89A1-40E2F1A87866}">
      <text>
        <r>
          <rPr>
            <sz val="10"/>
            <color indexed="81"/>
            <rFont val="Lucida Console"/>
            <family val="3"/>
          </rPr>
          <t>Última movimentação no estoque em 04/2023 quantidade 165.</t>
        </r>
      </text>
    </comment>
    <comment ref="R314" authorId="0" shapeId="0" xr:uid="{42718FED-668C-4287-846C-F41F4885FA37}">
      <text>
        <r>
          <rPr>
            <sz val="10"/>
            <color indexed="81"/>
            <rFont val="Lucida Console"/>
            <family val="3"/>
          </rPr>
          <t>01.01.1901</t>
        </r>
      </text>
    </comment>
    <comment ref="Y314" authorId="0" shapeId="0" xr:uid="{8F6FFCA7-95ED-4894-874B-20DCD06C1515}">
      <text>
        <r>
          <rPr>
            <sz val="10"/>
            <color indexed="81"/>
            <rFont val="Courier New"/>
            <family val="3"/>
          </rPr>
          <t>_x000D_
    DESCRIÇÃO DO CÁLCULO_x000D_
Código    : 14.887_x000D_
Corte     : 138_x000D_
-----------------------------_x000D_
Pendente  : 160_x000D_
22 / 10_2 : _x000D_
22 / 11_2 : _x000D_
22 / 12_2 : 100_x000D_
23 / 01_2 : _x000D_
23 / 02_2 : _x000D_
23 / 03_2 : _x000D_
23 / 04_2 : 100_x000D_
23 / 05_2 : _x000D_
23 / 06_2 : _x000D_
23 / 07_2 : _x000D_
23 / 08_2 : _x000D_
23 / 09_2 : _x000D_
_x000D_
    TOTAL : ( 360 )_x000D_
  DIVISOR : 12_x000D_
    MÉDIA : 30,00</t>
        </r>
      </text>
    </comment>
    <comment ref="AB314" authorId="0" shapeId="0" xr:uid="{BEAAB94A-6F10-42CD-A1AE-FB85505C08FE}">
      <text>
        <r>
          <rPr>
            <sz val="10"/>
            <color indexed="81"/>
            <rFont val="Lucida Console"/>
            <family val="3"/>
          </rPr>
          <t>Última movimentação no estoque em 04/2023 quantidade 100.</t>
        </r>
      </text>
    </comment>
    <comment ref="R315" authorId="0" shapeId="0" xr:uid="{2C2590A7-C732-4494-8010-8C3044E11030}">
      <text>
        <r>
          <rPr>
            <sz val="10"/>
            <color indexed="81"/>
            <rFont val="Lucida Console"/>
            <family val="3"/>
          </rPr>
          <t>01.01.1901</t>
        </r>
      </text>
    </comment>
    <comment ref="Y315" authorId="0" shapeId="0" xr:uid="{3A4771CB-0DB8-4137-89E5-B94D69BE7B7F}">
      <text>
        <r>
          <rPr>
            <sz val="10"/>
            <color indexed="81"/>
            <rFont val="Courier New"/>
            <family val="3"/>
          </rPr>
          <t>_x000D_
    DESCRIÇÃO DO CÁLCULO_x000D_
Código    : 13.009_x000D_
Corte     : 134_x000D_
-----------------------------_x000D_
Pendente  : _x000D_
22 / 10_2 : 20_x000D_
22 / 11_2 : 50_x000D_
22 / 12_2 : 60_x000D_
23 / 01_2 : _x000D_
23 / 02_2 : _x000D_
23 / 03_2 : 50_x000D_
23 / 04_2 : _x000D_
23 / 05_2 : 134 (corte = 150)_x000D_
23 / 06_2 : _x000D_
23 / 07_2 : _x000D_
23 / 08_2 : 50_x000D_
23 / 09_2 : 100_x000D_
_x000D_
    TOTAL : ( 464 )_x000D_
  DIVISOR : 12_x000D_
    MÉDIA : 38,67_x000D_
-----------------------------_x000D_
   Valores Desconsiderados_x000D_
-----------------------------_x000D_
23 / 05_2 : 16 (150)_x000D_
_x000D_
  TOTAL   : ( 16 )</t>
        </r>
      </text>
    </comment>
    <comment ref="AB315" authorId="0" shapeId="0" xr:uid="{32512695-0319-43A1-A3CA-D61145448A1B}">
      <text>
        <r>
          <rPr>
            <sz val="10"/>
            <color indexed="81"/>
            <rFont val="Lucida Console"/>
            <family val="3"/>
          </rPr>
          <t>Última movimentação no estoque em 09/2023 quantidade 100.</t>
        </r>
      </text>
    </comment>
    <comment ref="R316" authorId="0" shapeId="0" xr:uid="{435B79C2-E960-47EE-93BD-F86CDA8D4C77}">
      <text>
        <r>
          <rPr>
            <sz val="10"/>
            <color indexed="81"/>
            <rFont val="Lucida Console"/>
            <family val="3"/>
          </rPr>
          <t>24.04.2009</t>
        </r>
      </text>
    </comment>
    <comment ref="Y316" authorId="0" shapeId="0" xr:uid="{00D3CD5D-2AE9-40CD-AE7A-1EB784E40658}">
      <text>
        <r>
          <rPr>
            <sz val="10"/>
            <color indexed="81"/>
            <rFont val="Courier New"/>
            <family val="3"/>
          </rPr>
          <t>_x000D_
    DESCRIÇÃO DO CÁLCULO_x000D_
Código    : 110.702_x000D_
Corte     : 7_x000D_
-----------------------------_x000D_
Pendente  : _x000D_
22 / 10_2 : 7 (corte = 10)_x000D_
22 / 11_2 : 3_x000D_
22 / 12_2 : _x000D_
23 / 01_2 : _x000D_
23 / 02_2 : _x000D_
23 / 03_2 : _x000D_
23 / 04_2 : _x000D_
23 / 05_2 : 4_x000D_
23 / 06_2 : _x000D_
23 / 07_2 : _x000D_
23 / 08_2 : _x000D_
23 / 09_2 : _x000D_
_x000D_
    TOTAL : ( 14 )_x000D_
  DIVISOR : 12_x000D_
    MÉDIA : 1,17_x000D_
-----------------------------_x000D_
   Valores Desconsiderados_x000D_
-----------------------------_x000D_
22 / 10_2 : 3 (10)_x000D_
_x000D_
  TOTAL   : ( 3 )</t>
        </r>
      </text>
    </comment>
    <comment ref="AB316" authorId="0" shapeId="0" xr:uid="{E531F17D-021D-4176-A927-03D29E5B6BF9}">
      <text>
        <r>
          <rPr>
            <sz val="10"/>
            <color indexed="81"/>
            <rFont val="Lucida Console"/>
            <family val="3"/>
          </rPr>
          <t>Última movimentação no estoque em 05/2023 quantidade 4.</t>
        </r>
      </text>
    </comment>
    <comment ref="R317" authorId="0" shapeId="0" xr:uid="{C63B35F1-A50D-4B10-AC8C-7C47CAC141B7}">
      <text>
        <r>
          <rPr>
            <sz val="10"/>
            <color indexed="81"/>
            <rFont val="Lucida Console"/>
            <family val="3"/>
          </rPr>
          <t>16.10.2007</t>
        </r>
      </text>
    </comment>
    <comment ref="Y317" authorId="0" shapeId="0" xr:uid="{C1770D49-F11D-499C-8B6B-A0D47F10FB91}">
      <text>
        <r>
          <rPr>
            <sz val="10"/>
            <color indexed="81"/>
            <rFont val="Courier New"/>
            <family val="3"/>
          </rPr>
          <t>_x000D_
    DESCRIÇÃO DO CÁLCULO_x000D_
Código    : 102.694_x000D_
Corte     : 23_x000D_
-----------------------------_x000D_
Pendente  : 3_x000D_
22 / 10_2 : _x000D_
22 / 11_2 : _x000D_
22 / 12_2 : _x000D_
23 / 01_2 : 23 (corte = 27)_x000D_
23 / 02_2 : 20_x000D_
23 / 03_2 : _x000D_
23 / 04_2 : 5_x000D_
23 / 05_2 : 10_x000D_
23 / 06_2 : _x000D_
23 / 07_2 : _x000D_
23 / 08_2 : _x000D_
23 / 09_2 : _x000D_
_x000D_
    TOTAL : ( 61 )_x000D_
  DIVISOR : 12_x000D_
    MÉDIA : 5,08_x000D_
-----------------------------_x000D_
   Valores Desconsiderados_x000D_
-----------------------------_x000D_
23 / 01_2 : 4 (27)_x000D_
_x000D_
  TOTAL   : ( 4 )</t>
        </r>
      </text>
    </comment>
    <comment ref="AB317" authorId="0" shapeId="0" xr:uid="{CD7C8CE7-8B8C-4859-B14C-2B194BBA6DF0}">
      <text>
        <r>
          <rPr>
            <sz val="10"/>
            <color indexed="81"/>
            <rFont val="Lucida Console"/>
            <family val="3"/>
          </rPr>
          <t>Última movimentação no estoque em 05/2023 quantidade 10.</t>
        </r>
      </text>
    </comment>
    <comment ref="R318" authorId="0" shapeId="0" xr:uid="{8A863BAE-6854-4EB3-8221-148FC3E14E88}">
      <text>
        <r>
          <rPr>
            <sz val="10"/>
            <color indexed="81"/>
            <rFont val="Lucida Console"/>
            <family val="3"/>
          </rPr>
          <t>10.07.2019</t>
        </r>
      </text>
    </comment>
    <comment ref="Y318" authorId="0" shapeId="0" xr:uid="{2CF30E68-64EF-4635-9D86-190476D65259}">
      <text>
        <r>
          <rPr>
            <sz val="10"/>
            <color indexed="81"/>
            <rFont val="Courier New"/>
            <family val="3"/>
          </rPr>
          <t>_x000D_
    DESCRIÇÃO DO CÁLCULO_x000D_
Código    : 138.055_x000D_
Corte     : 266_x000D_
-----------------------------_x000D_
Pendente  : 1_x000D_
22 / 10_2 : 31_x000D_
22 / 11_2 : 24_x000D_
22 / 12_2 : 18_x000D_
23 / 01_2 : 26_x000D_
23 / 02_2 : 41_x000D_
23 / 03_2 : 95_x000D_
23 / 04_2 : 82_x000D_
23 / 05_2 : 156_x000D_
23 / 06_2 : _x000D_
23 / 07_2 : _x000D_
23 / 08_2 : 102_x000D_
23 / 09_2 : 266 (corte = 344)_x000D_
_x000D_
    TOTAL : ( 842 )_x000D_
  DIVISOR : 12_x000D_
    MÉDIA : 70,17_x000D_
-----------------------------_x000D_
   Valores Desconsiderados_x000D_
-----------------------------_x000D_
23 / 09_2 : 78 (344)_x000D_
_x000D_
  TOTAL   : ( 78 )</t>
        </r>
      </text>
    </comment>
    <comment ref="AB318" authorId="0" shapeId="0" xr:uid="{A42CE9A8-A0A8-4717-A969-19A0C162A037}">
      <text>
        <r>
          <rPr>
            <sz val="10"/>
            <color indexed="81"/>
            <rFont val="Lucida Console"/>
            <family val="3"/>
          </rPr>
          <t>Última movimentação no estoque em 09/2023 quantidade 344.</t>
        </r>
      </text>
    </comment>
    <comment ref="R319" authorId="0" shapeId="0" xr:uid="{3E56767D-96B0-4B57-8394-66A81E7F78AD}">
      <text>
        <r>
          <rPr>
            <sz val="10"/>
            <color indexed="81"/>
            <rFont val="Lucida Console"/>
            <family val="3"/>
          </rPr>
          <t>01.01.1901</t>
        </r>
      </text>
    </comment>
    <comment ref="Y319" authorId="0" shapeId="0" xr:uid="{658466D8-4374-4836-A2D3-0C6B97719526}">
      <text>
        <r>
          <rPr>
            <sz val="10"/>
            <color indexed="81"/>
            <rFont val="Courier New"/>
            <family val="3"/>
          </rPr>
          <t>_x000D_
    DESCRIÇÃO DO CÁLCULO_x000D_
Código    : 11.980_x000D_
Corte     : 2.106_x000D_
-----------------------------_x000D_
Pendente  : 1.882_x000D_
22 / 10_2 : 430_x000D_
22 / 11_2 : 725_x000D_
22 / 12_2 : 575_x000D_
23 / 01_2 : 560_x000D_
23 / 02_2 : 570_x000D_
23 / 03_2 : 2.106 (corte = 2354)_x000D_
23 / 04_2 : _x000D_
23 / 05_2 : _x000D_
23 / 06_2 : _x000D_
23 / 07_2 : _x000D_
23 / 08_2 : _x000D_
23 / 09_2 : _x000D_
_x000D_
    TOTAL : ( 6.848 )_x000D_
  DIVISOR : 12_x000D_
    MÉDIA : 570,67_x000D_
-----------------------------_x000D_
   Valores Desconsiderados_x000D_
-----------------------------_x000D_
23 / 03_2 : 248 (2.354)_x000D_
_x000D_
  TOTAL   : ( 248 )</t>
        </r>
      </text>
    </comment>
    <comment ref="AB319" authorId="0" shapeId="0" xr:uid="{FD0F7133-2EE4-474B-B46A-30E655D34CE7}">
      <text>
        <r>
          <rPr>
            <sz val="10"/>
            <color indexed="81"/>
            <rFont val="Lucida Console"/>
            <family val="3"/>
          </rPr>
          <t>Última movimentação no estoque em 03/2023 quantidade 2.354.</t>
        </r>
      </text>
    </comment>
    <comment ref="R320" authorId="0" shapeId="0" xr:uid="{AFB0CBA3-6017-4CA1-B068-2507C0BB1BFE}">
      <text>
        <r>
          <rPr>
            <sz val="10"/>
            <color indexed="81"/>
            <rFont val="Lucida Console"/>
            <family val="3"/>
          </rPr>
          <t>01.01.1901</t>
        </r>
      </text>
    </comment>
    <comment ref="Y320" authorId="0" shapeId="0" xr:uid="{304D0C7C-1DA5-46F8-BE53-2577140FF85C}">
      <text>
        <r>
          <rPr>
            <sz val="10"/>
            <color indexed="81"/>
            <rFont val="Courier New"/>
            <family val="3"/>
          </rPr>
          <t>_x000D_
    DESCRIÇÃO DO CÁLCULO_x000D_
Código    : 23.581_x000D_
Corte     : 3.941_x000D_
-----------------------------_x000D_
Pendente  : _x000D_
22 / 10_2 : 975_x000D_
22 / 11_2 : 1.317_x000D_
22 / 12_2 : 745_x000D_
23 / 01_2 : 630_x000D_
23 / 02_2 : 905_x000D_
23 / 03_2 : 3.941 (corte = 5409)_x000D_
23 / 04_2 : 815_x000D_
23 / 05_2 : 1.390_x000D_
23 / 06_2 : 890_x000D_
23 / 07_2 : 885_x000D_
23 / 08_2 : 1.076_x000D_
23 / 09_2 : 1.095_x000D_
_x000D_
    TOTAL : ( 14.664 )_x000D_
  DIVISOR : 12_x000D_
    MÉDIA : 1.222,00_x000D_
-----------------------------_x000D_
   Valores Desconsiderados_x000D_
-----------------------------_x000D_
23 / 03_2 : 1.468 (5.409)_x000D_
_x000D_
  TOTAL   : ( 1.468 )</t>
        </r>
      </text>
    </comment>
    <comment ref="AB320" authorId="0" shapeId="0" xr:uid="{418403AF-1338-4548-ABC3-7C69D1F36853}">
      <text>
        <r>
          <rPr>
            <sz val="10"/>
            <color indexed="81"/>
            <rFont val="Lucida Console"/>
            <family val="3"/>
          </rPr>
          <t>Última movimentação no estoque em 09/2023 quantidade 1.095.</t>
        </r>
      </text>
    </comment>
    <comment ref="R321" authorId="0" shapeId="0" xr:uid="{5F04447E-F9E9-4F09-93A4-90A3C0D2855C}">
      <text>
        <r>
          <rPr>
            <sz val="10"/>
            <color indexed="81"/>
            <rFont val="Lucida Console"/>
            <family val="3"/>
          </rPr>
          <t>06.04.2005</t>
        </r>
      </text>
    </comment>
    <comment ref="Y321" authorId="0" shapeId="0" xr:uid="{E865BBD6-7FBF-4CE0-BFE6-F4553FC9770A}">
      <text>
        <r>
          <rPr>
            <sz val="10"/>
            <color indexed="81"/>
            <rFont val="Courier New"/>
            <family val="3"/>
          </rPr>
          <t>_x000D_
    DESCRIÇÃO DO CÁLCULO_x000D_
Código    : 84.878_x000D_
Corte     : 28.093_x000D_
-----------------------------_x000D_
Pendente  : 1.519_x000D_
22 / 10_2 : 2.950_x000D_
22 / 11_2 : 409_x000D_
22 / 12_2 : _x000D_
23 / 01_2 : 1.740_x000D_
23 / 02_2 : 3.580_x000D_
23 / 03_2 : 28.093 (corte = 41878)_x000D_
23 / 04_2 : 3.715_x000D_
23 / 05_2 : 5.220_x000D_
23 / 06_2 : 3.200_x000D_
23 / 07_2 : 2.845_x000D_
23 / 08_2 : 3.646_x000D_
23 / 09_2 : 3.165_x000D_
_x000D_
    TOTAL : ( 60.082 )_x000D_
  DIVISOR : 12_x000D_
    MÉDIA : 5.006,83_x000D_
-----------------------------_x000D_
   Valores Desconsiderados_x000D_
-----------------------------_x000D_
23 / 03_2 : 13.785 (41.878)_x000D_
_x000D_
  TOTAL   : ( 13.785 )</t>
        </r>
      </text>
    </comment>
    <comment ref="AB321" authorId="0" shapeId="0" xr:uid="{0B8D8422-8FE1-4040-8A3B-6852718F9FC1}">
      <text>
        <r>
          <rPr>
            <sz val="10"/>
            <color indexed="81"/>
            <rFont val="Lucida Console"/>
            <family val="3"/>
          </rPr>
          <t>Última movimentação no estoque em 09/2023 quantidade 3.165.</t>
        </r>
      </text>
    </comment>
    <comment ref="R322" authorId="0" shapeId="0" xr:uid="{D78CFBC9-9611-4742-AEC2-930D060E1A00}">
      <text>
        <r>
          <rPr>
            <sz val="10"/>
            <color indexed="81"/>
            <rFont val="Lucida Console"/>
            <family val="3"/>
          </rPr>
          <t>01.01.1901</t>
        </r>
      </text>
    </comment>
    <comment ref="Y322" authorId="0" shapeId="0" xr:uid="{7314A7C5-2298-40FB-92CE-5F0C55DC3BF6}">
      <text>
        <r>
          <rPr>
            <sz val="10"/>
            <color indexed="81"/>
            <rFont val="Courier New"/>
            <family val="3"/>
          </rPr>
          <t>_x000D_
    DESCRIÇÃO DO CÁLCULO_x000D_
Código    : 11.857_x000D_
Corte     : 2.877_x000D_
-----------------------------_x000D_
Pendente  : _x000D_
22 / 10_2 : 1.295_x000D_
22 / 11_2 : 1.705_x000D_
22 / 12_2 : 1.095_x000D_
23 / 01_2 : 730_x000D_
23 / 02_2 : 1.105_x000D_
23 / 03_2 : 2.877 (corte = 3197)_x000D_
23 / 04_2 : 2.015_x000D_
23 / 05_2 : 2.025_x000D_
23 / 06_2 : 1.605_x000D_
23 / 07_2 : 1.435_x000D_
23 / 08_2 : 1.716_x000D_
23 / 09_2 : 1.605_x000D_
_x000D_
    TOTAL : ( 19.208 )_x000D_
  DIVISOR : 12_x000D_
    MÉDIA : 1.600,67_x000D_
-----------------------------_x000D_
   Valores Desconsiderados_x000D_
-----------------------------_x000D_
23 / 03_2 : 320 (3.197)_x000D_
_x000D_
  TOTAL   : ( 320 )</t>
        </r>
      </text>
    </comment>
    <comment ref="AB322" authorId="0" shapeId="0" xr:uid="{AE00025C-325D-4CBA-B1D2-C825901BB0E0}">
      <text>
        <r>
          <rPr>
            <sz val="10"/>
            <color indexed="81"/>
            <rFont val="Lucida Console"/>
            <family val="3"/>
          </rPr>
          <t>Última movimentação no estoque em 09/2023 quantidade 1.605.</t>
        </r>
      </text>
    </comment>
    <comment ref="R323" authorId="0" shapeId="0" xr:uid="{FBC4E765-92AA-43F8-8A3C-8AA92A9081D2}">
      <text>
        <r>
          <rPr>
            <sz val="10"/>
            <color indexed="81"/>
            <rFont val="Lucida Console"/>
            <family val="3"/>
          </rPr>
          <t>01.01.1901</t>
        </r>
      </text>
    </comment>
    <comment ref="Y323" authorId="0" shapeId="0" xr:uid="{C4C3E542-CC01-4096-B8C0-7FE4E9784275}">
      <text>
        <r>
          <rPr>
            <sz val="10"/>
            <color indexed="81"/>
            <rFont val="Courier New"/>
            <family val="3"/>
          </rPr>
          <t>_x000D_
    DESCRIÇÃO DO CÁLCULO_x000D_
Código    : 12.613_x000D_
Corte     : 10.305_x000D_
-----------------------------_x000D_
Pendente  : 2.125_x000D_
22 / 10_2 : _x000D_
22 / 11_2 : _x000D_
22 / 12_2 : 120_x000D_
23 / 01_2 : 1.850_x000D_
23 / 02_2 : 5.897_x000D_
23 / 03_2 : 8.747_x000D_
23 / 04_2 : 5.980_x000D_
23 / 05_2 : 6.445_x000D_
23 / 06_2 : 5.539_x000D_
23 / 07_2 : 5.424_x000D_
23 / 08_2 : 5.876_x000D_
23 / 09_2 : 5.727_x000D_
_x000D_
    TOTAL : ( 53.730 )_x000D_
  DIVISOR : 12_x000D_
    MÉDIA : 4.477,50</t>
        </r>
      </text>
    </comment>
    <comment ref="AB323" authorId="0" shapeId="0" xr:uid="{836E7B6A-D133-4269-8F7F-5DB60338080A}">
      <text>
        <r>
          <rPr>
            <sz val="10"/>
            <color indexed="81"/>
            <rFont val="Lucida Console"/>
            <family val="3"/>
          </rPr>
          <t>Última movimentação no estoque em 09/2023 quantidade 5.727.</t>
        </r>
      </text>
    </comment>
    <comment ref="R324" authorId="0" shapeId="0" xr:uid="{7CFB1F94-5D05-4E05-A7DE-126A8F49E814}">
      <text>
        <r>
          <rPr>
            <sz val="10"/>
            <color indexed="81"/>
            <rFont val="Lucida Console"/>
            <family val="3"/>
          </rPr>
          <t>01.01.1901</t>
        </r>
      </text>
    </comment>
    <comment ref="Y324" authorId="0" shapeId="0" xr:uid="{5AEDD0C0-E775-41B0-8D91-10400AF0B779}">
      <text>
        <r>
          <rPr>
            <sz val="10"/>
            <color indexed="81"/>
            <rFont val="Courier New"/>
            <family val="3"/>
          </rPr>
          <t>_x000D_
    DESCRIÇÃO DO CÁLCULO_x000D_
Código    : 12.614_x000D_
Corte     : 7.336_x000D_
-----------------------------_x000D_
Pendente  : 2.172_x000D_
22 / 10_2 : 3.415_x000D_
22 / 11_2 : 3.705_x000D_
22 / 12_2 : 2.418_x000D_
23 / 01_2 : 1.000_x000D_
23 / 02_2 : 2.260_x000D_
23 / 03_2 : 7.336 (corte = 8884)_x000D_
23 / 04_2 : 3.310_x000D_
23 / 05_2 : 3.690_x000D_
23 / 06_2 : 1.977_x000D_
23 / 07_2 : 1.138_x000D_
23 / 08_2 : 417_x000D_
23 / 09_2 : _x000D_
_x000D_
    TOTAL : ( 32.838 )_x000D_
  DIVISOR : 12_x000D_
    MÉDIA : 2.736,50_x000D_
-----------------------------_x000D_
   Valores Desconsiderados_x000D_
-----------------------------_x000D_
23 / 03_2 : 1.548 (8.884)_x000D_
_x000D_
  TOTAL   : ( 1.548 )</t>
        </r>
      </text>
    </comment>
    <comment ref="AB324" authorId="0" shapeId="0" xr:uid="{C425D64C-F3C9-48F4-AFD1-1CBE42BA7532}">
      <text>
        <r>
          <rPr>
            <sz val="10"/>
            <color indexed="81"/>
            <rFont val="Lucida Console"/>
            <family val="3"/>
          </rPr>
          <t>Última movimentação no estoque em 08/2023 quantidade 417.</t>
        </r>
      </text>
    </comment>
    <comment ref="R325" authorId="0" shapeId="0" xr:uid="{17990C25-E81E-43C5-934D-28E96FC673DD}">
      <text>
        <r>
          <rPr>
            <sz val="10"/>
            <color indexed="81"/>
            <rFont val="Lucida Console"/>
            <family val="3"/>
          </rPr>
          <t>01.01.1901</t>
        </r>
      </text>
    </comment>
    <comment ref="Y325" authorId="0" shapeId="0" xr:uid="{8966A1EC-FADE-4820-BF8D-4791CFB92E14}">
      <text>
        <r>
          <rPr>
            <sz val="10"/>
            <color indexed="81"/>
            <rFont val="Courier New"/>
            <family val="3"/>
          </rPr>
          <t>_x000D_
    DESCRIÇÃO DO CÁLCULO_x000D_
Código    : 16.737_x000D_
Corte     : 1_x000D_
-----------------------------_x000D_
Pendente  : _x000D_
22 / 10_2 : _x000D_
22 / 11_2 : 1 (corte = 2)_x000D_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11_2 : 1 (2)_x000D_
_x000D_
  TOTAL   : ( 1 )</t>
        </r>
      </text>
    </comment>
    <comment ref="AB325" authorId="0" shapeId="0" xr:uid="{F58B8FBF-13C6-4181-B958-817DFFC20B84}">
      <text>
        <r>
          <rPr>
            <sz val="10"/>
            <color indexed="81"/>
            <rFont val="Lucida Console"/>
            <family val="3"/>
          </rPr>
          <t>Última movimentação no estoque em 11/2022 quantidade 2.</t>
        </r>
      </text>
    </comment>
    <comment ref="R326" authorId="0" shapeId="0" xr:uid="{AC29603B-F023-4606-9A49-05A375BF5CFE}">
      <text>
        <r>
          <rPr>
            <sz val="10"/>
            <color indexed="81"/>
            <rFont val="Lucida Console"/>
            <family val="3"/>
          </rPr>
          <t>01.01.1901</t>
        </r>
      </text>
    </comment>
    <comment ref="Y326" authorId="0" shapeId="0" xr:uid="{F71508A8-26FD-4FDD-905C-E3199801D647}">
      <text>
        <r>
          <rPr>
            <sz val="10"/>
            <color indexed="81"/>
            <rFont val="Courier New"/>
            <family val="3"/>
          </rPr>
          <t>_x000D_
    DESCRIÇÃO DO CÁLCULO_x000D_
Código    : 16.736_x000D_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26" authorId="0" shapeId="0" xr:uid="{9DE70E17-FB1B-466F-815F-9C35CFD3E2C5}">
      <text>
        <r>
          <rPr>
            <sz val="10"/>
            <color indexed="81"/>
            <rFont val="Lucida Console"/>
            <family val="3"/>
          </rPr>
          <t>Última movimentação no estoque em 11/2022 quantidade 1.</t>
        </r>
      </text>
    </comment>
    <comment ref="R327" authorId="0" shapeId="0" xr:uid="{3B065458-437E-4295-81FF-81E809ADD715}">
      <text>
        <r>
          <rPr>
            <sz val="10"/>
            <color indexed="81"/>
            <rFont val="Lucida Console"/>
            <family val="3"/>
          </rPr>
          <t>01.01.1901</t>
        </r>
      </text>
    </comment>
    <comment ref="Y327" authorId="0" shapeId="0" xr:uid="{3FDF6605-BBF1-4108-99B3-A520534FA0F4}">
      <text>
        <r>
          <rPr>
            <sz val="10"/>
            <color indexed="81"/>
            <rFont val="Courier New"/>
            <family val="3"/>
          </rPr>
          <t>_x000D_
    DESCRIÇÃO DO CÁLCULO_x000D_
Código    : 72.222_x000D_
Corte     : 38_x000D_
-----------------------------_x000D_
Pendente  : _x000D_
22 / 10_2 : 7_x000D_
22 / 11_2 : 21_x000D_
22 / 12_2 : 12_x000D_
23 / 01_2 : 12_x000D_
23 / 02_2 : 18_x000D_
23 / 03_2 : 38 (corte = 44)_x000D_
23 / 04_2 : 27_x000D_
23 / 05_2 : 23_x000D_
23 / 06_2 : 16_x000D_
23 / 07_2 : 15_x000D_
23 / 08_2 : 21_x000D_
23 / 09_2 : 14_x000D_
_x000D_
    TOTAL : ( 224 )_x000D_
  DIVISOR : 12_x000D_
    MÉDIA : 18,67_x000D_
-----------------------------_x000D_
   Valores Desconsiderados_x000D_
-----------------------------_x000D_
23 / 03_2 : 6 (44)_x000D_
_x000D_
  TOTAL   : ( 6 )</t>
        </r>
      </text>
    </comment>
    <comment ref="AB327" authorId="0" shapeId="0" xr:uid="{223EFCC2-A008-421C-9B1E-D33D0A4BA6D0}">
      <text>
        <r>
          <rPr>
            <sz val="10"/>
            <color indexed="81"/>
            <rFont val="Lucida Console"/>
            <family val="3"/>
          </rPr>
          <t>Última movimentação no estoque em 09/2023 quantidade 14.</t>
        </r>
      </text>
    </comment>
    <comment ref="R328" authorId="0" shapeId="0" xr:uid="{AB84B9BA-39A4-45C3-9E34-0EA1731BCEB1}">
      <text>
        <r>
          <rPr>
            <sz val="10"/>
            <color indexed="81"/>
            <rFont val="Lucida Console"/>
            <family val="3"/>
          </rPr>
          <t>07.02.2017</t>
        </r>
      </text>
    </comment>
    <comment ref="Y328" authorId="0" shapeId="0" xr:uid="{E9A90A6E-DB15-4C96-B214-9E60C96BBC84}">
      <text>
        <r>
          <rPr>
            <sz val="10"/>
            <color indexed="81"/>
            <rFont val="Courier New"/>
            <family val="3"/>
          </rPr>
          <t>_x000D_
    DESCRIÇÃO DO CÁLCULO_x000D_
Código    : 132.407_x000D_
Corte     : 32_x000D_
-----------------------------_x000D_
Pendente  : _x000D_
22 / 10_2 : 6_x000D_
22 / 11_2 : 17_x000D_
22 / 12_2 : 4_x000D_
23 / 01_2 : 10_x000D_
23 / 02_2 : 18_x000D_
23 / 03_2 : 32 (corte = 36)_x000D_
23 / 04_2 : 22_x000D_
23 / 05_2 : 19_x000D_
23 / 06_2 : 14_x000D_
23 / 07_2 : 12_x000D_
23 / 08_2 : 21_x000D_
23 / 09_2 : 14_x000D_
_x000D_
    TOTAL : ( 189 )_x000D_
  DIVISOR : 12_x000D_
    MÉDIA : 15,75_x000D_
-----------------------------_x000D_
   Valores Desconsiderados_x000D_
-----------------------------_x000D_
23 / 03_2 : 4 (36)_x000D_
_x000D_
  TOTAL   : ( 4 )</t>
        </r>
      </text>
    </comment>
    <comment ref="AB328" authorId="0" shapeId="0" xr:uid="{40512530-7C8E-4544-843C-B67785F4FB7C}">
      <text>
        <r>
          <rPr>
            <sz val="10"/>
            <color indexed="81"/>
            <rFont val="Lucida Console"/>
            <family val="3"/>
          </rPr>
          <t>Última movimentação no estoque em 09/2023 quantidade 14.</t>
        </r>
      </text>
    </comment>
    <comment ref="R329" authorId="0" shapeId="0" xr:uid="{0983448D-B003-4490-919C-03E644DBEAA7}">
      <text>
        <r>
          <rPr>
            <sz val="10"/>
            <color indexed="81"/>
            <rFont val="Lucida Console"/>
            <family val="3"/>
          </rPr>
          <t>07.02.2017</t>
        </r>
      </text>
    </comment>
    <comment ref="Y329" authorId="0" shapeId="0" xr:uid="{1DEE7C94-30F0-4009-8BD8-9816FB5B58BD}">
      <text>
        <r>
          <rPr>
            <sz val="10"/>
            <color indexed="81"/>
            <rFont val="Courier New"/>
            <family val="3"/>
          </rPr>
          <t>_x000D_
    DESCRIÇÃO DO CÁLCULO_x000D_
Código    : 132.405_x000D_
Corte     : 30_x000D_
-----------------------------_x000D_
Pendente  : _x000D_
22 / 10_2 : 7_x000D_
22 / 11_2 : 18_x000D_
22 / 12_2 : 7_x000D_
23 / 01_2 : 12_x000D_
23 / 02_2 : 15_x000D_
23 / 03_2 : 30 (corte = 31)_x000D_
23 / 04_2 : 23_x000D_
23 / 05_2 : 21_x000D_
23 / 06_2 : 16_x000D_
23 / 07_2 : 17_x000D_
23 / 08_2 : 18_x000D_
23 / 09_2 : 10_x000D_
_x000D_
    TOTAL : ( 194 )_x000D_
  DIVISOR : 12_x000D_
    MÉDIA : 16,17_x000D_
-----------------------------_x000D_
   Valores Desconsiderados_x000D_
-----------------------------_x000D_
23 / 03_2 : 1 (31)_x000D_
_x000D_
  TOTAL   : ( 1 )</t>
        </r>
      </text>
    </comment>
    <comment ref="AB329" authorId="0" shapeId="0" xr:uid="{EEE29ACF-FCDD-440B-8A23-FD0EB32CCB8E}">
      <text>
        <r>
          <rPr>
            <sz val="10"/>
            <color indexed="81"/>
            <rFont val="Lucida Console"/>
            <family val="3"/>
          </rPr>
          <t>Última movimentação no estoque em 09/2023 quantidade 10.</t>
        </r>
      </text>
    </comment>
    <comment ref="R330" authorId="0" shapeId="0" xr:uid="{9B4696F0-677A-491C-BF50-66CAB88F0A73}">
      <text>
        <r>
          <rPr>
            <sz val="10"/>
            <color indexed="81"/>
            <rFont val="Lucida Console"/>
            <family val="3"/>
          </rPr>
          <t>01.01.1901</t>
        </r>
      </text>
    </comment>
    <comment ref="Y330" authorId="0" shapeId="0" xr:uid="{FEFE68C3-1841-4C54-B1BA-D18C8FAC44CC}">
      <text>
        <r>
          <rPr>
            <sz val="10"/>
            <color indexed="81"/>
            <rFont val="Courier New"/>
            <family val="3"/>
          </rPr>
          <t>_x000D_
    DESCRIÇÃO DO CÁLCULO_x000D_
Código    : 14.154_x000D_
Corte     : 2.789_x000D_
-----------------------------_x000D_
Pendente  : 872_x000D_
22 / 10_2 : 902_x000D_
22 / 11_2 : 839_x000D_
22 / 12_2 : 615_x000D_
23 / 01_2 : 434_x000D_
23 / 02_2 : 734_x000D_
23 / 03_2 : 2.789 (corte = 3714)_x000D_
23 / 04_2 : 177_x000D_
23 / 05_2 : _x000D_
23 / 06_2 : 537_x000D_
23 / 07_2 : 1.024_x000D_
23 / 08_2 : 1.164_x000D_
23 / 09_2 : 745_x000D_
_x000D_
    TOTAL : ( 10.832 )_x000D_
  DIVISOR : 12_x000D_
    MÉDIA : 902,67_x000D_
-----------------------------_x000D_
   Valores Desconsiderados_x000D_
-----------------------------_x000D_
23 / 03_2 : 925 (3.714)_x000D_
_x000D_
  TOTAL   : ( 925 )</t>
        </r>
      </text>
    </comment>
    <comment ref="AB330" authorId="0" shapeId="0" xr:uid="{073DFD9E-6391-4C15-91F8-F82201218F60}">
      <text>
        <r>
          <rPr>
            <sz val="10"/>
            <color indexed="81"/>
            <rFont val="Lucida Console"/>
            <family val="3"/>
          </rPr>
          <t>Última movimentação no estoque em 09/2023 quantidade 745.</t>
        </r>
      </text>
    </comment>
    <comment ref="R331" authorId="0" shapeId="0" xr:uid="{9345D861-97FA-47EB-8976-C831A1178005}">
      <text>
        <r>
          <rPr>
            <sz val="10"/>
            <color indexed="81"/>
            <rFont val="Lucida Console"/>
            <family val="3"/>
          </rPr>
          <t>13.11.2017</t>
        </r>
      </text>
    </comment>
    <comment ref="Y331" authorId="0" shapeId="0" xr:uid="{4B16A8FF-894E-4EC1-9C43-F675D221168B}">
      <text>
        <r>
          <rPr>
            <sz val="10"/>
            <color indexed="81"/>
            <rFont val="Courier New"/>
            <family val="3"/>
          </rPr>
          <t>_x000D_
    DESCRIÇÃO DO CÁLCULO_x000D_
Código    : 133.819_x000D_
Corte     : 88_x000D_
-----------------------------_x000D_
Pendente  : 22_x000D_
22 / 10_2 : 32_x000D_
22 / 11_2 : 9_x000D_
22 / 12_2 : 33_x000D_
23 / 01_2 : 19_x000D_
23 / 02_2 : 30_x000D_
23 / 03_2 : 55_x000D_
23 / 04_2 : 61_x000D_
23 / 05_2 : 20_x000D_
23 / 06_2 : 15_x000D_
23 / 07_2 : 50_x000D_
23 / 08_2 : 88 (corte = 100)_x000D_
23 / 09_2 : 28_x000D_
_x000D_
    TOTAL : ( 462 )_x000D_
  DIVISOR : 12_x000D_
    MÉDIA : 38,50_x000D_
-----------------------------_x000D_
   Valores Desconsiderados_x000D_
-----------------------------_x000D_
23 / 08_2 : 12 (100)_x000D_
_x000D_
  TOTAL   : ( 12 )</t>
        </r>
      </text>
    </comment>
    <comment ref="AB331" authorId="0" shapeId="0" xr:uid="{B40738DA-D788-4067-B698-B66F13D3B0AB}">
      <text>
        <r>
          <rPr>
            <sz val="10"/>
            <color indexed="81"/>
            <rFont val="Lucida Console"/>
            <family val="3"/>
          </rPr>
          <t>Última movimentação no estoque em 09/2023 quantidade 28.</t>
        </r>
      </text>
    </comment>
    <comment ref="R332" authorId="0" shapeId="0" xr:uid="{26A21068-FA15-4ADC-AA11-4793151FE985}">
      <text>
        <r>
          <rPr>
            <sz val="10"/>
            <color indexed="81"/>
            <rFont val="Lucida Console"/>
            <family val="3"/>
          </rPr>
          <t>30.10.2017</t>
        </r>
      </text>
    </comment>
    <comment ref="Y332" authorId="0" shapeId="0" xr:uid="{FBD6C491-9A36-4B0F-8AF4-8AD26ACDDF69}">
      <text>
        <r>
          <rPr>
            <sz val="10"/>
            <color indexed="81"/>
            <rFont val="Courier New"/>
            <family val="3"/>
          </rPr>
          <t>_x000D_
    DESCRIÇÃO DO CÁLCULO_x000D_
Código    : 133.788_x000D_
Corte     : 531_x000D_
-----------------------------_x000D_
Pendente  : _x000D_
22 / 10_2 : 35_x000D_
22 / 11_2 : 34_x000D_
22 / 12_2 : 61_x000D_
23 / 01_2 : 20_x000D_
23 / 02_2 : 531 (corte = 718)_x000D_
23 / 03_2 : 227_x000D_
23 / 04_2 : 200_x000D_
23 / 05_2 : 112_x000D_
23 / 06_2 : 123_x000D_
23 / 07_2 : 50_x000D_
23 / 08_2 : 138_x000D_
23 / 09_2 : 74_x000D_
_x000D_
    TOTAL : ( 1.605 )_x000D_
  DIVISOR : 12_x000D_
    MÉDIA : 133,75_x000D_
-----------------------------_x000D_
   Valores Desconsiderados_x000D_
-----------------------------_x000D_
23 / 02_2 : 187 (718)_x000D_
_x000D_
  TOTAL   : ( 187 )</t>
        </r>
      </text>
    </comment>
    <comment ref="AB332" authorId="0" shapeId="0" xr:uid="{4988D417-81E2-4479-B57C-4223DD757747}">
      <text>
        <r>
          <rPr>
            <sz val="10"/>
            <color indexed="81"/>
            <rFont val="Lucida Console"/>
            <family val="3"/>
          </rPr>
          <t>Última movimentação no estoque em 09/2023 quantidade 74.</t>
        </r>
      </text>
    </comment>
    <comment ref="R333" authorId="0" shapeId="0" xr:uid="{DDCEF263-63DB-43A3-B46B-4D8D339218C5}">
      <text>
        <r>
          <rPr>
            <sz val="10"/>
            <color indexed="81"/>
            <rFont val="Lucida Console"/>
            <family val="3"/>
          </rPr>
          <t>30.10.2017</t>
        </r>
      </text>
    </comment>
    <comment ref="Y333" authorId="0" shapeId="0" xr:uid="{57ED1578-05F5-43B1-977E-98F472956CE9}">
      <text>
        <r>
          <rPr>
            <sz val="10"/>
            <color indexed="81"/>
            <rFont val="Courier New"/>
            <family val="3"/>
          </rPr>
          <t>_x000D_
    DESCRIÇÃO DO CÁLCULO_x000D_
Código    : 133.790_x000D_
Corte     : 238_x000D_
-----------------------------_x000D_
Pendente  : _x000D_
22 / 10_2 : 35_x000D_
22 / 11_2 : 34_x000D_
22 / 12_2 : 61_x000D_
23 / 01_2 : 20_x000D_
23 / 02_2 : 114_x000D_
23 / 03_2 : 238 (corte = 245)_x000D_
23 / 04_2 : 190_x000D_
23 / 05_2 : 115_x000D_
23 / 06_2 : 123_x000D_
23 / 07_2 : 50_x000D_
23 / 08_2 : 148_x000D_
23 / 09_2 : 74_x000D_
_x000D_
    TOTAL : ( 1.202 )_x000D_
  DIVISOR : 12_x000D_
    MÉDIA : 100,17_x000D_
-----------------------------_x000D_
   Valores Desconsiderados_x000D_
-----------------------------_x000D_
23 / 03_2 : 7 (245)_x000D_
_x000D_
  TOTAL   : ( 7 )</t>
        </r>
      </text>
    </comment>
    <comment ref="AB333" authorId="0" shapeId="0" xr:uid="{E3844F84-152E-4D0E-B6B4-8D3ADDEE7A18}">
      <text>
        <r>
          <rPr>
            <sz val="10"/>
            <color indexed="81"/>
            <rFont val="Lucida Console"/>
            <family val="3"/>
          </rPr>
          <t>Última movimentação no estoque em 09/2023 quantidade 74.</t>
        </r>
      </text>
    </comment>
    <comment ref="R334" authorId="0" shapeId="0" xr:uid="{01D1E584-36A8-4E72-85FA-5B73BC950D31}">
      <text>
        <r>
          <rPr>
            <sz val="10"/>
            <color indexed="81"/>
            <rFont val="Lucida Console"/>
            <family val="3"/>
          </rPr>
          <t>01.01.1901</t>
        </r>
      </text>
    </comment>
    <comment ref="Y334" authorId="0" shapeId="0" xr:uid="{372A459A-30CF-4E65-8C46-5D002408421B}">
      <text>
        <r>
          <rPr>
            <sz val="10"/>
            <color indexed="81"/>
            <rFont val="Courier New"/>
            <family val="3"/>
          </rPr>
          <t>_x000D_
    DESCRIÇÃO DO CÁLCULO_x000D_
Código    : 46.420_x000D_
Corte     : 281_x000D_
-----------------------------_x000D_
Pendente  : 14_x000D_
22 / 10_2 : 134_x000D_
22 / 11_2 : 128_x000D_
22 / 12_2 : 151_x000D_
23 / 01_2 : 109_x000D_
23 / 02_2 : 168_x000D_
23 / 03_2 : 259_x000D_
23 / 04_2 : 173_x000D_
23 / 05_2 : 173_x000D_
23 / 06_2 : 159_x000D_
23 / 07_2 : 151_x000D_
23 / 08_2 : 144_x000D_
23 / 09_2 : _x000D_
_x000D_
    TOTAL : ( 1.763 )_x000D_
  DIVISOR : 12_x000D_
    MÉDIA : 146,92</t>
        </r>
      </text>
    </comment>
    <comment ref="AB334" authorId="0" shapeId="0" xr:uid="{21358F11-5A22-4BDD-BFA7-522759F44DB8}">
      <text>
        <r>
          <rPr>
            <sz val="10"/>
            <color indexed="81"/>
            <rFont val="Lucida Console"/>
            <family val="3"/>
          </rPr>
          <t>Última movimentação no estoque em 08/2023 quantidade 144.</t>
        </r>
      </text>
    </comment>
    <comment ref="R335" authorId="0" shapeId="0" xr:uid="{3CABE5C4-B6A0-4975-A85A-739A6D49F66D}">
      <text>
        <r>
          <rPr>
            <sz val="10"/>
            <color indexed="81"/>
            <rFont val="Lucida Console"/>
            <family val="3"/>
          </rPr>
          <t>08.04.2021</t>
        </r>
      </text>
    </comment>
    <comment ref="Y335" authorId="0" shapeId="0" xr:uid="{BF90AC62-A173-4C97-96BD-3AE255A20DD0}">
      <text>
        <r>
          <rPr>
            <sz val="10"/>
            <color indexed="81"/>
            <rFont val="Courier New"/>
            <family val="3"/>
          </rPr>
          <t>_x000D_
    DESCRIÇÃO DO CÁLCULO_x000D_
Código    : 140.933_x000D_
Corte     : 125_x000D_
-----------------------------_x000D_
Pendente  : _x000D_
22 / 10_2 : _x000D_
22 / 11_2 : _x000D_
22 / 12_2 : _x000D_
23 / 01_2 : _x000D_
23 / 02_2 : _x000D_
23 / 03_2 : 3_x000D_
23 / 04_2 : 24_x000D_
23 / 05_2 : 10_x000D_
23 / 06_2 : 29_x000D_
23 / 07_2 : _x000D_
23 / 08_2 : 82_x000D_
23 / 09_2 : 125 (corte = 164)_x000D_
_x000D_
    TOTAL : ( 273 )_x000D_
  DIVISOR : 12_x000D_
    MÉDIA : 22,75_x000D_
-----------------------------_x000D_
   Valores Desconsiderados_x000D_
-----------------------------_x000D_
23 / 09_2 : 39 (164)_x000D_
_x000D_
  TOTAL   : ( 39 )</t>
        </r>
      </text>
    </comment>
    <comment ref="AB335" authorId="0" shapeId="0" xr:uid="{F50F347D-1071-493A-BC2D-E331C1B16B34}">
      <text>
        <r>
          <rPr>
            <sz val="10"/>
            <color indexed="81"/>
            <rFont val="Lucida Console"/>
            <family val="3"/>
          </rPr>
          <t>Última movimentação no estoque em 09/2023 quantidade 164.</t>
        </r>
      </text>
    </comment>
    <comment ref="R336" authorId="0" shapeId="0" xr:uid="{BAB5DE2E-29AE-4EDE-8975-1F3FFDB2DA3C}">
      <text>
        <r>
          <rPr>
            <sz val="10"/>
            <color indexed="81"/>
            <rFont val="Lucida Console"/>
            <family val="3"/>
          </rPr>
          <t>01.01.1901</t>
        </r>
      </text>
    </comment>
    <comment ref="Y336" authorId="0" shapeId="0" xr:uid="{17D0A3CB-759A-4EEB-B89F-36D82BA48AB1}">
      <text>
        <r>
          <rPr>
            <sz val="10"/>
            <color indexed="81"/>
            <rFont val="Courier New"/>
            <family val="3"/>
          </rPr>
          <t>_x000D_
    DESCRIÇÃO DO CÁLCULO_x000D_
Código    : 29.296_x000D_
Corte     : 41_x000D_
-----------------------------_x000D_
Pendente  : _x000D_
22 / 10_2 : 18_x000D_
22 / 11_2 : 26_x000D_
22 / 12_2 : 9_x000D_
23 / 01_2 : 27_x000D_
23 / 02_2 : 4_x000D_
23 / 03_2 : 41_x000D_
23 / 04_2 : 22_x000D_
23 / 05_2 : 27_x000D_
23 / 06_2 : 22_x000D_
23 / 07_2 : 6_x000D_
23 / 08_2 : 18_x000D_
23 / 09_2 : 4_x000D_
_x000D_
    TOTAL : ( 224 )_x000D_
  DIVISOR : 12_x000D_
    MÉDIA : 18,67</t>
        </r>
      </text>
    </comment>
    <comment ref="AB336" authorId="0" shapeId="0" xr:uid="{C9D1F47C-7297-4D1C-8229-F52B7C9CAC39}">
      <text>
        <r>
          <rPr>
            <sz val="10"/>
            <color indexed="81"/>
            <rFont val="Lucida Console"/>
            <family val="3"/>
          </rPr>
          <t>Última movimentação no estoque em 09/2023 quantidade 4.</t>
        </r>
      </text>
    </comment>
    <comment ref="R337" authorId="0" shapeId="0" xr:uid="{4E109CEC-88E8-4EB4-82AB-EFCA34F62BE5}">
      <text>
        <r>
          <rPr>
            <sz val="10"/>
            <color indexed="81"/>
            <rFont val="Lucida Console"/>
            <family val="3"/>
          </rPr>
          <t>01.01.1901</t>
        </r>
      </text>
    </comment>
    <comment ref="Y337" authorId="0" shapeId="0" xr:uid="{EB936DF5-C3E8-4B3A-BF3F-CA9645DAEF90}">
      <text>
        <r>
          <rPr>
            <sz val="10"/>
            <color indexed="81"/>
            <rFont val="Courier New"/>
            <family val="3"/>
          </rPr>
          <t>_x000D_
    DESCRIÇÃO DO CÁLCULO_x000D_
Código    : 13.091_x000D_
Corte     : 917_x000D_
-----------------------------_x000D_
Pendente  : 808_x000D_
22 / 10_2 : _x000D_
22 / 11_2 : 37_x000D_
22 / 12_2 : _x000D_
23 / 01_2 : 84_x000D_
23 / 02_2 : 528_x000D_
23 / 03_2 : 915_x000D_
23 / 04_2 : 484_x000D_
23 / 05_2 : _x000D_
23 / 06_2 : _x000D_
23 / 07_2 : _x000D_
23 / 08_2 : _x000D_
23 / 09_2 : _x000D_
_x000D_
    TOTAL : ( 2.856 )_x000D_
  DIVISOR : 12_x000D_
    MÉDIA : 238,00</t>
        </r>
      </text>
    </comment>
    <comment ref="AB337" authorId="0" shapeId="0" xr:uid="{6063B7D2-8175-4D99-930F-195B7372BAE0}">
      <text>
        <r>
          <rPr>
            <sz val="10"/>
            <color indexed="81"/>
            <rFont val="Lucida Console"/>
            <family val="3"/>
          </rPr>
          <t>Última movimentação no estoque em 04/2023 quantidade 484.</t>
        </r>
      </text>
    </comment>
    <comment ref="R338" authorId="0" shapeId="0" xr:uid="{4840D50A-2866-4282-8FFC-4E6BDE86C9A1}">
      <text>
        <r>
          <rPr>
            <sz val="10"/>
            <color indexed="81"/>
            <rFont val="Lucida Console"/>
            <family val="3"/>
          </rPr>
          <t>01.01.1901</t>
        </r>
      </text>
    </comment>
    <comment ref="Y338" authorId="0" shapeId="0" xr:uid="{410E207D-BB78-4CBF-99E3-771BE39D812E}">
      <text>
        <r>
          <rPr>
            <sz val="10"/>
            <color indexed="81"/>
            <rFont val="Courier New"/>
            <family val="3"/>
          </rPr>
          <t>_x000D_
    DESCRIÇÃO DO CÁLCULO_x000D_
Código    : 11.072_x000D_
Corte     : 77_x000D_
-----------------------------_x000D_
Pendente  : _x000D_
22 / 10_2 : 31_x000D_
22 / 11_2 : 41_x000D_
22 / 12_2 : 29_x000D_
23 / 01_2 : 59_x000D_
23 / 02_2 : 47_x000D_
23 / 03_2 : 73_x000D_
23 / 04_2 : 59_x000D_
23 / 05_2 : 59_x000D_
23 / 06_2 : 50_x000D_
23 / 07_2 : 52_x000D_
23 / 08_2 : 42_x000D_
23 / 09_2 : 67_x000D_
_x000D_
    TOTAL : ( 609 )_x000D_
  DIVISOR : 12_x000D_
    MÉDIA : 50,75</t>
        </r>
      </text>
    </comment>
    <comment ref="AB338" authorId="0" shapeId="0" xr:uid="{E2FD5A76-6E3C-4256-B044-EDA68BE9D055}">
      <text>
        <r>
          <rPr>
            <sz val="10"/>
            <color indexed="81"/>
            <rFont val="Lucida Console"/>
            <family val="3"/>
          </rPr>
          <t>Última movimentação no estoque em 09/2023 quantidade 67.</t>
        </r>
      </text>
    </comment>
    <comment ref="R339" authorId="0" shapeId="0" xr:uid="{8B8C7E5D-C599-43A5-842B-6FB49CC8FC95}">
      <text>
        <r>
          <rPr>
            <sz val="10"/>
            <color indexed="81"/>
            <rFont val="Lucida Console"/>
            <family val="3"/>
          </rPr>
          <t>01.01.1901</t>
        </r>
      </text>
    </comment>
    <comment ref="Y339" authorId="0" shapeId="0" xr:uid="{C2CBB6C0-352E-49E4-B689-6037FD59BC6F}">
      <text>
        <r>
          <rPr>
            <sz val="10"/>
            <color indexed="81"/>
            <rFont val="Courier New"/>
            <family val="3"/>
          </rPr>
          <t>_x000D_
    DESCRIÇÃO DO CÁLCULO_x000D_
Código    : 15.436_x000D_
Corte     : 184_x000D_
-----------------------------_x000D_
Pendente  : 103_x000D_
22 / 10_2 : 102_x000D_
22 / 11_2 : 58_x000D_
22 / 12_2 : 97_x000D_
23 / 01_2 : 126_x000D_
23 / 02_2 : 123_x000D_
23 / 03_2 : 157_x000D_
23 / 04_2 : 45_x000D_
23 / 05_2 : _x000D_
23 / 06_2 : _x000D_
23 / 07_2 : _x000D_
23 / 08_2 : _x000D_
23 / 09_2 : _x000D_
_x000D_
    TOTAL : ( 811 )_x000D_
  DIVISOR : 12_x000D_
    MÉDIA : 67,58</t>
        </r>
      </text>
    </comment>
    <comment ref="AB339" authorId="0" shapeId="0" xr:uid="{9ACBE692-5802-4109-B3F7-D6FC8A3DA539}">
      <text>
        <r>
          <rPr>
            <sz val="10"/>
            <color indexed="81"/>
            <rFont val="Lucida Console"/>
            <family val="3"/>
          </rPr>
          <t>Última movimentação no estoque em 04/2023 quantidade 45.</t>
        </r>
      </text>
    </comment>
    <comment ref="R340" authorId="0" shapeId="0" xr:uid="{0289054A-D404-4664-96B8-AB3784AE5FF5}">
      <text>
        <r>
          <rPr>
            <sz val="10"/>
            <color indexed="81"/>
            <rFont val="Lucida Console"/>
            <family val="3"/>
          </rPr>
          <t>22.02.2019</t>
        </r>
      </text>
    </comment>
    <comment ref="Y340" authorId="0" shapeId="0" xr:uid="{C7DE01B6-10E6-4CD8-98B1-ADBF1BCCE218}">
      <text>
        <r>
          <rPr>
            <sz val="10"/>
            <color indexed="81"/>
            <rFont val="Courier New"/>
            <family val="3"/>
          </rPr>
          <t>_x000D_
    DESCRIÇÃO DO CÁLCULO_x000D_
Código    : 136.554_x000D_
Corte     : 204_x000D_
-----------------------------_x000D_
Pendente  : 214_x000D_
22 / 10_2 : 180_x000D_
22 / 11_2 : 61_x000D_
22 / 12_2 : 88_x000D_
23 / 01_2 : 51_x000D_
23 / 02_2 : 100_x000D_
23 / 03_2 : 16_x000D_
23 / 04_2 : _x000D_
23 / 05_2 : _x000D_
23 / 06_2 : _x000D_
23 / 07_2 : _x000D_
23 / 08_2 : _x000D_
23 / 09_2 : _x000D_
_x000D_
    TOTAL : ( 710 )_x000D_
  DIVISOR : 12_x000D_
    MÉDIA : 59,17</t>
        </r>
      </text>
    </comment>
    <comment ref="AB340" authorId="0" shapeId="0" xr:uid="{E2BC6E53-ED5D-4D4F-8A3B-8EF7F54BC9EE}">
      <text>
        <r>
          <rPr>
            <sz val="10"/>
            <color indexed="81"/>
            <rFont val="Lucida Console"/>
            <family val="3"/>
          </rPr>
          <t>Última movimentação no estoque em 03/2023 quantidade 16.</t>
        </r>
      </text>
    </comment>
    <comment ref="R341" authorId="0" shapeId="0" xr:uid="{E15C7C17-2B2C-423C-B406-BBA8FF45F88F}">
      <text>
        <r>
          <rPr>
            <sz val="10"/>
            <color indexed="81"/>
            <rFont val="Lucida Console"/>
            <family val="3"/>
          </rPr>
          <t>22.02.2019</t>
        </r>
      </text>
    </comment>
    <comment ref="Y341" authorId="0" shapeId="0" xr:uid="{D99D35ED-7E93-46D8-A7E2-32967D201AD9}">
      <text>
        <r>
          <rPr>
            <sz val="10"/>
            <color indexed="81"/>
            <rFont val="Courier New"/>
            <family val="3"/>
          </rPr>
          <t>_x000D_
    DESCRIÇÃO DO CÁLCULO_x000D_
Código    : 136.555_x000D_
Corte     : 422_x000D_
-----------------------------_x000D_
Pendente  : 252_x000D_
22 / 10_2 : 44_x000D_
22 / 11_2 : _x000D_
22 / 12_2 : _x000D_
23 / 01_2 : 32_x000D_
23 / 02_2 : 80_x000D_
23 / 03_2 : 78_x000D_
23 / 04_2 : 310_x000D_
23 / 05_2 : _x000D_
23 / 06_2 : 422 (corte = 500)_x000D_
23 / 07_2 : _x000D_
23 / 08_2 : _x000D_
23 / 09_2 : _x000D_
_x000D_
    TOTAL : ( 1.218 )_x000D_
  DIVISOR : 12_x000D_
    MÉDIA : 101,50_x000D_
-----------------------------_x000D_
   Valores Desconsiderados_x000D_
-----------------------------_x000D_
23 / 06_2 : 78 (500)_x000D_
_x000D_
  TOTAL   : ( 78 )</t>
        </r>
      </text>
    </comment>
    <comment ref="AB341" authorId="0" shapeId="0" xr:uid="{008D4340-DA36-4D15-82E4-893415541C9E}">
      <text>
        <r>
          <rPr>
            <sz val="10"/>
            <color indexed="81"/>
            <rFont val="Lucida Console"/>
            <family val="3"/>
          </rPr>
          <t>Última movimentação no estoque em 06/2023 quantidade 500.</t>
        </r>
      </text>
    </comment>
    <comment ref="R342" authorId="0" shapeId="0" xr:uid="{C0E36303-4487-4424-8DFF-89658E47047F}">
      <text>
        <r>
          <rPr>
            <sz val="10"/>
            <color indexed="81"/>
            <rFont val="Lucida Console"/>
            <family val="3"/>
          </rPr>
          <t>02.03.2017</t>
        </r>
      </text>
    </comment>
    <comment ref="Y342" authorId="0" shapeId="0" xr:uid="{9C9483FF-7892-4D21-B785-B486A0436DF4}">
      <text>
        <r>
          <rPr>
            <sz val="10"/>
            <color indexed="81"/>
            <rFont val="Courier New"/>
            <family val="3"/>
          </rPr>
          <t>_x000D_
    DESCRIÇÃO DO CÁLCULO_x000D_
Código    : 132.465_x000D_
Corte     : 49_x000D_
-----------------------------_x000D_
Pendente  : 35_x000D_
22 / 10_2 : 12_x000D_
22 / 11_2 : _x000D_
22 / 12_2 : 2_x000D_
23 / 01_2 : 12_x000D_
23 / 02_2 : 12_x000D_
23 / 03_2 : 49 (corte = 60)_x000D_
23 / 04_2 : _x000D_
23 / 05_2 : _x000D_
23 / 06_2 : _x000D_
23 / 07_2 : _x000D_
23 / 08_2 : _x000D_
23 / 09_2 : 25_x000D_
_x000D_
    TOTAL : ( 147 )_x000D_
  DIVISOR : 12_x000D_
    MÉDIA : 12,25_x000D_
-----------------------------_x000D_
   Valores Desconsiderados_x000D_
-----------------------------_x000D_
23 / 03_2 : 11 (60)_x000D_
_x000D_
  TOTAL   : ( 11 )</t>
        </r>
      </text>
    </comment>
    <comment ref="AB342" authorId="0" shapeId="0" xr:uid="{EAD9CC96-714D-4A24-B822-BD88184996FA}">
      <text>
        <r>
          <rPr>
            <sz val="10"/>
            <color indexed="81"/>
            <rFont val="Lucida Console"/>
            <family val="3"/>
          </rPr>
          <t>Última movimentação no estoque em 09/2023 quantidade 25.</t>
        </r>
      </text>
    </comment>
    <comment ref="R343" authorId="0" shapeId="0" xr:uid="{FB702D8E-D219-4E57-B914-E84F912FE735}">
      <text>
        <r>
          <rPr>
            <sz val="10"/>
            <color indexed="81"/>
            <rFont val="Lucida Console"/>
            <family val="3"/>
          </rPr>
          <t>01.01.1901</t>
        </r>
      </text>
    </comment>
    <comment ref="Y343" authorId="0" shapeId="0" xr:uid="{D29BDAF3-60FE-43CE-9429-A84ABF5ED44A}">
      <text>
        <r>
          <rPr>
            <sz val="10"/>
            <color indexed="81"/>
            <rFont val="Courier New"/>
            <family val="3"/>
          </rPr>
          <t>_x000D_
    DESCRIÇÃO DO CÁLCULO_x000D_
Código    : 64.625_x000D_
Corte     : 28_x000D_
-----------------------------_x000D_
Pendente  : _x000D_
22 / 10_2 : _x000D_
22 / 11_2 : _x000D_
22 / 12_2 : _x000D_
23 / 01_2 : 28 (corte = 35)_x000D_
23 / 02_2 : 25_x000D_
23 / 03_2 : _x000D_
23 / 04_2 : _x000D_
23 / 05_2 : _x000D_
23 / 06_2 : _x000D_
23 / 07_2 : _x000D_
23 / 08_2 : _x000D_
23 / 09_2 : _x000D_
_x000D_
    TOTAL : ( 53 )_x000D_
  DIVISOR : 12_x000D_
    MÉDIA : 4,42_x000D_
-----------------------------_x000D_
   Valores Desconsiderados_x000D_
-----------------------------_x000D_
23 / 01_2 : 7 (35)_x000D_
_x000D_
  TOTAL   : ( 7 )</t>
        </r>
      </text>
    </comment>
    <comment ref="AB343" authorId="0" shapeId="0" xr:uid="{E56A617B-1A11-46C8-9F54-5BB6649001DB}">
      <text>
        <r>
          <rPr>
            <sz val="10"/>
            <color indexed="81"/>
            <rFont val="Lucida Console"/>
            <family val="3"/>
          </rPr>
          <t>Última movimentação no estoque em 02/2023 quantidade 25.</t>
        </r>
      </text>
    </comment>
    <comment ref="R344" authorId="0" shapeId="0" xr:uid="{465A240F-F45A-4BDF-B139-E3403DEE932F}">
      <text>
        <r>
          <rPr>
            <sz val="10"/>
            <color indexed="81"/>
            <rFont val="Lucida Console"/>
            <family val="3"/>
          </rPr>
          <t>01.01.1901</t>
        </r>
      </text>
    </comment>
    <comment ref="Y344" authorId="0" shapeId="0" xr:uid="{E20AF8ED-DC08-4B3D-8E3A-12AA3E677796}">
      <text>
        <r>
          <rPr>
            <sz val="10"/>
            <color indexed="81"/>
            <rFont val="Courier New"/>
            <family val="3"/>
          </rPr>
          <t>_x000D_
    DESCRIÇÃO DO CÁLCULO_x000D_
Código    : 64.626_x000D_
Corte     : 244_x000D_
-----------------------------_x000D_
Pendente  : _x000D_
22 / 10_2 : _x000D_
22 / 11_2 : _x000D_
22 / 12_2 : _x000D_
23 / 01_2 : _x000D_
23 / 02_2 : _x000D_
23 / 03_2 : _x000D_
23 / 04_2 : _x000D_
23 / 05_2 : 244 (corte = 307)_x000D_
23 / 06_2 : _x000D_
23 / 07_2 : 200_x000D_
23 / 08_2 : _x000D_
23 / 09_2 : _x000D_
_x000D_
    TOTAL : ( 444 )_x000D_
  DIVISOR : 12_x000D_
    MÉDIA : 37,00_x000D_
-----------------------------_x000D_
   Valores Desconsiderados_x000D_
-----------------------------_x000D_
23 / 05_2 : 63 (307)_x000D_
_x000D_
  TOTAL   : ( 63 )</t>
        </r>
      </text>
    </comment>
    <comment ref="AB344" authorId="0" shapeId="0" xr:uid="{2EB1E26A-F93D-493D-B18D-91A0B8AA46CA}">
      <text>
        <r>
          <rPr>
            <sz val="10"/>
            <color indexed="81"/>
            <rFont val="Lucida Console"/>
            <family val="3"/>
          </rPr>
          <t>Última movimentação no estoque em 07/2023 quantidade 200.</t>
        </r>
      </text>
    </comment>
    <comment ref="R345" authorId="0" shapeId="0" xr:uid="{544111A5-6E92-4C21-924A-257E4BB661B2}">
      <text>
        <r>
          <rPr>
            <sz val="10"/>
            <color indexed="81"/>
            <rFont val="Lucida Console"/>
            <family val="3"/>
          </rPr>
          <t>01.01.1901</t>
        </r>
      </text>
    </comment>
    <comment ref="Y345" authorId="0" shapeId="0" xr:uid="{D47C7B17-D06A-4AEC-934D-FE69FDF13EE8}">
      <text>
        <r>
          <rPr>
            <sz val="10"/>
            <color indexed="81"/>
            <rFont val="Courier New"/>
            <family val="3"/>
          </rPr>
          <t>_x000D_
    DESCRIÇÃO DO CÁLCULO_x000D_
Código    : 27.287_x000D_
Corte     : 31_x000D_
-----------------------------_x000D_
Pendente  : _x000D_
22 / 10_2 : _x000D_
22 / 11_2 : _x000D_
22 / 12_2 : 10_x000D_
23 / 01_2 : 5_x000D_
23 / 02_2 : 10_x000D_
23 / 03_2 : 20_x000D_
23 / 04_2 : _x000D_
23 / 05_2 : 31 (corte = 40)_x000D_
23 / 06_2 : _x000D_
23 / 07_2 : _x000D_
23 / 08_2 : _x000D_
23 / 09_2 : _x000D_
_x000D_
    TOTAL : ( 76 )_x000D_
  DIVISOR : 12_x000D_
    MÉDIA : 6,33_x000D_
-----------------------------_x000D_
   Valores Desconsiderados_x000D_
-----------------------------_x000D_
23 / 05_2 : 9 (40)_x000D_
_x000D_
  TOTAL   : ( 9 )</t>
        </r>
      </text>
    </comment>
    <comment ref="AB345" authorId="0" shapeId="0" xr:uid="{405D19C0-1C29-4BD3-8236-3B0E8D634625}">
      <text>
        <r>
          <rPr>
            <sz val="10"/>
            <color indexed="81"/>
            <rFont val="Lucida Console"/>
            <family val="3"/>
          </rPr>
          <t>Última movimentação no estoque em 05/2023 quantidade 40.</t>
        </r>
      </text>
    </comment>
    <comment ref="R346" authorId="0" shapeId="0" xr:uid="{D3C5056D-F0BF-4D84-B4A7-5A3FAC844B75}">
      <text>
        <r>
          <rPr>
            <sz val="10"/>
            <color indexed="81"/>
            <rFont val="Lucida Console"/>
            <family val="3"/>
          </rPr>
          <t>01.01.1901</t>
        </r>
      </text>
    </comment>
    <comment ref="Y346" authorId="0" shapeId="0" xr:uid="{D25CA80C-7201-4451-9636-CCE9E2EE32C4}">
      <text>
        <r>
          <rPr>
            <sz val="10"/>
            <color indexed="81"/>
            <rFont val="Courier New"/>
            <family val="3"/>
          </rPr>
          <t>_x000D_
    DESCRIÇÃO DO CÁLCULO_x000D_
Código    : 64.860_x000D_
Corte     : 132_x000D_
-----------------------------_x000D_
Pendente  : _x000D_
22 / 10_2 : _x000D_
22 / 11_2 : _x000D_
22 / 12_2 : _x000D_
23 / 01_2 : 132 (corte = 200)_x000D_
23 / 02_2 : 1_x000D_
23 / 03_2 : _x000D_
23 / 04_2 : _x000D_
23 / 05_2 : _x000D_
23 / 06_2 : _x000D_
23 / 07_2 : _x000D_
23 / 08_2 : _x000D_
23 / 09_2 : _x000D_
_x000D_
    TOTAL : ( 133 )_x000D_
  DIVISOR : 12_x000D_
    MÉDIA : 11,08_x000D_
-----------------------------_x000D_
   Valores Desconsiderados_x000D_
-----------------------------_x000D_
23 / 01_2 : 68 (200)_x000D_
_x000D_
  TOTAL   : ( 68 )</t>
        </r>
      </text>
    </comment>
    <comment ref="AB346" authorId="0" shapeId="0" xr:uid="{5295DDCE-99D9-448C-B0D1-62064B8A941B}">
      <text>
        <r>
          <rPr>
            <sz val="10"/>
            <color indexed="81"/>
            <rFont val="Lucida Console"/>
            <family val="3"/>
          </rPr>
          <t>Última movimentação no estoque em 02/2023 quantidade 1.</t>
        </r>
      </text>
    </comment>
    <comment ref="R347" authorId="0" shapeId="0" xr:uid="{B2961884-3275-49B6-AFBC-97D67CC964D2}">
      <text>
        <r>
          <rPr>
            <sz val="10"/>
            <color indexed="81"/>
            <rFont val="Lucida Console"/>
            <family val="3"/>
          </rPr>
          <t>19.08.2005</t>
        </r>
      </text>
    </comment>
    <comment ref="Y347" authorId="0" shapeId="0" xr:uid="{0552B2E6-9C1F-47DC-A57A-CB9704D48B80}">
      <text>
        <r>
          <rPr>
            <sz val="10"/>
            <color indexed="81"/>
            <rFont val="Courier New"/>
            <family val="3"/>
          </rPr>
          <t>_x000D_
    DESCRIÇÃO DO CÁLCULO_x000D_
Código    : 87.348_x000D_
Corte     : 15_x000D_
-----------------------------_x000D_
Pendente  : _x000D_
22 / 10_2 : _x000D_
22 / 11_2 : 10_x000D_
22 / 12_2 : _x000D_
23 / 01_2 : 5_x000D_
23 / 02_2 : _x000D_
23 / 03_2 : 15 (corte = 20)_x000D_
23 / 04_2 : _x000D_
23 / 05_2 : _x000D_
23 / 06_2 : _x000D_
23 / 07_2 : _x000D_
23 / 08_2 : _x000D_
23 / 09_2 : _x000D_
_x000D_
    TOTAL : ( 30 )_x000D_
  DIVISOR : 12_x000D_
    MÉDIA : 2,50_x000D_
-----------------------------_x000D_
   Valores Desconsiderados_x000D_
-----------------------------_x000D_
23 / 03_2 : 5 (20)_x000D_
_x000D_
  TOTAL   : ( 5 )</t>
        </r>
      </text>
    </comment>
    <comment ref="AB347" authorId="0" shapeId="0" xr:uid="{2C235321-B3BF-4F97-BEA3-D55D61A06773}">
      <text>
        <r>
          <rPr>
            <sz val="10"/>
            <color indexed="81"/>
            <rFont val="Lucida Console"/>
            <family val="3"/>
          </rPr>
          <t>Última movimentação no estoque em 03/2023 quantidade 20.</t>
        </r>
      </text>
    </comment>
    <comment ref="R348" authorId="0" shapeId="0" xr:uid="{694244B1-CAE8-4704-9082-CEB75741F777}">
      <text>
        <r>
          <rPr>
            <sz val="10"/>
            <color indexed="81"/>
            <rFont val="Lucida Console"/>
            <family val="3"/>
          </rPr>
          <t>01.01.1901</t>
        </r>
      </text>
    </comment>
    <comment ref="Y348" authorId="0" shapeId="0" xr:uid="{9B8116E8-8D14-4BC0-944F-FBDDBBE9B220}">
      <text>
        <r>
          <rPr>
            <sz val="10"/>
            <color indexed="81"/>
            <rFont val="Courier New"/>
            <family val="3"/>
          </rPr>
          <t>_x000D_
    DESCRIÇÃO DO CÁLCULO_x000D_
Código    : 64.627_x000D_
Corte     : 26_x000D_
-----------------------------_x000D_
Pendente  : _x000D_
22 / 10_2 : _x000D_
22 / 11_2 : _x000D_
22 / 12_2 : _x000D_
23 / 01_2 : _x000D_
23 / 02_2 : _x000D_
23 / 03_2 : _x000D_
23 / 04_2 : _x000D_
23 / 05_2 : 26 (corte = 40)_x000D_
23 / 06_2 : _x000D_
23 / 07_2 : _x000D_
23 / 08_2 : _x000D_
23 / 09_2 : _x000D_
_x000D_
    TOTAL : ( 26 )_x000D_
  DIVISOR : 12_x000D_
    MÉDIA : 2,17_x000D_
-----------------------------_x000D_
   Valores Desconsiderados_x000D_
-----------------------------_x000D_
23 / 05_2 : 14 (40)_x000D_
_x000D_
  TOTAL   : ( 14 )</t>
        </r>
      </text>
    </comment>
    <comment ref="AB348" authorId="0" shapeId="0" xr:uid="{DA5419A0-F045-4704-B0F7-DDB7290783BB}">
      <text>
        <r>
          <rPr>
            <sz val="10"/>
            <color indexed="81"/>
            <rFont val="Lucida Console"/>
            <family val="3"/>
          </rPr>
          <t>Última movimentação no estoque em 05/2023 quantidade 40.</t>
        </r>
      </text>
    </comment>
    <comment ref="R349" authorId="0" shapeId="0" xr:uid="{C158DF56-50CA-4485-8FDC-7C7DF215103D}">
      <text>
        <r>
          <rPr>
            <sz val="10"/>
            <color indexed="81"/>
            <rFont val="Lucida Console"/>
            <family val="3"/>
          </rPr>
          <t>01.01.1901</t>
        </r>
      </text>
    </comment>
    <comment ref="Y349" authorId="0" shapeId="0" xr:uid="{C9E893E6-6E45-4FFC-9785-E74919593EBA}">
      <text>
        <r>
          <rPr>
            <sz val="10"/>
            <color indexed="81"/>
            <rFont val="Courier New"/>
            <family val="3"/>
          </rPr>
          <t>_x000D_
    DESCRIÇÃO DO CÁLCULO_x000D_
Código    : 60.517_x000D_
Corte     : 6_x000D_
-----------------------------_x000D_
Pendente  : _x000D_
22 / 10_2 : 2_x000D_
22 / 11_2 : _x000D_
22 / 12_2 : _x000D_
23 / 01_2 : _x000D_
23 / 02_2 : _x000D_
23 / 03_2 : _x000D_
23 / 04_2 : _x000D_
23 / 05_2 : 6 (corte = 10)_x000D_
23 / 06_2 : _x000D_
23 / 07_2 : _x000D_
23 / 08_2 : _x000D_
23 / 09_2 : _x000D_
_x000D_
    TOTAL : ( 8 )_x000D_
  DIVISOR : 12_x000D_
    MÉDIA : ,67_x000D_
-----------------------------_x000D_
   Valores Desconsiderados_x000D_
-----------------------------_x000D_
23 / 05_2 : 4 (10)_x000D_
_x000D_
  TOTAL   : ( 4 )</t>
        </r>
      </text>
    </comment>
    <comment ref="AB349" authorId="0" shapeId="0" xr:uid="{EBC3D951-B33E-45A2-A2BE-6194746574EA}">
      <text>
        <r>
          <rPr>
            <sz val="10"/>
            <color indexed="81"/>
            <rFont val="Lucida Console"/>
            <family val="3"/>
          </rPr>
          <t>Última movimentação no estoque em 05/2023 quantidade 10.</t>
        </r>
      </text>
    </comment>
    <comment ref="R350" authorId="0" shapeId="0" xr:uid="{31887417-A39A-41AF-908B-79D38CC0FACF}">
      <text>
        <r>
          <rPr>
            <sz val="10"/>
            <color indexed="81"/>
            <rFont val="Lucida Console"/>
            <family val="3"/>
          </rPr>
          <t>01.01.1901</t>
        </r>
      </text>
    </comment>
    <comment ref="Y350" authorId="0" shapeId="0" xr:uid="{91B5E90A-19C7-4651-95AA-444398913BD3}">
      <text>
        <r>
          <rPr>
            <sz val="10"/>
            <color indexed="81"/>
            <rFont val="Courier New"/>
            <family val="3"/>
          </rPr>
          <t>_x000D_
    DESCRIÇÃO DO CÁLCULO_x000D_
Código    : 64.817_x000D_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350" authorId="0" shapeId="0" xr:uid="{3A246757-F3A7-4FB2-9172-EE65B38A182F}">
      <text>
        <r>
          <rPr>
            <sz val="10"/>
            <color indexed="81"/>
            <rFont val="Lucida Console"/>
            <family val="3"/>
          </rPr>
          <t>Última movimentação no estoque em 01/2023 quantidade 2.</t>
        </r>
      </text>
    </comment>
    <comment ref="R351" authorId="0" shapeId="0" xr:uid="{88E617FE-ABF3-4FE1-B55E-329C72C37219}">
      <text>
        <r>
          <rPr>
            <sz val="10"/>
            <color indexed="81"/>
            <rFont val="Lucida Console"/>
            <family val="3"/>
          </rPr>
          <t>01.01.1901</t>
        </r>
      </text>
    </comment>
    <comment ref="Y351" authorId="0" shapeId="0" xr:uid="{13F25EC4-4190-4D9B-BA68-0FA5EA7847D3}">
      <text>
        <r>
          <rPr>
            <sz val="10"/>
            <color indexed="81"/>
            <rFont val="Courier New"/>
            <family val="3"/>
          </rPr>
          <t>_x000D_
    DESCRIÇÃO DO CÁLCULO_x000D_
Código    : 53.813_x000D_
Corte     : 3_x000D_
-----------------------------_x000D_
Pendente  : _x000D_
22 / 10_2 : _x000D_
22 / 11_2 : 1_x000D_
22 / 12_2 : 3 (corte = 4)_x000D_
23 / 01_2 : 3 (corte = 4)_x000D_
23 / 02_2 : _x000D_
23 / 03_2 : _x000D_
23 / 04_2 : _x000D_
23 / 05_2 : _x000D_
23 / 06_2 : _x000D_
23 / 07_2 : _x000D_
23 / 08_2 : _x000D_
23 / 09_2 : _x000D_
_x000D_
    TOTAL : ( 7 )_x000D_
  DIVISOR : 12_x000D_
    MÉDIA : ,58_x000D_
-----------------------------_x000D_
   Valores Desconsiderados_x000D_
-----------------------------_x000D_
22 / 12_2 : 1 (4)_x000D_
23 / 01_2 : 1 (4)_x000D_
_x000D_
  TOTAL   : ( 2 )</t>
        </r>
      </text>
    </comment>
    <comment ref="AB351" authorId="0" shapeId="0" xr:uid="{2068394D-CA5B-4534-82C4-1911F655B349}">
      <text>
        <r>
          <rPr>
            <sz val="10"/>
            <color indexed="81"/>
            <rFont val="Lucida Console"/>
            <family val="3"/>
          </rPr>
          <t>Última movimentação no estoque em 01/2023 quantidade 4.</t>
        </r>
      </text>
    </comment>
    <comment ref="R352" authorId="0" shapeId="0" xr:uid="{F5C22E03-EFF7-44F3-8E81-A551690CEB5E}">
      <text>
        <r>
          <rPr>
            <sz val="10"/>
            <color indexed="81"/>
            <rFont val="Lucida Console"/>
            <family val="3"/>
          </rPr>
          <t>01.01.1901</t>
        </r>
      </text>
    </comment>
    <comment ref="Y352" authorId="0" shapeId="0" xr:uid="{02A9562F-7AAC-43CE-84F6-EE73EA7C7FC3}">
      <text>
        <r>
          <rPr>
            <sz val="10"/>
            <color indexed="81"/>
            <rFont val="Courier New"/>
            <family val="3"/>
          </rPr>
          <t>_x000D_
    DESCRIÇÃO DO CÁLCULO_x000D_
Código    : 53.814_x000D_
Corte     : 137_x000D_
-----------------------------_x000D_
Pendente  : 4_x000D_
22 / 10_2 : _x000D_
22 / 11_2 : 32_x000D_
22 / 12_2 : _x000D_
23 / 01_2 : 137 (corte = 201)_x000D_
23 / 02_2 : _x000D_
23 / 03_2 : _x000D_
23 / 04_2 : _x000D_
23 / 05_2 : _x000D_
23 / 06_2 : 60_x000D_
23 / 07_2 : _x000D_
23 / 08_2 : _x000D_
23 / 09_2 : _x000D_
_x000D_
    TOTAL : ( 233 )_x000D_
  DIVISOR : 12_x000D_
    MÉDIA : 19,42_x000D_
-----------------------------_x000D_
   Valores Desconsiderados_x000D_
-----------------------------_x000D_
23 / 01_2 : 64 (201)_x000D_
_x000D_
  TOTAL   : ( 64 )</t>
        </r>
      </text>
    </comment>
    <comment ref="AB352" authorId="0" shapeId="0" xr:uid="{6F46A843-4C2B-42D2-9990-7918A2159B68}">
      <text>
        <r>
          <rPr>
            <sz val="10"/>
            <color indexed="81"/>
            <rFont val="Lucida Console"/>
            <family val="3"/>
          </rPr>
          <t>Última movimentação no estoque em 06/2023 quantidade 60.</t>
        </r>
      </text>
    </comment>
    <comment ref="R353" authorId="0" shapeId="0" xr:uid="{81439FE4-21C3-4AD0-9E9C-26014D4E41AF}">
      <text>
        <r>
          <rPr>
            <sz val="10"/>
            <color indexed="81"/>
            <rFont val="Lucida Console"/>
            <family val="3"/>
          </rPr>
          <t>13.10.2016</t>
        </r>
      </text>
    </comment>
    <comment ref="Y353" authorId="0" shapeId="0" xr:uid="{3D33A86A-FBE5-4BB6-B57C-4995A3A7EB8B}">
      <text>
        <r>
          <rPr>
            <sz val="10"/>
            <color indexed="81"/>
            <rFont val="Courier New"/>
            <family val="3"/>
          </rPr>
          <t>_x000D_
    DESCRIÇÃO DO CÁLCULO_x000D_
Código    : 132.232_x000D_
Corte     : 12_x000D_
-----------------------------_x000D_
Pendente  : _x000D_
22 / 10_2 : _x000D_
22 / 11_2 : _x000D_
22 / 12_2 : 9_x000D_
23 / 01_2 : 6_x000D_
23 / 02_2 : _x000D_
23 / 03_2 : _x000D_
23 / 04_2 : _x000D_
23 / 05_2 : _x000D_
23 / 06_2 : _x000D_
23 / 07_2 : 12 (corte = 15)_x000D_
23 / 08_2 : _x000D_
23 / 09_2 : _x000D_
_x000D_
    TOTAL : ( 27 )_x000D_
  DIVISOR : 12_x000D_
    MÉDIA : 2,25_x000D_
-----------------------------_x000D_
   Valores Desconsiderados_x000D_
-----------------------------_x000D_
23 / 07_2 : 3 (15)_x000D_
_x000D_
  TOTAL   : ( 3 )</t>
        </r>
      </text>
    </comment>
    <comment ref="AB353" authorId="0" shapeId="0" xr:uid="{EC2DB3FF-84F2-4F97-A386-53FDA6BBC5C8}">
      <text>
        <r>
          <rPr>
            <sz val="10"/>
            <color indexed="81"/>
            <rFont val="Lucida Console"/>
            <family val="3"/>
          </rPr>
          <t>Última movimentação no estoque em 07/2023 quantidade 15.</t>
        </r>
      </text>
    </comment>
    <comment ref="R354" authorId="0" shapeId="0" xr:uid="{F9B88674-1272-4406-BB41-455685AE9761}">
      <text>
        <r>
          <rPr>
            <sz val="10"/>
            <color indexed="81"/>
            <rFont val="Lucida Console"/>
            <family val="3"/>
          </rPr>
          <t>14.05.2010</t>
        </r>
      </text>
    </comment>
    <comment ref="Y354" authorId="0" shapeId="0" xr:uid="{776D5FAB-0DD4-46C5-8B80-A5E8B6187DD5}">
      <text>
        <r>
          <rPr>
            <sz val="10"/>
            <color indexed="81"/>
            <rFont val="Courier New"/>
            <family val="3"/>
          </rPr>
          <t>_x000D_
    DESCRIÇÃO DO CÁLCULO_x000D_
Código    : 115.282_x000D_
Corte     : 181_x000D_
-----------------------------_x000D_
Pendente  : 3_x000D_
22 / 10_2 : 15_x000D_
22 / 11_2 : 29_x000D_
22 / 12_2 : 6_x000D_
23 / 01_2 : 25_x000D_
23 / 02_2 : 105_x000D_
23 / 03_2 : 181 (corte = 250)_x000D_
23 / 04_2 : 26_x000D_
23 / 05_2 : 27_x000D_
23 / 06_2 : 33_x000D_
23 / 07_2 : 32_x000D_
23 / 08_2 : 15_x000D_
23 / 09_2 : 28_x000D_
_x000D_
    TOTAL : ( 525 )_x000D_
  DIVISOR : 12_x000D_
    MÉDIA : 43,75_x000D_
-----------------------------_x000D_
   Valores Desconsiderados_x000D_
-----------------------------_x000D_
23 / 03_2 : 69 (250)_x000D_
_x000D_
  TOTAL   : ( 69 )</t>
        </r>
      </text>
    </comment>
    <comment ref="AB354" authorId="0" shapeId="0" xr:uid="{7CAA0BA5-070D-4EDA-B4E1-E00992AB026E}">
      <text>
        <r>
          <rPr>
            <sz val="10"/>
            <color indexed="81"/>
            <rFont val="Lucida Console"/>
            <family val="3"/>
          </rPr>
          <t>Última movimentação no estoque em 09/2023 quantidade 28.</t>
        </r>
      </text>
    </comment>
    <comment ref="R355" authorId="0" shapeId="0" xr:uid="{8B5E42D9-3D5E-489B-96ED-F5E55555421D}">
      <text>
        <r>
          <rPr>
            <sz val="10"/>
            <color indexed="81"/>
            <rFont val="Lucida Console"/>
            <family val="3"/>
          </rPr>
          <t>26.06.2018</t>
        </r>
      </text>
    </comment>
    <comment ref="Y355" authorId="0" shapeId="0" xr:uid="{CD833245-62E7-45CF-9472-3D14A8B6C953}">
      <text>
        <r>
          <rPr>
            <sz val="10"/>
            <color indexed="81"/>
            <rFont val="Courier New"/>
            <family val="3"/>
          </rPr>
          <t>_x000D_
    DESCRIÇÃO DO CÁLCULO_x000D_
Código    : 135.303_x000D_
Corte     : 8_x000D_
-----------------------------_x000D_
Pendente  : _x000D_
22 / 10_2 : 8_x000D_
22 / 11_2 : 6_x000D_
22 / 12_2 : 3_x000D_
23 / 01_2 : 3_x000D_
23 / 02_2 : 2_x000D_
23 / 03_2 : 6_x000D_
23 / 04_2 : 7_x000D_
23 / 05_2 : 1_x000D_
23 / 06_2 : 3_x000D_
23 / 07_2 : 4_x000D_
23 / 08_2 : _x000D_
23 / 09_2 : _x000D_
_x000D_
    TOTAL : ( 43 )_x000D_
  DIVISOR : 12_x000D_
    MÉDIA : 3,58</t>
        </r>
      </text>
    </comment>
    <comment ref="AB355" authorId="0" shapeId="0" xr:uid="{ACDBF1F7-CA82-4761-AA42-342DDC042C0B}">
      <text>
        <r>
          <rPr>
            <sz val="10"/>
            <color indexed="81"/>
            <rFont val="Lucida Console"/>
            <family val="3"/>
          </rPr>
          <t>Última movimentação no estoque em 07/2023 quantidade 4.</t>
        </r>
      </text>
    </comment>
    <comment ref="R356" authorId="0" shapeId="0" xr:uid="{C6DB46DD-8BCE-49D5-B1D2-AF91622A94A2}">
      <text>
        <r>
          <rPr>
            <sz val="10"/>
            <color indexed="81"/>
            <rFont val="Lucida Console"/>
            <family val="3"/>
          </rPr>
          <t>27.06.2007</t>
        </r>
      </text>
    </comment>
    <comment ref="Y356" authorId="0" shapeId="0" xr:uid="{B0408B01-368F-4D5E-BCA3-7F515A1C835C}">
      <text>
        <r>
          <rPr>
            <sz val="10"/>
            <color indexed="81"/>
            <rFont val="Courier New"/>
            <family val="3"/>
          </rPr>
          <t>_x000D_
    DESCRIÇÃO DO CÁLCULO_x000D_
Código    : 100.383_x000D_
Corte     : 1_x000D_
-----------------------------_x000D_
Pendente  : _x000D_
22 / 10_2 : _x000D_
22 / 11_2 : _x000D_
22 / 12_2 : _x000D_
23 / 01_2 : _x000D_
23 / 02_2 : _x000D_
23 / 03_2 : _x000D_
23 / 04_2 : 1 (corte = 3)_x000D_
23 / 05_2 : _x000D_
23 / 06_2 : _x000D_
23 / 07_2 : _x000D_
23 / 08_2 : _x000D_
23 / 09_2 : _x000D_
_x000D_
    TOTAL : ( 1 )_x000D_
  DIVISOR : 12_x000D_
    MÉDIA : ,08_x000D_
-----------------------------_x000D_
   Valores Desconsiderados_x000D_
-----------------------------_x000D_
23 / 04_2 : 2 (3)_x000D_
_x000D_
  TOTAL   : ( 2 )</t>
        </r>
      </text>
    </comment>
    <comment ref="AB356" authorId="0" shapeId="0" xr:uid="{6D5BCA0F-BC1F-4835-AE89-8D0C83193549}">
      <text>
        <r>
          <rPr>
            <sz val="10"/>
            <color indexed="81"/>
            <rFont val="Lucida Console"/>
            <family val="3"/>
          </rPr>
          <t>Última movimentação no estoque em 04/2023 quantidade 3.</t>
        </r>
      </text>
    </comment>
    <comment ref="R357" authorId="0" shapeId="0" xr:uid="{69FE5574-268A-4068-83B6-FCE9C8F6BF42}">
      <text>
        <r>
          <rPr>
            <sz val="10"/>
            <color indexed="81"/>
            <rFont val="Lucida Console"/>
            <family val="3"/>
          </rPr>
          <t>30.01.2017</t>
        </r>
      </text>
    </comment>
    <comment ref="Y357" authorId="0" shapeId="0" xr:uid="{E81E7E00-28F1-46B0-95C7-0636D4793281}">
      <text>
        <r>
          <rPr>
            <sz val="10"/>
            <color indexed="81"/>
            <rFont val="Courier New"/>
            <family val="3"/>
          </rPr>
          <t>_x000D_
    DESCRIÇÃO DO CÁLCULO_x000D_
Código    : 132.394_x000D_
Corte     : 2.652_x000D_
-----------------------------_x000D_
Pendente  : 2_x000D_
22 / 10_2 : 439_x000D_
22 / 11_2 : 503_x000D_
22 / 12_2 : 303_x000D_
23 / 01_2 : 153_x000D_
23 / 02_2 : 320_x000D_
23 / 03_2 : 2.652 (corte = 3897)_x000D_
23 / 04_2 : 321_x000D_
23 / 05_2 : 430_x000D_
23 / 06_2 : 376_x000D_
23 / 07_2 : 368_x000D_
23 / 08_2 : 412_x000D_
23 / 09_2 : 390_x000D_
_x000D_
    TOTAL : ( 6.669 )_x000D_
  DIVISOR : 12_x000D_
    MÉDIA : 555,75_x000D_
-----------------------------_x000D_
   Valores Desconsiderados_x000D_
-----------------------------_x000D_
23 / 03_2 : 1.245 (3.897)_x000D_
_x000D_
  TOTAL   : ( 1.245 )</t>
        </r>
      </text>
    </comment>
    <comment ref="AB357" authorId="0" shapeId="0" xr:uid="{0D4E6B78-7BB1-4DAC-AB07-594C663345FD}">
      <text>
        <r>
          <rPr>
            <sz val="10"/>
            <color indexed="81"/>
            <rFont val="Lucida Console"/>
            <family val="3"/>
          </rPr>
          <t>Última movimentação no estoque em 09/2023 quantidade 390.</t>
        </r>
      </text>
    </comment>
    <comment ref="R358" authorId="0" shapeId="0" xr:uid="{72182478-A7BD-44CB-8BA1-592E9D25B447}">
      <text>
        <r>
          <rPr>
            <sz val="10"/>
            <color indexed="81"/>
            <rFont val="Lucida Console"/>
            <family val="3"/>
          </rPr>
          <t>30.01.2017</t>
        </r>
      </text>
    </comment>
    <comment ref="Y358" authorId="0" shapeId="0" xr:uid="{589D0665-83D1-4944-82AA-D8E6E8CCC305}">
      <text>
        <r>
          <rPr>
            <sz val="10"/>
            <color indexed="81"/>
            <rFont val="Courier New"/>
            <family val="3"/>
          </rPr>
          <t>_x000D_
    DESCRIÇÃO DO CÁLCULO_x000D_
Código    : 132.395_x000D_
Corte     : 2.675_x000D_
-----------------------------_x000D_
Pendente  : 2_x000D_
22 / 10_2 : 441_x000D_
22 / 11_2 : 499_x000D_
22 / 12_2 : 315_x000D_
23 / 01_2 : 153_x000D_
23 / 02_2 : 323_x000D_
23 / 03_2 : 2.675 (corte = 3929)_x000D_
23 / 04_2 : 331_x000D_
23 / 05_2 : 430_x000D_
23 / 06_2 : 383_x000D_
23 / 07_2 : 368_x000D_
23 / 08_2 : 426_x000D_
23 / 09_2 : 403_x000D_
_x000D_
    TOTAL : ( 6.749 )_x000D_
  DIVISOR : 12_x000D_
    MÉDIA : 562,42_x000D_
-----------------------------_x000D_
   Valores Desconsiderados_x000D_
-----------------------------_x000D_
23 / 03_2 : 1.254 (3.929)_x000D_
_x000D_
  TOTAL   : ( 1.254 )</t>
        </r>
      </text>
    </comment>
    <comment ref="AB358" authorId="0" shapeId="0" xr:uid="{D5CB2918-E59D-4E90-9F7C-00848FAEF8A6}">
      <text>
        <r>
          <rPr>
            <sz val="10"/>
            <color indexed="81"/>
            <rFont val="Lucida Console"/>
            <family val="3"/>
          </rPr>
          <t>Última movimentação no estoque em 09/2023 quantidade 403.</t>
        </r>
      </text>
    </comment>
    <comment ref="R359" authorId="0" shapeId="0" xr:uid="{C0A2B288-B26F-42DD-9A42-1491913D053C}">
      <text>
        <r>
          <rPr>
            <sz val="10"/>
            <color indexed="81"/>
            <rFont val="Lucida Console"/>
            <family val="3"/>
          </rPr>
          <t>11.11.2016</t>
        </r>
      </text>
    </comment>
    <comment ref="Y359" authorId="0" shapeId="0" xr:uid="{3ECA08CD-FD38-4DD7-81AD-8EACDEE21C07}">
      <text>
        <r>
          <rPr>
            <sz val="10"/>
            <color indexed="81"/>
            <rFont val="Courier New"/>
            <family val="3"/>
          </rPr>
          <t>_x000D_
    DESCRIÇÃO DO CÁLCULO_x000D_
Código    : 132.290_x000D_
Corte     : 2.667_x000D_
-----------------------------_x000D_
Pendente  : 2_x000D_
22 / 10_2 : 441_x000D_
22 / 11_2 : 482_x000D_
22 / 12_2 : 308_x000D_
23 / 01_2 : 149_x000D_
23 / 02_2 : 323_x000D_
23 / 03_2 : 2.667 (corte = 3921)_x000D_
23 / 04_2 : 331_x000D_
23 / 05_2 : 442_x000D_
23 / 06_2 : 364_x000D_
23 / 07_2 : 379_x000D_
23 / 08_2 : 418_x000D_
23 / 09_2 : 380_x000D_
_x000D_
    TOTAL : ( 6.686 )_x000D_
  DIVISOR : 12_x000D_
    MÉDIA : 557,17_x000D_
-----------------------------_x000D_
   Valores Desconsiderados_x000D_
-----------------------------_x000D_
23 / 03_2 : 1.254 (3.921)_x000D_
_x000D_
  TOTAL   : ( 1.254 )</t>
        </r>
      </text>
    </comment>
    <comment ref="AB359" authorId="0" shapeId="0" xr:uid="{4C8C9842-0A33-4336-BD32-1B5FE57D11FC}">
      <text>
        <r>
          <rPr>
            <sz val="10"/>
            <color indexed="81"/>
            <rFont val="Lucida Console"/>
            <family val="3"/>
          </rPr>
          <t>Última movimentação no estoque em 09/2023 quantidade 380.</t>
        </r>
      </text>
    </comment>
    <comment ref="R360" authorId="0" shapeId="0" xr:uid="{09E61A2C-1C13-4DC0-A669-6E67E26F4E64}">
      <text>
        <r>
          <rPr>
            <sz val="10"/>
            <color indexed="81"/>
            <rFont val="Lucida Console"/>
            <family val="3"/>
          </rPr>
          <t>01.01.1901</t>
        </r>
      </text>
    </comment>
    <comment ref="Y360" authorId="0" shapeId="0" xr:uid="{1A5CF796-4C57-46AC-9313-9C6EA3088A47}">
      <text>
        <r>
          <rPr>
            <sz val="10"/>
            <color indexed="81"/>
            <rFont val="Courier New"/>
            <family val="3"/>
          </rPr>
          <t>_x000D_
    DESCRIÇÃO DO CÁLCULO_x000D_
Código    : 10.547_x000D_
Corte     : 7.825_x000D_
-----------------------------_x000D_
Pendente  : 1.526_x000D_
22 / 10_2 : _x000D_
22 / 11_2 : _x000D_
22 / 12_2 : 4_x000D_
23 / 01_2 : 653_x000D_
23 / 02_2 : 1.227_x000D_
23 / 03_2 : 7.825 (corte = 11820)_x000D_
23 / 04_2 : 1.295_x000D_
23 / 05_2 : 114_x000D_
23 / 06_2 : _x000D_
23 / 07_2 : _x000D_
23 / 08_2 : _x000D_
23 / 09_2 : _x000D_
_x000D_
    TOTAL : ( 12.644 )_x000D_
  DIVISOR : 12_x000D_
    MÉDIA : 1.053,67_x000D_
-----------------------------_x000D_
   Valores Desconsiderados_x000D_
-----------------------------_x000D_
23 / 03_2 : 3.995 (11.820)_x000D_
_x000D_
  TOTAL   : ( 3.995 )</t>
        </r>
      </text>
    </comment>
    <comment ref="AB360" authorId="0" shapeId="0" xr:uid="{9E1BEB0E-F16D-4EA8-881A-0147BA5471A9}">
      <text>
        <r>
          <rPr>
            <sz val="10"/>
            <color indexed="81"/>
            <rFont val="Lucida Console"/>
            <family val="3"/>
          </rPr>
          <t>Última movimentação no estoque em 05/2023 quantidade 114.</t>
        </r>
      </text>
    </comment>
    <comment ref="R361" authorId="0" shapeId="0" xr:uid="{2973427C-E8C9-4329-A23A-D4F3AE00142D}">
      <text>
        <r>
          <rPr>
            <sz val="10"/>
            <color indexed="81"/>
            <rFont val="Lucida Console"/>
            <family val="3"/>
          </rPr>
          <t>08.08.2016</t>
        </r>
      </text>
    </comment>
    <comment ref="Y361" authorId="0" shapeId="0" xr:uid="{9A5019C2-45D7-4D30-AFE2-3655D521FFD1}">
      <text>
        <r>
          <rPr>
            <sz val="10"/>
            <color indexed="81"/>
            <rFont val="Courier New"/>
            <family val="3"/>
          </rPr>
          <t>_x000D_
    DESCRIÇÃO DO CÁLCULO_x000D_
Código    : 131.930_x000D_
Corte     : 3.746_x000D_
-----------------------------_x000D_
Pendente  : 72_x000D_
22 / 10_2 : 1.194_x000D_
22 / 11_2 : 1.216_x000D_
22 / 12_2 : 852_x000D_
23 / 01_2 : 413_x000D_
23 / 02_2 : 867_x000D_
23 / 03_2 : 3.746 (corte = 5008)_x000D_
23 / 04_2 : 1.131_x000D_
23 / 05_2 : 1.286_x000D_
23 / 06_2 : 1.148_x000D_
23 / 07_2 : 1.127_x000D_
23 / 08_2 : 1.265_x000D_
23 / 09_2 : 1.198_x000D_
_x000D_
    TOTAL : ( 15.515 )_x000D_
  DIVISOR : 12_x000D_
    MÉDIA : 1.292,92_x000D_
-----------------------------_x000D_
   Valores Desconsiderados_x000D_
-----------------------------_x000D_
23 / 03_2 : 1.262 (5.008)_x000D_
_x000D_
  TOTAL   : ( 1.262 )</t>
        </r>
      </text>
    </comment>
    <comment ref="AB361" authorId="0" shapeId="0" xr:uid="{F3319CE7-FC7E-4B6A-BBF5-5AFEEBBB41F4}">
      <text>
        <r>
          <rPr>
            <sz val="10"/>
            <color indexed="81"/>
            <rFont val="Lucida Console"/>
            <family val="3"/>
          </rPr>
          <t>Última movimentação no estoque em 09/2023 quantidade 1.198.</t>
        </r>
      </text>
    </comment>
    <comment ref="R362" authorId="0" shapeId="0" xr:uid="{0070DE6C-1D3D-4643-9CAF-6EA17E9FF27D}">
      <text>
        <r>
          <rPr>
            <sz val="10"/>
            <color indexed="81"/>
            <rFont val="Lucida Console"/>
            <family val="3"/>
          </rPr>
          <t>11.11.2016</t>
        </r>
      </text>
    </comment>
    <comment ref="Y362" authorId="0" shapeId="0" xr:uid="{D0DA691F-4448-4DE5-AB12-9904AF1C86B2}">
      <text>
        <r>
          <rPr>
            <sz val="10"/>
            <color indexed="81"/>
            <rFont val="Courier New"/>
            <family val="3"/>
          </rPr>
          <t>_x000D_
    DESCRIÇÃO DO CÁLCULO_x000D_
Código    : 132.296_x000D_
Corte     : 1.494_x000D_
-----------------------------_x000D_
Pendente  : 293_x000D_
22 / 10_2 : _x000D_
22 / 11_2 : _x000D_
22 / 12_2 : _x000D_
23 / 01_2 : _x000D_
23 / 02_2 : _x000D_
23 / 03_2 : 588_x000D_
23 / 04_2 : 863_x000D_
23 / 05_2 : 1.018_x000D_
23 / 06_2 : 1.039_x000D_
23 / 07_2 : 858_x000D_
23 / 08_2 : 1.047_x000D_
23 / 09_2 : 971_x000D_
_x000D_
    TOTAL : ( 6.677 )_x000D_
  DIVISOR : 12_x000D_
    MÉDIA : 556,42</t>
        </r>
      </text>
    </comment>
    <comment ref="AB362" authorId="0" shapeId="0" xr:uid="{02A51EA6-4BCB-4047-A5F9-252055910CC8}">
      <text>
        <r>
          <rPr>
            <sz val="10"/>
            <color indexed="81"/>
            <rFont val="Lucida Console"/>
            <family val="3"/>
          </rPr>
          <t>Última movimentação no estoque em 09/2023 quantidade 971.</t>
        </r>
      </text>
    </comment>
    <comment ref="R363" authorId="0" shapeId="0" xr:uid="{9D736CCD-9121-4227-BE27-5249CEA01CF7}">
      <text>
        <r>
          <rPr>
            <sz val="10"/>
            <color indexed="81"/>
            <rFont val="Lucida Console"/>
            <family val="3"/>
          </rPr>
          <t>11.11.2016</t>
        </r>
      </text>
    </comment>
    <comment ref="Y363" authorId="0" shapeId="0" xr:uid="{E35EAD55-9401-4218-AEBF-6D3E57290DA0}">
      <text>
        <r>
          <rPr>
            <sz val="10"/>
            <color indexed="81"/>
            <rFont val="Courier New"/>
            <family val="3"/>
          </rPr>
          <t>_x000D_
    DESCRIÇÃO DO CÁLCULO_x000D_
Código    : 132.297_x000D_
Corte     : 5.725_x000D_
-----------------------------_x000D_
Pendente  : 831_x000D_
22 / 10_2 : 1.621_x000D_
22 / 11_2 : 1.631_x000D_
22 / 12_2 : 1.125_x000D_
23 / 01_2 : 677_x000D_
23 / 02_2 : 1.240_x000D_
23 / 03_2 : 5.725 (corte = 7873)_x000D_
23 / 04_2 : 1.451_x000D_
23 / 05_2 : 1.639_x000D_
23 / 06_2 : 1.557_x000D_
23 / 07_2 : 1.543_x000D_
23 / 08_2 : 1.906_x000D_
23 / 09_2 : 1.774_x000D_
_x000D_
    TOTAL : ( 22.720 )_x000D_
  DIVISOR : 12_x000D_
    MÉDIA : 1.893,33_x000D_
-----------------------------_x000D_
   Valores Desconsiderados_x000D_
-----------------------------_x000D_
23 / 03_2 : 2.148 (7.873)_x000D_
_x000D_
  TOTAL   : ( 2.148 )</t>
        </r>
      </text>
    </comment>
    <comment ref="AB363" authorId="0" shapeId="0" xr:uid="{F1368AD5-D2CD-42CC-B926-9E7F66FA4044}">
      <text>
        <r>
          <rPr>
            <sz val="10"/>
            <color indexed="81"/>
            <rFont val="Lucida Console"/>
            <family val="3"/>
          </rPr>
          <t>Última movimentação no estoque em 09/2023 quantidade 1.774.</t>
        </r>
      </text>
    </comment>
    <comment ref="R364" authorId="0" shapeId="0" xr:uid="{EEA821DB-360E-450D-A45F-742DECCAC181}">
      <text>
        <r>
          <rPr>
            <sz val="10"/>
            <color indexed="81"/>
            <rFont val="Lucida Console"/>
            <family val="3"/>
          </rPr>
          <t>15.03.2018</t>
        </r>
      </text>
    </comment>
    <comment ref="Y364" authorId="0" shapeId="0" xr:uid="{1B290914-919D-47CE-8BF1-1739E4EC6A58}">
      <text>
        <r>
          <rPr>
            <sz val="10"/>
            <color indexed="81"/>
            <rFont val="Courier New"/>
            <family val="3"/>
          </rPr>
          <t>_x000D_
    DESCRIÇÃO DO CÁLCULO_x000D_
Código    : 134.556_x000D_
Corte     : 42_x000D_
-----------------------------_x000D_
Pendente  : 9_x000D_
22 / 10_2 : 42 (corte = 60)_x000D_
22 / 11_2 : 10_x000D_
22 / 12_2 : 23_x000D_
23 / 01_2 : _x000D_
23 / 02_2 : _x000D_
23 / 03_2 : _x000D_
23 / 04_2 : _x000D_
23 / 05_2 : _x000D_
23 / 06_2 : _x000D_
23 / 07_2 : _x000D_
23 / 08_2 : _x000D_
23 / 09_2 : _x000D_
_x000D_
    TOTAL : ( 84 )_x000D_
  DIVISOR : 12_x000D_
    MÉDIA : 7,00_x000D_
-----------------------------_x000D_
   Valores Desconsiderados_x000D_
-----------------------------_x000D_
22 / 10_2 : 18 (60)_x000D_
_x000D_
  TOTAL   : ( 18 )</t>
        </r>
      </text>
    </comment>
    <comment ref="AB364" authorId="0" shapeId="0" xr:uid="{AD7B4B09-9032-4618-AD7A-D34FF16BB584}">
      <text>
        <r>
          <rPr>
            <sz val="10"/>
            <color indexed="81"/>
            <rFont val="Lucida Console"/>
            <family val="3"/>
          </rPr>
          <t>Última movimentação no estoque em 12/2022 quantidade 23.</t>
        </r>
      </text>
    </comment>
    <comment ref="R365" authorId="0" shapeId="0" xr:uid="{414BC15F-ADBA-450B-8867-E12F5505B269}">
      <text>
        <r>
          <rPr>
            <sz val="10"/>
            <color indexed="81"/>
            <rFont val="Lucida Console"/>
            <family val="3"/>
          </rPr>
          <t>16.07.2015</t>
        </r>
      </text>
    </comment>
    <comment ref="Y365" authorId="0" shapeId="0" xr:uid="{A6BA6B30-2CA0-401F-AD90-BEE69B18C2F3}">
      <text>
        <r>
          <rPr>
            <sz val="10"/>
            <color indexed="81"/>
            <rFont val="Courier New"/>
            <family val="3"/>
          </rPr>
          <t>_x000D_
    DESCRIÇÃO DO CÁLCULO_x000D_
Código    : 130.618_x000D_
Corte     : 33_x000D_
-----------------------------_x000D_
Pendente  : 29_x000D_
22 / 10_2 : 20_x000D_
22 / 11_2 : _x000D_
22 / 12_2 : _x000D_
23 / 01_2 : 20_x000D_
23 / 02_2 : 31_x000D_
23 / 03_2 : _x000D_
23 / 04_2 : _x000D_
23 / 05_2 : _x000D_
23 / 06_2 : _x000D_
23 / 07_2 : _x000D_
23 / 08_2 : _x000D_
23 / 09_2 : _x000D_
_x000D_
    TOTAL : ( 100 )_x000D_
  DIVISOR : 12_x000D_
    MÉDIA : 8,33</t>
        </r>
      </text>
    </comment>
    <comment ref="AB365" authorId="0" shapeId="0" xr:uid="{065CD6DA-D7E7-46EB-B96D-FF9DDEFC594B}">
      <text>
        <r>
          <rPr>
            <sz val="10"/>
            <color indexed="81"/>
            <rFont val="Lucida Console"/>
            <family val="3"/>
          </rPr>
          <t>Última movimentação no estoque em 02/2023 quantidade 31.</t>
        </r>
      </text>
    </comment>
    <comment ref="R366" authorId="0" shapeId="0" xr:uid="{A1A7C37D-31AC-4C57-9E08-CFB93E6313BE}">
      <text>
        <r>
          <rPr>
            <sz val="10"/>
            <color indexed="81"/>
            <rFont val="Lucida Console"/>
            <family val="3"/>
          </rPr>
          <t>27.03.2007</t>
        </r>
      </text>
    </comment>
    <comment ref="Y366" authorId="0" shapeId="0" xr:uid="{DDCA8541-A047-47E4-BCA6-09C622894425}">
      <text>
        <r>
          <rPr>
            <sz val="10"/>
            <color indexed="81"/>
            <rFont val="Courier New"/>
            <family val="3"/>
          </rPr>
          <t>_x000D_
    DESCRIÇÃO DO CÁLCULO_x000D_
Código    : 98.359_x000D_
Corte     : 8_x000D_
-----------------------------_x000D_
Pendente  : _x000D_
22 / 10_2 : _x000D_
22 / 11_2 : 1_x000D_
22 / 12_2 : 2_x000D_
23 / 01_2 : 8_x000D_
23 / 02_2 : _x000D_
23 / 03_2 : _x000D_
23 / 04_2 : _x000D_
23 / 05_2 : _x000D_
23 / 06_2 : _x000D_
23 / 07_2 : 8 (corte = 10)_x000D_
23 / 08_2 : _x000D_
23 / 09_2 : _x000D_
_x000D_
    TOTAL : ( 19 )_x000D_
  DIVISOR : 12_x000D_
    MÉDIA : 1,58_x000D_
-----------------------------_x000D_
   Valores Desconsiderados_x000D_
-----------------------------_x000D_
23 / 07_2 : 2 (10)_x000D_
_x000D_
  TOTAL   : ( 2 )</t>
        </r>
      </text>
    </comment>
    <comment ref="AB366" authorId="0" shapeId="0" xr:uid="{E8621D20-4657-47FC-AD41-6F0D5CD12877}">
      <text>
        <r>
          <rPr>
            <sz val="10"/>
            <color indexed="81"/>
            <rFont val="Lucida Console"/>
            <family val="3"/>
          </rPr>
          <t>Última movimentação no estoque em 07/2023 quantidade 10.</t>
        </r>
      </text>
    </comment>
    <comment ref="R367" authorId="0" shapeId="0" xr:uid="{8D4FBAAA-320E-4BED-9390-6C04867B2B0A}">
      <text>
        <r>
          <rPr>
            <sz val="10"/>
            <color indexed="81"/>
            <rFont val="Lucida Console"/>
            <family val="3"/>
          </rPr>
          <t>01.01.1901</t>
        </r>
      </text>
    </comment>
    <comment ref="Y367" authorId="0" shapeId="0" xr:uid="{8882D48D-91C2-4FD5-9C00-19B02D63CA77}">
      <text>
        <r>
          <rPr>
            <sz val="10"/>
            <color indexed="81"/>
            <rFont val="Courier New"/>
            <family val="3"/>
          </rPr>
          <t>_x000D_
    DESCRIÇÃO DO CÁLCULO_x000D_
Código    : 13.064_x000D_
Corte     : 293_x000D_
-----------------------------_x000D_
Pendente  : _x000D_
22 / 10_2 : 156_x000D_
22 / 11_2 : 108_x000D_
22 / 12_2 : 104_x000D_
23 / 01_2 : 100_x000D_
23 / 02_2 : 153_x000D_
23 / 03_2 : 293 (corte = 316)_x000D_
23 / 04_2 : 158_x000D_
23 / 05_2 : 199_x000D_
23 / 06_2 : 180_x000D_
23 / 07_2 : 122_x000D_
23 / 08_2 : 180_x000D_
23 / 09_2 : 241_x000D_
_x000D_
    TOTAL : ( 1.994 )_x000D_
  DIVISOR : 12_x000D_
    MÉDIA : 166,17_x000D_
-----------------------------_x000D_
   Valores Desconsiderados_x000D_
-----------------------------_x000D_
23 / 03_2 : 23 (316)_x000D_
_x000D_
  TOTAL   : ( 23 )</t>
        </r>
      </text>
    </comment>
    <comment ref="AB367" authorId="0" shapeId="0" xr:uid="{B647F3D8-E6DD-4BA7-A824-DE63FA2B6F2D}">
      <text>
        <r>
          <rPr>
            <sz val="10"/>
            <color indexed="81"/>
            <rFont val="Lucida Console"/>
            <family val="3"/>
          </rPr>
          <t>Última movimentação no estoque em 09/2023 quantidade 241.</t>
        </r>
      </text>
    </comment>
    <comment ref="R368" authorId="0" shapeId="0" xr:uid="{9E4C8990-170E-486D-A444-7585B854B105}">
      <text>
        <r>
          <rPr>
            <sz val="10"/>
            <color indexed="81"/>
            <rFont val="Lucida Console"/>
            <family val="3"/>
          </rPr>
          <t>01.01.1901</t>
        </r>
      </text>
    </comment>
    <comment ref="Y368" authorId="0" shapeId="0" xr:uid="{1F365968-878B-48A2-8353-86BDAD343300}">
      <text>
        <r>
          <rPr>
            <sz val="10"/>
            <color indexed="81"/>
            <rFont val="Courier New"/>
            <family val="3"/>
          </rPr>
          <t>_x000D_
    DESCRIÇÃO DO CÁLCULO_x000D_
Código    : 14.754_x000D_
Corte     : 7_x000D_
-----------------------------_x000D_
Pendente  : _x000D_
22 / 10_2 : 3_x000D_
22 / 11_2 : 2_x000D_
22 / 12_2 : 1_x000D_
23 / 01_2 : 2_x000D_
23 / 02_2 : 3_x000D_
23 / 03_2 : 3_x000D_
23 / 04_2 : 4_x000D_
23 / 05_2 : 2_x000D_
23 / 06_2 : _x000D_
23 / 07_2 : 7 (corte = 10)_x000D_
23 / 08_2 : _x000D_
23 / 09_2 : _x000D_
_x000D_
    TOTAL : ( 27 )_x000D_
  DIVISOR : 12_x000D_
    MÉDIA : 2,25_x000D_
-----------------------------_x000D_
   Valores Desconsiderados_x000D_
-----------------------------_x000D_
23 / 07_2 : 3 (10)_x000D_
_x000D_
  TOTAL   : ( 3 )</t>
        </r>
      </text>
    </comment>
    <comment ref="AB368" authorId="0" shapeId="0" xr:uid="{4D2090FB-77EF-4311-89F9-B6720923BE56}">
      <text>
        <r>
          <rPr>
            <sz val="10"/>
            <color indexed="81"/>
            <rFont val="Lucida Console"/>
            <family val="3"/>
          </rPr>
          <t>Última movimentação no estoque em 07/2023 quantidade 10.</t>
        </r>
      </text>
    </comment>
    <comment ref="R369" authorId="0" shapeId="0" xr:uid="{1D8EA453-1401-4BB0-A1F9-ABAC8996B1A3}">
      <text>
        <r>
          <rPr>
            <sz val="10"/>
            <color indexed="81"/>
            <rFont val="Lucida Console"/>
            <family val="3"/>
          </rPr>
          <t>01.01.1901</t>
        </r>
      </text>
    </comment>
    <comment ref="Y369" authorId="0" shapeId="0" xr:uid="{AB635B2C-B334-437C-A6D2-9F58CBC65023}">
      <text>
        <r>
          <rPr>
            <sz val="10"/>
            <color indexed="81"/>
            <rFont val="Courier New"/>
            <family val="3"/>
          </rPr>
          <t>_x000D_
    DESCRIÇÃO DO CÁLCULO_x000D_
Código    : 14.921_x000D_
Corte     : 172_x000D_
-----------------------------_x000D_
Pendente  : _x000D_
22 / 10_2 : 95_x000D_
22 / 11_2 : 87_x000D_
22 / 12_2 : 114_x000D_
23 / 01_2 : 117_x000D_
23 / 02_2 : 91_x000D_
23 / 03_2 : 125_x000D_
23 / 04_2 : 155_x000D_
23 / 05_2 : 39_x000D_
23 / 06_2 : 100_x000D_
23 / 07_2 : 129_x000D_
23 / 08_2 : 155_x000D_
23 / 09_2 : 100_x000D_
_x000D_
    TOTAL : ( 1.307 )_x000D_
  DIVISOR : 12_x000D_
    MÉDIA : 108,92</t>
        </r>
      </text>
    </comment>
    <comment ref="AB369" authorId="0" shapeId="0" xr:uid="{3C080594-FE90-416E-A1BB-61AA3352CBFF}">
      <text>
        <r>
          <rPr>
            <sz val="10"/>
            <color indexed="81"/>
            <rFont val="Lucida Console"/>
            <family val="3"/>
          </rPr>
          <t>Última movimentação no estoque em 09/2023 quantidade 100.</t>
        </r>
      </text>
    </comment>
    <comment ref="R370" authorId="0" shapeId="0" xr:uid="{EF248687-A368-4109-B3FB-6E15B1BEA7EB}">
      <text>
        <r>
          <rPr>
            <sz val="10"/>
            <color indexed="81"/>
            <rFont val="Lucida Console"/>
            <family val="3"/>
          </rPr>
          <t>06.06.2017</t>
        </r>
      </text>
    </comment>
    <comment ref="Y370" authorId="0" shapeId="0" xr:uid="{BBC1C8FD-C886-468A-AA60-41C3A5E89547}">
      <text>
        <r>
          <rPr>
            <sz val="10"/>
            <color indexed="81"/>
            <rFont val="Courier New"/>
            <family val="3"/>
          </rPr>
          <t>_x000D_
    DESCRIÇÃO DO CÁLCULO_x000D_
Código    : 132.751_x000D_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370" authorId="0" shapeId="0" xr:uid="{D9DC3647-D37C-4290-923C-9E91594D2881}">
      <text>
        <r>
          <rPr>
            <sz val="10"/>
            <color indexed="81"/>
            <rFont val="Lucida Console"/>
            <family val="3"/>
          </rPr>
          <t>Última movimentação no estoque em 01/2023 quantidade 1.</t>
        </r>
      </text>
    </comment>
    <comment ref="R371" authorId="0" shapeId="0" xr:uid="{9BCA0D2F-8394-4B95-AF6E-8D29D2AD3B14}">
      <text>
        <r>
          <rPr>
            <sz val="10"/>
            <color indexed="81"/>
            <rFont val="Lucida Console"/>
            <family val="3"/>
          </rPr>
          <t>14.07.2006</t>
        </r>
      </text>
    </comment>
    <comment ref="Y371" authorId="0" shapeId="0" xr:uid="{E39E687D-DAD8-4456-91E8-6F6D3E30C76E}">
      <text>
        <r>
          <rPr>
            <sz val="10"/>
            <color indexed="81"/>
            <rFont val="Courier New"/>
            <family val="3"/>
          </rPr>
          <t>_x000D_
    DESCRIÇÃO DO CÁLCULO_x000D_
Código    : 93.139_x000D_
Corte     : 44_x000D_
-----------------------------_x000D_
Pendente  : _x000D_
22 / 10_2 : 12_x000D_
22 / 11_2 : 12_x000D_
22 / 12_2 : 5_x000D_
23 / 01_2 : 12_x000D_
23 / 02_2 : 4_x000D_
23 / 03_2 : 8_x000D_
23 / 04_2 : 11_x000D_
23 / 05_2 : 44 (corte = 61)_x000D_
23 / 06_2 : 3_x000D_
23 / 07_2 : _x000D_
23 / 08_2 : 12_x000D_
23 / 09_2 : 6_x000D_
_x000D_
    TOTAL : ( 129 )_x000D_
  DIVISOR : 12_x000D_
    MÉDIA : 10,75_x000D_
-----------------------------_x000D_
   Valores Desconsiderados_x000D_
-----------------------------_x000D_
23 / 05_2 : 17 (61)_x000D_
_x000D_
  TOTAL   : ( 17 )</t>
        </r>
      </text>
    </comment>
    <comment ref="AB371" authorId="0" shapeId="0" xr:uid="{B9E495BE-CF92-4CE4-B626-0C9E36C9BF92}">
      <text>
        <r>
          <rPr>
            <sz val="10"/>
            <color indexed="81"/>
            <rFont val="Lucida Console"/>
            <family val="3"/>
          </rPr>
          <t>Última movimentação no estoque em 09/2023 quantidade 6.</t>
        </r>
      </text>
    </comment>
    <comment ref="R372" authorId="0" shapeId="0" xr:uid="{40D0DCCE-D342-4C39-BD05-96A330D26801}">
      <text>
        <r>
          <rPr>
            <sz val="10"/>
            <color indexed="81"/>
            <rFont val="Lucida Console"/>
            <family val="3"/>
          </rPr>
          <t>01.01.1901</t>
        </r>
      </text>
    </comment>
    <comment ref="Y372" authorId="0" shapeId="0" xr:uid="{C08FA79D-2BCE-4412-B3C1-100DD5E71591}">
      <text>
        <r>
          <rPr>
            <sz val="10"/>
            <color indexed="81"/>
            <rFont val="Courier New"/>
            <family val="3"/>
          </rPr>
          <t>_x000D_
    DESCRIÇÃO DO CÁLCULO_x000D_
Código    : 42.566_x000D_
Corte     : 9_x000D_
-----------------------------_x000D_
Pendente  : _x000D_
22 / 10_2 : _x000D_
22 / 11_2 : 1_x000D_
22 / 12_2 : _x000D_
23 / 01_2 : 2_x000D_
23 / 02_2 : 9 (corte = 14)_x000D_
23 / 03_2 : _x000D_
23 / 04_2 : 1_x000D_
23 / 05_2 : _x000D_
23 / 06_2 : _x000D_
23 / 07_2 : _x000D_
23 / 08_2 : 2_x000D_
23 / 09_2 : _x000D_
_x000D_
    TOTAL : ( 15 )_x000D_
  DIVISOR : 12_x000D_
    MÉDIA : 1,25_x000D_
-----------------------------_x000D_
   Valores Desconsiderados_x000D_
-----------------------------_x000D_
23 / 02_2 : 5 (14)_x000D_
_x000D_
  TOTAL   : ( 5 )</t>
        </r>
      </text>
    </comment>
    <comment ref="AB372" authorId="0" shapeId="0" xr:uid="{B6FC670E-4B47-4545-B115-9E307BFD1C0E}">
      <text>
        <r>
          <rPr>
            <sz val="10"/>
            <color indexed="81"/>
            <rFont val="Lucida Console"/>
            <family val="3"/>
          </rPr>
          <t>Última movimentação no estoque em 08/2023 quantidade 2.</t>
        </r>
      </text>
    </comment>
    <comment ref="R373" authorId="0" shapeId="0" xr:uid="{B1C4D137-31BB-4FC7-A609-ECDBD5A806D9}">
      <text>
        <r>
          <rPr>
            <sz val="10"/>
            <color indexed="81"/>
            <rFont val="Lucida Console"/>
            <family val="3"/>
          </rPr>
          <t>01.01.1901</t>
        </r>
      </text>
    </comment>
    <comment ref="Y373" authorId="0" shapeId="0" xr:uid="{A57CDE1B-BE03-4B2F-ADC6-4FCEB455754D}">
      <text>
        <r>
          <rPr>
            <sz val="10"/>
            <color indexed="81"/>
            <rFont val="Courier New"/>
            <family val="3"/>
          </rPr>
          <t>_x000D_
    DESCRIÇÃO DO CÁLCULO_x000D_
Código    : 50.591_x000D_
Corte     : 3_x000D_
-----------------------------_x000D_
Pendente  : _x000D_
22 / 10_2 : 2_x000D_
22 / 11_2 : 1_x000D_
22 / 12_2 : _x000D_
23 / 01_2 : 2_x000D_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3" authorId="0" shapeId="0" xr:uid="{58301B14-9A46-4094-BE8D-8C0F7D149913}">
      <text>
        <r>
          <rPr>
            <sz val="10"/>
            <color indexed="81"/>
            <rFont val="Lucida Console"/>
            <family val="3"/>
          </rPr>
          <t>Última movimentação no estoque em 03/2023 quantidade 3.</t>
        </r>
      </text>
    </comment>
    <comment ref="R374" authorId="0" shapeId="0" xr:uid="{DA243B4C-4402-4544-B7AE-B2DA6E7F8F71}">
      <text>
        <r>
          <rPr>
            <sz val="10"/>
            <color indexed="81"/>
            <rFont val="Lucida Console"/>
            <family val="3"/>
          </rPr>
          <t>01.01.1901</t>
        </r>
      </text>
    </comment>
    <comment ref="Y374" authorId="0" shapeId="0" xr:uid="{BE1EF059-3907-4275-9B57-B6DACCBC156F}">
      <text>
        <r>
          <rPr>
            <sz val="10"/>
            <color indexed="81"/>
            <rFont val="Courier New"/>
            <family val="3"/>
          </rPr>
          <t>_x000D_
    DESCRIÇÃO DO CÁLCULO_x000D_
Código    : 49.033_x000D_
Corte     : 3_x000D_
-----------------------------_x000D_
Pendente  : _x000D_
22 / 10_2 : 2_x000D_
22 / 11_2 : _x000D_
22 / 12_2 : 2_x000D_
23 / 01_2 : 1_x000D_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4" authorId="0" shapeId="0" xr:uid="{77F0BEFB-EC62-4769-B79E-DF3B7892AB3E}">
      <text>
        <r>
          <rPr>
            <sz val="10"/>
            <color indexed="81"/>
            <rFont val="Lucida Console"/>
            <family val="3"/>
          </rPr>
          <t>Última movimentação no estoque em 03/2023 quantidade 3.</t>
        </r>
      </text>
    </comment>
    <comment ref="R375" authorId="0" shapeId="0" xr:uid="{75CB3690-9D42-4336-A3A9-CDC3AA0D3A93}">
      <text>
        <r>
          <rPr>
            <sz val="10"/>
            <color indexed="81"/>
            <rFont val="Lucida Console"/>
            <family val="3"/>
          </rPr>
          <t>01.01.1901</t>
        </r>
      </text>
    </comment>
    <comment ref="Y375" authorId="0" shapeId="0" xr:uid="{B834B650-8D39-4E09-8023-35BF6682DA22}">
      <text>
        <r>
          <rPr>
            <sz val="10"/>
            <color indexed="81"/>
            <rFont val="Courier New"/>
            <family val="3"/>
          </rPr>
          <t>_x000D_
    DESCRIÇÃO DO CÁLCULO_x000D_
Código    : 56.519_x000D_
Corte     : 5_x000D_
-----------------------------_x000D_
Pendente  : _x000D_
22 / 10_2 : 1_x000D_
22 / 11_2 : 4_x000D_
22 / 12_2 : _x000D_
23 / 01_2 : 2_x000D_
23 / 02_2 : 2_x000D_
23 / 03_2 : _x000D_
23 / 04_2 : 1_x000D_
23 / 05_2 : _x000D_
23 / 06_2 : _x000D_
23 / 07_2 : 5 (corte = 6)_x000D_
23 / 08_2 : _x000D_
23 / 09_2 : _x000D_
_x000D_
    TOTAL : ( 15 )_x000D_
  DIVISOR : 12_x000D_
    MÉDIA : 1,25_x000D_
-----------------------------_x000D_
   Valores Desconsiderados_x000D_
-----------------------------_x000D_
23 / 07_2 : 1 (6)_x000D_
_x000D_
  TOTAL   : ( 1 )</t>
        </r>
      </text>
    </comment>
    <comment ref="AB375" authorId="0" shapeId="0" xr:uid="{94381123-A42F-4F57-B64C-A8F2D0909CF9}">
      <text>
        <r>
          <rPr>
            <sz val="10"/>
            <color indexed="81"/>
            <rFont val="Lucida Console"/>
            <family val="3"/>
          </rPr>
          <t>Última movimentação no estoque em 07/2023 quantidade 6.</t>
        </r>
      </text>
    </comment>
    <comment ref="R376" authorId="0" shapeId="0" xr:uid="{1C4F5658-F523-4E94-88C2-2B124454D03D}">
      <text>
        <r>
          <rPr>
            <sz val="10"/>
            <color indexed="81"/>
            <rFont val="Lucida Console"/>
            <family val="3"/>
          </rPr>
          <t>01.01.1901</t>
        </r>
      </text>
    </comment>
    <comment ref="Y376" authorId="0" shapeId="0" xr:uid="{33FD1715-B972-4E85-A1F0-41FE50F5348D}">
      <text>
        <r>
          <rPr>
            <sz val="10"/>
            <color indexed="81"/>
            <rFont val="Courier New"/>
            <family val="3"/>
          </rPr>
          <t>_x000D_
    DESCRIÇÃO DO CÁLCULO_x000D_
Código    : 56.520_x000D_
Corte     : 18_x000D_
-----------------------------_x000D_
Pendente  : 22_x000D_
22 / 10_2 : 12_x000D_
22 / 11_2 : 9_x000D_
22 / 12_2 : 2_x000D_
23 / 01_2 : 4_x000D_
23 / 02_2 : 3_x000D_
23 / 03_2 : 7_x000D_
23 / 04_2 : _x000D_
23 / 05_2 : _x000D_
23 / 06_2 : _x000D_
23 / 07_2 : _x000D_
23 / 08_2 : 9_x000D_
23 / 09_2 : _x000D_
_x000D_
    TOTAL : ( 68 )_x000D_
  DIVISOR : 12_x000D_
    MÉDIA : 5,67</t>
        </r>
      </text>
    </comment>
    <comment ref="AB376" authorId="0" shapeId="0" xr:uid="{AF3ADDFD-D498-43A1-A63F-CADF7B1C1C4A}">
      <text>
        <r>
          <rPr>
            <sz val="10"/>
            <color indexed="81"/>
            <rFont val="Lucida Console"/>
            <family val="3"/>
          </rPr>
          <t>Última movimentação no estoque em 08/2023 quantidade 9.</t>
        </r>
      </text>
    </comment>
    <comment ref="R377" authorId="0" shapeId="0" xr:uid="{CF39F7C4-FACB-4168-B845-A8BCB2695A6A}">
      <text>
        <r>
          <rPr>
            <sz val="10"/>
            <color indexed="81"/>
            <rFont val="Lucida Console"/>
            <family val="3"/>
          </rPr>
          <t>11.04.2007</t>
        </r>
      </text>
    </comment>
    <comment ref="Y377" authorId="0" shapeId="0" xr:uid="{351019CF-758E-4135-8569-996DF3DF62D9}">
      <text>
        <r>
          <rPr>
            <sz val="10"/>
            <color indexed="81"/>
            <rFont val="Courier New"/>
            <family val="3"/>
          </rPr>
          <t>_x000D_
    DESCRIÇÃO DO CÁLCULO_x000D_
Código    : 98.702_x000D_
Corte     : 932_x000D_
-----------------------------_x000D_
Pendente  : 180_x000D_
22 / 10_2 : 684_x000D_
22 / 11_2 : 351_x000D_
22 / 12_2 : 418_x000D_
23 / 01_2 : 602_x000D_
23 / 02_2 : 124_x000D_
23 / 03_2 : 437_x000D_
23 / 04_2 : 264_x000D_
23 / 05_2 : 932 (corte = 957)_x000D_
23 / 06_2 : _x000D_
23 / 07_2 : 360_x000D_
23 / 08_2 : 272_x000D_
23 / 09_2 : 483_x000D_
_x000D_
    TOTAL : ( 5.107 )_x000D_
  DIVISOR : 12_x000D_
    MÉDIA : 425,58_x000D_
-----------------------------_x000D_
   Valores Desconsiderados_x000D_
-----------------------------_x000D_
23 / 05_2 : 25 (957)_x000D_
_x000D_
  TOTAL   : ( 25 )</t>
        </r>
      </text>
    </comment>
    <comment ref="AB377" authorId="0" shapeId="0" xr:uid="{7B62F783-5CC4-40AA-87D5-BD1C124190A2}">
      <text>
        <r>
          <rPr>
            <sz val="10"/>
            <color indexed="81"/>
            <rFont val="Lucida Console"/>
            <family val="3"/>
          </rPr>
          <t>Última movimentação no estoque em 09/2023 quantidade 483.</t>
        </r>
      </text>
    </comment>
    <comment ref="R378" authorId="0" shapeId="0" xr:uid="{1FEC0FDB-97C0-4752-A48C-4BDCEC2F9B39}">
      <text>
        <r>
          <rPr>
            <sz val="10"/>
            <color indexed="81"/>
            <rFont val="Lucida Console"/>
            <family val="3"/>
          </rPr>
          <t>01.01.1901</t>
        </r>
      </text>
    </comment>
    <comment ref="Y378" authorId="0" shapeId="0" xr:uid="{B77684A7-5491-42C2-912E-22A1C81CE180}">
      <text>
        <r>
          <rPr>
            <sz val="10"/>
            <color indexed="81"/>
            <rFont val="Courier New"/>
            <family val="3"/>
          </rPr>
          <t>_x000D_
    DESCRIÇÃO DO CÁLCULO_x000D_
Código    : 16.427_x000D_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78" authorId="0" shapeId="0" xr:uid="{9F4C7225-0DAD-4153-B78A-1E75BBE74249}">
      <text>
        <r>
          <rPr>
            <sz val="10"/>
            <color indexed="81"/>
            <rFont val="Lucida Console"/>
            <family val="3"/>
          </rPr>
          <t>Última movimentação no estoque em 11/2022 quantidade 1.</t>
        </r>
      </text>
    </comment>
    <comment ref="R379" authorId="0" shapeId="0" xr:uid="{F4637FEE-2382-413D-82BA-915337A2493B}">
      <text>
        <r>
          <rPr>
            <sz val="10"/>
            <color indexed="81"/>
            <rFont val="Lucida Console"/>
            <family val="3"/>
          </rPr>
          <t>08.06.2021</t>
        </r>
      </text>
    </comment>
    <comment ref="Y379" authorId="0" shapeId="0" xr:uid="{CA8DA632-3F85-4E57-B364-67F0169AB4B5}">
      <text>
        <r>
          <rPr>
            <sz val="10"/>
            <color indexed="81"/>
            <rFont val="Courier New"/>
            <family val="3"/>
          </rPr>
          <t>_x000D_
    DESCRIÇÃO DO CÁLCULO_x000D_
Código    : 141.253_x000D_
Corte     : 40_x000D_
-----------------------------_x000D_
Pendente  : 8_x000D_
22 / 10_2 : 21_x000D_
22 / 11_2 : 26_x000D_
22 / 12_2 : 23_x000D_
23 / 01_2 : 10_x000D_
23 / 02_2 : _x000D_
23 / 03_2 : 22_x000D_
23 / 04_2 : 11_x000D_
23 / 05_2 : 27_x000D_
23 / 06_2 : 38_x000D_
23 / 07_2 : _x000D_
23 / 08_2 : _x000D_
23 / 09_2 : _x000D_
_x000D_
    TOTAL : ( 186 )_x000D_
  DIVISOR : 12_x000D_
    MÉDIA : 15,50</t>
        </r>
      </text>
    </comment>
    <comment ref="AB379" authorId="0" shapeId="0" xr:uid="{CB241532-B99A-40AA-8FEE-EC0FFE6AC645}">
      <text>
        <r>
          <rPr>
            <sz val="10"/>
            <color indexed="81"/>
            <rFont val="Lucida Console"/>
            <family val="3"/>
          </rPr>
          <t>Última movimentação no estoque em 06/2023 quantidade 38.</t>
        </r>
      </text>
    </comment>
    <comment ref="R380" authorId="0" shapeId="0" xr:uid="{BC9A28FD-0E47-4515-8C9E-5404E30B6FEA}">
      <text>
        <r>
          <rPr>
            <sz val="10"/>
            <color indexed="81"/>
            <rFont val="Lucida Console"/>
            <family val="3"/>
          </rPr>
          <t>16.10.2007</t>
        </r>
      </text>
    </comment>
    <comment ref="Y380" authorId="0" shapeId="0" xr:uid="{FD594E02-CA67-4147-BAD8-D0A0A9066030}">
      <text>
        <r>
          <rPr>
            <sz val="10"/>
            <color indexed="81"/>
            <rFont val="Courier New"/>
            <family val="3"/>
          </rPr>
          <t>_x000D_
    DESCRIÇÃO DO CÁLCULO_x000D_
Código    : 102.728_x000D_
Corte     : 125_x000D_
-----------------------------_x000D_
Pendente  : _x000D_
22 / 10_2 : 125 (corte = 150)_x000D_
22 / 11_2 : 20_x000D_
22 / 12_2 : 40_x000D_
23 / 01_2 : 30_x000D_
23 / 02_2 : _x000D_
23 / 03_2 : _x000D_
23 / 04_2 : 100_x000D_
23 / 05_2 : _x000D_
23 / 06_2 : _x000D_
23 / 07_2 : 20_x000D_
23 / 08_2 : _x000D_
23 / 09_2 : _x000D_
_x000D_
    TOTAL : ( 335 )_x000D_
  DIVISOR : 12_x000D_
    MÉDIA : 27,92_x000D_
-----------------------------_x000D_
   Valores Desconsiderados_x000D_
-----------------------------_x000D_
22 / 10_2 : 25 (150)_x000D_
_x000D_
  TOTAL   : ( 25 )</t>
        </r>
      </text>
    </comment>
    <comment ref="AB380" authorId="0" shapeId="0" xr:uid="{BA1301DA-522F-41BC-B4E5-B5D9C57024FB}">
      <text>
        <r>
          <rPr>
            <sz val="10"/>
            <color indexed="81"/>
            <rFont val="Lucida Console"/>
            <family val="3"/>
          </rPr>
          <t>Última movimentação no estoque em 07/2023 quantidade 20.</t>
        </r>
      </text>
    </comment>
    <comment ref="R381" authorId="0" shapeId="0" xr:uid="{08C6D37E-D600-40C4-92D6-A40010274ED7}">
      <text>
        <r>
          <rPr>
            <sz val="10"/>
            <color indexed="81"/>
            <rFont val="Lucida Console"/>
            <family val="3"/>
          </rPr>
          <t>02.12.2005</t>
        </r>
      </text>
    </comment>
    <comment ref="Y381" authorId="0" shapeId="0" xr:uid="{DAEDCFAC-B7C1-4D29-B89C-3F32D894F971}">
      <text>
        <r>
          <rPr>
            <sz val="10"/>
            <color indexed="81"/>
            <rFont val="Courier New"/>
            <family val="3"/>
          </rPr>
          <t>_x000D_
    DESCRIÇÃO DO CÁLCULO_x000D_
Código    : 89.194_x000D_
Corte     : 184_x000D_
-----------------------------_x000D_
Pendente  : 49_x000D_
22 / 10_2 : 140_x000D_
22 / 11_2 : 98_x000D_
22 / 12_2 : 66_x000D_
23 / 01_2 : 85_x000D_
23 / 02_2 : 98_x000D_
23 / 03_2 : 147_x000D_
23 / 04_2 : 127_x000D_
23 / 05_2 : 101_x000D_
23 / 06_2 : 29_x000D_
23 / 07_2 : _x000D_
23 / 08_2 : _x000D_
23 / 09_2 : _x000D_
_x000D_
    TOTAL : ( 940 )_x000D_
  DIVISOR : 12_x000D_
    MÉDIA : 78,33</t>
        </r>
      </text>
    </comment>
    <comment ref="AB381" authorId="0" shapeId="0" xr:uid="{26A5E5C0-0458-48B3-808B-4DD942ED3527}">
      <text>
        <r>
          <rPr>
            <sz val="10"/>
            <color indexed="81"/>
            <rFont val="Lucida Console"/>
            <family val="3"/>
          </rPr>
          <t>Última movimentação no estoque em 06/2023 quantidade 29.</t>
        </r>
      </text>
    </comment>
    <comment ref="R382" authorId="0" shapeId="0" xr:uid="{F9CBB732-F727-469F-A73A-FF429654AE07}">
      <text>
        <r>
          <rPr>
            <sz val="10"/>
            <color indexed="81"/>
            <rFont val="Lucida Console"/>
            <family val="3"/>
          </rPr>
          <t>01.01.1901</t>
        </r>
      </text>
    </comment>
    <comment ref="Y382" authorId="0" shapeId="0" xr:uid="{D3D395C8-49E0-4607-8683-EE4086C0B10F}">
      <text>
        <r>
          <rPr>
            <sz val="10"/>
            <color indexed="81"/>
            <rFont val="Courier New"/>
            <family val="3"/>
          </rPr>
          <t>_x000D_
    DESCRIÇÃO DO CÁLCULO_x000D_
Código    : 27.353_x000D_
Corte     : 139_x000D_
-----------------------------_x000D_
Pendente  : 20_x000D_
22 / 10_2 : 30_x000D_
22 / 11_2 : 16_x000D_
22 / 12_2 : 26_x000D_
23 / 01_2 : 39_x000D_
23 / 02_2 : 12_x000D_
23 / 03_2 : 17_x000D_
23 / 04_2 : 103_x000D_
23 / 05_2 : 139 (corte = 154)_x000D_
23 / 06_2 : _x000D_
23 / 07_2 : _x000D_
23 / 08_2 : _x000D_
23 / 09_2 : 100_x000D_
_x000D_
    TOTAL : ( 502 )_x000D_
  DIVISOR : 12_x000D_
    MÉDIA : 41,83_x000D_
-----------------------------_x000D_
   Valores Desconsiderados_x000D_
-----------------------------_x000D_
23 / 05_2 : 15 (154)_x000D_
_x000D_
  TOTAL   : ( 15 )</t>
        </r>
      </text>
    </comment>
    <comment ref="AB382" authorId="0" shapeId="0" xr:uid="{88786A8A-17FE-4DFF-B42D-46D6DDDE3E6A}">
      <text>
        <r>
          <rPr>
            <sz val="10"/>
            <color indexed="81"/>
            <rFont val="Lucida Console"/>
            <family val="3"/>
          </rPr>
          <t>Última movimentação no estoque em 09/2023 quantidade 100.</t>
        </r>
      </text>
    </comment>
    <comment ref="R383" authorId="0" shapeId="0" xr:uid="{4289EEC3-1EFC-4DBB-A1EF-0A492C9316C8}">
      <text>
        <r>
          <rPr>
            <sz val="10"/>
            <color indexed="81"/>
            <rFont val="Lucida Console"/>
            <family val="3"/>
          </rPr>
          <t>12.09.2019</t>
        </r>
      </text>
    </comment>
    <comment ref="Y383" authorId="0" shapeId="0" xr:uid="{DECB936F-F647-4C9D-8D88-3E70EB13E31D}">
      <text>
        <r>
          <rPr>
            <sz val="10"/>
            <color indexed="81"/>
            <rFont val="Courier New"/>
            <family val="3"/>
          </rPr>
          <t>_x000D_
    DESCRIÇÃO DO CÁLCULO_x000D_
Código    : 138.462_x000D_
Corte     : 3.841_x000D_
-----------------------------_x000D_
Pendente  : 130_x000D_
22 / 10_2 : 448_x000D_
22 / 11_2 : 348_x000D_
22 / 12_2 : 239_x000D_
23 / 01_2 : 124_x000D_
23 / 02_2 : 751_x000D_
23 / 03_2 : 3.841 (corte = 5715)_x000D_
23 / 04_2 : 295_x000D_
23 / 05_2 : 311_x000D_
23 / 06_2 : 359_x000D_
23 / 07_2 : 800_x000D_
23 / 08_2 : 406_x000D_
23 / 09_2 : 331_x000D_
_x000D_
    TOTAL : ( 8.383 )_x000D_
  DIVISOR : 12_x000D_
    MÉDIA : 698,58_x000D_
-----------------------------_x000D_
   Valores Desconsiderados_x000D_
-----------------------------_x000D_
23 / 03_2 : 1.874 (5.715)_x000D_
_x000D_
  TOTAL   : ( 1.874 )</t>
        </r>
      </text>
    </comment>
    <comment ref="AB383" authorId="0" shapeId="0" xr:uid="{F0FC742C-E80A-4071-8B9D-95D8C1EB2831}">
      <text>
        <r>
          <rPr>
            <sz val="10"/>
            <color indexed="81"/>
            <rFont val="Lucida Console"/>
            <family val="3"/>
          </rPr>
          <t>Última movimentação no estoque em 09/2023 quantidade 331.</t>
        </r>
      </text>
    </comment>
    <comment ref="R384" authorId="0" shapeId="0" xr:uid="{4B6615AB-AF72-4A72-981B-C4F7EC34AB0E}">
      <text>
        <r>
          <rPr>
            <sz val="10"/>
            <color indexed="81"/>
            <rFont val="Lucida Console"/>
            <family val="3"/>
          </rPr>
          <t>01.01.1901</t>
        </r>
      </text>
    </comment>
    <comment ref="Y384" authorId="0" shapeId="0" xr:uid="{2EB6CE75-66E0-4F56-896D-6D2E625E7A53}">
      <text>
        <r>
          <rPr>
            <sz val="10"/>
            <color indexed="81"/>
            <rFont val="Courier New"/>
            <family val="3"/>
          </rPr>
          <t>_x000D_
    DESCRIÇÃO DO CÁLCULO_x000D_
Código    : 16.512_x000D_
Corte     : 444_x000D_
-----------------------------_x000D_
Pendente  : 377_x000D_
22 / 10_2 : _x000D_
22 / 11_2 : 18_x000D_
22 / 12_2 : 3_x000D_
23 / 01_2 : 49_x000D_
23 / 02_2 : 225_x000D_
23 / 03_2 : 444 (corte = 474)_x000D_
23 / 04_2 : 231_x000D_
23 / 05_2 : 38_x000D_
23 / 06_2 : 3_x000D_
23 / 07_2 : 46_x000D_
23 / 08_2 : _x000D_
23 / 09_2 : _x000D_
_x000D_
    TOTAL : ( 1.434 )_x000D_
  DIVISOR : 12_x000D_
    MÉDIA : 119,50_x000D_
-----------------------------_x000D_
   Valores Desconsiderados_x000D_
-----------------------------_x000D_
23 / 03_2 : 30 (474)_x000D_
_x000D_
  TOTAL   : ( 30 )</t>
        </r>
      </text>
    </comment>
    <comment ref="AB384" authorId="0" shapeId="0" xr:uid="{334008D0-3E56-4384-A3FD-1332FCF524EA}">
      <text>
        <r>
          <rPr>
            <sz val="10"/>
            <color indexed="81"/>
            <rFont val="Lucida Console"/>
            <family val="3"/>
          </rPr>
          <t>Última movimentação no estoque em 07/2023 quantidade 46.</t>
        </r>
      </text>
    </comment>
    <comment ref="R385" authorId="0" shapeId="0" xr:uid="{B41DC8E2-D0A6-4339-8EA5-5C9A63258077}">
      <text>
        <r>
          <rPr>
            <sz val="10"/>
            <color indexed="81"/>
            <rFont val="Lucida Console"/>
            <family val="3"/>
          </rPr>
          <t>11.11.2016</t>
        </r>
      </text>
    </comment>
    <comment ref="Y385" authorId="0" shapeId="0" xr:uid="{C3ADAB17-00D2-48FC-B6A8-99B1301B5884}">
      <text>
        <r>
          <rPr>
            <sz val="10"/>
            <color indexed="81"/>
            <rFont val="Courier New"/>
            <family val="3"/>
          </rPr>
          <t>_x000D_
    DESCRIÇÃO DO CÁLCULO_x000D_
Código    : 132.299_x000D_
Corte     : 1.736_x000D_
-----------------------------_x000D_
Pendente  : 4_x000D_
22 / 10_2 : 175_x000D_
22 / 11_2 : 164_x000D_
22 / 12_2 : 113_x000D_
23 / 01_2 : 66_x000D_
23 / 02_2 : 112_x000D_
23 / 03_2 : 1.736 (corte = 2639)_x000D_
23 / 04_2 : 76_x000D_
23 / 05_2 : 94_x000D_
23 / 06_2 : 104_x000D_
23 / 07_2 : 116_x000D_
23 / 08_2 : 161_x000D_
23 / 09_2 : 148_x000D_
_x000D_
    TOTAL : ( 3.069 )_x000D_
  DIVISOR : 12_x000D_
    MÉDIA : 255,75_x000D_
-----------------------------_x000D_
   Valores Desconsiderados_x000D_
-----------------------------_x000D_
23 / 03_2 : 903 (2.639)_x000D_
_x000D_
  TOTAL   : ( 903 )</t>
        </r>
      </text>
    </comment>
    <comment ref="AB385" authorId="0" shapeId="0" xr:uid="{60C25E97-2269-4B2C-86B1-DB4318B8B90C}">
      <text>
        <r>
          <rPr>
            <sz val="10"/>
            <color indexed="81"/>
            <rFont val="Lucida Console"/>
            <family val="3"/>
          </rPr>
          <t>Última movimentação no estoque em 09/2023 quantidade 148.</t>
        </r>
      </text>
    </comment>
    <comment ref="R386" authorId="0" shapeId="0" xr:uid="{39686768-116E-4251-B928-2B4CC35CCF43}">
      <text>
        <r>
          <rPr>
            <sz val="10"/>
            <color indexed="81"/>
            <rFont val="Lucida Console"/>
            <family val="3"/>
          </rPr>
          <t>26.11.2004</t>
        </r>
      </text>
    </comment>
    <comment ref="Y386" authorId="0" shapeId="0" xr:uid="{AD00E75B-74F3-4C16-99E5-A60C4F123D73}">
      <text>
        <r>
          <rPr>
            <sz val="10"/>
            <color indexed="81"/>
            <rFont val="Courier New"/>
            <family val="3"/>
          </rPr>
          <t>_x000D_
    DESCRIÇÃO DO CÁLCULO_x000D_
Código    : 82.995_x000D_
Corte     : 300_x000D_
-----------------------------_x000D_
Pendente  : 260_x000D_
22 / 10_2 : 75_x000D_
22 / 11_2 : _x000D_
22 / 12_2 : 25_x000D_
23 / 01_2 : 105_x000D_
23 / 02_2 : _x000D_
23 / 03_2 : 125_x000D_
23 / 04_2 : _x000D_
23 / 05_2 : _x000D_
23 / 06_2 : 300 (corte = 340)_x000D_
23 / 07_2 : _x000D_
23 / 08_2 : _x000D_
23 / 09_2 : _x000D_
_x000D_
    TOTAL : ( 890 )_x000D_
  DIVISOR : 12_x000D_
    MÉDIA : 74,17_x000D_
-----------------------------_x000D_
   Valores Desconsiderados_x000D_
-----------------------------_x000D_
23 / 06_2 : 40 (340)_x000D_
_x000D_
  TOTAL   : ( 40 )</t>
        </r>
      </text>
    </comment>
    <comment ref="AB386" authorId="0" shapeId="0" xr:uid="{EA4F6B8C-EB0F-43EE-A25B-F2292B82383B}">
      <text>
        <r>
          <rPr>
            <sz val="10"/>
            <color indexed="81"/>
            <rFont val="Lucida Console"/>
            <family val="3"/>
          </rPr>
          <t>Última movimentação no estoque em 06/2023 quantidade 340.</t>
        </r>
      </text>
    </comment>
    <comment ref="R387" authorId="0" shapeId="0" xr:uid="{FC1A528C-937B-4BFC-9F50-8BD83524C61E}">
      <text>
        <r>
          <rPr>
            <sz val="10"/>
            <color indexed="81"/>
            <rFont val="Lucida Console"/>
            <family val="3"/>
          </rPr>
          <t>26.11.2004</t>
        </r>
      </text>
    </comment>
    <comment ref="Y387" authorId="0" shapeId="0" xr:uid="{69AB4F68-A191-4959-88A2-CFDB75877C9C}">
      <text>
        <r>
          <rPr>
            <sz val="10"/>
            <color indexed="81"/>
            <rFont val="Courier New"/>
            <family val="3"/>
          </rPr>
          <t>_x000D_
    DESCRIÇÃO DO CÁLCULO_x000D_
Código    : 82.996_x000D_
Corte     : 66_x000D_
-----------------------------_x000D_
Pendente  : _x000D_
22 / 10_2 : _x000D_
22 / 11_2 : _x000D_
22 / 12_2 : _x000D_
23 / 01_2 : _x000D_
23 / 02_2 : _x000D_
23 / 03_2 : 66 (corte = 100)_x000D_
23 / 04_2 : _x000D_
23 / 05_2 : _x000D_
23 / 06_2 : _x000D_
23 / 07_2 : _x000D_
23 / 08_2 : _x000D_
23 / 09_2 : _x000D_
_x000D_
    TOTAL : ( 66 )_x000D_
  DIVISOR : 12_x000D_
    MÉDIA : 5,50_x000D_
-----------------------------_x000D_
   Valores Desconsiderados_x000D_
-----------------------------_x000D_
23 / 03_2 : 34 (100)_x000D_
_x000D_
  TOTAL   : ( 34 )</t>
        </r>
      </text>
    </comment>
    <comment ref="AB387" authorId="0" shapeId="0" xr:uid="{38986CAF-C634-4297-92D3-AB4CF407407B}">
      <text>
        <r>
          <rPr>
            <sz val="10"/>
            <color indexed="81"/>
            <rFont val="Lucida Console"/>
            <family val="3"/>
          </rPr>
          <t>Última movimentação no estoque em 03/2023 quantidade 100.</t>
        </r>
      </text>
    </comment>
    <comment ref="R388" authorId="0" shapeId="0" xr:uid="{D7E81736-BCD6-4D60-ACD2-5D2FD83F3713}">
      <text>
        <r>
          <rPr>
            <sz val="10"/>
            <color indexed="81"/>
            <rFont val="Lucida Console"/>
            <family val="3"/>
          </rPr>
          <t>01.01.1901</t>
        </r>
      </text>
    </comment>
    <comment ref="Y388" authorId="0" shapeId="0" xr:uid="{45872E94-430D-4456-9282-BD96ABEAE6AA}">
      <text>
        <r>
          <rPr>
            <sz val="10"/>
            <color indexed="81"/>
            <rFont val="Courier New"/>
            <family val="3"/>
          </rPr>
          <t>_x000D_
    DESCRIÇÃO DO CÁLCULO_x000D_
Código    : 51.579_x000D_
Corte     : 140_x000D_
-----------------------------_x000D_
Pendente  : 1_x000D_
22 / 10_2 : 70_x000D_
22 / 11_2 : 96_x000D_
22 / 12_2 : 49_x000D_
23 / 01_2 : 47_x000D_
23 / 02_2 : 62_x000D_
23 / 03_2 : 119_x000D_
23 / 04_2 : 89_x000D_
23 / 05_2 : 86_x000D_
23 / 06_2 : 92_x000D_
23 / 07_2 : 80_x000D_
23 / 08_2 : 95_x000D_
23 / 09_2 : 85_x000D_
_x000D_
    TOTAL : ( 971 )_x000D_
  DIVISOR : 12_x000D_
    MÉDIA : 80,92</t>
        </r>
      </text>
    </comment>
    <comment ref="AB388" authorId="0" shapeId="0" xr:uid="{B8FAC7F1-934D-4443-B896-CFC97D874358}">
      <text>
        <r>
          <rPr>
            <sz val="10"/>
            <color indexed="81"/>
            <rFont val="Lucida Console"/>
            <family val="3"/>
          </rPr>
          <t>Última movimentação no estoque em 09/2023 quantidade 85.</t>
        </r>
      </text>
    </comment>
    <comment ref="R389" authorId="0" shapeId="0" xr:uid="{F3E1E290-D66A-4D67-9B64-B01F1FC95F34}">
      <text>
        <r>
          <rPr>
            <sz val="10"/>
            <color indexed="81"/>
            <rFont val="Lucida Console"/>
            <family val="3"/>
          </rPr>
          <t>01.01.1901</t>
        </r>
      </text>
    </comment>
    <comment ref="Y389" authorId="0" shapeId="0" xr:uid="{C693E51E-DD8A-452D-A216-C0CFEABC77C8}">
      <text>
        <r>
          <rPr>
            <sz val="10"/>
            <color indexed="81"/>
            <rFont val="Courier New"/>
            <family val="3"/>
          </rPr>
          <t>_x000D_
    DESCRIÇÃO DO CÁLCULO_x000D_
Código    : 13.021_x000D_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389" authorId="0" shapeId="0" xr:uid="{96CDC5AA-05E0-4717-B11F-0AD79CF094F3}">
      <text>
        <r>
          <rPr>
            <sz val="10"/>
            <color indexed="81"/>
            <rFont val="Lucida Console"/>
            <family val="3"/>
          </rPr>
          <t>Última movimentação no estoque em 09/2023 quantidade 4.</t>
        </r>
      </text>
    </comment>
    <comment ref="R390" authorId="0" shapeId="0" xr:uid="{51B93D33-8785-445D-98BF-5152CE327D44}">
      <text>
        <r>
          <rPr>
            <sz val="10"/>
            <color indexed="81"/>
            <rFont val="Lucida Console"/>
            <family val="3"/>
          </rPr>
          <t>01.01.1901</t>
        </r>
      </text>
    </comment>
    <comment ref="Y390" authorId="0" shapeId="0" xr:uid="{08E9868A-CDA4-4935-8DF1-2D8CD19A754F}">
      <text>
        <r>
          <rPr>
            <sz val="10"/>
            <color indexed="81"/>
            <rFont val="Courier New"/>
            <family val="3"/>
          </rPr>
          <t>_x000D_
    DESCRIÇÃO DO CÁLCULO_x000D_
Código    : 11.116_x000D_
Corte     : 84_x000D_
-----------------------------_x000D_
Pendente  : _x000D_
22 / 10_2 : 55_x000D_
22 / 11_2 : 47_x000D_
22 / 12_2 : 31_x000D_
23 / 01_2 : 44_x000D_
23 / 02_2 : 40_x000D_
23 / 03_2 : 78_x000D_
23 / 04_2 : 60_x000D_
23 / 05_2 : 65_x000D_
23 / 06_2 : 67_x000D_
23 / 07_2 : 45_x000D_
23 / 08_2 : 77_x000D_
23 / 09_2 : 58_x000D_
_x000D_
    TOTAL : ( 667 )_x000D_
  DIVISOR : 12_x000D_
    MÉDIA : 55,58</t>
        </r>
      </text>
    </comment>
    <comment ref="AB390" authorId="0" shapeId="0" xr:uid="{B8F342A9-3365-4C05-A5A9-66B3FDC55E78}">
      <text>
        <r>
          <rPr>
            <sz val="10"/>
            <color indexed="81"/>
            <rFont val="Lucida Console"/>
            <family val="3"/>
          </rPr>
          <t>Última movimentação no estoque em 09/2023 quantidade 58.</t>
        </r>
      </text>
    </comment>
    <comment ref="R391" authorId="0" shapeId="0" xr:uid="{F34DF8DF-F38A-4AC7-873D-1D0FE632FBCC}">
      <text>
        <r>
          <rPr>
            <sz val="10"/>
            <color indexed="81"/>
            <rFont val="Lucida Console"/>
            <family val="3"/>
          </rPr>
          <t>01.01.1901</t>
        </r>
      </text>
    </comment>
    <comment ref="Y391" authorId="0" shapeId="0" xr:uid="{A97C3FFB-2088-4604-9F91-10BBBBFF0E1E}">
      <text>
        <r>
          <rPr>
            <sz val="10"/>
            <color indexed="81"/>
            <rFont val="Courier New"/>
            <family val="3"/>
          </rPr>
          <t>_x000D_
    DESCRIÇÃO DO CÁLCULO_x000D_
Código    : 17.135_x000D_
Corte     : 2.595_x000D_
-----------------------------_x000D_
Pendente  : 132_x000D_
22 / 10_2 : 225_x000D_
22 / 11_2 : 305_x000D_
22 / 12_2 : 225_x000D_
23 / 01_2 : 359_x000D_
23 / 02_2 : 705_x000D_
23 / 03_2 : 2.595 (corte = 3802)_x000D_
23 / 04_2 : 345_x000D_
23 / 05_2 : 440_x000D_
23 / 06_2 : 340_x000D_
23 / 07_2 : 340_x000D_
23 / 08_2 : 330_x000D_
23 / 09_2 : 316_x000D_
_x000D_
    TOTAL : ( 6.657 )_x000D_
  DIVISOR : 12_x000D_
    MÉDIA : 554,75_x000D_
-----------------------------_x000D_
   Valores Desconsiderados_x000D_
-----------------------------_x000D_
23 / 03_2 : 1.207 (3.802)_x000D_
_x000D_
  TOTAL   : ( 1.207 )</t>
        </r>
      </text>
    </comment>
    <comment ref="AB391" authorId="0" shapeId="0" xr:uid="{9DF440EB-D839-4858-8263-FE4618095FF9}">
      <text>
        <r>
          <rPr>
            <sz val="10"/>
            <color indexed="81"/>
            <rFont val="Lucida Console"/>
            <family val="3"/>
          </rPr>
          <t>Última movimentação no estoque em 09/2023 quantidade 316.</t>
        </r>
      </text>
    </comment>
    <comment ref="R392" authorId="0" shapeId="0" xr:uid="{114B0E13-0AC8-4CEF-84F2-30FD966FF601}">
      <text>
        <r>
          <rPr>
            <sz val="10"/>
            <color indexed="81"/>
            <rFont val="Lucida Console"/>
            <family val="3"/>
          </rPr>
          <t>01.01.1901</t>
        </r>
      </text>
    </comment>
    <comment ref="Y392" authorId="0" shapeId="0" xr:uid="{DC669BB0-08CB-42EB-871B-A73922146DEE}">
      <text>
        <r>
          <rPr>
            <sz val="10"/>
            <color indexed="81"/>
            <rFont val="Courier New"/>
            <family val="3"/>
          </rPr>
          <t>_x000D_
    DESCRIÇÃO DO CÁLCULO_x000D_
Código    : 17.136_x000D_
Corte     : 176_x000D_
-----------------------------_x000D_
Pendente  : 96_x000D_
22 / 10_2 : 85_x000D_
22 / 11_2 : 131_x000D_
22 / 12_2 : 37_x000D_
23 / 01_2 : 1_x000D_
23 / 02_2 : _x000D_
23 / 03_2 : _x000D_
23 / 04_2 : 27_x000D_
23 / 05_2 : 117_x000D_
23 / 06_2 : 112_x000D_
23 / 07_2 : 105_x000D_
23 / 08_2 : 113_x000D_
23 / 09_2 : 95_x000D_
_x000D_
    TOTAL : ( 919 )_x000D_
  DIVISOR : 12_x000D_
    MÉDIA : 76,58</t>
        </r>
      </text>
    </comment>
    <comment ref="AB392" authorId="0" shapeId="0" xr:uid="{96EEED2C-9E46-44D1-9892-02457D91A06F}">
      <text>
        <r>
          <rPr>
            <sz val="10"/>
            <color indexed="81"/>
            <rFont val="Lucida Console"/>
            <family val="3"/>
          </rPr>
          <t>Última movimentação no estoque em 09/2023 quantidade 95.</t>
        </r>
      </text>
    </comment>
    <comment ref="R393" authorId="0" shapeId="0" xr:uid="{DFFF9922-0F22-41EF-9D7F-190285B55484}">
      <text>
        <r>
          <rPr>
            <sz val="10"/>
            <color indexed="81"/>
            <rFont val="Lucida Console"/>
            <family val="3"/>
          </rPr>
          <t>10.10.2007</t>
        </r>
      </text>
    </comment>
    <comment ref="Y393" authorId="0" shapeId="0" xr:uid="{97D7DAAF-A608-4278-83C7-E98837D1933C}">
      <text>
        <r>
          <rPr>
            <sz val="10"/>
            <color indexed="81"/>
            <rFont val="Courier New"/>
            <family val="3"/>
          </rPr>
          <t>_x000D_
    DESCRIÇÃO DO CÁLCULO_x000D_
Código    : 102.588_x000D_
Corte     : 111_x000D_
-----------------------------_x000D_
Pendente  : 65_x000D_
22 / 10_2 : _x000D_
22 / 11_2 : 20_x000D_
22 / 12_2 : 10_x000D_
23 / 01_2 : 8_x000D_
23 / 02_2 : 15_x000D_
23 / 03_2 : 45_x000D_
23 / 04_2 : 4_x000D_
23 / 05_2 : 5_x000D_
23 / 06_2 : _x000D_
23 / 07_2 : _x000D_
23 / 08_2 : _x000D_
23 / 09_2 : 111 (corte = 150)_x000D_
_x000D_
    TOTAL : ( 283 )_x000D_
  DIVISOR : 12_x000D_
    MÉDIA : 23,58_x000D_
-----------------------------_x000D_
   Valores Desconsiderados_x000D_
-----------------------------_x000D_
23 / 09_2 : 39 (150)_x000D_
_x000D_
  TOTAL   : ( 39 )</t>
        </r>
      </text>
    </comment>
    <comment ref="AB393" authorId="0" shapeId="0" xr:uid="{5C4BE835-5B2A-46F5-906A-62E9A7BB9669}">
      <text>
        <r>
          <rPr>
            <sz val="10"/>
            <color indexed="81"/>
            <rFont val="Lucida Console"/>
            <family val="3"/>
          </rPr>
          <t>Última movimentação no estoque em 09/2023 quantidade 150.</t>
        </r>
      </text>
    </comment>
    <comment ref="R394" authorId="0" shapeId="0" xr:uid="{59E54903-8509-403A-90B8-0EC39415F082}">
      <text>
        <r>
          <rPr>
            <sz val="10"/>
            <color indexed="81"/>
            <rFont val="Lucida Console"/>
            <family val="3"/>
          </rPr>
          <t>28.02.2008</t>
        </r>
      </text>
    </comment>
    <comment ref="Y394" authorId="0" shapeId="0" xr:uid="{A37AA346-9754-42D5-97CB-16DDCFE97489}">
      <text>
        <r>
          <rPr>
            <sz val="10"/>
            <color indexed="81"/>
            <rFont val="Courier New"/>
            <family val="3"/>
          </rPr>
          <t>_x000D_
    DESCRIÇÃO DO CÁLCULO_x000D_
Código    : 105.294_x000D_
Corte     : 57_x000D_
-----------------------------_x000D_
Pendente  : 2_x000D_
22 / 10_2 : _x000D_
22 / 11_2 : _x000D_
22 / 12_2 : _x000D_
23 / 01_2 : _x000D_
23 / 02_2 : 20_x000D_
23 / 03_2 : 10_x000D_
23 / 04_2 : 5_x000D_
23 / 05_2 : 50_x000D_
23 / 06_2 : _x000D_
23 / 07_2 : _x000D_
23 / 08_2 : 50_x000D_
23 / 09_2 : 50_x000D_
_x000D_
    TOTAL : ( 187 )_x000D_
  DIVISOR : 12_x000D_
    MÉDIA : 15,58</t>
        </r>
      </text>
    </comment>
    <comment ref="AB394" authorId="0" shapeId="0" xr:uid="{D8D1AD1E-8AC9-409B-8692-95DDD1C6B037}">
      <text>
        <r>
          <rPr>
            <sz val="10"/>
            <color indexed="81"/>
            <rFont val="Lucida Console"/>
            <family val="3"/>
          </rPr>
          <t>Última movimentação no estoque em 09/2023 quantidade 50.</t>
        </r>
      </text>
    </comment>
    <comment ref="R395" authorId="0" shapeId="0" xr:uid="{016CF887-DCD1-4603-B159-D79BD266AC43}">
      <text>
        <r>
          <rPr>
            <sz val="10"/>
            <color indexed="81"/>
            <rFont val="Lucida Console"/>
            <family val="3"/>
          </rPr>
          <t>01.01.1901</t>
        </r>
      </text>
    </comment>
    <comment ref="Y395" authorId="0" shapeId="0" xr:uid="{F41DA5C7-DB3C-4155-86F4-D8922228384F}">
      <text>
        <r>
          <rPr>
            <sz val="10"/>
            <color indexed="81"/>
            <rFont val="Courier New"/>
            <family val="3"/>
          </rPr>
          <t>_x000D_
    DESCRIÇÃO DO CÁLCULO_x000D_
Código    : 17.115_x000D_
Corte     : 1.192_x000D_
-----------------------------_x000D_
Pendente  : 673_x000D_
22 / 10_2 : 625_x000D_
22 / 11_2 : 705_x000D_
22 / 12_2 : 510_x000D_
23 / 01_2 : 210_x000D_
23 / 02_2 : 310_x000D_
23 / 03_2 : 410_x000D_
23 / 04_2 : 1.118_x000D_
23 / 05_2 : 802_x000D_
23 / 06_2 : 681_x000D_
23 / 07_2 : 60_x000D_
23 / 08_2 : _x000D_
23 / 09_2 : _x000D_
_x000D_
    TOTAL : ( 6.104 )_x000D_
  DIVISOR : 12_x000D_
    MÉDIA : 508,67</t>
        </r>
      </text>
    </comment>
    <comment ref="AB395" authorId="0" shapeId="0" xr:uid="{2F3CBB10-6242-4766-B656-A367D8BA889A}">
      <text>
        <r>
          <rPr>
            <sz val="10"/>
            <color indexed="81"/>
            <rFont val="Lucida Console"/>
            <family val="3"/>
          </rPr>
          <t>Última movimentação no estoque em 07/2023 quantidade 60.</t>
        </r>
      </text>
    </comment>
    <comment ref="R396" authorId="0" shapeId="0" xr:uid="{08BD0F7C-5BA9-4B2C-84A6-4734BE4857A9}">
      <text>
        <r>
          <rPr>
            <sz val="10"/>
            <color indexed="81"/>
            <rFont val="Lucida Console"/>
            <family val="3"/>
          </rPr>
          <t>01.01.1901</t>
        </r>
      </text>
    </comment>
    <comment ref="Y396" authorId="0" shapeId="0" xr:uid="{1AB6998B-068E-4DB9-BB2E-825D2F0A0BCF}">
      <text>
        <r>
          <rPr>
            <sz val="10"/>
            <color indexed="81"/>
            <rFont val="Courier New"/>
            <family val="3"/>
          </rPr>
          <t>_x000D_
    DESCRIÇÃO DO CÁLCULO_x000D_
Código    : 67.939_x000D_
Corte     : 36_x000D_
-----------------------------_x000D_
Pendente  : _x000D_
22 / 10_2 : _x000D_
22 / 11_2 : 30_x000D_
22 / 12_2 : _x000D_
23 / 01_2 : 18_x000D_
23 / 02_2 : 12_x000D_
23 / 03_2 : 30_x000D_
23 / 04_2 : 25_x000D_
23 / 05_2 : _x000D_
23 / 06_2 : _x000D_
23 / 07_2 : 11_x000D_
23 / 08_2 : 17_x000D_
23 / 09_2 : _x000D_
_x000D_
    TOTAL : ( 143 )_x000D_
  DIVISOR : 12_x000D_
    MÉDIA : 11,92</t>
        </r>
      </text>
    </comment>
    <comment ref="AB396" authorId="0" shapeId="0" xr:uid="{EF65D0E7-1B16-48B9-9DC3-5E9F1EE89372}">
      <text>
        <r>
          <rPr>
            <sz val="10"/>
            <color indexed="81"/>
            <rFont val="Lucida Console"/>
            <family val="3"/>
          </rPr>
          <t>Última movimentação no estoque em 08/2023 quantidade 17.</t>
        </r>
      </text>
    </comment>
    <comment ref="R397" authorId="0" shapeId="0" xr:uid="{0C22272D-67DC-49AC-B28F-B2827FC793F2}">
      <text>
        <r>
          <rPr>
            <sz val="10"/>
            <color indexed="81"/>
            <rFont val="Lucida Console"/>
            <family val="3"/>
          </rPr>
          <t>17.10.2008</t>
        </r>
      </text>
    </comment>
    <comment ref="Y397" authorId="0" shapeId="0" xr:uid="{2FC0D938-4F59-4B19-8355-E6E18F269C80}">
      <text>
        <r>
          <rPr>
            <sz val="10"/>
            <color indexed="81"/>
            <rFont val="Courier New"/>
            <family val="3"/>
          </rPr>
          <t>_x000D_
    DESCRIÇÃO DO CÁLCULO_x000D_
Código    : 108.440_x000D_
Corte     : 2_x000D_
-----------------------------_x000D_
Pendente  : _x000D_
22 / 10_2 : _x000D_
22 / 11_2 : _x000D_
22 / 12_2 : _x000D_
23 / 01_2 : _x000D_
23 / 02_2 : _x000D_
23 / 03_2 : _x000D_
23 / 04_2 : _x000D_
23 / 05_2 : _x000D_
23 / 06_2 : _x000D_
23 / 07_2 : _x000D_
23 / 08_2 : 2 (corte = 4)_x000D_
23 / 09_2 : _x000D_
_x000D_
    TOTAL : ( 2 )_x000D_
  DIVISOR : 12_x000D_
    MÉDIA : ,17_x000D_
-----------------------------_x000D_
   Valores Desconsiderados_x000D_
-----------------------------_x000D_
23 / 08_2 : 2 (4)_x000D_
_x000D_
  TOTAL   : ( 2 )</t>
        </r>
      </text>
    </comment>
    <comment ref="AB397" authorId="0" shapeId="0" xr:uid="{2E958904-0CA3-4402-8E3C-84E6DAE8319B}">
      <text>
        <r>
          <rPr>
            <sz val="10"/>
            <color indexed="81"/>
            <rFont val="Lucida Console"/>
            <family val="3"/>
          </rPr>
          <t>Última movimentação no estoque em 08/2023 quantidade 4.</t>
        </r>
      </text>
    </comment>
    <comment ref="R398" authorId="0" shapeId="0" xr:uid="{6E900E6E-50E4-4D6F-B2A0-DE3076858C1D}">
      <text>
        <r>
          <rPr>
            <sz val="10"/>
            <color indexed="81"/>
            <rFont val="Lucida Console"/>
            <family val="3"/>
          </rPr>
          <t>01.01.1901</t>
        </r>
      </text>
    </comment>
    <comment ref="Y398" authorId="0" shapeId="0" xr:uid="{79643D55-A5C9-470B-8224-A8F16E029579}">
      <text>
        <r>
          <rPr>
            <sz val="10"/>
            <color indexed="81"/>
            <rFont val="Courier New"/>
            <family val="3"/>
          </rPr>
          <t>_x000D_
    DESCRIÇÃO DO CÁLCULO_x000D_
Código    : 16.571_x000D_
Corte     : 343_x000D_
-----------------------------_x000D_
Pendente  : _x000D_
22 / 10_2 : 158_x000D_
22 / 11_2 : 180_x000D_
22 / 12_2 : 155_x000D_
23 / 01_2 : 155_x000D_
23 / 02_2 : 219_x000D_
23 / 03_2 : 343 (corte = 395)_x000D_
23 / 04_2 : 256_x000D_
23 / 05_2 : 237_x000D_
23 / 06_2 : 191_x000D_
23 / 07_2 : 154_x000D_
23 / 08_2 : 147_x000D_
23 / 09_2 : 190_x000D_
_x000D_
    TOTAL : ( 2.385 )_x000D_
  DIVISOR : 12_x000D_
    MÉDIA : 198,75_x000D_
-----------------------------_x000D_
   Valores Desconsiderados_x000D_
-----------------------------_x000D_
23 / 03_2 : 52 (395)_x000D_
_x000D_
  TOTAL   : ( 52 )</t>
        </r>
      </text>
    </comment>
    <comment ref="AB398" authorId="0" shapeId="0" xr:uid="{84A2649A-A53C-478D-9FCC-C3879A4BDFE2}">
      <text>
        <r>
          <rPr>
            <sz val="10"/>
            <color indexed="81"/>
            <rFont val="Lucida Console"/>
            <family val="3"/>
          </rPr>
          <t>Última movimentação no estoque em 09/2023 quantidade 190.</t>
        </r>
      </text>
    </comment>
    <comment ref="R399" authorId="0" shapeId="0" xr:uid="{89CEDDFD-0F0A-4658-9D3B-3F288BA77359}">
      <text>
        <r>
          <rPr>
            <sz val="10"/>
            <color indexed="81"/>
            <rFont val="Lucida Console"/>
            <family val="3"/>
          </rPr>
          <t>16.10.2008</t>
        </r>
      </text>
    </comment>
    <comment ref="Y399" authorId="0" shapeId="0" xr:uid="{EB28AAA6-F58E-4AE7-BBB8-537417AAB5AD}">
      <text>
        <r>
          <rPr>
            <sz val="10"/>
            <color indexed="81"/>
            <rFont val="Courier New"/>
            <family val="3"/>
          </rPr>
          <t>_x000D_
    DESCRIÇÃO DO CÁLCULO_x000D_
Código    : 108.393_x000D_
Corte     : 15_x000D_
-----------------------------_x000D_
Pendente  : _x000D_
22 / 10_2 : _x000D_
22 / 11_2 : _x000D_
22 / 12_2 : 15 (corte = 18)_x000D_
23 / 01_2 : _x000D_
23 / 02_2 : 5_x000D_
23 / 03_2 : 10_x000D_
23 / 04_2 : 11_x000D_
23 / 05_2 : _x000D_
23 / 06_2 : _x000D_
23 / 07_2 : _x000D_
23 / 08_2 : _x000D_
23 / 09_2 : _x000D_
_x000D_
    TOTAL : ( 41 )_x000D_
  DIVISOR : 12_x000D_
    MÉDIA : 3,42_x000D_
-----------------------------_x000D_
   Valores Desconsiderados_x000D_
-----------------------------_x000D_
22 / 12_2 : 3 (18)_x000D_
_x000D_
  TOTAL   : ( 3 )</t>
        </r>
      </text>
    </comment>
    <comment ref="AB399" authorId="0" shapeId="0" xr:uid="{0251BE32-AA8A-41C7-8687-EEE5EC43192C}">
      <text>
        <r>
          <rPr>
            <sz val="10"/>
            <color indexed="81"/>
            <rFont val="Lucida Console"/>
            <family val="3"/>
          </rPr>
          <t>Última movimentação no estoque em 04/2023 quantidade 11.</t>
        </r>
      </text>
    </comment>
    <comment ref="R400" authorId="0" shapeId="0" xr:uid="{CF512B6F-41A0-46AF-96EA-94E8AD36920B}">
      <text>
        <r>
          <rPr>
            <sz val="10"/>
            <color indexed="81"/>
            <rFont val="Lucida Console"/>
            <family val="3"/>
          </rPr>
          <t>01.08.2006</t>
        </r>
      </text>
    </comment>
    <comment ref="Y400" authorId="0" shapeId="0" xr:uid="{2B3A46FB-848F-4733-8B74-AD5D88756FAF}">
      <text>
        <r>
          <rPr>
            <sz val="10"/>
            <color indexed="81"/>
            <rFont val="Courier New"/>
            <family val="3"/>
          </rPr>
          <t>_x000D_
    DESCRIÇÃO DO CÁLCULO_x000D_
Código    : 93.486_x000D_
Corte     : 1_x000D_
-----------------------------_x000D_
Pendente  : _x000D_
22 / 10_2 : _x000D_
22 / 11_2 : _x000D_
22 / 12_2 : _x000D_
23 / 01_2 : _x000D_
23 / 02_2 : 1 (corte = 2)_x000D_
23 / 03_2 : _x000D_
23 / 04_2 : 1_x000D_
23 / 05_2 : _x000D_
23 / 06_2 : _x000D_
23 / 07_2 : _x000D_
23 / 08_2 : _x000D_
23 / 09_2 : _x000D_
_x000D_
    TOTAL : ( 2 )_x000D_
  DIVISOR : 12_x000D_
    MÉDIA : ,17_x000D_
-----------------------------_x000D_
   Valores Desconsiderados_x000D_
-----------------------------_x000D_
23 / 02_2 : 1 (2)_x000D_
_x000D_
  TOTAL   : ( 1 )</t>
        </r>
      </text>
    </comment>
    <comment ref="AB400" authorId="0" shapeId="0" xr:uid="{CF6AC89B-727E-4899-8399-461D7B4B3839}">
      <text>
        <r>
          <rPr>
            <sz val="10"/>
            <color indexed="81"/>
            <rFont val="Lucida Console"/>
            <family val="3"/>
          </rPr>
          <t>Última movimentação no estoque em 04/2023 quantidade 1.</t>
        </r>
      </text>
    </comment>
    <comment ref="R401" authorId="0" shapeId="0" xr:uid="{94FE714E-7294-4F48-8EFC-BE15965740EE}">
      <text>
        <r>
          <rPr>
            <sz val="10"/>
            <color indexed="81"/>
            <rFont val="Lucida Console"/>
            <family val="3"/>
          </rPr>
          <t>01.08.2006</t>
        </r>
      </text>
    </comment>
    <comment ref="Y401" authorId="0" shapeId="0" xr:uid="{AB505A5D-3F42-40E7-B8E3-7A4CBF4EBD70}">
      <text>
        <r>
          <rPr>
            <sz val="10"/>
            <color indexed="81"/>
            <rFont val="Courier New"/>
            <family val="3"/>
          </rPr>
          <t>_x000D_
    DESCRIÇÃO DO CÁLCULO_x000D_
Código    : 93.488_x000D_
Corte     : 2_x000D_
-----------------------------_x000D_
Pendente  : _x000D_
22 / 10_2 : _x000D_
22 / 11_2 : _x000D_
22 / 12_2 : _x000D_
23 / 01_2 : _x000D_
23 / 02_2 : _x000D_
23 / 03_2 : 1_x000D_
23 / 04_2 : 2 (corte = 4)_x000D_
23 / 05_2 : _x000D_
23 / 06_2 : _x000D_
23 / 07_2 : _x000D_
23 / 08_2 : _x000D_
23 / 09_2 : _x000D_
_x000D_
    TOTAL : ( 3 )_x000D_
  DIVISOR : 12_x000D_
    MÉDIA : ,25_x000D_
-----------------------------_x000D_
   Valores Desconsiderados_x000D_
-----------------------------_x000D_
23 / 04_2 : 2 (4)_x000D_
_x000D_
  TOTAL   : ( 2 )</t>
        </r>
      </text>
    </comment>
    <comment ref="AB401" authorId="0" shapeId="0" xr:uid="{F59AE53B-8B32-43C3-BBDA-CE38C9F0BB92}">
      <text>
        <r>
          <rPr>
            <sz val="10"/>
            <color indexed="81"/>
            <rFont val="Lucida Console"/>
            <family val="3"/>
          </rPr>
          <t>Última movimentação no estoque em 04/2023 quantidade 4.</t>
        </r>
      </text>
    </comment>
    <comment ref="R402" authorId="0" shapeId="0" xr:uid="{BBE9056B-9981-4038-96C6-07032B8B46B5}">
      <text>
        <r>
          <rPr>
            <sz val="10"/>
            <color indexed="81"/>
            <rFont val="Lucida Console"/>
            <family val="3"/>
          </rPr>
          <t>20.08.2009</t>
        </r>
      </text>
    </comment>
    <comment ref="Y402" authorId="0" shapeId="0" xr:uid="{B607EBD6-1773-432B-943B-20E0F2F3D018}">
      <text>
        <r>
          <rPr>
            <sz val="10"/>
            <color indexed="81"/>
            <rFont val="Courier New"/>
            <family val="3"/>
          </rPr>
          <t>_x000D_
    DESCRIÇÃO DO CÁLCULO_x000D_
Código    : 112.158_x000D_
Corte     : 43_x000D_
-----------------------------_x000D_
Pendente  : _x000D_
22 / 10_2 : 13_x000D_
22 / 11_2 : 14_x000D_
22 / 12_2 : 20_x000D_
23 / 01_2 : 19_x000D_
23 / 02_2 : 12_x000D_
23 / 03_2 : 25_x000D_
23 / 04_2 : 20_x000D_
23 / 05_2 : _x000D_
23 / 06_2 : 20_x000D_
23 / 07_2 : _x000D_
23 / 08_2 : _x000D_
23 / 09_2 : 43 (corte = 50)_x000D_
_x000D_
    TOTAL : ( 186 )_x000D_
  DIVISOR : 12_x000D_
    MÉDIA : 15,50_x000D_
-----------------------------_x000D_
   Valores Desconsiderados_x000D_
-----------------------------_x000D_
23 / 09_2 : 7 (50)_x000D_
_x000D_
  TOTAL   : ( 7 )</t>
        </r>
      </text>
    </comment>
    <comment ref="AB402" authorId="0" shapeId="0" xr:uid="{DF926F3B-AE05-442C-9233-E372D702339C}">
      <text>
        <r>
          <rPr>
            <sz val="10"/>
            <color indexed="81"/>
            <rFont val="Lucida Console"/>
            <family val="3"/>
          </rPr>
          <t>Última movimentação no estoque em 09/2023 quantidade 50.</t>
        </r>
      </text>
    </comment>
    <comment ref="R403" authorId="0" shapeId="0" xr:uid="{671112C6-5762-4E6B-8813-701E7D054A7A}">
      <text>
        <r>
          <rPr>
            <sz val="10"/>
            <color indexed="81"/>
            <rFont val="Lucida Console"/>
            <family val="3"/>
          </rPr>
          <t>20.08.2009</t>
        </r>
      </text>
    </comment>
    <comment ref="Y403" authorId="0" shapeId="0" xr:uid="{C2387EB1-0313-459C-8EA6-19FC5A7F25F7}">
      <text>
        <r>
          <rPr>
            <sz val="10"/>
            <color indexed="81"/>
            <rFont val="Courier New"/>
            <family val="3"/>
          </rPr>
          <t>_x000D_
    DESCRIÇÃO DO CÁLCULO_x000D_
Código    : 112.159_x000D_
Corte     : 19_x000D_
-----------------------------_x000D_
Pendente  : _x000D_
22 / 10_2 : 4_x000D_
22 / 11_2 : _x000D_
22 / 12_2 : 3_x000D_
23 / 01_2 : _x000D_
23 / 02_2 : 4_x000D_
23 / 03_2 : 1_x000D_
23 / 04_2 : 19 (corte = 20)_x000D_
23 / 05_2 : 19 (corte = 20)_x000D_
23 / 06_2 : _x000D_
23 / 07_2 : _x000D_
23 / 08_2 : _x000D_
23 / 09_2 : _x000D_
_x000D_
    TOTAL : ( 50 )_x000D_
  DIVISOR : 12_x000D_
    MÉDIA : 4,17_x000D_
-----------------------------_x000D_
   Valores Desconsiderados_x000D_
-----------------------------_x000D_
23 / 04_2 : 1 (20)_x000D_
23 / 05_2 : 1 (20)_x000D_
_x000D_
  TOTAL   : ( 2 )</t>
        </r>
      </text>
    </comment>
    <comment ref="AB403" authorId="0" shapeId="0" xr:uid="{1CD5A12A-80CD-44F8-962E-BD7716B0995A}">
      <text>
        <r>
          <rPr>
            <sz val="10"/>
            <color indexed="81"/>
            <rFont val="Lucida Console"/>
            <family val="3"/>
          </rPr>
          <t>Última movimentação no estoque em 05/2023 quantidade 20.</t>
        </r>
      </text>
    </comment>
    <comment ref="R404" authorId="0" shapeId="0" xr:uid="{2F58664F-D2D1-41C1-AA2B-E6B9CCD818EE}">
      <text>
        <r>
          <rPr>
            <sz val="10"/>
            <color indexed="81"/>
            <rFont val="Lucida Console"/>
            <family val="3"/>
          </rPr>
          <t>11.05.2009</t>
        </r>
      </text>
    </comment>
    <comment ref="Y404" authorId="0" shapeId="0" xr:uid="{958372C6-DC45-467F-B6FF-E4BAA998AC1C}">
      <text>
        <r>
          <rPr>
            <sz val="10"/>
            <color indexed="81"/>
            <rFont val="Courier New"/>
            <family val="3"/>
          </rPr>
          <t>_x000D_
    DESCRIÇÃO DO CÁLCULO_x000D_
Código    : 110.895_x000D_
Corte     : 59_x000D_
-----------------------------_x000D_
Pendente  : _x000D_
22 / 10_2 : 16_x000D_
22 / 11_2 : _x000D_
22 / 12_2 : 8_x000D_
23 / 01_2 : 10_x000D_
23 / 02_2 : 12_x000D_
23 / 03_2 : 29_x000D_
23 / 04_2 : 20_x000D_
23 / 05_2 : _x000D_
23 / 06_2 : 30_x000D_
23 / 07_2 : 59 (corte = 75)_x000D_
23 / 08_2 : _x000D_
23 / 09_2 : _x000D_
_x000D_
    TOTAL : ( 184 )_x000D_
  DIVISOR : 12_x000D_
    MÉDIA : 15,33_x000D_
-----------------------------_x000D_
   Valores Desconsiderados_x000D_
-----------------------------_x000D_
23 / 07_2 : 16 (75)_x000D_
_x000D_
  TOTAL   : ( 16 )</t>
        </r>
      </text>
    </comment>
    <comment ref="AB404" authorId="0" shapeId="0" xr:uid="{C2E5E0F4-5908-4115-BEB9-1CC0B8E8FC2B}">
      <text>
        <r>
          <rPr>
            <sz val="10"/>
            <color indexed="81"/>
            <rFont val="Lucida Console"/>
            <family val="3"/>
          </rPr>
          <t>Última movimentação no estoque em 07/2023 quantidade 75.</t>
        </r>
      </text>
    </comment>
    <comment ref="R405" authorId="0" shapeId="0" xr:uid="{937543B1-6959-437C-A24C-ECF723EE9484}">
      <text>
        <r>
          <rPr>
            <sz val="10"/>
            <color indexed="81"/>
            <rFont val="Lucida Console"/>
            <family val="3"/>
          </rPr>
          <t>01.01.1901</t>
        </r>
      </text>
    </comment>
    <comment ref="Y405" authorId="0" shapeId="0" xr:uid="{0684844E-6D0F-4DC9-909F-89C2AE37663A}">
      <text>
        <r>
          <rPr>
            <sz val="10"/>
            <color indexed="81"/>
            <rFont val="Courier New"/>
            <family val="3"/>
          </rPr>
          <t>_x000D_
    DESCRIÇÃO DO CÁLCULO_x000D_
Código    : 12.989_x000D_
Corte     : 80_x000D_
-----------------------------_x000D_
Pendente  : 100_x000D_
22 / 10_2 : 10_x000D_
22 / 11_2 : 7_x000D_
22 / 12_2 : _x000D_
23 / 01_2 : 68_x000D_
23 / 02_2 : 13_x000D_
23 / 03_2 : 13_x000D_
23 / 04_2 : 4_x000D_
23 / 05_2 : _x000D_
23 / 06_2 : _x000D_
23 / 07_2 : 16_x000D_
23 / 08_2 : _x000D_
23 / 09_2 : _x000D_
_x000D_
    TOTAL : ( 231 )_x000D_
  DIVISOR : 12_x000D_
    MÉDIA : 19,25</t>
        </r>
      </text>
    </comment>
    <comment ref="AB405" authorId="0" shapeId="0" xr:uid="{0D1BBD55-F67F-4782-93F6-C937352D02A4}">
      <text>
        <r>
          <rPr>
            <sz val="10"/>
            <color indexed="81"/>
            <rFont val="Lucida Console"/>
            <family val="3"/>
          </rPr>
          <t>Última movimentação no estoque em 07/2023 quantidade 16.</t>
        </r>
      </text>
    </comment>
    <comment ref="R406" authorId="0" shapeId="0" xr:uid="{5A00BEAE-CE77-4626-8CAD-674C61AEBE7D}">
      <text>
        <r>
          <rPr>
            <sz val="10"/>
            <color indexed="81"/>
            <rFont val="Lucida Console"/>
            <family val="3"/>
          </rPr>
          <t>11.05.2009</t>
        </r>
      </text>
    </comment>
    <comment ref="Y406" authorId="0" shapeId="0" xr:uid="{FDD79EB5-7612-449F-B896-3D09CE6A30D0}">
      <text>
        <r>
          <rPr>
            <sz val="10"/>
            <color indexed="81"/>
            <rFont val="Courier New"/>
            <family val="3"/>
          </rPr>
          <t>_x000D_
    DESCRIÇÃO DO CÁLCULO_x000D_
Código    : 110.896_x000D_
Corte     : 15_x000D_
-----------------------------_x000D_
Pendente  : _x000D_
22 / 10_2 : _x000D_
22 / 11_2 : 2_x000D_
22 / 12_2 : _x000D_
23 / 01_2 : _x000D_
23 / 02_2 : _x000D_
23 / 03_2 : 10_x000D_
23 / 04_2 : _x000D_
23 / 05_2 : _x000D_
23 / 06_2 : _x000D_
23 / 07_2 : _x000D_
23 / 08_2 : 15 (corte = 20)_x000D_
23 / 09_2 : _x000D_
_x000D_
    TOTAL : ( 27 )_x000D_
  DIVISOR : 12_x000D_
    MÉDIA : 2,25_x000D_
-----------------------------_x000D_
   Valores Desconsiderados_x000D_
-----------------------------_x000D_
23 / 08_2 : 5 (20)_x000D_
_x000D_
  TOTAL   : ( 5 )</t>
        </r>
      </text>
    </comment>
    <comment ref="AB406" authorId="0" shapeId="0" xr:uid="{AF7D1F5B-62C6-471D-9B13-A540A03083A5}">
      <text>
        <r>
          <rPr>
            <sz val="10"/>
            <color indexed="81"/>
            <rFont val="Lucida Console"/>
            <family val="3"/>
          </rPr>
          <t>Última movimentação no estoque em 08/2023 quantidade 20.</t>
        </r>
      </text>
    </comment>
    <comment ref="R407" authorId="0" shapeId="0" xr:uid="{81A70102-33FE-4203-8547-22478B4354D5}">
      <text>
        <r>
          <rPr>
            <sz val="10"/>
            <color indexed="81"/>
            <rFont val="Lucida Console"/>
            <family val="3"/>
          </rPr>
          <t>01.01.1901</t>
        </r>
      </text>
    </comment>
    <comment ref="Y407" authorId="0" shapeId="0" xr:uid="{F9B436F6-13AA-4EB2-A5EF-4C238293D491}">
      <text>
        <r>
          <rPr>
            <sz val="10"/>
            <color indexed="81"/>
            <rFont val="Courier New"/>
            <family val="3"/>
          </rPr>
          <t>_x000D_
    DESCRIÇÃO DO CÁLCULO_x000D_
Código    : 15.299_x000D_
Corte     : 85_x000D_
-----------------------------_x000D_
Pendente  : 84_x000D_
22 / 10_2 : 4_x000D_
22 / 11_2 : 16_x000D_
22 / 12_2 : 48_x000D_
23 / 01_2 : 56_x000D_
23 / 02_2 : 15_x000D_
23 / 03_2 : 50_x000D_
23 / 04_2 : 20_x000D_
23 / 05_2 : 4_x000D_
23 / 06_2 : 20_x000D_
23 / 07_2 : 50_x000D_
23 / 08_2 : 46_x000D_
23 / 09_2 : _x000D_
_x000D_
    TOTAL : ( 413 )_x000D_
  DIVISOR : 12_x000D_
    MÉDIA : 34,42</t>
        </r>
      </text>
    </comment>
    <comment ref="AB407" authorId="0" shapeId="0" xr:uid="{F6A7594B-697D-48C3-B80D-2BA56C65C418}">
      <text>
        <r>
          <rPr>
            <sz val="10"/>
            <color indexed="81"/>
            <rFont val="Lucida Console"/>
            <family val="3"/>
          </rPr>
          <t>Última movimentação no estoque em 08/2023 quantidade 46.</t>
        </r>
      </text>
    </comment>
    <comment ref="R408" authorId="0" shapeId="0" xr:uid="{811BE0EE-24ED-415B-A93D-A32C544B7B19}">
      <text>
        <r>
          <rPr>
            <sz val="10"/>
            <color indexed="81"/>
            <rFont val="Lucida Console"/>
            <family val="3"/>
          </rPr>
          <t>01.01.1901</t>
        </r>
      </text>
    </comment>
    <comment ref="Y408" authorId="0" shapeId="0" xr:uid="{193C5C2F-8761-4D6B-B042-B35D56386DC0}">
      <text>
        <r>
          <rPr>
            <sz val="10"/>
            <color indexed="81"/>
            <rFont val="Courier New"/>
            <family val="3"/>
          </rPr>
          <t>_x000D_
    DESCRIÇÃO DO CÁLCULO_x000D_
Código    : 12.992_x000D_
Corte     : 70_x000D_
-----------------------------_x000D_
Pendente  : 104_x000D_
22 / 10_2 : 1_x000D_
22 / 11_2 : 2_x000D_
22 / 12_2 : 2_x000D_
23 / 01_2 : 18_x000D_
23 / 02_2 : _x000D_
23 / 03_2 : 10_x000D_
23 / 04_2 : 18_x000D_
23 / 05_2 : _x000D_
23 / 06_2 : _x000D_
23 / 07_2 : 8_x000D_
23 / 08_2 : _x000D_
23 / 09_2 : _x000D_
_x000D_
    TOTAL : ( 163 )_x000D_
  DIVISOR : 12_x000D_
    MÉDIA : 13,58</t>
        </r>
      </text>
    </comment>
    <comment ref="AB408" authorId="0" shapeId="0" xr:uid="{886620A9-FFF7-4D16-A1EE-0E501FFBC2DD}">
      <text>
        <r>
          <rPr>
            <sz val="10"/>
            <color indexed="81"/>
            <rFont val="Lucida Console"/>
            <family val="3"/>
          </rPr>
          <t>Última movimentação no estoque em 07/2023 quantidade 8.</t>
        </r>
      </text>
    </comment>
    <comment ref="R409" authorId="0" shapeId="0" xr:uid="{53BCBAB1-4569-41CF-A7F0-252BDDF6DAA8}">
      <text>
        <r>
          <rPr>
            <sz val="10"/>
            <color indexed="81"/>
            <rFont val="Lucida Console"/>
            <family val="3"/>
          </rPr>
          <t>07.02.2011</t>
        </r>
      </text>
    </comment>
    <comment ref="Y409" authorId="0" shapeId="0" xr:uid="{A8B732EC-5396-4C35-868D-78F59368B7D0}">
      <text>
        <r>
          <rPr>
            <sz val="10"/>
            <color indexed="81"/>
            <rFont val="Courier New"/>
            <family val="3"/>
          </rPr>
          <t>_x000D_
    DESCRIÇÃO DO CÁLCULO_x000D_
Código    : 119.180_x000D_
Corte     : 22_x000D_
-----------------------------_x000D_
Pendente  : _x000D_
22 / 10_2 : 12_x000D_
22 / 11_2 : 3_x000D_
22 / 12_2 : _x000D_
23 / 01_2 : _x000D_
23 / 02_2 : _x000D_
23 / 03_2 : _x000D_
23 / 04_2 : 20_x000D_
23 / 05_2 : 22 (corte = 24)_x000D_
23 / 06_2 : _x000D_
23 / 07_2 : _x000D_
23 / 08_2 : _x000D_
23 / 09_2 : _x000D_
_x000D_
    TOTAL : ( 57 )_x000D_
  DIVISOR : 12_x000D_
    MÉDIA : 4,75_x000D_
-----------------------------_x000D_
   Valores Desconsiderados_x000D_
-----------------------------_x000D_
23 / 05_2 : 2 (24)_x000D_
_x000D_
  TOTAL   : ( 2 )</t>
        </r>
      </text>
    </comment>
    <comment ref="AB409" authorId="0" shapeId="0" xr:uid="{11153350-24A4-437B-882D-1590E88EA5B7}">
      <text>
        <r>
          <rPr>
            <sz val="10"/>
            <color indexed="81"/>
            <rFont val="Lucida Console"/>
            <family val="3"/>
          </rPr>
          <t>Última movimentação no estoque em 05/2023 quantidade 24.</t>
        </r>
      </text>
    </comment>
    <comment ref="R410" authorId="0" shapeId="0" xr:uid="{A36E650B-EA81-4D70-97E2-AACEA8985D5B}">
      <text>
        <r>
          <rPr>
            <sz val="10"/>
            <color indexed="81"/>
            <rFont val="Lucida Console"/>
            <family val="3"/>
          </rPr>
          <t>23.07.2015</t>
        </r>
      </text>
    </comment>
    <comment ref="Y410" authorId="0" shapeId="0" xr:uid="{A76F88BD-91AC-4B8D-8E39-F0B76E8128F3}">
      <text>
        <r>
          <rPr>
            <sz val="10"/>
            <color indexed="81"/>
            <rFont val="Courier New"/>
            <family val="3"/>
          </rPr>
          <t>_x000D_
    DESCRIÇÃO DO CÁLCULO_x000D_
Código    : 130.634_x000D_
Corte     : 355_x000D_
-----------------------------_x000D_
Pendente  : _x000D_
22 / 10_2 : 78_x000D_
22 / 11_2 : 4_x000D_
22 / 12_2 : 31_x000D_
23 / 01_2 : 10_x000D_
23 / 02_2 : 76_x000D_
23 / 03_2 : 209_x000D_
23 / 04_2 : 355 (corte = 409)_x000D_
23 / 05_2 : 54_x000D_
23 / 06_2 : 251_x000D_
23 / 07_2 : _x000D_
23 / 08_2 : 50_x000D_
23 / 09_2 : 125_x000D_
_x000D_
    TOTAL : ( 1.243 )_x000D_
  DIVISOR : 12_x000D_
    MÉDIA : 103,58_x000D_
-----------------------------_x000D_
   Valores Desconsiderados_x000D_
-----------------------------_x000D_
23 / 04_2 : 54 (409)_x000D_
_x000D_
  TOTAL   : ( 54 )</t>
        </r>
      </text>
    </comment>
    <comment ref="AB410" authorId="0" shapeId="0" xr:uid="{E24CC13B-E78D-40A4-B77F-B30224A2A7A8}">
      <text>
        <r>
          <rPr>
            <sz val="10"/>
            <color indexed="81"/>
            <rFont val="Lucida Console"/>
            <family val="3"/>
          </rPr>
          <t>Última movimentação no estoque em 09/2023 quantidade 125.</t>
        </r>
      </text>
    </comment>
    <comment ref="R411" authorId="0" shapeId="0" xr:uid="{62DCC2FD-278F-4FA8-BA87-AB5A1C8621BE}">
      <text>
        <r>
          <rPr>
            <sz val="10"/>
            <color indexed="81"/>
            <rFont val="Lucida Console"/>
            <family val="3"/>
          </rPr>
          <t>11.10.2006</t>
        </r>
      </text>
    </comment>
    <comment ref="Y411" authorId="0" shapeId="0" xr:uid="{0C277DB9-D2FB-414E-8C6D-BAEFD8BD382E}">
      <text>
        <r>
          <rPr>
            <sz val="10"/>
            <color indexed="81"/>
            <rFont val="Courier New"/>
            <family val="3"/>
          </rPr>
          <t>_x000D_
    DESCRIÇÃO DO CÁLCULO_x000D_
Código    : 95.121_x000D_
Corte     : 92_x000D_
-----------------------------_x000D_
Pendente  : 100_x000D_
22 / 10_2 : 40_x000D_
22 / 11_2 : 11_x000D_
22 / 12_2 : 49_x000D_
23 / 01_2 : 39_x000D_
23 / 02_2 : 20_x000D_
23 / 03_2 : 31_x000D_
23 / 04_2 : 65_x000D_
23 / 05_2 : 19_x000D_
23 / 06_2 : 21_x000D_
23 / 07_2 : _x000D_
23 / 08_2 : 50_x000D_
23 / 09_2 : _x000D_
_x000D_
    TOTAL : ( 445 )_x000D_
  DIVISOR : 12_x000D_
    MÉDIA : 37,08</t>
        </r>
      </text>
    </comment>
    <comment ref="AB411" authorId="0" shapeId="0" xr:uid="{8CA240E6-C8BB-4C41-A688-1DFEF44CA40A}">
      <text>
        <r>
          <rPr>
            <sz val="10"/>
            <color indexed="81"/>
            <rFont val="Lucida Console"/>
            <family val="3"/>
          </rPr>
          <t>Última movimentação no estoque em 08/2023 quantidade 50.</t>
        </r>
      </text>
    </comment>
    <comment ref="R412" authorId="0" shapeId="0" xr:uid="{7CC79DB7-78E2-4355-A421-C2F518866CA3}">
      <text>
        <r>
          <rPr>
            <sz val="10"/>
            <color indexed="81"/>
            <rFont val="Lucida Console"/>
            <family val="3"/>
          </rPr>
          <t>01.01.1901</t>
        </r>
      </text>
    </comment>
    <comment ref="Y412" authorId="0" shapeId="0" xr:uid="{74A12856-8C3D-4787-8CDD-CDB9558C28A5}">
      <text>
        <r>
          <rPr>
            <sz val="10"/>
            <color indexed="81"/>
            <rFont val="Courier New"/>
            <family val="3"/>
          </rPr>
          <t>_x000D_
    DESCRIÇÃO DO CÁLCULO_x000D_
Código    : 54.144_x000D_
Corte     : 77_x000D_
-----------------------------_x000D_
Pendente  : _x000D_
22 / 10_2 : 77 (corte = 90)_x000D_
22 / 11_2 : 35_x000D_
22 / 12_2 : 20_x000D_
23 / 01_2 : 20_x000D_
23 / 02_2 : 33_x000D_
23 / 03_2 : _x000D_
23 / 04_2 : 10_x000D_
23 / 05_2 : _x000D_
23 / 06_2 : 6_x000D_
23 / 07_2 : _x000D_
23 / 08_2 : 55_x000D_
23 / 09_2 : _x000D_
_x000D_
    TOTAL : ( 256 )_x000D_
  DIVISOR : 12_x000D_
    MÉDIA : 21,33_x000D_
-----------------------------_x000D_
   Valores Desconsiderados_x000D_
-----------------------------_x000D_
22 / 10_2 : 13 (90)_x000D_
_x000D_
  TOTAL   : ( 13 )</t>
        </r>
      </text>
    </comment>
    <comment ref="AB412" authorId="0" shapeId="0" xr:uid="{C6712E1A-9F5E-4585-B74A-81409C24E8EA}">
      <text>
        <r>
          <rPr>
            <sz val="10"/>
            <color indexed="81"/>
            <rFont val="Lucida Console"/>
            <family val="3"/>
          </rPr>
          <t>Última movimentação no estoque em 08/2023 quantidade 55.</t>
        </r>
      </text>
    </comment>
    <comment ref="R413" authorId="0" shapeId="0" xr:uid="{946019E3-C0F1-429A-9098-C1443495F21C}">
      <text>
        <r>
          <rPr>
            <sz val="10"/>
            <color indexed="81"/>
            <rFont val="Lucida Console"/>
            <family val="3"/>
          </rPr>
          <t>01.01.1901</t>
        </r>
      </text>
    </comment>
    <comment ref="Y413" authorId="0" shapeId="0" xr:uid="{6427D7FA-516A-4873-9FB9-D1963DE0C518}">
      <text>
        <r>
          <rPr>
            <sz val="10"/>
            <color indexed="81"/>
            <rFont val="Courier New"/>
            <family val="3"/>
          </rPr>
          <t>_x000D_
    DESCRIÇÃO DO CÁLCULO_x000D_
Código    : 54.018_x000D_
Corte     : 37_x000D_
-----------------------------_x000D_
Pendente  : _x000D_
22 / 10_2 : 37 (corte = 50)_x000D_
22 / 11_2 : 20_x000D_
22 / 12_2 : _x000D_
23 / 01_2 : 10_x000D_
23 / 02_2 : 10_x000D_
23 / 03_2 : _x000D_
23 / 04_2 : 10_x000D_
23 / 05_2 : _x000D_
23 / 06_2 : _x000D_
23 / 07_2 : _x000D_
23 / 08_2 : _x000D_
23 / 09_2 : _x000D_
_x000D_
    TOTAL : ( 87 )_x000D_
  DIVISOR : 12_x000D_
    MÉDIA : 7,25_x000D_
-----------------------------_x000D_
   Valores Desconsiderados_x000D_
-----------------------------_x000D_
22 / 10_2 : 13 (50)_x000D_
_x000D_
  TOTAL   : ( 13 )</t>
        </r>
      </text>
    </comment>
    <comment ref="AB413" authorId="0" shapeId="0" xr:uid="{C3B83343-D63C-4C34-84FF-5B5ADE4340EF}">
      <text>
        <r>
          <rPr>
            <sz val="10"/>
            <color indexed="81"/>
            <rFont val="Lucida Console"/>
            <family val="3"/>
          </rPr>
          <t>Última movimentação no estoque em 04/2023 quantidade 10.</t>
        </r>
      </text>
    </comment>
    <comment ref="R414" authorId="0" shapeId="0" xr:uid="{010C9972-A5D8-4F81-895B-5305AF4DC0B5}">
      <text>
        <r>
          <rPr>
            <sz val="10"/>
            <color indexed="81"/>
            <rFont val="Lucida Console"/>
            <family val="3"/>
          </rPr>
          <t>01.01.1901</t>
        </r>
      </text>
    </comment>
    <comment ref="Y414" authorId="0" shapeId="0" xr:uid="{9A830ABF-B056-4E68-9A14-E9839EE1E95F}">
      <text>
        <r>
          <rPr>
            <sz val="10"/>
            <color indexed="81"/>
            <rFont val="Courier New"/>
            <family val="3"/>
          </rPr>
          <t>_x000D_
    DESCRIÇÃO DO CÁLCULO_x000D_
Código    : 54.017_x000D_
Corte     : 54_x000D_
-----------------------------_x000D_
Pendente  : 12_x000D_
22 / 10_2 : 50_x000D_
22 / 11_2 : 20_x000D_
22 / 12_2 : 10_x000D_
23 / 01_2 : 50_x000D_
23 / 02_2 : 40_x000D_
23 / 03_2 : _x000D_
23 / 04_2 : 4_x000D_
23 / 05_2 : _x000D_
23 / 06_2 : _x000D_
23 / 07_2 : _x000D_
23 / 08_2 : _x000D_
23 / 09_2 : _x000D_
_x000D_
    TOTAL : ( 186 )_x000D_
  DIVISOR : 12_x000D_
    MÉDIA : 15,50</t>
        </r>
      </text>
    </comment>
    <comment ref="AB414" authorId="0" shapeId="0" xr:uid="{E0ADAE21-8380-4A47-92CA-443C32F29E24}">
      <text>
        <r>
          <rPr>
            <sz val="10"/>
            <color indexed="81"/>
            <rFont val="Lucida Console"/>
            <family val="3"/>
          </rPr>
          <t>Última movimentação no estoque em 04/2023 quantidade 4.</t>
        </r>
      </text>
    </comment>
    <comment ref="R415" authorId="0" shapeId="0" xr:uid="{AA43FB01-1BE1-4C3E-B558-8ED1ECC0B933}">
      <text>
        <r>
          <rPr>
            <sz val="10"/>
            <color indexed="81"/>
            <rFont val="Lucida Console"/>
            <family val="3"/>
          </rPr>
          <t>25.01.2008</t>
        </r>
      </text>
    </comment>
    <comment ref="Y415" authorId="0" shapeId="0" xr:uid="{4633494E-E16E-4790-B5FE-792FE3F0CD4F}">
      <text>
        <r>
          <rPr>
            <sz val="10"/>
            <color indexed="81"/>
            <rFont val="Courier New"/>
            <family val="3"/>
          </rPr>
          <t>_x000D_
    DESCRIÇÃO DO CÁLCULO_x000D_
Código    : 104.665_x000D_
Corte     : 5_x000D_
-----------------------------_x000D_
Pendente  : _x000D_
22 / 10_2 : 2_x000D_
22 / 11_2 : 1_x000D_
22 / 12_2 : 1_x000D_
23 / 01_2 : 1_x000D_
23 / 02_2 : 1_x000D_
23 / 03_2 : _x000D_
23 / 04_2 : _x000D_
23 / 05_2 : _x000D_
23 / 06_2 : 5 (corte = 7)_x000D_
23 / 07_2 : _x000D_
23 / 08_2 : 1_x000D_
23 / 09_2 : _x000D_
_x000D_
    TOTAL : ( 12 )_x000D_
  DIVISOR : 12_x000D_
    MÉDIA : 1,00_x000D_
-----------------------------_x000D_
   Valores Desconsiderados_x000D_
-----------------------------_x000D_
23 / 06_2 : 2 (7)_x000D_
_x000D_
  TOTAL   : ( 2 )</t>
        </r>
      </text>
    </comment>
    <comment ref="AB415" authorId="0" shapeId="0" xr:uid="{8BB708F9-A701-4C4B-8CE2-75FC3498E684}">
      <text>
        <r>
          <rPr>
            <sz val="10"/>
            <color indexed="81"/>
            <rFont val="Lucida Console"/>
            <family val="3"/>
          </rPr>
          <t>Última movimentação no estoque em 08/2023 quantidade 1.</t>
        </r>
      </text>
    </comment>
    <comment ref="R416" authorId="0" shapeId="0" xr:uid="{82F4EF74-B082-41AE-90CF-54DBC8A154C6}">
      <text>
        <r>
          <rPr>
            <sz val="10"/>
            <color indexed="81"/>
            <rFont val="Lucida Console"/>
            <family val="3"/>
          </rPr>
          <t>27.10.2009</t>
        </r>
      </text>
    </comment>
    <comment ref="Y416" authorId="0" shapeId="0" xr:uid="{E637372D-BF1A-46E6-9572-48F7C5757656}">
      <text>
        <r>
          <rPr>
            <sz val="10"/>
            <color indexed="81"/>
            <rFont val="Courier New"/>
            <family val="3"/>
          </rPr>
          <t>_x000D_
    DESCRIÇÃO DO CÁLCULO_x000D_
Código    : 113.238_x000D_
Corte     : 4_x000D_
-----------------------------_x000D_
Pendente  : _x000D_
22 / 10_2 : 1_x000D_
22 / 11_2 : 1_x000D_
22 / 12_2 : 1_x000D_
23 / 01_2 : 4_x000D_
23 / 02_2 : _x000D_
23 / 03_2 : _x000D_
23 / 04_2 : _x000D_
23 / 05_2 : 1_x000D_
23 / 06_2 : 4_x000D_
23 / 07_2 : 1_x000D_
23 / 08_2 : 3_x000D_
23 / 09_2 : _x000D_
_x000D_
    TOTAL : ( 16 )_x000D_
  DIVISOR : 12_x000D_
    MÉDIA : 1,33</t>
        </r>
      </text>
    </comment>
    <comment ref="AB416" authorId="0" shapeId="0" xr:uid="{8B0AC0A5-438D-4993-ABF3-B8B249BABE45}">
      <text>
        <r>
          <rPr>
            <sz val="10"/>
            <color indexed="81"/>
            <rFont val="Lucida Console"/>
            <family val="3"/>
          </rPr>
          <t>Última movimentação no estoque em 08/2023 quantidade 3.</t>
        </r>
      </text>
    </comment>
    <comment ref="R417" authorId="0" shapeId="0" xr:uid="{F6F62DC8-8007-46EC-B267-BA02B5088232}">
      <text>
        <r>
          <rPr>
            <sz val="10"/>
            <color indexed="81"/>
            <rFont val="Lucida Console"/>
            <family val="3"/>
          </rPr>
          <t>01.01.1901</t>
        </r>
      </text>
    </comment>
    <comment ref="Y417" authorId="0" shapeId="0" xr:uid="{7A7305B6-826B-471A-879B-5C7D8DD14FB9}">
      <text>
        <r>
          <rPr>
            <sz val="10"/>
            <color indexed="81"/>
            <rFont val="Courier New"/>
            <family val="3"/>
          </rPr>
          <t>_x000D_
    DESCRIÇÃO DO CÁLCULO_x000D_
Código    : 12.754_x000D_
Corte     : 198_x000D_
-----------------------------_x000D_
Pendente  : _x000D_
22 / 10_2 : 115_x000D_
22 / 11_2 : 81_x000D_
22 / 12_2 : 48_x000D_
23 / 01_2 : 48_x000D_
23 / 02_2 : 74_x000D_
23 / 03_2 : 192_x000D_
23 / 04_2 : 125_x000D_
23 / 05_2 : 138_x000D_
23 / 06_2 : 140_x000D_
23 / 07_2 : 137_x000D_
23 / 08_2 : 136_x000D_
23 / 09_2 : 127_x000D_
_x000D_
    TOTAL : ( 1.361 )_x000D_
  DIVISOR : 12_x000D_
    MÉDIA : 113,42</t>
        </r>
      </text>
    </comment>
    <comment ref="AB417" authorId="0" shapeId="0" xr:uid="{9AE49995-8E3F-4B8E-A621-653469845AFE}">
      <text>
        <r>
          <rPr>
            <sz val="10"/>
            <color indexed="81"/>
            <rFont val="Lucida Console"/>
            <family val="3"/>
          </rPr>
          <t>Última movimentação no estoque em 09/2023 quantidade 127.</t>
        </r>
      </text>
    </comment>
    <comment ref="R418" authorId="0" shapeId="0" xr:uid="{9D6442DF-6AAD-46D4-BEC7-231EC2122D58}">
      <text>
        <r>
          <rPr>
            <sz val="10"/>
            <color indexed="81"/>
            <rFont val="Lucida Console"/>
            <family val="3"/>
          </rPr>
          <t>15.03.2018</t>
        </r>
      </text>
    </comment>
    <comment ref="Y418" authorId="0" shapeId="0" xr:uid="{10D128FF-9E8D-41DE-8F24-C6CD6505CB5A}">
      <text>
        <r>
          <rPr>
            <sz val="10"/>
            <color indexed="81"/>
            <rFont val="Courier New"/>
            <family val="3"/>
          </rPr>
          <t>_x000D_
    DESCRIÇÃO DO CÁLCULO_x000D_
Código    : 134.560_x000D_
Corte     : 154_x000D_
-----------------------------_x000D_
Pendente  : _x000D_
22 / 10_2 : 26_x000D_
22 / 11_2 : 23_x000D_
22 / 12_2 : 52_x000D_
23 / 01_2 : 33_x000D_
23 / 02_2 : 11_x000D_
23 / 03_2 : 70_x000D_
23 / 04_2 : 65_x000D_
23 / 05_2 : _x000D_
23 / 06_2 : 50_x000D_
23 / 07_2 : 154 (corte = 200)_x000D_
23 / 08_2 : _x000D_
23 / 09_2 : _x000D_
_x000D_
    TOTAL : ( 484 )_x000D_
  DIVISOR : 12_x000D_
    MÉDIA : 40,33_x000D_
-----------------------------_x000D_
   Valores Desconsiderados_x000D_
-----------------------------_x000D_
23 / 07_2 : 46 (200)_x000D_
_x000D_
  TOTAL   : ( 46 )</t>
        </r>
      </text>
    </comment>
    <comment ref="AB418" authorId="0" shapeId="0" xr:uid="{2CFFDBFA-4C69-4820-90F2-6845EAA9F1B6}">
      <text>
        <r>
          <rPr>
            <sz val="10"/>
            <color indexed="81"/>
            <rFont val="Lucida Console"/>
            <family val="3"/>
          </rPr>
          <t>Última movimentação no estoque em 07/2023 quantidade 200.</t>
        </r>
      </text>
    </comment>
    <comment ref="R419" authorId="0" shapeId="0" xr:uid="{3507AA8F-FB3C-4CFE-AB41-D9FFF0DD238E}">
      <text>
        <r>
          <rPr>
            <sz val="10"/>
            <color indexed="81"/>
            <rFont val="Lucida Console"/>
            <family val="3"/>
          </rPr>
          <t>29.04.2019</t>
        </r>
      </text>
    </comment>
    <comment ref="Y419" authorId="0" shapeId="0" xr:uid="{E92E1013-155E-47DD-AE34-303F509AB08E}">
      <text>
        <r>
          <rPr>
            <sz val="10"/>
            <color indexed="81"/>
            <rFont val="Courier New"/>
            <family val="3"/>
          </rPr>
          <t>_x000D_
    DESCRIÇÃO DO CÁLCULO_x000D_
Código    : 136.895_x000D_
Corte     : 152_x000D_
-----------------------------_x000D_
Pendente  : _x000D_
22 / 10_2 : 8_x000D_
22 / 11_2 : 5_x000D_
22 / 12_2 : 13_x000D_
23 / 01_2 : 9_x000D_
23 / 02_2 : 40_x000D_
23 / 03_2 : 24_x000D_
23 / 04_2 : 94_x000D_
23 / 05_2 : 50_x000D_
23 / 06_2 : 140_x000D_
23 / 07_2 : 50_x000D_
23 / 08_2 : 30_x000D_
23 / 09_2 : 150_x000D_
_x000D_
    TOTAL : ( 613 )_x000D_
  DIVISOR : 12_x000D_
    MÉDIA : 51,08</t>
        </r>
      </text>
    </comment>
    <comment ref="AB419" authorId="0" shapeId="0" xr:uid="{FCDB40EA-6F23-4BEA-9EC8-64726005F934}">
      <text>
        <r>
          <rPr>
            <sz val="10"/>
            <color indexed="81"/>
            <rFont val="Lucida Console"/>
            <family val="3"/>
          </rPr>
          <t>Última movimentação no estoque em 09/2023 quantidade 150.</t>
        </r>
      </text>
    </comment>
    <comment ref="R420" authorId="0" shapeId="0" xr:uid="{158E1851-FD8C-4FDB-B7C0-701968A3863D}">
      <text>
        <r>
          <rPr>
            <sz val="10"/>
            <color indexed="81"/>
            <rFont val="Lucida Console"/>
            <family val="3"/>
          </rPr>
          <t>29.04.2019</t>
        </r>
      </text>
    </comment>
    <comment ref="Y420" authorId="0" shapeId="0" xr:uid="{4E0C509B-39C5-41EA-AFBD-3A1573E31FBB}">
      <text>
        <r>
          <rPr>
            <sz val="10"/>
            <color indexed="81"/>
            <rFont val="Courier New"/>
            <family val="3"/>
          </rPr>
          <t>_x000D_
    DESCRIÇÃO DO CÁLCULO_x000D_
Código    : 136.896_x000D_
Corte     : 221_x000D_
-----------------------------_x000D_
Pendente  : _x000D_
22 / 10_2 : 71_x000D_
22 / 11_2 : 35_x000D_
22 / 12_2 : 32_x000D_
23 / 01_2 : 65_x000D_
23 / 02_2 : 115_x000D_
23 / 03_2 : 42_x000D_
23 / 04_2 : 221 (corte = 224)_x000D_
23 / 05_2 : _x000D_
23 / 06_2 : 170_x000D_
23 / 07_2 : 150_x000D_
23 / 08_2 : 90_x000D_
23 / 09_2 : 100_x000D_
_x000D_
    TOTAL : ( 1.091 )_x000D_
  DIVISOR : 12_x000D_
    MÉDIA : 90,92_x000D_
-----------------------------_x000D_
   Valores Desconsiderados_x000D_
-----------------------------_x000D_
23 / 04_2 : 3 (224)_x000D_
_x000D_
  TOTAL   : ( 3 )</t>
        </r>
      </text>
    </comment>
    <comment ref="AB420" authorId="0" shapeId="0" xr:uid="{276500D8-8048-45BF-B6D9-1E2F1790FA66}">
      <text>
        <r>
          <rPr>
            <sz val="10"/>
            <color indexed="81"/>
            <rFont val="Lucida Console"/>
            <family val="3"/>
          </rPr>
          <t>Última movimentação no estoque em 09/2023 quantidade 100.</t>
        </r>
      </text>
    </comment>
    <comment ref="R421" authorId="0" shapeId="0" xr:uid="{0D6DDA09-51B7-4B2D-8193-04E656DAB1B6}">
      <text>
        <r>
          <rPr>
            <sz val="10"/>
            <color indexed="81"/>
            <rFont val="Lucida Console"/>
            <family val="3"/>
          </rPr>
          <t>23.02.2018</t>
        </r>
      </text>
    </comment>
    <comment ref="Y421" authorId="0" shapeId="0" xr:uid="{C462AD31-2199-491E-9076-537400E9DB0A}">
      <text>
        <r>
          <rPr>
            <sz val="10"/>
            <color indexed="81"/>
            <rFont val="Courier New"/>
            <family val="3"/>
          </rPr>
          <t>_x000D_
    DESCRIÇÃO DO CÁLCULO_x000D_
Código    : 134.373_x000D_
Corte     : 1.052_x000D_
-----------------------------_x000D_
Pendente  : 12_x000D_
22 / 10_2 : 550_x000D_
22 / 11_2 : 135_x000D_
22 / 12_2 : 400_x000D_
23 / 01_2 : 820_x000D_
23 / 02_2 : 475_x000D_
23 / 03_2 : 526_x000D_
23 / 04_2 : 925_x000D_
23 / 05_2 : 50_x000D_
23 / 06_2 : 375_x000D_
23 / 07_2 : 650_x000D_
23 / 08_2 : 660_x000D_
23 / 09_2 : 238_x000D_
_x000D_
    TOTAL : ( 5.816 )_x000D_
  DIVISOR : 12_x000D_
    MÉDIA : 484,67</t>
        </r>
      </text>
    </comment>
    <comment ref="AB421" authorId="0" shapeId="0" xr:uid="{00BC52C2-E61D-4D24-A459-C9285B74B24F}">
      <text>
        <r>
          <rPr>
            <sz val="10"/>
            <color indexed="81"/>
            <rFont val="Lucida Console"/>
            <family val="3"/>
          </rPr>
          <t>Última movimentação no estoque em 09/2023 quantidade 238.</t>
        </r>
      </text>
    </comment>
    <comment ref="R422" authorId="0" shapeId="0" xr:uid="{3F282DC7-41E3-43AE-BB0C-69CCFDEFADB8}">
      <text>
        <r>
          <rPr>
            <sz val="10"/>
            <color indexed="81"/>
            <rFont val="Lucida Console"/>
            <family val="3"/>
          </rPr>
          <t>18.05.2018</t>
        </r>
      </text>
    </comment>
    <comment ref="Y422" authorId="0" shapeId="0" xr:uid="{A2E25F45-BC57-48A8-8C00-1D3811258A5F}">
      <text>
        <r>
          <rPr>
            <sz val="10"/>
            <color indexed="81"/>
            <rFont val="Courier New"/>
            <family val="3"/>
          </rPr>
          <t>_x000D_
    DESCRIÇÃO DO CÁLCULO_x000D_
Código    : 135.088_x000D_
Corte     : 102_x000D_
-----------------------------_x000D_
Pendente  : _x000D_
22 / 10_2 : 50_x000D_
22 / 11_2 : _x000D_
22 / 12_2 : 75_x000D_
23 / 01_2 : 102 (corte = 125)_x000D_
23 / 02_2 : 3_x000D_
23 / 03_2 : _x000D_
23 / 04_2 : _x000D_
23 / 05_2 : 2_x000D_
23 / 06_2 : 2_x000D_
23 / 07_2 : _x000D_
23 / 08_2 : _x000D_
23 / 09_2 : _x000D_
_x000D_
    TOTAL : ( 234 )_x000D_
  DIVISOR : 12_x000D_
    MÉDIA : 19,50_x000D_
-----------------------------_x000D_
   Valores Desconsiderados_x000D_
-----------------------------_x000D_
23 / 01_2 : 23 (125)_x000D_
_x000D_
  TOTAL   : ( 23 )</t>
        </r>
      </text>
    </comment>
    <comment ref="AB422" authorId="0" shapeId="0" xr:uid="{C56F2C0F-C7E3-452A-B82C-B1253129295A}">
      <text>
        <r>
          <rPr>
            <sz val="10"/>
            <color indexed="81"/>
            <rFont val="Lucida Console"/>
            <family val="3"/>
          </rPr>
          <t>Última movimentação no estoque em 06/2023 quantidade 2.</t>
        </r>
      </text>
    </comment>
    <comment ref="R423" authorId="0" shapeId="0" xr:uid="{05BE6FA4-5C73-479B-9CFC-F8F9F83C6CE7}">
      <text>
        <r>
          <rPr>
            <sz val="10"/>
            <color indexed="81"/>
            <rFont val="Lucida Console"/>
            <family val="3"/>
          </rPr>
          <t>11.11.2016</t>
        </r>
      </text>
    </comment>
    <comment ref="Y423" authorId="0" shapeId="0" xr:uid="{AF04F475-D473-436B-856D-F19DA0AD9360}">
      <text>
        <r>
          <rPr>
            <sz val="10"/>
            <color indexed="81"/>
            <rFont val="Courier New"/>
            <family val="3"/>
          </rPr>
          <t>_x000D_
    DESCRIÇÃO DO CÁLCULO_x000D_
Código    : 132.300_x000D_
Corte     : 6.428_x000D_
-----------------------------_x000D_
Pendente  : 10_x000D_
22 / 10_2 : 264_x000D_
22 / 11_2 : 294_x000D_
22 / 12_2 : 174_x000D_
23 / 01_2 : 90_x000D_
23 / 02_2 : 217_x000D_
23 / 03_2 : 6.428 (corte = 9919)_x000D_
23 / 04_2 : 211_x000D_
23 / 05_2 : 211_x000D_
23 / 06_2 : 274_x000D_
23 / 07_2 : 341_x000D_
23 / 08_2 : 293_x000D_
23 / 09_2 : 227_x000D_
_x000D_
    TOTAL : ( 9.034 )_x000D_
  DIVISOR : 12_x000D_
    MÉDIA : 752,83_x000D_
-----------------------------_x000D_
   Valores Desconsiderados_x000D_
-----------------------------_x000D_
23 / 03_2 : 3.491 (9.919)_x000D_
_x000D_
  TOTAL   : ( 3.491 )</t>
        </r>
      </text>
    </comment>
    <comment ref="AB423" authorId="0" shapeId="0" xr:uid="{470F287F-B623-4EC9-8971-372EC2962D4C}">
      <text>
        <r>
          <rPr>
            <sz val="10"/>
            <color indexed="81"/>
            <rFont val="Lucida Console"/>
            <family val="3"/>
          </rPr>
          <t>Última movimentação no estoque em 09/2023 quantidade 227.</t>
        </r>
      </text>
    </comment>
    <comment ref="R424" authorId="0" shapeId="0" xr:uid="{7D2429AA-6FD7-4ED0-B694-31D4295800E4}">
      <text>
        <r>
          <rPr>
            <sz val="10"/>
            <color indexed="81"/>
            <rFont val="Lucida Console"/>
            <family val="3"/>
          </rPr>
          <t>26.06.2018</t>
        </r>
      </text>
    </comment>
    <comment ref="Y424" authorId="0" shapeId="0" xr:uid="{BE25D501-BFD7-4DB7-A638-7525C9B7E20C}">
      <text>
        <r>
          <rPr>
            <sz val="10"/>
            <color indexed="81"/>
            <rFont val="Courier New"/>
            <family val="3"/>
          </rPr>
          <t>_x000D_
    DESCRIÇÃO DO CÁLCULO_x000D_
Código    : 135.297_x000D_
Corte     : 8.288_x000D_
-----------------------------_x000D_
Pendente  : 29_x000D_
22 / 10_2 : 130_x000D_
22 / 11_2 : 176_x000D_
22 / 12_2 : 53_x000D_
23 / 01_2 : 75_x000D_
23 / 02_2 : _x000D_
23 / 03_2 : 8.288 (corte = 12925)_x000D_
23 / 04_2 : 69_x000D_
23 / 05_2 : 99_x000D_
23 / 06_2 : 122_x000D_
23 / 07_2 : 110_x000D_
23 / 08_2 : 141_x000D_
23 / 09_2 : 120_x000D_
_x000D_
    TOTAL : ( 9.412 )_x000D_
  DIVISOR : 12_x000D_
    MÉDIA : 784,33_x000D_
-----------------------------_x000D_
   Valores Desconsiderados_x000D_
-----------------------------_x000D_
23 / 03_2 : 4.637 (12.925)_x000D_
_x000D_
  TOTAL   : ( 4.637 )</t>
        </r>
      </text>
    </comment>
    <comment ref="AB424" authorId="0" shapeId="0" xr:uid="{5A56C503-3888-4EB7-9A40-DF415FD3AA4A}">
      <text>
        <r>
          <rPr>
            <sz val="10"/>
            <color indexed="81"/>
            <rFont val="Lucida Console"/>
            <family val="3"/>
          </rPr>
          <t>Última movimentação no estoque em 09/2023 quantidade 120.</t>
        </r>
      </text>
    </comment>
    <comment ref="R425" authorId="0" shapeId="0" xr:uid="{696949E4-E209-4CC3-8291-3ECFAF5FE27F}">
      <text>
        <r>
          <rPr>
            <sz val="10"/>
            <color indexed="81"/>
            <rFont val="Lucida Console"/>
            <family val="3"/>
          </rPr>
          <t>12.09.2019</t>
        </r>
      </text>
    </comment>
    <comment ref="Y425" authorId="0" shapeId="0" xr:uid="{5FCE1751-9396-42EB-BB16-0FA7A397816E}">
      <text>
        <r>
          <rPr>
            <sz val="10"/>
            <color indexed="81"/>
            <rFont val="Courier New"/>
            <family val="3"/>
          </rPr>
          <t>_x000D_
    DESCRIÇÃO DO CÁLCULO_x000D_
Código    : 138.463_x000D_
Corte     : 10.262_x000D_
-----------------------------_x000D_
Pendente  : 71_x000D_
22 / 10_2 : 485_x000D_
22 / 11_2 : 408_x000D_
22 / 12_2 : 166_x000D_
23 / 01_2 : 139_x000D_
23 / 02_2 : 8.245_x000D_
23 / 03_2 : 10.262 (corte = 13385)_x000D_
23 / 04_2 : 593_x000D_
23 / 05_2 : 364_x000D_
23 / 06_2 : 388_x000D_
23 / 07_2 : 366_x000D_
23 / 08_2 : 453_x000D_
23 / 09_2 : 368_x000D_
_x000D_
    TOTAL : ( 22.308 )_x000D_
  DIVISOR : 12_x000D_
    MÉDIA : 1.859,00_x000D_
-----------------------------_x000D_
   Valores Desconsiderados_x000D_
-----------------------------_x000D_
23 / 03_2 : 3.123 (13.385)_x000D_
_x000D_
  TOTAL   : ( 3.123 )</t>
        </r>
      </text>
    </comment>
    <comment ref="AB425" authorId="0" shapeId="0" xr:uid="{5638C696-D28C-4255-8CE0-B831A0D3C1C3}">
      <text>
        <r>
          <rPr>
            <sz val="10"/>
            <color indexed="81"/>
            <rFont val="Lucida Console"/>
            <family val="3"/>
          </rPr>
          <t>Última movimentação no estoque em 09/2023 quantidade 368.</t>
        </r>
      </text>
    </comment>
    <comment ref="R426" authorId="0" shapeId="0" xr:uid="{356B3730-7966-4FD0-A9A8-F2FC43C74941}">
      <text>
        <r>
          <rPr>
            <sz val="10"/>
            <color indexed="81"/>
            <rFont val="Lucida Console"/>
            <family val="3"/>
          </rPr>
          <t>12.09.2019</t>
        </r>
      </text>
    </comment>
    <comment ref="Y426" authorId="0" shapeId="0" xr:uid="{25405EAE-70E0-42E0-BBDB-5EB8E0DDD781}">
      <text>
        <r>
          <rPr>
            <sz val="10"/>
            <color indexed="81"/>
            <rFont val="Courier New"/>
            <family val="3"/>
          </rPr>
          <t>_x000D_
    DESCRIÇÃO DO CÁLCULO_x000D_
Código    : 138.464_x000D_
Corte     : 12.273_x000D_
-----------------------------_x000D_
Pendente  : 155_x000D_
22 / 10_2 : 5.505_x000D_
22 / 11_2 : 6.268_x000D_
22 / 12_2 : 3.056_x000D_
23 / 01_2 : 471_x000D_
23 / 02_2 : 5.228_x000D_
23 / 03_2 : 12.273 (corte = 14402)_x000D_
23 / 04_2 : 5.318_x000D_
23 / 05_2 : 4.895_x000D_
23 / 06_2 : 4.763_x000D_
23 / 07_2 : 4.754_x000D_
23 / 08_2 : 5.920_x000D_
23 / 09_2 : 4.814_x000D_
_x000D_
    TOTAL : ( 63.420 )_x000D_
  DIVISOR : 12_x000D_
    MÉDIA : 5.285,00_x000D_
-----------------------------_x000D_
   Valores Desconsiderados_x000D_
-----------------------------_x000D_
23 / 03_2 : 2.129 (14.402)_x000D_
_x000D_
  TOTAL   : ( 2.129 )</t>
        </r>
      </text>
    </comment>
    <comment ref="AB426" authorId="0" shapeId="0" xr:uid="{165F8A76-740D-414A-9605-B408B415703E}">
      <text>
        <r>
          <rPr>
            <sz val="10"/>
            <color indexed="81"/>
            <rFont val="Lucida Console"/>
            <family val="3"/>
          </rPr>
          <t>Última movimentação no estoque em 09/2023 quantidade 4.814.</t>
        </r>
      </text>
    </comment>
    <comment ref="R427" authorId="0" shapeId="0" xr:uid="{F3733518-1659-4272-923A-7CFB50802C50}">
      <text>
        <r>
          <rPr>
            <sz val="10"/>
            <color indexed="81"/>
            <rFont val="Lucida Console"/>
            <family val="3"/>
          </rPr>
          <t>08.08.2016</t>
        </r>
      </text>
    </comment>
    <comment ref="Y427" authorId="0" shapeId="0" xr:uid="{F040A05F-D4C0-4D8C-BE31-BA44F35BDE44}">
      <text>
        <r>
          <rPr>
            <sz val="10"/>
            <color indexed="81"/>
            <rFont val="Courier New"/>
            <family val="3"/>
          </rPr>
          <t>_x000D_
    DESCRIÇÃO DO CÁLCULO_x000D_
Código    : 131.927_x000D_
Corte     : 2.389_x000D_
-----------------------------_x000D_
Pendente  : 495_x000D_
22 / 10_2 : 255_x000D_
22 / 11_2 : 278_x000D_
22 / 12_2 : 493_x000D_
23 / 01_2 : 203_x000D_
23 / 02_2 : 223_x000D_
23 / 03_2 : 2.389 (corte = 3575)_x000D_
23 / 04_2 : 15_x000D_
23 / 05_2 : _x000D_
23 / 06_2 : 76_x000D_
23 / 07_2 : _x000D_
23 / 08_2 : _x000D_
23 / 09_2 : _x000D_
_x000D_
    TOTAL : ( 4.427 )_x000D_
  DIVISOR : 12_x000D_
    MÉDIA : 368,92_x000D_
-----------------------------_x000D_
   Valores Desconsiderados_x000D_
-----------------------------_x000D_
23 / 03_2 : 1.186 (3.575)_x000D_
_x000D_
  TOTAL   : ( 1.186 )</t>
        </r>
      </text>
    </comment>
    <comment ref="AB427" authorId="0" shapeId="0" xr:uid="{7E6D0713-DD67-4BCF-BF45-E970401D585D}">
      <text>
        <r>
          <rPr>
            <sz val="10"/>
            <color indexed="81"/>
            <rFont val="Lucida Console"/>
            <family val="3"/>
          </rPr>
          <t>Última movimentação no estoque em 06/2023 quantidade 76.</t>
        </r>
      </text>
    </comment>
    <comment ref="R428" authorId="0" shapeId="0" xr:uid="{B07C1F7A-F8A9-47D3-8678-EFE69B7839DD}">
      <text>
        <r>
          <rPr>
            <sz val="10"/>
            <color indexed="81"/>
            <rFont val="Lucida Console"/>
            <family val="3"/>
          </rPr>
          <t>08.08.2016</t>
        </r>
      </text>
    </comment>
    <comment ref="Y428" authorId="0" shapeId="0" xr:uid="{30628D3B-0D58-47AC-A3E4-B6AB453A1EAA}">
      <text>
        <r>
          <rPr>
            <sz val="10"/>
            <color indexed="81"/>
            <rFont val="Courier New"/>
            <family val="3"/>
          </rPr>
          <t>_x000D_
    DESCRIÇÃO DO CÁLCULO_x000D_
Código    : 131.926_x000D_
Corte     : 829_x000D_
-----------------------------_x000D_
Pendente  : 662_x000D_
22 / 10_2 : _x000D_
22 / 11_2 : 58_x000D_
22 / 12_2 : _x000D_
23 / 01_2 : _x000D_
23 / 02_2 : _x000D_
23 / 03_2 : _x000D_
23 / 04_2 : _x000D_
23 / 05_2 : _x000D_
23 / 06_2 : 137_x000D_
23 / 07_2 : 466_x000D_
23 / 08_2 : 673_x000D_
23 / 09_2 : 728_x000D_
_x000D_
    TOTAL : ( 2.724 )_x000D_
  DIVISOR : 12_x000D_
    MÉDIA : 227,00</t>
        </r>
      </text>
    </comment>
    <comment ref="AB428" authorId="0" shapeId="0" xr:uid="{737BCF4B-2735-4D98-ABBC-D0880A17E254}">
      <text>
        <r>
          <rPr>
            <sz val="10"/>
            <color indexed="81"/>
            <rFont val="Lucida Console"/>
            <family val="3"/>
          </rPr>
          <t>Última movimentação no estoque em 09/2023 quantidade 728.</t>
        </r>
      </text>
    </comment>
    <comment ref="R429" authorId="0" shapeId="0" xr:uid="{56263295-F6D5-48E6-8916-FD16D2CDD522}">
      <text>
        <r>
          <rPr>
            <sz val="10"/>
            <color indexed="81"/>
            <rFont val="Lucida Console"/>
            <family val="3"/>
          </rPr>
          <t>20.11.2020</t>
        </r>
      </text>
    </comment>
    <comment ref="Y429" authorId="0" shapeId="0" xr:uid="{8751C195-8AF8-4026-A938-FF9ACFA0865E}">
      <text>
        <r>
          <rPr>
            <sz val="10"/>
            <color indexed="81"/>
            <rFont val="Courier New"/>
            <family val="3"/>
          </rPr>
          <t>_x000D_
    DESCRIÇÃO DO CÁLCULO_x000D_
Código    : 140.283_x000D_
Corte     : 12_x000D_
-----------------------------_x000D_
Pendente  : _x000D_
22 / 10_2 : 2_x000D_
22 / 11_2 : 1_x000D_
22 / 12_2 : 2_x000D_
23 / 01_2 : 5_x000D_
23 / 02_2 : 12_x000D_
23 / 03_2 : 3_x000D_
23 / 04_2 : 12 (corte = 13)_x000D_
23 / 05_2 : 1_x000D_
23 / 06_2 : _x000D_
23 / 07_2 : _x000D_
23 / 08_2 : _x000D_
23 / 09_2 : _x000D_
_x000D_
    TOTAL : ( 38 )_x000D_
  DIVISOR : 12_x000D_
    MÉDIA : 3,17_x000D_
-----------------------------_x000D_
   Valores Desconsiderados_x000D_
-----------------------------_x000D_
23 / 04_2 : 1 (13)_x000D_
_x000D_
  TOTAL   : ( 1 )</t>
        </r>
      </text>
    </comment>
    <comment ref="AB429" authorId="0" shapeId="0" xr:uid="{13EDCA87-B151-458C-A009-B5ECF75F5ED3}">
      <text>
        <r>
          <rPr>
            <sz val="10"/>
            <color indexed="81"/>
            <rFont val="Lucida Console"/>
            <family val="3"/>
          </rPr>
          <t>Última movimentação no estoque em 05/2023 quantidade 1.</t>
        </r>
      </text>
    </comment>
    <comment ref="R430" authorId="0" shapeId="0" xr:uid="{5BF908D1-BF52-4670-9180-0145F366AD45}">
      <text>
        <r>
          <rPr>
            <sz val="10"/>
            <color indexed="81"/>
            <rFont val="Lucida Console"/>
            <family val="3"/>
          </rPr>
          <t>25.04.2017</t>
        </r>
      </text>
    </comment>
    <comment ref="Y430" authorId="0" shapeId="0" xr:uid="{62E57117-DBDA-4A2B-91A4-D6B51291331D}">
      <text>
        <r>
          <rPr>
            <sz val="10"/>
            <color indexed="81"/>
            <rFont val="Courier New"/>
            <family val="3"/>
          </rPr>
          <t>_x000D_
    DESCRIÇÃO DO CÁLCULO_x000D_
Código    : 132.624_x000D_
Corte     : 3_x000D_
-----------------------------_x000D_
Pendente  : _x000D_
22 / 10_2 : _x000D_
22 / 11_2 : 2_x000D_
22 / 12_2 : _x000D_
23 / 01_2 : 3 (corte = 4)_x000D_
23 / 02_2 : _x000D_
23 / 03_2 : 1_x000D_
23 / 04_2 : _x000D_
23 / 05_2 : 1_x000D_
23 / 06_2 : 1_x000D_
23 / 07_2 : _x000D_
23 / 08_2 : 2_x000D_
23 / 09_2 : _x000D_
_x000D_
    TOTAL : ( 10 )_x000D_
  DIVISOR : 12_x000D_
    MÉDIA : ,83_x000D_
-----------------------------_x000D_
   Valores Desconsiderados_x000D_
-----------------------------_x000D_
23 / 01_2 : 1 (4)_x000D_
_x000D_
  TOTAL   : ( 1 )</t>
        </r>
      </text>
    </comment>
    <comment ref="AB430" authorId="0" shapeId="0" xr:uid="{F4EA1103-AD46-4DB6-888C-C437E222A31E}">
      <text>
        <r>
          <rPr>
            <sz val="10"/>
            <color indexed="81"/>
            <rFont val="Lucida Console"/>
            <family val="3"/>
          </rPr>
          <t>Última movimentação no estoque em 08/2023 quantidade 2.</t>
        </r>
      </text>
    </comment>
    <comment ref="R431" authorId="0" shapeId="0" xr:uid="{448DB16D-14B2-4F2F-A897-49DA5D8D0EDB}">
      <text>
        <r>
          <rPr>
            <sz val="10"/>
            <color indexed="81"/>
            <rFont val="Lucida Console"/>
            <family val="3"/>
          </rPr>
          <t>01.01.1901</t>
        </r>
      </text>
    </comment>
    <comment ref="Y431" authorId="0" shapeId="0" xr:uid="{ECBD2722-484D-4CBA-81D4-7C2CABCD9F56}">
      <text>
        <r>
          <rPr>
            <sz val="10"/>
            <color indexed="81"/>
            <rFont val="Courier New"/>
            <family val="3"/>
          </rPr>
          <t>_x000D_
    DESCRIÇÃO DO CÁLCULO_x000D_
Código    : 10.359_x000D_
Corte     : 282_x000D_
-----------------------------_x000D_
Pendente  : _x000D_
22 / 10_2 : 200_x000D_
22 / 11_2 : 172_x000D_
22 / 12_2 : 218_x000D_
23 / 01_2 : 243_x000D_
23 / 02_2 : 178_x000D_
23 / 03_2 : 237_x000D_
23 / 04_2 : 239_x000D_
23 / 05_2 : 260_x000D_
23 / 06_2 : 235_x000D_
23 / 07_2 : 216_x000D_
23 / 08_2 : 262_x000D_
23 / 09_2 : 238_x000D_
_x000D_
    TOTAL : ( 2.698 )_x000D_
  DIVISOR : 12_x000D_
    MÉDIA : 224,83</t>
        </r>
      </text>
    </comment>
    <comment ref="AB431" authorId="0" shapeId="0" xr:uid="{F45F9267-1E9D-4CC1-9BBA-083BF933C84A}">
      <text>
        <r>
          <rPr>
            <sz val="10"/>
            <color indexed="81"/>
            <rFont val="Lucida Console"/>
            <family val="3"/>
          </rPr>
          <t>Última movimentação no estoque em 09/2023 quantidade 238.</t>
        </r>
      </text>
    </comment>
    <comment ref="R432" authorId="0" shapeId="0" xr:uid="{14D12146-3175-4BBA-B5CD-242B1837D31C}">
      <text>
        <r>
          <rPr>
            <sz val="10"/>
            <color indexed="81"/>
            <rFont val="Lucida Console"/>
            <family val="3"/>
          </rPr>
          <t>01.01.1901</t>
        </r>
      </text>
    </comment>
    <comment ref="Y432" authorId="0" shapeId="0" xr:uid="{BC172F62-C5C5-4100-B141-690A6B6A76C8}">
      <text>
        <r>
          <rPr>
            <sz val="10"/>
            <color indexed="81"/>
            <rFont val="Courier New"/>
            <family val="3"/>
          </rPr>
          <t>_x000D_
    DESCRIÇÃO DO CÁLCULO_x000D_
Código    : 4.680_x000D_
Corte     : 3.211_x000D_
-----------------------------_x000D_
Pendente  : 44_x000D_
22 / 10_2 : 1.781_x000D_
22 / 11_2 : 1.754_x000D_
22 / 12_2 : 1.378_x000D_
23 / 01_2 : 303_x000D_
23 / 02_2 : 1.316_x000D_
23 / 03_2 : 2.517_x000D_
23 / 04_2 : 1.508_x000D_
23 / 05_2 : 2.019_x000D_
23 / 06_2 : 2.078_x000D_
23 / 07_2 : 1.881_x000D_
23 / 08_2 : 2.320_x000D_
23 / 09_2 : 2.111_x000D_
_x000D_
    TOTAL : ( 21.010 )_x000D_
  DIVISOR : 12_x000D_
    MÉDIA : 1.750,83</t>
        </r>
      </text>
    </comment>
    <comment ref="AB432" authorId="0" shapeId="0" xr:uid="{572B1256-A75D-4DF1-AB16-2724465DFFFE}">
      <text>
        <r>
          <rPr>
            <sz val="10"/>
            <color indexed="81"/>
            <rFont val="Lucida Console"/>
            <family val="3"/>
          </rPr>
          <t>Última movimentação no estoque em 09/2023 quantidade 2.111.</t>
        </r>
      </text>
    </comment>
    <comment ref="R433" authorId="0" shapeId="0" xr:uid="{C4186BB8-4ADB-4FC2-89D0-879468F19CB5}">
      <text>
        <r>
          <rPr>
            <sz val="10"/>
            <color indexed="81"/>
            <rFont val="Lucida Console"/>
            <family val="3"/>
          </rPr>
          <t>01.01.1901</t>
        </r>
      </text>
    </comment>
    <comment ref="Y433" authorId="0" shapeId="0" xr:uid="{0657B318-FD28-49BF-8409-8D0E9144A97A}">
      <text>
        <r>
          <rPr>
            <sz val="10"/>
            <color indexed="81"/>
            <rFont val="Courier New"/>
            <family val="3"/>
          </rPr>
          <t>_x000D_
    DESCRIÇÃO DO CÁLCULO_x000D_
Código    : 2.278_x000D_
Corte     : _x000D_
-----------------------------_x000D_
Pendente  : _x000D_
22 / 10_2 :  (corte = 1)_x000D_
22 / 11_2 : 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10_2 : 1 (1)_x000D_
_x000D_
  TOTAL   : ( 1 )</t>
        </r>
      </text>
    </comment>
    <comment ref="AB433" authorId="0" shapeId="0" xr:uid="{B8EB038C-0802-47A1-B3D1-6BBBE2902404}">
      <text>
        <r>
          <rPr>
            <sz val="10"/>
            <color indexed="81"/>
            <rFont val="Lucida Console"/>
            <family val="3"/>
          </rPr>
          <t>Última movimentação no estoque em 10/2022 quantidade 1.</t>
        </r>
      </text>
    </comment>
    <comment ref="R434" authorId="0" shapeId="0" xr:uid="{A9D7A8B3-DEAC-4D69-809E-43DE6721BE47}">
      <text>
        <r>
          <rPr>
            <sz val="10"/>
            <color indexed="81"/>
            <rFont val="Lucida Console"/>
            <family val="3"/>
          </rPr>
          <t>20.09.2017</t>
        </r>
      </text>
    </comment>
    <comment ref="Y434" authorId="0" shapeId="0" xr:uid="{CFDC5E3C-1051-4838-9F5D-197FB80B58F4}">
      <text>
        <r>
          <rPr>
            <sz val="10"/>
            <color indexed="81"/>
            <rFont val="Courier New"/>
            <family val="3"/>
          </rPr>
          <t>_x000D_
    DESCRIÇÃO DO CÁLCULO_x000D_
Código    : 133.451_x000D_
Corte     : 263_x000D_
-----------------------------_x000D_
Pendente  : _x000D_
22 / 10_2 : 263 (corte = 347)_x000D_
22 / 11_2 : 71_x000D_
22 / 12_2 : 30_x000D_
23 / 01_2 : 112_x000D_
23 / 02_2 : 90_x000D_
23 / 03_2 : 133_x000D_
23 / 04_2 : 71_x000D_
23 / 05_2 : 72_x000D_
23 / 06_2 : 65_x000D_
23 / 07_2 : 42_x000D_
23 / 08_2 : 53_x000D_
23 / 09_2 : 52_x000D_
_x000D_
    TOTAL : ( 1.054 )_x000D_
  DIVISOR : 12_x000D_
    MÉDIA : 87,83_x000D_
-----------------------------_x000D_
   Valores Desconsiderados_x000D_
-----------------------------_x000D_
22 / 10_2 : 84 (347)_x000D_
_x000D_
  TOTAL   : ( 84 )</t>
        </r>
      </text>
    </comment>
    <comment ref="AB434" authorId="0" shapeId="0" xr:uid="{375E379F-4116-4CA9-A7A2-67EF52D91753}">
      <text>
        <r>
          <rPr>
            <sz val="10"/>
            <color indexed="81"/>
            <rFont val="Lucida Console"/>
            <family val="3"/>
          </rPr>
          <t>Última movimentação no estoque em 09/2023 quantidade 52.</t>
        </r>
      </text>
    </comment>
    <comment ref="R435" authorId="0" shapeId="0" xr:uid="{FB567C71-353C-4956-9D2A-67D6EAE39F17}">
      <text>
        <r>
          <rPr>
            <sz val="10"/>
            <color indexed="81"/>
            <rFont val="Lucida Console"/>
            <family val="3"/>
          </rPr>
          <t>20.09.2017</t>
        </r>
      </text>
    </comment>
    <comment ref="Y435" authorId="0" shapeId="0" xr:uid="{FA5BA4C2-ADB6-4E12-8CF6-B49FEF1D0499}">
      <text>
        <r>
          <rPr>
            <sz val="10"/>
            <color indexed="81"/>
            <rFont val="Courier New"/>
            <family val="3"/>
          </rPr>
          <t>_x000D_
    DESCRIÇÃO DO CÁLCULO_x000D_
Código    : 133.450_x000D_
Corte     : 98_x000D_
-----------------------------_x000D_
Pendente  : _x000D_
22 / 10_2 : 40_x000D_
22 / 11_2 : 55_x000D_
22 / 12_2 : 36_x000D_
23 / 01_2 : 90_x000D_
23 / 02_2 : 72_x000D_
23 / 03_2 : 98_x000D_
23 / 04_2 : 58_x000D_
23 / 05_2 : 58_x000D_
23 / 06_2 : 58_x000D_
23 / 07_2 : 35_x000D_
23 / 08_2 : 41_x000D_
23 / 09_2 : 40_x000D_
_x000D_
    TOTAL : ( 681 )_x000D_
  DIVISOR : 12_x000D_
    MÉDIA : 56,75</t>
        </r>
      </text>
    </comment>
    <comment ref="AB435" authorId="0" shapeId="0" xr:uid="{0D4BB216-11A6-4184-95D7-8A81177C635C}">
      <text>
        <r>
          <rPr>
            <sz val="10"/>
            <color indexed="81"/>
            <rFont val="Lucida Console"/>
            <family val="3"/>
          </rPr>
          <t>Última movimentação no estoque em 09/2023 quantidade 40.</t>
        </r>
      </text>
    </comment>
    <comment ref="R436" authorId="0" shapeId="0" xr:uid="{C257D15C-3FB8-4AED-BE0A-AA2452442B6A}">
      <text>
        <r>
          <rPr>
            <sz val="10"/>
            <color indexed="81"/>
            <rFont val="Lucida Console"/>
            <family val="3"/>
          </rPr>
          <t>01.01.1901</t>
        </r>
      </text>
    </comment>
    <comment ref="Y436" authorId="0" shapeId="0" xr:uid="{420533D3-C8A0-466A-A796-7BFC95A50724}">
      <text>
        <r>
          <rPr>
            <sz val="10"/>
            <color indexed="81"/>
            <rFont val="Courier New"/>
            <family val="3"/>
          </rPr>
          <t>_x000D_
    DESCRIÇÃO DO CÁLCULO_x000D_
Código    : 12.018_x000D_
Corte     : 27_x000D_
-----------------------------_x000D_
Pendente  : _x000D_
22 / 10_2 : 5_x000D_
22 / 11_2 : 17_x000D_
22 / 12_2 : 7_x000D_
23 / 01_2 : 17_x000D_
23 / 02_2 : 15_x000D_
23 / 03_2 : 27_x000D_
23 / 04_2 : 14_x000D_
23 / 05_2 : 17_x000D_
23 / 06_2 : 23_x000D_
23 / 07_2 : 12_x000D_
23 / 08_2 : 18_x000D_
23 / 09_2 : 13_x000D_
_x000D_
    TOTAL : ( 185 )_x000D_
  DIVISOR : 12_x000D_
    MÉDIA : 15,42</t>
        </r>
      </text>
    </comment>
    <comment ref="AB436" authorId="0" shapeId="0" xr:uid="{8F386903-A3DD-4FD9-BF6C-ECBD08D2CC97}">
      <text>
        <r>
          <rPr>
            <sz val="10"/>
            <color indexed="81"/>
            <rFont val="Lucida Console"/>
            <family val="3"/>
          </rPr>
          <t>Última movimentação no estoque em 09/2023 quantidade 13.</t>
        </r>
      </text>
    </comment>
    <comment ref="R437" authorId="0" shapeId="0" xr:uid="{0522BB77-1DB4-4134-9FE3-F7A7440ADF6A}">
      <text>
        <r>
          <rPr>
            <sz val="10"/>
            <color indexed="81"/>
            <rFont val="Lucida Console"/>
            <family val="3"/>
          </rPr>
          <t>01.01.1901</t>
        </r>
      </text>
    </comment>
    <comment ref="Y437" authorId="0" shapeId="0" xr:uid="{DB392563-32D0-4A06-9AB6-540A2110F55B}">
      <text>
        <r>
          <rPr>
            <sz val="10"/>
            <color indexed="81"/>
            <rFont val="Courier New"/>
            <family val="3"/>
          </rPr>
          <t>_x000D_
    DESCRIÇÃO DO CÁLCULO_x000D_
Código    : 60.973_x000D_
Corte     : 23_x000D_
-----------------------------_x000D_
Pendente  : 5_x000D_
22 / 10_2 : 6_x000D_
22 / 11_2 : _x000D_
22 / 12_2 : 10_x000D_
23 / 01_2 : 20_x000D_
23 / 02_2 : 23 (corte = 27)_x000D_
23 / 03_2 : _x000D_
23 / 04_2 : _x000D_
23 / 05_2 : _x000D_
23 / 06_2 : _x000D_
23 / 07_2 : _x000D_
23 / 08_2 : _x000D_
23 / 09_2 : _x000D_
_x000D_
    TOTAL : ( 64 )_x000D_
  DIVISOR : 12_x000D_
    MÉDIA : 5,33_x000D_
-----------------------------_x000D_
   Valores Desconsiderados_x000D_
-----------------------------_x000D_
23 / 02_2 : 4 (27)_x000D_
_x000D_
  TOTAL   : ( 4 )</t>
        </r>
      </text>
    </comment>
    <comment ref="AB437" authorId="0" shapeId="0" xr:uid="{96BD5D32-8374-4E7F-8446-C9F32A1F06E7}">
      <text>
        <r>
          <rPr>
            <sz val="10"/>
            <color indexed="81"/>
            <rFont val="Lucida Console"/>
            <family val="3"/>
          </rPr>
          <t>Última movimentação no estoque em 02/2023 quantidade 27.</t>
        </r>
      </text>
    </comment>
    <comment ref="R438" authorId="0" shapeId="0" xr:uid="{B3305A14-F967-491A-AB93-AF2ABEB15521}">
      <text>
        <r>
          <rPr>
            <sz val="10"/>
            <color indexed="81"/>
            <rFont val="Lucida Console"/>
            <family val="3"/>
          </rPr>
          <t>01.01.1901</t>
        </r>
      </text>
    </comment>
    <comment ref="Y438" authorId="0" shapeId="0" xr:uid="{9B67D7C1-86F0-4F48-9426-0A4868A7B4E4}">
      <text>
        <r>
          <rPr>
            <sz val="10"/>
            <color indexed="81"/>
            <rFont val="Courier New"/>
            <family val="3"/>
          </rPr>
          <t>_x000D_
    DESCRIÇÃO DO CÁLCULO_x000D_
Código    : 24.551_x000D_
Corte     : 19_x000D_
-----------------------------_x000D_
Pendente  : 22_x000D_
22 / 10_2 : 6_x000D_
22 / 11_2 : _x000D_
22 / 12_2 : 10_x000D_
23 / 01_2 : 18_x000D_
23 / 02_2 : _x000D_
23 / 03_2 : _x000D_
23 / 04_2 : _x000D_
23 / 05_2 : _x000D_
23 / 06_2 : _x000D_
23 / 07_2 : _x000D_
23 / 08_2 : _x000D_
23 / 09_2 : _x000D_
_x000D_
    TOTAL : ( 56 )_x000D_
  DIVISOR : 12_x000D_
    MÉDIA : 4,67</t>
        </r>
      </text>
    </comment>
    <comment ref="AB438" authorId="0" shapeId="0" xr:uid="{B3160336-F1E0-4385-A8C4-08F3718C988F}">
      <text>
        <r>
          <rPr>
            <sz val="10"/>
            <color indexed="81"/>
            <rFont val="Lucida Console"/>
            <family val="3"/>
          </rPr>
          <t>Última movimentação no estoque em 01/2023 quantidade 18.</t>
        </r>
      </text>
    </comment>
    <comment ref="R439" authorId="0" shapeId="0" xr:uid="{6054A58E-9BCE-440B-9D44-FA512BF6125F}">
      <text>
        <r>
          <rPr>
            <sz val="10"/>
            <color indexed="81"/>
            <rFont val="Lucida Console"/>
            <family val="3"/>
          </rPr>
          <t>01.01.1901</t>
        </r>
      </text>
    </comment>
    <comment ref="Y439" authorId="0" shapeId="0" xr:uid="{46EA35BC-E892-4459-B5A1-2F9A246B0858}">
      <text>
        <r>
          <rPr>
            <sz val="10"/>
            <color indexed="81"/>
            <rFont val="Courier New"/>
            <family val="3"/>
          </rPr>
          <t>_x000D_
    DESCRIÇÃO DO CÁLCULO_x000D_
Código    : 13.218_x000D_
Corte     : _x000D_
-----------------------------_x000D_
Pendente  : _x000D_
22 / 10_2 : _x000D_
22 / 11_2 : _x000D_
22 / 12_2 : _x000D_
23 / 01_2 : _x000D_
23 / 02_2 : _x000D_
23 / 03_2 : _x000D_
23 / 04_2 :  (corte = 1)_x000D_
23 / 05_2 : _x000D_
23 / 06_2 : _x000D_
23 / 07_2 : _x000D_
23 / 08_2 : _x000D_
23 / 09_2 : _x000D_
_x000D_
    TOTAL : (  )_x000D_
  DIVISOR : 12_x000D_
    MÉDIA : ,00_x000D_
-----------------------------_x000D_
   Valores Desconsiderados_x000D_
-----------------------------_x000D_
23 / 04_2 : 1 (1)_x000D_
_x000D_
  TOTAL   : ( 1 )</t>
        </r>
      </text>
    </comment>
    <comment ref="AB439" authorId="0" shapeId="0" xr:uid="{B5B827F2-D4F9-4988-A97F-116660F80FF8}">
      <text>
        <r>
          <rPr>
            <sz val="10"/>
            <color indexed="81"/>
            <rFont val="Lucida Console"/>
            <family val="3"/>
          </rPr>
          <t>Última movimentação no estoque em 04/2023 quantidade 1.</t>
        </r>
      </text>
    </comment>
    <comment ref="R440" authorId="0" shapeId="0" xr:uid="{1711E4D6-9F83-47FD-9FE8-2F7F5D7998CB}">
      <text>
        <r>
          <rPr>
            <sz val="10"/>
            <color indexed="81"/>
            <rFont val="Lucida Console"/>
            <family val="3"/>
          </rPr>
          <t>01.01.1901</t>
        </r>
      </text>
    </comment>
    <comment ref="Y440" authorId="0" shapeId="0" xr:uid="{C3493E76-29C4-4EF9-81BA-D7D036437469}">
      <text>
        <r>
          <rPr>
            <sz val="10"/>
            <color indexed="81"/>
            <rFont val="Courier New"/>
            <family val="3"/>
          </rPr>
          <t>_x000D_
    DESCRIÇÃO DO CÁLCULO_x000D_
Código    : 17.662_x000D_
Corte     : 6_x000D_
-----------------------------_x000D_
Pendente  : _x000D_
22 / 10_2 : _x000D_
22 / 11_2 : 6 (corte = 10)_x000D_
22 / 12_2 : _x000D_
23 / 01_2 : _x000D_
23 / 02_2 : _x000D_
23 / 03_2 : _x000D_
23 / 04_2 : _x000D_
23 / 05_2 : _x000D_
23 / 06_2 : _x000D_
23 / 07_2 : _x000D_
23 / 08_2 : _x000D_
23 / 09_2 : _x000D_
_x000D_
    TOTAL : ( 6 )_x000D_
  DIVISOR : 12_x000D_
    MÉDIA : ,50_x000D_
-----------------------------_x000D_
   Valores Desconsiderados_x000D_
-----------------------------_x000D_
22 / 11_2 : 4 (10)_x000D_
_x000D_
  TOTAL   : ( 4 )</t>
        </r>
      </text>
    </comment>
    <comment ref="AB440" authorId="0" shapeId="0" xr:uid="{042B4FDE-5D79-4810-8B1F-8515C278A66E}">
      <text>
        <r>
          <rPr>
            <sz val="10"/>
            <color indexed="81"/>
            <rFont val="Lucida Console"/>
            <family val="3"/>
          </rPr>
          <t>Última movimentação no estoque em 11/2022 quantidade 10.</t>
        </r>
      </text>
    </comment>
    <comment ref="R441" authorId="0" shapeId="0" xr:uid="{18C23AF1-452D-41A2-9427-37B82D3BDDC9}">
      <text>
        <r>
          <rPr>
            <sz val="10"/>
            <color indexed="81"/>
            <rFont val="Lucida Console"/>
            <family val="3"/>
          </rPr>
          <t>01.01.1901</t>
        </r>
      </text>
    </comment>
    <comment ref="Y441" authorId="0" shapeId="0" xr:uid="{A4021DF2-5E72-4F29-AACE-09CB33470D8F}">
      <text>
        <r>
          <rPr>
            <sz val="10"/>
            <color indexed="81"/>
            <rFont val="Courier New"/>
            <family val="3"/>
          </rPr>
          <t>_x000D_
    DESCRIÇÃO DO CÁLCULO_x000D_
Código    : 13.066_x000D_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441" authorId="0" shapeId="0" xr:uid="{1DCA6F90-71A1-4E4F-98DE-F7870F8D230A}">
      <text>
        <r>
          <rPr>
            <sz val="10"/>
            <color indexed="81"/>
            <rFont val="Lucida Console"/>
            <family val="3"/>
          </rPr>
          <t>Última movimentação no estoque em 05/2023 quantidade 10.</t>
        </r>
      </text>
    </comment>
    <comment ref="R442" authorId="0" shapeId="0" xr:uid="{133ACF69-B6A4-41E5-ADCC-08A0F1EE9323}">
      <text>
        <r>
          <rPr>
            <sz val="10"/>
            <color indexed="81"/>
            <rFont val="Lucida Console"/>
            <family val="3"/>
          </rPr>
          <t>01.01.1901</t>
        </r>
      </text>
    </comment>
    <comment ref="Y442" authorId="0" shapeId="0" xr:uid="{986F2B18-79D0-4C80-8396-607F433383D6}">
      <text>
        <r>
          <rPr>
            <sz val="10"/>
            <color indexed="81"/>
            <rFont val="Courier New"/>
            <family val="3"/>
          </rPr>
          <t>_x000D_
    DESCRIÇÃO DO CÁLCULO_x000D_
Código    : 13.087_x000D_
Corte     : 19_x000D_
-----------------------------_x000D_
Pendente  : _x000D_
22 / 10_2 : 10_x000D_
22 / 11_2 : 10_x000D_
22 / 12_2 : _x000D_
23 / 01_2 : _x000D_
23 / 02_2 : 19 (corte = 20)_x000D_
23 / 03_2 : _x000D_
23 / 04_2 : _x000D_
23 / 05_2 : 15_x000D_
23 / 06_2 : _x000D_
23 / 07_2 : _x000D_
23 / 08_2 : _x000D_
23 / 09_2 : _x000D_
_x000D_
    TOTAL : ( 54 )_x000D_
  DIVISOR : 12_x000D_
    MÉDIA : 4,50_x000D_
-----------------------------_x000D_
   Valores Desconsiderados_x000D_
-----------------------------_x000D_
23 / 02_2 : 1 (20)_x000D_
_x000D_
  TOTAL   : ( 1 )</t>
        </r>
      </text>
    </comment>
    <comment ref="AB442" authorId="0" shapeId="0" xr:uid="{381A8C71-3B7E-4239-B9BA-85E992C22A72}">
      <text>
        <r>
          <rPr>
            <sz val="10"/>
            <color indexed="81"/>
            <rFont val="Lucida Console"/>
            <family val="3"/>
          </rPr>
          <t>Última movimentação no estoque em 05/2023 quantidade 15.</t>
        </r>
      </text>
    </comment>
    <comment ref="R443" authorId="0" shapeId="0" xr:uid="{58660B8E-9CD8-4ECE-8BEF-E56FBD010591}">
      <text>
        <r>
          <rPr>
            <sz val="10"/>
            <color indexed="81"/>
            <rFont val="Lucida Console"/>
            <family val="3"/>
          </rPr>
          <t>01.01.1901</t>
        </r>
      </text>
    </comment>
    <comment ref="Y443" authorId="0" shapeId="0" xr:uid="{C9D8A061-0F18-4FC1-BDF2-81A19188E0A5}">
      <text>
        <r>
          <rPr>
            <sz val="10"/>
            <color indexed="81"/>
            <rFont val="Courier New"/>
            <family val="3"/>
          </rPr>
          <t>_x000D_
    DESCRIÇÃO DO CÁLCULO_x000D_
Código    : 13.088_x000D_
Corte     : 21_x000D_
-----------------------------_x000D_
Pendente  : _x000D_
22 / 10_2 : _x000D_
22 / 11_2 : _x000D_
22 / 12_2 : _x000D_
23 / 01_2 : _x000D_
23 / 02_2 : 15_x000D_
23 / 03_2 : _x000D_
23 / 04_2 : _x000D_
23 / 05_2 : 21 (corte = 29)_x000D_
23 / 06_2 : _x000D_
23 / 07_2 : _x000D_
23 / 08_2 : _x000D_
23 / 09_2 : _x000D_
_x000D_
    TOTAL : ( 36 )_x000D_
  DIVISOR : 12_x000D_
    MÉDIA : 3,00_x000D_
-----------------------------_x000D_
   Valores Desconsiderados_x000D_
-----------------------------_x000D_
23 / 05_2 : 8 (29)_x000D_
_x000D_
  TOTAL   : ( 8 )</t>
        </r>
      </text>
    </comment>
    <comment ref="AB443" authorId="0" shapeId="0" xr:uid="{62A75627-81F3-4BBF-A775-C5580EC8DB56}">
      <text>
        <r>
          <rPr>
            <sz val="10"/>
            <color indexed="81"/>
            <rFont val="Lucida Console"/>
            <family val="3"/>
          </rPr>
          <t>Última movimentação no estoque em 05/2023 quantidade 29.</t>
        </r>
      </text>
    </comment>
    <comment ref="R444" authorId="0" shapeId="0" xr:uid="{CFD9B2FE-AF00-4EF0-93F6-7D11F697C910}">
      <text>
        <r>
          <rPr>
            <sz val="10"/>
            <color indexed="81"/>
            <rFont val="Lucida Console"/>
            <family val="3"/>
          </rPr>
          <t>01.01.1901</t>
        </r>
      </text>
    </comment>
    <comment ref="Y444" authorId="0" shapeId="0" xr:uid="{99910C9D-D7E8-441C-965B-FCF78ECEF049}">
      <text>
        <r>
          <rPr>
            <sz val="10"/>
            <color indexed="81"/>
            <rFont val="Courier New"/>
            <family val="3"/>
          </rPr>
          <t>_x000D_
    DESCRIÇÃO DO CÁLCULO_x000D_
Código    : 35.555_x000D_
Corte     : 39_x000D_
-----------------------------_x000D_
Pendente  : _x000D_
22 / 10_2 : _x000D_
22 / 11_2 : _x000D_
22 / 12_2 : _x000D_
23 / 01_2 : _x000D_
23 / 02_2 : _x000D_
23 / 03_2 : 20_x000D_
23 / 04_2 : 39 (corte = 55)_x000D_
23 / 05_2 : _x000D_
23 / 06_2 : _x000D_
23 / 07_2 : _x000D_
23 / 08_2 : _x000D_
23 / 09_2 : _x000D_
_x000D_
    TOTAL : ( 59 )_x000D_
  DIVISOR : 12_x000D_
    MÉDIA : 4,92_x000D_
-----------------------------_x000D_
   Valores Desconsiderados_x000D_
-----------------------------_x000D_
23 / 04_2 : 16 (55)_x000D_
_x000D_
  TOTAL   : ( 16 )</t>
        </r>
      </text>
    </comment>
    <comment ref="AB444" authorId="0" shapeId="0" xr:uid="{18CD566A-01C5-49F6-AAA9-83E3E7E77E35}">
      <text>
        <r>
          <rPr>
            <sz val="10"/>
            <color indexed="81"/>
            <rFont val="Lucida Console"/>
            <family val="3"/>
          </rPr>
          <t>Última movimentação no estoque em 04/2023 quantidade 55.</t>
        </r>
      </text>
    </comment>
    <comment ref="R445" authorId="0" shapeId="0" xr:uid="{831BE4EC-F5C8-4FAF-B477-EC0F15A43EC0}">
      <text>
        <r>
          <rPr>
            <sz val="10"/>
            <color indexed="81"/>
            <rFont val="Lucida Console"/>
            <family val="3"/>
          </rPr>
          <t>01.01.1901</t>
        </r>
      </text>
    </comment>
    <comment ref="Y445" authorId="0" shapeId="0" xr:uid="{CB3BDC91-C125-4E28-999E-71DF1B1BEE30}">
      <text>
        <r>
          <rPr>
            <sz val="10"/>
            <color indexed="81"/>
            <rFont val="Courier New"/>
            <family val="3"/>
          </rPr>
          <t>_x000D_
    DESCRIÇÃO DO CÁLCULO_x000D_
Código    : 35.554_x000D_
Corte     : 28_x000D_
-----------------------------_x000D_
Pendente  : 35_x000D_
22 / 10_2 : _x000D_
22 / 11_2 : _x000D_
22 / 12_2 : _x000D_
23 / 01_2 : _x000D_
23 / 02_2 : 11_x000D_
23 / 03_2 : 22_x000D_
23 / 04_2 : 5_x000D_
23 / 05_2 : _x000D_
23 / 06_2 : _x000D_
23 / 07_2 : _x000D_
23 / 08_2 : _x000D_
23 / 09_2 : _x000D_
_x000D_
    TOTAL : ( 73 )_x000D_
  DIVISOR : 12_x000D_
    MÉDIA : 6,08</t>
        </r>
      </text>
    </comment>
    <comment ref="AB445" authorId="0" shapeId="0" xr:uid="{F9DF0D60-CA72-44AF-8D75-AC4D17F3B919}">
      <text>
        <r>
          <rPr>
            <sz val="10"/>
            <color indexed="81"/>
            <rFont val="Lucida Console"/>
            <family val="3"/>
          </rPr>
          <t>Última movimentação no estoque em 04/2023 quantidade 5.</t>
        </r>
      </text>
    </comment>
    <comment ref="R446" authorId="0" shapeId="0" xr:uid="{93B2C4E6-0BC0-41E6-A509-14D612349B4F}">
      <text>
        <r>
          <rPr>
            <sz val="10"/>
            <color indexed="81"/>
            <rFont val="Lucida Console"/>
            <family val="3"/>
          </rPr>
          <t>01.01.1901</t>
        </r>
      </text>
    </comment>
    <comment ref="Y446" authorId="0" shapeId="0" xr:uid="{2F2C887B-1C3C-4A8E-87A7-5ACF2FC94669}">
      <text>
        <r>
          <rPr>
            <sz val="10"/>
            <color indexed="81"/>
            <rFont val="Courier New"/>
            <family val="3"/>
          </rPr>
          <t>_x000D_
    DESCRIÇÃO DO CÁLCULO_x000D_
Código    : 35.550_x000D_
Corte     : 43_x000D_
-----------------------------_x000D_
Pendente  : _x000D_
22 / 10_2 : _x000D_
22 / 11_2 : _x000D_
22 / 12_2 : _x000D_
23 / 01_2 : _x000D_
23 / 02_2 : 10_x000D_
23 / 03_2 : 1_x000D_
23 / 04_2 : 43 (corte = 65)_x000D_
23 / 05_2 : _x000D_
23 / 06_2 : _x000D_
23 / 07_2 : _x000D_
23 / 08_2 : _x000D_
23 / 09_2 : _x000D_
_x000D_
    TOTAL : ( 54 )_x000D_
  DIVISOR : 12_x000D_
    MÉDIA : 4,50_x000D_
-----------------------------_x000D_
   Valores Desconsiderados_x000D_
-----------------------------_x000D_
23 / 04_2 : 22 (65)_x000D_
_x000D_
  TOTAL   : ( 22 )</t>
        </r>
      </text>
    </comment>
    <comment ref="AB446" authorId="0" shapeId="0" xr:uid="{7FBC2AF1-FE3B-45E1-BD75-CF2AB53E4426}">
      <text>
        <r>
          <rPr>
            <sz val="10"/>
            <color indexed="81"/>
            <rFont val="Lucida Console"/>
            <family val="3"/>
          </rPr>
          <t>Última movimentação no estoque em 04/2023 quantidade 65.</t>
        </r>
      </text>
    </comment>
    <comment ref="R447" authorId="0" shapeId="0" xr:uid="{B81EEBD2-8142-423B-9E62-9A1A4E832C66}">
      <text>
        <r>
          <rPr>
            <sz val="10"/>
            <color indexed="81"/>
            <rFont val="Lucida Console"/>
            <family val="3"/>
          </rPr>
          <t>01.01.1901</t>
        </r>
      </text>
    </comment>
    <comment ref="Y447" authorId="0" shapeId="0" xr:uid="{1827C615-C82A-4C81-9F3D-DA7E5941FF2D}">
      <text>
        <r>
          <rPr>
            <sz val="10"/>
            <color indexed="81"/>
            <rFont val="Courier New"/>
            <family val="3"/>
          </rPr>
          <t>_x000D_
    DESCRIÇÃO DO CÁLCULO_x000D_
Código    : 17.698_x000D_
Corte     : 90_x000D_
-----------------------------_x000D_
Pendente  : 30_x000D_
22 / 10_2 : _x000D_
22 / 11_2 : _x000D_
22 / 12_2 : _x000D_
23 / 01_2 : 60_x000D_
23 / 02_2 : 4_x000D_
23 / 03_2 : 78_x000D_
23 / 04_2 : 3_x000D_
23 / 05_2 : 76_x000D_
23 / 06_2 : 60_x000D_
23 / 07_2 : 23_x000D_
23 / 08_2 : _x000D_
23 / 09_2 : _x000D_
_x000D_
    TOTAL : ( 334 )_x000D_
  DIVISOR : 12_x000D_
    MÉDIA : 27,83</t>
        </r>
      </text>
    </comment>
    <comment ref="AB447" authorId="0" shapeId="0" xr:uid="{89155899-9B7C-4AD2-A410-AE666FF8CFC4}">
      <text>
        <r>
          <rPr>
            <sz val="10"/>
            <color indexed="81"/>
            <rFont val="Lucida Console"/>
            <family val="3"/>
          </rPr>
          <t>Última movimentação no estoque em 07/2023 quantidade 23.</t>
        </r>
      </text>
    </comment>
    <comment ref="R448" authorId="0" shapeId="0" xr:uid="{E8B5FFD8-4D65-43F1-89AB-61F51C0E166F}">
      <text>
        <r>
          <rPr>
            <sz val="10"/>
            <color indexed="81"/>
            <rFont val="Lucida Console"/>
            <family val="3"/>
          </rPr>
          <t>01.01.1901</t>
        </r>
      </text>
    </comment>
    <comment ref="Y448" authorId="0" shapeId="0" xr:uid="{24F6576C-4C4E-484B-9B17-B39817938852}">
      <text>
        <r>
          <rPr>
            <sz val="10"/>
            <color indexed="81"/>
            <rFont val="Courier New"/>
            <family val="3"/>
          </rPr>
          <t>_x000D_
    DESCRIÇÃO DO CÁLCULO_x000D_
Código    : 17.696_x000D_
Corte     : 25_x000D_
-----------------------------_x000D_
Pendente  : 27_x000D_
22 / 10_2 : 25 (corte = 29)_x000D_
22 / 11_2 : _x000D_
22 / 12_2 : _x000D_
23 / 01_2 : _x000D_
23 / 02_2 : _x000D_
23 / 03_2 : _x000D_
23 / 04_2 : _x000D_
23 / 05_2 : _x000D_
23 / 06_2 : _x000D_
23 / 07_2 : _x000D_
23 / 08_2 : _x000D_
23 / 09_2 : _x000D_
_x000D_
    TOTAL : ( 52 )_x000D_
  DIVISOR : 12_x000D_
    MÉDIA : 4,33_x000D_
-----------------------------_x000D_
   Valores Desconsiderados_x000D_
-----------------------------_x000D_
22 / 10_2 : 4 (29)_x000D_
_x000D_
  TOTAL   : ( 4 )</t>
        </r>
      </text>
    </comment>
    <comment ref="AB448" authorId="0" shapeId="0" xr:uid="{CA8AE00A-1391-4BF0-8DCC-60EC38DBA1F4}">
      <text>
        <r>
          <rPr>
            <sz val="10"/>
            <color indexed="81"/>
            <rFont val="Lucida Console"/>
            <family val="3"/>
          </rPr>
          <t>Última movimentação no estoque em 10/2022 quantidade 29.</t>
        </r>
      </text>
    </comment>
    <comment ref="R449" authorId="0" shapeId="0" xr:uid="{9E58F55A-8C8E-4C57-9601-8B44F77E52EA}">
      <text>
        <r>
          <rPr>
            <sz val="10"/>
            <color indexed="81"/>
            <rFont val="Lucida Console"/>
            <family val="3"/>
          </rPr>
          <t>01.01.1901</t>
        </r>
      </text>
    </comment>
    <comment ref="Y449" authorId="0" shapeId="0" xr:uid="{129AE0BD-48F0-480A-AD7B-184378CA30AF}">
      <text>
        <r>
          <rPr>
            <sz val="10"/>
            <color indexed="81"/>
            <rFont val="Courier New"/>
            <family val="3"/>
          </rPr>
          <t>_x000D_
    DESCRIÇÃO DO CÁLCULO_x000D_
Código    : 13.101_x000D_
Corte     : 28_x000D_
-----------------------------_x000D_
Pendente  : _x000D_
22 / 10_2 : _x000D_
22 / 11_2 : 28 (corte = 30)_x000D_
22 / 12_2 : 20_x000D_
23 / 01_2 : 11_x000D_
23 / 02_2 : 5_x000D_
23 / 03_2 : 20_x000D_
23 / 04_2 : 10_x000D_
23 / 05_2 : 1_x000D_
23 / 06_2 : _x000D_
23 / 07_2 : _x000D_
23 / 08_2 : _x000D_
23 / 09_2 : 10_x000D_
_x000D_
    TOTAL : ( 105 )_x000D_
  DIVISOR : 12_x000D_
    MÉDIA : 8,75_x000D_
-----------------------------_x000D_
   Valores Desconsiderados_x000D_
-----------------------------_x000D_
22 / 11_2 : 2 (30)_x000D_
_x000D_
  TOTAL   : ( 2 )</t>
        </r>
      </text>
    </comment>
    <comment ref="AB449" authorId="0" shapeId="0" xr:uid="{89D03975-AE16-4904-BC31-BA019AEE2232}">
      <text>
        <r>
          <rPr>
            <sz val="10"/>
            <color indexed="81"/>
            <rFont val="Lucida Console"/>
            <family val="3"/>
          </rPr>
          <t>Última movimentação no estoque em 09/2023 quantidade 10.</t>
        </r>
      </text>
    </comment>
    <comment ref="R450" authorId="0" shapeId="0" xr:uid="{B456644E-9597-479B-8D82-4EA019DA3FBB}">
      <text>
        <r>
          <rPr>
            <sz val="10"/>
            <color indexed="81"/>
            <rFont val="Lucida Console"/>
            <family val="3"/>
          </rPr>
          <t>01.01.1901</t>
        </r>
      </text>
    </comment>
    <comment ref="Y450" authorId="0" shapeId="0" xr:uid="{A73B3100-BAEC-46B3-95DD-97CA0A30ECC1}">
      <text>
        <r>
          <rPr>
            <sz val="10"/>
            <color indexed="81"/>
            <rFont val="Courier New"/>
            <family val="3"/>
          </rPr>
          <t>_x000D_
    DESCRIÇÃO DO CÁLCULO_x000D_
Código    : 13.109_x000D_
Corte     : 72_x000D_
-----------------------------_x000D_
Pendente  : 29_x000D_
22 / 10_2 : 12_x000D_
22 / 11_2 : 72 (corte = 102)_x000D_
22 / 12_2 : 14_x000D_
23 / 01_2 : 24_x000D_
23 / 02_2 : _x000D_
23 / 03_2 : _x000D_
23 / 04_2 : _x000D_
23 / 05_2 : _x000D_
23 / 06_2 : _x000D_
23 / 07_2 : 12_x000D_
23 / 08_2 : _x000D_
23 / 09_2 : _x000D_
_x000D_
    TOTAL : ( 163 )_x000D_
  DIVISOR : 12_x000D_
    MÉDIA : 13,58_x000D_
-----------------------------_x000D_
   Valores Desconsiderados_x000D_
-----------------------------_x000D_
22 / 11_2 : 30 (102)_x000D_
_x000D_
  TOTAL   : ( 30 )</t>
        </r>
      </text>
    </comment>
    <comment ref="AB450" authorId="0" shapeId="0" xr:uid="{D580C9D5-FB8E-4EFC-BAFC-8F59EDF07E44}">
      <text>
        <r>
          <rPr>
            <sz val="10"/>
            <color indexed="81"/>
            <rFont val="Lucida Console"/>
            <family val="3"/>
          </rPr>
          <t>Última movimentação no estoque em 07/2023 quantidade 12.</t>
        </r>
      </text>
    </comment>
    <comment ref="R451" authorId="0" shapeId="0" xr:uid="{A0834B57-7006-4A32-828F-C92A45BA67EE}">
      <text>
        <r>
          <rPr>
            <sz val="10"/>
            <color indexed="81"/>
            <rFont val="Lucida Console"/>
            <family val="3"/>
          </rPr>
          <t>07.11.2005</t>
        </r>
      </text>
    </comment>
    <comment ref="Y451" authorId="0" shapeId="0" xr:uid="{F0234232-32E8-4E62-B473-4FBE61B7AF7A}">
      <text>
        <r>
          <rPr>
            <sz val="10"/>
            <color indexed="81"/>
            <rFont val="Courier New"/>
            <family val="3"/>
          </rPr>
          <t>_x000D_
    DESCRIÇÃO DO CÁLCULO_x000D_
Código    : 88.838_x000D_
Corte     : 455_x000D_
-----------------------------_x000D_
Pendente  : _x000D_
22 / 10_2 : 448_x000D_
22 / 11_2 : 342_x000D_
22 / 12_2 : 273_x000D_
23 / 01_2 : 133_x000D_
23 / 02_2 : 175_x000D_
23 / 03_2 : 403_x000D_
23 / 04_2 : 197_x000D_
23 / 05_2 : 251_x000D_
23 / 06_2 : 229_x000D_
23 / 07_2 : 271_x000D_
23 / 08_2 : 257_x000D_
23 / 09_2 : 307_x000D_
_x000D_
    TOTAL : ( 3.286 )_x000D_
  DIVISOR : 12_x000D_
    MÉDIA : 273,83</t>
        </r>
      </text>
    </comment>
    <comment ref="AB451" authorId="0" shapeId="0" xr:uid="{92912514-F6C5-471F-8ECD-772F0DF1BE2B}">
      <text>
        <r>
          <rPr>
            <sz val="10"/>
            <color indexed="81"/>
            <rFont val="Lucida Console"/>
            <family val="3"/>
          </rPr>
          <t>Última movimentação no estoque em 09/2023 quantidade 307.</t>
        </r>
      </text>
    </comment>
    <comment ref="R452" authorId="0" shapeId="0" xr:uid="{A93CBC90-4662-4CC3-8471-B691384B5D80}">
      <text>
        <r>
          <rPr>
            <sz val="10"/>
            <color indexed="81"/>
            <rFont val="Lucida Console"/>
            <family val="3"/>
          </rPr>
          <t>01.01.1901</t>
        </r>
      </text>
    </comment>
    <comment ref="Y452" authorId="0" shapeId="0" xr:uid="{466891F7-F58B-4446-B964-42903AB356A5}">
      <text>
        <r>
          <rPr>
            <sz val="10"/>
            <color indexed="81"/>
            <rFont val="Courier New"/>
            <family val="3"/>
          </rPr>
          <t>_x000D_
    DESCRIÇÃO DO CÁLCULO_x000D_
Código    : 71.697_x000D_
Corte     : 395_x000D_
-----------------------------_x000D_
Pendente  : 105_x000D_
22 / 10_2 : 276_x000D_
22 / 11_2 : 270_x000D_
22 / 12_2 : 250_x000D_
23 / 01_2 : 88_x000D_
23 / 02_2 : 144_x000D_
23 / 03_2 : 358_x000D_
23 / 04_2 : 177_x000D_
23 / 05_2 : 196_x000D_
23 / 06_2 : 199_x000D_
23 / 07_2 : 256_x000D_
23 / 08_2 : 143_x000D_
23 / 09_2 : _x000D_
_x000D_
    TOTAL : ( 2.462 )_x000D_
  DIVISOR : 12_x000D_
    MÉDIA : 205,17</t>
        </r>
      </text>
    </comment>
    <comment ref="AB452" authorId="0" shapeId="0" xr:uid="{7BD8BFA2-423D-4A63-B40A-743E1019A68D}">
      <text>
        <r>
          <rPr>
            <sz val="10"/>
            <color indexed="81"/>
            <rFont val="Lucida Console"/>
            <family val="3"/>
          </rPr>
          <t>Última movimentação no estoque em 08/2023 quantidade 143.</t>
        </r>
      </text>
    </comment>
    <comment ref="R453" authorId="0" shapeId="0" xr:uid="{3074872B-0BAC-477C-A4C3-54284D62F7F1}">
      <text>
        <r>
          <rPr>
            <sz val="10"/>
            <color indexed="81"/>
            <rFont val="Lucida Console"/>
            <family val="3"/>
          </rPr>
          <t>01.01.1901</t>
        </r>
      </text>
    </comment>
    <comment ref="Y453" authorId="0" shapeId="0" xr:uid="{757293DF-291D-4C86-81F7-8F8139BD7CDD}">
      <text>
        <r>
          <rPr>
            <sz val="10"/>
            <color indexed="81"/>
            <rFont val="Courier New"/>
            <family val="3"/>
          </rPr>
          <t>_x000D_
    DESCRIÇÃO DO CÁLCULO_x000D_
Código    : 20.167_x000D_
Corte     : 4_x000D_
-----------------------------_x000D_
Pendente  : 2_x000D_
22 / 10_2 : _x000D_
22 / 11_2 : 2_x000D_
22 / 12_2 : _x000D_
23 / 01_2 : 4 (corte = 5)_x000D_
23 / 02_2 : 1_x000D_
23 / 03_2 : 3_x000D_
23 / 04_2 : _x000D_
23 / 05_2 : 2_x000D_
23 / 06_2 : _x000D_
23 / 07_2 : _x000D_
23 / 08_2 : _x000D_
23 / 09_2 : _x000D_
_x000D_
    TOTAL : ( 14 )_x000D_
  DIVISOR : 12_x000D_
    MÉDIA : 1,17_x000D_
-----------------------------_x000D_
   Valores Desconsiderados_x000D_
-----------------------------_x000D_
23 / 01_2 : 1 (5)_x000D_
_x000D_
  TOTAL   : ( 1 )</t>
        </r>
      </text>
    </comment>
    <comment ref="AB453" authorId="0" shapeId="0" xr:uid="{06C352FB-6B95-4F87-8BC6-D5B6AFE64B4E}">
      <text>
        <r>
          <rPr>
            <sz val="10"/>
            <color indexed="81"/>
            <rFont val="Lucida Console"/>
            <family val="3"/>
          </rPr>
          <t>Última movimentação no estoque em 05/2023 quantidade 2.</t>
        </r>
      </text>
    </comment>
    <comment ref="R454" authorId="0" shapeId="0" xr:uid="{F65FF01C-4E31-491E-88D5-44E04468456B}">
      <text>
        <r>
          <rPr>
            <sz val="10"/>
            <color indexed="81"/>
            <rFont val="Lucida Console"/>
            <family val="3"/>
          </rPr>
          <t>29.04.2019</t>
        </r>
      </text>
    </comment>
    <comment ref="Y454" authorId="0" shapeId="0" xr:uid="{0080C072-8B92-40A3-9D80-674624B1B45F}">
      <text>
        <r>
          <rPr>
            <sz val="10"/>
            <color indexed="81"/>
            <rFont val="Courier New"/>
            <family val="3"/>
          </rPr>
          <t>_x000D_
    DESCRIÇÃO DO CÁLCULO_x000D_
Código    : 136.898_x000D_
Corte     : 48_x000D_
-----------------------------_x000D_
Pendente  : 22_x000D_
22 / 10_2 : 30_x000D_
22 / 11_2 : 42_x000D_
22 / 12_2 : _x000D_
23 / 01_2 : _x000D_
23 / 02_2 : 48 (corte = 50)_x000D_
23 / 03_2 : _x000D_
23 / 04_2 : _x000D_
23 / 05_2 : _x000D_
23 / 06_2 : _x000D_
23 / 07_2 : _x000D_
23 / 08_2 : _x000D_
23 / 09_2 : _x000D_
_x000D_
    TOTAL : ( 142 )_x000D_
  DIVISOR : 12_x000D_
    MÉDIA : 11,83_x000D_
-----------------------------_x000D_
   Valores Desconsiderados_x000D_
-----------------------------_x000D_
23 / 02_2 : 2 (50)_x000D_
_x000D_
  TOTAL   : ( 2 )</t>
        </r>
      </text>
    </comment>
    <comment ref="AB454" authorId="0" shapeId="0" xr:uid="{9D965F1A-A9F1-49B9-B7CC-547E57F943ED}">
      <text>
        <r>
          <rPr>
            <sz val="10"/>
            <color indexed="81"/>
            <rFont val="Lucida Console"/>
            <family val="3"/>
          </rPr>
          <t>Última movimentação no estoque em 02/2023 quantidade 50.</t>
        </r>
      </text>
    </comment>
    <comment ref="R455" authorId="0" shapeId="0" xr:uid="{AD50E054-9F51-4384-8822-B3AC55F121E4}">
      <text>
        <r>
          <rPr>
            <sz val="10"/>
            <color indexed="81"/>
            <rFont val="Lucida Console"/>
            <family val="3"/>
          </rPr>
          <t>01.01.1901</t>
        </r>
      </text>
    </comment>
    <comment ref="Y455" authorId="0" shapeId="0" xr:uid="{2B4CA6DA-9B0D-4ADB-940B-0A41964F2C91}">
      <text>
        <r>
          <rPr>
            <sz val="10"/>
            <color indexed="81"/>
            <rFont val="Courier New"/>
            <family val="3"/>
          </rPr>
          <t>_x000D_
    DESCRIÇÃO DO CÁLCULO_x000D_
Código    : 51.222_x000D_
Corte     : 6_x000D_
-----------------------------_x000D_
Pendente  : _x000D_
22 / 10_2 : _x000D_
22 / 11_2 : _x000D_
22 / 12_2 : _x000D_
23 / 01_2 : 6 (corte = 10)_x000D_
23 / 02_2 : _x000D_
23 / 03_2 : _x000D_
23 / 04_2 : _x000D_
23 / 05_2 : _x000D_
23 / 06_2 : _x000D_
23 / 07_2 : _x000D_
23 / 08_2 : _x000D_
23 / 09_2 : _x000D_
_x000D_
    TOTAL : ( 6 )_x000D_
  DIVISOR : 12_x000D_
    MÉDIA : ,50_x000D_
-----------------------------_x000D_
   Valores Desconsiderados_x000D_
-----------------------------_x000D_
23 / 01_2 : 4 (10)_x000D_
_x000D_
  TOTAL   : ( 4 )</t>
        </r>
      </text>
    </comment>
    <comment ref="AB455" authorId="0" shapeId="0" xr:uid="{D521A214-9A46-43A0-91BF-33B4CA49B968}">
      <text>
        <r>
          <rPr>
            <sz val="10"/>
            <color indexed="81"/>
            <rFont val="Lucida Console"/>
            <family val="3"/>
          </rPr>
          <t>Última movimentação no estoque em 01/2023 quantidade 10.</t>
        </r>
      </text>
    </comment>
    <comment ref="R456" authorId="0" shapeId="0" xr:uid="{0816734B-4F9A-4BDA-AA7C-E89C85E29465}">
      <text>
        <r>
          <rPr>
            <sz val="10"/>
            <color indexed="81"/>
            <rFont val="Lucida Console"/>
            <family val="3"/>
          </rPr>
          <t>01.01.1901</t>
        </r>
      </text>
    </comment>
    <comment ref="Y456" authorId="0" shapeId="0" xr:uid="{50A5501A-65E8-4D73-AB9E-DB7932098861}">
      <text>
        <r>
          <rPr>
            <sz val="10"/>
            <color indexed="81"/>
            <rFont val="Courier New"/>
            <family val="3"/>
          </rPr>
          <t>_x000D_
    DESCRIÇÃO DO CÁLCULO_x000D_
Código    : 15.167_x000D_
Corte     : 133_x000D_
-----------------------------_x000D_
Pendente  : 8_x000D_
22 / 10_2 : 103_x000D_
22 / 11_2 : 60_x000D_
22 / 12_2 : 20_x000D_
23 / 01_2 : 120_x000D_
23 / 02_2 : 52_x000D_
23 / 03_2 : _x000D_
23 / 04_2 : 110_x000D_
23 / 05_2 : _x000D_
23 / 06_2 : _x000D_
23 / 07_2 : _x000D_
23 / 08_2 : _x000D_
23 / 09_2 : _x000D_
_x000D_
    TOTAL : ( 473 )_x000D_
  DIVISOR : 12_x000D_
    MÉDIA : 39,42</t>
        </r>
      </text>
    </comment>
    <comment ref="AB456" authorId="0" shapeId="0" xr:uid="{3CE01B37-8CF2-453D-A8F3-B9785DEAFC43}">
      <text>
        <r>
          <rPr>
            <sz val="10"/>
            <color indexed="81"/>
            <rFont val="Lucida Console"/>
            <family val="3"/>
          </rPr>
          <t>Última movimentação no estoque em 04/2023 quantidade 110.</t>
        </r>
      </text>
    </comment>
    <comment ref="R457" authorId="0" shapeId="0" xr:uid="{014DA285-FD8D-4F3C-8A7F-D09A27F0D5BA}">
      <text>
        <r>
          <rPr>
            <sz val="10"/>
            <color indexed="81"/>
            <rFont val="Lucida Console"/>
            <family val="3"/>
          </rPr>
          <t>16.02.2021</t>
        </r>
      </text>
    </comment>
    <comment ref="Y457" authorId="0" shapeId="0" xr:uid="{331ADF18-41DE-4F5D-8C48-EDE1A9D883BE}">
      <text>
        <r>
          <rPr>
            <sz val="10"/>
            <color indexed="81"/>
            <rFont val="Courier New"/>
            <family val="3"/>
          </rPr>
          <t>_x000D_
    DESCRIÇÃO DO CÁLCULO_x000D_
Código    : 140.666_x000D_
Corte     : 35_x000D_
-----------------------------_x000D_
Pendente  : _x000D_
22 / 10_2 : _x000D_
22 / 11_2 : _x000D_
22 / 12_2 : 7_x000D_
23 / 01_2 : 35_x000D_
23 / 02_2 : 5_x000D_
23 / 03_2 : 3_x000D_
23 / 04_2 : 35 (corte = 38)_x000D_
23 / 05_2 : _x000D_
23 / 06_2 : _x000D_
23 / 07_2 : 10_x000D_
23 / 08_2 : _x000D_
23 / 09_2 : _x000D_
_x000D_
    TOTAL : ( 95 )_x000D_
  DIVISOR : 12_x000D_
    MÉDIA : 7,92_x000D_
-----------------------------_x000D_
   Valores Desconsiderados_x000D_
-----------------------------_x000D_
23 / 04_2 : 3 (38)_x000D_
_x000D_
  TOTAL   : ( 3 )</t>
        </r>
      </text>
    </comment>
    <comment ref="AB457" authorId="0" shapeId="0" xr:uid="{82B9DFD5-6402-460E-BBD0-8928E67560DB}">
      <text>
        <r>
          <rPr>
            <sz val="10"/>
            <color indexed="81"/>
            <rFont val="Lucida Console"/>
            <family val="3"/>
          </rPr>
          <t>Última movimentação no estoque em 07/2023 quantidade 10.</t>
        </r>
      </text>
    </comment>
    <comment ref="R458" authorId="0" shapeId="0" xr:uid="{CC5F5E5B-F14C-455D-838A-6CB447DBEAAA}">
      <text>
        <r>
          <rPr>
            <sz val="10"/>
            <color indexed="81"/>
            <rFont val="Lucida Console"/>
            <family val="3"/>
          </rPr>
          <t>26.09.2019</t>
        </r>
      </text>
    </comment>
    <comment ref="Y458" authorId="0" shapeId="0" xr:uid="{294246F5-101B-4955-BFFC-D2AB7BA745D8}">
      <text>
        <r>
          <rPr>
            <sz val="10"/>
            <color indexed="81"/>
            <rFont val="Courier New"/>
            <family val="3"/>
          </rPr>
          <t>_x000D_
    DESCRIÇÃO DO CÁLCULO_x000D_
Código    : 138.554_x000D_
Corte     : 125_x000D_
-----------------------------_x000D_
Pendente  : _x000D_
22 / 10_2 : _x000D_
22 / 11_2 : _x000D_
22 / 12_2 : _x000D_
23 / 01_2 : _x000D_
23 / 02_2 : _x000D_
23 / 03_2 : _x000D_
23 / 04_2 : _x000D_
23 / 05_2 : _x000D_
23 / 06_2 : 104_x000D_
23 / 07_2 : 104_x000D_
23 / 08_2 : 110_x000D_
23 / 09_2 : 50_x000D_
_x000D_
    TOTAL : ( 368 )_x000D_
  DIVISOR : 12_x000D_
    MÉDIA : 30,67</t>
        </r>
      </text>
    </comment>
    <comment ref="AB458" authorId="0" shapeId="0" xr:uid="{E35E1F99-CEFF-44C9-8FFD-D124C68BAEC1}">
      <text>
        <r>
          <rPr>
            <sz val="10"/>
            <color indexed="81"/>
            <rFont val="Lucida Console"/>
            <family val="3"/>
          </rPr>
          <t>Última movimentação no estoque em 09/2023 quantidade 50.</t>
        </r>
      </text>
    </comment>
    <comment ref="R459" authorId="0" shapeId="0" xr:uid="{26910219-6954-42A6-9172-56FC321F8A19}">
      <text>
        <r>
          <rPr>
            <sz val="10"/>
            <color indexed="81"/>
            <rFont val="Lucida Console"/>
            <family val="3"/>
          </rPr>
          <t>26.09.2019</t>
        </r>
      </text>
    </comment>
    <comment ref="Y459" authorId="0" shapeId="0" xr:uid="{49B6877A-82B3-435A-B04F-E1A9DF2ABD5B}">
      <text>
        <r>
          <rPr>
            <sz val="10"/>
            <color indexed="81"/>
            <rFont val="Courier New"/>
            <family val="3"/>
          </rPr>
          <t>_x000D_
    DESCRIÇÃO DO CÁLCULO_x000D_
Código    : 138.552_x000D_
Corte     : 42_x000D_
-----------------------------_x000D_
Pendente  : _x000D_
22 / 10_2 : 2_x000D_
22 / 11_2 : _x000D_
22 / 12_2 : _x000D_
23 / 01_2 : 2_x000D_
23 / 02_2 : _x000D_
23 / 03_2 : _x000D_
23 / 04_2 : 4_x000D_
23 / 05_2 : 35_x000D_
23 / 06_2 : _x000D_
23 / 07_2 : 27_x000D_
23 / 08_2 : _x000D_
23 / 09_2 : 42 (corte = 45)_x000D_
_x000D_
    TOTAL : ( 112 )_x000D_
  DIVISOR : 12_x000D_
    MÉDIA : 9,33_x000D_
-----------------------------_x000D_
   Valores Desconsiderados_x000D_
-----------------------------_x000D_
23 / 09_2 : 3 (45)_x000D_
_x000D_
  TOTAL   : ( 3 )</t>
        </r>
      </text>
    </comment>
    <comment ref="AB459" authorId="0" shapeId="0" xr:uid="{B7B95CA2-67AD-419F-8828-A2CD36CD2388}">
      <text>
        <r>
          <rPr>
            <sz val="10"/>
            <color indexed="81"/>
            <rFont val="Lucida Console"/>
            <family val="3"/>
          </rPr>
          <t>Última movimentação no estoque em 09/2023 quantidade 45.</t>
        </r>
      </text>
    </comment>
    <comment ref="R460" authorId="0" shapeId="0" xr:uid="{E1ADF87C-0341-49DC-AA6A-074785DC979A}">
      <text>
        <r>
          <rPr>
            <sz val="10"/>
            <color indexed="81"/>
            <rFont val="Lucida Console"/>
            <family val="3"/>
          </rPr>
          <t>26.09.2019</t>
        </r>
      </text>
    </comment>
    <comment ref="Y460" authorId="0" shapeId="0" xr:uid="{765101DC-3B72-432A-8C52-D59883CCC003}">
      <text>
        <r>
          <rPr>
            <sz val="10"/>
            <color indexed="81"/>
            <rFont val="Courier New"/>
            <family val="3"/>
          </rPr>
          <t>_x000D_
    DESCRIÇÃO DO CÁLCULO_x000D_
Código    : 138.553_x000D_
Corte     : 9_x000D_
-----------------------------_x000D_
Pendente  : _x000D_
22 / 10_2 : _x000D_
22 / 11_2 : _x000D_
22 / 12_2 : 9 (corte = 10)_x000D_
23 / 01_2 : _x000D_
23 / 02_2 : _x000D_
23 / 03_2 : _x000D_
23 / 04_2 : _x000D_
23 / 05_2 : 9 (corte = 10)_x000D_
23 / 06_2 : _x000D_
23 / 07_2 : _x000D_
23 / 08_2 : _x000D_
23 / 09_2 : _x000D_
_x000D_
    TOTAL : ( 18 )_x000D_
  DIVISOR : 12_x000D_
    MÉDIA : 1,50_x000D_
-----------------------------_x000D_
   Valores Desconsiderados_x000D_
-----------------------------_x000D_
22 / 12_2 : 1 (10)_x000D_
23 / 05_2 : 1 (10)_x000D_
_x000D_
  TOTAL   : ( 2 )</t>
        </r>
      </text>
    </comment>
    <comment ref="AB460" authorId="0" shapeId="0" xr:uid="{8ED7FDE6-C66C-497F-B05A-F50549D126AF}">
      <text>
        <r>
          <rPr>
            <sz val="10"/>
            <color indexed="81"/>
            <rFont val="Lucida Console"/>
            <family val="3"/>
          </rPr>
          <t>Última movimentação no estoque em 05/2023 quantidade 10.</t>
        </r>
      </text>
    </comment>
    <comment ref="R461" authorId="0" shapeId="0" xr:uid="{1AD780D4-142E-4CAF-B6FE-476C3BE47199}">
      <text>
        <r>
          <rPr>
            <sz val="10"/>
            <color indexed="81"/>
            <rFont val="Lucida Console"/>
            <family val="3"/>
          </rPr>
          <t>07.11.2008</t>
        </r>
      </text>
    </comment>
    <comment ref="Y461" authorId="0" shapeId="0" xr:uid="{B72EDDFC-4E7D-49E1-A5FB-8C46EC904619}">
      <text>
        <r>
          <rPr>
            <sz val="10"/>
            <color indexed="81"/>
            <rFont val="Courier New"/>
            <family val="3"/>
          </rPr>
          <t>_x000D_
    DESCRIÇÃO DO CÁLCULO_x000D_
Código    : 108.697_x000D_
Corte     : 5_x000D_
-----------------------------_x000D_
Pendente  : _x000D_
22 / 10_2 : _x000D_
22 / 11_2 : _x000D_
22 / 12_2 : _x000D_
23 / 01_2 : _x000D_
23 / 02_2 : _x000D_
23 / 03_2 : _x000D_
23 / 04_2 : 5_x000D_
23 / 05_2 : _x000D_
23 / 06_2 : 5 (corte = 6)_x000D_
23 / 07_2 : _x000D_
23 / 08_2 : _x000D_
23 / 09_2 : _x000D_
_x000D_
    TOTAL : ( 10 )_x000D_
  DIVISOR : 12_x000D_
    MÉDIA : ,83_x000D_
-----------------------------_x000D_
   Valores Desconsiderados_x000D_
-----------------------------_x000D_
23 / 06_2 : 1 (6)_x000D_
_x000D_
  TOTAL   : ( 1 )</t>
        </r>
      </text>
    </comment>
    <comment ref="AB461" authorId="0" shapeId="0" xr:uid="{CEB7307E-1129-41CB-B4CC-E1A9A917EDB5}">
      <text>
        <r>
          <rPr>
            <sz val="10"/>
            <color indexed="81"/>
            <rFont val="Lucida Console"/>
            <family val="3"/>
          </rPr>
          <t>Última movimentação no estoque em 06/2023 quantidade 6.</t>
        </r>
      </text>
    </comment>
    <comment ref="R462" authorId="0" shapeId="0" xr:uid="{2C9347F7-EC45-48F6-9188-9E9436313547}">
      <text>
        <r>
          <rPr>
            <sz val="10"/>
            <color indexed="81"/>
            <rFont val="Lucida Console"/>
            <family val="3"/>
          </rPr>
          <t>13.03.2007</t>
        </r>
      </text>
    </comment>
    <comment ref="Y462" authorId="0" shapeId="0" xr:uid="{83A92834-264D-4582-859E-949316B28E02}">
      <text>
        <r>
          <rPr>
            <sz val="10"/>
            <color indexed="81"/>
            <rFont val="Courier New"/>
            <family val="3"/>
          </rPr>
          <t>_x000D_
    DESCRIÇÃO DO CÁLCULO_x000D_
Código    : 98.080_x000D_
Corte     : 41_x000D_
-----------------------------_x000D_
Pendente  : _x000D_
22 / 10_2 : 16_x000D_
22 / 11_2 : 28_x000D_
22 / 12_2 : 6_x000D_
23 / 01_2 : 6_x000D_
23 / 02_2 : 14_x000D_
23 / 03_2 : 35_x000D_
23 / 04_2 : 28_x000D_
23 / 05_2 : 33_x000D_
23 / 06_2 : 29_x000D_
23 / 07_2 : 25_x000D_
23 / 08_2 : 24_x000D_
23 / 09_2 : 25_x000D_
_x000D_
    TOTAL : ( 269 )_x000D_
  DIVISOR : 12_x000D_
    MÉDIA : 22,42</t>
        </r>
      </text>
    </comment>
    <comment ref="AB462" authorId="0" shapeId="0" xr:uid="{AC59882C-339D-485C-8B9F-F670655DD64F}">
      <text>
        <r>
          <rPr>
            <sz val="10"/>
            <color indexed="81"/>
            <rFont val="Lucida Console"/>
            <family val="3"/>
          </rPr>
          <t>Última movimentação no estoque em 09/2023 quantidade 25.</t>
        </r>
      </text>
    </comment>
    <comment ref="R463" authorId="0" shapeId="0" xr:uid="{C1561B8E-7A3F-42EE-B904-B39F7EB020ED}">
      <text>
        <r>
          <rPr>
            <sz val="10"/>
            <color indexed="81"/>
            <rFont val="Lucida Console"/>
            <family val="3"/>
          </rPr>
          <t>12.12.2006</t>
        </r>
      </text>
    </comment>
    <comment ref="Y463" authorId="0" shapeId="0" xr:uid="{BF250EE4-940E-4994-80C4-C698CC648310}">
      <text>
        <r>
          <rPr>
            <sz val="10"/>
            <color indexed="81"/>
            <rFont val="Courier New"/>
            <family val="3"/>
          </rPr>
          <t>_x000D_
    DESCRIÇÃO DO CÁLCULO_x000D_
Código    : 96.516_x000D_
Corte     : 116_x000D_
-----------------------------_x000D_
Pendente  : _x000D_
22 / 10_2 : 16_x000D_
22 / 11_2 : 21_x000D_
22 / 12_2 : 9_x000D_
23 / 01_2 : 9_x000D_
23 / 02_2 : 15_x000D_
23 / 03_2 : 40_x000D_
23 / 04_2 : 27_x000D_
23 / 05_2 : 111_x000D_
23 / 06_2 : 37_x000D_
23 / 07_2 : 25_x000D_
23 / 08_2 : 25_x000D_
23 / 09_2 : 116 (corte = 128)_x000D_
_x000D_
    TOTAL : ( 451 )_x000D_
  DIVISOR : 12_x000D_
    MÉDIA : 37,58_x000D_
-----------------------------_x000D_
   Valores Desconsiderados_x000D_
-----------------------------_x000D_
23 / 09_2 : 12 (128)_x000D_
_x000D_
  TOTAL   : ( 12 )</t>
        </r>
      </text>
    </comment>
    <comment ref="AB463" authorId="0" shapeId="0" xr:uid="{8B878FD0-E72A-4AE8-B68E-1A7C1E02F731}">
      <text>
        <r>
          <rPr>
            <sz val="10"/>
            <color indexed="81"/>
            <rFont val="Lucida Console"/>
            <family val="3"/>
          </rPr>
          <t>Última movimentação no estoque em 09/2023 quantidade 128.</t>
        </r>
      </text>
    </comment>
    <comment ref="R464" authorId="0" shapeId="0" xr:uid="{62328A41-6CE4-4483-9DCB-BC94C51C11EE}">
      <text>
        <r>
          <rPr>
            <sz val="10"/>
            <color indexed="81"/>
            <rFont val="Lucida Console"/>
            <family val="3"/>
          </rPr>
          <t>01.02.2005</t>
        </r>
      </text>
    </comment>
    <comment ref="Y464" authorId="0" shapeId="0" xr:uid="{1A8532F7-1D12-4304-B245-E559168EAA8D}">
      <text>
        <r>
          <rPr>
            <sz val="10"/>
            <color indexed="81"/>
            <rFont val="Courier New"/>
            <family val="3"/>
          </rPr>
          <t>_x000D_
    DESCRIÇÃO DO CÁLCULO_x000D_
Código    : 83.839_x000D_
Corte     : 836_x000D_
-----------------------------_x000D_
Pendente  : 1_x000D_
22 / 10_2 : 490_x000D_
22 / 11_2 : 537_x000D_
22 / 12_2 : 370_x000D_
23 / 01_2 : 129_x000D_
23 / 02_2 : 379_x000D_
23 / 03_2 : 726_x000D_
23 / 04_2 : 426_x000D_
23 / 05_2 : 489_x000D_
23 / 06_2 : 525_x000D_
23 / 07_2 : 482_x000D_
23 / 08_2 : 536_x000D_
23 / 09_2 : 494_x000D_
_x000D_
    TOTAL : ( 5.584 )_x000D_
  DIVISOR : 12_x000D_
    MÉDIA : 465,33</t>
        </r>
      </text>
    </comment>
    <comment ref="AB464" authorId="0" shapeId="0" xr:uid="{A45719E0-F1D8-4B97-A96C-DFCC635C6F1B}">
      <text>
        <r>
          <rPr>
            <sz val="10"/>
            <color indexed="81"/>
            <rFont val="Lucida Console"/>
            <family val="3"/>
          </rPr>
          <t>Última movimentação no estoque em 09/2023 quantidade 494.</t>
        </r>
      </text>
    </comment>
    <comment ref="R465" authorId="0" shapeId="0" xr:uid="{973BD8E5-0AC2-42A4-96A9-D555078EFD2F}">
      <text>
        <r>
          <rPr>
            <sz val="10"/>
            <color indexed="81"/>
            <rFont val="Lucida Console"/>
            <family val="3"/>
          </rPr>
          <t>01.02.2005</t>
        </r>
      </text>
    </comment>
    <comment ref="Y465" authorId="0" shapeId="0" xr:uid="{AFD13B22-5A90-4D01-B581-C48A4C10DAD9}">
      <text>
        <r>
          <rPr>
            <sz val="10"/>
            <color indexed="81"/>
            <rFont val="Courier New"/>
            <family val="3"/>
          </rPr>
          <t>_x000D_
    DESCRIÇÃO DO CÁLCULO_x000D_
Código    : 83.838_x000D_
Corte     : 3.197_x000D_
-----------------------------_x000D_
Pendente  : 35_x000D_
22 / 10_2 : 1.811_x000D_
22 / 11_2 : 2.019_x000D_
22 / 12_2 : 1.451_x000D_
23 / 01_2 : 394_x000D_
23 / 02_2 : 1.575_x000D_
23 / 03_2 : 2.515_x000D_
23 / 04_2 : 1.459_x000D_
23 / 05_2 : 1.902_x000D_
23 / 06_2 : 2.151_x000D_
23 / 07_2 : 1.997_x000D_
23 / 08_2 : 2.148_x000D_
23 / 09_2 : 1.982_x000D_
_x000D_
    TOTAL : ( 21.439 )_x000D_
  DIVISOR : 12_x000D_
    MÉDIA : 1.786,58</t>
        </r>
      </text>
    </comment>
    <comment ref="AB465" authorId="0" shapeId="0" xr:uid="{DC84AE1E-980E-4308-A7AF-5480F34846E8}">
      <text>
        <r>
          <rPr>
            <sz val="10"/>
            <color indexed="81"/>
            <rFont val="Lucida Console"/>
            <family val="3"/>
          </rPr>
          <t>Última movimentação no estoque em 09/2023 quantidade 1.982.</t>
        </r>
      </text>
    </comment>
    <comment ref="R466" authorId="0" shapeId="0" xr:uid="{EEFB5B61-D9B3-4A56-BCE8-F0E80A0276CB}">
      <text>
        <r>
          <rPr>
            <sz val="10"/>
            <color indexed="81"/>
            <rFont val="Lucida Console"/>
            <family val="3"/>
          </rPr>
          <t>17.04.2019</t>
        </r>
      </text>
    </comment>
    <comment ref="Y466" authorId="0" shapeId="0" xr:uid="{CDF8DA75-29D9-42F0-8D2E-1A3B58324447}">
      <text>
        <r>
          <rPr>
            <sz val="10"/>
            <color indexed="81"/>
            <rFont val="Courier New"/>
            <family val="3"/>
          </rPr>
          <t>_x000D_
    DESCRIÇÃO DO CÁLCULO_x000D_
Código    : 136.819_x000D_
Corte     : 4_x000D_
-----------------------------_x000D_
Pendente  : _x000D_
22 / 10_2 : 4_x000D_
22 / 11_2 : _x000D_
22 / 12_2 : _x000D_
23 / 01_2 : 3_x000D_
23 / 02_2 : _x000D_
23 / 03_2 : 2_x000D_
23 / 04_2 : 2_x000D_
23 / 05_2 : 2_x000D_
23 / 06_2 : 3_x000D_
23 / 07_2 : 2_x000D_
23 / 08_2 : _x000D_
23 / 09_2 : 2_x000D_
_x000D_
    TOTAL : ( 20 )_x000D_
  DIVISOR : 12_x000D_
    MÉDIA : 1,67</t>
        </r>
      </text>
    </comment>
    <comment ref="AB466" authorId="0" shapeId="0" xr:uid="{542A624B-F23F-4B6C-80F8-375DD016EC40}">
      <text>
        <r>
          <rPr>
            <sz val="10"/>
            <color indexed="81"/>
            <rFont val="Lucida Console"/>
            <family val="3"/>
          </rPr>
          <t>Última movimentação no estoque em 09/2023 quantidade 2.</t>
        </r>
      </text>
    </comment>
    <comment ref="R467" authorId="0" shapeId="0" xr:uid="{5BB409B7-CDA5-4C42-A57F-9577B584B8B7}">
      <text>
        <r>
          <rPr>
            <sz val="10"/>
            <color indexed="81"/>
            <rFont val="Lucida Console"/>
            <family val="3"/>
          </rPr>
          <t>01.01.1901</t>
        </r>
      </text>
    </comment>
    <comment ref="Y467" authorId="0" shapeId="0" xr:uid="{8544DC88-BEAB-4512-827E-AA40DC23D69D}">
      <text>
        <r>
          <rPr>
            <sz val="10"/>
            <color indexed="81"/>
            <rFont val="Courier New"/>
            <family val="3"/>
          </rPr>
          <t>_x000D_
    DESCRIÇÃO DO CÁLCULO_x000D_
Código    : 12.950_x000D_
Corte     : 38_x000D_
-----------------------------_x000D_
Pendente  : _x000D_
22 / 10_2 : 36_x000D_
22 / 11_2 : 6_x000D_
22 / 12_2 : 26_x000D_
23 / 01_2 : 11_x000D_
23 / 02_2 : 5_x000D_
23 / 03_2 : 18_x000D_
23 / 04_2 : 20_x000D_
23 / 05_2 : _x000D_
23 / 06_2 : _x000D_
23 / 07_2 : _x000D_
23 / 08_2 : _x000D_
23 / 09_2 : 30_x000D_
_x000D_
    TOTAL : ( 152 )_x000D_
  DIVISOR : 12_x000D_
    MÉDIA : 12,67</t>
        </r>
      </text>
    </comment>
    <comment ref="AB467" authorId="0" shapeId="0" xr:uid="{9BA135B1-E779-437A-8DC4-E55B52FF5387}">
      <text>
        <r>
          <rPr>
            <sz val="10"/>
            <color indexed="81"/>
            <rFont val="Lucida Console"/>
            <family val="3"/>
          </rPr>
          <t>Última movimentação no estoque em 09/2023 quantidade 30.</t>
        </r>
      </text>
    </comment>
    <comment ref="R468" authorId="0" shapeId="0" xr:uid="{79D555A9-3A05-48BE-98B5-EAD864F06BDE}">
      <text>
        <r>
          <rPr>
            <sz val="10"/>
            <color indexed="81"/>
            <rFont val="Lucida Console"/>
            <family val="3"/>
          </rPr>
          <t>01.01.1901</t>
        </r>
      </text>
    </comment>
    <comment ref="Y468" authorId="0" shapeId="0" xr:uid="{C0195AC6-3C71-423F-BE19-D6E0594ACAB4}">
      <text>
        <r>
          <rPr>
            <sz val="10"/>
            <color indexed="81"/>
            <rFont val="Courier New"/>
            <family val="3"/>
          </rPr>
          <t>_x000D_
    DESCRIÇÃO DO CÁLCULO_x000D_
Código    : 40.772_x000D_
Corte     : 6_x000D_
-----------------------------_x000D_
Pendente  : _x000D_
22 / 10_2 : _x000D_
22 / 11_2 : _x000D_
22 / 12_2 : _x000D_
23 / 01_2 : 3_x000D_
23 / 02_2 : _x000D_
23 / 03_2 : _x000D_
23 / 04_2 : 6 (corte = 10)_x000D_
23 / 05_2 : _x000D_
23 / 06_2 : _x000D_
23 / 07_2 : _x000D_
23 / 08_2 : _x000D_
23 / 09_2 : _x000D_
_x000D_
    TOTAL : ( 9 )_x000D_
  DIVISOR : 12_x000D_
    MÉDIA : ,75_x000D_
-----------------------------_x000D_
   Valores Desconsiderados_x000D_
-----------------------------_x000D_
23 / 04_2 : 4 (10)_x000D_
_x000D_
  TOTAL   : ( 4 )</t>
        </r>
      </text>
    </comment>
    <comment ref="AB468" authorId="0" shapeId="0" xr:uid="{FB91D829-0677-418B-8A79-7FC58C7F517E}">
      <text>
        <r>
          <rPr>
            <sz val="10"/>
            <color indexed="81"/>
            <rFont val="Lucida Console"/>
            <family val="3"/>
          </rPr>
          <t>Última movimentação no estoque em 04/2023 quantidade 10.</t>
        </r>
      </text>
    </comment>
    <comment ref="R469" authorId="0" shapeId="0" xr:uid="{3555AB8E-20BB-4780-A3A2-AD08B2866301}">
      <text>
        <r>
          <rPr>
            <sz val="10"/>
            <color indexed="81"/>
            <rFont val="Lucida Console"/>
            <family val="3"/>
          </rPr>
          <t>01.01.1901</t>
        </r>
      </text>
    </comment>
    <comment ref="Y469" authorId="0" shapeId="0" xr:uid="{E8E56EAB-094A-4DA2-8F95-D68A936C6F02}">
      <text>
        <r>
          <rPr>
            <sz val="10"/>
            <color indexed="81"/>
            <rFont val="Courier New"/>
            <family val="3"/>
          </rPr>
          <t>_x000D_
    DESCRIÇÃO DO CÁLCULO_x000D_
Código    : 12.948_x000D_
Corte     : 8_x000D_
-----------------------------_x000D_
Pendente  : _x000D_
22 / 10_2 : _x000D_
22 / 11_2 : _x000D_
22 / 12_2 : 7_x000D_
23 / 01_2 : _x000D_
23 / 02_2 : _x000D_
23 / 03_2 : _x000D_
23 / 04_2 : 8 (corte = 10)_x000D_
23 / 05_2 : _x000D_
23 / 06_2 : _x000D_
23 / 07_2 : _x000D_
23 / 08_2 : _x000D_
23 / 09_2 : _x000D_
_x000D_
    TOTAL : ( 15 )_x000D_
  DIVISOR : 12_x000D_
    MÉDIA : 1,25_x000D_
-----------------------------_x000D_
   Valores Desconsiderados_x000D_
-----------------------------_x000D_
23 / 04_2 : 2 (10)_x000D_
_x000D_
  TOTAL   : ( 2 )</t>
        </r>
      </text>
    </comment>
    <comment ref="AB469" authorId="0" shapeId="0" xr:uid="{C792256F-1E35-4EFA-AD39-8BF0FE7502C7}">
      <text>
        <r>
          <rPr>
            <sz val="10"/>
            <color indexed="81"/>
            <rFont val="Lucida Console"/>
            <family val="3"/>
          </rPr>
          <t>Última movimentação no estoque em 04/2023 quantidade 10.</t>
        </r>
      </text>
    </comment>
    <comment ref="R470" authorId="0" shapeId="0" xr:uid="{E5B95C5F-F0F8-45F9-B818-4F4677E79CB0}">
      <text>
        <r>
          <rPr>
            <sz val="10"/>
            <color indexed="81"/>
            <rFont val="Lucida Console"/>
            <family val="3"/>
          </rPr>
          <t>01.01.1901</t>
        </r>
      </text>
    </comment>
    <comment ref="Y470" authorId="0" shapeId="0" xr:uid="{9E0D1AFE-AB1B-490E-BF77-CEEBBAFD24C6}">
      <text>
        <r>
          <rPr>
            <sz val="10"/>
            <color indexed="81"/>
            <rFont val="Courier New"/>
            <family val="3"/>
          </rPr>
          <t>_x000D_
    DESCRIÇÃO DO CÁLCULO_x000D_
Código    : 12.956_x000D_
Corte     : 110_x000D_
-----------------------------_x000D_
Pendente  : _x000D_
22 / 10_2 : 40_x000D_
22 / 11_2 : 32_x000D_
22 / 12_2 : 75_x000D_
23 / 01_2 : 57_x000D_
23 / 02_2 : 2_x000D_
23 / 03_2 : 61_x000D_
23 / 04_2 : 80_x000D_
23 / 05_2 : 50_x000D_
23 / 06_2 : _x000D_
23 / 07_2 : _x000D_
23 / 08_2 : 100_x000D_
23 / 09_2 : 50_x000D_
_x000D_
    TOTAL : ( 547 )_x000D_
  DIVISOR : 12_x000D_
    MÉDIA : 45,58</t>
        </r>
      </text>
    </comment>
    <comment ref="AB470" authorId="0" shapeId="0" xr:uid="{BB97D3B8-BD01-48E4-AC23-6EAA5E8B66EF}">
      <text>
        <r>
          <rPr>
            <sz val="10"/>
            <color indexed="81"/>
            <rFont val="Lucida Console"/>
            <family val="3"/>
          </rPr>
          <t>Última movimentação no estoque em 09/2023 quantidade 50.</t>
        </r>
      </text>
    </comment>
    <comment ref="R471" authorId="0" shapeId="0" xr:uid="{BA8775A6-5BAD-4026-B274-24717E36C854}">
      <text>
        <r>
          <rPr>
            <sz val="10"/>
            <color indexed="81"/>
            <rFont val="Lucida Console"/>
            <family val="3"/>
          </rPr>
          <t>01.01.1901</t>
        </r>
      </text>
    </comment>
    <comment ref="Y471" authorId="0" shapeId="0" xr:uid="{EAA483E6-9EF0-4420-AD15-8AAA30BB5E69}">
      <text>
        <r>
          <rPr>
            <sz val="10"/>
            <color indexed="81"/>
            <rFont val="Courier New"/>
            <family val="3"/>
          </rPr>
          <t>_x000D_
    DESCRIÇÃO DO CÁLCULO_x000D_
Código    : 61.201_x000D_
Corte     : 110_x000D_
-----------------------------_x000D_
Pendente  : _x000D_
22 / 10_2 : 28_x000D_
22 / 11_2 : 2_x000D_
22 / 12_2 : 6_x000D_
23 / 01_2 : 30_x000D_
23 / 02_2 : 11_x000D_
23 / 03_2 : 21_x000D_
23 / 04_2 : 44_x000D_
23 / 05_2 : 110 (corte = 152)_x000D_
23 / 06_2 : _x000D_
23 / 07_2 : _x000D_
23 / 08_2 : _x000D_
23 / 09_2 : 20_x000D_
_x000D_
    TOTAL : ( 272 )_x000D_
  DIVISOR : 12_x000D_
    MÉDIA : 22,67_x000D_
-----------------------------_x000D_
   Valores Desconsiderados_x000D_
-----------------------------_x000D_
23 / 05_2 : 42 (152)_x000D_
_x000D_
  TOTAL   : ( 42 )</t>
        </r>
      </text>
    </comment>
    <comment ref="AB471" authorId="0" shapeId="0" xr:uid="{C28C578A-B416-4D93-81AE-A4982DF085AB}">
      <text>
        <r>
          <rPr>
            <sz val="10"/>
            <color indexed="81"/>
            <rFont val="Lucida Console"/>
            <family val="3"/>
          </rPr>
          <t>Última movimentação no estoque em 09/2023 quantidade 20.</t>
        </r>
      </text>
    </comment>
    <comment ref="R472" authorId="0" shapeId="0" xr:uid="{6BDAD5F2-F7E2-4B93-AFDC-1A16358CFF67}">
      <text>
        <r>
          <rPr>
            <sz val="10"/>
            <color indexed="81"/>
            <rFont val="Lucida Console"/>
            <family val="3"/>
          </rPr>
          <t>01.01.1901</t>
        </r>
      </text>
    </comment>
    <comment ref="Y472" authorId="0" shapeId="0" xr:uid="{02E70088-1D31-48A0-842F-9B69965A9594}">
      <text>
        <r>
          <rPr>
            <sz val="10"/>
            <color indexed="81"/>
            <rFont val="Courier New"/>
            <family val="3"/>
          </rPr>
          <t>_x000D_
    DESCRIÇÃO DO CÁLCULO_x000D_
Código    : 59.400_x000D_
Corte     : 17_x000D_
-----------------------------_x000D_
Pendente  : _x000D_
22 / 10_2 : 4_x000D_
22 / 11_2 : 4_x000D_
22 / 12_2 : 11_x000D_
23 / 01_2 : 10_x000D_
23 / 02_2 : _x000D_
23 / 03_2 : 16_x000D_
23 / 04_2 : 15_x000D_
23 / 05_2 : _x000D_
23 / 06_2 : _x000D_
23 / 07_2 : _x000D_
23 / 08_2 : _x000D_
23 / 09_2 : _x000D_
_x000D_
    TOTAL : ( 60 )_x000D_
  DIVISOR : 12_x000D_
    MÉDIA : 5,00</t>
        </r>
      </text>
    </comment>
    <comment ref="AB472" authorId="0" shapeId="0" xr:uid="{8E085AD4-32E0-495A-9DB1-9FF7DBDB66A3}">
      <text>
        <r>
          <rPr>
            <sz val="10"/>
            <color indexed="81"/>
            <rFont val="Lucida Console"/>
            <family val="3"/>
          </rPr>
          <t>Última movimentação no estoque em 04/2023 quantidade 15.</t>
        </r>
      </text>
    </comment>
    <comment ref="R473" authorId="0" shapeId="0" xr:uid="{3BBF22AF-2862-4607-90E6-1AD3ADD24762}">
      <text>
        <r>
          <rPr>
            <sz val="10"/>
            <color indexed="81"/>
            <rFont val="Lucida Console"/>
            <family val="3"/>
          </rPr>
          <t>23.04.2019</t>
        </r>
      </text>
    </comment>
    <comment ref="Y473" authorId="0" shapeId="0" xr:uid="{EDB45ED6-DFF2-4EEB-81DB-DE49404C6F21}">
      <text>
        <r>
          <rPr>
            <sz val="10"/>
            <color indexed="81"/>
            <rFont val="Courier New"/>
            <family val="3"/>
          </rPr>
          <t>_x000D_
    DESCRIÇÃO DO CÁLCULO_x000D_
Código    : 136.855_x000D_
Corte     : 1_x000D_
-----------------------------_x000D_
Pendente  : _x000D_
22 / 10_2 : _x000D_
22 / 11_2 : _x000D_
22 / 12_2 : _x000D_
23 / 01_2 : _x000D_
23 / 02_2 : _x000D_
23 / 03_2 : _x000D_
23 / 04_2 : _x000D_
23 / 05_2 : _x000D_
23 / 06_2 : _x000D_
23 / 07_2 : 1 (corte = 3)_x000D_
23 / 08_2 : _x000D_
23 / 09_2 : _x000D_
_x000D_
    TOTAL : ( 1 )_x000D_
  DIVISOR : 12_x000D_
    MÉDIA : ,08_x000D_
-----------------------------_x000D_
   Valores Desconsiderados_x000D_
-----------------------------_x000D_
23 / 07_2 : 2 (3)_x000D_
_x000D_
  TOTAL   : ( 2 )</t>
        </r>
      </text>
    </comment>
    <comment ref="AB473" authorId="0" shapeId="0" xr:uid="{31964881-4FC7-493C-A42C-13AF2628303E}">
      <text>
        <r>
          <rPr>
            <sz val="10"/>
            <color indexed="81"/>
            <rFont val="Lucida Console"/>
            <family val="3"/>
          </rPr>
          <t>Última movimentação no estoque em 07/2023 quantidade 3.</t>
        </r>
      </text>
    </comment>
    <comment ref="R474" authorId="0" shapeId="0" xr:uid="{F925E2B7-2B1E-49E6-976C-06B8234CA939}">
      <text>
        <r>
          <rPr>
            <sz val="10"/>
            <color indexed="81"/>
            <rFont val="Lucida Console"/>
            <family val="3"/>
          </rPr>
          <t>12.03.2013</t>
        </r>
      </text>
    </comment>
    <comment ref="Y474" authorId="0" shapeId="0" xr:uid="{07880257-F3E1-4EB9-8B55-A63601089870}">
      <text>
        <r>
          <rPr>
            <sz val="10"/>
            <color indexed="81"/>
            <rFont val="Courier New"/>
            <family val="3"/>
          </rPr>
          <t>_x000D_
    DESCRIÇÃO DO CÁLCULO_x000D_
Código    : 125.173_x000D_
Corte     : 15_x000D_
-----------------------------_x000D_
Pendente  : _x000D_
22 / 10_2 : 2_x000D_
22 / 11_2 : 4_x000D_
22 / 12_2 : 4_x000D_
23 / 01_2 : 5_x000D_
23 / 02_2 : 2_x000D_
23 / 03_2 : 1_x000D_
23 / 04_2 : 15 (corte = 17)_x000D_
23 / 05_2 : _x000D_
23 / 06_2 : _x000D_
23 / 07_2 : _x000D_
23 / 08_2 : _x000D_
23 / 09_2 : 15_x000D_
_x000D_
    TOTAL : ( 48 )_x000D_
  DIVISOR : 12_x000D_
    MÉDIA : 4,00_x000D_
-----------------------------_x000D_
   Valores Desconsiderados_x000D_
-----------------------------_x000D_
23 / 04_2 : 2 (17)_x000D_
_x000D_
  TOTAL   : ( 2 )</t>
        </r>
      </text>
    </comment>
    <comment ref="AB474" authorId="0" shapeId="0" xr:uid="{04EF8F6D-A970-4230-A6A2-5443B60A491E}">
      <text>
        <r>
          <rPr>
            <sz val="10"/>
            <color indexed="81"/>
            <rFont val="Lucida Console"/>
            <family val="3"/>
          </rPr>
          <t>Última movimentação no estoque em 09/2023 quantidade 15.</t>
        </r>
      </text>
    </comment>
    <comment ref="R475" authorId="0" shapeId="0" xr:uid="{7BDE0737-0837-409D-A089-2392555151C1}">
      <text>
        <r>
          <rPr>
            <sz val="10"/>
            <color indexed="81"/>
            <rFont val="Lucida Console"/>
            <family val="3"/>
          </rPr>
          <t>01.01.1901</t>
        </r>
      </text>
    </comment>
    <comment ref="Y475" authorId="0" shapeId="0" xr:uid="{B38909C2-A9B5-4844-A1A8-8934216FAE65}">
      <text>
        <r>
          <rPr>
            <sz val="10"/>
            <color indexed="81"/>
            <rFont val="Courier New"/>
            <family val="3"/>
          </rPr>
          <t>_x000D_
    DESCRIÇÃO DO CÁLCULO_x000D_
Código    : 52.994_x000D_
Corte     : 13_x000D_
-----------------------------_x000D_
Pendente  : _x000D_
22 / 10_2 : _x000D_
22 / 11_2 : 1_x000D_
22 / 12_2 : _x000D_
23 / 01_2 : _x000D_
23 / 02_2 : _x000D_
23 / 03_2 : 4_x000D_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5" authorId="0" shapeId="0" xr:uid="{13487964-F5BA-4ACA-B45D-28C42B2F5135}">
      <text>
        <r>
          <rPr>
            <sz val="10"/>
            <color indexed="81"/>
            <rFont val="Lucida Console"/>
            <family val="3"/>
          </rPr>
          <t>Última movimentação no estoque em 04/2023 quantidade 20.</t>
        </r>
      </text>
    </comment>
    <comment ref="R476" authorId="0" shapeId="0" xr:uid="{1DA7F41A-1E23-475D-B2EB-A784EF79E5A9}">
      <text>
        <r>
          <rPr>
            <sz val="10"/>
            <color indexed="81"/>
            <rFont val="Lucida Console"/>
            <family val="3"/>
          </rPr>
          <t>01.01.1901</t>
        </r>
      </text>
    </comment>
    <comment ref="Y476" authorId="0" shapeId="0" xr:uid="{9626A158-BDAA-4A5A-B61B-960534761894}">
      <text>
        <r>
          <rPr>
            <sz val="10"/>
            <color indexed="81"/>
            <rFont val="Courier New"/>
            <family val="3"/>
          </rPr>
          <t>_x000D_
    DESCRIÇÃO DO CÁLCULO_x000D_
Código    : 64.635_x000D_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476" authorId="0" shapeId="0" xr:uid="{6A1672F8-2A9E-4C26-B903-D24F21EBAE86}">
      <text>
        <r>
          <rPr>
            <sz val="10"/>
            <color indexed="81"/>
            <rFont val="Lucida Console"/>
            <family val="3"/>
          </rPr>
          <t>Última movimentação no estoque em 01/2023 quantidade 2.</t>
        </r>
      </text>
    </comment>
    <comment ref="R477" authorId="0" shapeId="0" xr:uid="{BF79ACA0-EE94-41C8-A408-476F14841276}">
      <text>
        <r>
          <rPr>
            <sz val="10"/>
            <color indexed="81"/>
            <rFont val="Lucida Console"/>
            <family val="3"/>
          </rPr>
          <t>01.01.1901</t>
        </r>
      </text>
    </comment>
    <comment ref="Y477" authorId="0" shapeId="0" xr:uid="{7AE3D391-B614-487A-9418-8D29888C6B78}">
      <text>
        <r>
          <rPr>
            <sz val="10"/>
            <color indexed="81"/>
            <rFont val="Courier New"/>
            <family val="3"/>
          </rPr>
          <t>_x000D_
    DESCRIÇÃO DO CÁLCULO_x000D_
Código    : 64.636_x000D_
Corte     : 16_x000D_
-----------------------------_x000D_
Pendente  : _x000D_
22 / 10_2 : 4_x000D_
22 / 11_2 : 6_x000D_
22 / 12_2 : 10_x000D_
23 / 01_2 : 3_x000D_
23 / 02_2 : 3_x000D_
23 / 03_2 : 8_x000D_
23 / 04_2 : 16 (corte = 20)_x000D_
23 / 05_2 : _x000D_
23 / 06_2 : _x000D_
23 / 07_2 : _x000D_
23 / 08_2 : _x000D_
23 / 09_2 : _x000D_
_x000D_
    TOTAL : ( 50 )_x000D_
  DIVISOR : 12_x000D_
    MÉDIA : 4,17_x000D_
-----------------------------_x000D_
   Valores Desconsiderados_x000D_
-----------------------------_x000D_
23 / 04_2 : 4 (20)_x000D_
_x000D_
  TOTAL   : ( 4 )</t>
        </r>
      </text>
    </comment>
    <comment ref="AB477" authorId="0" shapeId="0" xr:uid="{DEFBB0B2-E430-4390-A62A-3D69C51E46B0}">
      <text>
        <r>
          <rPr>
            <sz val="10"/>
            <color indexed="81"/>
            <rFont val="Lucida Console"/>
            <family val="3"/>
          </rPr>
          <t>Última movimentação no estoque em 04/2023 quantidade 20.</t>
        </r>
      </text>
    </comment>
    <comment ref="R478" authorId="0" shapeId="0" xr:uid="{F09F86E8-5B72-4A21-9F5C-37DC8FA6BA03}">
      <text>
        <r>
          <rPr>
            <sz val="10"/>
            <color indexed="81"/>
            <rFont val="Lucida Console"/>
            <family val="3"/>
          </rPr>
          <t>01.01.1901</t>
        </r>
      </text>
    </comment>
    <comment ref="Y478" authorId="0" shapeId="0" xr:uid="{A8E50C3C-DB12-4FCB-9247-01C44BE87FE1}">
      <text>
        <r>
          <rPr>
            <sz val="10"/>
            <color indexed="81"/>
            <rFont val="Courier New"/>
            <family val="3"/>
          </rPr>
          <t>_x000D_
    DESCRIÇÃO DO CÁLCULO_x000D_
Código    : 44.789_x000D_
Corte     : 13_x000D_
-----------------------------_x000D_
Pendente  : _x000D_
22 / 10_2 : _x000D_
22 / 11_2 : _x000D_
22 / 12_2 : 2_x000D_
23 / 01_2 : _x000D_
23 / 02_2 : _x000D_
23 / 03_2 : 3_x000D_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8" authorId="0" shapeId="0" xr:uid="{7C2F983E-CDF2-447C-A29C-4F4F175E8A3B}">
      <text>
        <r>
          <rPr>
            <sz val="10"/>
            <color indexed="81"/>
            <rFont val="Lucida Console"/>
            <family val="3"/>
          </rPr>
          <t>Última movimentação no estoque em 04/2023 quantidade 20.</t>
        </r>
      </text>
    </comment>
    <comment ref="R479" authorId="0" shapeId="0" xr:uid="{72E1C633-7045-4D39-8760-B4414301B1AF}">
      <text>
        <r>
          <rPr>
            <sz val="10"/>
            <color indexed="81"/>
            <rFont val="Lucida Console"/>
            <family val="3"/>
          </rPr>
          <t>01.01.1901</t>
        </r>
      </text>
    </comment>
    <comment ref="Y479" authorId="0" shapeId="0" xr:uid="{F3A4097F-DD03-4463-879E-C36BA6329EC8}">
      <text>
        <r>
          <rPr>
            <sz val="10"/>
            <color indexed="81"/>
            <rFont val="Courier New"/>
            <family val="3"/>
          </rPr>
          <t>_x000D_
    DESCRIÇÃO DO CÁLCULO_x000D_
Código    : 12.922_x000D_
Corte     : 10_x000D_
-----------------------------_x000D_
Pendente  : 5_x000D_
22 / 10_2 : 1_x000D_
22 / 11_2 : _x000D_
22 / 12_2 : _x000D_
23 / 01_2 : _x000D_
23 / 02_2 : _x000D_
23 / 03_2 : 4_x000D_
23 / 04_2 : 10 (corte = 15)_x000D_
23 / 05_2 : _x000D_
23 / 06_2 : _x000D_
23 / 07_2 : _x000D_
23 / 08_2 : _x000D_
23 / 09_2 : _x000D_
_x000D_
    TOTAL : ( 20 )_x000D_
  DIVISOR : 12_x000D_
    MÉDIA : 1,67_x000D_
-----------------------------_x000D_
   Valores Desconsiderados_x000D_
-----------------------------_x000D_
23 / 04_2 : 5 (15)_x000D_
_x000D_
  TOTAL   : ( 5 )</t>
        </r>
      </text>
    </comment>
    <comment ref="AB479" authorId="0" shapeId="0" xr:uid="{C8A305F9-01C5-4C98-8979-B705A896A555}">
      <text>
        <r>
          <rPr>
            <sz val="10"/>
            <color indexed="81"/>
            <rFont val="Lucida Console"/>
            <family val="3"/>
          </rPr>
          <t>Última movimentação no estoque em 04/2023 quantidade 15.</t>
        </r>
      </text>
    </comment>
    <comment ref="R480" authorId="0" shapeId="0" xr:uid="{A68A71DF-DB7D-43D6-8F51-62A9F078784E}">
      <text>
        <r>
          <rPr>
            <sz val="10"/>
            <color indexed="81"/>
            <rFont val="Lucida Console"/>
            <family val="3"/>
          </rPr>
          <t>25.04.2019</t>
        </r>
      </text>
    </comment>
    <comment ref="Y480" authorId="0" shapeId="0" xr:uid="{6F6ADB46-FA6D-445A-81ED-EA418EA1DE95}">
      <text>
        <r>
          <rPr>
            <sz val="10"/>
            <color indexed="81"/>
            <rFont val="Courier New"/>
            <family val="3"/>
          </rPr>
          <t>_x000D_
    DESCRIÇÃO DO CÁLCULO_x000D_
Código    : 136.881_x000D_
Corte     : 41_x000D_
-----------------------------_x000D_
Pendente  : 20_x000D_
22 / 10_2 : 23_x000D_
22 / 11_2 : 22_x000D_
22 / 12_2 : 19_x000D_
23 / 01_2 : 2_x000D_
23 / 02_2 : 22_x000D_
23 / 03_2 : 31_x000D_
23 / 04_2 : 15_x000D_
23 / 05_2 : 35_x000D_
23 / 06_2 : 24_x000D_
23 / 07_2 : 22_x000D_
23 / 08_2 : 28_x000D_
23 / 09_2 : 1_x000D_
_x000D_
    TOTAL : ( 264 )_x000D_
  DIVISOR : 12_x000D_
    MÉDIA : 22,00</t>
        </r>
      </text>
    </comment>
    <comment ref="AB480" authorId="0" shapeId="0" xr:uid="{D4A60733-EEA7-4ADF-9C53-470F9F5B6FA9}">
      <text>
        <r>
          <rPr>
            <sz val="10"/>
            <color indexed="81"/>
            <rFont val="Lucida Console"/>
            <family val="3"/>
          </rPr>
          <t>Última movimentação no estoque em 09/2023 quantidade 1.</t>
        </r>
      </text>
    </comment>
    <comment ref="R481" authorId="0" shapeId="0" xr:uid="{8B17D598-CC9E-4526-AB7B-14364DD78C29}">
      <text>
        <r>
          <rPr>
            <sz val="10"/>
            <color indexed="81"/>
            <rFont val="Lucida Console"/>
            <family val="3"/>
          </rPr>
          <t>30.08.2021</t>
        </r>
      </text>
    </comment>
    <comment ref="Y481" authorId="0" shapeId="0" xr:uid="{BC67F1BE-2C66-48B4-B992-400205F4E6DD}">
      <text>
        <r>
          <rPr>
            <sz val="10"/>
            <color indexed="81"/>
            <rFont val="Courier New"/>
            <family val="3"/>
          </rPr>
          <t>_x000D_
    DESCRIÇÃO DO CÁLCULO_x000D_
Código    : 143.099_x000D_
Corte     : 161_x000D_
-----------------------------_x000D_
Pendente  : _x000D_
22 / 10_2 : 90_x000D_
22 / 11_2 : 104_x000D_
22 / 12_2 : 56_x000D_
23 / 01_2 : 12_x000D_
23 / 02_2 : 136_x000D_
23 / 03_2 : 137_x000D_
23 / 04_2 : 45_x000D_
23 / 05_2 : 101_x000D_
23 / 06_2 : 79_x000D_
23 / 07_2 : 86_x000D_
23 / 08_2 : 110_x000D_
23 / 09_2 : 106_x000D_
_x000D_
    TOTAL : ( 1.062 )_x000D_
  DIVISOR : 12_x000D_
    MÉDIA : 88,50</t>
        </r>
      </text>
    </comment>
    <comment ref="AB481" authorId="0" shapeId="0" xr:uid="{5FE120B5-38EC-4BA9-97D9-EE620343A45C}">
      <text>
        <r>
          <rPr>
            <sz val="10"/>
            <color indexed="81"/>
            <rFont val="Lucida Console"/>
            <family val="3"/>
          </rPr>
          <t>Última movimentação no estoque em 09/2023 quantidade 106.</t>
        </r>
      </text>
    </comment>
    <comment ref="R482" authorId="0" shapeId="0" xr:uid="{162A6082-61A2-49AC-B344-B430E199BC56}">
      <text>
        <r>
          <rPr>
            <sz val="10"/>
            <color indexed="81"/>
            <rFont val="Lucida Console"/>
            <family val="3"/>
          </rPr>
          <t>14.08.2003</t>
        </r>
      </text>
    </comment>
    <comment ref="Y482" authorId="0" shapeId="0" xr:uid="{7F164BDD-AAA5-4036-9F16-8AFE7912DC6E}">
      <text>
        <r>
          <rPr>
            <sz val="10"/>
            <color indexed="81"/>
            <rFont val="Courier New"/>
            <family val="3"/>
          </rPr>
          <t>_x000D_
    DESCRIÇÃO DO CÁLCULO_x000D_
Código    : 74.979_x000D_
Corte     : 17_x000D_
-----------------------------_x000D_
Pendente  : _x000D_
22 / 10_2 : 1_x000D_
22 / 11_2 : _x000D_
22 / 12_2 : 8_x000D_
23 / 01_2 : 6_x000D_
23 / 02_2 : _x000D_
23 / 03_2 : 2_x000D_
23 / 04_2 : 10_x000D_
23 / 05_2 : _x000D_
23 / 06_2 : 17 (corte = 20)_x000D_
23 / 07_2 : _x000D_
23 / 08_2 : _x000D_
23 / 09_2 : 10_x000D_
_x000D_
    TOTAL : ( 54 )_x000D_
  DIVISOR : 12_x000D_
    MÉDIA : 4,50_x000D_
-----------------------------_x000D_
   Valores Desconsiderados_x000D_
-----------------------------_x000D_
23 / 06_2 : 3 (20)_x000D_
_x000D_
  TOTAL   : ( 3 )</t>
        </r>
      </text>
    </comment>
    <comment ref="AB482" authorId="0" shapeId="0" xr:uid="{EC65DC80-672C-4C18-A16F-FB766655C57D}">
      <text>
        <r>
          <rPr>
            <sz val="10"/>
            <color indexed="81"/>
            <rFont val="Lucida Console"/>
            <family val="3"/>
          </rPr>
          <t>Última movimentação no estoque em 09/2023 quantidade 10.</t>
        </r>
      </text>
    </comment>
    <comment ref="R483" authorId="0" shapeId="0" xr:uid="{751C41CC-76D4-404D-BE55-8F9E3A4DDFE2}">
      <text>
        <r>
          <rPr>
            <sz val="10"/>
            <color indexed="81"/>
            <rFont val="Lucida Console"/>
            <family val="3"/>
          </rPr>
          <t>14.08.2003</t>
        </r>
      </text>
    </comment>
    <comment ref="Y483" authorId="0" shapeId="0" xr:uid="{A7906B39-2FFC-4FB9-B116-10D94047A68B}">
      <text>
        <r>
          <rPr>
            <sz val="10"/>
            <color indexed="81"/>
            <rFont val="Courier New"/>
            <family val="3"/>
          </rPr>
          <t>_x000D_
    DESCRIÇÃO DO CÁLCULO_x000D_
Código    : 74.976_x000D_
Corte     : 34_x000D_
-----------------------------_x000D_
Pendente  : _x000D_
22 / 10_2 : _x000D_
22 / 11_2 : 2_x000D_
22 / 12_2 : 4_x000D_
23 / 01_2 : 10_x000D_
23 / 02_2 : _x000D_
23 / 03_2 : _x000D_
23 / 04_2 : _x000D_
23 / 05_2 : _x000D_
23 / 06_2 : _x000D_
23 / 07_2 : _x000D_
23 / 08_2 : 34 (corte = 50)_x000D_
23 / 09_2 : _x000D_
_x000D_
    TOTAL : ( 50 )_x000D_
  DIVISOR : 12_x000D_
    MÉDIA : 4,17_x000D_
-----------------------------_x000D_
   Valores Desconsiderados_x000D_
-----------------------------_x000D_
23 / 08_2 : 16 (50)_x000D_
_x000D_
  TOTAL   : ( 16 )</t>
        </r>
      </text>
    </comment>
    <comment ref="AB483" authorId="0" shapeId="0" xr:uid="{9E4BB4C6-EAEF-4E8A-8499-40C77B99FB35}">
      <text>
        <r>
          <rPr>
            <sz val="10"/>
            <color indexed="81"/>
            <rFont val="Lucida Console"/>
            <family val="3"/>
          </rPr>
          <t>Última movimentação no estoque em 08/2023 quantidade 50.</t>
        </r>
      </text>
    </comment>
    <comment ref="R484" authorId="0" shapeId="0" xr:uid="{D5E61741-0C6A-47CD-BA9F-CD7BE1787C6E}">
      <text>
        <r>
          <rPr>
            <sz val="10"/>
            <color indexed="81"/>
            <rFont val="Lucida Console"/>
            <family val="3"/>
          </rPr>
          <t>23.04.2019</t>
        </r>
      </text>
    </comment>
    <comment ref="Y484" authorId="0" shapeId="0" xr:uid="{FDD0877B-5839-4288-8752-4647E8B35311}">
      <text>
        <r>
          <rPr>
            <sz val="10"/>
            <color indexed="81"/>
            <rFont val="Courier New"/>
            <family val="3"/>
          </rPr>
          <t>_x000D_
    DESCRIÇÃO DO CÁLCULO_x000D_
Código    : 136.853_x000D_
Corte     : 7_x000D_
-----------------------------_x000D_
Pendente  : _x000D_
22 / 10_2 : _x000D_
22 / 11_2 : _x000D_
22 / 12_2 : _x000D_
23 / 01_2 : 6_x000D_
23 / 02_2 : _x000D_
23 / 03_2 : 3_x000D_
23 / 04_2 : 6_x000D_
23 / 05_2 : 6_x000D_
23 / 06_2 : _x000D_
23 / 07_2 : _x000D_
23 / 08_2 : _x000D_
23 / 09_2 : _x000D_
_x000D_
    TOTAL : ( 21 )_x000D_
  DIVISOR : 12_x000D_
    MÉDIA : 1,75</t>
        </r>
      </text>
    </comment>
    <comment ref="AB484" authorId="0" shapeId="0" xr:uid="{6A497897-A295-459C-8BA1-AC54C7C4F6ED}">
      <text>
        <r>
          <rPr>
            <sz val="10"/>
            <color indexed="81"/>
            <rFont val="Lucida Console"/>
            <family val="3"/>
          </rPr>
          <t>Última movimentação no estoque em 05/2023 quantidade 6.</t>
        </r>
      </text>
    </comment>
    <comment ref="R485" authorId="0" shapeId="0" xr:uid="{F23A9C84-09D2-44CE-8D60-61CAA227F623}">
      <text>
        <r>
          <rPr>
            <sz val="10"/>
            <color indexed="81"/>
            <rFont val="Lucida Console"/>
            <family val="3"/>
          </rPr>
          <t>01.01.1901</t>
        </r>
      </text>
    </comment>
    <comment ref="Y485" authorId="0" shapeId="0" xr:uid="{14160E3B-BF17-4C82-B6A2-90134F58FE36}">
      <text>
        <r>
          <rPr>
            <sz val="10"/>
            <color indexed="81"/>
            <rFont val="Courier New"/>
            <family val="3"/>
          </rPr>
          <t>_x000D_
    DESCRIÇÃO DO CÁLCULO_x000D_
Código    : 49.695_x000D_
Corte     : 88_x000D_
-----------------------------_x000D_
Pendente  : 71_x000D_
22 / 10_2 : 15_x000D_
22 / 11_2 : _x000D_
22 / 12_2 : 30_x000D_
23 / 01_2 : _x000D_
23 / 02_2 : 30_x000D_
23 / 03_2 : 50_x000D_
23 / 04_2 : 60_x000D_
23 / 05_2 : 80_x000D_
23 / 06_2 : 29_x000D_
23 / 07_2 : _x000D_
23 / 08_2 : _x000D_
23 / 09_2 : _x000D_
_x000D_
    TOTAL : ( 365 )_x000D_
  DIVISOR : 12_x000D_
    MÉDIA : 30,42</t>
        </r>
      </text>
    </comment>
    <comment ref="AB485" authorId="0" shapeId="0" xr:uid="{7D817928-4F27-4E3F-9886-CA5396149374}">
      <text>
        <r>
          <rPr>
            <sz val="10"/>
            <color indexed="81"/>
            <rFont val="Lucida Console"/>
            <family val="3"/>
          </rPr>
          <t>Última movimentação no estoque em 06/2023 quantidade 29.</t>
        </r>
      </text>
    </comment>
    <comment ref="R486" authorId="0" shapeId="0" xr:uid="{509B22F8-3EA4-4B81-A37F-44B9903C6FF2}">
      <text>
        <r>
          <rPr>
            <sz val="10"/>
            <color indexed="81"/>
            <rFont val="Lucida Console"/>
            <family val="3"/>
          </rPr>
          <t>22.08.2012</t>
        </r>
      </text>
    </comment>
    <comment ref="Y486" authorId="0" shapeId="0" xr:uid="{ECC2F3FB-B031-4391-8273-6E4544B68C2B}">
      <text>
        <r>
          <rPr>
            <sz val="10"/>
            <color indexed="81"/>
            <rFont val="Courier New"/>
            <family val="3"/>
          </rPr>
          <t>_x000D_
    DESCRIÇÃO DO CÁLCULO_x000D_
Código    : 123.710_x000D_
Corte     : 32_x000D_
-----------------------------_x000D_
Pendente  : 6_x000D_
22 / 10_2 : 7_x000D_
22 / 11_2 : 7_x000D_
22 / 12_2 : 5_x000D_
23 / 01_2 : 5_x000D_
23 / 02_2 : 11_x000D_
23 / 03_2 : 32 (corte = 34)_x000D_
23 / 04_2 : 18_x000D_
23 / 05_2 : 22_x000D_
23 / 06_2 : 19_x000D_
23 / 07_2 : 16_x000D_
23 / 08_2 : 1_x000D_
23 / 09_2 : 17_x000D_
_x000D_
    TOTAL : ( 166 )_x000D_
  DIVISOR : 12_x000D_
    MÉDIA : 13,83_x000D_
-----------------------------_x000D_
   Valores Desconsiderados_x000D_
-----------------------------_x000D_
23 / 03_2 : 2 (34)_x000D_
_x000D_
  TOTAL   : ( 2 )</t>
        </r>
      </text>
    </comment>
    <comment ref="AB486" authorId="0" shapeId="0" xr:uid="{058F5156-1646-4A03-A18D-A28165965E39}">
      <text>
        <r>
          <rPr>
            <sz val="10"/>
            <color indexed="81"/>
            <rFont val="Lucida Console"/>
            <family val="3"/>
          </rPr>
          <t>Última movimentação no estoque em 09/2023 quantidade 17.</t>
        </r>
      </text>
    </comment>
    <comment ref="R487" authorId="0" shapeId="0" xr:uid="{633A84B8-794A-4317-866B-08D29DAEC82F}">
      <text>
        <r>
          <rPr>
            <sz val="10"/>
            <color indexed="81"/>
            <rFont val="Lucida Console"/>
            <family val="3"/>
          </rPr>
          <t>18.02.2014</t>
        </r>
      </text>
    </comment>
    <comment ref="Y487" authorId="0" shapeId="0" xr:uid="{52912E94-1D87-4C96-8C1E-C25ABDB85723}">
      <text>
        <r>
          <rPr>
            <sz val="10"/>
            <color indexed="81"/>
            <rFont val="Courier New"/>
            <family val="3"/>
          </rPr>
          <t>_x000D_
    DESCRIÇÃO DO CÁLCULO_x000D_
Código    : 127.384_x000D_
Corte     : 72_x000D_
-----------------------------_x000D_
Pendente  : _x000D_
22 / 10_2 : 12_x000D_
22 / 11_2 : 18_x000D_
22 / 12_2 : 27_x000D_
23 / 01_2 : 18_x000D_
23 / 02_2 : 32_x000D_
23 / 03_2 : 53_x000D_
23 / 04_2 : 63_x000D_
23 / 05_2 : 60_x000D_
23 / 06_2 : 15_x000D_
23 / 07_2 : _x000D_
23 / 08_2 : 50_x000D_
23 / 09_2 : 10_x000D_
_x000D_
    TOTAL : ( 358 )_x000D_
  DIVISOR : 12_x000D_
    MÉDIA : 29,83</t>
        </r>
      </text>
    </comment>
    <comment ref="AB487" authorId="0" shapeId="0" xr:uid="{ACDA5662-BDE1-475C-B706-1A3C86BF45BE}">
      <text>
        <r>
          <rPr>
            <sz val="10"/>
            <color indexed="81"/>
            <rFont val="Lucida Console"/>
            <family val="3"/>
          </rPr>
          <t>Última movimentação no estoque em 09/2023 quantidade 10.</t>
        </r>
      </text>
    </comment>
    <comment ref="R488" authorId="0" shapeId="0" xr:uid="{030AC406-3AC6-44F4-B535-D34163A9F9B4}">
      <text>
        <r>
          <rPr>
            <sz val="10"/>
            <color indexed="81"/>
            <rFont val="Lucida Console"/>
            <family val="3"/>
          </rPr>
          <t>05.05.2017</t>
        </r>
      </text>
    </comment>
    <comment ref="Y488" authorId="0" shapeId="0" xr:uid="{ED09D203-8C23-4610-8687-CCEC3386F386}">
      <text>
        <r>
          <rPr>
            <sz val="10"/>
            <color indexed="81"/>
            <rFont val="Courier New"/>
            <family val="3"/>
          </rPr>
          <t>_x000D_
    DESCRIÇÃO DO CÁLCULO_x000D_
Código    : 132.655_x000D_
Corte     : 11.480_x000D_
-----------------------------_x000D_
Pendente  : 840_x000D_
22 / 10_2 : _x000D_
22 / 11_2 : 126_x000D_
22 / 12_2 : _x000D_
23 / 01_2 : 1.175_x000D_
23 / 02_2 : 2.282_x000D_
23 / 03_2 : 11.480 (corte = 16416)_x000D_
23 / 04_2 : 2.413_x000D_
23 / 05_2 : 2.752_x000D_
23 / 06_2 : 2.664_x000D_
23 / 07_2 : 2.247_x000D_
23 / 08_2 : 2.467_x000D_
23 / 09_2 : 2.664_x000D_
_x000D_
    TOTAL : ( 31.110 )_x000D_
  DIVISOR : 12_x000D_
    MÉDIA : 2.592,50_x000D_
-----------------------------_x000D_
   Valores Desconsiderados_x000D_
-----------------------------_x000D_
23 / 03_2 : 4.936 (16.416)_x000D_
_x000D_
  TOTAL   : ( 4.936 )</t>
        </r>
      </text>
    </comment>
    <comment ref="AB488" authorId="0" shapeId="0" xr:uid="{B2AED3B7-7E1E-4A1B-BFAB-74114A97004D}">
      <text>
        <r>
          <rPr>
            <sz val="10"/>
            <color indexed="81"/>
            <rFont val="Lucida Console"/>
            <family val="3"/>
          </rPr>
          <t>Última movimentação no estoque em 09/2023 quantidade 2.664.</t>
        </r>
      </text>
    </comment>
    <comment ref="R489" authorId="0" shapeId="0" xr:uid="{B0D343A6-3EB6-4A79-9EF0-43688BA4B4CC}">
      <text>
        <r>
          <rPr>
            <sz val="10"/>
            <color indexed="81"/>
            <rFont val="Lucida Console"/>
            <family val="3"/>
          </rPr>
          <t>05.05.2017</t>
        </r>
      </text>
    </comment>
    <comment ref="Y489" authorId="0" shapeId="0" xr:uid="{BDC1BB60-B86E-4ABB-8C33-E6027C747AB8}">
      <text>
        <r>
          <rPr>
            <sz val="10"/>
            <color indexed="81"/>
            <rFont val="Courier New"/>
            <family val="3"/>
          </rPr>
          <t>_x000D_
    DESCRIÇÃO DO CÁLCULO_x000D_
Código    : 132.656_x000D_
Corte     : 11.403_x000D_
-----------------------------_x000D_
Pendente  : 1.855_x000D_
22 / 10_2 : 170_x000D_
22 / 11_2 : 133_x000D_
22 / 12_2 : _x000D_
23 / 01_2 : 1.241_x000D_
23 / 02_2 : 2.271_x000D_
23 / 03_2 : 11.403 (corte = 16392)_x000D_
23 / 04_2 : 2.423_x000D_
23 / 05_2 : 2.719_x000D_
23 / 06_2 : 2.693_x000D_
23 / 07_2 : 2.164_x000D_
23 / 08_2 : 2.403_x000D_
23 / 09_2 : 1.033_x000D_
_x000D_
    TOTAL : ( 30.508 )_x000D_
  DIVISOR : 12_x000D_
    MÉDIA : 2.542,33_x000D_
-----------------------------_x000D_
   Valores Desconsiderados_x000D_
-----------------------------_x000D_
23 / 03_2 : 4.989 (16.392)_x000D_
_x000D_
  TOTAL   : ( 4.989 )</t>
        </r>
      </text>
    </comment>
    <comment ref="AB489" authorId="0" shapeId="0" xr:uid="{5789CF35-7650-4132-A7C3-E21F4C8306EB}">
      <text>
        <r>
          <rPr>
            <sz val="10"/>
            <color indexed="81"/>
            <rFont val="Lucida Console"/>
            <family val="3"/>
          </rPr>
          <t>Última movimentação no estoque em 09/2023 quantidade 1.033.</t>
        </r>
      </text>
    </comment>
    <comment ref="R490" authorId="0" shapeId="0" xr:uid="{6C417927-7D2A-4131-8C2C-419FC787ADEE}">
      <text>
        <r>
          <rPr>
            <sz val="10"/>
            <color indexed="81"/>
            <rFont val="Lucida Console"/>
            <family val="3"/>
          </rPr>
          <t>01.01.1901</t>
        </r>
      </text>
    </comment>
    <comment ref="Y490" authorId="0" shapeId="0" xr:uid="{A36D1163-D2BE-4249-943A-D1D14D2570CF}">
      <text>
        <r>
          <rPr>
            <sz val="10"/>
            <color indexed="81"/>
            <rFont val="Courier New"/>
            <family val="3"/>
          </rPr>
          <t>_x000D_
    DESCRIÇÃO DO CÁLCULO_x000D_
Código    : 10.412_x000D_
Corte     : 156_x000D_
-----------------------------_x000D_
Pendente  : 132_x000D_
22 / 10_2 : 50_x000D_
22 / 11_2 : 109_x000D_
22 / 12_2 : 98_x000D_
23 / 01_2 : 71_x000D_
23 / 02_2 : 70_x000D_
23 / 03_2 : 108_x000D_
23 / 04_2 : 121_x000D_
23 / 05_2 : 70_x000D_
23 / 06_2 : 120_x000D_
23 / 07_2 : 118_x000D_
23 / 08_2 : 115_x000D_
23 / 09_2 : 89_x000D_
_x000D_
    TOTAL : ( 1.271 )_x000D_
  DIVISOR : 12_x000D_
    MÉDIA : 105,88</t>
        </r>
      </text>
    </comment>
    <comment ref="AB490" authorId="0" shapeId="0" xr:uid="{9A59343D-8EEA-41AC-BBE4-007C57AC3E9E}">
      <text>
        <r>
          <rPr>
            <sz val="10"/>
            <color indexed="81"/>
            <rFont val="Lucida Console"/>
            <family val="3"/>
          </rPr>
          <t>Última movimentação no estoque em 09/2023 quantidade 89.</t>
        </r>
      </text>
    </comment>
    <comment ref="R491" authorId="0" shapeId="0" xr:uid="{CC17BED8-0FCE-4C3D-AF3D-252C1F5104A0}">
      <text>
        <r>
          <rPr>
            <sz val="10"/>
            <color indexed="81"/>
            <rFont val="Lucida Console"/>
            <family val="3"/>
          </rPr>
          <t>01.01.1901</t>
        </r>
      </text>
    </comment>
    <comment ref="Y491" authorId="0" shapeId="0" xr:uid="{01E9E196-0886-4E2D-8E4A-44EC9C4914AA}">
      <text>
        <r>
          <rPr>
            <sz val="10"/>
            <color indexed="81"/>
            <rFont val="Courier New"/>
            <family val="3"/>
          </rPr>
          <t>_x000D_
    DESCRIÇÃO DO CÁLCULO_x000D_
Código    : 23.016_x000D_
Corte     : 18_x000D_
-----------------------------_x000D_
Pendente  : _x000D_
22 / 10_2 : 15_x000D_
22 / 11_2 : 3_x000D_
22 / 12_2 : _x000D_
23 / 01_2 : 2_x000D_
23 / 02_2 : _x000D_
23 / 03_2 : 3_x000D_
23 / 04_2 : 2_x000D_
23 / 05_2 : _x000D_
23 / 06_2 : _x000D_
23 / 07_2 : _x000D_
23 / 08_2 : 18 (corte = 22)_x000D_
23 / 09_2 : _x000D_
_x000D_
    TOTAL : ( 43 )_x000D_
  DIVISOR : 12_x000D_
    MÉDIA : 3,58_x000D_
-----------------------------_x000D_
   Valores Desconsiderados_x000D_
-----------------------------_x000D_
23 / 08_2 : 4 (22)_x000D_
_x000D_
  TOTAL   : ( 4 )</t>
        </r>
      </text>
    </comment>
    <comment ref="AB491" authorId="0" shapeId="0" xr:uid="{4AB028C5-6311-4B3F-93CB-13293439DF9C}">
      <text>
        <r>
          <rPr>
            <sz val="10"/>
            <color indexed="81"/>
            <rFont val="Lucida Console"/>
            <family val="3"/>
          </rPr>
          <t>Última movimentação no estoque em 08/2023 quantidade 22.</t>
        </r>
      </text>
    </comment>
    <comment ref="R492" authorId="0" shapeId="0" xr:uid="{CDECC9CA-AC5A-4AFA-AF61-94245A1ADFF6}">
      <text>
        <r>
          <rPr>
            <sz val="10"/>
            <color indexed="81"/>
            <rFont val="Lucida Console"/>
            <family val="3"/>
          </rPr>
          <t>01.01.1901</t>
        </r>
      </text>
    </comment>
    <comment ref="Y492" authorId="0" shapeId="0" xr:uid="{B1778543-B9BD-4C51-9EE3-0D97ED977AD9}">
      <text>
        <r>
          <rPr>
            <sz val="10"/>
            <color indexed="81"/>
            <rFont val="Courier New"/>
            <family val="3"/>
          </rPr>
          <t>_x000D_
    DESCRIÇÃO DO CÁLCULO_x000D_
Código    : 14.001_x000D_
Corte     : 49_x000D_
-----------------------------_x000D_
Pendente  : _x000D_
22 / 10_2 : 27_x000D_
22 / 11_2 : 30_x000D_
22 / 12_2 : 30_x000D_
23 / 01_2 : 34_x000D_
23 / 02_2 : 10_x000D_
23 / 03_2 : 34_x000D_
23 / 04_2 : 10_x000D_
23 / 05_2 : 40_x000D_
23 / 06_2 : _x000D_
23 / 07_2 : _x000D_
23 / 08_2 : _x000D_
23 / 09_2 : _x000D_
_x000D_
    TOTAL : ( 215 )_x000D_
  DIVISOR : 12_x000D_
    MÉDIA : 17,92</t>
        </r>
      </text>
    </comment>
    <comment ref="AB492" authorId="0" shapeId="0" xr:uid="{0A8625CE-765D-420C-AE88-41C39773D599}">
      <text>
        <r>
          <rPr>
            <sz val="10"/>
            <color indexed="81"/>
            <rFont val="Lucida Console"/>
            <family val="3"/>
          </rPr>
          <t>Última movimentação no estoque em 05/2023 quantidade 40.</t>
        </r>
      </text>
    </comment>
    <comment ref="R493" authorId="0" shapeId="0" xr:uid="{EA0D929A-51B1-4838-9CFF-A9934BF6DF3D}">
      <text>
        <r>
          <rPr>
            <sz val="10"/>
            <color indexed="81"/>
            <rFont val="Lucida Console"/>
            <family val="3"/>
          </rPr>
          <t>01.01.1901</t>
        </r>
      </text>
    </comment>
    <comment ref="Y493" authorId="0" shapeId="0" xr:uid="{EFDAF4CF-CA0D-4E71-A0B4-B9B37F689807}">
      <text>
        <r>
          <rPr>
            <sz val="10"/>
            <color indexed="81"/>
            <rFont val="Courier New"/>
            <family val="3"/>
          </rPr>
          <t>_x000D_
    DESCRIÇÃO DO CÁLCULO_x000D_
Código    : 63.382_x000D_
Corte     : 21_x000D_
-----------------------------_x000D_
Pendente  : _x000D_
22 / 10_2 : 1_x000D_
22 / 11_2 : 1_x000D_
22 / 12_2 : _x000D_
23 / 01_2 : _x000D_
23 / 02_2 : 2_x000D_
23 / 03_2 : 1_x000D_
23 / 04_2 : 21 (corte = 32)_x000D_
23 / 05_2 : _x000D_
23 / 06_2 : _x000D_
23 / 07_2 : _x000D_
23 / 08_2 : _x000D_
23 / 09_2 : _x000D_
_x000D_
    TOTAL : ( 26 )_x000D_
  DIVISOR : 12_x000D_
    MÉDIA : 2,17_x000D_
-----------------------------_x000D_
   Valores Desconsiderados_x000D_
-----------------------------_x000D_
23 / 04_2 : 11 (32)_x000D_
_x000D_
  TOTAL   : ( 11 )</t>
        </r>
      </text>
    </comment>
    <comment ref="AB493" authorId="0" shapeId="0" xr:uid="{46ABE54D-0F2D-4470-AEA5-B3B75269E607}">
      <text>
        <r>
          <rPr>
            <sz val="10"/>
            <color indexed="81"/>
            <rFont val="Lucida Console"/>
            <family val="3"/>
          </rPr>
          <t>Última movimentação no estoque em 04/2023 quantidade 32.</t>
        </r>
      </text>
    </comment>
    <comment ref="R494" authorId="0" shapeId="0" xr:uid="{C8FC1012-0120-4D04-AE2D-2FA05B6F1A40}">
      <text>
        <r>
          <rPr>
            <sz val="10"/>
            <color indexed="81"/>
            <rFont val="Lucida Console"/>
            <family val="3"/>
          </rPr>
          <t>22.07.2015</t>
        </r>
      </text>
    </comment>
    <comment ref="Y494" authorId="0" shapeId="0" xr:uid="{9625C4A0-6D8E-4A7D-AB2D-A2333D001180}">
      <text>
        <r>
          <rPr>
            <sz val="10"/>
            <color indexed="81"/>
            <rFont val="Courier New"/>
            <family val="3"/>
          </rPr>
          <t>_x000D_
    DESCRIÇÃO DO CÁLCULO_x000D_
Código    : 130.632_x000D_
Corte     : 10_x000D_
-----------------------------_x000D_
Pendente  : _x000D_
22 / 10_2 : 2_x000D_
22 / 11_2 : 2_x000D_
22 / 12_2 : _x000D_
23 / 01_2 : _x000D_
23 / 02_2 : 1_x000D_
23 / 03_2 : 3_x000D_
23 / 04_2 : _x000D_
23 / 05_2 : _x000D_
23 / 06_2 : 10 (corte = 15)_x000D_
23 / 07_2 : _x000D_
23 / 08_2 : _x000D_
23 / 09_2 : _x000D_
_x000D_
    TOTAL : ( 18 )_x000D_
  DIVISOR : 12_x000D_
    MÉDIA : 1,50_x000D_
-----------------------------_x000D_
   Valores Desconsiderados_x000D_
-----------------------------_x000D_
23 / 06_2 : 5 (15)_x000D_
_x000D_
  TOTAL   : ( 5 )</t>
        </r>
      </text>
    </comment>
    <comment ref="AB494" authorId="0" shapeId="0" xr:uid="{B691270C-35A4-4535-8E73-EEC91CD3E801}">
      <text>
        <r>
          <rPr>
            <sz val="10"/>
            <color indexed="81"/>
            <rFont val="Lucida Console"/>
            <family val="3"/>
          </rPr>
          <t>Última movimentação no estoque em 06/2023 quantidade 15.</t>
        </r>
      </text>
    </comment>
    <comment ref="R495" authorId="0" shapeId="0" xr:uid="{1BCCEF1D-566E-48ED-9E09-BAA140EF0C48}">
      <text>
        <r>
          <rPr>
            <sz val="10"/>
            <color indexed="81"/>
            <rFont val="Lucida Console"/>
            <family val="3"/>
          </rPr>
          <t>26.08.2004</t>
        </r>
      </text>
    </comment>
    <comment ref="Y495" authorId="0" shapeId="0" xr:uid="{244BF345-87F1-41AA-B81B-354997070719}">
      <text>
        <r>
          <rPr>
            <sz val="10"/>
            <color indexed="81"/>
            <rFont val="Courier New"/>
            <family val="3"/>
          </rPr>
          <t>_x000D_
    DESCRIÇÃO DO CÁLCULO_x000D_
Código    : 81.493_x000D_
Corte     : 25_x000D_
-----------------------------_x000D_
Pendente  : 15_x000D_
22 / 10_2 : 7_x000D_
22 / 11_2 : 14_x000D_
22 / 12_2 : 15_x000D_
23 / 01_2 : 4_x000D_
23 / 02_2 : 13_x000D_
23 / 03_2 : 17_x000D_
23 / 04_2 : 14_x000D_
23 / 05_2 : 6_x000D_
23 / 06_2 : 23_x000D_
23 / 07_2 : _x000D_
23 / 08_2 : _x000D_
23 / 09_2 : 2_x000D_
_x000D_
    TOTAL : ( 130 )_x000D_
  DIVISOR : 12_x000D_
    MÉDIA : 10,83</t>
        </r>
      </text>
    </comment>
    <comment ref="AB495" authorId="0" shapeId="0" xr:uid="{660799B2-3321-4ACA-B242-A9932A29CD98}">
      <text>
        <r>
          <rPr>
            <sz val="10"/>
            <color indexed="81"/>
            <rFont val="Lucida Console"/>
            <family val="3"/>
          </rPr>
          <t>Última movimentação no estoque em 09/2023 quantidade 2.</t>
        </r>
      </text>
    </comment>
    <comment ref="R496" authorId="0" shapeId="0" xr:uid="{2DA9478F-B987-4206-A3E8-09ECF3EE5883}">
      <text>
        <r>
          <rPr>
            <sz val="10"/>
            <color indexed="81"/>
            <rFont val="Lucida Console"/>
            <family val="3"/>
          </rPr>
          <t>21.08.2018</t>
        </r>
      </text>
    </comment>
    <comment ref="Y496" authorId="0" shapeId="0" xr:uid="{27A748CC-588F-45AA-BAA2-E71731C68893}">
      <text>
        <r>
          <rPr>
            <sz val="10"/>
            <color indexed="81"/>
            <rFont val="Courier New"/>
            <family val="3"/>
          </rPr>
          <t>_x000D_
    DESCRIÇÃO DO CÁLCULO_x000D_
Código    : 135.701_x000D_
Corte     : 28_x000D_
-----------------------------_x000D_
Pendente  : _x000D_
22 / 10_2 : 15_x000D_
22 / 11_2 : 12_x000D_
22 / 12_2 : 7_x000D_
23 / 01_2 : 17_x000D_
23 / 02_2 : 16_x000D_
23 / 03_2 : 28 (corte = 32)_x000D_
23 / 04_2 : 16_x000D_
23 / 05_2 : 20_x000D_
23 / 06_2 : 20_x000D_
23 / 07_2 : 15_x000D_
23 / 08_2 : 17_x000D_
23 / 09_2 : 14_x000D_
_x000D_
    TOTAL : ( 197 )_x000D_
  DIVISOR : 12_x000D_
    MÉDIA : 16,42_x000D_
-----------------------------_x000D_
   Valores Desconsiderados_x000D_
-----------------------------_x000D_
23 / 03_2 : 4 (32)_x000D_
_x000D_
  TOTAL   : ( 4 )</t>
        </r>
      </text>
    </comment>
    <comment ref="AB496" authorId="0" shapeId="0" xr:uid="{2675070C-D180-4E30-A4C4-5C46329528A2}">
      <text>
        <r>
          <rPr>
            <sz val="10"/>
            <color indexed="81"/>
            <rFont val="Lucida Console"/>
            <family val="3"/>
          </rPr>
          <t>Última movimentação no estoque em 09/2023 quantidade 14.</t>
        </r>
      </text>
    </comment>
    <comment ref="R497" authorId="0" shapeId="0" xr:uid="{220224CC-5297-4519-82B7-0CCE414B1EC4}">
      <text>
        <r>
          <rPr>
            <sz val="10"/>
            <color indexed="81"/>
            <rFont val="Lucida Console"/>
            <family val="3"/>
          </rPr>
          <t>26.06.2018</t>
        </r>
      </text>
    </comment>
    <comment ref="Y497" authorId="0" shapeId="0" xr:uid="{41F9C2D0-A0A8-491C-A2C1-2F03A79F073B}">
      <text>
        <r>
          <rPr>
            <sz val="10"/>
            <color indexed="81"/>
            <rFont val="Courier New"/>
            <family val="3"/>
          </rPr>
          <t>_x000D_
    DESCRIÇÃO DO CÁLCULO_x000D_
Código    : 135.304_x000D_
Corte     : 60_x000D_
-----------------------------_x000D_
Pendente  : _x000D_
22 / 10_2 : 18_x000D_
22 / 11_2 : 6_x000D_
22 / 12_2 : 6_x000D_
23 / 01_2 : 8_x000D_
23 / 02_2 : 42_x000D_
23 / 03_2 : 60 (corte = 61)_x000D_
23 / 04_2 : 15_x000D_
23 / 05_2 : 20_x000D_
23 / 06_2 : _x000D_
23 / 07_2 : _x000D_
23 / 08_2 : 50_x000D_
23 / 09_2 : _x000D_
_x000D_
    TOTAL : ( 225 )_x000D_
  DIVISOR : 12_x000D_
    MÉDIA : 18,75_x000D_
-----------------------------_x000D_
   Valores Desconsiderados_x000D_
-----------------------------_x000D_
23 / 03_2 : 1 (61)_x000D_
_x000D_
  TOTAL   : ( 1 )</t>
        </r>
      </text>
    </comment>
    <comment ref="AB497" authorId="0" shapeId="0" xr:uid="{A5742BDB-CCD6-4232-8259-334436D6ADF6}">
      <text>
        <r>
          <rPr>
            <sz val="10"/>
            <color indexed="81"/>
            <rFont val="Lucida Console"/>
            <family val="3"/>
          </rPr>
          <t>Última movimentação no estoque em 08/2023 quantidade 50.</t>
        </r>
      </text>
    </comment>
    <comment ref="R498" authorId="0" shapeId="0" xr:uid="{E58BD1E1-24F9-48E1-978E-B1620082940C}">
      <text>
        <r>
          <rPr>
            <sz val="10"/>
            <color indexed="81"/>
            <rFont val="Lucida Console"/>
            <family val="3"/>
          </rPr>
          <t>23.04.2019</t>
        </r>
      </text>
    </comment>
    <comment ref="Y498" authorId="0" shapeId="0" xr:uid="{60D1E386-3429-44F1-848E-8E2782AB856E}">
      <text>
        <r>
          <rPr>
            <sz val="10"/>
            <color indexed="81"/>
            <rFont val="Courier New"/>
            <family val="3"/>
          </rPr>
          <t>_x000D_
    DESCRIÇÃO DO CÁLCULO_x000D_
Código    : 136.854_x000D_
Corte     : 1_x000D_
-----------------------------_x000D_
Pendente  : _x000D_
22 / 10_2 : _x000D_
22 / 11_2 : _x000D_
22 / 12_2 : 1 (corte = 2)_x000D_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12_2 : 1 (2)_x000D_
23 / 01_2 : 1 (2)_x000D_
_x000D_
  TOTAL   : ( 2 )</t>
        </r>
      </text>
    </comment>
    <comment ref="AB498" authorId="0" shapeId="0" xr:uid="{6D10B8EB-CC5F-4316-A652-22018C32F3D9}">
      <text>
        <r>
          <rPr>
            <sz val="10"/>
            <color indexed="81"/>
            <rFont val="Lucida Console"/>
            <family val="3"/>
          </rPr>
          <t>Última movimentação no estoque em 01/2023 quantidade 2.</t>
        </r>
      </text>
    </comment>
    <comment ref="R499" authorId="0" shapeId="0" xr:uid="{9850956A-BE1F-4EB5-A120-9DFF442AC33D}">
      <text>
        <r>
          <rPr>
            <sz val="10"/>
            <color indexed="81"/>
            <rFont val="Lucida Console"/>
            <family val="3"/>
          </rPr>
          <t>01.01.1901</t>
        </r>
      </text>
    </comment>
    <comment ref="Y499" authorId="0" shapeId="0" xr:uid="{6D8DD197-EDC1-463E-843A-768AE2333BAC}">
      <text>
        <r>
          <rPr>
            <sz val="10"/>
            <color indexed="81"/>
            <rFont val="Courier New"/>
            <family val="3"/>
          </rPr>
          <t>_x000D_
    DESCRIÇÃO DO CÁLCULO_x000D_
Código    : 63.252_x000D_
Corte     : 74_x000D_
-----------------------------_x000D_
Pendente  : 79_x000D_
22 / 10_2 : 17_x000D_
22 / 11_2 : 11_x000D_
22 / 12_2 : 12_x000D_
23 / 01_2 : 24_x000D_
23 / 02_2 : 15_x000D_
23 / 03_2 : 61_x000D_
23 / 04_2 : _x000D_
23 / 05_2 : _x000D_
23 / 06_2 : _x000D_
23 / 07_2 : _x000D_
23 / 08_2 : _x000D_
23 / 09_2 : 50_x000D_
_x000D_
    TOTAL : ( 269 )_x000D_
  DIVISOR : 12_x000D_
    MÉDIA : 22,42</t>
        </r>
      </text>
    </comment>
    <comment ref="AB499" authorId="0" shapeId="0" xr:uid="{C5851E89-6B2C-4DA6-B315-B9B6519FFF81}">
      <text>
        <r>
          <rPr>
            <sz val="10"/>
            <color indexed="81"/>
            <rFont val="Lucida Console"/>
            <family val="3"/>
          </rPr>
          <t>Última movimentação no estoque em 09/2023 quantidade 50.</t>
        </r>
      </text>
    </comment>
    <comment ref="R500" authorId="0" shapeId="0" xr:uid="{65806922-83D0-44C0-8A6A-9C7C6FCCC35D}">
      <text>
        <r>
          <rPr>
            <sz val="10"/>
            <color indexed="81"/>
            <rFont val="Lucida Console"/>
            <family val="3"/>
          </rPr>
          <t>16.07.2015</t>
        </r>
      </text>
    </comment>
    <comment ref="Y500" authorId="0" shapeId="0" xr:uid="{DDECA0E1-13DF-4522-BB9A-DF42F17E4374}">
      <text>
        <r>
          <rPr>
            <sz val="10"/>
            <color indexed="81"/>
            <rFont val="Courier New"/>
            <family val="3"/>
          </rPr>
          <t>_x000D_
    DESCRIÇÃO DO CÁLCULO_x000D_
Código    : 130.614_x000D_
Corte     : 17_x000D_
-----------------------------_x000D_
Pendente  : _x000D_
22 / 10_2 : _x000D_
22 / 11_2 : _x000D_
22 / 12_2 : _x000D_
23 / 01_2 : _x000D_
23 / 02_2 : _x000D_
23 / 03_2 : _x000D_
23 / 04_2 : 17 (corte = 24)_x000D_
23 / 05_2 : _x000D_
23 / 06_2 : 12_x000D_
23 / 07_2 : _x000D_
23 / 08_2 : _x000D_
23 / 09_2 : _x000D_
_x000D_
    TOTAL : ( 29 )_x000D_
  DIVISOR : 12_x000D_
    MÉDIA : 2,42_x000D_
-----------------------------_x000D_
   Valores Desconsiderados_x000D_
-----------------------------_x000D_
23 / 04_2 : 7 (24)_x000D_
_x000D_
  TOTAL   : ( 7 )</t>
        </r>
      </text>
    </comment>
    <comment ref="AB500" authorId="0" shapeId="0" xr:uid="{4FB990E0-3CDD-479B-9145-A0AB4226DF4C}">
      <text>
        <r>
          <rPr>
            <sz val="10"/>
            <color indexed="81"/>
            <rFont val="Lucida Console"/>
            <family val="3"/>
          </rPr>
          <t>Última movimentação no estoque em 06/2023 quantidade 12.</t>
        </r>
      </text>
    </comment>
    <comment ref="R501" authorId="0" shapeId="0" xr:uid="{AAC1035B-29CB-4E5F-A117-C768012AD491}">
      <text>
        <r>
          <rPr>
            <sz val="10"/>
            <color indexed="81"/>
            <rFont val="Lucida Console"/>
            <family val="3"/>
          </rPr>
          <t>21.09.2011</t>
        </r>
      </text>
    </comment>
    <comment ref="Y501" authorId="0" shapeId="0" xr:uid="{FC10DEE0-59CB-4527-B62F-963F2551785E}">
      <text>
        <r>
          <rPr>
            <sz val="10"/>
            <color indexed="81"/>
            <rFont val="Courier New"/>
            <family val="3"/>
          </rPr>
          <t>_x000D_
    DESCRIÇÃO DO CÁLCULO_x000D_
Código    : 121.086_x000D_
Corte     : 18_x000D_
-----------------------------_x000D_
Pendente  : 28_x000D_
22 / 10_2 : 1_x000D_
22 / 11_2 : _x000D_
22 / 12_2 : 1_x000D_
23 / 01_2 : 1_x000D_
23 / 02_2 : _x000D_
23 / 03_2 : 3_x000D_
23 / 04_2 : _x000D_
23 / 05_2 : 2_x000D_
23 / 06_2 : _x000D_
23 / 07_2 : _x000D_
23 / 08_2 : 2_x000D_
23 / 09_2 : 5_x000D_
_x000D_
    TOTAL : ( 43 )_x000D_
  DIVISOR : 12_x000D_
    MÉDIA : 3,58</t>
        </r>
      </text>
    </comment>
    <comment ref="AB501" authorId="0" shapeId="0" xr:uid="{0AE25DAF-4DBA-480D-8661-A2FEEB420156}">
      <text>
        <r>
          <rPr>
            <sz val="10"/>
            <color indexed="81"/>
            <rFont val="Lucida Console"/>
            <family val="3"/>
          </rPr>
          <t>Última movimentação no estoque em 09/2023 quantidade 5.</t>
        </r>
      </text>
    </comment>
    <comment ref="R502" authorId="0" shapeId="0" xr:uid="{961435CE-4DE8-4533-B261-E8A249C8D176}">
      <text>
        <r>
          <rPr>
            <sz val="10"/>
            <color indexed="81"/>
            <rFont val="Lucida Console"/>
            <family val="3"/>
          </rPr>
          <t>04.04.2016</t>
        </r>
      </text>
    </comment>
    <comment ref="Y502" authorId="0" shapeId="0" xr:uid="{817CC93C-9E33-424C-8CE6-55EE5D15A3A7}">
      <text>
        <r>
          <rPr>
            <sz val="10"/>
            <color indexed="81"/>
            <rFont val="Courier New"/>
            <family val="3"/>
          </rPr>
          <t>_x000D_
    DESCRIÇÃO DO CÁLCULO_x000D_
Código    : 131.482_x000D_
Corte     : 20_x000D_
-----------------------------_x000D_
Pendente  : _x000D_
22 / 10_2 : _x000D_
22 / 11_2 : _x000D_
22 / 12_2 : _x000D_
23 / 01_2 : _x000D_
23 / 02_2 : 1_x000D_
23 / 03_2 : _x000D_
23 / 04_2 : 1_x000D_
23 / 05_2 : 20 (corte = 21)_x000D_
23 / 06_2 : _x000D_
23 / 07_2 : _x000D_
23 / 08_2 : 20 (corte = 22)_x000D_
23 / 09_2 : _x000D_
_x000D_
    TOTAL : ( 42 )_x000D_
  DIVISOR : 12_x000D_
    MÉDIA : 3,50_x000D_
-----------------------------_x000D_
   Valores Desconsiderados_x000D_
-----------------------------_x000D_
23 / 05_2 : 1 (21)_x000D_
23 / 08_2 : 2 (22)_x000D_
_x000D_
  TOTAL   : ( 3 )</t>
        </r>
      </text>
    </comment>
    <comment ref="AB502" authorId="0" shapeId="0" xr:uid="{F624FF25-1922-4746-B4F5-D0A1979BE748}">
      <text>
        <r>
          <rPr>
            <sz val="10"/>
            <color indexed="81"/>
            <rFont val="Lucida Console"/>
            <family val="3"/>
          </rPr>
          <t>Última movimentação no estoque em 08/2023 quantidade 22.</t>
        </r>
      </text>
    </comment>
    <comment ref="R503" authorId="0" shapeId="0" xr:uid="{4E606A8A-44C3-412A-88D8-D9F6A3DCC5B7}">
      <text>
        <r>
          <rPr>
            <sz val="10"/>
            <color indexed="81"/>
            <rFont val="Lucida Console"/>
            <family val="3"/>
          </rPr>
          <t>06.08.2004</t>
        </r>
      </text>
    </comment>
    <comment ref="Y503" authorId="0" shapeId="0" xr:uid="{B4D13134-1308-477E-BFBA-268540C5486A}">
      <text>
        <r>
          <rPr>
            <sz val="10"/>
            <color indexed="81"/>
            <rFont val="Courier New"/>
            <family val="3"/>
          </rPr>
          <t>_x000D_
    DESCRIÇÃO DO CÁLCULO_x000D_
Código    : 81.131_x000D_
Corte     : 63_x000D_
-----------------------------_x000D_
Pendente  : _x000D_
22 / 10_2 : 6_x000D_
22 / 11_2 : 7_x000D_
22 / 12_2 : 30_x000D_
23 / 01_2 : 26_x000D_
23 / 02_2 : 16_x000D_
23 / 03_2 : 63 (corte = 71)_x000D_
23 / 04_2 : 10_x000D_
23 / 05_2 : 50_x000D_
23 / 06_2 : 17_x000D_
23 / 07_2 : _x000D_
23 / 08_2 : _x000D_
23 / 09_2 : _x000D_
_x000D_
    TOTAL : ( 225 )_x000D_
  DIVISOR : 12_x000D_
    MÉDIA : 18,75_x000D_
-----------------------------_x000D_
   Valores Desconsiderados_x000D_
-----------------------------_x000D_
23 / 03_2 : 8 (71)_x000D_
_x000D_
  TOTAL   : ( 8 )</t>
        </r>
      </text>
    </comment>
    <comment ref="AB503" authorId="0" shapeId="0" xr:uid="{377A0E9C-CFB2-4F84-B349-9A3DB8054086}">
      <text>
        <r>
          <rPr>
            <sz val="10"/>
            <color indexed="81"/>
            <rFont val="Lucida Console"/>
            <family val="3"/>
          </rPr>
          <t>Última movimentação no estoque em 06/2023 quantidade 17.</t>
        </r>
      </text>
    </comment>
    <comment ref="R504" authorId="0" shapeId="0" xr:uid="{F9CC5923-90D5-4AAA-A23C-C1EC34C758A1}">
      <text>
        <r>
          <rPr>
            <sz val="10"/>
            <color indexed="81"/>
            <rFont val="Lucida Console"/>
            <family val="3"/>
          </rPr>
          <t>10.07.2017</t>
        </r>
      </text>
    </comment>
    <comment ref="Y504" authorId="0" shapeId="0" xr:uid="{2AE2AF59-6A28-46EB-8289-0CBDD7C7088C}">
      <text>
        <r>
          <rPr>
            <sz val="10"/>
            <color indexed="81"/>
            <rFont val="Courier New"/>
            <family val="3"/>
          </rPr>
          <t>_x000D_
    DESCRIÇÃO DO CÁLCULO_x000D_
Código    : 133.021_x000D_
Corte     : 233_x000D_
-----------------------------_x000D_
Pendente  : 262_x000D_
22 / 10_2 : 53_x000D_
22 / 11_2 : 121_x000D_
22 / 12_2 : 47_x000D_
23 / 01_2 : 26_x000D_
23 / 02_2 : 70_x000D_
23 / 03_2 : 48_x000D_
23 / 04_2 : _x000D_
23 / 05_2 : _x000D_
23 / 06_2 : _x000D_
23 / 07_2 : 58_x000D_
23 / 08_2 : 193_x000D_
23 / 09_2 : _x000D_
_x000D_
    TOTAL : ( 878 )_x000D_
  DIVISOR : 12_x000D_
    MÉDIA : 73,17</t>
        </r>
      </text>
    </comment>
    <comment ref="AB504" authorId="0" shapeId="0" xr:uid="{8924796D-13F8-43EF-8A7A-26EA7F0B24C3}">
      <text>
        <r>
          <rPr>
            <sz val="10"/>
            <color indexed="81"/>
            <rFont val="Lucida Console"/>
            <family val="3"/>
          </rPr>
          <t>Última movimentação no estoque em 08/2023 quantidade 193.</t>
        </r>
      </text>
    </comment>
    <comment ref="R505" authorId="0" shapeId="0" xr:uid="{46B5EFE5-601E-47BE-926E-E31871D948FA}">
      <text>
        <r>
          <rPr>
            <sz val="10"/>
            <color indexed="81"/>
            <rFont val="Lucida Console"/>
            <family val="3"/>
          </rPr>
          <t>01.01.1901</t>
        </r>
      </text>
    </comment>
    <comment ref="Y505" authorId="0" shapeId="0" xr:uid="{EE6BF22C-157C-4943-A8AD-E3DAAC294F76}">
      <text>
        <r>
          <rPr>
            <sz val="10"/>
            <color indexed="81"/>
            <rFont val="Courier New"/>
            <family val="3"/>
          </rPr>
          <t>_x000D_
    DESCRIÇÃO DO CÁLCULO_x000D_
Código    : 87.465_x000D_
Corte     : 1_x000D_
-----------------------------_x000D_
Pendente  : 3_x000D_
22 / 10_2 : _x000D_
22 / 11_2 : _x000D_
22 / 12_2 : _x000D_
23 / 01_2 : _x000D_
23 / 02_2 : _x000D_
23 / 03_2 : _x000D_
23 / 04_2 : _x000D_
23 / 05_2 : _x000D_
23 / 06_2 : _x000D_
23 / 07_2 : _x000D_
23 / 08_2 : _x000D_
23 / 09_2 : _x000D_
_x000D_
    TOTAL : ( 3 )_x000D_
  DIVISOR : 12_x000D_
    MÉDIA : ,25</t>
        </r>
      </text>
    </comment>
    <comment ref="AB505" authorId="0" shapeId="0" xr:uid="{C31983CD-DF66-4FCF-9280-55B64C80CEEE}">
      <text>
        <r>
          <rPr>
            <sz val="10"/>
            <color indexed="81"/>
            <rFont val="Lucida Console"/>
            <family val="3"/>
          </rPr>
          <t>Última movimentação no estoque em 08/2023 quantidade 193.</t>
        </r>
      </text>
    </comment>
    <comment ref="R506" authorId="0" shapeId="0" xr:uid="{D2043299-52B6-42D2-AF38-34553C16D87B}">
      <text>
        <r>
          <rPr>
            <sz val="10"/>
            <color indexed="81"/>
            <rFont val="Lucida Console"/>
            <family val="3"/>
          </rPr>
          <t>01.01.1901</t>
        </r>
      </text>
    </comment>
    <comment ref="Y506" authorId="0" shapeId="0" xr:uid="{94E8933F-7952-44C0-A56F-9028411CC9A1}">
      <text>
        <r>
          <rPr>
            <sz val="10"/>
            <color indexed="81"/>
            <rFont val="Courier New"/>
            <family val="3"/>
          </rPr>
          <t>_x000D_
    DESCRIÇÃO DO CÁLCULO_x000D_
Código    : 12.659_x000D_
Corte     : 662_x000D_
-----------------------------_x000D_
Pendente  : 7_x000D_
22 / 10_2 : 267_x000D_
22 / 11_2 : 338_x000D_
22 / 12_2 : 183_x000D_
23 / 01_2 : 114_x000D_
23 / 02_2 : 217_x000D_
23 / 03_2 : 403_x000D_
23 / 04_2 : 281_x000D_
23 / 05_2 : 298_x000D_
23 / 06_2 : 541_x000D_
23 / 07_2 : 425_x000D_
23 / 08_2 : 584_x000D_
23 / 09_2 : 397_x000D_
_x000D_
    TOTAL : ( 4.055 )_x000D_
  DIVISOR : 12_x000D_
    MÉDIA : 337,92</t>
        </r>
      </text>
    </comment>
    <comment ref="AB506" authorId="0" shapeId="0" xr:uid="{005497B3-685E-4D44-8149-0EDB40C406F5}">
      <text>
        <r>
          <rPr>
            <sz val="10"/>
            <color indexed="81"/>
            <rFont val="Lucida Console"/>
            <family val="3"/>
          </rPr>
          <t>Última movimentação no estoque em 09/2023 quantidade 397.</t>
        </r>
      </text>
    </comment>
    <comment ref="R507" authorId="0" shapeId="0" xr:uid="{DD5D2534-0C48-416F-AFA4-5956C820ACCC}">
      <text>
        <r>
          <rPr>
            <sz val="10"/>
            <color indexed="81"/>
            <rFont val="Lucida Console"/>
            <family val="3"/>
          </rPr>
          <t>27.02.2008</t>
        </r>
      </text>
    </comment>
    <comment ref="Y507" authorId="0" shapeId="0" xr:uid="{75701B45-1936-42ED-AC54-5E18EA33FCD2}">
      <text>
        <r>
          <rPr>
            <sz val="10"/>
            <color indexed="81"/>
            <rFont val="Courier New"/>
            <family val="3"/>
          </rPr>
          <t>_x000D_
    DESCRIÇÃO DO CÁLCULO_x000D_
Código    : 105.259_x000D_
Corte     : 1.966_x000D_
-----------------------------_x000D_
Pendente  : 8_x000D_
22 / 10_2 : 114_x000D_
22 / 11_2 : 128_x000D_
22 / 12_2 : 93_x000D_
23 / 01_2 : 77_x000D_
23 / 02_2 : 107_x000D_
23 / 03_2 : 1.966 (corte = 3007)_x000D_
23 / 04_2 : 104_x000D_
23 / 05_2 : 136_x000D_
23 / 06_2 : 110_x000D_
23 / 07_2 : 113_x000D_
23 / 08_2 : 129_x000D_
23 / 09_2 : 132_x000D_
_x000D_
    TOTAL : ( 3.217 )_x000D_
  DIVISOR : 12_x000D_
    MÉDIA : 268,08_x000D_
-----------------------------_x000D_
   Valores Desconsiderados_x000D_
-----------------------------_x000D_
23 / 03_2 : 1.041 (3.007)_x000D_
_x000D_
  TOTAL   : ( 1.041 )</t>
        </r>
      </text>
    </comment>
    <comment ref="AB507" authorId="0" shapeId="0" xr:uid="{2C9CD80D-2399-465C-B577-0107F786D38D}">
      <text>
        <r>
          <rPr>
            <sz val="10"/>
            <color indexed="81"/>
            <rFont val="Lucida Console"/>
            <family val="3"/>
          </rPr>
          <t>Última movimentação no estoque em 09/2023 quantidade 132.</t>
        </r>
      </text>
    </comment>
    <comment ref="R508" authorId="0" shapeId="0" xr:uid="{3437B4D5-00E6-4BD1-A235-FB4E432495E0}">
      <text>
        <r>
          <rPr>
            <sz val="10"/>
            <color indexed="81"/>
            <rFont val="Lucida Console"/>
            <family val="3"/>
          </rPr>
          <t>01.01.1901</t>
        </r>
      </text>
    </comment>
    <comment ref="Y508" authorId="0" shapeId="0" xr:uid="{3A4B9A25-C53D-4436-AE5F-A6D733C9A38B}">
      <text>
        <r>
          <rPr>
            <sz val="10"/>
            <color indexed="81"/>
            <rFont val="Courier New"/>
            <family val="3"/>
          </rPr>
          <t>_x000D_
    DESCRIÇÃO DO CÁLCULO_x000D_
Código    : 15.530_x000D_
Corte     : 3.745_x000D_
-----------------------------_x000D_
Pendente  : 50_x000D_
22 / 10_2 : 2.350_x000D_
22 / 11_2 : 2.280_x000D_
22 / 12_2 : 1.430_x000D_
23 / 01_2 : 880_x000D_
23 / 02_2 : 1.120_x000D_
23 / 03_2 : 3.150_x000D_
23 / 04_2 : 2.680_x000D_
23 / 05_2 : 2.490_x000D_
23 / 06_2 : 2.350_x000D_
23 / 07_2 : 2.080_x000D_
23 / 08_2 : 2.101_x000D_
23 / 09_2 : 1.861_x000D_
_x000D_
    TOTAL : ( 24.822 )_x000D_
  DIVISOR : 12_x000D_
    MÉDIA : 2.068,50</t>
        </r>
      </text>
    </comment>
    <comment ref="AB508" authorId="0" shapeId="0" xr:uid="{40A49CF6-A536-48F4-B823-BA64FF75D82E}">
      <text>
        <r>
          <rPr>
            <sz val="10"/>
            <color indexed="81"/>
            <rFont val="Lucida Console"/>
            <family val="3"/>
          </rPr>
          <t>Última movimentação no estoque em 09/2023 quantidade 1.861.</t>
        </r>
      </text>
    </comment>
    <comment ref="R509" authorId="0" shapeId="0" xr:uid="{E1157465-590C-4EB1-9984-6FF8C30B3C5A}">
      <text>
        <r>
          <rPr>
            <sz val="10"/>
            <color indexed="81"/>
            <rFont val="Lucida Console"/>
            <family val="3"/>
          </rPr>
          <t>01.01.1901</t>
        </r>
      </text>
    </comment>
    <comment ref="Y509" authorId="0" shapeId="0" xr:uid="{FD7C0CB2-F518-44EB-8A0B-B10F5F524F91}">
      <text>
        <r>
          <rPr>
            <sz val="10"/>
            <color indexed="81"/>
            <rFont val="Courier New"/>
            <family val="3"/>
          </rPr>
          <t>_x000D_
    DESCRIÇÃO DO CÁLCULO_x000D_
Código    : 29.964_x000D_
Corte     : 1.125_x000D_
-----------------------------_x000D_
Pendente  : 150_x000D_
22 / 10_2 : 514_x000D_
22 / 11_2 : 493_x000D_
22 / 12_2 : 425_x000D_
23 / 01_2 : 290_x000D_
23 / 02_2 : 420_x000D_
23 / 03_2 : 1.115_x000D_
23 / 04_2 : 547_x000D_
23 / 05_2 : 835_x000D_
23 / 06_2 : 775_x000D_
23 / 07_2 : 633_x000D_
23 / 08_2 : 763_x000D_
23 / 09_2 : 430_x000D_
_x000D_
    TOTAL : ( 7.390 )_x000D_
  DIVISOR : 12_x000D_
    MÉDIA : 615,83</t>
        </r>
      </text>
    </comment>
    <comment ref="AB509" authorId="0" shapeId="0" xr:uid="{87AB70DA-B142-4B32-B323-49B70AE60012}">
      <text>
        <r>
          <rPr>
            <sz val="10"/>
            <color indexed="81"/>
            <rFont val="Lucida Console"/>
            <family val="3"/>
          </rPr>
          <t>Última movimentação no estoque em 09/2023 quantidade 430.</t>
        </r>
      </text>
    </comment>
    <comment ref="R510" authorId="0" shapeId="0" xr:uid="{0D2A16F5-BD05-4644-AAF0-9C5F54F9C896}">
      <text>
        <r>
          <rPr>
            <sz val="10"/>
            <color indexed="81"/>
            <rFont val="Lucida Console"/>
            <family val="3"/>
          </rPr>
          <t>18.09.2012</t>
        </r>
      </text>
    </comment>
    <comment ref="Y510" authorId="0" shapeId="0" xr:uid="{E59BA2AD-1163-4EA2-8B24-20D7543D8D36}">
      <text>
        <r>
          <rPr>
            <sz val="10"/>
            <color indexed="81"/>
            <rFont val="Courier New"/>
            <family val="3"/>
          </rPr>
          <t>_x000D_
    DESCRIÇÃO DO CÁLCULO_x000D_
Código    : 124.261_x000D_
Corte     : 1.277_x000D_
-----------------------------_x000D_
Pendente  : 10_x000D_
22 / 10_2 : 604_x000D_
22 / 11_2 : 633_x000D_
22 / 12_2 : 485_x000D_
23 / 01_2 : 300_x000D_
23 / 02_2 : 455_x000D_
23 / 03_2 : 1.171_x000D_
23 / 04_2 : 642_x000D_
23 / 05_2 : 920_x000D_
23 / 06_2 : 820_x000D_
23 / 07_2 : 716_x000D_
23 / 08_2 : 798_x000D_
23 / 09_2 : 785_x000D_
_x000D_
    TOTAL : ( 8.339 )_x000D_
  DIVISOR : 12_x000D_
    MÉDIA : 694,92</t>
        </r>
      </text>
    </comment>
    <comment ref="AB510" authorId="0" shapeId="0" xr:uid="{1854790D-CCA6-4BC7-BBEC-3369F10518BE}">
      <text>
        <r>
          <rPr>
            <sz val="10"/>
            <color indexed="81"/>
            <rFont val="Lucida Console"/>
            <family val="3"/>
          </rPr>
          <t>Última movimentação no estoque em 09/2023 quantidade 785.</t>
        </r>
      </text>
    </comment>
    <comment ref="R511" authorId="0" shapeId="0" xr:uid="{4B1BB320-99D1-4644-AF0F-F3362C9E2DA6}">
      <text>
        <r>
          <rPr>
            <sz val="10"/>
            <color indexed="81"/>
            <rFont val="Lucida Console"/>
            <family val="3"/>
          </rPr>
          <t>01.01.1901</t>
        </r>
      </text>
    </comment>
    <comment ref="Y511" authorId="0" shapeId="0" xr:uid="{35DAA760-38B6-4312-953D-5704514B09B5}">
      <text>
        <r>
          <rPr>
            <sz val="10"/>
            <color indexed="81"/>
            <rFont val="Courier New"/>
            <family val="3"/>
          </rPr>
          <t>_x000D_
    DESCRIÇÃO DO CÁLCULO_x000D_
Código    : 29.956_x000D_
Corte     : 1.222_x000D_
-----------------------------_x000D_
Pendente  : 10_x000D_
22 / 10_2 : 554_x000D_
22 / 11_2 : 603_x000D_
22 / 12_2 : 480_x000D_
23 / 01_2 : 240_x000D_
23 / 02_2 : 455_x000D_
23 / 03_2 : 1.120_x000D_
23 / 04_2 : 632_x000D_
23 / 05_2 : 865_x000D_
23 / 06_2 : 810_x000D_
23 / 07_2 : 621_x000D_
23 / 08_2 : 753_x000D_
23 / 09_2 : 765_x000D_
_x000D_
    TOTAL : ( 7.908 )_x000D_
  DIVISOR : 12_x000D_
    MÉDIA : 659,00</t>
        </r>
      </text>
    </comment>
    <comment ref="AB511" authorId="0" shapeId="0" xr:uid="{81E021EC-E3A2-4BF8-A6D5-C1E5E803A51A}">
      <text>
        <r>
          <rPr>
            <sz val="10"/>
            <color indexed="81"/>
            <rFont val="Lucida Console"/>
            <family val="3"/>
          </rPr>
          <t>Última movimentação no estoque em 09/2023 quantidade 765.</t>
        </r>
      </text>
    </comment>
    <comment ref="R512" authorId="0" shapeId="0" xr:uid="{01BA8412-6B4C-4FF6-9E7C-0BADB90E017F}">
      <text>
        <r>
          <rPr>
            <sz val="10"/>
            <color indexed="81"/>
            <rFont val="Lucida Console"/>
            <family val="3"/>
          </rPr>
          <t>01.01.1901</t>
        </r>
      </text>
    </comment>
    <comment ref="Y512" authorId="0" shapeId="0" xr:uid="{EA0249FA-83F6-4D39-9180-819E5CD98EE0}">
      <text>
        <r>
          <rPr>
            <sz val="10"/>
            <color indexed="81"/>
            <rFont val="Courier New"/>
            <family val="3"/>
          </rPr>
          <t>_x000D_
    DESCRIÇÃO DO CÁLCULO_x000D_
Código    : 29.962_x000D_
Corte     : 1.197_x000D_
-----------------------------_x000D_
Pendente  : 261_x000D_
22 / 10_2 : 456_x000D_
22 / 11_2 : 588_x000D_
22 / 12_2 : 460_x000D_
23 / 01_2 : _x000D_
23 / 02_2 : 40_x000D_
23 / 03_2 : 1.050_x000D_
23 / 04_2 : 597_x000D_
23 / 05_2 : 855_x000D_
23 / 06_2 : 815_x000D_
23 / 07_2 : 651_x000D_
23 / 08_2 : 758_x000D_
23 / 09_2 : 394_x000D_
_x000D_
    TOTAL : ( 6.925 )_x000D_
  DIVISOR : 12_x000D_
    MÉDIA : 577,08</t>
        </r>
      </text>
    </comment>
    <comment ref="AB512" authorId="0" shapeId="0" xr:uid="{F356060A-DC22-4C85-9B10-BFFF1B0FA3E9}">
      <text>
        <r>
          <rPr>
            <sz val="10"/>
            <color indexed="81"/>
            <rFont val="Lucida Console"/>
            <family val="3"/>
          </rPr>
          <t>Última movimentação no estoque em 09/2023 quantidade 394.</t>
        </r>
      </text>
    </comment>
    <comment ref="R513" authorId="0" shapeId="0" xr:uid="{42B01ADB-E2D7-43F1-8EF7-712B6CA922AD}">
      <text>
        <r>
          <rPr>
            <sz val="10"/>
            <color indexed="81"/>
            <rFont val="Lucida Console"/>
            <family val="3"/>
          </rPr>
          <t>01.01.1901</t>
        </r>
      </text>
    </comment>
    <comment ref="Y513" authorId="0" shapeId="0" xr:uid="{EB7E3DC5-C17D-4E89-BE8D-B0596A6C8F21}">
      <text>
        <r>
          <rPr>
            <sz val="10"/>
            <color indexed="81"/>
            <rFont val="Courier New"/>
            <family val="3"/>
          </rPr>
          <t>_x000D_
    DESCRIÇÃO DO CÁLCULO_x000D_
Código    : 29.959_x000D_
Corte     : 1.368_x000D_
-----------------------------_x000D_
Pendente  : 988_x000D_
22 / 10_2 : 804_x000D_
22 / 11_2 : 738_x000D_
22 / 12_2 : 575_x000D_
23 / 01_2 : 300_x000D_
23 / 02_2 : 217_x000D_
23 / 03_2 : 365_x000D_
23 / 04_2 : 667_x000D_
23 / 05_2 : 1.120_x000D_
23 / 06_2 : 985_x000D_
23 / 07_2 : 826_x000D_
23 / 08_2 : 988_x000D_
23 / 09_2 : 196_x000D_
_x000D_
    TOTAL : ( 8.769 )_x000D_
  DIVISOR : 12_x000D_
    MÉDIA : 730,75</t>
        </r>
      </text>
    </comment>
    <comment ref="AB513" authorId="0" shapeId="0" xr:uid="{9FE6502A-50F4-41AC-A8D5-57BDBF47AA09}">
      <text>
        <r>
          <rPr>
            <sz val="10"/>
            <color indexed="81"/>
            <rFont val="Lucida Console"/>
            <family val="3"/>
          </rPr>
          <t>Última movimentação no estoque em 09/2023 quantidade 196.</t>
        </r>
      </text>
    </comment>
    <comment ref="R514" authorId="0" shapeId="0" xr:uid="{EA761F5D-98D2-4822-A071-19D064ADDBD2}">
      <text>
        <r>
          <rPr>
            <sz val="10"/>
            <color indexed="81"/>
            <rFont val="Lucida Console"/>
            <family val="3"/>
          </rPr>
          <t>01.01.1901</t>
        </r>
      </text>
    </comment>
    <comment ref="Y514" authorId="0" shapeId="0" xr:uid="{E5ADC343-1A28-4777-99DF-0C34435DF38E}">
      <text>
        <r>
          <rPr>
            <sz val="10"/>
            <color indexed="81"/>
            <rFont val="Courier New"/>
            <family val="3"/>
          </rPr>
          <t>_x000D_
    DESCRIÇÃO DO CÁLCULO_x000D_
Código    : 29.961_x000D_
Corte     : 1.231_x000D_
-----------------------------_x000D_
Pendente  : 257_x000D_
22 / 10_2 : 581_x000D_
22 / 11_2 : 706_x000D_
22 / 12_2 : 530_x000D_
23 / 01_2 : 310_x000D_
23 / 02_2 : 493_x000D_
23 / 03_2 : 1.090_x000D_
23 / 04_2 : 657_x000D_
23 / 05_2 : 940_x000D_
23 / 06_2 : 825_x000D_
23 / 07_2 : 721_x000D_
23 / 08_2 : 671_x000D_
23 / 09_2 : _x000D_
_x000D_
    TOTAL : ( 7.781 )_x000D_
  DIVISOR : 12_x000D_
    MÉDIA : 648,42</t>
        </r>
      </text>
    </comment>
    <comment ref="AB514" authorId="0" shapeId="0" xr:uid="{55256B2F-6E7C-499C-9510-EE0E6E144282}">
      <text>
        <r>
          <rPr>
            <sz val="10"/>
            <color indexed="81"/>
            <rFont val="Lucida Console"/>
            <family val="3"/>
          </rPr>
          <t>Última movimentação no estoque em 08/2023 quantidade 671.</t>
        </r>
      </text>
    </comment>
    <comment ref="R515" authorId="0" shapeId="0" xr:uid="{6D8897DB-00D5-4E2D-8B41-91A5FE2D6C42}">
      <text>
        <r>
          <rPr>
            <sz val="10"/>
            <color indexed="81"/>
            <rFont val="Lucida Console"/>
            <family val="3"/>
          </rPr>
          <t>06.11.2003</t>
        </r>
      </text>
    </comment>
    <comment ref="Y515" authorId="0" shapeId="0" xr:uid="{4BF0F961-CCF7-4FA8-99C8-12CA5BE8BDC1}">
      <text>
        <r>
          <rPr>
            <sz val="10"/>
            <color indexed="81"/>
            <rFont val="Courier New"/>
            <family val="3"/>
          </rPr>
          <t>_x000D_
    DESCRIÇÃO DO CÁLCULO_x000D_
Código    : 75.938_x000D_
Corte     : 1.186_x000D_
-----------------------------_x000D_
Pendente  : 420_x000D_
22 / 10_2 : 624_x000D_
22 / 11_2 : 613_x000D_
22 / 12_2 : 480_x000D_
23 / 01_2 : 270_x000D_
23 / 02_2 : 250_x000D_
23 / 03_2 : 1.055_x000D_
23 / 04_2 : 607_x000D_
23 / 05_2 : 930_x000D_
23 / 06_2 : 810_x000D_
23 / 07_2 : 726_x000D_
23 / 08_2 : 778_x000D_
23 / 09_2 : 155_x000D_
_x000D_
    TOTAL : ( 7.718 )_x000D_
  DIVISOR : 12_x000D_
    MÉDIA : 643,17</t>
        </r>
      </text>
    </comment>
    <comment ref="AB515" authorId="0" shapeId="0" xr:uid="{8DE5AB01-857F-4A2D-9BB7-B003A30C35B3}">
      <text>
        <r>
          <rPr>
            <sz val="10"/>
            <color indexed="81"/>
            <rFont val="Lucida Console"/>
            <family val="3"/>
          </rPr>
          <t>Última movimentação no estoque em 09/2023 quantidade 155.</t>
        </r>
      </text>
    </comment>
    <comment ref="R516" authorId="0" shapeId="0" xr:uid="{B88FA12E-2230-4D3C-85A4-3E4C608FD59C}">
      <text>
        <r>
          <rPr>
            <sz val="10"/>
            <color indexed="81"/>
            <rFont val="Lucida Console"/>
            <family val="3"/>
          </rPr>
          <t>01.01.1901</t>
        </r>
      </text>
    </comment>
    <comment ref="Y516" authorId="0" shapeId="0" xr:uid="{068B23B5-C533-40A9-AF1F-DE28D440922D}">
      <text>
        <r>
          <rPr>
            <sz val="10"/>
            <color indexed="81"/>
            <rFont val="Courier New"/>
            <family val="3"/>
          </rPr>
          <t>_x000D_
    DESCRIÇÃO DO CÁLCULO_x000D_
Código    : 23.846_x000D_
Corte     : 2.372_x000D_
-----------------------------_x000D_
Pendente  : 953_x000D_
22 / 10_2 : 1.241_x000D_
22 / 11_2 : 1.334_x000D_
22 / 12_2 : 587_x000D_
23 / 01_2 : 453_x000D_
23 / 02_2 : 1.110_x000D_
23 / 03_2 : 2.275_x000D_
23 / 04_2 : 1.350_x000D_
23 / 05_2 : 1.690_x000D_
23 / 06_2 : 1.187_x000D_
23 / 07_2 : 369_x000D_
23 / 08_2 : 12_x000D_
23 / 09_2 : _x000D_
_x000D_
    TOTAL : ( 12.561 )_x000D_
  DIVISOR : 12_x000D_
    MÉDIA : 1.046,75</t>
        </r>
      </text>
    </comment>
    <comment ref="AB516" authorId="0" shapeId="0" xr:uid="{FC37EAF2-61DB-499D-8926-49E2C60CDA0A}">
      <text>
        <r>
          <rPr>
            <sz val="10"/>
            <color indexed="81"/>
            <rFont val="Lucida Console"/>
            <family val="3"/>
          </rPr>
          <t>Última movimentação no estoque em 08/2023 quantidade 12.</t>
        </r>
      </text>
    </comment>
    <comment ref="R517" authorId="0" shapeId="0" xr:uid="{71A9ADC5-F35D-45E1-9C37-71AC006F968A}">
      <text>
        <r>
          <rPr>
            <sz val="10"/>
            <color indexed="81"/>
            <rFont val="Lucida Console"/>
            <family val="3"/>
          </rPr>
          <t>01.01.1901</t>
        </r>
      </text>
    </comment>
    <comment ref="Y517" authorId="0" shapeId="0" xr:uid="{EF6A99C1-32BD-4B40-BC5C-B503DE84B6C9}">
      <text>
        <r>
          <rPr>
            <sz val="10"/>
            <color indexed="81"/>
            <rFont val="Courier New"/>
            <family val="3"/>
          </rPr>
          <t>_x000D_
    DESCRIÇÃO DO CÁLCULO_x000D_
Código    : 30.165_x000D_
Corte     : 2.572_x000D_
-----------------------------_x000D_
Pendente  : 1.159_x000D_
22 / 10_2 : 1.368_x000D_
22 / 11_2 : 1.388_x000D_
22 / 12_2 : 13_x000D_
23 / 01_2 : 483_x000D_
23 / 02_2 : 1.150_x000D_
23 / 03_2 : 2.435_x000D_
23 / 04_2 : 1.505_x000D_
23 / 05_2 : 1.750_x000D_
23 / 06_2 : 742_x000D_
23 / 07_2 : 19_x000D_
23 / 08_2 : _x000D_
23 / 09_2 : _x000D_
_x000D_
    TOTAL : ( 12.012 )_x000D_
  DIVISOR : 12_x000D_
    MÉDIA : 1.001,00</t>
        </r>
      </text>
    </comment>
    <comment ref="AB517" authorId="0" shapeId="0" xr:uid="{3CDFBEEB-15DA-4E5B-BC9F-8781345D8E1B}">
      <text>
        <r>
          <rPr>
            <sz val="10"/>
            <color indexed="81"/>
            <rFont val="Lucida Console"/>
            <family val="3"/>
          </rPr>
          <t>Última movimentação no estoque em 07/2023 quantidade 19.</t>
        </r>
      </text>
    </comment>
    <comment ref="R518" authorId="0" shapeId="0" xr:uid="{3AC9E248-452A-4E75-BBEB-6AB9E4AD4E44}">
      <text>
        <r>
          <rPr>
            <sz val="10"/>
            <color indexed="81"/>
            <rFont val="Lucida Console"/>
            <family val="3"/>
          </rPr>
          <t>01.01.1901</t>
        </r>
      </text>
    </comment>
    <comment ref="Y518" authorId="0" shapeId="0" xr:uid="{3BAC17C3-AC54-4062-BA8A-0F8D8F1A80B2}">
      <text>
        <r>
          <rPr>
            <sz val="10"/>
            <color indexed="81"/>
            <rFont val="Courier New"/>
            <family val="3"/>
          </rPr>
          <t>_x000D_
    DESCRIÇÃO DO CÁLCULO_x000D_
Código    : 23.875_x000D_
Corte     : 2.318_x000D_
-----------------------------_x000D_
Pendente  : 393_x000D_
22 / 10_2 : 1.251_x000D_
22 / 11_2 : 1.254_x000D_
22 / 12_2 : 703_x000D_
23 / 01_2 : 480_x000D_
23 / 02_2 : 1.060_x000D_
23 / 03_2 : 2.175_x000D_
23 / 04_2 : 1.390_x000D_
23 / 05_2 : 1.580_x000D_
23 / 06_2 : 1.405_x000D_
23 / 07_2 : 1.211_x000D_
23 / 08_2 : 1.245_x000D_
23 / 09_2 : _x000D_
_x000D_
    TOTAL : ( 14.147 )_x000D_
  DIVISOR : 12_x000D_
    MÉDIA : 1.178,92</t>
        </r>
      </text>
    </comment>
    <comment ref="AB518" authorId="0" shapeId="0" xr:uid="{3A50D6B7-C248-49C9-ADFF-6EF99614F35D}">
      <text>
        <r>
          <rPr>
            <sz val="10"/>
            <color indexed="81"/>
            <rFont val="Lucida Console"/>
            <family val="3"/>
          </rPr>
          <t>Última movimentação no estoque em 08/2023 quantidade 1.245.</t>
        </r>
      </text>
    </comment>
    <comment ref="R519" authorId="0" shapeId="0" xr:uid="{81C48FDE-6F54-4A24-9CA7-426B8713C493}">
      <text>
        <r>
          <rPr>
            <sz val="10"/>
            <color indexed="81"/>
            <rFont val="Lucida Console"/>
            <family val="3"/>
          </rPr>
          <t>01.01.1901</t>
        </r>
      </text>
    </comment>
    <comment ref="Y519" authorId="0" shapeId="0" xr:uid="{70BB1ABB-92A6-4F8C-B737-31777B8F43AF}">
      <text>
        <r>
          <rPr>
            <sz val="10"/>
            <color indexed="81"/>
            <rFont val="Courier New"/>
            <family val="3"/>
          </rPr>
          <t>_x000D_
    DESCRIÇÃO DO CÁLCULO_x000D_
Código    : 32.933_x000D_
Corte     : 2.466_x000D_
-----------------------------_x000D_
Pendente  : 831_x000D_
22 / 10_2 : 1.216_x000D_
22 / 11_2 : 1.424_x000D_
22 / 12_2 : 762_x000D_
23 / 01_2 : _x000D_
23 / 02_2 : 920_x000D_
23 / 03_2 : 2.250_x000D_
23 / 04_2 : 1.410_x000D_
23 / 05_2 : 1.711_x000D_
23 / 06_2 : 1.485_x000D_
23 / 07_2 : 330_x000D_
23 / 08_2 : 1_x000D_
23 / 09_2 : _x000D_
_x000D_
    TOTAL : ( 12.340 )_x000D_
  DIVISOR : 12_x000D_
    MÉDIA : 1.028,33</t>
        </r>
      </text>
    </comment>
    <comment ref="AB519" authorId="0" shapeId="0" xr:uid="{AC3E71B4-5664-4A4C-A72F-1F898466EE52}">
      <text>
        <r>
          <rPr>
            <sz val="10"/>
            <color indexed="81"/>
            <rFont val="Lucida Console"/>
            <family val="3"/>
          </rPr>
          <t>Última movimentação no estoque em 08/2023 quantidade 1.</t>
        </r>
      </text>
    </comment>
    <comment ref="R520" authorId="0" shapeId="0" xr:uid="{200CD340-2F9B-4E46-BEC9-774C46B0E42D}">
      <text>
        <r>
          <rPr>
            <sz val="10"/>
            <color indexed="81"/>
            <rFont val="Lucida Console"/>
            <family val="3"/>
          </rPr>
          <t>01.01.1901</t>
        </r>
      </text>
    </comment>
    <comment ref="Y520" authorId="0" shapeId="0" xr:uid="{57A13AB6-2F11-4191-B602-C0D368A6D405}">
      <text>
        <r>
          <rPr>
            <sz val="10"/>
            <color indexed="81"/>
            <rFont val="Courier New"/>
            <family val="3"/>
          </rPr>
          <t>_x000D_
    DESCRIÇÃO DO CÁLCULO_x000D_
Código    : 23.862_x000D_
Corte     : 2.515_x000D_
-----------------------------_x000D_
Pendente  : 815_x000D_
22 / 10_2 : 1.241_x000D_
22 / 11_2 : 1.409_x000D_
22 / 12_2 : 748_x000D_
23 / 01_2 : 488_x000D_
23 / 02_2 : 1.110_x000D_
23 / 03_2 : 2.402_x000D_
23 / 04_2 : 1.370_x000D_
23 / 05_2 : 1.770_x000D_
23 / 06_2 : 1.510_x000D_
23 / 07_2 : 1.293_x000D_
23 / 08_2 : 133_x000D_
23 / 09_2 : _x000D_
_x000D_
    TOTAL : ( 14.289 )_x000D_
  DIVISOR : 12_x000D_
    MÉDIA : 1.190,75</t>
        </r>
      </text>
    </comment>
    <comment ref="AB520" authorId="0" shapeId="0" xr:uid="{BAEBD1EE-CCB0-45D0-A0CC-C122F12A0CA5}">
      <text>
        <r>
          <rPr>
            <sz val="10"/>
            <color indexed="81"/>
            <rFont val="Lucida Console"/>
            <family val="3"/>
          </rPr>
          <t>Última movimentação no estoque em 08/2023 quantidade 133.</t>
        </r>
      </text>
    </comment>
    <comment ref="R521" authorId="0" shapeId="0" xr:uid="{7909CD02-D5B0-423B-A096-9B29192EB60F}">
      <text>
        <r>
          <rPr>
            <sz val="10"/>
            <color indexed="81"/>
            <rFont val="Lucida Console"/>
            <family val="3"/>
          </rPr>
          <t>01.01.1901</t>
        </r>
      </text>
    </comment>
    <comment ref="Y521" authorId="0" shapeId="0" xr:uid="{E2C9CAF7-6E50-4E81-BC61-9E04F955B9C8}">
      <text>
        <r>
          <rPr>
            <sz val="10"/>
            <color indexed="81"/>
            <rFont val="Courier New"/>
            <family val="3"/>
          </rPr>
          <t>_x000D_
    DESCRIÇÃO DO CÁLCULO_x000D_
Código    : 17.362_x000D_
Corte     : 1.492_x000D_
-----------------------------_x000D_
Pendente  : 165_x000D_
22 / 10_2 : 615_x000D_
22 / 11_2 : 1.005_x000D_
22 / 12_2 : 623_x000D_
23 / 01_2 : 175_x000D_
23 / 02_2 : 535_x000D_
23 / 03_2 : 1.188_x000D_
23 / 04_2 : 600_x000D_
23 / 05_2 : 1.137_x000D_
23 / 06_2 : 1.102_x000D_
23 / 07_2 : 773_x000D_
23 / 08_2 : 747_x000D_
23 / 09_2 : _x000D_
_x000D_
    TOTAL : ( 8.665 )_x000D_
  DIVISOR : 12_x000D_
    MÉDIA : 722,08</t>
        </r>
      </text>
    </comment>
    <comment ref="AB521" authorId="0" shapeId="0" xr:uid="{ABECEE69-8BCF-4B1E-868F-EBEA342BE366}">
      <text>
        <r>
          <rPr>
            <sz val="10"/>
            <color indexed="81"/>
            <rFont val="Lucida Console"/>
            <family val="3"/>
          </rPr>
          <t>Última movimentação no estoque em 08/2023 quantidade 747.</t>
        </r>
      </text>
    </comment>
    <comment ref="R522" authorId="0" shapeId="0" xr:uid="{A34A35C2-3B50-440C-B3D4-CB136F163DA2}">
      <text>
        <r>
          <rPr>
            <sz val="10"/>
            <color indexed="81"/>
            <rFont val="Lucida Console"/>
            <family val="3"/>
          </rPr>
          <t>01.01.1901</t>
        </r>
      </text>
    </comment>
    <comment ref="Y522" authorId="0" shapeId="0" xr:uid="{DCF046B9-8C2C-41C4-96F6-17D364FCF2B9}">
      <text>
        <r>
          <rPr>
            <sz val="10"/>
            <color indexed="81"/>
            <rFont val="Courier New"/>
            <family val="3"/>
          </rPr>
          <t>_x000D_
    DESCRIÇÃO DO CÁLCULO_x000D_
Código    : 32.927_x000D_
Corte     : 1.443_x000D_
-----------------------------_x000D_
Pendente  : 334_x000D_
22 / 10_2 : 545_x000D_
22 / 11_2 : 1.035_x000D_
22 / 12_2 : 613_x000D_
23 / 01_2 : 185_x000D_
23 / 02_2 : 240_x000D_
23 / 03_2 : 1.089_x000D_
23 / 04_2 : 580_x000D_
23 / 05_2 : 1.193_x000D_
23 / 06_2 : 1.050_x000D_
23 / 07_2 : 763_x000D_
23 / 08_2 : 279_x000D_
23 / 09_2 : _x000D_
_x000D_
    TOTAL : ( 7.906 )_x000D_
  DIVISOR : 12_x000D_
    MÉDIA : 658,83</t>
        </r>
      </text>
    </comment>
    <comment ref="AB522" authorId="0" shapeId="0" xr:uid="{BFEB3A31-48EC-40F8-AE00-38D489EB0262}">
      <text>
        <r>
          <rPr>
            <sz val="10"/>
            <color indexed="81"/>
            <rFont val="Lucida Console"/>
            <family val="3"/>
          </rPr>
          <t>Última movimentação no estoque em 08/2023 quantidade 279.</t>
        </r>
      </text>
    </comment>
    <comment ref="R523" authorId="0" shapeId="0" xr:uid="{9E777327-749C-4CDC-A10A-A9932A2A4CC2}">
      <text>
        <r>
          <rPr>
            <sz val="10"/>
            <color indexed="81"/>
            <rFont val="Lucida Console"/>
            <family val="3"/>
          </rPr>
          <t>01.01.1901</t>
        </r>
      </text>
    </comment>
    <comment ref="Y523" authorId="0" shapeId="0" xr:uid="{E92EEF37-E5EF-4AFC-B50E-72B0352B9C0B}">
      <text>
        <r>
          <rPr>
            <sz val="10"/>
            <color indexed="81"/>
            <rFont val="Courier New"/>
            <family val="3"/>
          </rPr>
          <t>_x000D_
    DESCRIÇÃO DO CÁLCULO_x000D_
Código    : 17.370_x000D_
Corte     : 1.430_x000D_
-----------------------------_x000D_
Pendente  : 350_x000D_
22 / 10_2 : 565_x000D_
22 / 11_2 : 1.025_x000D_
22 / 12_2 : 613_x000D_
23 / 01_2 : 69_x000D_
23 / 02_2 : 200_x000D_
23 / 03_2 : 1.024_x000D_
23 / 04_2 : 575_x000D_
23 / 05_2 : 1.173_x000D_
23 / 06_2 : 1.042_x000D_
23 / 07_2 : 768_x000D_
23 / 08_2 : 324_x000D_
23 / 09_2 : _x000D_
_x000D_
    TOTAL : ( 7.728 )_x000D_
  DIVISOR : 12_x000D_
    MÉDIA : 644,00</t>
        </r>
      </text>
    </comment>
    <comment ref="AB523" authorId="0" shapeId="0" xr:uid="{7141E299-4B07-4646-9C65-EC947B9AB018}">
      <text>
        <r>
          <rPr>
            <sz val="10"/>
            <color indexed="81"/>
            <rFont val="Lucida Console"/>
            <family val="3"/>
          </rPr>
          <t>Última movimentação no estoque em 08/2023 quantidade 324.</t>
        </r>
      </text>
    </comment>
    <comment ref="R524" authorId="0" shapeId="0" xr:uid="{5CC66E04-B4DF-4079-9197-981D2CCE4E52}">
      <text>
        <r>
          <rPr>
            <sz val="10"/>
            <color indexed="81"/>
            <rFont val="Lucida Console"/>
            <family val="3"/>
          </rPr>
          <t>01.01.1901</t>
        </r>
      </text>
    </comment>
    <comment ref="Y524" authorId="0" shapeId="0" xr:uid="{50D3FDB6-E28D-4891-962F-B00A9F3C4D94}">
      <text>
        <r>
          <rPr>
            <sz val="10"/>
            <color indexed="81"/>
            <rFont val="Courier New"/>
            <family val="3"/>
          </rPr>
          <t>_x000D_
    DESCRIÇÃO DO CÁLCULO_x000D_
Código    : 17.371_x000D_
Corte     : 1.437_x000D_
-----------------------------_x000D_
Pendente  : 486_x000D_
22 / 10_2 : 630_x000D_
22 / 11_2 : 965_x000D_
22 / 12_2 : 387_x000D_
23 / 01_2 : _x000D_
23 / 02_2 : 191_x000D_
23 / 03_2 : 1.044_x000D_
23 / 04_2 : 596_x000D_
23 / 05_2 : 1.173_x000D_
23 / 06_2 : 1.047_x000D_
23 / 07_2 : 793_x000D_
23 / 08_2 : 267_x000D_
23 / 09_2 : _x000D_
_x000D_
    TOTAL : ( 7.579 )_x000D_
  DIVISOR : 12_x000D_
    MÉDIA : 631,58</t>
        </r>
      </text>
    </comment>
    <comment ref="AB524" authorId="0" shapeId="0" xr:uid="{94C88B98-F3C8-4CB6-89D6-5BF2D6AA9AD9}">
      <text>
        <r>
          <rPr>
            <sz val="10"/>
            <color indexed="81"/>
            <rFont val="Lucida Console"/>
            <family val="3"/>
          </rPr>
          <t>Última movimentação no estoque em 08/2023 quantidade 267.</t>
        </r>
      </text>
    </comment>
    <comment ref="R525" authorId="0" shapeId="0" xr:uid="{EBE3D41E-F769-4F2A-BF1C-D6BF6C719711}">
      <text>
        <r>
          <rPr>
            <sz val="10"/>
            <color indexed="81"/>
            <rFont val="Lucida Console"/>
            <family val="3"/>
          </rPr>
          <t>01.01.1901</t>
        </r>
      </text>
    </comment>
    <comment ref="Y525" authorId="0" shapeId="0" xr:uid="{F1B2F37D-E8FB-4B11-BDD3-245723C173E3}">
      <text>
        <r>
          <rPr>
            <sz val="10"/>
            <color indexed="81"/>
            <rFont val="Courier New"/>
            <family val="3"/>
          </rPr>
          <t>_x000D_
    DESCRIÇÃO DO CÁLCULO_x000D_
Código    : 23.986_x000D_
Corte     : 1.307_x000D_
-----------------------------_x000D_
Pendente  : 110_x000D_
22 / 10_2 : 582_x000D_
22 / 11_2 : 704_x000D_
22 / 12_2 : 542_x000D_
23 / 01_2 : 269_x000D_
23 / 02_2 : 468_x000D_
23 / 03_2 : 1.115_x000D_
23 / 04_2 : 600_x000D_
23 / 05_2 : 1.006_x000D_
23 / 06_2 : 1.070_x000D_
23 / 07_2 : 731_x000D_
23 / 08_2 : 771_x000D_
23 / 09_2 : 311_x000D_
_x000D_
    TOTAL : ( 8.279 )_x000D_
  DIVISOR : 12_x000D_
    MÉDIA : 689,92</t>
        </r>
      </text>
    </comment>
    <comment ref="AB525" authorId="0" shapeId="0" xr:uid="{2D628B21-07A0-444D-8497-6FE5F88118DA}">
      <text>
        <r>
          <rPr>
            <sz val="10"/>
            <color indexed="81"/>
            <rFont val="Lucida Console"/>
            <family val="3"/>
          </rPr>
          <t>Última movimentação no estoque em 09/2023 quantidade 311.</t>
        </r>
      </text>
    </comment>
    <comment ref="R526" authorId="0" shapeId="0" xr:uid="{FE0F4AC7-DD0E-4701-B06E-E2F71A6F4B74}">
      <text>
        <r>
          <rPr>
            <sz val="10"/>
            <color indexed="81"/>
            <rFont val="Lucida Console"/>
            <family val="3"/>
          </rPr>
          <t>01.01.1901</t>
        </r>
      </text>
    </comment>
    <comment ref="Y526" authorId="0" shapeId="0" xr:uid="{02014017-9C02-437E-B0B9-F81693D4AA99}">
      <text>
        <r>
          <rPr>
            <sz val="10"/>
            <color indexed="81"/>
            <rFont val="Courier New"/>
            <family val="3"/>
          </rPr>
          <t>_x000D_
    DESCRIÇÃO DO CÁLCULO_x000D_
Código    : 24.476_x000D_
Corte     : 1.304_x000D_
-----------------------------_x000D_
Pendente  : 35_x000D_
22 / 10_2 : 574_x000D_
22 / 11_2 : 708_x000D_
22 / 12_2 : 530_x000D_
23 / 01_2 : 289_x000D_
23 / 02_2 : 468_x000D_
23 / 03_2 : 1.100_x000D_
23 / 04_2 : 600_x000D_
23 / 05_2 : 1.006_x000D_
23 / 06_2 : 1.047_x000D_
23 / 07_2 : 781_x000D_
23 / 08_2 : 731_x000D_
23 / 09_2 : 571_x000D_
_x000D_
    TOTAL : ( 8.440 )_x000D_
  DIVISOR : 12_x000D_
    MÉDIA : 703,33</t>
        </r>
      </text>
    </comment>
    <comment ref="AB526" authorId="0" shapeId="0" xr:uid="{F90820EE-35C1-4D7D-8F7D-6B385D185491}">
      <text>
        <r>
          <rPr>
            <sz val="10"/>
            <color indexed="81"/>
            <rFont val="Lucida Console"/>
            <family val="3"/>
          </rPr>
          <t>Última movimentação no estoque em 09/2023 quantidade 571.</t>
        </r>
      </text>
    </comment>
    <comment ref="R527" authorId="0" shapeId="0" xr:uid="{EF4EF96B-E8EE-4EC1-9868-2842FAE06E87}">
      <text>
        <r>
          <rPr>
            <sz val="10"/>
            <color indexed="81"/>
            <rFont val="Lucida Console"/>
            <family val="3"/>
          </rPr>
          <t>01.01.1901</t>
        </r>
      </text>
    </comment>
    <comment ref="Y527" authorId="0" shapeId="0" xr:uid="{648906B9-8D7D-4F58-8647-A8EE87E627C7}">
      <text>
        <r>
          <rPr>
            <sz val="10"/>
            <color indexed="81"/>
            <rFont val="Courier New"/>
            <family val="3"/>
          </rPr>
          <t>_x000D_
    DESCRIÇÃO DO CÁLCULO_x000D_
Código    : 23.989_x000D_
Corte     : 1.274_x000D_
-----------------------------_x000D_
Pendente  : 65_x000D_
22 / 10_2 : 549_x000D_
22 / 11_2 : 542_x000D_
22 / 12_2 : 402_x000D_
23 / 01_2 : 266_x000D_
23 / 02_2 : 488_x000D_
23 / 03_2 : 1.110_x000D_
23 / 04_2 : 575_x000D_
23 / 05_2 : 1.001_x000D_
23 / 06_2 : 1.038_x000D_
23 / 07_2 : 741_x000D_
23 / 08_2 : 706_x000D_
23 / 09_2 : 548_x000D_
_x000D_
    TOTAL : ( 8.031 )_x000D_
  DIVISOR : 12_x000D_
    MÉDIA : 669,25</t>
        </r>
      </text>
    </comment>
    <comment ref="AB527" authorId="0" shapeId="0" xr:uid="{9CAA7B23-4784-4AAE-8F56-E399102A71D9}">
      <text>
        <r>
          <rPr>
            <sz val="10"/>
            <color indexed="81"/>
            <rFont val="Lucida Console"/>
            <family val="3"/>
          </rPr>
          <t>Última movimentação no estoque em 09/2023 quantidade 548.</t>
        </r>
      </text>
    </comment>
    <comment ref="R528" authorId="0" shapeId="0" xr:uid="{D6BE43B0-5EB7-470E-BF19-56F1138789DC}">
      <text>
        <r>
          <rPr>
            <sz val="10"/>
            <color indexed="81"/>
            <rFont val="Lucida Console"/>
            <family val="3"/>
          </rPr>
          <t>01.01.1901</t>
        </r>
      </text>
    </comment>
    <comment ref="Y528" authorId="0" shapeId="0" xr:uid="{5F670481-251A-4BFA-BCC8-08C251C65C2E}">
      <text>
        <r>
          <rPr>
            <sz val="10"/>
            <color indexed="81"/>
            <rFont val="Courier New"/>
            <family val="3"/>
          </rPr>
          <t>_x000D_
    DESCRIÇÃO DO CÁLCULO_x000D_
Código    : 23.993_x000D_
Corte     : 1.234_x000D_
-----------------------------_x000D_
Pendente  : 15_x000D_
22 / 10_2 : 514_x000D_
22 / 11_2 : 456_x000D_
22 / 12_2 : 457_x000D_
23 / 01_2 : 241_x000D_
23 / 02_2 : 476_x000D_
23 / 03_2 : 1.070_x000D_
23 / 04_2 : 550_x000D_
23 / 05_2 : 950_x000D_
23 / 06_2 : 973_x000D_
23 / 07_2 : 716_x000D_
23 / 08_2 : 729_x000D_
23 / 09_2 : 569_x000D_
_x000D_
    TOTAL : ( 7.716 )_x000D_
  DIVISOR : 12_x000D_
    MÉDIA : 643,00</t>
        </r>
      </text>
    </comment>
    <comment ref="AB528" authorId="0" shapeId="0" xr:uid="{3A003B56-3BC9-4396-B2C1-B1D0398B0F1F}">
      <text>
        <r>
          <rPr>
            <sz val="10"/>
            <color indexed="81"/>
            <rFont val="Lucida Console"/>
            <family val="3"/>
          </rPr>
          <t>Última movimentação no estoque em 09/2023 quantidade 569.</t>
        </r>
      </text>
    </comment>
    <comment ref="R529" authorId="0" shapeId="0" xr:uid="{2217C133-A95C-443C-A645-8EDF6F2C8D73}">
      <text>
        <r>
          <rPr>
            <sz val="10"/>
            <color indexed="81"/>
            <rFont val="Lucida Console"/>
            <family val="3"/>
          </rPr>
          <t>01.01.1901</t>
        </r>
      </text>
    </comment>
    <comment ref="Y529" authorId="0" shapeId="0" xr:uid="{33BB2A9E-0D86-4C53-A163-4EE5EC775323}">
      <text>
        <r>
          <rPr>
            <sz val="10"/>
            <color indexed="81"/>
            <rFont val="Courier New"/>
            <family val="3"/>
          </rPr>
          <t>_x000D_
    DESCRIÇÃO DO CÁLCULO_x000D_
Código    : 24.477_x000D_
Corte     : 1.299_x000D_
-----------------------------_x000D_
Pendente  : 179_x000D_
22 / 10_2 : 687_x000D_
22 / 11_2 : 679_x000D_
22 / 12_2 : 520_x000D_
23 / 01_2 : 319_x000D_
23 / 02_2 : 491_x000D_
23 / 03_2 : 1.100_x000D_
23 / 04_2 : 630_x000D_
23 / 05_2 : 1.001_x000D_
23 / 06_2 : 1.088_x000D_
23 / 07_2 : 681_x000D_
23 / 08_2 : 711_x000D_
23 / 09_2 : 177_x000D_
_x000D_
    TOTAL : ( 8.263 )_x000D_
  DIVISOR : 12_x000D_
    MÉDIA : 688,58</t>
        </r>
      </text>
    </comment>
    <comment ref="AB529" authorId="0" shapeId="0" xr:uid="{1998D195-B4E5-4928-BE2E-62ED953B7D87}">
      <text>
        <r>
          <rPr>
            <sz val="10"/>
            <color indexed="81"/>
            <rFont val="Lucida Console"/>
            <family val="3"/>
          </rPr>
          <t>Última movimentação no estoque em 09/2023 quantidade 177.</t>
        </r>
      </text>
    </comment>
    <comment ref="R530" authorId="0" shapeId="0" xr:uid="{82D41541-0F3D-49B3-8157-FCEACFA8D74E}">
      <text>
        <r>
          <rPr>
            <sz val="10"/>
            <color indexed="81"/>
            <rFont val="Lucida Console"/>
            <family val="3"/>
          </rPr>
          <t>01.01.1901</t>
        </r>
      </text>
    </comment>
    <comment ref="Y530" authorId="0" shapeId="0" xr:uid="{917159A6-4955-4625-BFED-1BF030515352}">
      <text>
        <r>
          <rPr>
            <sz val="10"/>
            <color indexed="81"/>
            <rFont val="Courier New"/>
            <family val="3"/>
          </rPr>
          <t>_x000D_
    DESCRIÇÃO DO CÁLCULO_x000D_
Código    : 23.996_x000D_
Corte     : 1.301_x000D_
-----------------------------_x000D_
Pendente  : 99_x000D_
22 / 10_2 : 609_x000D_
22 / 11_2 : 527_x000D_
22 / 12_2 : 500_x000D_
23 / 01_2 : 241_x000D_
23 / 02_2 : 473_x000D_
23 / 03_2 : 1.075_x000D_
23 / 04_2 : 610_x000D_
23 / 05_2 : 1.016_x000D_
23 / 06_2 : 1.131_x000D_
23 / 07_2 : 766_x000D_
23 / 08_2 : 717_x000D_
23 / 09_2 : 480_x000D_
_x000D_
    TOTAL : ( 8.244 )_x000D_
  DIVISOR : 12_x000D_
    MÉDIA : 687,00</t>
        </r>
      </text>
    </comment>
    <comment ref="AB530" authorId="0" shapeId="0" xr:uid="{C47ED702-03B6-47B8-AA41-B0759A5349EE}">
      <text>
        <r>
          <rPr>
            <sz val="10"/>
            <color indexed="81"/>
            <rFont val="Lucida Console"/>
            <family val="3"/>
          </rPr>
          <t>Última movimentação no estoque em 09/2023 quantidade 480.</t>
        </r>
      </text>
    </comment>
    <comment ref="R531" authorId="0" shapeId="0" xr:uid="{9982E27A-4BB8-482A-BBB1-9D7446253C08}">
      <text>
        <r>
          <rPr>
            <sz val="10"/>
            <color indexed="81"/>
            <rFont val="Lucida Console"/>
            <family val="3"/>
          </rPr>
          <t>20.07.2015</t>
        </r>
      </text>
    </comment>
    <comment ref="Y531" authorId="0" shapeId="0" xr:uid="{C175F6E6-1F7E-4A9B-80F9-0904483CBB29}">
      <text>
        <r>
          <rPr>
            <sz val="10"/>
            <color indexed="81"/>
            <rFont val="Courier New"/>
            <family val="3"/>
          </rPr>
          <t>_x000D_
    DESCRIÇÃO DO CÁLCULO_x000D_
Código    : 130.624_x000D_
Corte     : 9.930_x000D_
-----------------------------_x000D_
Pendente  : 30_x000D_
22 / 10_2 : 1.262_x000D_
22 / 11_2 : 1.398_x000D_
22 / 12_2 : 998_x000D_
23 / 01_2 : 605_x000D_
23 / 02_2 : 945_x000D_
23 / 03_2 : 9.930 (corte = 14769)_x000D_
23 / 04_2 : 1.105_x000D_
23 / 05_2 : 1.401_x000D_
23 / 06_2 : 1.488_x000D_
23 / 07_2 : 1.216_x000D_
23 / 08_2 : 1.137_x000D_
23 / 09_2 : 1.037_x000D_
_x000D_
    TOTAL : ( 22.552 )_x000D_
  DIVISOR : 12_x000D_
    MÉDIA : 1.879,33_x000D_
-----------------------------_x000D_
   Valores Desconsiderados_x000D_
-----------------------------_x000D_
23 / 03_2 : 4.839 (14.769)_x000D_
_x000D_
  TOTAL   : ( 4.839 )</t>
        </r>
      </text>
    </comment>
    <comment ref="AB531" authorId="0" shapeId="0" xr:uid="{6519C8D2-76C0-4D87-A4FF-B29B83E572B5}">
      <text>
        <r>
          <rPr>
            <sz val="10"/>
            <color indexed="81"/>
            <rFont val="Lucida Console"/>
            <family val="3"/>
          </rPr>
          <t>Última movimentação no estoque em 09/2023 quantidade 1.037.</t>
        </r>
      </text>
    </comment>
    <comment ref="R532" authorId="0" shapeId="0" xr:uid="{411BD44B-229F-460E-B201-334705258D76}">
      <text>
        <r>
          <rPr>
            <sz val="10"/>
            <color indexed="81"/>
            <rFont val="Lucida Console"/>
            <family val="3"/>
          </rPr>
          <t>21.07.2006</t>
        </r>
      </text>
    </comment>
    <comment ref="Y532" authorId="0" shapeId="0" xr:uid="{B01070B0-A0D3-4D3A-B659-41FD9686A18B}">
      <text>
        <r>
          <rPr>
            <sz val="10"/>
            <color indexed="81"/>
            <rFont val="Courier New"/>
            <family val="3"/>
          </rPr>
          <t>_x000D_
    DESCRIÇÃO DO CÁLCULO_x000D_
Código    : 93.325_x000D_
Corte     : 1.223_x000D_
-----------------------------_x000D_
Pendente  : 351_x000D_
22 / 10_2 : 331_x000D_
22 / 11_2 : 501_x000D_
22 / 12_2 : 363_x000D_
23 / 01_2 : 200_x000D_
23 / 02_2 : 340_x000D_
23 / 03_2 : 827_x000D_
23 / 04_2 : 548_x000D_
23 / 05_2 : 1.013_x000D_
23 / 06_2 : 1.201_x000D_
23 / 07_2 : 489_x000D_
23 / 08_2 : 52_x000D_
23 / 09_2 : _x000D_
_x000D_
    TOTAL : ( 6.216 )_x000D_
  DIVISOR : 12_x000D_
    MÉDIA : 518,00</t>
        </r>
      </text>
    </comment>
    <comment ref="AB532" authorId="0" shapeId="0" xr:uid="{0185ADEC-3B03-4411-A0CB-28116CE06862}">
      <text>
        <r>
          <rPr>
            <sz val="10"/>
            <color indexed="81"/>
            <rFont val="Lucida Console"/>
            <family val="3"/>
          </rPr>
          <t>Última movimentação no estoque em 08/2023 quantidade 52.</t>
        </r>
      </text>
    </comment>
    <comment ref="R533" authorId="0" shapeId="0" xr:uid="{A62D8C9E-F94D-46D4-A76F-2BA159A3AD48}">
      <text>
        <r>
          <rPr>
            <sz val="10"/>
            <color indexed="81"/>
            <rFont val="Lucida Console"/>
            <family val="3"/>
          </rPr>
          <t>21.07.2006</t>
        </r>
      </text>
    </comment>
    <comment ref="Y533" authorId="0" shapeId="0" xr:uid="{4BAEF44C-6FAC-46FD-BC3F-ED18E5AB4340}">
      <text>
        <r>
          <rPr>
            <sz val="10"/>
            <color indexed="81"/>
            <rFont val="Courier New"/>
            <family val="3"/>
          </rPr>
          <t>_x000D_
    DESCRIÇÃO DO CÁLCULO_x000D_
Código    : 93.327_x000D_
Corte     : 1.222_x000D_
-----------------------------_x000D_
Pendente  : 357_x000D_
22 / 10_2 : 311_x000D_
22 / 11_2 : 471_x000D_
22 / 12_2 : 363_x000D_
23 / 01_2 : 160_x000D_
23 / 02_2 : 331_x000D_
23 / 03_2 : 822_x000D_
23 / 04_2 : 573_x000D_
23 / 05_2 : 998_x000D_
23 / 06_2 : 1.207_x000D_
23 / 07_2 : 403_x000D_
23 / 08_2 : _x000D_
23 / 09_2 : _x000D_
_x000D_
    TOTAL : ( 5.996 )_x000D_
  DIVISOR : 12_x000D_
    MÉDIA : 499,67</t>
        </r>
      </text>
    </comment>
    <comment ref="AB533" authorId="0" shapeId="0" xr:uid="{A05E2028-25A2-43AC-B553-2055FEDAD11D}">
      <text>
        <r>
          <rPr>
            <sz val="10"/>
            <color indexed="81"/>
            <rFont val="Lucida Console"/>
            <family val="3"/>
          </rPr>
          <t>Última movimentação no estoque em 07/2023 quantidade 403.</t>
        </r>
      </text>
    </comment>
    <comment ref="R534" authorId="0" shapeId="0" xr:uid="{1A9EBC9E-E986-4B39-9F80-6167ECE61308}">
      <text>
        <r>
          <rPr>
            <sz val="10"/>
            <color indexed="81"/>
            <rFont val="Lucida Console"/>
            <family val="3"/>
          </rPr>
          <t>21.07.2006</t>
        </r>
      </text>
    </comment>
    <comment ref="Y534" authorId="0" shapeId="0" xr:uid="{336829F1-7C46-49A4-A436-781351FAC526}">
      <text>
        <r>
          <rPr>
            <sz val="10"/>
            <color indexed="81"/>
            <rFont val="Courier New"/>
            <family val="3"/>
          </rPr>
          <t>_x000D_
    DESCRIÇÃO DO CÁLCULO_x000D_
Código    : 93.329_x000D_
Corte     : 1.219_x000D_
-----------------------------_x000D_
Pendente  : 251_x000D_
22 / 10_2 : 326_x000D_
22 / 11_2 : 466_x000D_
22 / 12_2 : 353_x000D_
23 / 01_2 : 175_x000D_
23 / 02_2 : 330_x000D_
23 / 03_2 : 858_x000D_
23 / 04_2 : 538_x000D_
23 / 05_2 : 998_x000D_
23 / 06_2 : 1.200_x000D_
23 / 07_2 : 595_x000D_
23 / 08_2 : 344_x000D_
23 / 09_2 : _x000D_
_x000D_
    TOTAL : ( 6.434 )_x000D_
  DIVISOR : 12_x000D_
    MÉDIA : 536,17</t>
        </r>
      </text>
    </comment>
    <comment ref="AB534" authorId="0" shapeId="0" xr:uid="{40E99AD3-0EDF-4FB2-92EC-922D88E07832}">
      <text>
        <r>
          <rPr>
            <sz val="10"/>
            <color indexed="81"/>
            <rFont val="Lucida Console"/>
            <family val="3"/>
          </rPr>
          <t>Última movimentação no estoque em 08/2023 quantidade 344.</t>
        </r>
      </text>
    </comment>
    <comment ref="R535" authorId="0" shapeId="0" xr:uid="{D840699E-8430-4393-86BF-9C6252B4581E}">
      <text>
        <r>
          <rPr>
            <sz val="10"/>
            <color indexed="81"/>
            <rFont val="Lucida Console"/>
            <family val="3"/>
          </rPr>
          <t>21.07.2006</t>
        </r>
      </text>
    </comment>
    <comment ref="Y535" authorId="0" shapeId="0" xr:uid="{FF1C134E-5050-4468-8C73-67C5D38132AE}">
      <text>
        <r>
          <rPr>
            <sz val="10"/>
            <color indexed="81"/>
            <rFont val="Courier New"/>
            <family val="3"/>
          </rPr>
          <t>_x000D_
    DESCRIÇÃO DO CÁLCULO_x000D_
Código    : 93.332_x000D_
Corte     : 1.224_x000D_
-----------------------------_x000D_
Pendente  : 111_x000D_
22 / 10_2 : 316_x000D_
22 / 11_2 : 461_x000D_
22 / 12_2 : 373_x000D_
23 / 01_2 : 200_x000D_
23 / 02_2 : 341_x000D_
23 / 03_2 : 826_x000D_
23 / 04_2 : 573_x000D_
23 / 05_2 : 968_x000D_
23 / 06_2 : 1.207_x000D_
23 / 07_2 : 580_x000D_
23 / 08_2 : 529_x000D_
23 / 09_2 : _x000D_
_x000D_
    TOTAL : ( 6.485 )_x000D_
  DIVISOR : 12_x000D_
    MÉDIA : 540,42</t>
        </r>
      </text>
    </comment>
    <comment ref="AB535" authorId="0" shapeId="0" xr:uid="{1BD69E37-93E2-454B-9169-303B5278F321}">
      <text>
        <r>
          <rPr>
            <sz val="10"/>
            <color indexed="81"/>
            <rFont val="Lucida Console"/>
            <family val="3"/>
          </rPr>
          <t>Última movimentação no estoque em 08/2023 quantidade 529.</t>
        </r>
      </text>
    </comment>
    <comment ref="R536" authorId="0" shapeId="0" xr:uid="{AD701E94-E57B-4EDE-8851-C46E96C1307C}">
      <text>
        <r>
          <rPr>
            <sz val="10"/>
            <color indexed="81"/>
            <rFont val="Lucida Console"/>
            <family val="3"/>
          </rPr>
          <t>21.07.2006</t>
        </r>
      </text>
    </comment>
    <comment ref="Y536" authorId="0" shapeId="0" xr:uid="{86C3750D-64D4-46D4-BD61-DC67D3218118}">
      <text>
        <r>
          <rPr>
            <sz val="10"/>
            <color indexed="81"/>
            <rFont val="Courier New"/>
            <family val="3"/>
          </rPr>
          <t>_x000D_
    DESCRIÇÃO DO CÁLCULO_x000D_
Código    : 93.334_x000D_
Corte     : 1.207_x000D_
-----------------------------_x000D_
Pendente  : 120_x000D_
22 / 10_2 : 308_x000D_
22 / 11_2 : 486_x000D_
22 / 12_2 : 353_x000D_
23 / 01_2 : 200_x000D_
23 / 02_2 : 340_x000D_
23 / 03_2 : 803_x000D_
23 / 04_2 : 563_x000D_
23 / 05_2 : 978_x000D_
23 / 06_2 : 1.205_x000D_
23 / 07_2 : 590_x000D_
23 / 08_2 : 581_x000D_
23 / 09_2 : 159_x000D_
_x000D_
    TOTAL : ( 6.686 )_x000D_
  DIVISOR : 12_x000D_
    MÉDIA : 557,17</t>
        </r>
      </text>
    </comment>
    <comment ref="AB536" authorId="0" shapeId="0" xr:uid="{A6664626-B12F-4FE0-8473-75480C9C32E0}">
      <text>
        <r>
          <rPr>
            <sz val="10"/>
            <color indexed="81"/>
            <rFont val="Lucida Console"/>
            <family val="3"/>
          </rPr>
          <t>Última movimentação no estoque em 09/2023 quantidade 159.</t>
        </r>
      </text>
    </comment>
    <comment ref="R537" authorId="0" shapeId="0" xr:uid="{FCDCB21C-92F6-42B1-8E4F-03D0A860318E}">
      <text>
        <r>
          <rPr>
            <sz val="10"/>
            <color indexed="81"/>
            <rFont val="Lucida Console"/>
            <family val="3"/>
          </rPr>
          <t>21.07.2006</t>
        </r>
      </text>
    </comment>
    <comment ref="Y537" authorId="0" shapeId="0" xr:uid="{B35C0BEC-D109-4341-827C-FE3AE3E9AF18}">
      <text>
        <r>
          <rPr>
            <sz val="10"/>
            <color indexed="81"/>
            <rFont val="Courier New"/>
            <family val="3"/>
          </rPr>
          <t>_x000D_
    DESCRIÇÃO DO CÁLCULO_x000D_
Código    : 93.335_x000D_
Corte     : 1.220_x000D_
-----------------------------_x000D_
Pendente  : 183_x000D_
22 / 10_2 : 316_x000D_
22 / 11_2 : 451_x000D_
22 / 12_2 : 373_x000D_
23 / 01_2 : 165_x000D_
23 / 02_2 : 331_x000D_
23 / 03_2 : 788_x000D_
23 / 04_2 : 573_x000D_
23 / 05_2 : 983_x000D_
23 / 06_2 : 1.217_x000D_
23 / 07_2 : 645_x000D_
23 / 08_2 : 252_x000D_
23 / 09_2 : _x000D_
_x000D_
    TOTAL : ( 6.277 )_x000D_
  DIVISOR : 12_x000D_
    MÉDIA : 523,08</t>
        </r>
      </text>
    </comment>
    <comment ref="AB537" authorId="0" shapeId="0" xr:uid="{9695A5D7-BEDE-4393-B575-FBF32F54F901}">
      <text>
        <r>
          <rPr>
            <sz val="10"/>
            <color indexed="81"/>
            <rFont val="Lucida Console"/>
            <family val="3"/>
          </rPr>
          <t>Última movimentação no estoque em 08/2023 quantidade 252.</t>
        </r>
      </text>
    </comment>
    <comment ref="R538" authorId="0" shapeId="0" xr:uid="{2272D7CB-5CF1-48E7-A993-CAB5BC046064}">
      <text>
        <r>
          <rPr>
            <sz val="10"/>
            <color indexed="81"/>
            <rFont val="Lucida Console"/>
            <family val="3"/>
          </rPr>
          <t>01.01.1901</t>
        </r>
      </text>
    </comment>
    <comment ref="Y538" authorId="0" shapeId="0" xr:uid="{83A2C5ED-0EBB-48E6-B744-3CE6D6565177}">
      <text>
        <r>
          <rPr>
            <sz val="10"/>
            <color indexed="81"/>
            <rFont val="Courier New"/>
            <family val="3"/>
          </rPr>
          <t>_x000D_
    DESCRIÇÃO DO CÁLCULO_x000D_
Código    : 17.454_x000D_
Corte     : 1.141_x000D_
-----------------------------_x000D_
Pendente  : _x000D_
22 / 10_2 : 378_x000D_
22 / 11_2 : 601_x000D_
22 / 12_2 : 465_x000D_
23 / 01_2 : 250_x000D_
23 / 02_2 : 465_x000D_
23 / 03_2 : 1.131_x000D_
23 / 04_2 : 611_x000D_
23 / 05_2 : 950_x000D_
23 / 06_2 : 810_x000D_
23 / 07_2 : 721_x000D_
23 / 08_2 : 758_x000D_
23 / 09_2 : 632_x000D_
_x000D_
    TOTAL : ( 7.772 )_x000D_
  DIVISOR : 12_x000D_
    MÉDIA : 647,67</t>
        </r>
      </text>
    </comment>
    <comment ref="AB538" authorId="0" shapeId="0" xr:uid="{9C06614F-6B29-4BAF-9463-8697C80DCC34}">
      <text>
        <r>
          <rPr>
            <sz val="10"/>
            <color indexed="81"/>
            <rFont val="Lucida Console"/>
            <family val="3"/>
          </rPr>
          <t>Última movimentação no estoque em 09/2023 quantidade 632.</t>
        </r>
      </text>
    </comment>
    <comment ref="R539" authorId="0" shapeId="0" xr:uid="{110DFA63-FED2-4A50-8880-1B01BCD97A73}">
      <text>
        <r>
          <rPr>
            <sz val="10"/>
            <color indexed="81"/>
            <rFont val="Lucida Console"/>
            <family val="3"/>
          </rPr>
          <t>01.08.2006</t>
        </r>
      </text>
    </comment>
    <comment ref="Y539" authorId="0" shapeId="0" xr:uid="{D916B5A0-48BA-4CEC-846D-EE5339A4A7EF}">
      <text>
        <r>
          <rPr>
            <sz val="10"/>
            <color indexed="81"/>
            <rFont val="Courier New"/>
            <family val="3"/>
          </rPr>
          <t>_x000D_
    DESCRIÇÃO DO CÁLCULO_x000D_
Código    : 93.453_x000D_
Corte     : 1.293_x000D_
-----------------------------_x000D_
Pendente  : 796_x000D_
22 / 10_2 : 496_x000D_
22 / 11_2 : 636_x000D_
22 / 12_2 : 535_x000D_
23 / 01_2 : 295_x000D_
23 / 02_2 : 525_x000D_
23 / 03_2 : 1.239_x000D_
23 / 04_2 : 645_x000D_
23 / 05_2 : 1.020_x000D_
23 / 06_2 : 363_x000D_
23 / 07_2 : 162_x000D_
23 / 08_2 : _x000D_
23 / 09_2 : _x000D_
_x000D_
    TOTAL : ( 6.712 )_x000D_
  DIVISOR : 12_x000D_
    MÉDIA : 559,33</t>
        </r>
      </text>
    </comment>
    <comment ref="AB539" authorId="0" shapeId="0" xr:uid="{FF868368-56CA-4F1A-95CD-0B9DFD24948A}">
      <text>
        <r>
          <rPr>
            <sz val="10"/>
            <color indexed="81"/>
            <rFont val="Lucida Console"/>
            <family val="3"/>
          </rPr>
          <t>Última movimentação no estoque em 07/2023 quantidade 162.</t>
        </r>
      </text>
    </comment>
    <comment ref="R540" authorId="0" shapeId="0" xr:uid="{8F07B4BE-A559-4EB8-9CD7-F704CA4549E4}">
      <text>
        <r>
          <rPr>
            <sz val="10"/>
            <color indexed="81"/>
            <rFont val="Lucida Console"/>
            <family val="3"/>
          </rPr>
          <t>01.08.2006</t>
        </r>
      </text>
    </comment>
    <comment ref="Y540" authorId="0" shapeId="0" xr:uid="{BC799869-725F-4D63-ADFC-E56AFCD2BA58}">
      <text>
        <r>
          <rPr>
            <sz val="10"/>
            <color indexed="81"/>
            <rFont val="Courier New"/>
            <family val="3"/>
          </rPr>
          <t>_x000D_
    DESCRIÇÃO DO CÁLCULO_x000D_
Código    : 93.454_x000D_
Corte     : 1.241_x000D_
-----------------------------_x000D_
Pendente  : 837_x000D_
22 / 10_2 : 456_x000D_
22 / 11_2 : 611_x000D_
22 / 12_2 : 540_x000D_
23 / 01_2 : 310_x000D_
23 / 02_2 : 545_x000D_
23 / 03_2 : 1.241 (corte = 1265)_x000D_
23 / 04_2 : 654_x000D_
23 / 05_2 : 660_x000D_
23 / 06_2 : 334_x000D_
23 / 07_2 : _x000D_
23 / 08_2 : _x000D_
23 / 09_2 : _x000D_
_x000D_
    TOTAL : ( 6.188 )_x000D_
  DIVISOR : 12_x000D_
    MÉDIA : 515,67_x000D_
-----------------------------_x000D_
   Valores Desconsiderados_x000D_
-----------------------------_x000D_
23 / 03_2 : 24 (1.265)_x000D_
_x000D_
  TOTAL   : ( 24 )</t>
        </r>
      </text>
    </comment>
    <comment ref="AB540" authorId="0" shapeId="0" xr:uid="{788C08CB-6D10-413C-B833-0FD323B82A82}">
      <text>
        <r>
          <rPr>
            <sz val="10"/>
            <color indexed="81"/>
            <rFont val="Lucida Console"/>
            <family val="3"/>
          </rPr>
          <t>Última movimentação no estoque em 06/2023 quantidade 334.</t>
        </r>
      </text>
    </comment>
    <comment ref="R541" authorId="0" shapeId="0" xr:uid="{1B484E99-0BC5-490B-AB6E-D2A643C89A41}">
      <text>
        <r>
          <rPr>
            <sz val="10"/>
            <color indexed="81"/>
            <rFont val="Lucida Console"/>
            <family val="3"/>
          </rPr>
          <t>01.08.2006</t>
        </r>
      </text>
    </comment>
    <comment ref="Y541" authorId="0" shapeId="0" xr:uid="{251628BD-80A7-4B92-BD6A-F996CFEB532F}">
      <text>
        <r>
          <rPr>
            <sz val="10"/>
            <color indexed="81"/>
            <rFont val="Courier New"/>
            <family val="3"/>
          </rPr>
          <t>_x000D_
    DESCRIÇÃO DO CÁLCULO_x000D_
Código    : 93.456_x000D_
Corte     : 1.292_x000D_
-----------------------------_x000D_
Pendente  : 549_x000D_
22 / 10_2 : 461_x000D_
22 / 11_2 : 591_x000D_
22 / 12_2 : 545_x000D_
23 / 01_2 : 295_x000D_
23 / 02_2 : 510_x000D_
23 / 03_2 : 1.229_x000D_
23 / 04_2 : 649_x000D_
23 / 05_2 : 1.015_x000D_
23 / 06_2 : 788_x000D_
23 / 07_2 : 117_x000D_
23 / 08_2 : 2_x000D_
23 / 09_2 : _x000D_
_x000D_
    TOTAL : ( 6.751 )_x000D_
  DIVISOR : 12_x000D_
    MÉDIA : 562,58</t>
        </r>
      </text>
    </comment>
    <comment ref="AB541" authorId="0" shapeId="0" xr:uid="{DDFEEAFA-6127-4FE7-A75C-1933B2C4F1A2}">
      <text>
        <r>
          <rPr>
            <sz val="10"/>
            <color indexed="81"/>
            <rFont val="Lucida Console"/>
            <family val="3"/>
          </rPr>
          <t>Última movimentação no estoque em 08/2023 quantidade 2.</t>
        </r>
      </text>
    </comment>
    <comment ref="R542" authorId="0" shapeId="0" xr:uid="{1102959E-99A3-4C9C-BE47-D15D6EDD53B5}">
      <text>
        <r>
          <rPr>
            <sz val="10"/>
            <color indexed="81"/>
            <rFont val="Lucida Console"/>
            <family val="3"/>
          </rPr>
          <t>01.08.2006</t>
        </r>
      </text>
    </comment>
    <comment ref="Y542" authorId="0" shapeId="0" xr:uid="{C786074C-1772-46D3-A3C2-915A360E90A0}">
      <text>
        <r>
          <rPr>
            <sz val="10"/>
            <color indexed="81"/>
            <rFont val="Courier New"/>
            <family val="3"/>
          </rPr>
          <t>_x000D_
    DESCRIÇÃO DO CÁLCULO_x000D_
Código    : 93.461_x000D_
Corte     : 1.193_x000D_
-----------------------------_x000D_
Pendente  : _x000D_
22 / 10_2 : 486_x000D_
22 / 11_2 : 576_x000D_
22 / 12_2 : 472_x000D_
23 / 01_2 : 270_x000D_
23 / 02_2 : 510_x000D_
23 / 03_2 : 1.193 (corte = 1229)_x000D_
23 / 04_2 : 649_x000D_
23 / 05_2 : 985_x000D_
23 / 06_2 : 850_x000D_
23 / 07_2 : 718_x000D_
23 / 08_2 : 786_x000D_
23 / 09_2 : 520_x000D_
_x000D_
    TOTAL : ( 8.015 )_x000D_
  DIVISOR : 12_x000D_
    MÉDIA : 667,92_x000D_
-----------------------------_x000D_
   Valores Desconsiderados_x000D_
-----------------------------_x000D_
23 / 03_2 : 36 (1.229)_x000D_
_x000D_
  TOTAL   : ( 36 )</t>
        </r>
      </text>
    </comment>
    <comment ref="AB542" authorId="0" shapeId="0" xr:uid="{70B343CD-563A-485B-95CE-7263FFF2BE55}">
      <text>
        <r>
          <rPr>
            <sz val="10"/>
            <color indexed="81"/>
            <rFont val="Lucida Console"/>
            <family val="3"/>
          </rPr>
          <t>Última movimentação no estoque em 09/2023 quantidade 520.</t>
        </r>
      </text>
    </comment>
    <comment ref="R543" authorId="0" shapeId="0" xr:uid="{D9492AEC-EC9F-4057-837E-C78B74AF30F4}">
      <text>
        <r>
          <rPr>
            <sz val="10"/>
            <color indexed="81"/>
            <rFont val="Lucida Console"/>
            <family val="3"/>
          </rPr>
          <t>01.08.2006</t>
        </r>
      </text>
    </comment>
    <comment ref="Y543" authorId="0" shapeId="0" xr:uid="{73D1C067-2748-4DCC-8323-4D322228B135}">
      <text>
        <r>
          <rPr>
            <sz val="10"/>
            <color indexed="81"/>
            <rFont val="Courier New"/>
            <family val="3"/>
          </rPr>
          <t>_x000D_
    DESCRIÇÃO DO CÁLCULO_x000D_
Código    : 93.462_x000D_
Corte     : 1.255_x000D_
-----------------------------_x000D_
Pendente  : 507_x000D_
22 / 10_2 : 480_x000D_
22 / 11_2 : 601_x000D_
22 / 12_2 : 505_x000D_
23 / 01_2 : 300_x000D_
23 / 02_2 : 500_x000D_
23 / 03_2 : 1.233_x000D_
23 / 04_2 : 686_x000D_
23 / 05_2 : 1.015_x000D_
23 / 06_2 : 343_x000D_
23 / 07_2 : 11_x000D_
23 / 08_2 : _x000D_
23 / 09_2 : _x000D_
_x000D_
    TOTAL : ( 6.181 )_x000D_
  DIVISOR : 12_x000D_
    MÉDIA : 515,08</t>
        </r>
      </text>
    </comment>
    <comment ref="AB543" authorId="0" shapeId="0" xr:uid="{6AE84B61-1C38-4903-B326-466D122FD83B}">
      <text>
        <r>
          <rPr>
            <sz val="10"/>
            <color indexed="81"/>
            <rFont val="Lucida Console"/>
            <family val="3"/>
          </rPr>
          <t>Última movimentação no estoque em 07/2023 quantidade 11.</t>
        </r>
      </text>
    </comment>
    <comment ref="R544" authorId="0" shapeId="0" xr:uid="{A502EBD2-99EF-4997-BD63-370A0B8E43CC}">
      <text>
        <r>
          <rPr>
            <sz val="10"/>
            <color indexed="81"/>
            <rFont val="Lucida Console"/>
            <family val="3"/>
          </rPr>
          <t>05.04.2011</t>
        </r>
      </text>
    </comment>
    <comment ref="Y544" authorId="0" shapeId="0" xr:uid="{32B9E7B8-2074-4F63-A2F3-3075130D60DF}">
      <text>
        <r>
          <rPr>
            <sz val="10"/>
            <color indexed="81"/>
            <rFont val="Courier New"/>
            <family val="3"/>
          </rPr>
          <t>_x000D_
    DESCRIÇÃO DO CÁLCULO_x000D_
Código    : 119.595_x000D_
Corte     : 10_x000D_
-----------------------------_x000D_
Pendente  : _x000D_
22 / 10_2 : 1_x000D_
22 / 11_2 : 6_x000D_
22 / 12_2 : _x000D_
23 / 01_2 : 2_x000D_
23 / 02_2 : _x000D_
23 / 03_2 : 10 (corte = 12)_x000D_
23 / 04_2 : 1_x000D_
23 / 05_2 : 6_x000D_
23 / 06_2 : _x000D_
23 / 07_2 : 1_x000D_
23 / 08_2 : 5_x000D_
23 / 09_2 : 2_x000D_
_x000D_
    TOTAL : ( 34 )_x000D_
  DIVISOR : 12_x000D_
    MÉDIA : 2,83_x000D_
-----------------------------_x000D_
   Valores Desconsiderados_x000D_
-----------------------------_x000D_
23 / 03_2 : 2 (12)_x000D_
_x000D_
  TOTAL   : ( 2 )</t>
        </r>
      </text>
    </comment>
    <comment ref="AB544" authorId="0" shapeId="0" xr:uid="{E291467C-6E75-496B-8092-43B163175A2D}">
      <text>
        <r>
          <rPr>
            <sz val="10"/>
            <color indexed="81"/>
            <rFont val="Lucida Console"/>
            <family val="3"/>
          </rPr>
          <t>Última movimentação no estoque em 09/2023 quantidade 2.</t>
        </r>
      </text>
    </comment>
    <comment ref="R545" authorId="0" shapeId="0" xr:uid="{ADA1F379-E07A-45BD-A203-F3D3582116F2}">
      <text>
        <r>
          <rPr>
            <sz val="10"/>
            <color indexed="81"/>
            <rFont val="Lucida Console"/>
            <family val="3"/>
          </rPr>
          <t>14.06.2013</t>
        </r>
      </text>
    </comment>
    <comment ref="Y545" authorId="0" shapeId="0" xr:uid="{D32FFF20-BE73-433F-B41D-D2A8F3A86CC5}">
      <text>
        <r>
          <rPr>
            <sz val="10"/>
            <color indexed="81"/>
            <rFont val="Courier New"/>
            <family val="3"/>
          </rPr>
          <t>_x000D_
    DESCRIÇÃO DO CÁLCULO_x000D_
Código    : 125.641_x000D_
Corte     : 4.087_x000D_
-----------------------------_x000D_
Pendente  : _x000D_
22 / 10_2 : 2.817_x000D_
22 / 11_2 : 2.906_x000D_
22 / 12_2 : 2.268_x000D_
23 / 01_2 : 534_x000D_
23 / 02_2 : 2.018_x000D_
23 / 03_2 : 3.192_x000D_
23 / 04_2 : 2.124_x000D_
23 / 05_2 : 2.864_x000D_
23 / 06_2 : 2.984_x000D_
23 / 07_2 : 3.009_x000D_
23 / 08_2 : 3.083_x000D_
23 / 09_2 : 3.098_x000D_
_x000D_
    TOTAL : ( 30.897 )_x000D_
  DIVISOR : 12_x000D_
    MÉDIA : 2.574,75</t>
        </r>
      </text>
    </comment>
    <comment ref="AB545" authorId="0" shapeId="0" xr:uid="{BAF30E5F-4B27-4CAB-A261-BBB6A0648266}">
      <text>
        <r>
          <rPr>
            <sz val="10"/>
            <color indexed="81"/>
            <rFont val="Lucida Console"/>
            <family val="3"/>
          </rPr>
          <t>Última movimentação no estoque em 09/2023 quantidade 3.098.</t>
        </r>
      </text>
    </comment>
    <comment ref="R546" authorId="0" shapeId="0" xr:uid="{02AB37C9-B3B3-49A1-931B-D2774F59BEF6}">
      <text>
        <r>
          <rPr>
            <sz val="10"/>
            <color indexed="81"/>
            <rFont val="Lucida Console"/>
            <family val="3"/>
          </rPr>
          <t>21.05.2019</t>
        </r>
      </text>
    </comment>
    <comment ref="Y546" authorId="0" shapeId="0" xr:uid="{80613F2E-363A-4571-8E27-3C7E38741ABD}">
      <text>
        <r>
          <rPr>
            <sz val="10"/>
            <color indexed="81"/>
            <rFont val="Courier New"/>
            <family val="3"/>
          </rPr>
          <t>_x000D_
    DESCRIÇÃO DO CÁLCULO_x000D_
Código    : 136.941_x000D_
Corte     : 206_x000D_
-----------------------------_x000D_
Pendente  : 2_x000D_
22 / 10_2 : 89_x000D_
22 / 11_2 : 98_x000D_
22 / 12_2 : 64_x000D_
23 / 01_2 : 38_x000D_
23 / 02_2 : 64_x000D_
23 / 03_2 : 186_x000D_
23 / 04_2 : 108_x000D_
23 / 05_2 : 136_x000D_
23 / 06_2 : 159_x000D_
23 / 07_2 : 119_x000D_
23 / 08_2 : 124_x000D_
23 / 09_2 : 108_x000D_
_x000D_
    TOTAL : ( 1.295 )_x000D_
  DIVISOR : 12_x000D_
    MÉDIA : 107,92</t>
        </r>
      </text>
    </comment>
    <comment ref="AB546" authorId="0" shapeId="0" xr:uid="{28F134BB-EC96-4682-B243-14C05E4A1AB2}">
      <text>
        <r>
          <rPr>
            <sz val="10"/>
            <color indexed="81"/>
            <rFont val="Lucida Console"/>
            <family val="3"/>
          </rPr>
          <t>Última movimentação no estoque em 09/2023 quantidade 108.</t>
        </r>
      </text>
    </comment>
    <comment ref="R547" authorId="0" shapeId="0" xr:uid="{438F992A-1919-4648-9F11-977D8E7BBC3B}">
      <text>
        <r>
          <rPr>
            <sz val="10"/>
            <color indexed="81"/>
            <rFont val="Lucida Console"/>
            <family val="3"/>
          </rPr>
          <t>01.01.1901</t>
        </r>
      </text>
    </comment>
    <comment ref="Y547" authorId="0" shapeId="0" xr:uid="{ADAF1C52-4DD6-4647-B88F-7537A237BA03}">
      <text>
        <r>
          <rPr>
            <sz val="10"/>
            <color indexed="81"/>
            <rFont val="Courier New"/>
            <family val="3"/>
          </rPr>
          <t>_x000D_
    DESCRIÇÃO DO CÁLCULO_x000D_
Código    : 63.591_x000D_
Corte     : 1.370_x000D_
-----------------------------_x000D_
Pendente  : 80_x000D_
22 / 10_2 : 431_x000D_
22 / 11_2 : 473_x000D_
22 / 12_2 : 410_x000D_
23 / 01_2 : 350_x000D_
23 / 02_2 : 445_x000D_
23 / 03_2 : 1.370 (corte = 1399)_x000D_
23 / 04_2 : 808_x000D_
23 / 05_2 : 851_x000D_
23 / 06_2 : 808_x000D_
23 / 07_2 : 819_x000D_
23 / 08_2 : 904_x000D_
23 / 09_2 : 656_x000D_
_x000D_
    TOTAL : ( 8.405 )_x000D_
  DIVISOR : 12_x000D_
    MÉDIA : 700,42_x000D_
-----------------------------_x000D_
   Valores Desconsiderados_x000D_
-----------------------------_x000D_
23 / 03_2 : 29 (1.399)_x000D_
_x000D_
  TOTAL   : ( 29 )</t>
        </r>
      </text>
    </comment>
    <comment ref="AB547" authorId="0" shapeId="0" xr:uid="{95EE98C5-C1A7-44D9-B873-1329D8D5653D}">
      <text>
        <r>
          <rPr>
            <sz val="10"/>
            <color indexed="81"/>
            <rFont val="Lucida Console"/>
            <family val="3"/>
          </rPr>
          <t>Última movimentação no estoque em 09/2023 quantidade 656.</t>
        </r>
      </text>
    </comment>
    <comment ref="R548" authorId="0" shapeId="0" xr:uid="{D38DED75-46F4-40FA-B938-BE7E0E25A0E7}">
      <text>
        <r>
          <rPr>
            <sz val="10"/>
            <color indexed="81"/>
            <rFont val="Lucida Console"/>
            <family val="3"/>
          </rPr>
          <t>01.01.1901</t>
        </r>
      </text>
    </comment>
    <comment ref="Y548" authorId="0" shapeId="0" xr:uid="{7E621A31-3B50-453A-AE21-25134F527F89}">
      <text>
        <r>
          <rPr>
            <sz val="10"/>
            <color indexed="81"/>
            <rFont val="Courier New"/>
            <family val="3"/>
          </rPr>
          <t>_x000D_
    DESCRIÇÃO DO CÁLCULO_x000D_
Código    : 27.138_x000D_
Corte     : 849_x000D_
-----------------------------_x000D_
Pendente  : _x000D_
22 / 10_2 : 421_x000D_
22 / 11_2 : 490_x000D_
22 / 12_2 : 347_x000D_
23 / 01_2 : 205_x000D_
23 / 02_2 : 415_x000D_
23 / 03_2 : 845_x000D_
23 / 04_2 : 460_x000D_
23 / 05_2 : 645_x000D_
23 / 06_2 : 625_x000D_
23 / 07_2 : 533_x000D_
23 / 08_2 : 676_x000D_
23 / 09_2 : 486_x000D_
_x000D_
    TOTAL : ( 6.148 )_x000D_
  DIVISOR : 12_x000D_
    MÉDIA : 512,33</t>
        </r>
      </text>
    </comment>
    <comment ref="AB548" authorId="0" shapeId="0" xr:uid="{7A318B66-4CFE-4E94-9788-F4AA9DB677B5}">
      <text>
        <r>
          <rPr>
            <sz val="10"/>
            <color indexed="81"/>
            <rFont val="Lucida Console"/>
            <family val="3"/>
          </rPr>
          <t>Última movimentação no estoque em 09/2023 quantidade 486.</t>
        </r>
      </text>
    </comment>
    <comment ref="R549" authorId="0" shapeId="0" xr:uid="{ABDE5338-936F-4652-AAF3-68E841A61AA5}">
      <text>
        <r>
          <rPr>
            <sz val="10"/>
            <color indexed="81"/>
            <rFont val="Lucida Console"/>
            <family val="3"/>
          </rPr>
          <t>01.01.1901</t>
        </r>
      </text>
    </comment>
    <comment ref="Y549" authorId="0" shapeId="0" xr:uid="{56E9F200-7464-4AF2-9814-08723909F850}">
      <text>
        <r>
          <rPr>
            <sz val="10"/>
            <color indexed="81"/>
            <rFont val="Courier New"/>
            <family val="3"/>
          </rPr>
          <t>_x000D_
    DESCRIÇÃO DO CÁLCULO_x000D_
Código    : 25.559_x000D_
Corte     : 955_x000D_
-----------------------------_x000D_
Pendente  : _x000D_
22 / 10_2 : 571_x000D_
22 / 11_2 : 674_x000D_
22 / 12_2 : 393_x000D_
23 / 01_2 : 220_x000D_
23 / 02_2 : 417_x000D_
23 / 03_2 : 955 (corte = 965)_x000D_
23 / 04_2 : 505_x000D_
23 / 05_2 : 720_x000D_
23 / 06_2 : 668_x000D_
23 / 07_2 : 608_x000D_
23 / 08_2 : 666_x000D_
23 / 09_2 : 515_x000D_
_x000D_
    TOTAL : ( 6.912 )_x000D_
  DIVISOR : 12_x000D_
    MÉDIA : 576,00_x000D_
-----------------------------_x000D_
   Valores Desconsiderados_x000D_
-----------------------------_x000D_
23 / 03_2 : 10 (965)_x000D_
_x000D_
  TOTAL   : ( 10 )</t>
        </r>
      </text>
    </comment>
    <comment ref="AB549" authorId="0" shapeId="0" xr:uid="{692C62B7-0CF0-41BC-81BF-5663872B7636}">
      <text>
        <r>
          <rPr>
            <sz val="10"/>
            <color indexed="81"/>
            <rFont val="Lucida Console"/>
            <family val="3"/>
          </rPr>
          <t>Última movimentação no estoque em 09/2023 quantidade 515.</t>
        </r>
      </text>
    </comment>
    <comment ref="R550" authorId="0" shapeId="0" xr:uid="{B7AC6E76-25FB-4DA9-B3DB-DC36CBB2AFB5}">
      <text>
        <r>
          <rPr>
            <sz val="10"/>
            <color indexed="81"/>
            <rFont val="Lucida Console"/>
            <family val="3"/>
          </rPr>
          <t>01.01.1901</t>
        </r>
      </text>
    </comment>
    <comment ref="Y550" authorId="0" shapeId="0" xr:uid="{5EA99C10-E67D-4D17-B1CE-A11EF4823188}">
      <text>
        <r>
          <rPr>
            <sz val="10"/>
            <color indexed="81"/>
            <rFont val="Courier New"/>
            <family val="3"/>
          </rPr>
          <t>_x000D_
    DESCRIÇÃO DO CÁLCULO_x000D_
Código    : 27.140_x000D_
Corte     : 957_x000D_
-----------------------------_x000D_
Pendente  : _x000D_
22 / 10_2 : 551_x000D_
22 / 11_2 : 690_x000D_
22 / 12_2 : 409_x000D_
23 / 01_2 : 200_x000D_
23 / 02_2 : 447_x000D_
23 / 03_2 : 945_x000D_
23 / 04_2 : 475_x000D_
23 / 05_2 : 735_x000D_
23 / 06_2 : 692_x000D_
23 / 07_2 : 578_x000D_
23 / 08_2 : 676_x000D_
23 / 09_2 : 540_x000D_
_x000D_
    TOTAL : ( 6.938 )_x000D_
  DIVISOR : 12_x000D_
    MÉDIA : 578,17</t>
        </r>
      </text>
    </comment>
    <comment ref="AB550" authorId="0" shapeId="0" xr:uid="{BC2C271C-95F1-420E-927D-49C48F90448C}">
      <text>
        <r>
          <rPr>
            <sz val="10"/>
            <color indexed="81"/>
            <rFont val="Lucida Console"/>
            <family val="3"/>
          </rPr>
          <t>Última movimentação no estoque em 09/2023 quantidade 540.</t>
        </r>
      </text>
    </comment>
    <comment ref="R551" authorId="0" shapeId="0" xr:uid="{49E8117A-9E57-48BD-9960-69947B2B281B}">
      <text>
        <r>
          <rPr>
            <sz val="10"/>
            <color indexed="81"/>
            <rFont val="Lucida Console"/>
            <family val="3"/>
          </rPr>
          <t>01.01.1901</t>
        </r>
      </text>
    </comment>
    <comment ref="Y551" authorId="0" shapeId="0" xr:uid="{7DA6FD06-81BD-4BD3-BEE7-33EE56C0D3A9}">
      <text>
        <r>
          <rPr>
            <sz val="10"/>
            <color indexed="81"/>
            <rFont val="Courier New"/>
            <family val="3"/>
          </rPr>
          <t>_x000D_
    DESCRIÇÃO DO CÁLCULO_x000D_
Código    : 27.137_x000D_
Corte     : 838_x000D_
-----------------------------_x000D_
Pendente  : _x000D_
22 / 10_2 : 376_x000D_
22 / 11_2 : 545_x000D_
22 / 12_2 : 351_x000D_
23 / 01_2 : 195_x000D_
23 / 02_2 : 375_x000D_
23 / 03_2 : 838 (corte = 875)_x000D_
23 / 04_2 : 430_x000D_
23 / 05_2 : 595_x000D_
23 / 06_2 : 585_x000D_
23 / 07_2 : 565_x000D_
23 / 08_2 : 596_x000D_
23 / 09_2 : 450_x000D_
_x000D_
    TOTAL : ( 5.901 )_x000D_
  DIVISOR : 12_x000D_
    MÉDIA : 491,75_x000D_
-----------------------------_x000D_
   Valores Desconsiderados_x000D_
-----------------------------_x000D_
23 / 03_2 : 37 (875)_x000D_
_x000D_
  TOTAL   : ( 37 )</t>
        </r>
      </text>
    </comment>
    <comment ref="AB551" authorId="0" shapeId="0" xr:uid="{A3E58A75-DE3D-4201-8F49-3F1D99EEB94E}">
      <text>
        <r>
          <rPr>
            <sz val="10"/>
            <color indexed="81"/>
            <rFont val="Lucida Console"/>
            <family val="3"/>
          </rPr>
          <t>Última movimentação no estoque em 09/2023 quantidade 450.</t>
        </r>
      </text>
    </comment>
    <comment ref="R552" authorId="0" shapeId="0" xr:uid="{743DB47E-7050-470E-BAB6-17ED8151188E}">
      <text>
        <r>
          <rPr>
            <sz val="10"/>
            <color indexed="81"/>
            <rFont val="Lucida Console"/>
            <family val="3"/>
          </rPr>
          <t>01.01.1901</t>
        </r>
      </text>
    </comment>
    <comment ref="Y552" authorId="0" shapeId="0" xr:uid="{F1B8A36B-B18D-499C-AEC8-1461571C22F2}">
      <text>
        <r>
          <rPr>
            <sz val="10"/>
            <color indexed="81"/>
            <rFont val="Courier New"/>
            <family val="3"/>
          </rPr>
          <t>_x000D_
    DESCRIÇÃO DO CÁLCULO_x000D_
Código    : 27.139_x000D_
Corte     : 843_x000D_
-----------------------------_x000D_
Pendente  : _x000D_
22 / 10_2 : 416_x000D_
22 / 11_2 : 570_x000D_
22 / 12_2 : 352_x000D_
23 / 01_2 : 170_x000D_
23 / 02_2 : 385_x000D_
23 / 03_2 : 840_x000D_
23 / 04_2 : 420_x000D_
23 / 05_2 : 612_x000D_
23 / 06_2 : 600_x000D_
23 / 07_2 : 558_x000D_
23 / 08_2 : 631_x000D_
23 / 09_2 : 435_x000D_
_x000D_
    TOTAL : ( 5.989 )_x000D_
  DIVISOR : 12_x000D_
    MÉDIA : 499,08</t>
        </r>
      </text>
    </comment>
    <comment ref="AB552" authorId="0" shapeId="0" xr:uid="{7FD015E0-26FC-4C3A-B14F-671A9AF66082}">
      <text>
        <r>
          <rPr>
            <sz val="10"/>
            <color indexed="81"/>
            <rFont val="Lucida Console"/>
            <family val="3"/>
          </rPr>
          <t>Última movimentação no estoque em 09/2023 quantidade 435.</t>
        </r>
      </text>
    </comment>
    <comment ref="R553" authorId="0" shapeId="0" xr:uid="{ABE599C8-0FDD-4FD4-AB21-D8CE1A4BDFDE}">
      <text>
        <r>
          <rPr>
            <sz val="10"/>
            <color indexed="81"/>
            <rFont val="Lucida Console"/>
            <family val="3"/>
          </rPr>
          <t>01.01.1901</t>
        </r>
      </text>
    </comment>
    <comment ref="Y553" authorId="0" shapeId="0" xr:uid="{20CE7DB7-9E5C-40BD-BF70-2CC7FF366102}">
      <text>
        <r>
          <rPr>
            <sz val="10"/>
            <color indexed="81"/>
            <rFont val="Courier New"/>
            <family val="3"/>
          </rPr>
          <t>_x000D_
    DESCRIÇÃO DO CÁLCULO_x000D_
Código    : 17.299_x000D_
Corte     : 13_x000D_
-----------------------------_x000D_
Pendente  : _x000D_
22 / 10_2 : _x000D_
22 / 11_2 : _x000D_
22 / 12_2 : _x000D_
23 / 01_2 : _x000D_
23 / 02_2 : _x000D_
23 / 03_2 : _x000D_
23 / 04_2 : _x000D_
23 / 05_2 : _x000D_
23 / 06_2 : _x000D_
23 / 07_2 : _x000D_
23 / 08_2 : 1_x000D_
23 / 09_2 : 13 (corte = 20)_x000D_
_x000D_
    TOTAL : ( 14 )_x000D_
  DIVISOR : 12_x000D_
    MÉDIA : 1,17_x000D_
-----------------------------_x000D_
   Valores Desconsiderados_x000D_
-----------------------------_x000D_
23 / 09_2 : 7 (20)_x000D_
_x000D_
  TOTAL   : ( 7 )</t>
        </r>
      </text>
    </comment>
    <comment ref="AB553" authorId="0" shapeId="0" xr:uid="{F9D1384C-511E-4931-82BC-2894D347797F}">
      <text>
        <r>
          <rPr>
            <sz val="10"/>
            <color indexed="81"/>
            <rFont val="Lucida Console"/>
            <family val="3"/>
          </rPr>
          <t>Última movimentação no estoque em 09/2023 quantidade 20.</t>
        </r>
      </text>
    </comment>
    <comment ref="R554" authorId="0" shapeId="0" xr:uid="{1228824A-9842-4AB9-B035-E87B32A2D835}">
      <text>
        <r>
          <rPr>
            <sz val="10"/>
            <color indexed="81"/>
            <rFont val="Lucida Console"/>
            <family val="3"/>
          </rPr>
          <t>01.01.1901</t>
        </r>
      </text>
    </comment>
    <comment ref="Y554" authorId="0" shapeId="0" xr:uid="{85550D94-9561-45DF-A06B-6E808F6654C8}">
      <text>
        <r>
          <rPr>
            <sz val="10"/>
            <color indexed="81"/>
            <rFont val="Courier New"/>
            <family val="3"/>
          </rPr>
          <t>_x000D_
    DESCRIÇÃO DO CÁLCULO_x000D_
Código    : 12.616_x000D_
Corte     : 8.612_x000D_
-----------------------------_x000D_
Pendente  : 288_x000D_
22 / 10_2 : 4.432_x000D_
22 / 11_2 : 4.546_x000D_
22 / 12_2 : 2.706_x000D_
23 / 01_2 : 1.767_x000D_
23 / 02_2 : 3.874_x000D_
23 / 03_2 : 8.557_x000D_
23 / 04_2 : 5.024_x000D_
23 / 05_2 : 5.199_x000D_
23 / 06_2 : 5.086_x000D_
23 / 07_2 : 4.337_x000D_
23 / 08_2 : 5.298_x000D_
23 / 09_2 : 4.884_x000D_
_x000D_
    TOTAL : ( 55.998 )_x000D_
  DIVISOR : 12_x000D_
    MÉDIA : 4.666,50</t>
        </r>
      </text>
    </comment>
    <comment ref="AB554" authorId="0" shapeId="0" xr:uid="{B03A232D-E831-4E20-AA3D-F128E876068E}">
      <text>
        <r>
          <rPr>
            <sz val="10"/>
            <color indexed="81"/>
            <rFont val="Lucida Console"/>
            <family val="3"/>
          </rPr>
          <t>Última movimentação no estoque em 09/2023 quantidade 4.884.</t>
        </r>
      </text>
    </comment>
    <comment ref="R555" authorId="0" shapeId="0" xr:uid="{DA20388D-9C9A-4270-8521-29E64CE2E307}">
      <text>
        <r>
          <rPr>
            <sz val="10"/>
            <color indexed="81"/>
            <rFont val="Lucida Console"/>
            <family val="3"/>
          </rPr>
          <t>01.01.1901</t>
        </r>
      </text>
    </comment>
    <comment ref="Y555" authorId="0" shapeId="0" xr:uid="{06D26475-BDD5-4C98-A0C6-DFAAF8796C5B}">
      <text>
        <r>
          <rPr>
            <sz val="10"/>
            <color indexed="81"/>
            <rFont val="Courier New"/>
            <family val="3"/>
          </rPr>
          <t>_x000D_
    DESCRIÇÃO DO CÁLCULO_x000D_
Código    : 10.302_x000D_
Corte     : 1.244_x000D_
-----------------------------_x000D_
Pendente  : 24_x000D_
22 / 10_2 : 139_x000D_
22 / 11_2 : 126_x000D_
22 / 12_2 : 93_x000D_
23 / 01_2 : 46_x000D_
23 / 02_2 : 150_x000D_
23 / 03_2 : 1.244 (corte = 1839)_x000D_
23 / 04_2 : 210_x000D_
23 / 05_2 : 232_x000D_
23 / 06_2 : 184_x000D_
23 / 07_2 : 149_x000D_
23 / 08_2 : 180_x000D_
23 / 09_2 : 185_x000D_
_x000D_
    TOTAL : ( 2.962 )_x000D_
  DIVISOR : 12_x000D_
    MÉDIA : 246,83_x000D_
-----------------------------_x000D_
   Valores Desconsiderados_x000D_
-----------------------------_x000D_
23 / 03_2 : 595 (1.839)_x000D_
_x000D_
  TOTAL   : ( 595 )</t>
        </r>
      </text>
    </comment>
    <comment ref="AB555" authorId="0" shapeId="0" xr:uid="{40455A84-87CC-454C-AB84-E753E15AA1BB}">
      <text>
        <r>
          <rPr>
            <sz val="10"/>
            <color indexed="81"/>
            <rFont val="Lucida Console"/>
            <family val="3"/>
          </rPr>
          <t>Última movimentação no estoque em 09/2023 quantidade 185.</t>
        </r>
      </text>
    </comment>
    <comment ref="R556" authorId="0" shapeId="0" xr:uid="{8DD51339-4593-44EA-BC6E-E836B0EC5959}">
      <text>
        <r>
          <rPr>
            <sz val="10"/>
            <color indexed="81"/>
            <rFont val="Lucida Console"/>
            <family val="3"/>
          </rPr>
          <t>11.11.2016</t>
        </r>
      </text>
    </comment>
    <comment ref="Y556" authorId="0" shapeId="0" xr:uid="{F6A9A7E9-79F8-4ACF-9801-71DCEFDABF7D}">
      <text>
        <r>
          <rPr>
            <sz val="10"/>
            <color indexed="81"/>
            <rFont val="Courier New"/>
            <family val="3"/>
          </rPr>
          <t>_x000D_
    DESCRIÇÃO DO CÁLCULO_x000D_
Código    : 132.303_x000D_
Corte     : 6.447_x000D_
-----------------------------_x000D_
Pendente  : 20_x000D_
22 / 10_2 : 1.104_x000D_
22 / 11_2 : 1.208_x000D_
22 / 12_2 : 857_x000D_
23 / 01_2 : 400_x000D_
23 / 02_2 : 705_x000D_
23 / 03_2 : 6.447 (corte = 9277)_x000D_
23 / 04_2 : 1.017_x000D_
23 / 05_2 : 1.125_x000D_
23 / 06_2 : 1.039_x000D_
23 / 07_2 : 840_x000D_
23 / 08_2 : 2.089_x000D_
23 / 09_2 : 1.193_x000D_
_x000D_
    TOTAL : ( 18.044 )_x000D_
  DIVISOR : 12_x000D_
    MÉDIA : 1.503,67_x000D_
-----------------------------_x000D_
   Valores Desconsiderados_x000D_
-----------------------------_x000D_
23 / 03_2 : 2.830 (9.277)_x000D_
_x000D_
  TOTAL   : ( 2.830 )</t>
        </r>
      </text>
    </comment>
    <comment ref="AB556" authorId="0" shapeId="0" xr:uid="{CAEEBCC7-9231-4341-945D-C0296D03D789}">
      <text>
        <r>
          <rPr>
            <sz val="10"/>
            <color indexed="81"/>
            <rFont val="Lucida Console"/>
            <family val="3"/>
          </rPr>
          <t>Última movimentação no estoque em 09/2023 quantidade 1.193.</t>
        </r>
      </text>
    </comment>
    <comment ref="R557" authorId="0" shapeId="0" xr:uid="{44B308CD-292D-4C82-ABB4-BECD3C0491D5}">
      <text>
        <r>
          <rPr>
            <sz val="10"/>
            <color indexed="81"/>
            <rFont val="Lucida Console"/>
            <family val="3"/>
          </rPr>
          <t>01.01.1901</t>
        </r>
      </text>
    </comment>
    <comment ref="Y557" authorId="0" shapeId="0" xr:uid="{D1E4783A-DD5E-4B6B-A03A-79C1806FFD0B}">
      <text>
        <r>
          <rPr>
            <sz val="10"/>
            <color indexed="81"/>
            <rFont val="Courier New"/>
            <family val="3"/>
          </rPr>
          <t>_x000D_
    DESCRIÇÃO DO CÁLCULO_x000D_
Código    : 63.385_x000D_
Corte     : 20.609_x000D_
-----------------------------_x000D_
Pendente  : 27.855_x000D_
22 / 10_2 : _x000D_
22 / 11_2 : _x000D_
22 / 12_2 : _x000D_
23 / 01_2 : 225_x000D_
23 / 02_2 : 6.318_x000D_
23 / 03_2 : 13.744_x000D_
23 / 04_2 : _x000D_
23 / 05_2 : _x000D_
23 / 06_2 : _x000D_
23 / 07_2 : _x000D_
23 / 08_2 : _x000D_
23 / 09_2 : _x000D_
_x000D_
    TOTAL : ( 48.142 )_x000D_
  DIVISOR : 12_x000D_
    MÉDIA : 4.011,83</t>
        </r>
      </text>
    </comment>
    <comment ref="AB557" authorId="0" shapeId="0" xr:uid="{344861D9-7B50-4020-9653-16484668255D}">
      <text>
        <r>
          <rPr>
            <sz val="10"/>
            <color indexed="81"/>
            <rFont val="Lucida Console"/>
            <family val="3"/>
          </rPr>
          <t>Última movimentação no estoque em 03/2023 quantidade 13.744.</t>
        </r>
      </text>
    </comment>
    <comment ref="R558" authorId="0" shapeId="0" xr:uid="{76071B50-BE5F-4AF0-8F60-27F809AF83D6}">
      <text>
        <r>
          <rPr>
            <sz val="10"/>
            <color indexed="81"/>
            <rFont val="Lucida Console"/>
            <family val="3"/>
          </rPr>
          <t>06.07.2006</t>
        </r>
      </text>
    </comment>
    <comment ref="Y558" authorId="0" shapeId="0" xr:uid="{9CB16971-2BA8-4A38-A278-2B33DD637D66}">
      <text>
        <r>
          <rPr>
            <sz val="10"/>
            <color indexed="81"/>
            <rFont val="Courier New"/>
            <family val="3"/>
          </rPr>
          <t>_x000D_
    DESCRIÇÃO DO CÁLCULO_x000D_
Código    : 92.908_x000D_
Corte     : 1.300_x000D_
-----------------------------_x000D_
Pendente  : 13_x000D_
22 / 10_2 : 159_x000D_
22 / 11_2 : 178_x000D_
22 / 12_2 : 132_x000D_
23 / 01_2 : 81_x000D_
23 / 02_2 : 142_x000D_
23 / 03_2 : 1.300 (corte = 1900)_x000D_
23 / 04_2 : 216_x000D_
23 / 05_2 : 226_x000D_
23 / 06_2 : 237_x000D_
23 / 07_2 : 201_x000D_
23 / 08_2 : 248_x000D_
23 / 09_2 : 265_x000D_
_x000D_
    TOTAL : ( 3.398 )_x000D_
  DIVISOR : 12_x000D_
    MÉDIA : 283,17_x000D_
-----------------------------_x000D_
   Valores Desconsiderados_x000D_
-----------------------------_x000D_
23 / 03_2 : 600 (1.900)_x000D_
_x000D_
  TOTAL   : ( 600 )</t>
        </r>
      </text>
    </comment>
    <comment ref="AB558" authorId="0" shapeId="0" xr:uid="{08F17D54-5345-48D3-AF72-B2B40721F637}">
      <text>
        <r>
          <rPr>
            <sz val="10"/>
            <color indexed="81"/>
            <rFont val="Lucida Console"/>
            <family val="3"/>
          </rPr>
          <t>Última movimentação no estoque em 09/2023 quantidade 265.</t>
        </r>
      </text>
    </comment>
    <comment ref="R559" authorId="0" shapeId="0" xr:uid="{64BDF726-D54D-4B71-89DF-B6253A8BDD13}">
      <text>
        <r>
          <rPr>
            <sz val="10"/>
            <color indexed="81"/>
            <rFont val="Lucida Console"/>
            <family val="3"/>
          </rPr>
          <t>06.07.2006</t>
        </r>
      </text>
    </comment>
    <comment ref="Y559" authorId="0" shapeId="0" xr:uid="{A8DCA31D-5C72-4558-AE24-A07362A04716}">
      <text>
        <r>
          <rPr>
            <sz val="10"/>
            <color indexed="81"/>
            <rFont val="Courier New"/>
            <family val="3"/>
          </rPr>
          <t>_x000D_
    DESCRIÇÃO DO CÁLCULO_x000D_
Código    : 92.907_x000D_
Corte     : 1.276_x000D_
-----------------------------_x000D_
Pendente  : 2_x000D_
22 / 10_2 : 144_x000D_
22 / 11_2 : 166_x000D_
22 / 12_2 : 144_x000D_
23 / 01_2 : 71_x000D_
23 / 02_2 : 142_x000D_
23 / 03_2 : 1.276 (corte = 1876)_x000D_
23 / 04_2 : 185_x000D_
23 / 05_2 : 211_x000D_
23 / 06_2 : 219_x000D_
23 / 07_2 : 187_x000D_
23 / 08_2 : 219_x000D_
23 / 09_2 : 227_x000D_
_x000D_
    TOTAL : ( 3.193 )_x000D_
  DIVISOR : 12_x000D_
    MÉDIA : 266,08_x000D_
-----------------------------_x000D_
   Valores Desconsiderados_x000D_
-----------------------------_x000D_
23 / 03_2 : 600 (1.876)_x000D_
_x000D_
  TOTAL   : ( 600 )</t>
        </r>
      </text>
    </comment>
    <comment ref="AB559" authorId="0" shapeId="0" xr:uid="{91D0FF11-A42C-43A9-A682-7E69DBFC7588}">
      <text>
        <r>
          <rPr>
            <sz val="10"/>
            <color indexed="81"/>
            <rFont val="Lucida Console"/>
            <family val="3"/>
          </rPr>
          <t>Última movimentação no estoque em 09/2023 quantidade 227.</t>
        </r>
      </text>
    </comment>
    <comment ref="R560" authorId="0" shapeId="0" xr:uid="{F17C3839-A87E-4749-98AD-99ED103984CC}">
      <text>
        <r>
          <rPr>
            <sz val="10"/>
            <color indexed="81"/>
            <rFont val="Lucida Console"/>
            <family val="3"/>
          </rPr>
          <t>01.01.1901</t>
        </r>
      </text>
    </comment>
    <comment ref="Y560" authorId="0" shapeId="0" xr:uid="{AC9C24DD-898A-4334-8467-88025750F2E6}">
      <text>
        <r>
          <rPr>
            <sz val="10"/>
            <color indexed="81"/>
            <rFont val="Courier New"/>
            <family val="3"/>
          </rPr>
          <t>_x000D_
    DESCRIÇÃO DO CÁLCULO_x000D_
Código    : 92.906_x000D_
Corte     : 518_x000D_
-----------------------------_x000D_
Pendente  : 255_x000D_
22 / 10_2 : 160_x000D_
22 / 11_2 : 179_x000D_
22 / 12_2 : 139_x000D_
23 / 01_2 : 75_x000D_
23 / 02_2 : 142_x000D_
23 / 03_2 : 518 (corte = 691)_x000D_
23 / 04_2 : _x000D_
23 / 05_2 : _x000D_
23 / 06_2 : _x000D_
23 / 07_2 : _x000D_
23 / 08_2 : _x000D_
23 / 09_2 : _x000D_
_x000D_
    TOTAL : ( 1.468 )_x000D_
  DIVISOR : 12_x000D_
    MÉDIA : 122,33_x000D_
-----------------------------_x000D_
   Valores Desconsiderados_x000D_
-----------------------------_x000D_
23 / 03_2 : 173 (691)_x000D_
_x000D_
  TOTAL   : ( 173 )</t>
        </r>
      </text>
    </comment>
    <comment ref="AB560" authorId="0" shapeId="0" xr:uid="{93C56F9F-61CD-4CCF-B73F-73181D995794}">
      <text>
        <r>
          <rPr>
            <sz val="10"/>
            <color indexed="81"/>
            <rFont val="Lucida Console"/>
            <family val="3"/>
          </rPr>
          <t>Última movimentação no estoque em 03/2023 quantidade 691.</t>
        </r>
      </text>
    </comment>
    <comment ref="R561" authorId="0" shapeId="0" xr:uid="{E791955C-674F-4D4C-9F73-9869786C294D}">
      <text>
        <r>
          <rPr>
            <sz val="10"/>
            <color indexed="81"/>
            <rFont val="Lucida Console"/>
            <family val="3"/>
          </rPr>
          <t>01.01.1901</t>
        </r>
      </text>
    </comment>
    <comment ref="Y561" authorId="0" shapeId="0" xr:uid="{798A721B-0060-4251-B403-F03C7E8562F4}">
      <text>
        <r>
          <rPr>
            <sz val="10"/>
            <color indexed="81"/>
            <rFont val="Courier New"/>
            <family val="3"/>
          </rPr>
          <t>_x000D_
    DESCRIÇÃO DO CÁLCULO_x000D_
Código    : 70.379_x000D_
Corte     : 1.156_x000D_
-----------------------------_x000D_
Pendente  : 25_x000D_
22 / 10_2 : 32_x000D_
22 / 11_2 : 100_x000D_
22 / 12_2 : 57_x000D_
23 / 01_2 : 50_x000D_
23 / 02_2 : 1.099_x000D_
23 / 03_2 : 1.156 (corte = 1285)_x000D_
23 / 04_2 : 49_x000D_
23 / 05_2 : 18_x000D_
23 / 06_2 : 538_x000D_
23 / 07_2 : 48_x000D_
23 / 08_2 : 61_x000D_
23 / 09_2 : 52_x000D_
_x000D_
    TOTAL : ( 3.285 )_x000D_
  DIVISOR : 12_x000D_
    MÉDIA : 273,75_x000D_
-----------------------------_x000D_
   Valores Desconsiderados_x000D_
-----------------------------_x000D_
23 / 03_2 : 129 (1.285)_x000D_
_x000D_
  TOTAL   : ( 129 )</t>
        </r>
      </text>
    </comment>
    <comment ref="AB561" authorId="0" shapeId="0" xr:uid="{F8798882-FC98-4FDF-A494-71B643385586}">
      <text>
        <r>
          <rPr>
            <sz val="10"/>
            <color indexed="81"/>
            <rFont val="Lucida Console"/>
            <family val="3"/>
          </rPr>
          <t>Última movimentação no estoque em 09/2023 quantidade 52.</t>
        </r>
      </text>
    </comment>
    <comment ref="R562" authorId="0" shapeId="0" xr:uid="{214A5ACE-637B-40D2-9F64-8B2AB68BD606}">
      <text>
        <r>
          <rPr>
            <sz val="10"/>
            <color indexed="81"/>
            <rFont val="Lucida Console"/>
            <family val="3"/>
          </rPr>
          <t>26.01.2006</t>
        </r>
      </text>
    </comment>
    <comment ref="Y562" authorId="0" shapeId="0" xr:uid="{DE8262BE-FD42-48DA-B388-E96F1B5BD940}">
      <text>
        <r>
          <rPr>
            <sz val="10"/>
            <color indexed="81"/>
            <rFont val="Courier New"/>
            <family val="3"/>
          </rPr>
          <t>_x000D_
    DESCRIÇÃO DO CÁLCULO_x000D_
Código    : 89.865_x000D_
Corte     : 28_x000D_
-----------------------------_x000D_
Pendente  : _x000D_
22 / 10_2 : 2_x000D_
22 / 11_2 : 2_x000D_
22 / 12_2 : 4_x000D_
23 / 01_2 : 3_x000D_
23 / 02_2 : _x000D_
23 / 03_2 : 8_x000D_
23 / 04_2 : 28 (corte = 41)_x000D_
23 / 05_2 : _x000D_
23 / 06_2 : _x000D_
23 / 07_2 : _x000D_
23 / 08_2 : _x000D_
23 / 09_2 : _x000D_
_x000D_
    TOTAL : ( 47 )_x000D_
  DIVISOR : 12_x000D_
    MÉDIA : 3,92_x000D_
-----------------------------_x000D_
   Valores Desconsiderados_x000D_
-----------------------------_x000D_
23 / 04_2 : 13 (41)_x000D_
_x000D_
  TOTAL   : ( 13 )</t>
        </r>
      </text>
    </comment>
    <comment ref="AB562" authorId="0" shapeId="0" xr:uid="{68E33DA5-2BAE-4A27-B1B1-7EA2E3469DFB}">
      <text>
        <r>
          <rPr>
            <sz val="10"/>
            <color indexed="81"/>
            <rFont val="Lucida Console"/>
            <family val="3"/>
          </rPr>
          <t>Última movimentação no estoque em 04/2023 quantidade 41.</t>
        </r>
      </text>
    </comment>
    <comment ref="R563" authorId="0" shapeId="0" xr:uid="{D6F9AACC-68ED-4374-A8CB-DEAD424D1A72}">
      <text>
        <r>
          <rPr>
            <sz val="10"/>
            <color indexed="81"/>
            <rFont val="Lucida Console"/>
            <family val="3"/>
          </rPr>
          <t>04.12.2015</t>
        </r>
      </text>
    </comment>
    <comment ref="Y563" authorId="0" shapeId="0" xr:uid="{E5D657C8-4FAC-43A4-98D0-FFC7E08673DB}">
      <text>
        <r>
          <rPr>
            <sz val="10"/>
            <color indexed="81"/>
            <rFont val="Courier New"/>
            <family val="3"/>
          </rPr>
          <t>_x000D_
    DESCRIÇÃO DO CÁLCULO_x000D_
Código    : 131.138_x000D_
Corte     : 2_x000D_
-----------------------------_x000D_
Pendente  : _x000D_
22 / 10_2 : _x000D_
22 / 11_2 : 1_x000D_
22 / 12_2 : _x000D_
23 / 01_2 : 2 (corte = 3)_x000D_
23 / 02_2 : 1_x000D_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563" authorId="0" shapeId="0" xr:uid="{5EF96F4D-BA70-4097-92AA-E40054608AEC}">
      <text>
        <r>
          <rPr>
            <sz val="10"/>
            <color indexed="81"/>
            <rFont val="Lucida Console"/>
            <family val="3"/>
          </rPr>
          <t>Última movimentação no estoque em 02/2023 quantidade 1.</t>
        </r>
      </text>
    </comment>
    <comment ref="R564" authorId="0" shapeId="0" xr:uid="{BE779A65-39B8-44D0-80DB-51F980828F87}">
      <text>
        <r>
          <rPr>
            <sz val="10"/>
            <color indexed="81"/>
            <rFont val="Lucida Console"/>
            <family val="3"/>
          </rPr>
          <t>20.04.2010</t>
        </r>
      </text>
    </comment>
    <comment ref="Y564" authorId="0" shapeId="0" xr:uid="{EE7CA734-D61B-453B-ADCC-C52F4CC989E0}">
      <text>
        <r>
          <rPr>
            <sz val="10"/>
            <color indexed="81"/>
            <rFont val="Courier New"/>
            <family val="3"/>
          </rPr>
          <t>_x000D_
    DESCRIÇÃO DO CÁLCULO_x000D_
Código    : 114.923_x000D_
Corte     : 455_x000D_
-----------------------------_x000D_
Pendente  : _x000D_
22 / 10_2 : 88_x000D_
22 / 11_2 : 100_x000D_
22 / 12_2 : 130_x000D_
23 / 01_2 : 60_x000D_
23 / 02_2 : 200_x000D_
23 / 03_2 : 50_x000D_
23 / 04_2 : _x000D_
23 / 05_2 : _x000D_
23 / 06_2 : _x000D_
23 / 07_2 : 455 (corte = 600)_x000D_
23 / 08_2 : 200_x000D_
23 / 09_2 : _x000D_
_x000D_
    TOTAL : ( 1.283 )_x000D_
  DIVISOR : 12_x000D_
    MÉDIA : 106,92_x000D_
-----------------------------_x000D_
   Valores Desconsiderados_x000D_
-----------------------------_x000D_
23 / 07_2 : 145 (600)_x000D_
_x000D_
  TOTAL   : ( 145 )</t>
        </r>
      </text>
    </comment>
    <comment ref="AB564" authorId="0" shapeId="0" xr:uid="{BD8806A1-0830-46BA-9C40-1246DEC807F3}">
      <text>
        <r>
          <rPr>
            <sz val="10"/>
            <color indexed="81"/>
            <rFont val="Lucida Console"/>
            <family val="3"/>
          </rPr>
          <t>Última movimentação no estoque em 08/2023 quantidade 200.</t>
        </r>
      </text>
    </comment>
    <comment ref="R565" authorId="0" shapeId="0" xr:uid="{1AC7BE38-0373-42AC-938B-CC772BDDE8DD}">
      <text>
        <r>
          <rPr>
            <sz val="10"/>
            <color indexed="81"/>
            <rFont val="Lucida Console"/>
            <family val="3"/>
          </rPr>
          <t>01.01.1901</t>
        </r>
      </text>
    </comment>
    <comment ref="Y565" authorId="0" shapeId="0" xr:uid="{681EEB5C-1306-42A2-89EE-F24C2DE59ECC}">
      <text>
        <r>
          <rPr>
            <sz val="10"/>
            <color indexed="81"/>
            <rFont val="Courier New"/>
            <family val="3"/>
          </rPr>
          <t>_x000D_
    DESCRIÇÃO DO CÁLCULO_x000D_
Código    : 37.528_x000D_
Corte     : 170_x000D_
-----------------------------_x000D_
Pendente  : _x000D_
22 / 10_2 : 86_x000D_
22 / 11_2 : 36_x000D_
22 / 12_2 : 66_x000D_
23 / 01_2 : 94_x000D_
23 / 02_2 : 92_x000D_
23 / 03_2 : 86_x000D_
23 / 04_2 : 170 (corte = 180)_x000D_
23 / 05_2 : 100_x000D_
23 / 06_2 : _x000D_
23 / 07_2 : 100_x000D_
23 / 08_2 : 10_x000D_
23 / 09_2 : 50_x000D_
_x000D_
    TOTAL : ( 890 )_x000D_
  DIVISOR : 12_x000D_
    MÉDIA : 74,17_x000D_
-----------------------------_x000D_
   Valores Desconsiderados_x000D_
-----------------------------_x000D_
23 / 04_2 : 10 (180)_x000D_
_x000D_
  TOTAL   : ( 10 )</t>
        </r>
      </text>
    </comment>
    <comment ref="AB565" authorId="0" shapeId="0" xr:uid="{CDD66A56-DF51-438E-9D33-86B005A600D6}">
      <text>
        <r>
          <rPr>
            <sz val="10"/>
            <color indexed="81"/>
            <rFont val="Lucida Console"/>
            <family val="3"/>
          </rPr>
          <t>Última movimentação no estoque em 09/2023 quantidade 50.</t>
        </r>
      </text>
    </comment>
    <comment ref="R566" authorId="0" shapeId="0" xr:uid="{B232BAC6-2623-4711-91A7-E3B13F1419C0}">
      <text>
        <r>
          <rPr>
            <sz val="10"/>
            <color indexed="81"/>
            <rFont val="Lucida Console"/>
            <family val="3"/>
          </rPr>
          <t>23.08.2013</t>
        </r>
      </text>
    </comment>
    <comment ref="Y566" authorId="0" shapeId="0" xr:uid="{6C95D15C-4CD1-466F-87A0-8D0EFADC61AC}">
      <text>
        <r>
          <rPr>
            <sz val="10"/>
            <color indexed="81"/>
            <rFont val="Courier New"/>
            <family val="3"/>
          </rPr>
          <t>_x000D_
    DESCRIÇÃO DO CÁLCULO_x000D_
Código    : 126.059_x000D_
Corte     : 23_x000D_
-----------------------------_x000D_
Pendente  : 33_x000D_
22 / 10_2 : 7_x000D_
22 / 11_2 : 6_x000D_
22 / 12_2 : 4_x000D_
23 / 01_2 : 8_x000D_
23 / 02_2 : 3_x000D_
23 / 03_2 : 3_x000D_
23 / 04_2 : 10_x000D_
23 / 05_2 : _x000D_
23 / 06_2 : _x000D_
23 / 07_2 : _x000D_
23 / 08_2 : _x000D_
23 / 09_2 : _x000D_
_x000D_
    TOTAL : ( 74 )_x000D_
  DIVISOR : 12_x000D_
    MÉDIA : 6,17</t>
        </r>
      </text>
    </comment>
    <comment ref="AB566" authorId="0" shapeId="0" xr:uid="{92D19ED4-F4B3-4BA6-A558-6F75E03E088D}">
      <text>
        <r>
          <rPr>
            <sz val="10"/>
            <color indexed="81"/>
            <rFont val="Lucida Console"/>
            <family val="3"/>
          </rPr>
          <t>Última movimentação no estoque em 04/2023 quantidade 10.</t>
        </r>
      </text>
    </comment>
    <comment ref="R567" authorId="0" shapeId="0" xr:uid="{1A64D2C7-922A-41A6-8766-574FE162521A}">
      <text>
        <r>
          <rPr>
            <sz val="10"/>
            <color indexed="81"/>
            <rFont val="Lucida Console"/>
            <family val="3"/>
          </rPr>
          <t>23.08.2013</t>
        </r>
      </text>
    </comment>
    <comment ref="Y567" authorId="0" shapeId="0" xr:uid="{8D65C5A0-BA17-4F6E-9768-37E3901136FC}">
      <text>
        <r>
          <rPr>
            <sz val="10"/>
            <color indexed="81"/>
            <rFont val="Courier New"/>
            <family val="3"/>
          </rPr>
          <t>_x000D_
    DESCRIÇÃO DO CÁLCULO_x000D_
Código    : 126.060_x000D_
Corte     : 48_x000D_
-----------------------------_x000D_
Pendente  : _x000D_
22 / 10_2 : 9_x000D_
22 / 11_2 : 2_x000D_
22 / 12_2 : 21_x000D_
23 / 01_2 : 17_x000D_
23 / 02_2 : 48 (corte = 54)_x000D_
23 / 03_2 : 3_x000D_
23 / 04_2 : 42_x000D_
23 / 05_2 : _x000D_
23 / 06_2 : _x000D_
23 / 07_2 : _x000D_
23 / 08_2 : _x000D_
23 / 09_2 : _x000D_
_x000D_
    TOTAL : ( 142 )_x000D_
  DIVISOR : 12_x000D_
    MÉDIA : 11,83_x000D_
-----------------------------_x000D_
   Valores Desconsiderados_x000D_
-----------------------------_x000D_
23 / 02_2 : 6 (54)_x000D_
_x000D_
  TOTAL   : ( 6 )</t>
        </r>
      </text>
    </comment>
    <comment ref="AB567" authorId="0" shapeId="0" xr:uid="{948D6722-9997-4BFE-B20A-4420582067F1}">
      <text>
        <r>
          <rPr>
            <sz val="10"/>
            <color indexed="81"/>
            <rFont val="Lucida Console"/>
            <family val="3"/>
          </rPr>
          <t>Última movimentação no estoque em 04/2023 quantidade 42.</t>
        </r>
      </text>
    </comment>
    <comment ref="R568" authorId="0" shapeId="0" xr:uid="{44DFC9E4-4B10-4431-91E1-160D620C8D99}">
      <text>
        <r>
          <rPr>
            <sz val="10"/>
            <color indexed="81"/>
            <rFont val="Lucida Console"/>
            <family val="3"/>
          </rPr>
          <t>27.08.2004</t>
        </r>
      </text>
    </comment>
    <comment ref="Y568" authorId="0" shapeId="0" xr:uid="{7FE7B856-D512-40D7-9297-A59E8B2F6658}">
      <text>
        <r>
          <rPr>
            <sz val="10"/>
            <color indexed="81"/>
            <rFont val="Courier New"/>
            <family val="3"/>
          </rPr>
          <t>_x000D_
    DESCRIÇÃO DO CÁLCULO_x000D_
Código    : 81.514_x000D_
Corte     : 9.387_x000D_
-----------------------------_x000D_
Pendente  : _x000D_
22 / 10_2 : 2.000_x000D_
22 / 11_2 : 2.280_x000D_
22 / 12_2 : 1.000_x000D_
23 / 01_2 : 6.650_x000D_
23 / 02_2 : 1.000_x000D_
23 / 03_2 : 4.002_x000D_
23 / 04_2 : 4.101_x000D_
23 / 05_2 : _x000D_
23 / 06_2 : 5.000_x000D_
23 / 07_2 : 5.000_x000D_
23 / 08_2 : _x000D_
23 / 09_2 : 9.387 (corte = 10000)_x000D_
_x000D_
    TOTAL : ( 40.420 )_x000D_
  DIVISOR : 12_x000D_
    MÉDIA : 3.368,33_x000D_
-----------------------------_x000D_
   Valores Desconsiderados_x000D_
-----------------------------_x000D_
23 / 09_2 : 613 (10.000)_x000D_
_x000D_
  TOTAL   : ( 613 )</t>
        </r>
      </text>
    </comment>
    <comment ref="AB568" authorId="0" shapeId="0" xr:uid="{19CD4E3E-05B1-4F5B-BDFE-77D447897023}">
      <text>
        <r>
          <rPr>
            <sz val="10"/>
            <color indexed="81"/>
            <rFont val="Lucida Console"/>
            <family val="3"/>
          </rPr>
          <t>Última movimentação no estoque em 09/2023 quantidade 10.000.</t>
        </r>
      </text>
    </comment>
    <comment ref="R569" authorId="0" shapeId="0" xr:uid="{2C7492F7-B077-42BA-A2BD-090D44E04584}">
      <text>
        <r>
          <rPr>
            <sz val="10"/>
            <color indexed="81"/>
            <rFont val="Lucida Console"/>
            <family val="3"/>
          </rPr>
          <t>15.03.2018</t>
        </r>
      </text>
    </comment>
    <comment ref="Y569" authorId="0" shapeId="0" xr:uid="{18AE258D-9B5E-4635-84C2-D4891F48BB03}">
      <text>
        <r>
          <rPr>
            <sz val="10"/>
            <color indexed="81"/>
            <rFont val="Courier New"/>
            <family val="3"/>
          </rPr>
          <t>_x000D_
    DESCRIÇÃO DO CÁLCULO_x000D_
Código    : 134.561_x000D_
Corte     : 18_x000D_
-----------------------------_x000D_
Pendente  : _x000D_
22 / 10_2 : _x000D_
22 / 11_2 : 2_x000D_
22 / 12_2 : _x000D_
23 / 01_2 : _x000D_
23 / 02_2 : _x000D_
23 / 03_2 : 4_x000D_
23 / 04_2 : 18 (corte = 22)_x000D_
23 / 05_2 : _x000D_
23 / 06_2 : 15_x000D_
23 / 07_2 : _x000D_
23 / 08_2 : _x000D_
23 / 09_2 : _x000D_
_x000D_
    TOTAL : ( 39 )_x000D_
  DIVISOR : 12_x000D_
    MÉDIA : 3,25_x000D_
-----------------------------_x000D_
   Valores Desconsiderados_x000D_
-----------------------------_x000D_
23 / 04_2 : 4 (22)_x000D_
_x000D_
  TOTAL   : ( 4 )</t>
        </r>
      </text>
    </comment>
    <comment ref="AB569" authorId="0" shapeId="0" xr:uid="{DB52865A-F16A-412B-ABD5-693833005613}">
      <text>
        <r>
          <rPr>
            <sz val="10"/>
            <color indexed="81"/>
            <rFont val="Lucida Console"/>
            <family val="3"/>
          </rPr>
          <t>Última movimentação no estoque em 06/2023 quantidade 15.</t>
        </r>
      </text>
    </comment>
    <comment ref="R570" authorId="0" shapeId="0" xr:uid="{24C407E7-208D-4D96-98FD-C09F1A28D99C}">
      <text>
        <r>
          <rPr>
            <sz val="10"/>
            <color indexed="81"/>
            <rFont val="Lucida Console"/>
            <family val="3"/>
          </rPr>
          <t>15.03.2018</t>
        </r>
      </text>
    </comment>
    <comment ref="Y570" authorId="0" shapeId="0" xr:uid="{5D4DCC95-0BB2-4B87-A987-2DA44CDC6898}">
      <text>
        <r>
          <rPr>
            <sz val="10"/>
            <color indexed="81"/>
            <rFont val="Courier New"/>
            <family val="3"/>
          </rPr>
          <t>_x000D_
    DESCRIÇÃO DO CÁLCULO_x000D_
Código    : 134.562_x000D_
Corte     : 33_x000D_
-----------------------------_x000D_
Pendente  : _x000D_
22 / 10_2 : 3_x000D_
22 / 11_2 : _x000D_
22 / 12_2 : 3_x000D_
23 / 01_2 : _x000D_
23 / 02_2 : _x000D_
23 / 03_2 : _x000D_
23 / 04_2 : 33 (corte = 50)_x000D_
23 / 05_2 : _x000D_
23 / 06_2 : _x000D_
23 / 07_2 : _x000D_
23 / 08_2 : _x000D_
23 / 09_2 : _x000D_
_x000D_
    TOTAL : ( 39 )_x000D_
  DIVISOR : 12_x000D_
    MÉDIA : 3,25_x000D_
-----------------------------_x000D_
   Valores Desconsiderados_x000D_
-----------------------------_x000D_
23 / 04_2 : 17 (50)_x000D_
_x000D_
  TOTAL   : ( 17 )</t>
        </r>
      </text>
    </comment>
    <comment ref="AB570" authorId="0" shapeId="0" xr:uid="{284977FC-4548-4B3C-A00A-51ACD9DFD172}">
      <text>
        <r>
          <rPr>
            <sz val="10"/>
            <color indexed="81"/>
            <rFont val="Lucida Console"/>
            <family val="3"/>
          </rPr>
          <t>Última movimentação no estoque em 04/2023 quantidade 50.</t>
        </r>
      </text>
    </comment>
    <comment ref="R571" authorId="0" shapeId="0" xr:uid="{BB701E6A-E49A-4CA6-A0BA-73BEAF7444D4}">
      <text>
        <r>
          <rPr>
            <sz val="10"/>
            <color indexed="81"/>
            <rFont val="Lucida Console"/>
            <family val="3"/>
          </rPr>
          <t>15.03.2018</t>
        </r>
      </text>
    </comment>
    <comment ref="Y571" authorId="0" shapeId="0" xr:uid="{6C94BB7E-37B6-41F3-AC0A-835965D714DF}">
      <text>
        <r>
          <rPr>
            <sz val="10"/>
            <color indexed="81"/>
            <rFont val="Courier New"/>
            <family val="3"/>
          </rPr>
          <t>_x000D_
    DESCRIÇÃO DO CÁLCULO_x000D_
Código    : 134.563_x000D_
Corte     : 44_x000D_
-----------------------------_x000D_
Pendente  : _x000D_
22 / 10_2 : 14_x000D_
22 / 11_2 : 6_x000D_
22 / 12_2 : 3_x000D_
23 / 01_2 : 13_x000D_
23 / 02_2 : 6_x000D_
23 / 03_2 : 11_x000D_
23 / 04_2 : 44 (corte = 60)_x000D_
23 / 05_2 : 1_x000D_
23 / 06_2 : _x000D_
23 / 07_2 : _x000D_
23 / 08_2 : 20_x000D_
23 / 09_2 : _x000D_
_x000D_
    TOTAL : ( 118 )_x000D_
  DIVISOR : 12_x000D_
    MÉDIA : 9,83_x000D_
-----------------------------_x000D_
   Valores Desconsiderados_x000D_
-----------------------------_x000D_
23 / 04_2 : 16 (60)_x000D_
_x000D_
  TOTAL   : ( 16 )</t>
        </r>
      </text>
    </comment>
    <comment ref="AB571" authorId="0" shapeId="0" xr:uid="{9C293EBF-4B31-4242-945D-67307B2D756C}">
      <text>
        <r>
          <rPr>
            <sz val="10"/>
            <color indexed="81"/>
            <rFont val="Lucida Console"/>
            <family val="3"/>
          </rPr>
          <t>Última movimentação no estoque em 08/2023 quantidade 20.</t>
        </r>
      </text>
    </comment>
    <comment ref="R572" authorId="0" shapeId="0" xr:uid="{30EA8E55-7051-412D-B873-24B5EC909901}">
      <text>
        <r>
          <rPr>
            <sz val="10"/>
            <color indexed="81"/>
            <rFont val="Lucida Console"/>
            <family val="3"/>
          </rPr>
          <t>15.03.2018</t>
        </r>
      </text>
    </comment>
    <comment ref="Y572" authorId="0" shapeId="0" xr:uid="{8631D310-95A5-435D-9E8D-9B899AD1F3FB}">
      <text>
        <r>
          <rPr>
            <sz val="10"/>
            <color indexed="81"/>
            <rFont val="Courier New"/>
            <family val="3"/>
          </rPr>
          <t>_x000D_
    DESCRIÇÃO DO CÁLCULO_x000D_
Código    : 134.564_x000D_
Corte     : 21_x000D_
-----------------------------_x000D_
Pendente  : _x000D_
22 / 10_2 : 3_x000D_
22 / 11_2 : 1_x000D_
22 / 12_2 : _x000D_
23 / 01_2 : 3_x000D_
23 / 02_2 : 2_x000D_
23 / 03_2 : 2_x000D_
23 / 04_2 : 21 (corte = 31)_x000D_
23 / 05_2 : 5_x000D_
23 / 06_2 : _x000D_
23 / 07_2 : _x000D_
23 / 08_2 : _x000D_
23 / 09_2 : _x000D_
_x000D_
    TOTAL : ( 37 )_x000D_
  DIVISOR : 12_x000D_
    MÉDIA : 3,08_x000D_
-----------------------------_x000D_
   Valores Desconsiderados_x000D_
-----------------------------_x000D_
23 / 04_2 : 10 (31)_x000D_
_x000D_
  TOTAL   : ( 10 )</t>
        </r>
      </text>
    </comment>
    <comment ref="AB572" authorId="0" shapeId="0" xr:uid="{164B1481-643B-443B-AB86-5033B2A81BE6}">
      <text>
        <r>
          <rPr>
            <sz val="10"/>
            <color indexed="81"/>
            <rFont val="Lucida Console"/>
            <family val="3"/>
          </rPr>
          <t>Última movimentação no estoque em 05/2023 quantidade 5.</t>
        </r>
      </text>
    </comment>
    <comment ref="R573" authorId="0" shapeId="0" xr:uid="{E6D497D9-0AEB-4502-A3EA-3A6B8AE776BD}">
      <text>
        <r>
          <rPr>
            <sz val="10"/>
            <color indexed="81"/>
            <rFont val="Lucida Console"/>
            <family val="3"/>
          </rPr>
          <t>15.03.2018</t>
        </r>
      </text>
    </comment>
    <comment ref="Y573" authorId="0" shapeId="0" xr:uid="{3F19BEFD-1FD8-432D-B696-BEF769AD7DC9}">
      <text>
        <r>
          <rPr>
            <sz val="10"/>
            <color indexed="81"/>
            <rFont val="Courier New"/>
            <family val="3"/>
          </rPr>
          <t>_x000D_
    DESCRIÇÃO DO CÁLCULO_x000D_
Código    : 134.565_x000D_
Corte     : 21_x000D_
-----------------------------_x000D_
Pendente  : _x000D_
22 / 10_2 : 6_x000D_
22 / 11_2 : 2_x000D_
22 / 12_2 : _x000D_
23 / 01_2 : 1_x000D_
23 / 02_2 : 3_x000D_
23 / 03_2 : 1_x000D_
23 / 04_2 : 21 (corte = 31)_x000D_
23 / 05_2 : 1_x000D_
23 / 06_2 : _x000D_
23 / 07_2 : _x000D_
23 / 08_2 : _x000D_
23 / 09_2 : _x000D_
_x000D_
    TOTAL : ( 35 )_x000D_
  DIVISOR : 12_x000D_
    MÉDIA : 2,92_x000D_
-----------------------------_x000D_
   Valores Desconsiderados_x000D_
-----------------------------_x000D_
23 / 04_2 : 10 (31)_x000D_
_x000D_
  TOTAL   : ( 10 )</t>
        </r>
      </text>
    </comment>
    <comment ref="AB573" authorId="0" shapeId="0" xr:uid="{64D50048-83F7-42DE-91A7-2DF712D7E017}">
      <text>
        <r>
          <rPr>
            <sz val="10"/>
            <color indexed="81"/>
            <rFont val="Lucida Console"/>
            <family val="3"/>
          </rPr>
          <t>Última movimentação no estoque em 05/2023 quantidade 1.</t>
        </r>
      </text>
    </comment>
    <comment ref="R574" authorId="0" shapeId="0" xr:uid="{32A49BF6-B0A5-4584-A8C0-48904843A76B}">
      <text>
        <r>
          <rPr>
            <sz val="10"/>
            <color indexed="81"/>
            <rFont val="Lucida Console"/>
            <family val="3"/>
          </rPr>
          <t>24.01.2008</t>
        </r>
      </text>
    </comment>
    <comment ref="Y574" authorId="0" shapeId="0" xr:uid="{298AB12A-6383-434D-8E5A-A69DEC51FA41}">
      <text>
        <r>
          <rPr>
            <sz val="10"/>
            <color indexed="81"/>
            <rFont val="Courier New"/>
            <family val="3"/>
          </rPr>
          <t>_x000D_
    DESCRIÇÃO DO CÁLCULO_x000D_
Código    : 104.655_x000D_
Corte     : 1.330_x000D_
-----------------------------_x000D_
Pendente  : _x000D_
22 / 10_2 : _x000D_
22 / 11_2 : 100_x000D_
22 / 12_2 : _x000D_
23 / 01_2 : _x000D_
23 / 02_2 : 100_x000D_
23 / 03_2 : _x000D_
23 / 04_2 : 1.330 (corte = 2000)_x000D_
23 / 05_2 : _x000D_
23 / 06_2 : _x000D_
23 / 07_2 : _x000D_
23 / 08_2 : _x000D_
23 / 09_2 : _x000D_
_x000D_
    TOTAL : ( 1.530 )_x000D_
  DIVISOR : 12_x000D_
    MÉDIA : 127,50_x000D_
-----------------------------_x000D_
   Valores Desconsiderados_x000D_
-----------------------------_x000D_
23 / 04_2 : 670 (2.000)_x000D_
_x000D_
  TOTAL   : ( 670 )</t>
        </r>
      </text>
    </comment>
    <comment ref="AB574" authorId="0" shapeId="0" xr:uid="{A24C5243-5D90-49CD-A755-668A4BFAC214}">
      <text>
        <r>
          <rPr>
            <sz val="10"/>
            <color indexed="81"/>
            <rFont val="Lucida Console"/>
            <family val="3"/>
          </rPr>
          <t>Última movimentação no estoque em 04/2023 quantidade 2.000.</t>
        </r>
      </text>
    </comment>
    <comment ref="R575" authorId="0" shapeId="0" xr:uid="{F8C1A84C-4810-4C63-80E0-A1C5016CF0F5}">
      <text>
        <r>
          <rPr>
            <sz val="10"/>
            <color indexed="81"/>
            <rFont val="Lucida Console"/>
            <family val="3"/>
          </rPr>
          <t>15.03.2018</t>
        </r>
      </text>
    </comment>
    <comment ref="Y575" authorId="0" shapeId="0" xr:uid="{035D7107-86E7-42E1-9233-C101BA1F0948}">
      <text>
        <r>
          <rPr>
            <sz val="10"/>
            <color indexed="81"/>
            <rFont val="Courier New"/>
            <family val="3"/>
          </rPr>
          <t>_x000D_
    DESCRIÇÃO DO CÁLCULO_x000D_
Código    : 134.566_x000D_
Corte     : 668_x000D_
-----------------------------_x000D_
Pendente  : _x000D_
22 / 10_2 : 40_x000D_
22 / 11_2 : _x000D_
22 / 12_2 : 100_x000D_
23 / 01_2 : 100_x000D_
23 / 02_2 : 668 (corte = 950)_x000D_
23 / 03_2 : 252_x000D_
23 / 04_2 : 100_x000D_
23 / 05_2 : 8_x000D_
23 / 06_2 : _x000D_
23 / 07_2 : 60_x000D_
23 / 08_2 : _x000D_
23 / 09_2 : _x000D_
_x000D_
    TOTAL : ( 1.328 )_x000D_
  DIVISOR : 12_x000D_
    MÉDIA : 110,67_x000D_
-----------------------------_x000D_
   Valores Desconsiderados_x000D_
-----------------------------_x000D_
23 / 02_2 : 282 (950)_x000D_
_x000D_
  TOTAL   : ( 282 )</t>
        </r>
      </text>
    </comment>
    <comment ref="AB575" authorId="0" shapeId="0" xr:uid="{A12BEFEC-ED04-47BD-9815-5CC7EA59F08D}">
      <text>
        <r>
          <rPr>
            <sz val="10"/>
            <color indexed="81"/>
            <rFont val="Lucida Console"/>
            <family val="3"/>
          </rPr>
          <t>Última movimentação no estoque em 07/2023 quantidade 60.</t>
        </r>
      </text>
    </comment>
    <comment ref="R576" authorId="0" shapeId="0" xr:uid="{13C88B50-07E4-431E-9901-DC7C00772CED}">
      <text>
        <r>
          <rPr>
            <sz val="10"/>
            <color indexed="81"/>
            <rFont val="Lucida Console"/>
            <family val="3"/>
          </rPr>
          <t>20.04.2004</t>
        </r>
      </text>
    </comment>
    <comment ref="Y576" authorId="0" shapeId="0" xr:uid="{8BC403E2-3013-4BF1-AAB9-7F562DEC6A75}">
      <text>
        <r>
          <rPr>
            <sz val="10"/>
            <color indexed="81"/>
            <rFont val="Courier New"/>
            <family val="3"/>
          </rPr>
          <t>_x000D_
    DESCRIÇÃO DO CÁLCULO_x000D_
Código    : 78.416_x000D_
Corte     : 181_x000D_
-----------------------------_x000D_
Pendente  : _x000D_
22 / 10_2 : _x000D_
22 / 11_2 : _x000D_
22 / 12_2 : _x000D_
23 / 01_2 : _x000D_
23 / 02_2 : 45_x000D_
23 / 03_2 : _x000D_
23 / 04_2 : _x000D_
23 / 05_2 : 181 (corte = 270)_x000D_
23 / 06_2 : _x000D_
23 / 07_2 : _x000D_
23 / 08_2 : _x000D_
23 / 09_2 : _x000D_
_x000D_
    TOTAL : ( 226 )_x000D_
  DIVISOR : 12_x000D_
    MÉDIA : 18,83_x000D_
-----------------------------_x000D_
   Valores Desconsiderados_x000D_
-----------------------------_x000D_
23 / 05_2 : 89 (270)_x000D_
_x000D_
  TOTAL   : ( 89 )</t>
        </r>
      </text>
    </comment>
    <comment ref="AB576" authorId="0" shapeId="0" xr:uid="{A2963A21-7B31-40EE-9829-1F27B909A7E2}">
      <text>
        <r>
          <rPr>
            <sz val="10"/>
            <color indexed="81"/>
            <rFont val="Lucida Console"/>
            <family val="3"/>
          </rPr>
          <t>Última movimentação no estoque em 05/2023 quantidade 270.</t>
        </r>
      </text>
    </comment>
    <comment ref="R577" authorId="0" shapeId="0" xr:uid="{18815B02-B2EC-442A-8001-93F31B403346}">
      <text>
        <r>
          <rPr>
            <sz val="10"/>
            <color indexed="81"/>
            <rFont val="Lucida Console"/>
            <family val="3"/>
          </rPr>
          <t>01.01.1901</t>
        </r>
      </text>
    </comment>
    <comment ref="Y577" authorId="0" shapeId="0" xr:uid="{16679D8D-E2B5-4FBF-8B18-DBDD0C464526}">
      <text>
        <r>
          <rPr>
            <sz val="10"/>
            <color indexed="81"/>
            <rFont val="Courier New"/>
            <family val="3"/>
          </rPr>
          <t>_x000D_
    DESCRIÇÃO DO CÁLCULO_x000D_
Código    : 13.221_x000D_
Corte     : 959_x000D_
-----------------------------_x000D_
Pendente  : _x000D_
22 / 10_2 : 140_x000D_
22 / 11_2 : 390_x000D_
22 / 12_2 : 25_x000D_
23 / 01_2 : 125_x000D_
23 / 02_2 : 160_x000D_
23 / 03_2 : 614_x000D_
23 / 04_2 : 180_x000D_
23 / 05_2 : 250_x000D_
23 / 06_2 : 150_x000D_
23 / 07_2 : 959 (corte = 1220)_x000D_
23 / 08_2 : 200_x000D_
23 / 09_2 : _x000D_
_x000D_
    TOTAL : ( 3.193 )_x000D_
  DIVISOR : 12_x000D_
    MÉDIA : 266,08_x000D_
-----------------------------_x000D_
   Valores Desconsiderados_x000D_
-----------------------------_x000D_
23 / 07_2 : 261 (1.220)_x000D_
_x000D_
  TOTAL   : ( 261 )</t>
        </r>
      </text>
    </comment>
    <comment ref="AB577" authorId="0" shapeId="0" xr:uid="{46EBEC09-BF7B-4178-9558-7881D347E89B}">
      <text>
        <r>
          <rPr>
            <sz val="10"/>
            <color indexed="81"/>
            <rFont val="Lucida Console"/>
            <family val="3"/>
          </rPr>
          <t>Última movimentação no estoque em 08/2023 quantidade 200.</t>
        </r>
      </text>
    </comment>
    <comment ref="R578" authorId="0" shapeId="0" xr:uid="{C10777A9-2409-4104-A6CA-88E217EF7992}">
      <text>
        <r>
          <rPr>
            <sz val="10"/>
            <color indexed="81"/>
            <rFont val="Lucida Console"/>
            <family val="3"/>
          </rPr>
          <t>01.01.1901</t>
        </r>
      </text>
    </comment>
    <comment ref="Y578" authorId="0" shapeId="0" xr:uid="{CDBF0E25-0329-4A54-A62A-82419A9CD0CC}">
      <text>
        <r>
          <rPr>
            <sz val="10"/>
            <color indexed="81"/>
            <rFont val="Courier New"/>
            <family val="3"/>
          </rPr>
          <t>_x000D_
    DESCRIÇÃO DO CÁLCULO_x000D_
Código    : 13.222_x000D_
Corte     : 37_x000D_
-----------------------------_x000D_
Pendente  : _x000D_
22 / 10_2 : 20_x000D_
22 / 11_2 : _x000D_
22 / 12_2 : 37 (corte = 50)_x000D_
23 / 01_2 : _x000D_
23 / 02_2 : _x000D_
23 / 03_2 : 10_x000D_
23 / 04_2 : 15_x000D_
23 / 05_2 : _x000D_
23 / 06_2 : _x000D_
23 / 07_2 : _x000D_
23 / 08_2 : _x000D_
23 / 09_2 : _x000D_
_x000D_
    TOTAL : ( 82 )_x000D_
  DIVISOR : 12_x000D_
    MÉDIA : 6,83_x000D_
-----------------------------_x000D_
   Valores Desconsiderados_x000D_
-----------------------------_x000D_
22 / 12_2 : 13 (50)_x000D_
_x000D_
  TOTAL   : ( 13 )</t>
        </r>
      </text>
    </comment>
    <comment ref="AB578" authorId="0" shapeId="0" xr:uid="{583DF10A-B851-4920-A426-CCE8CF758222}">
      <text>
        <r>
          <rPr>
            <sz val="10"/>
            <color indexed="81"/>
            <rFont val="Lucida Console"/>
            <family val="3"/>
          </rPr>
          <t>Última movimentação no estoque em 04/2023 quantidade 15.</t>
        </r>
      </text>
    </comment>
    <comment ref="R579" authorId="0" shapeId="0" xr:uid="{78933C09-6DF9-4B5C-922F-824913A4B74C}">
      <text>
        <r>
          <rPr>
            <sz val="10"/>
            <color indexed="81"/>
            <rFont val="Lucida Console"/>
            <family val="3"/>
          </rPr>
          <t>20.04.2004</t>
        </r>
      </text>
    </comment>
    <comment ref="Y579" authorId="0" shapeId="0" xr:uid="{898CDE97-C2E4-4FF0-A7E8-E9141C3450B4}">
      <text>
        <r>
          <rPr>
            <sz val="10"/>
            <color indexed="81"/>
            <rFont val="Courier New"/>
            <family val="3"/>
          </rPr>
          <t>_x000D_
    DESCRIÇÃO DO CÁLCULO_x000D_
Código    : 78.418_x000D_
Corte     : 33_x000D_
-----------------------------_x000D_
Pendente  : _x000D_
22 / 10_2 : _x000D_
22 / 11_2 : 10_x000D_
22 / 12_2 : _x000D_
23 / 01_2 : _x000D_
23 / 02_2 : _x000D_
23 / 03_2 : 33 (corte = 50)_x000D_
23 / 04_2 : _x000D_
23 / 05_2 : _x000D_
23 / 06_2 : _x000D_
23 / 07_2 : _x000D_
23 / 08_2 : _x000D_
23 / 09_2 : _x000D_
_x000D_
    TOTAL : ( 43 )_x000D_
  DIVISOR : 12_x000D_
    MÉDIA : 3,58_x000D_
-----------------------------_x000D_
   Valores Desconsiderados_x000D_
-----------------------------_x000D_
23 / 03_2 : 17 (50)_x000D_
_x000D_
  TOTAL   : ( 17 )</t>
        </r>
      </text>
    </comment>
    <comment ref="AB579" authorId="0" shapeId="0" xr:uid="{8A543F01-AD69-42E6-81FB-37C98E6CC98F}">
      <text>
        <r>
          <rPr>
            <sz val="10"/>
            <color indexed="81"/>
            <rFont val="Lucida Console"/>
            <family val="3"/>
          </rPr>
          <t>Última movimentação no estoque em 03/2023 quantidade 50.</t>
        </r>
      </text>
    </comment>
    <comment ref="R580" authorId="0" shapeId="0" xr:uid="{35744905-9DA2-4500-9458-978B0365032B}">
      <text>
        <r>
          <rPr>
            <sz val="10"/>
            <color indexed="81"/>
            <rFont val="Lucida Console"/>
            <family val="3"/>
          </rPr>
          <t>04.02.2013</t>
        </r>
      </text>
    </comment>
    <comment ref="Y580" authorId="0" shapeId="0" xr:uid="{5C4B9BEA-7531-48C1-8962-D014645F6691}">
      <text>
        <r>
          <rPr>
            <sz val="10"/>
            <color indexed="81"/>
            <rFont val="Courier New"/>
            <family val="3"/>
          </rPr>
          <t>_x000D_
    DESCRIÇÃO DO CÁLCULO_x000D_
Código    : 124.963_x000D_
Corte     : 33_x000D_
-----------------------------_x000D_
Pendente  : _x000D_
22 / 10_2 : 12_x000D_
22 / 11_2 : 6_x000D_
22 / 12_2 : 4_x000D_
23 / 01_2 : 23_x000D_
23 / 02_2 : 6_x000D_
23 / 03_2 : 6_x000D_
23 / 04_2 : 33 (corte = 41)_x000D_
23 / 05_2 : 1_x000D_
23 / 06_2 : _x000D_
23 / 07_2 : 10_x000D_
23 / 08_2 : 10_x000D_
23 / 09_2 : 10_x000D_
_x000D_
    TOTAL : ( 121 )_x000D_
  DIVISOR : 12_x000D_
    MÉDIA : 10,08_x000D_
-----------------------------_x000D_
   Valores Desconsiderados_x000D_
-----------------------------_x000D_
23 / 04_2 : 8 (41)_x000D_
_x000D_
  TOTAL   : ( 8 )</t>
        </r>
      </text>
    </comment>
    <comment ref="AB580" authorId="0" shapeId="0" xr:uid="{2D5675B5-9B58-4C59-88C0-F179B265B595}">
      <text>
        <r>
          <rPr>
            <sz val="10"/>
            <color indexed="81"/>
            <rFont val="Lucida Console"/>
            <family val="3"/>
          </rPr>
          <t>Última movimentação no estoque em 09/2023 quantidade 10.</t>
        </r>
      </text>
    </comment>
    <comment ref="R581" authorId="0" shapeId="0" xr:uid="{F1D5D452-A318-44B1-8340-720940BF882A}">
      <text>
        <r>
          <rPr>
            <sz val="10"/>
            <color indexed="81"/>
            <rFont val="Lucida Console"/>
            <family val="3"/>
          </rPr>
          <t>26.01.2006</t>
        </r>
      </text>
    </comment>
    <comment ref="Y581" authorId="0" shapeId="0" xr:uid="{DD4FEF50-8077-4C05-8B6A-A013DFDF812F}">
      <text>
        <r>
          <rPr>
            <sz val="10"/>
            <color indexed="81"/>
            <rFont val="Courier New"/>
            <family val="3"/>
          </rPr>
          <t>_x000D_
    DESCRIÇÃO DO CÁLCULO_x000D_
Código    : 89.863_x000D_
Corte     : 36_x000D_
-----------------------------_x000D_
Pendente  : _x000D_
22 / 10_2 : 9_x000D_
22 / 11_2 : 6_x000D_
22 / 12_2 : 3_x000D_
23 / 01_2 : 15_x000D_
23 / 02_2 : 5_x000D_
23 / 03_2 : 8_x000D_
23 / 04_2 : 30_x000D_
23 / 05_2 : 20_x000D_
23 / 06_2 : 36 (corte = 40)_x000D_
23 / 07_2 : 10_x000D_
23 / 08_2 : _x000D_
23 / 09_2 : _x000D_
_x000D_
    TOTAL : ( 142 )_x000D_
  DIVISOR : 12_x000D_
    MÉDIA : 11,83_x000D_
-----------------------------_x000D_
   Valores Desconsiderados_x000D_
-----------------------------_x000D_
23 / 06_2 : 4 (40)_x000D_
_x000D_
  TOTAL   : ( 4 )</t>
        </r>
      </text>
    </comment>
    <comment ref="AB581" authorId="0" shapeId="0" xr:uid="{95BBF940-8932-4899-AEDE-6A64B1655637}">
      <text>
        <r>
          <rPr>
            <sz val="10"/>
            <color indexed="81"/>
            <rFont val="Lucida Console"/>
            <family val="3"/>
          </rPr>
          <t>Última movimentação no estoque em 07/2023 quantidade 10.</t>
        </r>
      </text>
    </comment>
    <comment ref="R582" authorId="0" shapeId="0" xr:uid="{D2BC6CE1-E36B-4A29-BF19-E78CFD6D600A}">
      <text>
        <r>
          <rPr>
            <sz val="10"/>
            <color indexed="81"/>
            <rFont val="Lucida Console"/>
            <family val="3"/>
          </rPr>
          <t>26.01.2006</t>
        </r>
      </text>
    </comment>
    <comment ref="Y582" authorId="0" shapeId="0" xr:uid="{A7A403AC-C0A8-4C47-B42B-AB356302F0A9}">
      <text>
        <r>
          <rPr>
            <sz val="10"/>
            <color indexed="81"/>
            <rFont val="Courier New"/>
            <family val="3"/>
          </rPr>
          <t>_x000D_
    DESCRIÇÃO DO CÁLCULO_x000D_
Código    : 89.864_x000D_
Corte     : 24_x000D_
-----------------------------_x000D_
Pendente  : _x000D_
22 / 10_2 : _x000D_
22 / 11_2 : 2_x000D_
22 / 12_2 : 4_x000D_
23 / 01_2 : 1_x000D_
23 / 02_2 : _x000D_
23 / 03_2 : 2_x000D_
23 / 04_2 : 24 (corte = 36)_x000D_
23 / 05_2 : _x000D_
23 / 06_2 : _x000D_
23 / 07_2 : _x000D_
23 / 08_2 : _x000D_
23 / 09_2 : _x000D_
_x000D_
    TOTAL : ( 33 )_x000D_
  DIVISOR : 12_x000D_
    MÉDIA : 2,75_x000D_
-----------------------------_x000D_
   Valores Desconsiderados_x000D_
-----------------------------_x000D_
23 / 04_2 : 12 (36)_x000D_
_x000D_
  TOTAL   : ( 12 )</t>
        </r>
      </text>
    </comment>
    <comment ref="AB582" authorId="0" shapeId="0" xr:uid="{CAA6245C-5683-4F10-BC7D-7F54C6A56E43}">
      <text>
        <r>
          <rPr>
            <sz val="10"/>
            <color indexed="81"/>
            <rFont val="Lucida Console"/>
            <family val="3"/>
          </rPr>
          <t>Última movimentação no estoque em 04/2023 quantidade 36.</t>
        </r>
      </text>
    </comment>
    <comment ref="R583" authorId="0" shapeId="0" xr:uid="{C1D37A98-DABB-4CCA-A912-C89AFFDE773A}">
      <text>
        <r>
          <rPr>
            <sz val="10"/>
            <color indexed="81"/>
            <rFont val="Lucida Console"/>
            <family val="3"/>
          </rPr>
          <t>15.03.2013</t>
        </r>
      </text>
    </comment>
    <comment ref="Y583" authorId="0" shapeId="0" xr:uid="{8EBB6870-9705-485A-9A99-F8669C69E59D}">
      <text>
        <r>
          <rPr>
            <sz val="10"/>
            <color indexed="81"/>
            <rFont val="Courier New"/>
            <family val="3"/>
          </rPr>
          <t>_x000D_
    DESCRIÇÃO DO CÁLCULO_x000D_
Código    : 125.201_x000D_
Corte     : 34_x000D_
-----------------------------_x000D_
Pendente  : _x000D_
22 / 10_2 : 6_x000D_
22 / 11_2 : 3_x000D_
22 / 12_2 : 1_x000D_
23 / 01_2 : 7_x000D_
23 / 02_2 : 4_x000D_
23 / 03_2 : 24_x000D_
23 / 04_2 : 34 (corte = 44)_x000D_
23 / 05_2 : _x000D_
23 / 06_2 : _x000D_
23 / 07_2 : 11_x000D_
23 / 08_2 : _x000D_
23 / 09_2 : _x000D_
_x000D_
    TOTAL : ( 90 )_x000D_
  DIVISOR : 12_x000D_
    MÉDIA : 7,50_x000D_
-----------------------------_x000D_
   Valores Desconsiderados_x000D_
-----------------------------_x000D_
23 / 04_2 : 10 (44)_x000D_
_x000D_
  TOTAL   : ( 10 )</t>
        </r>
      </text>
    </comment>
    <comment ref="AB583" authorId="0" shapeId="0" xr:uid="{906E3CF5-3518-458A-93E6-A26DEEF036B1}">
      <text>
        <r>
          <rPr>
            <sz val="10"/>
            <color indexed="81"/>
            <rFont val="Lucida Console"/>
            <family val="3"/>
          </rPr>
          <t>Última movimentação no estoque em 07/2023 quantidade 11.</t>
        </r>
      </text>
    </comment>
    <comment ref="R584" authorId="0" shapeId="0" xr:uid="{9BBE46C4-542D-40A9-BA5B-A9630B0A8C98}">
      <text>
        <r>
          <rPr>
            <sz val="10"/>
            <color indexed="81"/>
            <rFont val="Lucida Console"/>
            <family val="3"/>
          </rPr>
          <t>01.01.1901</t>
        </r>
      </text>
    </comment>
    <comment ref="Y584" authorId="0" shapeId="0" xr:uid="{D24F51A7-A6CD-4290-AAAD-D83FFF1ACD39}">
      <text>
        <r>
          <rPr>
            <sz val="10"/>
            <color indexed="81"/>
            <rFont val="Courier New"/>
            <family val="3"/>
          </rPr>
          <t>_x000D_
    DESCRIÇÃO DO CÁLCULO_x000D_
Código    : 13.655_x000D_
Corte     : 6.566_x000D_
-----------------------------_x000D_
Pendente  : 7_x000D_
22 / 10_2 : 463_x000D_
22 / 11_2 : 648_x000D_
22 / 12_2 : 1.114_x000D_
23 / 01_2 : 529_x000D_
23 / 02_2 : 775_x000D_
23 / 03_2 : 6.566 (corte = 9807)_x000D_
23 / 04_2 : 788_x000D_
23 / 05_2 : 682_x000D_
23 / 06_2 : 682_x000D_
23 / 07_2 : 837_x000D_
23 / 08_2 : 620_x000D_
23 / 09_2 : 508_x000D_
_x000D_
    TOTAL : ( 14.219 )_x000D_
  DIVISOR : 12_x000D_
    MÉDIA : 1.184,92_x000D_
-----------------------------_x000D_
   Valores Desconsiderados_x000D_
-----------------------------_x000D_
23 / 03_2 : 3.241 (9.807)_x000D_
_x000D_
  TOTAL   : ( 3.241 )</t>
        </r>
      </text>
    </comment>
    <comment ref="AB584" authorId="0" shapeId="0" xr:uid="{70E75498-9D5C-440C-93BA-33B61DCE9CBC}">
      <text>
        <r>
          <rPr>
            <sz val="10"/>
            <color indexed="81"/>
            <rFont val="Lucida Console"/>
            <family val="3"/>
          </rPr>
          <t>Última movimentação no estoque em 09/2023 quantidade 508.</t>
        </r>
      </text>
    </comment>
    <comment ref="R585" authorId="0" shapeId="0" xr:uid="{98A2CFD0-66C7-4FAA-9675-FB5EE6B4A26A}">
      <text>
        <r>
          <rPr>
            <sz val="10"/>
            <color indexed="81"/>
            <rFont val="Lucida Console"/>
            <family val="3"/>
          </rPr>
          <t>08.08.2016</t>
        </r>
      </text>
    </comment>
    <comment ref="Y585" authorId="0" shapeId="0" xr:uid="{051EC6C7-3377-4342-AFBA-0E9ECA0E2833}">
      <text>
        <r>
          <rPr>
            <sz val="10"/>
            <color indexed="81"/>
            <rFont val="Courier New"/>
            <family val="3"/>
          </rPr>
          <t>_x000D_
    DESCRIÇÃO DO CÁLCULO_x000D_
Código    : 131.935_x000D_
Corte     : 4.195_x000D_
-----------------------------_x000D_
Pendente  : 70_x000D_
22 / 10_2 : 77_x000D_
22 / 11_2 : _x000D_
22 / 12_2 : _x000D_
23 / 01_2 : 124_x000D_
23 / 02_2 : 331_x000D_
23 / 03_2 : 4.195 (corte = 6500)_x000D_
23 / 04_2 : 91_x000D_
23 / 05_2 : 109_x000D_
23 / 06_2 : 102_x000D_
23 / 07_2 : 101_x000D_
23 / 08_2 : 114_x000D_
23 / 09_2 : 77_x000D_
_x000D_
    TOTAL : ( 5.391 )_x000D_
  DIVISOR : 12_x000D_
    MÉDIA : 449,25_x000D_
-----------------------------_x000D_
   Valores Desconsiderados_x000D_
-----------------------------_x000D_
23 / 03_2 : 2.305 (6.500)_x000D_
_x000D_
  TOTAL   : ( 2.305 )</t>
        </r>
      </text>
    </comment>
    <comment ref="AB585" authorId="0" shapeId="0" xr:uid="{925B976A-F529-4837-AB71-2C5B32A7BC31}">
      <text>
        <r>
          <rPr>
            <sz val="10"/>
            <color indexed="81"/>
            <rFont val="Lucida Console"/>
            <family val="3"/>
          </rPr>
          <t>Última movimentação no estoque em 09/2023 quantidade 77.</t>
        </r>
      </text>
    </comment>
    <comment ref="R586" authorId="0" shapeId="0" xr:uid="{1AC8916A-57A1-495B-90B4-C59149808FB7}">
      <text>
        <r>
          <rPr>
            <sz val="10"/>
            <color indexed="81"/>
            <rFont val="Lucida Console"/>
            <family val="3"/>
          </rPr>
          <t>01.01.1901</t>
        </r>
      </text>
    </comment>
    <comment ref="Y586" authorId="0" shapeId="0" xr:uid="{9C55406E-B8FE-4223-9ADD-32EA79B24582}">
      <text>
        <r>
          <rPr>
            <sz val="10"/>
            <color indexed="81"/>
            <rFont val="Courier New"/>
            <family val="3"/>
          </rPr>
          <t>_x000D_
    DESCRIÇÃO DO CÁLCULO_x000D_
Código    : 48.901_x000D_
Corte     : 14_x000D_
-----------------------------_x000D_
Pendente  : 2_x000D_
22 / 10_2 : 4_x000D_
22 / 11_2 : 2_x000D_
22 / 12_2 : _x000D_
23 / 01_2 : 4_x000D_
23 / 02_2 : 14 (corte = 16)_x000D_
23 / 03_2 : 4_x000D_
23 / 04_2 : 2_x000D_
23 / 05_2 : 1_x000D_
23 / 06_2 : 12_x000D_
23 / 07_2 : 2_x000D_
23 / 08_2 : 8_x000D_
23 / 09_2 : 2_x000D_
_x000D_
    TOTAL : ( 57 )_x000D_
  DIVISOR : 12_x000D_
    MÉDIA : 4,75_x000D_
-----------------------------_x000D_
   Valores Desconsiderados_x000D_
-----------------------------_x000D_
23 / 02_2 : 2 (16)_x000D_
_x000D_
  TOTAL   : ( 2 )</t>
        </r>
      </text>
    </comment>
    <comment ref="AB586" authorId="0" shapeId="0" xr:uid="{D7B2C3BC-854A-4B43-884C-70BA69ACD584}">
      <text>
        <r>
          <rPr>
            <sz val="10"/>
            <color indexed="81"/>
            <rFont val="Lucida Console"/>
            <family val="3"/>
          </rPr>
          <t>Última movimentação no estoque em 09/2023 quantidade 2.</t>
        </r>
      </text>
    </comment>
    <comment ref="R587" authorId="0" shapeId="0" xr:uid="{4EC8E9FC-A9E4-4DB7-AFAB-62EE9957B922}">
      <text>
        <r>
          <rPr>
            <sz val="10"/>
            <color indexed="81"/>
            <rFont val="Lucida Console"/>
            <family val="3"/>
          </rPr>
          <t>02.04.2004</t>
        </r>
      </text>
    </comment>
    <comment ref="Y587" authorId="0" shapeId="0" xr:uid="{435D93CD-793B-4130-B23D-FB5D95691FFC}">
      <text>
        <r>
          <rPr>
            <sz val="10"/>
            <color indexed="81"/>
            <rFont val="Courier New"/>
            <family val="3"/>
          </rPr>
          <t>_x000D_
    DESCRIÇÃO DO CÁLCULO_x000D_
Código    : 78.181_x000D_
Corte     : 45_x000D_
-----------------------------_x000D_
Pendente  : 65_x000D_
22 / 10_2 : 19_x000D_
22 / 11_2 : 10_x000D_
22 / 12_2 : 6_x000D_
23 / 01_2 : _x000D_
23 / 02_2 : _x000D_
23 / 03_2 : _x000D_
23 / 04_2 : _x000D_
23 / 05_2 : _x000D_
23 / 06_2 : _x000D_
23 / 07_2 : _x000D_
23 / 08_2 : 10_x000D_
23 / 09_2 : 2_x000D_
_x000D_
    TOTAL : ( 112 )_x000D_
  DIVISOR : 12_x000D_
    MÉDIA : 9,33</t>
        </r>
      </text>
    </comment>
    <comment ref="AB587" authorId="0" shapeId="0" xr:uid="{7BC24166-C0CC-4E50-8511-C28DEF418AB4}">
      <text>
        <r>
          <rPr>
            <sz val="10"/>
            <color indexed="81"/>
            <rFont val="Lucida Console"/>
            <family val="3"/>
          </rPr>
          <t>Última movimentação no estoque em 09/2023 quantidade 2.</t>
        </r>
      </text>
    </comment>
    <comment ref="R588" authorId="0" shapeId="0" xr:uid="{3014A2B0-998E-4C27-A8CC-1D4C39F4D133}">
      <text>
        <r>
          <rPr>
            <sz val="10"/>
            <color indexed="81"/>
            <rFont val="Lucida Console"/>
            <family val="3"/>
          </rPr>
          <t>12.09.2019</t>
        </r>
      </text>
    </comment>
    <comment ref="Y588" authorId="0" shapeId="0" xr:uid="{604B7D7B-7ECF-4125-88E2-992AC85986CD}">
      <text>
        <r>
          <rPr>
            <sz val="10"/>
            <color indexed="81"/>
            <rFont val="Courier New"/>
            <family val="3"/>
          </rPr>
          <t>_x000D_
    DESCRIÇÃO DO CÁLCULO_x000D_
Código    : 138.465_x000D_
Corte     : 756_x000D_
-----------------------------_x000D_
Pendente  : 253_x000D_
22 / 10_2 : 366_x000D_
22 / 11_2 : 657_x000D_
22 / 12_2 : 208_x000D_
23 / 01_2 : 42_x000D_
23 / 02_2 : _x000D_
23 / 03_2 : 649_x000D_
23 / 04_2 : 424_x000D_
23 / 05_2 : 529_x000D_
23 / 06_2 : 303_x000D_
23 / 07_2 : 276_x000D_
23 / 08_2 : 311_x000D_
23 / 09_2 : 237_x000D_
_x000D_
    TOTAL : ( 4.255 )_x000D_
  DIVISOR : 12_x000D_
    MÉDIA : 354,58</t>
        </r>
      </text>
    </comment>
    <comment ref="AB588" authorId="0" shapeId="0" xr:uid="{D0236D0E-51D1-4BE0-BB94-E9FB109F7081}">
      <text>
        <r>
          <rPr>
            <sz val="10"/>
            <color indexed="81"/>
            <rFont val="Lucida Console"/>
            <family val="3"/>
          </rPr>
          <t>Última movimentação no estoque em 09/2023 quantidade 237.</t>
        </r>
      </text>
    </comment>
    <comment ref="R589" authorId="0" shapeId="0" xr:uid="{56CB344E-38F8-4135-B413-D39C71A335F0}">
      <text>
        <r>
          <rPr>
            <sz val="10"/>
            <color indexed="81"/>
            <rFont val="Lucida Console"/>
            <family val="3"/>
          </rPr>
          <t>08.07.2020</t>
        </r>
      </text>
    </comment>
    <comment ref="Y589" authorId="0" shapeId="0" xr:uid="{32D5D228-2A13-4EED-B1A7-0C7190C265E5}">
      <text>
        <r>
          <rPr>
            <sz val="10"/>
            <color indexed="81"/>
            <rFont val="Courier New"/>
            <family val="3"/>
          </rPr>
          <t>_x000D_
    DESCRIÇÃO DO CÁLCULO_x000D_
Código    : 139.767_x000D_
Corte     : 328_x000D_
-----------------------------_x000D_
Pendente  : 8_x000D_
22 / 10_2 : 223_x000D_
22 / 11_2 : 192_x000D_
22 / 12_2 : 145_x000D_
23 / 01_2 : 217_x000D_
23 / 02_2 : 154_x000D_
23 / 03_2 : 295_x000D_
23 / 04_2 : 161_x000D_
23 / 05_2 : 242_x000D_
23 / 06_2 : 200_x000D_
23 / 07_2 : 134_x000D_
23 / 08_2 : 169_x000D_
23 / 09_2 : 178_x000D_
_x000D_
    TOTAL : ( 2.318 )_x000D_
  DIVISOR : 12_x000D_
    MÉDIA : 193,17</t>
        </r>
      </text>
    </comment>
    <comment ref="AB589" authorId="0" shapeId="0" xr:uid="{1217556E-6367-4ED8-8D02-8B1DEE37ECB2}">
      <text>
        <r>
          <rPr>
            <sz val="10"/>
            <color indexed="81"/>
            <rFont val="Lucida Console"/>
            <family val="3"/>
          </rPr>
          <t>Última movimentação no estoque em 09/2023 quantidade 178.</t>
        </r>
      </text>
    </comment>
    <comment ref="R590" authorId="0" shapeId="0" xr:uid="{790D3AC4-FEF8-4B10-9B95-C1D42F8E2463}">
      <text>
        <r>
          <rPr>
            <sz val="10"/>
            <color indexed="81"/>
            <rFont val="Lucida Console"/>
            <family val="3"/>
          </rPr>
          <t>13.03.2018</t>
        </r>
      </text>
    </comment>
    <comment ref="Y590" authorId="0" shapeId="0" xr:uid="{E504E1F4-E333-4391-9AD1-BB6D8AEECC1F}">
      <text>
        <r>
          <rPr>
            <sz val="10"/>
            <color indexed="81"/>
            <rFont val="Courier New"/>
            <family val="3"/>
          </rPr>
          <t>_x000D_
    DESCRIÇÃO DO CÁLCULO_x000D_
Código    : 134.545_x000D_
Corte     : 20_x000D_
-----------------------------_x000D_
Pendente  : _x000D_
22 / 10_2 : _x000D_
22 / 11_2 : 20 (corte = 22)_x000D_
22 / 12_2 : _x000D_
23 / 01_2 : _x000D_
23 / 02_2 : _x000D_
23 / 03_2 : _x000D_
23 / 04_2 : _x000D_
23 / 05_2 : _x000D_
23 / 06_2 : _x000D_
23 / 07_2 : 20 (corte = 21)_x000D_
23 / 08_2 : _x000D_
23 / 09_2 : _x000D_
_x000D_
    TOTAL : ( 40 )_x000D_
  DIVISOR : 12_x000D_
    MÉDIA : 3,33_x000D_
-----------------------------_x000D_
   Valores Desconsiderados_x000D_
-----------------------------_x000D_
22 / 11_2 : 2 (22)_x000D_
23 / 07_2 : 1 (21)_x000D_
_x000D_
  TOTAL   : ( 3 )</t>
        </r>
      </text>
    </comment>
    <comment ref="AB590" authorId="0" shapeId="0" xr:uid="{A2F7C980-019D-4140-BCC6-5004CF4922E4}">
      <text>
        <r>
          <rPr>
            <sz val="10"/>
            <color indexed="81"/>
            <rFont val="Lucida Console"/>
            <family val="3"/>
          </rPr>
          <t>Última movimentação no estoque em 07/2023 quantidade 21.</t>
        </r>
      </text>
    </comment>
    <comment ref="R591" authorId="0" shapeId="0" xr:uid="{90F7299B-7926-4A3D-9515-7B9E29280631}">
      <text>
        <r>
          <rPr>
            <sz val="10"/>
            <color indexed="81"/>
            <rFont val="Lucida Console"/>
            <family val="3"/>
          </rPr>
          <t>13.03.2018</t>
        </r>
      </text>
    </comment>
    <comment ref="Y591" authorId="0" shapeId="0" xr:uid="{30873345-63B4-4DAC-9B76-FBD5FCBB7841}">
      <text>
        <r>
          <rPr>
            <sz val="10"/>
            <color indexed="81"/>
            <rFont val="Courier New"/>
            <family val="3"/>
          </rPr>
          <t>_x000D_
    DESCRIÇÃO DO CÁLCULO_x000D_
Código    : 134.546_x000D_
Corte     : 268_x000D_
-----------------------------_x000D_
Pendente  : _x000D_
22 / 10_2 : 2_x000D_
22 / 11_2 : 4_x000D_
22 / 12_2 : 211_x000D_
23 / 01_2 : 146_x000D_
23 / 02_2 : 12_x000D_
23 / 03_2 : _x000D_
23 / 04_2 : _x000D_
23 / 05_2 : _x000D_
23 / 06_2 : _x000D_
23 / 07_2 : 12_x000D_
23 / 08_2 : 92_x000D_
23 / 09_2 : 268 (corte = 300)_x000D_
_x000D_
    TOTAL : ( 747 )_x000D_
  DIVISOR : 12_x000D_
    MÉDIA : 62,25_x000D_
-----------------------------_x000D_
   Valores Desconsiderados_x000D_
-----------------------------_x000D_
23 / 09_2 : 32 (300)_x000D_
_x000D_
  TOTAL   : ( 32 )</t>
        </r>
      </text>
    </comment>
    <comment ref="AB591" authorId="0" shapeId="0" xr:uid="{7F1932DC-5243-4280-811E-C89AB0899839}">
      <text>
        <r>
          <rPr>
            <sz val="10"/>
            <color indexed="81"/>
            <rFont val="Lucida Console"/>
            <family val="3"/>
          </rPr>
          <t>Última movimentação no estoque em 09/2023 quantidade 300.</t>
        </r>
      </text>
    </comment>
    <comment ref="R592" authorId="0" shapeId="0" xr:uid="{720B45A5-BACE-4173-A98C-000D9031A2D3}">
      <text>
        <r>
          <rPr>
            <sz val="10"/>
            <color indexed="81"/>
            <rFont val="Lucida Console"/>
            <family val="3"/>
          </rPr>
          <t>13.03.2018</t>
        </r>
      </text>
    </comment>
    <comment ref="Y592" authorId="0" shapeId="0" xr:uid="{4EFDC4DD-D440-438C-9FF4-37CF2B012991}">
      <text>
        <r>
          <rPr>
            <sz val="10"/>
            <color indexed="81"/>
            <rFont val="Courier New"/>
            <family val="3"/>
          </rPr>
          <t>_x000D_
    DESCRIÇÃO DO CÁLCULO_x000D_
Código    : 134.547_x000D_
Corte     : 249_x000D_
-----------------------------_x000D_
Pendente  : _x000D_
22 / 10_2 : 73_x000D_
22 / 11_2 : 6_x000D_
22 / 12_2 : 124_x000D_
23 / 01_2 : 14_x000D_
23 / 02_2 : 20_x000D_
23 / 03_2 : 2_x000D_
23 / 04_2 : 1_x000D_
23 / 05_2 : _x000D_
23 / 06_2 : 13_x000D_
23 / 07_2 : 52_x000D_
23 / 08_2 : 249 (corte = 285)_x000D_
23 / 09_2 : 198_x000D_
_x000D_
    TOTAL : ( 752 )_x000D_
  DIVISOR : 12_x000D_
    MÉDIA : 62,67_x000D_
-----------------------------_x000D_
   Valores Desconsiderados_x000D_
-----------------------------_x000D_
23 / 08_2 : 36 (285)_x000D_
_x000D_
  TOTAL   : ( 36 )</t>
        </r>
      </text>
    </comment>
    <comment ref="AB592" authorId="0" shapeId="0" xr:uid="{D6883B26-A24B-403E-A770-C88E2F2188FC}">
      <text>
        <r>
          <rPr>
            <sz val="10"/>
            <color indexed="81"/>
            <rFont val="Lucida Console"/>
            <family val="3"/>
          </rPr>
          <t>Última movimentação no estoque em 09/2023 quantidade 198.</t>
        </r>
      </text>
    </comment>
    <comment ref="R593" authorId="0" shapeId="0" xr:uid="{31D116EE-08AB-4F8B-A146-7C8D241AFF78}">
      <text>
        <r>
          <rPr>
            <sz val="10"/>
            <color indexed="81"/>
            <rFont val="Lucida Console"/>
            <family val="3"/>
          </rPr>
          <t>13.03.2018</t>
        </r>
      </text>
    </comment>
    <comment ref="Y593" authorId="0" shapeId="0" xr:uid="{9DFA9A3F-90C5-4E32-9C66-15887392976D}">
      <text>
        <r>
          <rPr>
            <sz val="10"/>
            <color indexed="81"/>
            <rFont val="Courier New"/>
            <family val="3"/>
          </rPr>
          <t>_x000D_
    DESCRIÇÃO DO CÁLCULO_x000D_
Código    : 134.548_x000D_
Corte     : 494_x000D_
-----------------------------_x000D_
Pendente  : _x000D_
22 / 10_2 : 97_x000D_
22 / 11_2 : 18_x000D_
22 / 12_2 : 290_x000D_
23 / 01_2 : 494 (corte = 576)_x000D_
23 / 02_2 : 3_x000D_
23 / 03_2 : 10_x000D_
23 / 04_2 : 1_x000D_
23 / 05_2 : _x000D_
23 / 06_2 : 5_x000D_
23 / 07_2 : 22_x000D_
23 / 08_2 : 361_x000D_
23 / 09_2 : 17_x000D_
_x000D_
    TOTAL : ( 1.318 )_x000D_
  DIVISOR : 12_x000D_
    MÉDIA : 109,83_x000D_
-----------------------------_x000D_
   Valores Desconsiderados_x000D_
-----------------------------_x000D_
23 / 01_2 : 82 (576)_x000D_
_x000D_
  TOTAL   : ( 82 )</t>
        </r>
      </text>
    </comment>
    <comment ref="AB593" authorId="0" shapeId="0" xr:uid="{455E40A2-60AF-4DAF-8498-A3FAAED43E92}">
      <text>
        <r>
          <rPr>
            <sz val="10"/>
            <color indexed="81"/>
            <rFont val="Lucida Console"/>
            <family val="3"/>
          </rPr>
          <t>Última movimentação no estoque em 09/2023 quantidade 17.</t>
        </r>
      </text>
    </comment>
    <comment ref="R594" authorId="0" shapeId="0" xr:uid="{1D28D945-C813-4076-8FB3-93A9F8215B29}">
      <text>
        <r>
          <rPr>
            <sz val="10"/>
            <color indexed="81"/>
            <rFont val="Lucida Console"/>
            <family val="3"/>
          </rPr>
          <t>13.03.2018</t>
        </r>
      </text>
    </comment>
    <comment ref="Y594" authorId="0" shapeId="0" xr:uid="{28E7E253-57E9-4AB4-AA66-EEDD497B1BDF}">
      <text>
        <r>
          <rPr>
            <sz val="10"/>
            <color indexed="81"/>
            <rFont val="Courier New"/>
            <family val="3"/>
          </rPr>
          <t>_x000D_
    DESCRIÇÃO DO CÁLCULO_x000D_
Código    : 134.549_x000D_
Corte     : 14_x000D_
-----------------------------_x000D_
Pendente  : _x000D_
22 / 10_2 : 3_x000D_
22 / 11_2 : _x000D_
22 / 12_2 : _x000D_
23 / 01_2 : 6_x000D_
23 / 02_2 : _x000D_
23 / 03_2 : _x000D_
23 / 04_2 : _x000D_
23 / 05_2 : _x000D_
23 / 06_2 : 3_x000D_
23 / 07_2 : 14 (corte = 20)_x000D_
23 / 08_2 : _x000D_
23 / 09_2 : _x000D_
_x000D_
    TOTAL : ( 26 )_x000D_
  DIVISOR : 12_x000D_
    MÉDIA : 2,17_x000D_
-----------------------------_x000D_
   Valores Desconsiderados_x000D_
-----------------------------_x000D_
23 / 07_2 : 6 (20)_x000D_
_x000D_
  TOTAL   : ( 6 )</t>
        </r>
      </text>
    </comment>
    <comment ref="AB594" authorId="0" shapeId="0" xr:uid="{4025215C-46E8-4B07-AE9C-26DA84DD82D8}">
      <text>
        <r>
          <rPr>
            <sz val="10"/>
            <color indexed="81"/>
            <rFont val="Lucida Console"/>
            <family val="3"/>
          </rPr>
          <t>Última movimentação no estoque em 07/2023 quantidade 20.</t>
        </r>
      </text>
    </comment>
    <comment ref="R595" authorId="0" shapeId="0" xr:uid="{7B492A81-0ECC-4B27-9A7F-5E984F145560}">
      <text>
        <r>
          <rPr>
            <sz val="10"/>
            <color indexed="81"/>
            <rFont val="Lucida Console"/>
            <family val="3"/>
          </rPr>
          <t>16.08.2005</t>
        </r>
      </text>
    </comment>
    <comment ref="Y595" authorId="0" shapeId="0" xr:uid="{05606EDA-2F0A-4EBD-800E-D2BA8950DBFB}">
      <text>
        <r>
          <rPr>
            <sz val="10"/>
            <color indexed="81"/>
            <rFont val="Courier New"/>
            <family val="3"/>
          </rPr>
          <t>_x000D_
    DESCRIÇÃO DO CÁLCULO_x000D_
Código    : 87.157_x000D_
Corte     : 10_x000D_
-----------------------------_x000D_
Pendente  : _x000D_
22 / 10_2 : _x000D_
22 / 11_2 : _x000D_
22 / 12_2 : _x000D_
23 / 01_2 : 6_x000D_
23 / 02_2 : 8_x000D_
23 / 03_2 : _x000D_
23 / 04_2 : _x000D_
23 / 05_2 : _x000D_
23 / 06_2 : _x000D_
23 / 07_2 : 10 (corte = 12)_x000D_
23 / 08_2 : _x000D_
23 / 09_2 : _x000D_
_x000D_
    TOTAL : ( 24 )_x000D_
  DIVISOR : 12_x000D_
    MÉDIA : 2,00_x000D_
-----------------------------_x000D_
   Valores Desconsiderados_x000D_
-----------------------------_x000D_
23 / 07_2 : 2 (12)_x000D_
_x000D_
  TOTAL   : ( 2 )</t>
        </r>
      </text>
    </comment>
    <comment ref="AB595" authorId="0" shapeId="0" xr:uid="{380B1F8A-B155-4677-892C-98784AFAD9CA}">
      <text>
        <r>
          <rPr>
            <sz val="10"/>
            <color indexed="81"/>
            <rFont val="Lucida Console"/>
            <family val="3"/>
          </rPr>
          <t>Última movimentação no estoque em 07/2023 quantidade 12.</t>
        </r>
      </text>
    </comment>
    <comment ref="R596" authorId="0" shapeId="0" xr:uid="{55E74B1C-4466-4E4E-B536-CF56936BB904}">
      <text>
        <r>
          <rPr>
            <sz val="10"/>
            <color indexed="81"/>
            <rFont val="Lucida Console"/>
            <family val="3"/>
          </rPr>
          <t>18.11.2013</t>
        </r>
      </text>
    </comment>
    <comment ref="Y596" authorId="0" shapeId="0" xr:uid="{572CFEAB-F555-4578-8D7D-46C45B6704F5}">
      <text>
        <r>
          <rPr>
            <sz val="10"/>
            <color indexed="81"/>
            <rFont val="Courier New"/>
            <family val="3"/>
          </rPr>
          <t>_x000D_
    DESCRIÇÃO DO CÁLCULO_x000D_
Código    : 126.837_x000D_
Corte     : 300_x000D_
-----------------------------_x000D_
Pendente  : _x000D_
22 / 10_2 : 12_x000D_
22 / 11_2 : _x000D_
22 / 12_2 : _x000D_
23 / 01_2 : 200_x000D_
23 / 02_2 : _x000D_
23 / 03_2 : 50_x000D_
23 / 04_2 : 300 (corte = 400)_x000D_
23 / 05_2 : _x000D_
23 / 06_2 : _x000D_
23 / 07_2 : _x000D_
23 / 08_2 : _x000D_
23 / 09_2 : 4_x000D_
_x000D_
    TOTAL : ( 566 )_x000D_
  DIVISOR : 12_x000D_
    MÉDIA : 47,17_x000D_
-----------------------------_x000D_
   Valores Desconsiderados_x000D_
-----------------------------_x000D_
23 / 04_2 : 100 (400)_x000D_
_x000D_
  TOTAL   : ( 100 )</t>
        </r>
      </text>
    </comment>
    <comment ref="AB596" authorId="0" shapeId="0" xr:uid="{25234D05-B14B-4FDD-BD64-F0A999946E07}">
      <text>
        <r>
          <rPr>
            <sz val="10"/>
            <color indexed="81"/>
            <rFont val="Lucida Console"/>
            <family val="3"/>
          </rPr>
          <t>Última movimentação no estoque em 09/2023 quantidade 4.</t>
        </r>
      </text>
    </comment>
    <comment ref="R597" authorId="0" shapeId="0" xr:uid="{99FF0771-6F79-4CB3-8F90-BDBBE8193362}">
      <text>
        <r>
          <rPr>
            <sz val="10"/>
            <color indexed="81"/>
            <rFont val="Lucida Console"/>
            <family val="3"/>
          </rPr>
          <t>07.02.2018</t>
        </r>
      </text>
    </comment>
    <comment ref="Y597" authorId="0" shapeId="0" xr:uid="{2A1158E9-EB9F-429B-BB72-E5CEFFEC50A9}">
      <text>
        <r>
          <rPr>
            <sz val="10"/>
            <color indexed="81"/>
            <rFont val="Courier New"/>
            <family val="3"/>
          </rPr>
          <t>_x000D_
    DESCRIÇÃO DO CÁLCULO_x000D_
Código    : 134.247_x000D_
Corte     : 87_x000D_
-----------------------------_x000D_
Pendente  : 36_x000D_
22 / 10_2 : 29_x000D_
22 / 11_2 : 18_x000D_
22 / 12_2 : 26_x000D_
23 / 01_2 : 9_x000D_
23 / 02_2 : 49_x000D_
23 / 03_2 : 53_x000D_
23 / 04_2 : 47_x000D_
23 / 05_2 : 87 (corte = 91)_x000D_
23 / 06_2 : 42_x000D_
23 / 07_2 : 21_x000D_
23 / 08_2 : 56_x000D_
23 / 09_2 : 1_x000D_
_x000D_
    TOTAL : ( 474 )_x000D_
  DIVISOR : 12_x000D_
    MÉDIA : 39,50_x000D_
-----------------------------_x000D_
   Valores Desconsiderados_x000D_
-----------------------------_x000D_
23 / 05_2 : 4 (91)_x000D_
_x000D_
  TOTAL   : ( 4 )</t>
        </r>
      </text>
    </comment>
    <comment ref="AB597" authorId="0" shapeId="0" xr:uid="{72586863-B11D-4F91-A376-A265C9E0C3DF}">
      <text>
        <r>
          <rPr>
            <sz val="10"/>
            <color indexed="81"/>
            <rFont val="Lucida Console"/>
            <family val="3"/>
          </rPr>
          <t>Última movimentação no estoque em 09/2023 quantidade 1.</t>
        </r>
      </text>
    </comment>
    <comment ref="R598" authorId="0" shapeId="0" xr:uid="{772B82E1-381F-40E4-B00F-EE3A1072FC21}">
      <text>
        <r>
          <rPr>
            <sz val="10"/>
            <color indexed="81"/>
            <rFont val="Lucida Console"/>
            <family val="3"/>
          </rPr>
          <t>05.08.2010</t>
        </r>
      </text>
    </comment>
    <comment ref="Y598" authorId="0" shapeId="0" xr:uid="{B76E46D1-F502-4910-B22A-3ED85899DB71}">
      <text>
        <r>
          <rPr>
            <sz val="10"/>
            <color indexed="81"/>
            <rFont val="Courier New"/>
            <family val="3"/>
          </rPr>
          <t>_x000D_
    DESCRIÇÃO DO CÁLCULO_x000D_
Código    : 116.754_x000D_
Corte     : 53_x000D_
-----------------------------_x000D_
Pendente  : _x000D_
22 / 10_2 : _x000D_
22 / 11_2 : _x000D_
22 / 12_2 : 53 (corte = 81)_x000D_
23 / 01_2 : _x000D_
23 / 02_2 : _x000D_
23 / 03_2 : _x000D_
23 / 04_2 : _x000D_
23 / 05_2 : _x000D_
23 / 06_2 : _x000D_
23 / 07_2 : _x000D_
23 / 08_2 : _x000D_
23 / 09_2 : _x000D_
_x000D_
    TOTAL : ( 53 )_x000D_
  DIVISOR : 12_x000D_
    MÉDIA : 4,42_x000D_
-----------------------------_x000D_
   Valores Desconsiderados_x000D_
-----------------------------_x000D_
22 / 12_2 : 28 (81)_x000D_
_x000D_
  TOTAL   : ( 28 )</t>
        </r>
      </text>
    </comment>
    <comment ref="AB598" authorId="0" shapeId="0" xr:uid="{A4E5907E-775E-4668-A666-27F375B51450}">
      <text>
        <r>
          <rPr>
            <sz val="10"/>
            <color indexed="81"/>
            <rFont val="Lucida Console"/>
            <family val="3"/>
          </rPr>
          <t>Última movimentação no estoque em 12/2022 quantidade 81.</t>
        </r>
      </text>
    </comment>
    <comment ref="R599" authorId="0" shapeId="0" xr:uid="{C9E86FA1-1E21-4EE2-9EBE-130D2BE8CA69}">
      <text>
        <r>
          <rPr>
            <sz val="10"/>
            <color indexed="81"/>
            <rFont val="Lucida Console"/>
            <family val="3"/>
          </rPr>
          <t>11.04.2007</t>
        </r>
      </text>
    </comment>
    <comment ref="Y599" authorId="0" shapeId="0" xr:uid="{2339381C-E981-425C-B9CE-39395A60DF42}">
      <text>
        <r>
          <rPr>
            <sz val="10"/>
            <color indexed="81"/>
            <rFont val="Courier New"/>
            <family val="3"/>
          </rPr>
          <t>_x000D_
    DESCRIÇÃO DO CÁLCULO_x000D_
Código    : 98.703_x000D_
Corte     : 216_x000D_
-----------------------------_x000D_
Pendente  : _x000D_
22 / 10_2 : 16_x000D_
22 / 11_2 : 41_x000D_
22 / 12_2 : 46_x000D_
23 / 01_2 : 71_x000D_
23 / 02_2 : 5_x000D_
23 / 03_2 : 82_x000D_
23 / 04_2 : 65_x000D_
23 / 05_2 : 216 (corte = 267)_x000D_
23 / 06_2 : _x000D_
23 / 07_2 : 81_x000D_
23 / 08_2 : 74_x000D_
23 / 09_2 : 131_x000D_
_x000D_
    TOTAL : ( 828 )_x000D_
  DIVISOR : 12_x000D_
    MÉDIA : 69,00_x000D_
-----------------------------_x000D_
   Valores Desconsiderados_x000D_
-----------------------------_x000D_
23 / 05_2 : 51 (267)_x000D_
_x000D_
  TOTAL   : ( 51 )</t>
        </r>
      </text>
    </comment>
    <comment ref="AB599" authorId="0" shapeId="0" xr:uid="{9379DC3B-C035-467B-8737-F882D0A379E4}">
      <text>
        <r>
          <rPr>
            <sz val="10"/>
            <color indexed="81"/>
            <rFont val="Lucida Console"/>
            <family val="3"/>
          </rPr>
          <t>Última movimentação no estoque em 09/2023 quantidade 131.</t>
        </r>
      </text>
    </comment>
    <comment ref="R600" authorId="0" shapeId="0" xr:uid="{00B7DF5F-AA35-41FC-9F74-6E936CDCF50A}">
      <text>
        <r>
          <rPr>
            <sz val="10"/>
            <color indexed="81"/>
            <rFont val="Lucida Console"/>
            <family val="3"/>
          </rPr>
          <t>24.05.2012</t>
        </r>
      </text>
    </comment>
    <comment ref="Y600" authorId="0" shapeId="0" xr:uid="{162A1C7B-CD0C-49ED-A75F-A14F8BED0C22}">
      <text>
        <r>
          <rPr>
            <sz val="10"/>
            <color indexed="81"/>
            <rFont val="Courier New"/>
            <family val="3"/>
          </rPr>
          <t>_x000D_
    DESCRIÇÃO DO CÁLCULO_x000D_
Código    : 123.133_x000D_
Corte     : 5_x000D_
-----------------------------_x000D_
Pendente  : _x000D_
22 / 10_2 : _x000D_
22 / 11_2 : _x000D_
22 / 12_2 : _x000D_
23 / 01_2 : 5 (corte = 8)_x000D_
23 / 02_2 : _x000D_
23 / 03_2 : _x000D_
23 / 04_2 : _x000D_
23 / 05_2 : _x000D_
23 / 06_2 : _x000D_
23 / 07_2 : _x000D_
23 / 08_2 : _x000D_
23 / 09_2 : _x000D_
_x000D_
    TOTAL : ( 5 )_x000D_
  DIVISOR : 12_x000D_
    MÉDIA : ,42_x000D_
-----------------------------_x000D_
   Valores Desconsiderados_x000D_
-----------------------------_x000D_
23 / 01_2 : 3 (8)_x000D_
_x000D_
  TOTAL   : ( 3 )</t>
        </r>
      </text>
    </comment>
    <comment ref="AB600" authorId="0" shapeId="0" xr:uid="{B12636EE-0207-466E-82BA-35E6ABD24654}">
      <text>
        <r>
          <rPr>
            <sz val="10"/>
            <color indexed="81"/>
            <rFont val="Lucida Console"/>
            <family val="3"/>
          </rPr>
          <t>Última movimentação no estoque em 01/2023 quantidade 8.</t>
        </r>
      </text>
    </comment>
    <comment ref="R601" authorId="0" shapeId="0" xr:uid="{0E858C35-EB92-4B7C-B938-8B440BF8DCE0}">
      <text>
        <r>
          <rPr>
            <sz val="10"/>
            <color indexed="81"/>
            <rFont val="Lucida Console"/>
            <family val="3"/>
          </rPr>
          <t>05.08.2010</t>
        </r>
      </text>
    </comment>
    <comment ref="Y601" authorId="0" shapeId="0" xr:uid="{EDC95159-E3D5-4FD2-8F0B-7A0A95E55746}">
      <text>
        <r>
          <rPr>
            <sz val="10"/>
            <color indexed="81"/>
            <rFont val="Courier New"/>
            <family val="3"/>
          </rPr>
          <t>_x000D_
    DESCRIÇÃO DO CÁLCULO_x000D_
Código    : 116.751_x000D_
Corte     : 12_x000D_
-----------------------------_x000D_
Pendente  : _x000D_
22 / 10_2 : _x000D_
22 / 11_2 : _x000D_
22 / 12_2 : 12 (corte = 19)_x000D_
23 / 01_2 : _x000D_
23 / 02_2 : _x000D_
23 / 03_2 : _x000D_
23 / 04_2 : _x000D_
23 / 05_2 : _x000D_
23 / 06_2 : _x000D_
23 / 07_2 : _x000D_
23 / 08_2 : _x000D_
23 / 09_2 : _x000D_
_x000D_
    TOTAL : ( 12 )_x000D_
  DIVISOR : 12_x000D_
    MÉDIA : 1,00_x000D_
-----------------------------_x000D_
   Valores Desconsiderados_x000D_
-----------------------------_x000D_
22 / 12_2 : 7 (19)_x000D_
_x000D_
  TOTAL   : ( 7 )</t>
        </r>
      </text>
    </comment>
    <comment ref="AB601" authorId="0" shapeId="0" xr:uid="{71E5BC2A-9DE0-42F8-B2D8-2FFF8679386C}">
      <text>
        <r>
          <rPr>
            <sz val="10"/>
            <color indexed="81"/>
            <rFont val="Lucida Console"/>
            <family val="3"/>
          </rPr>
          <t>Última movimentação no estoque em 12/2022 quantidade 19.</t>
        </r>
      </text>
    </comment>
    <comment ref="R602" authorId="0" shapeId="0" xr:uid="{29D43AD7-EA09-4B38-9A6B-ABDDF741A0E4}">
      <text>
        <r>
          <rPr>
            <sz val="10"/>
            <color indexed="81"/>
            <rFont val="Lucida Console"/>
            <family val="3"/>
          </rPr>
          <t>11.04.2007</t>
        </r>
      </text>
    </comment>
    <comment ref="Y602" authorId="0" shapeId="0" xr:uid="{EB08A7CE-860C-43AC-AB1E-AEADBFF02BCE}">
      <text>
        <r>
          <rPr>
            <sz val="10"/>
            <color indexed="81"/>
            <rFont val="Courier New"/>
            <family val="3"/>
          </rPr>
          <t>_x000D_
    DESCRIÇÃO DO CÁLCULO_x000D_
Código    : 98.704_x000D_
Corte     : 52_x000D_
-----------------------------_x000D_
Pendente  : _x000D_
22 / 10_2 : 17_x000D_
22 / 11_2 : 20_x000D_
22 / 12_2 : 4_x000D_
23 / 01_2 : 4_x000D_
23 / 02_2 : 1_x000D_
23 / 03_2 : 6_x000D_
23 / 04_2 : 6_x000D_
23 / 05_2 : 37_x000D_
23 / 06_2 : _x000D_
23 / 07_2 : 52 (corte = 63)_x000D_
23 / 08_2 : 2_x000D_
23 / 09_2 : 20_x000D_
_x000D_
    TOTAL : ( 169 )_x000D_
  DIVISOR : 12_x000D_
    MÉDIA : 14,08_x000D_
-----------------------------_x000D_
   Valores Desconsiderados_x000D_
-----------------------------_x000D_
23 / 07_2 : 11 (63)_x000D_
_x000D_
  TOTAL   : ( 11 )</t>
        </r>
      </text>
    </comment>
    <comment ref="AB602" authorId="0" shapeId="0" xr:uid="{9C5CC01D-B055-45EB-B34C-AFD809560FAB}">
      <text>
        <r>
          <rPr>
            <sz val="10"/>
            <color indexed="81"/>
            <rFont val="Lucida Console"/>
            <family val="3"/>
          </rPr>
          <t>Última movimentação no estoque em 09/2023 quantidade 20.</t>
        </r>
      </text>
    </comment>
    <comment ref="R603" authorId="0" shapeId="0" xr:uid="{8ABDD24A-C264-4046-9C6B-57A3C44376C8}">
      <text>
        <r>
          <rPr>
            <sz val="10"/>
            <color indexed="81"/>
            <rFont val="Lucida Console"/>
            <family val="3"/>
          </rPr>
          <t>28.01.2004</t>
        </r>
      </text>
    </comment>
    <comment ref="Y603" authorId="0" shapeId="0" xr:uid="{AA225D36-06E7-48EF-9302-9889838CF09D}">
      <text>
        <r>
          <rPr>
            <sz val="10"/>
            <color indexed="81"/>
            <rFont val="Courier New"/>
            <family val="3"/>
          </rPr>
          <t>_x000D_
    DESCRIÇÃO DO CÁLCULO_x000D_
Código    : 76.806_x000D_
Corte     : 89_x000D_
-----------------------------_x000D_
Pendente  : _x000D_
22 / 10_2 : 54_x000D_
22 / 11_2 : 30_x000D_
22 / 12_2 : 20_x000D_
23 / 01_2 : 46_x000D_
23 / 02_2 : 89_x000D_
23 / 03_2 : 1_x000D_
23 / 04_2 : 11_x000D_
23 / 05_2 : _x000D_
23 / 06_2 : 18_x000D_
23 / 07_2 : 15_x000D_
23 / 08_2 : 75_x000D_
23 / 09_2 : _x000D_
_x000D_
    TOTAL : ( 359 )_x000D_
  DIVISOR : 12_x000D_
    MÉDIA : 29,92</t>
        </r>
      </text>
    </comment>
    <comment ref="AB603" authorId="0" shapeId="0" xr:uid="{23FABD5D-0CFE-4267-B6C1-2890A8B3B39F}">
      <text>
        <r>
          <rPr>
            <sz val="10"/>
            <color indexed="81"/>
            <rFont val="Lucida Console"/>
            <family val="3"/>
          </rPr>
          <t>Última movimentação no estoque em 08/2023 quantidade 75.</t>
        </r>
      </text>
    </comment>
    <comment ref="R604" authorId="0" shapeId="0" xr:uid="{ECAA1CD6-94F8-41BC-9022-A88554D07EFA}">
      <text>
        <r>
          <rPr>
            <sz val="10"/>
            <color indexed="81"/>
            <rFont val="Lucida Console"/>
            <family val="3"/>
          </rPr>
          <t>01.01.1901</t>
        </r>
      </text>
    </comment>
    <comment ref="Y604" authorId="0" shapeId="0" xr:uid="{99ABEE55-6DEB-45C9-A162-049390F56097}">
      <text>
        <r>
          <rPr>
            <sz val="10"/>
            <color indexed="81"/>
            <rFont val="Courier New"/>
            <family val="3"/>
          </rPr>
          <t>_x000D_
    DESCRIÇÃO DO CÁLCULO_x000D_
Código    : 11.264_x000D_
Corte     : 57_x000D_
-----------------------------_x000D_
Pendente  : 25_x000D_
22 / 10_2 : 32_x000D_
22 / 11_2 : 39_x000D_
22 / 12_2 : 23_x000D_
23 / 01_2 : 14_x000D_
23 / 02_2 : 14_x000D_
23 / 03_2 : 5_x000D_
23 / 04_2 : 32_x000D_
23 / 05_2 : 48_x000D_
23 / 06_2 : 42_x000D_
23 / 07_2 : 34_x000D_
23 / 08_2 : 44_x000D_
23 / 09_2 : 34_x000D_
_x000D_
    TOTAL : ( 386 )_x000D_
  DIVISOR : 12_x000D_
    MÉDIA : 32,17</t>
        </r>
      </text>
    </comment>
    <comment ref="AB604" authorId="0" shapeId="0" xr:uid="{83F7A457-C236-43FE-9A14-42FFF52D2C4E}">
      <text>
        <r>
          <rPr>
            <sz val="10"/>
            <color indexed="81"/>
            <rFont val="Lucida Console"/>
            <family val="3"/>
          </rPr>
          <t>Última movimentação no estoque em 09/2023 quantidade 34.</t>
        </r>
      </text>
    </comment>
    <comment ref="R605" authorId="0" shapeId="0" xr:uid="{4DEF82A2-3015-4381-A9B9-5209FA886C3D}">
      <text>
        <r>
          <rPr>
            <sz val="10"/>
            <color indexed="81"/>
            <rFont val="Lucida Console"/>
            <family val="3"/>
          </rPr>
          <t>08.04.2004</t>
        </r>
      </text>
    </comment>
    <comment ref="Y605" authorId="0" shapeId="0" xr:uid="{1929267F-2BFD-47D6-8BFE-9EC1B1AD9F46}">
      <text>
        <r>
          <rPr>
            <sz val="10"/>
            <color indexed="81"/>
            <rFont val="Courier New"/>
            <family val="3"/>
          </rPr>
          <t>_x000D_
    DESCRIÇÃO DO CÁLCULO_x000D_
Código    : 78.303_x000D_
Corte     : 3_x000D_
-----------------------------_x000D_
Pendente  : _x000D_
22 / 10_2 : _x000D_
22 / 11_2 : _x000D_
22 / 12_2 : 3_x000D_
23 / 01_2 : 1_x000D_
23 / 02_2 : 1_x000D_
23 / 03_2 : _x000D_
23 / 04_2 : 1_x000D_
23 / 05_2 : _x000D_
23 / 06_2 : _x000D_
23 / 07_2 : _x000D_
23 / 08_2 : _x000D_
23 / 09_2 : 3_x000D_
_x000D_
    TOTAL : ( 9 )_x000D_
  DIVISOR : 12_x000D_
    MÉDIA : ,75</t>
        </r>
      </text>
    </comment>
    <comment ref="AB605" authorId="0" shapeId="0" xr:uid="{818F79FD-21A0-45E1-89C2-1E73D3AFA9D9}">
      <text>
        <r>
          <rPr>
            <sz val="10"/>
            <color indexed="81"/>
            <rFont val="Lucida Console"/>
            <family val="3"/>
          </rPr>
          <t>Última movimentação no estoque em 09/2023 quantidade 3.</t>
        </r>
      </text>
    </comment>
    <comment ref="R606" authorId="0" shapeId="0" xr:uid="{033EF4F8-0DCD-41D8-8504-101C431089C7}">
      <text>
        <r>
          <rPr>
            <sz val="10"/>
            <color indexed="81"/>
            <rFont val="Lucida Console"/>
            <family val="3"/>
          </rPr>
          <t>01.01.1901</t>
        </r>
      </text>
    </comment>
    <comment ref="Y606" authorId="0" shapeId="0" xr:uid="{702728A6-D9C2-4896-98B4-87AA3F3D3B95}">
      <text>
        <r>
          <rPr>
            <sz val="10"/>
            <color indexed="81"/>
            <rFont val="Courier New"/>
            <family val="3"/>
          </rPr>
          <t>_x000D_
    DESCRIÇÃO DO CÁLCULO_x000D_
Código    : 72.184_x000D_
Corte     : 267_x000D_
-----------------------------_x000D_
Pendente  : 74_x000D_
22 / 10_2 : _x000D_
22 / 11_2 : _x000D_
22 / 12_2 : _x000D_
23 / 01_2 : _x000D_
23 / 02_2 : 100_x000D_
23 / 03_2 : 267 (corte = 290)_x000D_
23 / 04_2 : 196_x000D_
23 / 05_2 : 174_x000D_
23 / 06_2 : 57_x000D_
23 / 07_2 : 36_x000D_
23 / 08_2 : 59_x000D_
23 / 09_2 : 86_x000D_
_x000D_
    TOTAL : ( 1.049 )_x000D_
  DIVISOR : 12_x000D_
    MÉDIA : 87,42_x000D_
-----------------------------_x000D_
   Valores Desconsiderados_x000D_
-----------------------------_x000D_
23 / 03_2 : 23 (290)_x000D_
_x000D_
  TOTAL   : ( 23 )</t>
        </r>
      </text>
    </comment>
    <comment ref="AB606" authorId="0" shapeId="0" xr:uid="{C110B8C2-2D6B-48F8-9D23-484F9CD105FB}">
      <text>
        <r>
          <rPr>
            <sz val="10"/>
            <color indexed="81"/>
            <rFont val="Lucida Console"/>
            <family val="3"/>
          </rPr>
          <t>Última movimentação no estoque em 09/2023 quantidade 86.</t>
        </r>
      </text>
    </comment>
    <comment ref="R607" authorId="0" shapeId="0" xr:uid="{0FAD4EA9-E3B9-45D0-9EED-4457A281BF42}">
      <text>
        <r>
          <rPr>
            <sz val="10"/>
            <color indexed="81"/>
            <rFont val="Lucida Console"/>
            <family val="3"/>
          </rPr>
          <t>01.01.1901</t>
        </r>
      </text>
    </comment>
    <comment ref="Y607" authorId="0" shapeId="0" xr:uid="{51DFD705-85B4-4252-8B55-620FC99813E2}">
      <text>
        <r>
          <rPr>
            <sz val="10"/>
            <color indexed="81"/>
            <rFont val="Courier New"/>
            <family val="3"/>
          </rPr>
          <t>_x000D_
    DESCRIÇÃO DO CÁLCULO_x000D_
Código    : 11.590_x000D_
Corte     : 1.966_x000D_
-----------------------------_x000D_
Pendente  : 250_x000D_
22 / 10_2 : 176_x000D_
22 / 11_2 : 228_x000D_
22 / 12_2 : 185_x000D_
23 / 01_2 : 119_x000D_
23 / 02_2 : 211_x000D_
23 / 03_2 : 1.966 (corte = 2991)_x000D_
23 / 04_2 : 49_x000D_
23 / 05_2 : 7_x000D_
23 / 06_2 : 51_x000D_
23 / 07_2 : _x000D_
23 / 08_2 : _x000D_
23 / 09_2 : _x000D_
_x000D_
    TOTAL : ( 3.242 )_x000D_
  DIVISOR : 12_x000D_
    MÉDIA : 270,17_x000D_
-----------------------------_x000D_
   Valores Desconsiderados_x000D_
-----------------------------_x000D_
23 / 03_2 : 1.025 (2.991)_x000D_
_x000D_
  TOTAL   : ( 1.025 )</t>
        </r>
      </text>
    </comment>
    <comment ref="AB607" authorId="0" shapeId="0" xr:uid="{34EFD0E5-66DF-4858-B7D3-CF0CFDF2BAEE}">
      <text>
        <r>
          <rPr>
            <sz val="10"/>
            <color indexed="81"/>
            <rFont val="Lucida Console"/>
            <family val="3"/>
          </rPr>
          <t>Última movimentação no estoque em 06/2023 quantidade 51.</t>
        </r>
      </text>
    </comment>
    <comment ref="R608" authorId="0" shapeId="0" xr:uid="{7FAE5E28-1717-4F5F-91AC-51F704DF75DD}">
      <text>
        <r>
          <rPr>
            <sz val="10"/>
            <color indexed="81"/>
            <rFont val="Lucida Console"/>
            <family val="3"/>
          </rPr>
          <t>17.03.2004</t>
        </r>
      </text>
    </comment>
    <comment ref="Y608" authorId="0" shapeId="0" xr:uid="{63111062-A151-40B6-9998-BA4DC108F303}">
      <text>
        <r>
          <rPr>
            <sz val="10"/>
            <color indexed="81"/>
            <rFont val="Courier New"/>
            <family val="3"/>
          </rPr>
          <t>_x000D_
    DESCRIÇÃO DO CÁLCULO_x000D_
Código    : 77.755_x000D_
Corte     : 2.450_x000D_
-----------------------------_x000D_
Pendente  : 63_x000D_
22 / 10_2 : 368_x000D_
22 / 11_2 : 224_x000D_
22 / 12_2 : 192_x000D_
23 / 01_2 : 112_x000D_
23 / 02_2 : 239_x000D_
23 / 03_2 : 2.450 (corte = 3685)_x000D_
23 / 04_2 : 216_x000D_
23 / 05_2 : 251_x000D_
23 / 06_2 : 299_x000D_
23 / 07_2 : 220_x000D_
23 / 08_2 : 212_x000D_
23 / 09_2 : 105_x000D_
_x000D_
    TOTAL : ( 4.951 )_x000D_
  DIVISOR : 12_x000D_
    MÉDIA : 412,58_x000D_
-----------------------------_x000D_
   Valores Desconsiderados_x000D_
-----------------------------_x000D_
23 / 03_2 : 1.235 (3.685)_x000D_
_x000D_
  TOTAL   : ( 1.235 )</t>
        </r>
      </text>
    </comment>
    <comment ref="AB608" authorId="0" shapeId="0" xr:uid="{B9F13655-68EC-41AC-89C8-85A221981C43}">
      <text>
        <r>
          <rPr>
            <sz val="10"/>
            <color indexed="81"/>
            <rFont val="Lucida Console"/>
            <family val="3"/>
          </rPr>
          <t>Última movimentação no estoque em 09/2023 quantidade 105.</t>
        </r>
      </text>
    </comment>
    <comment ref="R609" authorId="0" shapeId="0" xr:uid="{B3259A94-7F4B-4534-B811-603B66B9199E}">
      <text>
        <r>
          <rPr>
            <sz val="10"/>
            <color indexed="81"/>
            <rFont val="Lucida Console"/>
            <family val="3"/>
          </rPr>
          <t>08.08.2016</t>
        </r>
      </text>
    </comment>
    <comment ref="Y609" authorId="0" shapeId="0" xr:uid="{05C211BD-98AF-4459-8868-8B533EBAF886}">
      <text>
        <r>
          <rPr>
            <sz val="10"/>
            <color indexed="81"/>
            <rFont val="Courier New"/>
            <family val="3"/>
          </rPr>
          <t>_x000D_
    DESCRIÇÃO DO CÁLCULO_x000D_
Código    : 131.937_x000D_
Corte     : 2.095_x000D_
-----------------------------_x000D_
Pendente  : 59_x000D_
22 / 10_2 : 169_x000D_
22 / 11_2 : 134_x000D_
22 / 12_2 : 98_x000D_
23 / 01_2 : 76_x000D_
23 / 02_2 : 105_x000D_
23 / 03_2 : 2.095 (corte = 3200)_x000D_
23 / 04_2 : 143_x000D_
23 / 05_2 : 155_x000D_
23 / 06_2 : 158_x000D_
23 / 07_2 : 122_x000D_
23 / 08_2 : 146_x000D_
23 / 09_2 : 24_x000D_
_x000D_
    TOTAL : ( 3.484 )_x000D_
  DIVISOR : 12_x000D_
    MÉDIA : 290,33_x000D_
-----------------------------_x000D_
   Valores Desconsiderados_x000D_
-----------------------------_x000D_
23 / 03_2 : 1.105 (3.200)_x000D_
_x000D_
  TOTAL   : ( 1.105 )</t>
        </r>
      </text>
    </comment>
    <comment ref="AB609" authorId="0" shapeId="0" xr:uid="{1A689123-A967-4662-9FC5-77534BC29129}">
      <text>
        <r>
          <rPr>
            <sz val="10"/>
            <color indexed="81"/>
            <rFont val="Lucida Console"/>
            <family val="3"/>
          </rPr>
          <t>Última movimentação no estoque em 09/2023 quantidade 24.</t>
        </r>
      </text>
    </comment>
    <comment ref="R610" authorId="0" shapeId="0" xr:uid="{D39D0F9C-8C4C-4A3B-88AD-06E9136704F7}">
      <text>
        <r>
          <rPr>
            <sz val="10"/>
            <color indexed="81"/>
            <rFont val="Lucida Console"/>
            <family val="3"/>
          </rPr>
          <t>20.02.2020</t>
        </r>
      </text>
    </comment>
    <comment ref="Y610" authorId="0" shapeId="0" xr:uid="{CF7FEDF4-A14B-4B67-ABD9-B44DB6A2300C}">
      <text>
        <r>
          <rPr>
            <sz val="10"/>
            <color indexed="81"/>
            <rFont val="Courier New"/>
            <family val="3"/>
          </rPr>
          <t>_x000D_
    DESCRIÇÃO DO CÁLCULO_x000D_
Código    : 139.141_x000D_
Corte     : 1.666_x000D_
-----------------------------_x000D_
Pendente  : 102_x000D_
22 / 10_2 : 164_x000D_
22 / 11_2 : 133_x000D_
22 / 12_2 : 98_x000D_
23 / 01_2 : 73_x000D_
23 / 02_2 : 111_x000D_
23 / 03_2 : 1.666 (corte = 2526)_x000D_
23 / 04_2 : 10_x000D_
23 / 05_2 : 79_x000D_
23 / 06_2 : 157_x000D_
23 / 07_2 : 134_x000D_
23 / 08_2 : 174_x000D_
23 / 09_2 : 160_x000D_
_x000D_
    TOTAL : ( 3.061 )_x000D_
  DIVISOR : 12_x000D_
    MÉDIA : 255,08_x000D_
-----------------------------_x000D_
   Valores Desconsiderados_x000D_
-----------------------------_x000D_
23 / 03_2 : 860 (2.526)_x000D_
_x000D_
  TOTAL   : ( 860 )</t>
        </r>
      </text>
    </comment>
    <comment ref="AB610" authorId="0" shapeId="0" xr:uid="{E461A379-0B03-49AB-8135-383347D6404C}">
      <text>
        <r>
          <rPr>
            <sz val="10"/>
            <color indexed="81"/>
            <rFont val="Lucida Console"/>
            <family val="3"/>
          </rPr>
          <t>Última movimentação no estoque em 09/2023 quantidade 160.</t>
        </r>
      </text>
    </comment>
    <comment ref="R611" authorId="0" shapeId="0" xr:uid="{0AAD42AC-F420-4584-8DA2-A7D582F65D51}">
      <text>
        <r>
          <rPr>
            <sz val="10"/>
            <color indexed="81"/>
            <rFont val="Lucida Console"/>
            <family val="3"/>
          </rPr>
          <t>20.02.2020</t>
        </r>
      </text>
    </comment>
    <comment ref="Y611" authorId="0" shapeId="0" xr:uid="{8ED2D0A8-CBF2-44E8-93A8-D72FCEBE50A9}">
      <text>
        <r>
          <rPr>
            <sz val="10"/>
            <color indexed="81"/>
            <rFont val="Courier New"/>
            <family val="3"/>
          </rPr>
          <t>_x000D_
    DESCRIÇÃO DO CÁLCULO_x000D_
Código    : 139.142_x000D_
Corte     : 1.808_x000D_
-----------------------------_x000D_
Pendente  : 65_x000D_
22 / 10_2 : 165_x000D_
22 / 11_2 : 141_x000D_
22 / 12_2 : 99_x000D_
23 / 01_2 : 113_x000D_
23 / 02_2 : 111_x000D_
23 / 03_2 : 1.808 (corte = 2750)_x000D_
23 / 04_2 : 12_x000D_
23 / 05_2 : 76_x000D_
23 / 06_2 : 153_x000D_
23 / 07_2 : 122_x000D_
23 / 08_2 : 164_x000D_
23 / 09_2 : 149_x000D_
_x000D_
    TOTAL : ( 3.178 )_x000D_
  DIVISOR : 12_x000D_
    MÉDIA : 264,83_x000D_
-----------------------------_x000D_
   Valores Desconsiderados_x000D_
-----------------------------_x000D_
23 / 03_2 : 942 (2.750)_x000D_
_x000D_
  TOTAL   : ( 942 )</t>
        </r>
      </text>
    </comment>
    <comment ref="AB611" authorId="0" shapeId="0" xr:uid="{C4326039-DA3F-4FA0-90B0-29ADDDE305D8}">
      <text>
        <r>
          <rPr>
            <sz val="10"/>
            <color indexed="81"/>
            <rFont val="Lucida Console"/>
            <family val="3"/>
          </rPr>
          <t>Última movimentação no estoque em 09/2023 quantidade 149.</t>
        </r>
      </text>
    </comment>
    <comment ref="R612" authorId="0" shapeId="0" xr:uid="{C32B87D9-58A1-4275-8056-A5D2E42D4728}">
      <text>
        <r>
          <rPr>
            <sz val="10"/>
            <color indexed="81"/>
            <rFont val="Lucida Console"/>
            <family val="3"/>
          </rPr>
          <t>20.02.2020</t>
        </r>
      </text>
    </comment>
    <comment ref="Y612" authorId="0" shapeId="0" xr:uid="{37A47EA2-8B15-4587-BE75-A42257AB21BB}">
      <text>
        <r>
          <rPr>
            <sz val="10"/>
            <color indexed="81"/>
            <rFont val="Courier New"/>
            <family val="3"/>
          </rPr>
          <t>_x000D_
    DESCRIÇÃO DO CÁLCULO_x000D_
Código    : 139.143_x000D_
Corte     : 2.651_x000D_
-----------------------------_x000D_
Pendente  : 3_x000D_
22 / 10_2 : 160_x000D_
22 / 11_2 : 140_x000D_
22 / 12_2 : 99_x000D_
23 / 01_2 : 72_x000D_
23 / 02_2 : 111_x000D_
23 / 03_2 : 2.651 (corte = 4066)_x000D_
23 / 04_2 : 132_x000D_
23 / 05_2 : 154_x000D_
23 / 06_2 : 157_x000D_
23 / 07_2 : 126_x000D_
23 / 08_2 : 174_x000D_
23 / 09_2 : 156_x000D_
_x000D_
    TOTAL : ( 4.135 )_x000D_
  DIVISOR : 12_x000D_
    MÉDIA : 344,58_x000D_
-----------------------------_x000D_
   Valores Desconsiderados_x000D_
-----------------------------_x000D_
23 / 03_2 : 1.415 (4.066)_x000D_
_x000D_
  TOTAL   : ( 1.415 )</t>
        </r>
      </text>
    </comment>
    <comment ref="AB612" authorId="0" shapeId="0" xr:uid="{AEBEA8A4-1241-4024-804E-FDE70995F8D2}">
      <text>
        <r>
          <rPr>
            <sz val="10"/>
            <color indexed="81"/>
            <rFont val="Lucida Console"/>
            <family val="3"/>
          </rPr>
          <t>Última movimentação no estoque em 09/2023 quantidade 156.</t>
        </r>
      </text>
    </comment>
    <comment ref="R613" authorId="0" shapeId="0" xr:uid="{FC45CF6D-E8BC-4420-BFA8-624B5A502D9B}">
      <text>
        <r>
          <rPr>
            <sz val="10"/>
            <color indexed="81"/>
            <rFont val="Lucida Console"/>
            <family val="3"/>
          </rPr>
          <t>20.02.2020</t>
        </r>
      </text>
    </comment>
    <comment ref="Y613" authorId="0" shapeId="0" xr:uid="{B675A71A-C9A4-491F-B91D-1624E3954EEF}">
      <text>
        <r>
          <rPr>
            <sz val="10"/>
            <color indexed="81"/>
            <rFont val="Courier New"/>
            <family val="3"/>
          </rPr>
          <t>_x000D_
    DESCRIÇÃO DO CÁLCULO_x000D_
Código    : 139.144_x000D_
Corte     : 3.164_x000D_
-----------------------------_x000D_
Pendente  : _x000D_
22 / 10_2 : 25_x000D_
22 / 11_2 : 6_x000D_
22 / 12_2 : _x000D_
23 / 01_2 : _x000D_
23 / 02_2 : _x000D_
23 / 03_2 : 3.164 (corte = 4787)_x000D_
23 / 04_2 : 5_x000D_
23 / 05_2 : _x000D_
23 / 06_2 : 1_x000D_
23 / 07_2 : _x000D_
23 / 08_2 : 15_x000D_
23 / 09_2 : _x000D_
_x000D_
    TOTAL : ( 3.216 )_x000D_
  DIVISOR : 12_x000D_
    MÉDIA : 268,00_x000D_
-----------------------------_x000D_
   Valores Desconsiderados_x000D_
-----------------------------_x000D_
23 / 03_2 : 1.623 (4.787)_x000D_
_x000D_
  TOTAL   : ( 1.623 )</t>
        </r>
      </text>
    </comment>
    <comment ref="AB613" authorId="0" shapeId="0" xr:uid="{C8FB013A-8513-4FE0-8877-6E35DA442423}">
      <text>
        <r>
          <rPr>
            <sz val="10"/>
            <color indexed="81"/>
            <rFont val="Lucida Console"/>
            <family val="3"/>
          </rPr>
          <t>Última movimentação no estoque em 08/2023 quantidade 15.</t>
        </r>
      </text>
    </comment>
    <comment ref="R614" authorId="0" shapeId="0" xr:uid="{BC04E538-F356-4C6E-888D-A817FE6823FD}">
      <text>
        <r>
          <rPr>
            <sz val="10"/>
            <color indexed="81"/>
            <rFont val="Lucida Console"/>
            <family val="3"/>
          </rPr>
          <t>01.01.1901</t>
        </r>
      </text>
    </comment>
    <comment ref="Y614" authorId="0" shapeId="0" xr:uid="{9622C12B-33D0-4DF8-8DE6-7273893357BF}">
      <text>
        <r>
          <rPr>
            <sz val="10"/>
            <color indexed="81"/>
            <rFont val="Courier New"/>
            <family val="3"/>
          </rPr>
          <t>_x000D_
    DESCRIÇÃO DO CÁLCULO_x000D_
Código    : 15.085_x000D_
Corte     : 31_x000D_
-----------------------------_x000D_
Pendente  : _x000D_
22 / 10_2 : _x000D_
22 / 11_2 : 20_x000D_
22 / 12_2 : 5_x000D_
23 / 01_2 : _x000D_
23 / 02_2 : _x000D_
23 / 03_2 : _x000D_
23 / 04_2 : _x000D_
23 / 05_2 : 30_x000D_
23 / 06_2 : 30_x000D_
23 / 07_2 : 1_x000D_
23 / 08_2 : _x000D_
23 / 09_2 : _x000D_
_x000D_
    TOTAL : ( 86 )_x000D_
  DIVISOR : 12_x000D_
    MÉDIA : 7,17</t>
        </r>
      </text>
    </comment>
    <comment ref="AB614" authorId="0" shapeId="0" xr:uid="{00FAF2D4-2808-4A91-9239-E6E04375B1CC}">
      <text>
        <r>
          <rPr>
            <sz val="10"/>
            <color indexed="81"/>
            <rFont val="Lucida Console"/>
            <family val="3"/>
          </rPr>
          <t>Última movimentação no estoque em 07/2023 quantidade 1.</t>
        </r>
      </text>
    </comment>
    <comment ref="R615" authorId="0" shapeId="0" xr:uid="{A942D371-BD43-4F9E-97C4-003FE4640019}">
      <text>
        <r>
          <rPr>
            <sz val="10"/>
            <color indexed="81"/>
            <rFont val="Lucida Console"/>
            <family val="3"/>
          </rPr>
          <t>01.01.1901</t>
        </r>
      </text>
    </comment>
    <comment ref="Y615" authorId="0" shapeId="0" xr:uid="{2BF7BC4F-21DC-492B-B5B8-253CC0D310AE}">
      <text>
        <r>
          <rPr>
            <sz val="10"/>
            <color indexed="81"/>
            <rFont val="Courier New"/>
            <family val="3"/>
          </rPr>
          <t>_x000D_
    DESCRIÇÃO DO CÁLCULO_x000D_
Código    : 13.563_x000D_
Corte     : 74_x000D_
-----------------------------_x000D_
Pendente  : _x000D_
22 / 10_2 : 20_x000D_
22 / 11_2 : 40_x000D_
22 / 12_2 : _x000D_
23 / 01_2 : _x000D_
23 / 02_2 : _x000D_
23 / 03_2 : 60_x000D_
23 / 04_2 : _x000D_
23 / 05_2 : 30_x000D_
23 / 06_2 : 74 (corte = 80)_x000D_
23 / 07_2 : 1_x000D_
23 / 08_2 : _x000D_
23 / 09_2 : _x000D_
_x000D_
    TOTAL : ( 225 )_x000D_
  DIVISOR : 12_x000D_
    MÉDIA : 18,75_x000D_
-----------------------------_x000D_
   Valores Desconsiderados_x000D_
-----------------------------_x000D_
23 / 06_2 : 6 (80)_x000D_
_x000D_
  TOTAL   : ( 6 )</t>
        </r>
      </text>
    </comment>
    <comment ref="AB615" authorId="0" shapeId="0" xr:uid="{2978D3A6-57A1-42BD-B32E-D8A185A9861A}">
      <text>
        <r>
          <rPr>
            <sz val="10"/>
            <color indexed="81"/>
            <rFont val="Lucida Console"/>
            <family val="3"/>
          </rPr>
          <t>Última movimentação no estoque em 07/2023 quantidade 1.</t>
        </r>
      </text>
    </comment>
    <comment ref="R616" authorId="0" shapeId="0" xr:uid="{20E46CCE-7395-4902-929D-883956B04AEE}">
      <text>
        <r>
          <rPr>
            <sz val="10"/>
            <color indexed="81"/>
            <rFont val="Lucida Console"/>
            <family val="3"/>
          </rPr>
          <t>02.04.2013</t>
        </r>
      </text>
    </comment>
    <comment ref="Y616" authorId="0" shapeId="0" xr:uid="{BEDAB729-826F-4F5E-A44C-C802215EED77}">
      <text>
        <r>
          <rPr>
            <sz val="10"/>
            <color indexed="81"/>
            <rFont val="Courier New"/>
            <family val="3"/>
          </rPr>
          <t>_x000D_
    DESCRIÇÃO DO CÁLCULO_x000D_
Código    : 125.262_x000D_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6" authorId="0" shapeId="0" xr:uid="{D5CD5AF2-4F3D-422E-B6B9-1D5FCA49AE42}">
      <text>
        <r>
          <rPr>
            <sz val="10"/>
            <color indexed="81"/>
            <rFont val="Lucida Console"/>
            <family val="3"/>
          </rPr>
          <t>Última movimentação no estoque em 09/2023 quantidade 74.</t>
        </r>
      </text>
    </comment>
    <comment ref="R617" authorId="0" shapeId="0" xr:uid="{AF7A68B4-6F46-4CD7-88F1-3A641F6C40B9}">
      <text>
        <r>
          <rPr>
            <sz val="10"/>
            <color indexed="81"/>
            <rFont val="Lucida Console"/>
            <family val="3"/>
          </rPr>
          <t>04.04.2012</t>
        </r>
      </text>
    </comment>
    <comment ref="Y617" authorId="0" shapeId="0" xr:uid="{8D08B8EE-1945-46F9-A4F3-7B0C1499ABF1}">
      <text>
        <r>
          <rPr>
            <sz val="10"/>
            <color indexed="81"/>
            <rFont val="Courier New"/>
            <family val="3"/>
          </rPr>
          <t>_x000D_
    DESCRIÇÃO DO CÁLCULO_x000D_
Código    : 122.818_x000D_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7" authorId="0" shapeId="0" xr:uid="{9A062B1C-8844-476D-B125-6E4FC6EFE692}">
      <text>
        <r>
          <rPr>
            <sz val="10"/>
            <color indexed="81"/>
            <rFont val="Lucida Console"/>
            <family val="3"/>
          </rPr>
          <t>Última movimentação no estoque em 09/2023 quantidade 74.</t>
        </r>
      </text>
    </comment>
    <comment ref="R618" authorId="0" shapeId="0" xr:uid="{009B5D41-2749-43C9-8E28-ED075CB6C1F8}">
      <text>
        <r>
          <rPr>
            <sz val="10"/>
            <color indexed="81"/>
            <rFont val="Lucida Console"/>
            <family val="3"/>
          </rPr>
          <t>14.09.2007</t>
        </r>
      </text>
    </comment>
    <comment ref="Y618" authorId="0" shapeId="0" xr:uid="{2384AE2A-6C04-48A3-A396-ECB84D769C79}">
      <text>
        <r>
          <rPr>
            <sz val="10"/>
            <color indexed="81"/>
            <rFont val="Courier New"/>
            <family val="3"/>
          </rPr>
          <t>_x000D_
    DESCRIÇÃO DO CÁLCULO_x000D_
Código    : 102.000_x000D_
Corte     : 607_x000D_
-----------------------------_x000D_
Pendente  : _x000D_
22 / 10_2 : _x000D_
22 / 11_2 : _x000D_
22 / 12_2 : _x000D_
23 / 01_2 : 607 (corte = 704)_x000D_
23 / 02_2 : _x000D_
23 / 03_2 : 84_x000D_
23 / 04_2 : _x000D_
23 / 05_2 : 516_x000D_
23 / 06_2 : 123_x000D_
23 / 07_2 : 225_x000D_
23 / 08_2 : 37_x000D_
23 / 09_2 : _x000D_
_x000D_
    TOTAL : ( 1.592 )_x000D_
  DIVISOR : 12_x000D_
    MÉDIA : 132,67_x000D_
-----------------------------_x000D_
   Valores Desconsiderados_x000D_
-----------------------------_x000D_
23 / 01_2 : 97 (704)_x000D_
_x000D_
  TOTAL   : ( 97 )</t>
        </r>
      </text>
    </comment>
    <comment ref="AB618" authorId="0" shapeId="0" xr:uid="{A5C725F0-4B08-4F5A-8B3E-815FFA27E9F6}">
      <text>
        <r>
          <rPr>
            <sz val="10"/>
            <color indexed="81"/>
            <rFont val="Lucida Console"/>
            <family val="3"/>
          </rPr>
          <t>Última movimentação no estoque em 08/2023 quantidade 37.</t>
        </r>
      </text>
    </comment>
    <comment ref="R619" authorId="0" shapeId="0" xr:uid="{B58A8A94-F576-48BD-8379-1757D4283341}">
      <text>
        <r>
          <rPr>
            <sz val="10"/>
            <color indexed="81"/>
            <rFont val="Lucida Console"/>
            <family val="3"/>
          </rPr>
          <t>16.11.2010</t>
        </r>
      </text>
    </comment>
    <comment ref="Y619" authorId="0" shapeId="0" xr:uid="{A96CC27A-DA3F-448F-897A-ED02DB52A320}">
      <text>
        <r>
          <rPr>
            <sz val="10"/>
            <color indexed="81"/>
            <rFont val="Courier New"/>
            <family val="3"/>
          </rPr>
          <t>_x000D_
    DESCRIÇÃO DO CÁLCULO_x000D_
Código    : 118.515_x000D_
Corte     : 188_x000D_
-----------------------------_x000D_
Pendente  : _x000D_
22 / 10_2 : 1_x000D_
22 / 11_2 : 2_x000D_
22 / 12_2 : _x000D_
23 / 01_2 : 6_x000D_
23 / 02_2 : 13_x000D_
23 / 03_2 : 8_x000D_
23 / 04_2 : _x000D_
23 / 05_2 : 188 (corte = 284)_x000D_
23 / 06_2 : _x000D_
23 / 07_2 : _x000D_
23 / 08_2 : _x000D_
23 / 09_2 : _x000D_
_x000D_
    TOTAL : ( 218 )_x000D_
  DIVISOR : 12_x000D_
    MÉDIA : 18,17_x000D_
-----------------------------_x000D_
   Valores Desconsiderados_x000D_
-----------------------------_x000D_
23 / 05_2 : 96 (284)_x000D_
_x000D_
  TOTAL   : ( 96 )</t>
        </r>
      </text>
    </comment>
    <comment ref="AB619" authorId="0" shapeId="0" xr:uid="{6F594D6C-C9D5-49C2-AB8D-BC628F231C9D}">
      <text>
        <r>
          <rPr>
            <sz val="10"/>
            <color indexed="81"/>
            <rFont val="Lucida Console"/>
            <family val="3"/>
          </rPr>
          <t>Última movimentação no estoque em 05/2023 quantidade 284.</t>
        </r>
      </text>
    </comment>
    <comment ref="R620" authorId="0" shapeId="0" xr:uid="{7E1173C3-25C7-4F31-88AF-0319C92FA3BE}">
      <text>
        <r>
          <rPr>
            <sz val="10"/>
            <color indexed="81"/>
            <rFont val="Lucida Console"/>
            <family val="3"/>
          </rPr>
          <t>19.11.2010</t>
        </r>
      </text>
    </comment>
    <comment ref="Y620" authorId="0" shapeId="0" xr:uid="{DF497519-495E-43E8-9BF5-65A21AE9F309}">
      <text>
        <r>
          <rPr>
            <sz val="10"/>
            <color indexed="81"/>
            <rFont val="Courier New"/>
            <family val="3"/>
          </rPr>
          <t>_x000D_
    DESCRIÇÃO DO CÁLCULO_x000D_
Código    : 118.577_x000D_
Corte     : 258_x000D_
-----------------------------_x000D_
Pendente  : 69_x000D_
22 / 10_2 : 258 (corte = 272)_x000D_
22 / 11_2 : 97_x000D_
22 / 12_2 : 241_x000D_
23 / 01_2 : 117_x000D_
23 / 02_2 : _x000D_
23 / 03_2 : _x000D_
23 / 04_2 : _x000D_
23 / 05_2 : _x000D_
23 / 06_2 : _x000D_
23 / 07_2 : _x000D_
23 / 08_2 : _x000D_
23 / 09_2 : _x000D_
_x000D_
    TOTAL : ( 781 )_x000D_
  DIVISOR : 12_x000D_
    MÉDIA : 65,08_x000D_
-----------------------------_x000D_
   Valores Desconsiderados_x000D_
-----------------------------_x000D_
22 / 10_2 : 14 (272)_x000D_
_x000D_
  TOTAL   : ( 14 )</t>
        </r>
      </text>
    </comment>
    <comment ref="AB620" authorId="0" shapeId="0" xr:uid="{C2CFB0E5-E0C7-47BC-84D0-D16800D02052}">
      <text>
        <r>
          <rPr>
            <sz val="10"/>
            <color indexed="81"/>
            <rFont val="Lucida Console"/>
            <family val="3"/>
          </rPr>
          <t>Última movimentação no estoque em 01/2023 quantidade 117.</t>
        </r>
      </text>
    </comment>
    <comment ref="R621" authorId="0" shapeId="0" xr:uid="{690E4CF1-B8A7-4939-BCE2-5B0B273EE108}">
      <text>
        <r>
          <rPr>
            <sz val="10"/>
            <color indexed="81"/>
            <rFont val="Lucida Console"/>
            <family val="3"/>
          </rPr>
          <t>18.06.2010</t>
        </r>
      </text>
    </comment>
    <comment ref="Y621" authorId="0" shapeId="0" xr:uid="{4C42C218-D0DA-485C-8E9C-542FDA734707}">
      <text>
        <r>
          <rPr>
            <sz val="10"/>
            <color indexed="81"/>
            <rFont val="Courier New"/>
            <family val="3"/>
          </rPr>
          <t>_x000D_
    DESCRIÇÃO DO CÁLCULO_x000D_
Código    : 115.765_x000D_
Corte     : 438_x000D_
-----------------------------_x000D_
Pendente  : 11_x000D_
22 / 10_2 : 46_x000D_
22 / 11_2 : 63_x000D_
22 / 12_2 : 40_x000D_
23 / 01_2 : 26_x000D_
23 / 02_2 : 48_x000D_
23 / 03_2 : 438 (corte = 643)_x000D_
23 / 04_2 : 76_x000D_
23 / 05_2 : 85_x000D_
23 / 06_2 : 80_x000D_
23 / 07_2 : 64_x000D_
23 / 08_2 : 77_x000D_
23 / 09_2 : 69_x000D_
_x000D_
    TOTAL : ( 1.123 )_x000D_
  DIVISOR : 12_x000D_
    MÉDIA : 93,58_x000D_
-----------------------------_x000D_
   Valores Desconsiderados_x000D_
-----------------------------_x000D_
23 / 03_2 : 205 (643)_x000D_
_x000D_
  TOTAL   : ( 205 )</t>
        </r>
      </text>
    </comment>
    <comment ref="AB621" authorId="0" shapeId="0" xr:uid="{34B727C7-464C-435A-A7E6-94AB5F878005}">
      <text>
        <r>
          <rPr>
            <sz val="10"/>
            <color indexed="81"/>
            <rFont val="Lucida Console"/>
            <family val="3"/>
          </rPr>
          <t>Última movimentação no estoque em 09/2023 quantidade 69.</t>
        </r>
      </text>
    </comment>
    <comment ref="R622" authorId="0" shapeId="0" xr:uid="{A6EF3F9E-5F86-4103-B740-B40A1BC7FD47}">
      <text>
        <r>
          <rPr>
            <sz val="10"/>
            <color indexed="81"/>
            <rFont val="Lucida Console"/>
            <family val="3"/>
          </rPr>
          <t>13.04.2006</t>
        </r>
      </text>
    </comment>
    <comment ref="Y622" authorId="0" shapeId="0" xr:uid="{1AF3B114-FB22-4452-B5A5-C682F8596414}">
      <text>
        <r>
          <rPr>
            <sz val="10"/>
            <color indexed="81"/>
            <rFont val="Courier New"/>
            <family val="3"/>
          </rPr>
          <t>_x000D_
    DESCRIÇÃO DO CÁLCULO_x000D_
Código    : 91.250_x000D_
Corte     : 16_x000D_
-----------------------------_x000D_
Pendente  : _x000D_
22 / 10_2 : _x000D_
22 / 11_2 : _x000D_
22 / 12_2 : _x000D_
23 / 01_2 : 11_x000D_
23 / 02_2 : _x000D_
23 / 03_2 : _x000D_
23 / 04_2 : 10_x000D_
23 / 05_2 : 16 (corte = 20)_x000D_
23 / 06_2 : _x000D_
23 / 07_2 : _x000D_
23 / 08_2 : 1_x000D_
23 / 09_2 : _x000D_
_x000D_
    TOTAL : ( 38 )_x000D_
  DIVISOR : 12_x000D_
    MÉDIA : 3,17_x000D_
-----------------------------_x000D_
   Valores Desconsiderados_x000D_
-----------------------------_x000D_
23 / 05_2 : 4 (20)_x000D_
_x000D_
  TOTAL   : ( 4 )</t>
        </r>
      </text>
    </comment>
    <comment ref="AB622" authorId="0" shapeId="0" xr:uid="{BFC7768E-81D6-4780-ABC8-E6C9DD984623}">
      <text>
        <r>
          <rPr>
            <sz val="10"/>
            <color indexed="81"/>
            <rFont val="Lucida Console"/>
            <family val="3"/>
          </rPr>
          <t>Última movimentação no estoque em 08/2023 quantidade 1.</t>
        </r>
      </text>
    </comment>
    <comment ref="R623" authorId="0" shapeId="0" xr:uid="{97949F4F-2830-4CFB-A64E-A413C7F6AFC9}">
      <text>
        <r>
          <rPr>
            <sz val="10"/>
            <color indexed="81"/>
            <rFont val="Lucida Console"/>
            <family val="3"/>
          </rPr>
          <t>01.01.1901</t>
        </r>
      </text>
    </comment>
    <comment ref="Y623" authorId="0" shapeId="0" xr:uid="{9272B004-2605-4BCD-B90B-CB950E8B04D3}">
      <text>
        <r>
          <rPr>
            <sz val="10"/>
            <color indexed="81"/>
            <rFont val="Courier New"/>
            <family val="3"/>
          </rPr>
          <t>_x000D_
    DESCRIÇÃO DO CÁLCULO_x000D_
Código    : 49.254_x000D_
Corte     : 392_x000D_
-----------------------------_x000D_
Pendente  : 24_x000D_
22 / 10_2 : 33_x000D_
22 / 11_2 : 80_x000D_
22 / 12_2 : 100_x000D_
23 / 01_2 : 121_x000D_
23 / 02_2 : 90_x000D_
23 / 03_2 : 342_x000D_
23 / 04_2 : 289_x000D_
23 / 05_2 : 40_x000D_
23 / 06_2 : 271_x000D_
23 / 07_2 : 189_x000D_
23 / 08_2 : 275_x000D_
23 / 09_2 : 220_x000D_
_x000D_
    TOTAL : ( 2.074 )_x000D_
  DIVISOR : 12_x000D_
    MÉDIA : 172,83</t>
        </r>
      </text>
    </comment>
    <comment ref="AB623" authorId="0" shapeId="0" xr:uid="{762C69B3-0693-4DFA-85E0-2EF4FD416FBC}">
      <text>
        <r>
          <rPr>
            <sz val="10"/>
            <color indexed="81"/>
            <rFont val="Lucida Console"/>
            <family val="3"/>
          </rPr>
          <t>Última movimentação no estoque em 09/2023 quantidade 220.</t>
        </r>
      </text>
    </comment>
    <comment ref="R624" authorId="0" shapeId="0" xr:uid="{D10E3B37-ADC1-421F-8134-1ADB047234D1}">
      <text>
        <r>
          <rPr>
            <sz val="10"/>
            <color indexed="81"/>
            <rFont val="Lucida Console"/>
            <family val="3"/>
          </rPr>
          <t>01.01.1901</t>
        </r>
      </text>
    </comment>
    <comment ref="Y624" authorId="0" shapeId="0" xr:uid="{E997BFFD-F30E-4811-AE14-9F9FE23F2710}">
      <text>
        <r>
          <rPr>
            <sz val="10"/>
            <color indexed="81"/>
            <rFont val="Courier New"/>
            <family val="3"/>
          </rPr>
          <t>_x000D_
    DESCRIÇÃO DO CÁLCULO_x000D_
Código    : 16.978_x000D_
Corte     : 29_x000D_
-----------------------------_x000D_
Pendente  : _x000D_
22 / 10_2 : _x000D_
22 / 11_2 : _x000D_
22 / 12_2 : _x000D_
23 / 01_2 : 10_x000D_
23 / 02_2 : 10_x000D_
23 / 03_2 : _x000D_
23 / 04_2 : _x000D_
23 / 05_2 : _x000D_
23 / 06_2 : 29 (corte = 30)_x000D_
23 / 07_2 : 29 (corte = 30)_x000D_
23 / 08_2 : _x000D_
23 / 09_2 : _x000D_
_x000D_
    TOTAL : ( 78 )_x000D_
  DIVISOR : 12_x000D_
    MÉDIA : 6,50_x000D_
-----------------------------_x000D_
   Valores Desconsiderados_x000D_
-----------------------------_x000D_
23 / 06_2 : 1 (30)_x000D_
23 / 07_2 : 1 (30)_x000D_
_x000D_
  TOTAL   : ( 2 )</t>
        </r>
      </text>
    </comment>
    <comment ref="AB624" authorId="0" shapeId="0" xr:uid="{6FE615AC-D4BF-4FF2-979A-5316034B84FE}">
      <text>
        <r>
          <rPr>
            <sz val="10"/>
            <color indexed="81"/>
            <rFont val="Lucida Console"/>
            <family val="3"/>
          </rPr>
          <t>Última movimentação no estoque em 07/2023 quantidade 30.</t>
        </r>
      </text>
    </comment>
    <comment ref="R625" authorId="0" shapeId="0" xr:uid="{7B78FCE2-6BA0-46A1-9B75-0540AF689A63}">
      <text>
        <r>
          <rPr>
            <sz val="10"/>
            <color indexed="81"/>
            <rFont val="Lucida Console"/>
            <family val="3"/>
          </rPr>
          <t>01.01.1901</t>
        </r>
      </text>
    </comment>
    <comment ref="Y625" authorId="0" shapeId="0" xr:uid="{6AB6AF9D-9E11-4A31-B7FD-900C38684E44}">
      <text>
        <r>
          <rPr>
            <sz val="10"/>
            <color indexed="81"/>
            <rFont val="Courier New"/>
            <family val="3"/>
          </rPr>
          <t>_x000D_
    DESCRIÇÃO DO CÁLCULO_x000D_
Código    : 16.956_x000D_
Corte     : 29_x000D_
-----------------------------_x000D_
Pendente  : _x000D_
22 / 10_2 : _x000D_
22 / 11_2 : _x000D_
22 / 12_2 : 10_x000D_
23 / 01_2 : _x000D_
23 / 02_2 : _x000D_
23 / 03_2 : _x000D_
23 / 04_2 : _x000D_
23 / 05_2 : _x000D_
23 / 06_2 : 29 (corte = 30)_x000D_
23 / 07_2 : 29 (corte = 30)_x000D_
23 / 08_2 : _x000D_
23 / 09_2 : _x000D_
_x000D_
    TOTAL : ( 68 )_x000D_
  DIVISOR : 12_x000D_
    MÉDIA : 5,67_x000D_
-----------------------------_x000D_
   Valores Desconsiderados_x000D_
-----------------------------_x000D_
23 / 06_2 : 1 (30)_x000D_
23 / 07_2 : 1 (30)_x000D_
_x000D_
  TOTAL   : ( 2 )</t>
        </r>
      </text>
    </comment>
    <comment ref="AB625" authorId="0" shapeId="0" xr:uid="{13FB1D7A-0289-4A29-9D0C-75784E42994D}">
      <text>
        <r>
          <rPr>
            <sz val="10"/>
            <color indexed="81"/>
            <rFont val="Lucida Console"/>
            <family val="3"/>
          </rPr>
          <t>Última movimentação no estoque em 07/2023 quantidade 30.</t>
        </r>
      </text>
    </comment>
    <comment ref="R626" authorId="0" shapeId="0" xr:uid="{FF7CE136-8F3A-4E6D-AC71-49959719DBA6}">
      <text>
        <r>
          <rPr>
            <sz val="10"/>
            <color indexed="81"/>
            <rFont val="Lucida Console"/>
            <family val="3"/>
          </rPr>
          <t>20.08.2009</t>
        </r>
      </text>
    </comment>
    <comment ref="Y626" authorId="0" shapeId="0" xr:uid="{9B54BC5B-6C6B-46C8-B663-709B56D9DC26}">
      <text>
        <r>
          <rPr>
            <sz val="10"/>
            <color indexed="81"/>
            <rFont val="Courier New"/>
            <family val="3"/>
          </rPr>
          <t>_x000D_
    DESCRIÇÃO DO CÁLCULO_x000D_
Código    : 112.163_x000D_
Corte     : 160_x000D_
-----------------------------_x000D_
Pendente  : _x000D_
22 / 10_2 : 27_x000D_
22 / 11_2 : 59_x000D_
22 / 12_2 : 93_x000D_
23 / 01_2 : 85_x000D_
23 / 02_2 : 30_x000D_
23 / 03_2 : 160 (corte = 198)_x000D_
23 / 04_2 : 30_x000D_
23 / 05_2 : 31_x000D_
23 / 06_2 : 42_x000D_
23 / 07_2 : 50_x000D_
23 / 08_2 : 20_x000D_
23 / 09_2 : 80_x000D_
_x000D_
    TOTAL : ( 707 )_x000D_
  DIVISOR : 12_x000D_
    MÉDIA : 58,92_x000D_
-----------------------------_x000D_
   Valores Desconsiderados_x000D_
-----------------------------_x000D_
23 / 03_2 : 38 (198)_x000D_
_x000D_
  TOTAL   : ( 38 )</t>
        </r>
      </text>
    </comment>
    <comment ref="AB626" authorId="0" shapeId="0" xr:uid="{5B1FFE2E-8C79-4589-9C63-16448F17F6E0}">
      <text>
        <r>
          <rPr>
            <sz val="10"/>
            <color indexed="81"/>
            <rFont val="Lucida Console"/>
            <family val="3"/>
          </rPr>
          <t>Última movimentação no estoque em 09/2023 quantidade 80.</t>
        </r>
      </text>
    </comment>
    <comment ref="R627" authorId="0" shapeId="0" xr:uid="{467C6F86-CAE4-4798-9121-76FBEDC1862B}">
      <text>
        <r>
          <rPr>
            <sz val="10"/>
            <color indexed="81"/>
            <rFont val="Lucida Console"/>
            <family val="3"/>
          </rPr>
          <t>20.08.2009</t>
        </r>
      </text>
    </comment>
    <comment ref="Y627" authorId="0" shapeId="0" xr:uid="{E654DAAD-F426-49CF-B0EA-6A153D6AC7F1}">
      <text>
        <r>
          <rPr>
            <sz val="10"/>
            <color indexed="81"/>
            <rFont val="Courier New"/>
            <family val="3"/>
          </rPr>
          <t>_x000D_
    DESCRIÇÃO DO CÁLCULO_x000D_
Código    : 112.162_x000D_
Corte     : 41_x000D_
-----------------------------_x000D_
Pendente  : _x000D_
22 / 10_2 : 10_x000D_
22 / 11_2 : _x000D_
22 / 12_2 : _x000D_
23 / 01_2 : _x000D_
23 / 02_2 : _x000D_
23 / 03_2 : 1_x000D_
23 / 04_2 : _x000D_
23 / 05_2 : 11_x000D_
23 / 06_2 : _x000D_
23 / 07_2 : 41 (corte = 50)_x000D_
23 / 08_2 : 20_x000D_
23 / 09_2 : 30_x000D_
_x000D_
    TOTAL : ( 113 )_x000D_
  DIVISOR : 12_x000D_
    MÉDIA : 9,42_x000D_
-----------------------------_x000D_
   Valores Desconsiderados_x000D_
-----------------------------_x000D_
23 / 07_2 : 9 (50)_x000D_
_x000D_
  TOTAL   : ( 9 )</t>
        </r>
      </text>
    </comment>
    <comment ref="AB627" authorId="0" shapeId="0" xr:uid="{3C7DE497-0914-4929-A1B8-81D5D53E37D9}">
      <text>
        <r>
          <rPr>
            <sz val="10"/>
            <color indexed="81"/>
            <rFont val="Lucida Console"/>
            <family val="3"/>
          </rPr>
          <t>Última movimentação no estoque em 09/2023 quantidade 30.</t>
        </r>
      </text>
    </comment>
    <comment ref="R628" authorId="0" shapeId="0" xr:uid="{C523A211-94EF-428C-820C-BD3252F1FB10}">
      <text>
        <r>
          <rPr>
            <sz val="10"/>
            <color indexed="81"/>
            <rFont val="Lucida Console"/>
            <family val="3"/>
          </rPr>
          <t>01.01.1901</t>
        </r>
      </text>
    </comment>
    <comment ref="Y628" authorId="0" shapeId="0" xr:uid="{3659A681-D7F2-4A51-A590-F674303AB54A}">
      <text>
        <r>
          <rPr>
            <sz val="10"/>
            <color indexed="81"/>
            <rFont val="Courier New"/>
            <family val="3"/>
          </rPr>
          <t>_x000D_
    DESCRIÇÃO DO CÁLCULO_x000D_
Código    : 58.706_x000D_
Corte     : 74_x000D_
-----------------------------_x000D_
Pendente  : 5_x000D_
22 / 10_2 : 56_x000D_
22 / 11_2 : 15_x000D_
22 / 12_2 : 32_x000D_
23 / 01_2 : 18_x000D_
23 / 02_2 : 45_x000D_
23 / 03_2 : 64_x000D_
23 / 04_2 : 54_x000D_
23 / 05_2 : 18_x000D_
23 / 06_2 : 45_x000D_
23 / 07_2 : 32_x000D_
23 / 08_2 : 28_x000D_
23 / 09_2 : _x000D_
_x000D_
    TOTAL : ( 412 )_x000D_
  DIVISOR : 12_x000D_
    MÉDIA : 34,33</t>
        </r>
      </text>
    </comment>
    <comment ref="AB628" authorId="0" shapeId="0" xr:uid="{07EA27B7-4CEC-44BC-8280-156FC1866D9B}">
      <text>
        <r>
          <rPr>
            <sz val="10"/>
            <color indexed="81"/>
            <rFont val="Lucida Console"/>
            <family val="3"/>
          </rPr>
          <t>Última movimentação no estoque em 08/2023 quantidade 28.</t>
        </r>
      </text>
    </comment>
    <comment ref="R629" authorId="0" shapeId="0" xr:uid="{4029B028-044A-46A9-8A7C-0201855C9F24}">
      <text>
        <r>
          <rPr>
            <sz val="10"/>
            <color indexed="81"/>
            <rFont val="Lucida Console"/>
            <family val="3"/>
          </rPr>
          <t>15.03.2018</t>
        </r>
      </text>
    </comment>
    <comment ref="Y629" authorId="0" shapeId="0" xr:uid="{4C0972DA-3CA7-4BD8-A370-E843B4D1945F}">
      <text>
        <r>
          <rPr>
            <sz val="10"/>
            <color indexed="81"/>
            <rFont val="Courier New"/>
            <family val="3"/>
          </rPr>
          <t>_x000D_
    DESCRIÇÃO DO CÁLCULO_x000D_
Código    : 134.570_x000D_
Corte     : 41_x000D_
-----------------------------_x000D_
Pendente  : 34_x000D_
22 / 10_2 : 10_x000D_
22 / 11_2 : 20_x000D_
22 / 12_2 : 30_x000D_
23 / 01_2 : 40_x000D_
23 / 02_2 : 6_x000D_
23 / 03_2 : _x000D_
23 / 04_2 : _x000D_
23 / 05_2 : _x000D_
23 / 06_2 : _x000D_
23 / 07_2 : _x000D_
23 / 08_2 : _x000D_
23 / 09_2 : _x000D_
_x000D_
    TOTAL : ( 140 )_x000D_
  DIVISOR : 12_x000D_
    MÉDIA : 11,67</t>
        </r>
      </text>
    </comment>
    <comment ref="AB629" authorId="0" shapeId="0" xr:uid="{791A54C2-5F87-4B7D-8487-DD717EB32F96}">
      <text>
        <r>
          <rPr>
            <sz val="10"/>
            <color indexed="81"/>
            <rFont val="Lucida Console"/>
            <family val="3"/>
          </rPr>
          <t>Última movimentação no estoque em 02/2023 quantidade 6.</t>
        </r>
      </text>
    </comment>
    <comment ref="R630" authorId="0" shapeId="0" xr:uid="{90E2D3A9-1B76-4B67-81FA-877597ACA479}">
      <text>
        <r>
          <rPr>
            <sz val="10"/>
            <color indexed="81"/>
            <rFont val="Lucida Console"/>
            <family val="3"/>
          </rPr>
          <t>15.03.2018</t>
        </r>
      </text>
    </comment>
    <comment ref="Y630" authorId="0" shapeId="0" xr:uid="{202C377F-1CC7-4039-8C4B-E60C6A0D5116}">
      <text>
        <r>
          <rPr>
            <sz val="10"/>
            <color indexed="81"/>
            <rFont val="Courier New"/>
            <family val="3"/>
          </rPr>
          <t>_x000D_
    DESCRIÇÃO DO CÁLCULO_x000D_
Código    : 134.558_x000D_
Corte     : 132_x000D_
-----------------------------_x000D_
Pendente  : _x000D_
22 / 10_2 : _x000D_
22 / 11_2 : _x000D_
22 / 12_2 : _x000D_
23 / 01_2 : _x000D_
23 / 02_2 : _x000D_
23 / 03_2 : 132 (corte = 200)_x000D_
23 / 04_2 : _x000D_
23 / 05_2 : _x000D_
23 / 06_2 : _x000D_
23 / 07_2 : _x000D_
23 / 08_2 : _x000D_
23 / 09_2 : _x000D_
_x000D_
    TOTAL : ( 132 )_x000D_
  DIVISOR : 12_x000D_
    MÉDIA : 11,00_x000D_
-----------------------------_x000D_
   Valores Desconsiderados_x000D_
-----------------------------_x000D_
23 / 03_2 : 68 (200)_x000D_
_x000D_
  TOTAL   : ( 68 )</t>
        </r>
      </text>
    </comment>
    <comment ref="AB630" authorId="0" shapeId="0" xr:uid="{08901BF7-3D56-46EE-8A7D-A0CFBE9BDA54}">
      <text>
        <r>
          <rPr>
            <sz val="10"/>
            <color indexed="81"/>
            <rFont val="Lucida Console"/>
            <family val="3"/>
          </rPr>
          <t>Última movimentação no estoque em 03/2023 quantidade 200.</t>
        </r>
      </text>
    </comment>
    <comment ref="R631" authorId="0" shapeId="0" xr:uid="{3D63EF09-EDA2-4BE3-90B3-0F7813967744}">
      <text>
        <r>
          <rPr>
            <sz val="10"/>
            <color indexed="81"/>
            <rFont val="Lucida Console"/>
            <family val="3"/>
          </rPr>
          <t>15.03.2018</t>
        </r>
      </text>
    </comment>
    <comment ref="Y631" authorId="0" shapeId="0" xr:uid="{9B37AE26-F425-42D2-B608-CA08F158953F}">
      <text>
        <r>
          <rPr>
            <sz val="10"/>
            <color indexed="81"/>
            <rFont val="Courier New"/>
            <family val="3"/>
          </rPr>
          <t>_x000D_
    DESCRIÇÃO DO CÁLCULO_x000D_
Código    : 134.559_x000D_
Corte     : 1.001_x000D_
-----------------------------_x000D_
Pendente  : _x000D_
22 / 10_2 : 400_x000D_
22 / 11_2 : _x000D_
22 / 12_2 : 300_x000D_
23 / 01_2 : _x000D_
23 / 02_2 : _x000D_
23 / 03_2 : 200_x000D_
23 / 04_2 : _x000D_
23 / 05_2 : _x000D_
23 / 06_2 : 1.000_x000D_
23 / 07_2 : _x000D_
23 / 08_2 : 1.000_x000D_
23 / 09_2 : _x000D_
_x000D_
    TOTAL : ( 2.900 )_x000D_
  DIVISOR : 12_x000D_
    MÉDIA : 241,67</t>
        </r>
      </text>
    </comment>
    <comment ref="AB631" authorId="0" shapeId="0" xr:uid="{02099D5E-8DCE-46D9-A0C1-B59CA47BE139}">
      <text>
        <r>
          <rPr>
            <sz val="10"/>
            <color indexed="81"/>
            <rFont val="Lucida Console"/>
            <family val="3"/>
          </rPr>
          <t>Última movimentação no estoque em 08/2023 quantidade 1.000.</t>
        </r>
      </text>
    </comment>
    <comment ref="R632" authorId="0" shapeId="0" xr:uid="{1DB1C26A-6EF2-4D7A-AC64-951E99BAF117}">
      <text>
        <r>
          <rPr>
            <sz val="10"/>
            <color indexed="81"/>
            <rFont val="Lucida Console"/>
            <family val="3"/>
          </rPr>
          <t>01.01.1901</t>
        </r>
      </text>
    </comment>
    <comment ref="Y632" authorId="0" shapeId="0" xr:uid="{E8E1C980-CC15-4E23-AC9B-3292A7A75063}">
      <text>
        <r>
          <rPr>
            <sz val="10"/>
            <color indexed="81"/>
            <rFont val="Courier New"/>
            <family val="3"/>
          </rPr>
          <t>_x000D_
    DESCRIÇÃO DO CÁLCULO_x000D_
Código    : 64.462_x000D_
Corte     : 1.072_x000D_
-----------------------------_x000D_
Pendente  : _x000D_
22 / 10_2 : 824_x000D_
22 / 11_2 : 1.000_x000D_
22 / 12_2 : 560_x000D_
23 / 01_2 : 565_x000D_
23 / 02_2 : 590_x000D_
23 / 03_2 : 100_x000D_
23 / 04_2 : 500_x000D_
23 / 05_2 : 200_x000D_
23 / 06_2 : _x000D_
23 / 07_2 : _x000D_
23 / 08_2 : _x000D_
23 / 09_2 : _x000D_
_x000D_
    TOTAL : ( 4.339 )_x000D_
  DIVISOR : 12_x000D_
    MÉDIA : 361,58</t>
        </r>
      </text>
    </comment>
    <comment ref="AB632" authorId="0" shapeId="0" xr:uid="{D2B8AFC8-7F28-4005-98FB-FF9218F6EEC5}">
      <text>
        <r>
          <rPr>
            <sz val="10"/>
            <color indexed="81"/>
            <rFont val="Lucida Console"/>
            <family val="3"/>
          </rPr>
          <t>Última movimentação no estoque em 05/2023 quantidade 200.</t>
        </r>
      </text>
    </comment>
    <comment ref="R633" authorId="0" shapeId="0" xr:uid="{0038BD66-B512-4786-8377-315EB8367D60}">
      <text>
        <r>
          <rPr>
            <sz val="10"/>
            <color indexed="81"/>
            <rFont val="Lucida Console"/>
            <family val="3"/>
          </rPr>
          <t>01.09.2020</t>
        </r>
      </text>
    </comment>
    <comment ref="Y633" authorId="0" shapeId="0" xr:uid="{A3C281B3-8A08-481F-A49D-8431F12E59C4}">
      <text>
        <r>
          <rPr>
            <sz val="10"/>
            <color indexed="81"/>
            <rFont val="Courier New"/>
            <family val="3"/>
          </rPr>
          <t>_x000D_
    DESCRIÇÃO DO CÁLCULO_x000D_
Código    : 139.957_x000D_
Corte     : 882_x000D_
-----------------------------_x000D_
Pendente  : 116_x000D_
22 / 10_2 : _x000D_
22 / 11_2 : _x000D_
22 / 12_2 : 882 (corte = 998)_x000D_
23 / 01_2 : 523_x000D_
23 / 02_2 : 2_x000D_
23 / 03_2 : 3_x000D_
23 / 04_2 : 1_x000D_
23 / 05_2 : _x000D_
23 / 06_2 : 9_x000D_
23 / 07_2 : _x000D_
23 / 08_2 : 696_x000D_
23 / 09_2 : 292_x000D_
_x000D_
    TOTAL : ( 2.524 )_x000D_
  DIVISOR : 12_x000D_
    MÉDIA : 210,33_x000D_
-----------------------------_x000D_
   Valores Desconsiderados_x000D_
-----------------------------_x000D_
22 / 12_2 : 116 (998)_x000D_
_x000D_
  TOTAL   : ( 116 )</t>
        </r>
      </text>
    </comment>
    <comment ref="AB633" authorId="0" shapeId="0" xr:uid="{CD7BD3E9-B96C-4354-A7E8-171343FB2AA2}">
      <text>
        <r>
          <rPr>
            <sz val="10"/>
            <color indexed="81"/>
            <rFont val="Lucida Console"/>
            <family val="3"/>
          </rPr>
          <t>Última movimentação no estoque em 09/2023 quantidade 292.</t>
        </r>
      </text>
    </comment>
    <comment ref="R634" authorId="0" shapeId="0" xr:uid="{3DE5B627-B7D0-4FB1-BE85-1CA7F40C33A6}">
      <text>
        <r>
          <rPr>
            <sz val="10"/>
            <color indexed="81"/>
            <rFont val="Lucida Console"/>
            <family val="3"/>
          </rPr>
          <t>01.09.2020</t>
        </r>
      </text>
    </comment>
    <comment ref="Y634" authorId="0" shapeId="0" xr:uid="{3F7F5F37-7D08-40A5-BC1E-97B1CD17A34C}">
      <text>
        <r>
          <rPr>
            <sz val="10"/>
            <color indexed="81"/>
            <rFont val="Courier New"/>
            <family val="3"/>
          </rPr>
          <t>_x000D_
    DESCRIÇÃO DO CÁLCULO_x000D_
Código    : 139.958_x000D_
Corte     : 1.074_x000D_
-----------------------------_x000D_
Pendente  : 15_x000D_
22 / 10_2 : 1.074 (corte = 1677,55)_x000D_
22 / 11_2 : _x000D_
22 / 12_2 : 72_x000D_
23 / 01_2 : _x000D_
23 / 02_2 : 5_x000D_
23 / 03_2 : 3_x000D_
23 / 04_2 : _x000D_
23 / 05_2 : _x000D_
23 / 06_2 : _x000D_
23 / 07_2 : _x000D_
23 / 08_2 : _x000D_
23 / 09_2 : _x000D_
_x000D_
    TOTAL : ( 1.169 )_x000D_
  DIVISOR : 12_x000D_
    MÉDIA : 97,45_x000D_
-----------------------------_x000D_
   Valores Desconsiderados_x000D_
-----------------------------_x000D_
22 / 10_2 : 604 (1.678)_x000D_
_x000D_
  TOTAL   : ( 604 )</t>
        </r>
      </text>
    </comment>
    <comment ref="AB634" authorId="0" shapeId="0" xr:uid="{581C238C-ED30-4E48-855E-05B3BDA60F25}">
      <text>
        <r>
          <rPr>
            <sz val="10"/>
            <color indexed="81"/>
            <rFont val="Lucida Console"/>
            <family val="3"/>
          </rPr>
          <t>Última movimentação no estoque em 03/2023 quantidade 3.</t>
        </r>
      </text>
    </comment>
    <comment ref="R635" authorId="0" shapeId="0" xr:uid="{BF172E02-532A-4548-860B-1E412FCE2E24}">
      <text>
        <r>
          <rPr>
            <sz val="10"/>
            <color indexed="81"/>
            <rFont val="Lucida Console"/>
            <family val="3"/>
          </rPr>
          <t>01.01.1901</t>
        </r>
      </text>
    </comment>
    <comment ref="Y635" authorId="0" shapeId="0" xr:uid="{01541360-D86F-4FD3-B050-9DC4D8974ACE}">
      <text>
        <r>
          <rPr>
            <sz val="10"/>
            <color indexed="81"/>
            <rFont val="Courier New"/>
            <family val="3"/>
          </rPr>
          <t>_x000D_
    DESCRIÇÃO DO CÁLCULO_x000D_
Código    : 14.056_x000D_
Corte     : 33_x000D_
-----------------------------_x000D_
Pendente  : _x000D_
22 / 10_2 : 1_x000D_
22 / 11_2 : 1_x000D_
22 / 12_2 : _x000D_
23 / 01_2 : 1_x000D_
23 / 02_2 : 1_x000D_
23 / 03_2 : _x000D_
23 / 04_2 : _x000D_
23 / 05_2 : _x000D_
23 / 06_2 : 2_x000D_
23 / 07_2 : _x000D_
23 / 08_2 : 33 (corte = 51)_x000D_
23 / 09_2 : _x000D_
_x000D_
    TOTAL : ( 39 )_x000D_
  DIVISOR : 12_x000D_
    MÉDIA : 3,25_x000D_
-----------------------------_x000D_
   Valores Desconsiderados_x000D_
-----------------------------_x000D_
23 / 08_2 : 18 (51)_x000D_
_x000D_
  TOTAL   : ( 18 )</t>
        </r>
      </text>
    </comment>
    <comment ref="AB635" authorId="0" shapeId="0" xr:uid="{42F24F03-73A8-4B07-AD67-89C4434AF5A3}">
      <text>
        <r>
          <rPr>
            <sz val="10"/>
            <color indexed="81"/>
            <rFont val="Lucida Console"/>
            <family val="3"/>
          </rPr>
          <t>Última movimentação no estoque em 08/2023 quantidade 51.</t>
        </r>
      </text>
    </comment>
    <comment ref="R636" authorId="0" shapeId="0" xr:uid="{FDC07A98-8C90-493C-A85C-F53816A9D5CF}">
      <text>
        <r>
          <rPr>
            <sz val="10"/>
            <color indexed="81"/>
            <rFont val="Lucida Console"/>
            <family val="3"/>
          </rPr>
          <t>17.08.2005</t>
        </r>
      </text>
    </comment>
    <comment ref="Y636" authorId="0" shapeId="0" xr:uid="{6BCC1382-1C83-490B-A196-ACB871E51235}">
      <text>
        <r>
          <rPr>
            <sz val="10"/>
            <color indexed="81"/>
            <rFont val="Courier New"/>
            <family val="3"/>
          </rPr>
          <t>_x000D_
    DESCRIÇÃO DO CÁLCULO_x000D_
Código    : 87.247_x000D_
Corte     : 15_x000D_
-----------------------------_x000D_
Pendente  : _x000D_
22 / 10_2 : _x000D_
22 / 11_2 : 4_x000D_
22 / 12_2 : 10_x000D_
23 / 01_2 : 3_x000D_
23 / 02_2 : _x000D_
23 / 03_2 : 15 (corte = 20)_x000D_
23 / 04_2 : _x000D_
23 / 05_2 : _x000D_
23 / 06_2 : 2_x000D_
23 / 07_2 : _x000D_
23 / 08_2 : _x000D_
23 / 09_2 : _x000D_
_x000D_
    TOTAL : ( 34 )_x000D_
  DIVISOR : 12_x000D_
    MÉDIA : 2,83_x000D_
-----------------------------_x000D_
   Valores Desconsiderados_x000D_
-----------------------------_x000D_
23 / 03_2 : 5 (20)_x000D_
_x000D_
  TOTAL   : ( 5 )</t>
        </r>
      </text>
    </comment>
    <comment ref="AB636" authorId="0" shapeId="0" xr:uid="{D982EACA-BE51-4A9B-B327-446BA9B2DB75}">
      <text>
        <r>
          <rPr>
            <sz val="10"/>
            <color indexed="81"/>
            <rFont val="Lucida Console"/>
            <family val="3"/>
          </rPr>
          <t>Última movimentação no estoque em 06/2023 quantidade 2.</t>
        </r>
      </text>
    </comment>
    <comment ref="R637" authorId="0" shapeId="0" xr:uid="{14B3C5EA-35D2-423E-B5E9-DC2A82632BEA}">
      <text>
        <r>
          <rPr>
            <sz val="10"/>
            <color indexed="81"/>
            <rFont val="Lucida Console"/>
            <family val="3"/>
          </rPr>
          <t>22.10.2007</t>
        </r>
      </text>
    </comment>
    <comment ref="Y637" authorId="0" shapeId="0" xr:uid="{D1DB43B8-58AA-4069-92D4-DCBA87968877}">
      <text>
        <r>
          <rPr>
            <sz val="10"/>
            <color indexed="81"/>
            <rFont val="Courier New"/>
            <family val="3"/>
          </rPr>
          <t>_x000D_
    DESCRIÇÃO DO CÁLCULO_x000D_
Código    : 102.832_x000D_
Corte     : 36_x000D_
-----------------------------_x000D_
Pendente  : _x000D_
22 / 10_2 : _x000D_
22 / 11_2 : 10_x000D_
22 / 12_2 : _x000D_
23 / 01_2 : 13_x000D_
23 / 02_2 : 12_x000D_
23 / 03_2 : 5_x000D_
23 / 04_2 : _x000D_
23 / 05_2 : 36 (corte = 50)_x000D_
23 / 06_2 : _x000D_
23 / 07_2 : _x000D_
23 / 08_2 : _x000D_
23 / 09_2 : _x000D_
_x000D_
    TOTAL : ( 76 )_x000D_
  DIVISOR : 12_x000D_
    MÉDIA : 6,33_x000D_
-----------------------------_x000D_
   Valores Desconsiderados_x000D_
-----------------------------_x000D_
23 / 05_2 : 14 (50)_x000D_
_x000D_
  TOTAL   : ( 14 )</t>
        </r>
      </text>
    </comment>
    <comment ref="AB637" authorId="0" shapeId="0" xr:uid="{7F4BE4C9-6EA8-4F22-976F-A0750ACCC1EB}">
      <text>
        <r>
          <rPr>
            <sz val="10"/>
            <color indexed="81"/>
            <rFont val="Lucida Console"/>
            <family val="3"/>
          </rPr>
          <t>Última movimentação no estoque em 05/2023 quantidade 50.</t>
        </r>
      </text>
    </comment>
    <comment ref="R638" authorId="0" shapeId="0" xr:uid="{F1898DD4-2D79-486A-B1FE-F8AB4ABD64C7}">
      <text>
        <r>
          <rPr>
            <sz val="10"/>
            <color indexed="81"/>
            <rFont val="Lucida Console"/>
            <family val="3"/>
          </rPr>
          <t>01.01.1901</t>
        </r>
      </text>
    </comment>
    <comment ref="Y638" authorId="0" shapeId="0" xr:uid="{742FF9D0-0C6A-45FA-9962-D74CF0645A58}">
      <text>
        <r>
          <rPr>
            <sz val="10"/>
            <color indexed="81"/>
            <rFont val="Courier New"/>
            <family val="3"/>
          </rPr>
          <t>_x000D_
    DESCRIÇÃO DO CÁLCULO_x000D_
Código    : 24.888_x000D_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638" authorId="0" shapeId="0" xr:uid="{AED87AA2-316B-4EDD-BB7A-2EDB7DC75200}">
      <text>
        <r>
          <rPr>
            <sz val="10"/>
            <color indexed="81"/>
            <rFont val="Lucida Console"/>
            <family val="3"/>
          </rPr>
          <t>Última movimentação no estoque em 03/2023 quantidade 1.</t>
        </r>
      </text>
    </comment>
    <comment ref="R639" authorId="0" shapeId="0" xr:uid="{0022176C-9145-43F6-A553-E6581D3B53D7}">
      <text>
        <r>
          <rPr>
            <sz val="10"/>
            <color indexed="81"/>
            <rFont val="Lucida Console"/>
            <family val="3"/>
          </rPr>
          <t>01.01.1901</t>
        </r>
      </text>
    </comment>
    <comment ref="Y639" authorId="0" shapeId="0" xr:uid="{800DECBF-D227-4C0B-B992-ABD4390A19EA}">
      <text>
        <r>
          <rPr>
            <sz val="10"/>
            <color indexed="81"/>
            <rFont val="Courier New"/>
            <family val="3"/>
          </rPr>
          <t>_x000D_
    DESCRIÇÃO DO CÁLCULO_x000D_
Código    : 18.337_x000D_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639" authorId="0" shapeId="0" xr:uid="{7F16DE30-46BF-46F6-A99A-E27DC196201A}">
      <text>
        <r>
          <rPr>
            <sz val="10"/>
            <color indexed="81"/>
            <rFont val="Lucida Console"/>
            <family val="3"/>
          </rPr>
          <t>Última movimentação no estoque em 01/2023 quantidade 1.</t>
        </r>
      </text>
    </comment>
    <comment ref="R640" authorId="0" shapeId="0" xr:uid="{F149E188-3ABA-4D18-86F9-3987F6B8318D}">
      <text>
        <r>
          <rPr>
            <sz val="10"/>
            <color indexed="81"/>
            <rFont val="Lucida Console"/>
            <family val="3"/>
          </rPr>
          <t>01.01.1901</t>
        </r>
      </text>
    </comment>
    <comment ref="Y640" authorId="0" shapeId="0" xr:uid="{3DAAEFFA-3048-4D1C-A52C-846466144E21}">
      <text>
        <r>
          <rPr>
            <sz val="10"/>
            <color indexed="81"/>
            <rFont val="Courier New"/>
            <family val="3"/>
          </rPr>
          <t>_x000D_
    DESCRIÇÃO DO CÁLCULO_x000D_
Código    : 18.346_x000D_
Corte     : 3_x000D_
-----------------------------_x000D_
Pendente  : _x000D_
22 / 10_2 : _x000D_
22 / 11_2 : _x000D_
22 / 12_2 : _x000D_
23 / 01_2 : 1_x000D_
23 / 02_2 : 3_x000D_
23 / 03_2 : 3 (corte = 4)_x000D_
23 / 04_2 : _x000D_
23 / 05_2 : _x000D_
23 / 06_2 : _x000D_
23 / 07_2 : _x000D_
23 / 08_2 : _x000D_
23 / 09_2 : _x000D_
_x000D_
    TOTAL : ( 7 )_x000D_
  DIVISOR : 12_x000D_
    MÉDIA : ,58_x000D_
-----------------------------_x000D_
   Valores Desconsiderados_x000D_
-----------------------------_x000D_
23 / 03_2 : 1 (4)_x000D_
_x000D_
  TOTAL   : ( 1 )</t>
        </r>
      </text>
    </comment>
    <comment ref="AB640" authorId="0" shapeId="0" xr:uid="{51B2CE05-8FA1-4BD7-A0B1-3939CC31D2E6}">
      <text>
        <r>
          <rPr>
            <sz val="10"/>
            <color indexed="81"/>
            <rFont val="Lucida Console"/>
            <family val="3"/>
          </rPr>
          <t>Última movimentação no estoque em 03/2023 quantidade 4.</t>
        </r>
      </text>
    </comment>
    <comment ref="R641" authorId="0" shapeId="0" xr:uid="{E40AC7CB-A72C-4D22-A08D-1CAF7FECF3D3}">
      <text>
        <r>
          <rPr>
            <sz val="10"/>
            <color indexed="81"/>
            <rFont val="Lucida Console"/>
            <family val="3"/>
          </rPr>
          <t>01.01.1901</t>
        </r>
      </text>
    </comment>
    <comment ref="Y641" authorId="0" shapeId="0" xr:uid="{3AE992D4-E328-404F-9294-DC66C4CDCDAA}">
      <text>
        <r>
          <rPr>
            <sz val="10"/>
            <color indexed="81"/>
            <rFont val="Courier New"/>
            <family val="3"/>
          </rPr>
          <t>_x000D_
    DESCRIÇÃO DO CÁLCULO_x000D_
Código    : 18.353_x000D_
Corte     : 33_x000D_
-----------------------------_x000D_
Pendente  : 17_x000D_
22 / 10_2 : _x000D_
22 / 11_2 : _x000D_
22 / 12_2 : _x000D_
23 / 01_2 : 9_x000D_
23 / 02_2 : 7_x000D_
23 / 03_2 : 33 (corte = 39)_x000D_
23 / 04_2 : 22_x000D_
23 / 05_2 : 11_x000D_
23 / 06_2 : 12_x000D_
23 / 07_2 : _x000D_
23 / 08_2 : _x000D_
23 / 09_2 : _x000D_
_x000D_
    TOTAL : ( 111 )_x000D_
  DIVISOR : 12_x000D_
    MÉDIA : 9,25_x000D_
-----------------------------_x000D_
   Valores Desconsiderados_x000D_
-----------------------------_x000D_
23 / 03_2 : 6 (39)_x000D_
_x000D_
  TOTAL   : ( 6 )</t>
        </r>
      </text>
    </comment>
    <comment ref="AB641" authorId="0" shapeId="0" xr:uid="{38764A79-0C9E-40F6-B9A5-6753274E85C6}">
      <text>
        <r>
          <rPr>
            <sz val="10"/>
            <color indexed="81"/>
            <rFont val="Lucida Console"/>
            <family val="3"/>
          </rPr>
          <t>Última movimentação no estoque em 06/2023 quantidade 12.</t>
        </r>
      </text>
    </comment>
    <comment ref="R642" authorId="0" shapeId="0" xr:uid="{AB4800BE-921E-411B-824B-1DD43B7A52DC}">
      <text>
        <r>
          <rPr>
            <sz val="10"/>
            <color indexed="81"/>
            <rFont val="Lucida Console"/>
            <family val="3"/>
          </rPr>
          <t>01.01.1901</t>
        </r>
      </text>
    </comment>
    <comment ref="Y642" authorId="0" shapeId="0" xr:uid="{8324AA2C-6DB6-44F0-9C3E-602058155E55}">
      <text>
        <r>
          <rPr>
            <sz val="10"/>
            <color indexed="81"/>
            <rFont val="Courier New"/>
            <family val="3"/>
          </rPr>
          <t>_x000D_
    DESCRIÇÃO DO CÁLCULO_x000D_
Código    : 18.357_x000D_
Corte     : 36_x000D_
-----------------------------_x000D_
Pendente  : _x000D_
22 / 10_2 : 3_x000D_
22 / 11_2 : 6_x000D_
22 / 12_2 : 9_x000D_
23 / 01_2 : 10_x000D_
23 / 02_2 : 7_x000D_
23 / 03_2 : 36_x000D_
23 / 04_2 : 22_x000D_
23 / 05_2 : 3_x000D_
23 / 06_2 : 20_x000D_
23 / 07_2 : _x000D_
23 / 08_2 : _x000D_
23 / 09_2 : 30_x000D_
_x000D_
    TOTAL : ( 146 )_x000D_
  DIVISOR : 12_x000D_
    MÉDIA : 12,17</t>
        </r>
      </text>
    </comment>
    <comment ref="AB642" authorId="0" shapeId="0" xr:uid="{4364AC6E-0D74-4B57-B116-BACCDCED594E}">
      <text>
        <r>
          <rPr>
            <sz val="10"/>
            <color indexed="81"/>
            <rFont val="Lucida Console"/>
            <family val="3"/>
          </rPr>
          <t>Última movimentação no estoque em 09/2023 quantidade 30.</t>
        </r>
      </text>
    </comment>
    <comment ref="R643" authorId="0" shapeId="0" xr:uid="{9B54A55E-1867-404D-A0EA-54C0837D6DE4}">
      <text>
        <r>
          <rPr>
            <sz val="10"/>
            <color indexed="81"/>
            <rFont val="Lucida Console"/>
            <family val="3"/>
          </rPr>
          <t>01.01.1901</t>
        </r>
      </text>
    </comment>
    <comment ref="Y643" authorId="0" shapeId="0" xr:uid="{B594D2D9-D2C0-4368-8EB7-4EB38E478BAC}">
      <text>
        <r>
          <rPr>
            <sz val="10"/>
            <color indexed="81"/>
            <rFont val="Courier New"/>
            <family val="3"/>
          </rPr>
          <t>_x000D_
    DESCRIÇÃO DO CÁLCULO_x000D_
Código    : 18.358_x000D_
Corte     : 37_x000D_
-----------------------------_x000D_
Pendente  : _x000D_
22 / 10_2 : 9_x000D_
22 / 11_2 : 16_x000D_
22 / 12_2 : 10_x000D_
23 / 01_2 : _x000D_
23 / 02_2 : 7_x000D_
23 / 03_2 : 21_x000D_
23 / 04_2 : 22_x000D_
23 / 05_2 : 18_x000D_
23 / 06_2 : 20_x000D_
23 / 07_2 : _x000D_
23 / 08_2 : 37 (corte = 40)_x000D_
23 / 09_2 : _x000D_
_x000D_
    TOTAL : ( 160 )_x000D_
  DIVISOR : 12_x000D_
    MÉDIA : 13,33_x000D_
-----------------------------_x000D_
   Valores Desconsiderados_x000D_
-----------------------------_x000D_
23 / 08_2 : 3 (40)_x000D_
_x000D_
  TOTAL   : ( 3 )</t>
        </r>
      </text>
    </comment>
    <comment ref="AB643" authorId="0" shapeId="0" xr:uid="{B5E91D70-BBF8-4CAE-8788-262FA59ACDCE}">
      <text>
        <r>
          <rPr>
            <sz val="10"/>
            <color indexed="81"/>
            <rFont val="Lucida Console"/>
            <family val="3"/>
          </rPr>
          <t>Última movimentação no estoque em 08/2023 quantidade 40.</t>
        </r>
      </text>
    </comment>
    <comment ref="R644" authorId="0" shapeId="0" xr:uid="{4A1E55BF-8F70-44E4-B9E3-DA1D9E119BF8}">
      <text>
        <r>
          <rPr>
            <sz val="10"/>
            <color indexed="81"/>
            <rFont val="Lucida Console"/>
            <family val="3"/>
          </rPr>
          <t>01.01.1901</t>
        </r>
      </text>
    </comment>
    <comment ref="Y644" authorId="0" shapeId="0" xr:uid="{977BAB70-2915-4B31-A386-D9267D2F123F}">
      <text>
        <r>
          <rPr>
            <sz val="10"/>
            <color indexed="81"/>
            <rFont val="Courier New"/>
            <family val="3"/>
          </rPr>
          <t>_x000D_
    DESCRIÇÃO DO CÁLCULO_x000D_
Código    : 14.055_x000D_
Corte     : 24_x000D_
-----------------------------_x000D_
Pendente  : _x000D_
22 / 10_2 : 3_x000D_
22 / 11_2 : _x000D_
22 / 12_2 : 5_x000D_
23 / 01_2 : _x000D_
23 / 02_2 : _x000D_
23 / 03_2 : 8_x000D_
23 / 04_2 : 24 (corte = 26)_x000D_
23 / 05_2 : 16_x000D_
23 / 06_2 : 20_x000D_
23 / 07_2 : _x000D_
23 / 08_2 : _x000D_
23 / 09_2 : _x000D_
_x000D_
    TOTAL : ( 76 )_x000D_
  DIVISOR : 12_x000D_
    MÉDIA : 6,33_x000D_
-----------------------------_x000D_
   Valores Desconsiderados_x000D_
-----------------------------_x000D_
23 / 04_2 : 2 (26)_x000D_
_x000D_
  TOTAL   : ( 2 )</t>
        </r>
      </text>
    </comment>
    <comment ref="AB644" authorId="0" shapeId="0" xr:uid="{B3A58EA2-1C6B-43D4-9E82-7EC8A6436B1B}">
      <text>
        <r>
          <rPr>
            <sz val="10"/>
            <color indexed="81"/>
            <rFont val="Lucida Console"/>
            <family val="3"/>
          </rPr>
          <t>Última movimentação no estoque em 06/2023 quantidade 20.</t>
        </r>
      </text>
    </comment>
    <comment ref="R645" authorId="0" shapeId="0" xr:uid="{B65184AE-F544-4E78-9026-CD8E9E0B5342}">
      <text>
        <r>
          <rPr>
            <sz val="10"/>
            <color indexed="81"/>
            <rFont val="Lucida Console"/>
            <family val="3"/>
          </rPr>
          <t>01.01.1901</t>
        </r>
      </text>
    </comment>
    <comment ref="Y645" authorId="0" shapeId="0" xr:uid="{3FA54782-99C4-4C94-B5FC-11E45FC89F75}">
      <text>
        <r>
          <rPr>
            <sz val="10"/>
            <color indexed="81"/>
            <rFont val="Courier New"/>
            <family val="3"/>
          </rPr>
          <t>_x000D_
    DESCRIÇÃO DO CÁLCULO_x000D_
Código    : 20.537_x000D_
Corte     : 7_x000D_
-----------------------------_x000D_
Pendente  : _x000D_
22 / 10_2 : _x000D_
22 / 11_2 : _x000D_
22 / 12_2 : _x000D_
23 / 01_2 : _x000D_
23 / 02_2 : _x000D_
23 / 03_2 : 1_x000D_
23 / 04_2 : 4_x000D_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645" authorId="0" shapeId="0" xr:uid="{7717B96C-0019-4713-865F-E064A2335BBA}">
      <text>
        <r>
          <rPr>
            <sz val="10"/>
            <color indexed="81"/>
            <rFont val="Lucida Console"/>
            <family val="3"/>
          </rPr>
          <t>Última movimentação no estoque em 06/2023 quantidade 10.</t>
        </r>
      </text>
    </comment>
    <comment ref="R646" authorId="0" shapeId="0" xr:uid="{4A246DF4-F473-48A6-B706-CAB138B24773}">
      <text>
        <r>
          <rPr>
            <sz val="10"/>
            <color indexed="81"/>
            <rFont val="Lucida Console"/>
            <family val="3"/>
          </rPr>
          <t>01.01.1901</t>
        </r>
      </text>
    </comment>
    <comment ref="Y646" authorId="0" shapeId="0" xr:uid="{4FC5B67A-B5C4-4CF9-BE44-8A969E5DA188}">
      <text>
        <r>
          <rPr>
            <sz val="10"/>
            <color indexed="81"/>
            <rFont val="Courier New"/>
            <family val="3"/>
          </rPr>
          <t>_x000D_
    DESCRIÇÃO DO CÁLCULO_x000D_
Código    : 49.858_x000D_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646" authorId="0" shapeId="0" xr:uid="{D5BD82BB-2039-4853-8B8C-94759F4DFFBE}">
      <text>
        <r>
          <rPr>
            <sz val="10"/>
            <color indexed="81"/>
            <rFont val="Lucida Console"/>
            <family val="3"/>
          </rPr>
          <t>Última movimentação no estoque em 05/2023 quantidade 10.</t>
        </r>
      </text>
    </comment>
    <comment ref="R647" authorId="0" shapeId="0" xr:uid="{9F8D8DCA-F66D-4761-9893-F2B7D97309A2}">
      <text>
        <r>
          <rPr>
            <sz val="10"/>
            <color indexed="81"/>
            <rFont val="Lucida Console"/>
            <family val="3"/>
          </rPr>
          <t>01.01.1901</t>
        </r>
      </text>
    </comment>
    <comment ref="Y647" authorId="0" shapeId="0" xr:uid="{27BF9C65-18E6-4EEC-870F-6C6D1174AB60}">
      <text>
        <r>
          <rPr>
            <sz val="10"/>
            <color indexed="81"/>
            <rFont val="Courier New"/>
            <family val="3"/>
          </rPr>
          <t>_x000D_
    DESCRIÇÃO DO CÁLCULO_x000D_
Código    : 36.031_x000D_
Corte     : 15_x000D_
-----------------------------_x000D_
Pendente  : _x000D_
22 / 10_2 : 1_x000D_
22 / 11_2 : 1_x000D_
22 / 12_2 : 2_x000D_
23 / 01_2 : 2_x000D_
23 / 02_2 : 1_x000D_
23 / 03_2 : 2_x000D_
23 / 04_2 : _x000D_
23 / 05_2 : 11_x000D_
23 / 06_2 : _x000D_
23 / 07_2 : _x000D_
23 / 08_2 : _x000D_
23 / 09_2 : 15 (corte = 20)_x000D_
_x000D_
    TOTAL : ( 35 )_x000D_
  DIVISOR : 12_x000D_
    MÉDIA : 2,92_x000D_
-----------------------------_x000D_
   Valores Desconsiderados_x000D_
-----------------------------_x000D_
23 / 09_2 : 5 (20)_x000D_
_x000D_
  TOTAL   : ( 5 )</t>
        </r>
      </text>
    </comment>
    <comment ref="AB647" authorId="0" shapeId="0" xr:uid="{5A331D1F-6337-44D8-97A5-A48AA7570F5D}">
      <text>
        <r>
          <rPr>
            <sz val="10"/>
            <color indexed="81"/>
            <rFont val="Lucida Console"/>
            <family val="3"/>
          </rPr>
          <t>Última movimentação no estoque em 09/2023 quantidade 20.</t>
        </r>
      </text>
    </comment>
    <comment ref="R648" authorId="0" shapeId="0" xr:uid="{09564FF3-3BAB-44BE-B4D6-2E3B8CB1AE21}">
      <text>
        <r>
          <rPr>
            <sz val="10"/>
            <color indexed="81"/>
            <rFont val="Lucida Console"/>
            <family val="3"/>
          </rPr>
          <t>26.09.2019</t>
        </r>
      </text>
    </comment>
    <comment ref="Y648" authorId="0" shapeId="0" xr:uid="{AD34753B-74AB-47C0-ACBD-540C354D3983}">
      <text>
        <r>
          <rPr>
            <sz val="10"/>
            <color indexed="81"/>
            <rFont val="Courier New"/>
            <family val="3"/>
          </rPr>
          <t>_x000D_
    DESCRIÇÃO DO CÁLCULO_x000D_
Código    : 138.551_x000D_
Corte     : 109_x000D_
-----------------------------_x000D_
Pendente  : 52_x000D_
22 / 10_2 : 9_x000D_
22 / 11_2 : 15_x000D_
22 / 12_2 : 7_x000D_
23 / 01_2 : 8_x000D_
23 / 02_2 : 18_x000D_
23 / 03_2 : 10_x000D_
23 / 04_2 : 103_x000D_
23 / 05_2 : 109 (corte = 120)_x000D_
23 / 06_2 : 8_x000D_
23 / 07_2 : _x000D_
23 / 08_2 : _x000D_
23 / 09_2 : _x000D_
_x000D_
    TOTAL : ( 339 )_x000D_
  DIVISOR : 12_x000D_
    MÉDIA : 28,25_x000D_
-----------------------------_x000D_
   Valores Desconsiderados_x000D_
-----------------------------_x000D_
23 / 05_2 : 11 (120)_x000D_
_x000D_
  TOTAL   : ( 11 )</t>
        </r>
      </text>
    </comment>
    <comment ref="AB648" authorId="0" shapeId="0" xr:uid="{A544F436-D946-49B1-BC2D-EECAED868D06}">
      <text>
        <r>
          <rPr>
            <sz val="10"/>
            <color indexed="81"/>
            <rFont val="Lucida Console"/>
            <family val="3"/>
          </rPr>
          <t>Última movimentação no estoque em 06/2023 quantidade 8.</t>
        </r>
      </text>
    </comment>
    <comment ref="R649" authorId="0" shapeId="0" xr:uid="{3195A625-75C2-41AB-9E06-E547F224979B}">
      <text>
        <r>
          <rPr>
            <sz val="10"/>
            <color indexed="81"/>
            <rFont val="Lucida Console"/>
            <family val="3"/>
          </rPr>
          <t>10.06.2019</t>
        </r>
      </text>
    </comment>
    <comment ref="Y649" authorId="0" shapeId="0" xr:uid="{01227EDF-5215-40AB-B540-C3A606A9F330}">
      <text>
        <r>
          <rPr>
            <sz val="10"/>
            <color indexed="81"/>
            <rFont val="Courier New"/>
            <family val="3"/>
          </rPr>
          <t>_x000D_
    DESCRIÇÃO DO CÁLCULO_x000D_
Código    : 137.053_x000D_
Corte     : _x000D_
-----------------------------_x000D_
Pendente  : _x000D_
22 / 10_2 : _x000D_
22 / 11_2 : _x000D_
22 / 12_2 : _x000D_
23 / 01_2 : _x000D_
23 / 02_2 : _x000D_
23 / 03_2 : _x000D_
23 / 04_2 : _x000D_
23 / 05_2 :  (corte = 1)_x000D_
23 / 06_2 : _x000D_
23 / 07_2 : _x000D_
23 / 08_2 : _x000D_
23 / 09_2 : _x000D_
_x000D_
    TOTAL : (  )_x000D_
  DIVISOR : 12_x000D_
    MÉDIA : ,00_x000D_
-----------------------------_x000D_
   Valores Desconsiderados_x000D_
-----------------------------_x000D_
23 / 05_2 : 1 (1)_x000D_
_x000D_
  TOTAL   : ( 1 )</t>
        </r>
      </text>
    </comment>
    <comment ref="AB649" authorId="0" shapeId="0" xr:uid="{7D5C338A-05CB-4FF3-ACE1-B0EF8072DBEA}">
      <text>
        <r>
          <rPr>
            <sz val="10"/>
            <color indexed="81"/>
            <rFont val="Lucida Console"/>
            <family val="3"/>
          </rPr>
          <t>Última movimentação no estoque em 05/2023 quantidade 1.</t>
        </r>
      </text>
    </comment>
    <comment ref="R650" authorId="0" shapeId="0" xr:uid="{A61ECDBB-5609-495D-9B1F-E5A57BBD0D81}">
      <text>
        <r>
          <rPr>
            <sz val="10"/>
            <color indexed="81"/>
            <rFont val="Lucida Console"/>
            <family val="3"/>
          </rPr>
          <t>04.06.2019</t>
        </r>
      </text>
    </comment>
    <comment ref="Y650" authorId="0" shapeId="0" xr:uid="{6E0BD9B6-CEE6-4093-86C2-F28275EAB69D}">
      <text>
        <r>
          <rPr>
            <sz val="10"/>
            <color indexed="81"/>
            <rFont val="Courier New"/>
            <family val="3"/>
          </rPr>
          <t>_x000D_
    DESCRIÇÃO DO CÁLCULO_x000D_
Código    : 137.019_x000D_
Corte     : 18_x000D_
-----------------------------_x000D_
Pendente  : 20_x000D_
22 / 10_2 : _x000D_
22 / 11_2 : _x000D_
22 / 12_2 : _x000D_
23 / 01_2 : _x000D_
23 / 02_2 : _x000D_
23 / 03_2 : _x000D_
23 / 04_2 : _x000D_
23 / 05_2 : _x000D_
23 / 06_2 : _x000D_
23 / 07_2 : 3_x000D_
23 / 08_2 : _x000D_
23 / 09_2 : 18 (corte = 20)_x000D_
_x000D_
    TOTAL : ( 41 )_x000D_
  DIVISOR : 12_x000D_
    MÉDIA : 3,42_x000D_
-----------------------------_x000D_
   Valores Desconsiderados_x000D_
-----------------------------_x000D_
23 / 09_2 : 2 (20)_x000D_
_x000D_
  TOTAL   : ( 2 )</t>
        </r>
      </text>
    </comment>
    <comment ref="AB650" authorId="0" shapeId="0" xr:uid="{4DD1F8DB-3FEC-40A0-A245-16E2D5C4E121}">
      <text>
        <r>
          <rPr>
            <sz val="10"/>
            <color indexed="81"/>
            <rFont val="Lucida Console"/>
            <family val="3"/>
          </rPr>
          <t>Última movimentação no estoque em 09/2023 quantidade 20.</t>
        </r>
      </text>
    </comment>
    <comment ref="R651" authorId="0" shapeId="0" xr:uid="{6F452BAB-209D-41D3-B26A-48D7CB8402B6}">
      <text>
        <r>
          <rPr>
            <sz val="10"/>
            <color indexed="81"/>
            <rFont val="Lucida Console"/>
            <family val="3"/>
          </rPr>
          <t>01.01.1901</t>
        </r>
      </text>
    </comment>
    <comment ref="Y651" authorId="0" shapeId="0" xr:uid="{A12C7979-E1CE-409B-87B6-92BBFCEE151C}">
      <text>
        <r>
          <rPr>
            <sz val="10"/>
            <color indexed="81"/>
            <rFont val="Courier New"/>
            <family val="3"/>
          </rPr>
          <t>_x000D_
    DESCRIÇÃO DO CÁLCULO_x000D_
Código    : 19.842_x000D_
Corte     : 2.372_x000D_
-----------------------------_x000D_
Pendente  : 460_x000D_
22 / 10_2 : 303_x000D_
22 / 11_2 : 860_x000D_
22 / 12_2 : 279_x000D_
23 / 01_2 : 206_x000D_
23 / 02_2 : 776_x000D_
23 / 03_2 : 2.195_x000D_
23 / 04_2 : 1.362_x000D_
23 / 05_2 : 1.926_x000D_
23 / 06_2 : 1.636_x000D_
23 / 07_2 : 32_x000D_
23 / 08_2 : _x000D_
23 / 09_2 : _x000D_
_x000D_
    TOTAL : ( 10.035 )_x000D_
  DIVISOR : 12_x000D_
    MÉDIA : 836,25</t>
        </r>
      </text>
    </comment>
    <comment ref="AB651" authorId="0" shapeId="0" xr:uid="{9E587366-3A36-4E2E-B3BB-3666CB997F36}">
      <text>
        <r>
          <rPr>
            <sz val="10"/>
            <color indexed="81"/>
            <rFont val="Lucida Console"/>
            <family val="3"/>
          </rPr>
          <t>Última movimentação no estoque em 07/2023 quantidade 32.</t>
        </r>
      </text>
    </comment>
    <comment ref="R652" authorId="0" shapeId="0" xr:uid="{0D95EDCD-C5E4-4554-AB1C-501BD2908AD3}">
      <text>
        <r>
          <rPr>
            <sz val="10"/>
            <color indexed="81"/>
            <rFont val="Lucida Console"/>
            <family val="3"/>
          </rPr>
          <t>12.03.2010</t>
        </r>
      </text>
    </comment>
    <comment ref="Y652" authorId="0" shapeId="0" xr:uid="{2DE6A727-68C4-4AA9-9EA9-878315C07FA3}">
      <text>
        <r>
          <rPr>
            <sz val="10"/>
            <color indexed="81"/>
            <rFont val="Courier New"/>
            <family val="3"/>
          </rPr>
          <t>_x000D_
    DESCRIÇÃO DO CÁLCULO_x000D_
Código    : 114.430_x000D_
Corte     : 66_x000D_
-----------------------------_x000D_
Pendente  : _x000D_
22 / 10_2 : 23_x000D_
22 / 11_2 : 26_x000D_
22 / 12_2 : 13_x000D_
23 / 01_2 : 22_x000D_
23 / 02_2 : 44_x000D_
23 / 03_2 : 66 (corte = 76)_x000D_
23 / 04_2 : 37_x000D_
23 / 05_2 : 34_x000D_
23 / 06_2 : 42_x000D_
23 / 07_2 : 21_x000D_
23 / 08_2 : 25_x000D_
23 / 09_2 : 36_x000D_
_x000D_
    TOTAL : ( 389 )_x000D_
  DIVISOR : 12_x000D_
    MÉDIA : 32,42_x000D_
-----------------------------_x000D_
   Valores Desconsiderados_x000D_
-----------------------------_x000D_
23 / 03_2 : 10 (76)_x000D_
_x000D_
  TOTAL   : ( 10 )</t>
        </r>
      </text>
    </comment>
    <comment ref="AB652" authorId="0" shapeId="0" xr:uid="{1C88DD19-AA41-442F-A9B7-1731AA5539CB}">
      <text>
        <r>
          <rPr>
            <sz val="10"/>
            <color indexed="81"/>
            <rFont val="Lucida Console"/>
            <family val="3"/>
          </rPr>
          <t>Última movimentação no estoque em 09/2023 quantidade 36.</t>
        </r>
      </text>
    </comment>
    <comment ref="R653" authorId="0" shapeId="0" xr:uid="{C062BEEF-25D3-4AA8-8D8F-B68694D76CF8}">
      <text>
        <r>
          <rPr>
            <sz val="10"/>
            <color indexed="81"/>
            <rFont val="Lucida Console"/>
            <family val="3"/>
          </rPr>
          <t>28.02.2008</t>
        </r>
      </text>
    </comment>
    <comment ref="Y653" authorId="0" shapeId="0" xr:uid="{4AFE6239-EF2A-4708-9DE9-AAFC5086F23E}">
      <text>
        <r>
          <rPr>
            <sz val="10"/>
            <color indexed="81"/>
            <rFont val="Courier New"/>
            <family val="3"/>
          </rPr>
          <t>_x000D_
    DESCRIÇÃO DO CÁLCULO_x000D_
Código    : 105.293_x000D_
Corte     : 238_x000D_
-----------------------------_x000D_
Pendente  : 200_x000D_
22 / 10_2 : 40_x000D_
22 / 11_2 : 120_x000D_
22 / 12_2 : 110_x000D_
23 / 01_2 : 110_x000D_
23 / 02_2 : 20_x000D_
23 / 03_2 : 230_x000D_
23 / 04_2 : 107_x000D_
23 / 05_2 : _x000D_
23 / 06_2 : _x000D_
23 / 07_2 : 2_x000D_
23 / 08_2 : _x000D_
23 / 09_2 : _x000D_
_x000D_
    TOTAL : ( 939 )_x000D_
  DIVISOR : 12_x000D_
    MÉDIA : 78,25</t>
        </r>
      </text>
    </comment>
    <comment ref="AB653" authorId="0" shapeId="0" xr:uid="{E2D074D7-781A-4F10-A3AE-22AC6C78DEEE}">
      <text>
        <r>
          <rPr>
            <sz val="10"/>
            <color indexed="81"/>
            <rFont val="Lucida Console"/>
            <family val="3"/>
          </rPr>
          <t>Última movimentação no estoque em 07/2023 quantidade 2.</t>
        </r>
      </text>
    </comment>
    <comment ref="R654" authorId="0" shapeId="0" xr:uid="{757C2A23-B9E8-40CD-877D-B6EEFD13099A}">
      <text>
        <r>
          <rPr>
            <sz val="10"/>
            <color indexed="81"/>
            <rFont val="Lucida Console"/>
            <family val="3"/>
          </rPr>
          <t>18.01.2019</t>
        </r>
      </text>
    </comment>
    <comment ref="Y654" authorId="0" shapeId="0" xr:uid="{4BF3F778-97AF-43AB-A406-C48B04FEC780}">
      <text>
        <r>
          <rPr>
            <sz val="10"/>
            <color indexed="81"/>
            <rFont val="Courier New"/>
            <family val="3"/>
          </rPr>
          <t>_x000D_
    DESCRIÇÃO DO CÁLCULO_x000D_
Código    : 136.273_x000D_
Corte     : 307_x000D_
-----------------------------_x000D_
Pendente  : _x000D_
22 / 10_2 : 150_x000D_
22 / 11_2 : 110_x000D_
22 / 12_2 : 50_x000D_
23 / 01_2 : _x000D_
23 / 02_2 : _x000D_
23 / 03_2 : 20_x000D_
23 / 04_2 : 300_x000D_
23 / 05_2 : _x000D_
23 / 06_2 : _x000D_
23 / 07_2 : 300_x000D_
23 / 08_2 : _x000D_
23 / 09_2 : 50_x000D_
_x000D_
    TOTAL : ( 980 )_x000D_
  DIVISOR : 12_x000D_
    MÉDIA : 81,67</t>
        </r>
      </text>
    </comment>
    <comment ref="AB654" authorId="0" shapeId="0" xr:uid="{BC5FA38B-FBA0-4CB7-ACAD-105D4203F1D8}">
      <text>
        <r>
          <rPr>
            <sz val="10"/>
            <color indexed="81"/>
            <rFont val="Lucida Console"/>
            <family val="3"/>
          </rPr>
          <t>Última movimentação no estoque em 09/2023 quantidade 50.</t>
        </r>
      </text>
    </comment>
    <comment ref="R655" authorId="0" shapeId="0" xr:uid="{4C17067D-7E2D-4EBA-8E54-61BFA11BA104}">
      <text>
        <r>
          <rPr>
            <sz val="10"/>
            <color indexed="81"/>
            <rFont val="Lucida Console"/>
            <family val="3"/>
          </rPr>
          <t>16.10.2008</t>
        </r>
      </text>
    </comment>
    <comment ref="Y655" authorId="0" shapeId="0" xr:uid="{0543C874-1E63-45B5-9087-1F713D06EC8C}">
      <text>
        <r>
          <rPr>
            <sz val="10"/>
            <color indexed="81"/>
            <rFont val="Courier New"/>
            <family val="3"/>
          </rPr>
          <t>_x000D_
    DESCRIÇÃO DO CÁLCULO_x000D_
Código    : 108.398_x000D_
Corte     : 1_x000D_
-----------------------------_x000D_
Pendente  : _x000D_
22 / 10_2 : 1_x000D_
22 / 11_2 : _x000D_
22 / 12_2 : _x000D_
23 / 01_2 : 1_x000D_
23 / 02_2 : _x000D_
23 / 03_2 : _x000D_
23 / 04_2 : _x000D_
23 / 05_2 : _x000D_
23 / 06_2 : 1 (corte = 2)_x000D_
23 / 07_2 : _x000D_
23 / 08_2 : _x000D_
23 / 09_2 : _x000D_
_x000D_
    TOTAL : ( 3 )_x000D_
  DIVISOR : 12_x000D_
    MÉDIA : ,25_x000D_
-----------------------------_x000D_
   Valores Desconsiderados_x000D_
-----------------------------_x000D_
23 / 06_2 : 1 (2)_x000D_
_x000D_
  TOTAL   : ( 1 )</t>
        </r>
      </text>
    </comment>
    <comment ref="AB655" authorId="0" shapeId="0" xr:uid="{E03CF776-2FCB-4D38-A35B-72817172DDA4}">
      <text>
        <r>
          <rPr>
            <sz val="10"/>
            <color indexed="81"/>
            <rFont val="Lucida Console"/>
            <family val="3"/>
          </rPr>
          <t>Última movimentação no estoque em 06/2023 quantidade 2.</t>
        </r>
      </text>
    </comment>
    <comment ref="R656" authorId="0" shapeId="0" xr:uid="{41CADA68-6324-437D-ADF8-037900E9282B}">
      <text>
        <r>
          <rPr>
            <sz val="10"/>
            <color indexed="81"/>
            <rFont val="Lucida Console"/>
            <family val="3"/>
          </rPr>
          <t>21.07.2009</t>
        </r>
      </text>
    </comment>
    <comment ref="Y656" authorId="0" shapeId="0" xr:uid="{46F67F40-BAF2-4254-8F0B-05EA57F4609E}">
      <text>
        <r>
          <rPr>
            <sz val="10"/>
            <color indexed="81"/>
            <rFont val="Courier New"/>
            <family val="3"/>
          </rPr>
          <t>_x000D_
    DESCRIÇÃO DO CÁLCULO_x000D_
Código    : 111.841_x000D_
Corte     : 1_x000D_
-----------------------------_x000D_
Pendente  : _x000D_
22 / 10_2 : _x000D_
22 / 11_2 : 1_x000D_
22 / 12_2 : _x000D_
23 / 01_2 : 1 (corte = 2)_x000D_
23 / 02_2 : _x000D_
23 / 03_2 : _x000D_
23 / 04_2 : _x000D_
23 / 05_2 : 1_x000D_
23 / 06_2 : 1_x000D_
23 / 07_2 : 1_x000D_
23 / 08_2 : _x000D_
23 / 09_2 : _x000D_
_x000D_
    TOTAL : ( 5 )_x000D_
  DIVISOR : 12_x000D_
    MÉDIA : ,42_x000D_
-----------------------------_x000D_
   Valores Desconsiderados_x000D_
-----------------------------_x000D_
23 / 01_2 : 1 (2)_x000D_
_x000D_
  TOTAL   : ( 1 )</t>
        </r>
      </text>
    </comment>
    <comment ref="AB656" authorId="0" shapeId="0" xr:uid="{C32433DA-B2DA-4BCD-A4F4-6B0338585246}">
      <text>
        <r>
          <rPr>
            <sz val="10"/>
            <color indexed="81"/>
            <rFont val="Lucida Console"/>
            <family val="3"/>
          </rPr>
          <t>Última movimentação no estoque em 07/2023 quantidade 1.</t>
        </r>
      </text>
    </comment>
    <comment ref="R657" authorId="0" shapeId="0" xr:uid="{AC7DA90D-CE60-4831-81B9-A8BA6B9D21A5}">
      <text>
        <r>
          <rPr>
            <sz val="10"/>
            <color indexed="81"/>
            <rFont val="Lucida Console"/>
            <family val="3"/>
          </rPr>
          <t>07.04.2010</t>
        </r>
      </text>
    </comment>
    <comment ref="Y657" authorId="0" shapeId="0" xr:uid="{634796CC-91D6-48C9-91EB-373F4B190512}">
      <text>
        <r>
          <rPr>
            <sz val="10"/>
            <color indexed="81"/>
            <rFont val="Courier New"/>
            <family val="3"/>
          </rPr>
          <t>_x000D_
    DESCRIÇÃO DO CÁLCULO_x000D_
Código    : 114.773_x000D_
Corte     : 2_x000D_
-----------------------------_x000D_
Pendente  : _x000D_
22 / 10_2 : 1_x000D_
22 / 11_2 : 2_x000D_
22 / 12_2 : _x000D_
23 / 01_2 : 2_x000D_
23 / 02_2 : _x000D_
23 / 03_2 : _x000D_
23 / 04_2 : _x000D_
23 / 05_2 : _x000D_
23 / 06_2 : 2_x000D_
23 / 07_2 : _x000D_
23 / 08_2 : 2_x000D_
23 / 09_2 : 1_x000D_
_x000D_
    TOTAL : ( 10 )_x000D_
  DIVISOR : 12_x000D_
    MÉDIA : ,83</t>
        </r>
      </text>
    </comment>
    <comment ref="AB657" authorId="0" shapeId="0" xr:uid="{A7F0990A-AB36-4EFD-BEF7-8D2136AFBDEC}">
      <text>
        <r>
          <rPr>
            <sz val="10"/>
            <color indexed="81"/>
            <rFont val="Lucida Console"/>
            <family val="3"/>
          </rPr>
          <t>Última movimentação no estoque em 09/2023 quantidade 1.</t>
        </r>
      </text>
    </comment>
    <comment ref="R658" authorId="0" shapeId="0" xr:uid="{166E2581-5E5D-4570-8420-E109AC5EC4FA}">
      <text>
        <r>
          <rPr>
            <sz val="10"/>
            <color indexed="81"/>
            <rFont val="Lucida Console"/>
            <family val="3"/>
          </rPr>
          <t>01.01.1901</t>
        </r>
      </text>
    </comment>
    <comment ref="Y658" authorId="0" shapeId="0" xr:uid="{80E681CD-25A2-48CD-86D7-C464E82C001E}">
      <text>
        <r>
          <rPr>
            <sz val="10"/>
            <color indexed="81"/>
            <rFont val="Courier New"/>
            <family val="3"/>
          </rPr>
          <t>_x000D_
    DESCRIÇÃO DO CÁLCULO_x000D_
Código    : 60.110_x000D_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658" authorId="0" shapeId="0" xr:uid="{A821A525-E0E3-4EB3-A9D8-083BEB870B21}">
      <text>
        <r>
          <rPr>
            <sz val="10"/>
            <color indexed="81"/>
            <rFont val="Lucida Console"/>
            <family val="3"/>
          </rPr>
          <t>Última movimentação no estoque em 11/2022 quantidade 4.</t>
        </r>
      </text>
    </comment>
    <comment ref="R659" authorId="0" shapeId="0" xr:uid="{C31476ED-C762-4CEF-B5D1-E8D9626B28E3}">
      <text>
        <r>
          <rPr>
            <sz val="10"/>
            <color indexed="81"/>
            <rFont val="Lucida Console"/>
            <family val="3"/>
          </rPr>
          <t>01.01.1901</t>
        </r>
      </text>
    </comment>
    <comment ref="Y659" authorId="0" shapeId="0" xr:uid="{7D25FE1A-5F3C-46CC-BD7F-A0B668CFC1C6}">
      <text>
        <r>
          <rPr>
            <sz val="10"/>
            <color indexed="81"/>
            <rFont val="Courier New"/>
            <family val="3"/>
          </rPr>
          <t>_x000D_
    DESCRIÇÃO DO CÁLCULO_x000D_
Código    : 15.051_x000D_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659" authorId="0" shapeId="0" xr:uid="{EEBA51B2-9F5F-44CE-85E5-82CBE5273528}">
      <text>
        <r>
          <rPr>
            <sz val="10"/>
            <color indexed="81"/>
            <rFont val="Lucida Console"/>
            <family val="3"/>
          </rPr>
          <t>Última movimentação no estoque em 09/2023 quantidade 4.</t>
        </r>
      </text>
    </comment>
    <comment ref="R660" authorId="0" shapeId="0" xr:uid="{75CCB10A-73BA-4491-93A2-061775E62DC1}">
      <text>
        <r>
          <rPr>
            <sz val="10"/>
            <color indexed="81"/>
            <rFont val="Lucida Console"/>
            <family val="3"/>
          </rPr>
          <t>01.01.1901</t>
        </r>
      </text>
    </comment>
    <comment ref="Y660" authorId="0" shapeId="0" xr:uid="{C4803B55-EEBF-4636-96DE-96B38A8A85A0}">
      <text>
        <r>
          <rPr>
            <sz val="10"/>
            <color indexed="81"/>
            <rFont val="Courier New"/>
            <family val="3"/>
          </rPr>
          <t>_x000D_
    DESCRIÇÃO DO CÁLCULO_x000D_
Código    : 20.554_x000D_
Corte     : 1.933_x000D_
-----------------------------_x000D_
Pendente  : 50_x000D_
22 / 10_2 : 700_x000D_
22 / 11_2 : 1.110_x000D_
22 / 12_2 : 1.000_x000D_
23 / 01_2 : 1.000_x000D_
23 / 02_2 : 800_x000D_
23 / 03_2 : 650_x000D_
23 / 04_2 : 1.933 (corte = 2100)_x000D_
23 / 05_2 : _x000D_
23 / 06_2 : 500_x000D_
23 / 07_2 : 130_x000D_
23 / 08_2 : _x000D_
23 / 09_2 : 1.000_x000D_
_x000D_
    TOTAL : ( 8.873 )_x000D_
  DIVISOR : 12_x000D_
    MÉDIA : 739,42_x000D_
-----------------------------_x000D_
   Valores Desconsiderados_x000D_
-----------------------------_x000D_
23 / 04_2 : 167 (2.100)_x000D_
_x000D_
  TOTAL   : ( 167 )</t>
        </r>
      </text>
    </comment>
    <comment ref="AB660" authorId="0" shapeId="0" xr:uid="{0E2D3B13-5662-4A2F-9468-9060C52C4C1B}">
      <text>
        <r>
          <rPr>
            <sz val="10"/>
            <color indexed="81"/>
            <rFont val="Lucida Console"/>
            <family val="3"/>
          </rPr>
          <t>Última movimentação no estoque em 09/2023 quantidade 1.000.</t>
        </r>
      </text>
    </comment>
    <comment ref="R661" authorId="0" shapeId="0" xr:uid="{679B60F6-9D43-46C9-ABEC-61FA4517245E}">
      <text>
        <r>
          <rPr>
            <sz val="10"/>
            <color indexed="81"/>
            <rFont val="Lucida Console"/>
            <family val="3"/>
          </rPr>
          <t>01.01.1901</t>
        </r>
      </text>
    </comment>
    <comment ref="Y661" authorId="0" shapeId="0" xr:uid="{7409296F-A564-4E80-A317-2013AC9956B9}">
      <text>
        <r>
          <rPr>
            <sz val="10"/>
            <color indexed="81"/>
            <rFont val="Courier New"/>
            <family val="3"/>
          </rPr>
          <t>_x000D_
    DESCRIÇÃO DO CÁLCULO_x000D_
Código    : 20.558_x000D_
Corte     : 2.321_x000D_
-----------------------------_x000D_
Pendente  : 1.728_x000D_
22 / 10_2 : 1.100_x000D_
22 / 11_2 : 710_x000D_
22 / 12_2 : 400_x000D_
23 / 01_2 : 2.321 (corte = 2400)_x000D_
23 / 02_2 : 1.000_x000D_
23 / 03_2 : 950_x000D_
23 / 04_2 : 1.245_x000D_
23 / 05_2 : _x000D_
23 / 06_2 : _x000D_
23 / 07_2 : _x000D_
23 / 08_2 : _x000D_
23 / 09_2 : 627_x000D_
_x000D_
    TOTAL : ( 10.081 )_x000D_
  DIVISOR : 12_x000D_
    MÉDIA : 840,08_x000D_
-----------------------------_x000D_
   Valores Desconsiderados_x000D_
-----------------------------_x000D_
23 / 01_2 : 79 (2.400)_x000D_
_x000D_
  TOTAL   : ( 79 )</t>
        </r>
      </text>
    </comment>
    <comment ref="AB661" authorId="0" shapeId="0" xr:uid="{5106E006-BE7A-4F89-BA46-5D5DEE405541}">
      <text>
        <r>
          <rPr>
            <sz val="10"/>
            <color indexed="81"/>
            <rFont val="Lucida Console"/>
            <family val="3"/>
          </rPr>
          <t>Última movimentação no estoque em 09/2023 quantidade 627.</t>
        </r>
      </text>
    </comment>
    <comment ref="R662" authorId="0" shapeId="0" xr:uid="{78765932-B209-4C53-9E33-FA74642D7B5C}">
      <text>
        <r>
          <rPr>
            <sz val="10"/>
            <color indexed="81"/>
            <rFont val="Lucida Console"/>
            <family val="3"/>
          </rPr>
          <t>01.01.1901</t>
        </r>
      </text>
    </comment>
    <comment ref="Y662" authorId="0" shapeId="0" xr:uid="{82CAEC37-731D-4901-8D0B-DA333B1EB2E0}">
      <text>
        <r>
          <rPr>
            <sz val="10"/>
            <color indexed="81"/>
            <rFont val="Courier New"/>
            <family val="3"/>
          </rPr>
          <t>_x000D_
    DESCRIÇÃO DO CÁLCULO_x000D_
Código    : 20.576_x000D_
Corte     : 1.923_x000D_
-----------------------------_x000D_
Pendente  : _x000D_
22 / 10_2 : 300_x000D_
22 / 11_2 : 900_x000D_
22 / 12_2 : _x000D_
23 / 01_2 : 100_x000D_
23 / 02_2 : 350_x000D_
23 / 03_2 : 500_x000D_
23 / 04_2 : 1.923 (corte = 2650)_x000D_
23 / 05_2 : 100_x000D_
23 / 06_2 : _x000D_
23 / 07_2 : _x000D_
23 / 08_2 : _x000D_
23 / 09_2 : _x000D_
_x000D_
    TOTAL : ( 4.173 )_x000D_
  DIVISOR : 12_x000D_
    MÉDIA : 347,75_x000D_
-----------------------------_x000D_
   Valores Desconsiderados_x000D_
-----------------------------_x000D_
23 / 04_2 : 727 (2.650)_x000D_
_x000D_
  TOTAL   : ( 727 )</t>
        </r>
      </text>
    </comment>
    <comment ref="AB662" authorId="0" shapeId="0" xr:uid="{928E5224-E053-45B6-8237-196A31816ACE}">
      <text>
        <r>
          <rPr>
            <sz val="10"/>
            <color indexed="81"/>
            <rFont val="Lucida Console"/>
            <family val="3"/>
          </rPr>
          <t>Última movimentação no estoque em 05/2023 quantidade 100.</t>
        </r>
      </text>
    </comment>
    <comment ref="R663" authorId="0" shapeId="0" xr:uid="{1CAFB7CD-8209-482A-A09D-44AF619605E6}">
      <text>
        <r>
          <rPr>
            <sz val="10"/>
            <color indexed="81"/>
            <rFont val="Lucida Console"/>
            <family val="3"/>
          </rPr>
          <t>01.01.1901</t>
        </r>
      </text>
    </comment>
    <comment ref="Y663" authorId="0" shapeId="0" xr:uid="{FB0C89F6-EC12-4597-B955-CB8CA16122C1}">
      <text>
        <r>
          <rPr>
            <sz val="10"/>
            <color indexed="81"/>
            <rFont val="Courier New"/>
            <family val="3"/>
          </rPr>
          <t>_x000D_
    DESCRIÇÃO DO CÁLCULO_x000D_
Código    : 20.583_x000D_
Corte     : 1.418_x000D_
-----------------------------_x000D_
Pendente  : 50_x000D_
22 / 10_2 : 100_x000D_
22 / 11_2 : 600_x000D_
22 / 12_2 : 50_x000D_
23 / 01_2 : 50_x000D_
23 / 02_2 : 50_x000D_
23 / 03_2 : _x000D_
23 / 04_2 : 1.418 (corte = 2100)_x000D_
23 / 05_2 : _x000D_
23 / 06_2 : _x000D_
23 / 07_2 : _x000D_
23 / 08_2 : _x000D_
23 / 09_2 : _x000D_
_x000D_
    TOTAL : ( 2.318 )_x000D_
  DIVISOR : 12_x000D_
    MÉDIA : 193,17_x000D_
-----------------------------_x000D_
   Valores Desconsiderados_x000D_
-----------------------------_x000D_
23 / 04_2 : 682 (2.100)_x000D_
_x000D_
  TOTAL   : ( 682 )</t>
        </r>
      </text>
    </comment>
    <comment ref="AB663" authorId="0" shapeId="0" xr:uid="{B1C53445-7F40-44B2-ABE5-4EDB93BD92E4}">
      <text>
        <r>
          <rPr>
            <sz val="10"/>
            <color indexed="81"/>
            <rFont val="Lucida Console"/>
            <family val="3"/>
          </rPr>
          <t>Última movimentação no estoque em 04/2023 quantidade 2.100.</t>
        </r>
      </text>
    </comment>
    <comment ref="R664" authorId="0" shapeId="0" xr:uid="{F49C6ABD-BB87-44DB-A370-8342009C68EB}">
      <text>
        <r>
          <rPr>
            <sz val="10"/>
            <color indexed="81"/>
            <rFont val="Lucida Console"/>
            <family val="3"/>
          </rPr>
          <t>01.01.1901</t>
        </r>
      </text>
    </comment>
    <comment ref="Y664" authorId="0" shapeId="0" xr:uid="{D9EFC2B5-3A15-47A4-B2C3-85F5DE557EDF}">
      <text>
        <r>
          <rPr>
            <sz val="10"/>
            <color indexed="81"/>
            <rFont val="Courier New"/>
            <family val="3"/>
          </rPr>
          <t>_x000D_
    DESCRIÇÃO DO CÁLCULO_x000D_
Código    : 20.584_x000D_
Corte     : 737_x000D_
-----------------------------_x000D_
Pendente  : 50_x000D_
22 / 10_2 : _x000D_
22 / 11_2 : 50_x000D_
22 / 12_2 : 100_x000D_
23 / 01_2 : _x000D_
23 / 02_2 : 100_x000D_
23 / 03_2 : 100_x000D_
23 / 04_2 : 737 (corte = 1000)_x000D_
23 / 05_2 : _x000D_
23 / 06_2 : 500_x000D_
23 / 07_2 : _x000D_
23 / 08_2 : _x000D_
23 / 09_2 : _x000D_
_x000D_
    TOTAL : ( 1.637 )_x000D_
  DIVISOR : 12_x000D_
    MÉDIA : 136,42_x000D_
-----------------------------_x000D_
   Valores Desconsiderados_x000D_
-----------------------------_x000D_
23 / 04_2 : 263 (1.000)_x000D_
_x000D_
  TOTAL   : ( 263 )</t>
        </r>
      </text>
    </comment>
    <comment ref="AB664" authorId="0" shapeId="0" xr:uid="{D4BB2A23-AA45-43C3-898A-7C9592967497}">
      <text>
        <r>
          <rPr>
            <sz val="10"/>
            <color indexed="81"/>
            <rFont val="Lucida Console"/>
            <family val="3"/>
          </rPr>
          <t>Última movimentação no estoque em 06/2023 quantidade 500.</t>
        </r>
      </text>
    </comment>
    <comment ref="R665" authorId="0" shapeId="0" xr:uid="{ECCDF5D1-0B91-4B9A-AA8C-5FE6CA2D1805}">
      <text>
        <r>
          <rPr>
            <sz val="10"/>
            <color indexed="81"/>
            <rFont val="Lucida Console"/>
            <family val="3"/>
          </rPr>
          <t>16.09.2005</t>
        </r>
      </text>
    </comment>
    <comment ref="Y665" authorId="0" shapeId="0" xr:uid="{6DC0DD8F-9361-4D99-9968-F84719FD593B}">
      <text>
        <r>
          <rPr>
            <sz val="10"/>
            <color indexed="81"/>
            <rFont val="Courier New"/>
            <family val="3"/>
          </rPr>
          <t>_x000D_
    DESCRIÇÃO DO CÁLCULO_x000D_
Código    : 87.699_x000D_
Corte     : 1_x000D_
-----------------------------_x000D_
Pendente  : _x000D_
22 / 10_2 : _x000D_
22 / 11_2 : _x000D_
22 / 12_2 : _x000D_
23 / 01_2 : 1_x000D_
23 / 02_2 : _x000D_
23 / 03_2 : _x000D_
23 / 04_2 : _x000D_
23 / 05_2 : _x000D_
23 / 06_2 : 1_x000D_
23 / 07_2 : _x000D_
23 / 08_2 : 1_x000D_
23 / 09_2 : _x000D_
_x000D_
    TOTAL : ( 3 )_x000D_
  DIVISOR : 12_x000D_
    MÉDIA : ,25</t>
        </r>
      </text>
    </comment>
    <comment ref="AB665" authorId="0" shapeId="0" xr:uid="{F67EB33D-7117-4E03-8CC3-1F39DE43F550}">
      <text>
        <r>
          <rPr>
            <sz val="10"/>
            <color indexed="81"/>
            <rFont val="Lucida Console"/>
            <family val="3"/>
          </rPr>
          <t>Última movimentação no estoque em 08/2023 quantidade 1.</t>
        </r>
      </text>
    </comment>
    <comment ref="R666" authorId="0" shapeId="0" xr:uid="{665E267D-822A-4BF9-9F93-F6E9E5F65F6C}">
      <text>
        <r>
          <rPr>
            <sz val="10"/>
            <color indexed="81"/>
            <rFont val="Lucida Console"/>
            <family val="3"/>
          </rPr>
          <t>16.09.2005</t>
        </r>
      </text>
    </comment>
    <comment ref="Y666" authorId="0" shapeId="0" xr:uid="{8488F095-2865-47B3-85AA-9D926397CC7F}">
      <text>
        <r>
          <rPr>
            <sz val="10"/>
            <color indexed="81"/>
            <rFont val="Courier New"/>
            <family val="3"/>
          </rPr>
          <t>_x000D_
    DESCRIÇÃO DO CÁLCULO_x000D_
Código    : 87.698_x000D_
Corte     : 4_x000D_
-----------------------------_x000D_
Pendente  : 3_x000D_
22 / 10_2 : 1_x000D_
22 / 11_2 : _x000D_
22 / 12_2 : 1_x000D_
23 / 01_2 : 2_x000D_
23 / 02_2 : _x000D_
23 / 03_2 : _x000D_
23 / 04_2 : _x000D_
23 / 05_2 : _x000D_
23 / 06_2 : 4_x000D_
23 / 07_2 : 2_x000D_
23 / 08_2 : 3_x000D_
23 / 09_2 : 2_x000D_
_x000D_
    TOTAL : ( 18 )_x000D_
  DIVISOR : 12_x000D_
    MÉDIA : 1,50</t>
        </r>
      </text>
    </comment>
    <comment ref="AB666" authorId="0" shapeId="0" xr:uid="{7667C1EB-8232-412D-8BC7-BB6EB9889DB6}">
      <text>
        <r>
          <rPr>
            <sz val="10"/>
            <color indexed="81"/>
            <rFont val="Lucida Console"/>
            <family val="3"/>
          </rPr>
          <t>Última movimentação no estoque em 09/2023 quantidade 2.</t>
        </r>
      </text>
    </comment>
    <comment ref="R667" authorId="0" shapeId="0" xr:uid="{99E3A933-E4B0-42F3-9188-ECB227D7C8F6}">
      <text>
        <r>
          <rPr>
            <sz val="10"/>
            <color indexed="81"/>
            <rFont val="Lucida Console"/>
            <family val="3"/>
          </rPr>
          <t>01.01.1901</t>
        </r>
      </text>
    </comment>
    <comment ref="Y667" authorId="0" shapeId="0" xr:uid="{F83EFCA1-E3BA-4918-AB97-7C91C572982A}">
      <text>
        <r>
          <rPr>
            <sz val="10"/>
            <color indexed="81"/>
            <rFont val="Courier New"/>
            <family val="3"/>
          </rPr>
          <t>_x000D_
    DESCRIÇÃO DO CÁLCULO_x000D_
Código    : 35.224_x000D_
Corte     : 12_x000D_
-----------------------------_x000D_
Pendente  : 18_x000D_
22 / 10_2 : 1_x000D_
22 / 11_2 : 2_x000D_
22 / 12_2 : 3_x000D_
23 / 01_2 : 4_x000D_
23 / 02_2 : _x000D_
23 / 03_2 : 2_x000D_
23 / 04_2 : 6_x000D_
23 / 05_2 : 1_x000D_
23 / 06_2 : _x000D_
23 / 07_2 : _x000D_
23 / 08_2 : 2_x000D_
23 / 09_2 : _x000D_
_x000D_
    TOTAL : ( 39 )_x000D_
  DIVISOR : 12_x000D_
    MÉDIA : 3,25</t>
        </r>
      </text>
    </comment>
    <comment ref="AB667" authorId="0" shapeId="0" xr:uid="{A0078C61-5CB7-4E28-8AD4-9D235FAFF9D1}">
      <text>
        <r>
          <rPr>
            <sz val="10"/>
            <color indexed="81"/>
            <rFont val="Lucida Console"/>
            <family val="3"/>
          </rPr>
          <t>Última movimentação no estoque em 08/2023 quantidade 2.</t>
        </r>
      </text>
    </comment>
    <comment ref="R668" authorId="0" shapeId="0" xr:uid="{BF09E061-4F9C-4C40-B45E-A68B60F435C6}">
      <text>
        <r>
          <rPr>
            <sz val="10"/>
            <color indexed="81"/>
            <rFont val="Lucida Console"/>
            <family val="3"/>
          </rPr>
          <t>01.01.1901</t>
        </r>
      </text>
    </comment>
    <comment ref="Y668" authorId="0" shapeId="0" xr:uid="{58DACA25-9356-485B-96CF-A5BEAE0A7513}">
      <text>
        <r>
          <rPr>
            <sz val="10"/>
            <color indexed="81"/>
            <rFont val="Courier New"/>
            <family val="3"/>
          </rPr>
          <t>_x000D_
    DESCRIÇÃO DO CÁLCULO_x000D_
Código    : 25.756_x000D_
Corte     : 17_x000D_
-----------------------------_x000D_
Pendente  : _x000D_
22 / 10_2 : 2_x000D_
22 / 11_2 : 5_x000D_
22 / 12_2 : _x000D_
23 / 01_2 : 4_x000D_
23 / 02_2 : 5_x000D_
23 / 03_2 : 6_x000D_
23 / 04_2 : 10_x000D_
23 / 05_2 : 17 (corte = 23)_x000D_
23 / 06_2 : _x000D_
23 / 07_2 : _x000D_
23 / 08_2 : _x000D_
23 / 09_2 : _x000D_
_x000D_
    TOTAL : ( 49 )_x000D_
  DIVISOR : 12_x000D_
    MÉDIA : 4,08_x000D_
-----------------------------_x000D_
   Valores Desconsiderados_x000D_
-----------------------------_x000D_
23 / 05_2 : 6 (23)_x000D_
_x000D_
  TOTAL   : ( 6 )</t>
        </r>
      </text>
    </comment>
    <comment ref="AB668" authorId="0" shapeId="0" xr:uid="{9477EBFB-AEC3-4C95-B085-18B6529672CC}">
      <text>
        <r>
          <rPr>
            <sz val="10"/>
            <color indexed="81"/>
            <rFont val="Lucida Console"/>
            <family val="3"/>
          </rPr>
          <t>Última movimentação no estoque em 05/2023 quantidade 23.</t>
        </r>
      </text>
    </comment>
    <comment ref="R669" authorId="0" shapeId="0" xr:uid="{633280E5-6537-45CF-90E2-5C768D1BFEB4}">
      <text>
        <r>
          <rPr>
            <sz val="10"/>
            <color indexed="81"/>
            <rFont val="Lucida Console"/>
            <family val="3"/>
          </rPr>
          <t>01.01.1901</t>
        </r>
      </text>
    </comment>
    <comment ref="Y669" authorId="0" shapeId="0" xr:uid="{094FD026-7FFC-49AA-8983-4049FB9E7457}">
      <text>
        <r>
          <rPr>
            <sz val="10"/>
            <color indexed="81"/>
            <rFont val="Courier New"/>
            <family val="3"/>
          </rPr>
          <t>_x000D_
    DESCRIÇÃO DO CÁLCULO_x000D_
Código    : 27.760_x000D_
Corte     : 14_x000D_
-----------------------------_x000D_
Pendente  : _x000D_
22 / 10_2 : 3_x000D_
22 / 11_2 : 3_x000D_
22 / 12_2 : 6_x000D_
23 / 01_2 : _x000D_
23 / 02_2 : _x000D_
23 / 03_2 : 1_x000D_
23 / 04_2 : 7_x000D_
23 / 05_2 : 1_x000D_
23 / 06_2 : 14 (corte = 20)_x000D_
23 / 07_2 : _x000D_
23 / 08_2 : _x000D_
23 / 09_2 : _x000D_
_x000D_
    TOTAL : ( 35 )_x000D_
  DIVISOR : 12_x000D_
    MÉDIA : 2,92_x000D_
-----------------------------_x000D_
   Valores Desconsiderados_x000D_
-----------------------------_x000D_
23 / 06_2 : 6 (20)_x000D_
_x000D_
  TOTAL   : ( 6 )</t>
        </r>
      </text>
    </comment>
    <comment ref="AB669" authorId="0" shapeId="0" xr:uid="{C7133455-35CD-4250-AEC5-CBEF0B8813EC}">
      <text>
        <r>
          <rPr>
            <sz val="10"/>
            <color indexed="81"/>
            <rFont val="Lucida Console"/>
            <family val="3"/>
          </rPr>
          <t>Última movimentação no estoque em 06/2023 quantidade 20.</t>
        </r>
      </text>
    </comment>
    <comment ref="R670" authorId="0" shapeId="0" xr:uid="{A0B6BC5D-E2DF-4DF5-8163-7192EA767698}">
      <text>
        <r>
          <rPr>
            <sz val="10"/>
            <color indexed="81"/>
            <rFont val="Lucida Console"/>
            <family val="3"/>
          </rPr>
          <t>01.01.1901</t>
        </r>
      </text>
    </comment>
    <comment ref="Y670" authorId="0" shapeId="0" xr:uid="{D564EFCA-DF20-42DB-BC85-2C299E5FC3A0}">
      <text>
        <r>
          <rPr>
            <sz val="10"/>
            <color indexed="81"/>
            <rFont val="Courier New"/>
            <family val="3"/>
          </rPr>
          <t>_x000D_
    DESCRIÇÃO DO CÁLCULO_x000D_
Código    : 25.630_x000D_
Corte     : 16_x000D_
-----------------------------_x000D_
Pendente  : _x000D_
22 / 10_2 : 2_x000D_
22 / 11_2 : 9_x000D_
22 / 12_2 : 5_x000D_
23 / 01_2 : 6_x000D_
23 / 02_2 : 4_x000D_
23 / 03_2 : 3_x000D_
23 / 04_2 : 16 (corte = 18)_x000D_
23 / 05_2 : 10_x000D_
23 / 06_2 : _x000D_
23 / 07_2 : _x000D_
23 / 08_2 : 10_x000D_
23 / 09_2 : _x000D_
_x000D_
    TOTAL : ( 65 )_x000D_
  DIVISOR : 12_x000D_
    MÉDIA : 5,42_x000D_
-----------------------------_x000D_
   Valores Desconsiderados_x000D_
-----------------------------_x000D_
23 / 04_2 : 2 (18)_x000D_
_x000D_
  TOTAL   : ( 2 )</t>
        </r>
      </text>
    </comment>
    <comment ref="AB670" authorId="0" shapeId="0" xr:uid="{65EC65B1-76C9-413C-BEB0-5B636368466C}">
      <text>
        <r>
          <rPr>
            <sz val="10"/>
            <color indexed="81"/>
            <rFont val="Lucida Console"/>
            <family val="3"/>
          </rPr>
          <t>Última movimentação no estoque em 08/2023 quantidade 10.</t>
        </r>
      </text>
    </comment>
    <comment ref="R671" authorId="0" shapeId="0" xr:uid="{4EA118F7-D9C8-450E-8EC6-C201A659C969}">
      <text>
        <r>
          <rPr>
            <sz val="10"/>
            <color indexed="81"/>
            <rFont val="Lucida Console"/>
            <family val="3"/>
          </rPr>
          <t>01.01.1901</t>
        </r>
      </text>
    </comment>
    <comment ref="Y671" authorId="0" shapeId="0" xr:uid="{4C0282AE-FB26-4B94-BF3C-0BEC1319989A}">
      <text>
        <r>
          <rPr>
            <sz val="10"/>
            <color indexed="81"/>
            <rFont val="Courier New"/>
            <family val="3"/>
          </rPr>
          <t>_x000D_
    DESCRIÇÃO DO CÁLCULO_x000D_
Código    : 13.120_x000D_
Corte     : 8_x000D_
-----------------------------_x000D_
Pendente  : _x000D_
22 / 10_2 : _x000D_
22 / 11_2 : 1_x000D_
22 / 12_2 : 4_x000D_
23 / 01_2 : 1_x000D_
23 / 02_2 : _x000D_
23 / 03_2 : _x000D_
23 / 04_2 : 8_x000D_
23 / 05_2 : 8 (corte = 10)_x000D_
23 / 06_2 : _x000D_
23 / 07_2 : _x000D_
23 / 08_2 : _x000D_
23 / 09_2 : _x000D_
_x000D_
    TOTAL : ( 22 )_x000D_
  DIVISOR : 12_x000D_
    MÉDIA : 1,83_x000D_
-----------------------------_x000D_
   Valores Desconsiderados_x000D_
-----------------------------_x000D_
23 / 05_2 : 2 (10)_x000D_
_x000D_
  TOTAL   : ( 2 )</t>
        </r>
      </text>
    </comment>
    <comment ref="AB671" authorId="0" shapeId="0" xr:uid="{587754A8-E870-45FC-9CA3-51ACCCEB1106}">
      <text>
        <r>
          <rPr>
            <sz val="10"/>
            <color indexed="81"/>
            <rFont val="Lucida Console"/>
            <family val="3"/>
          </rPr>
          <t>Última movimentação no estoque em 05/2023 quantidade 10.</t>
        </r>
      </text>
    </comment>
    <comment ref="R672" authorId="0" shapeId="0" xr:uid="{3A261B2F-1E7D-4BE0-A7C8-22766F7182B7}">
      <text>
        <r>
          <rPr>
            <sz val="10"/>
            <color indexed="81"/>
            <rFont val="Lucida Console"/>
            <family val="3"/>
          </rPr>
          <t>01.01.1901</t>
        </r>
      </text>
    </comment>
    <comment ref="Y672" authorId="0" shapeId="0" xr:uid="{87413A59-32C6-46E3-AB7D-BAD62DE8B581}">
      <text>
        <r>
          <rPr>
            <sz val="10"/>
            <color indexed="81"/>
            <rFont val="Courier New"/>
            <family val="3"/>
          </rPr>
          <t>_x000D_
    DESCRIÇÃO DO CÁLCULO_x000D_
Código    : 13.117_x000D_
Corte     : 11_x000D_
-----------------------------_x000D_
Pendente  : _x000D_
22 / 10_2 : 1_x000D_
22 / 11_2 : 1_x000D_
22 / 12_2 : _x000D_
23 / 01_2 : 2_x000D_
23 / 02_2 : _x000D_
23 / 03_2 : 1_x000D_
23 / 04_2 : 1_x000D_
23 / 05_2 : 11 (corte = 17)_x000D_
23 / 06_2 : _x000D_
23 / 07_2 : _x000D_
23 / 08_2 : _x000D_
23 / 09_2 : _x000D_
_x000D_
    TOTAL : ( 17 )_x000D_
  DIVISOR : 12_x000D_
    MÉDIA : 1,42_x000D_
-----------------------------_x000D_
   Valores Desconsiderados_x000D_
-----------------------------_x000D_
23 / 05_2 : 6 (17)_x000D_
_x000D_
  TOTAL   : ( 6 )</t>
        </r>
      </text>
    </comment>
    <comment ref="AB672" authorId="0" shapeId="0" xr:uid="{92A9547C-16EA-4E38-B5F9-328D2399CA05}">
      <text>
        <r>
          <rPr>
            <sz val="10"/>
            <color indexed="81"/>
            <rFont val="Lucida Console"/>
            <family val="3"/>
          </rPr>
          <t>Última movimentação no estoque em 05/2023 quantidade 17.</t>
        </r>
      </text>
    </comment>
    <comment ref="R673" authorId="0" shapeId="0" xr:uid="{EC877894-C719-47BA-B2ED-F821E8C78880}">
      <text>
        <r>
          <rPr>
            <sz val="10"/>
            <color indexed="81"/>
            <rFont val="Lucida Console"/>
            <family val="3"/>
          </rPr>
          <t>01.01.1901</t>
        </r>
      </text>
    </comment>
    <comment ref="Y673" authorId="0" shapeId="0" xr:uid="{94E9E074-A875-4868-B0BE-BB3B1C29B854}">
      <text>
        <r>
          <rPr>
            <sz val="10"/>
            <color indexed="81"/>
            <rFont val="Courier New"/>
            <family val="3"/>
          </rPr>
          <t>_x000D_
    DESCRIÇÃO DO CÁLCULO_x000D_
Código    : 13.116_x000D_
Corte     : 13_x000D_
-----------------------------_x000D_
Pendente  : _x000D_
22 / 10_2 : 1_x000D_
22 / 11_2 : 1_x000D_
22 / 12_2 : _x000D_
23 / 01_2 : _x000D_
23 / 02_2 : _x000D_
23 / 03_2 : _x000D_
23 / 04_2 : 6_x000D_
23 / 05_2 : _x000D_
23 / 06_2 : 13 (corte = 20)_x000D_
23 / 07_2 : _x000D_
23 / 08_2 : _x000D_
23 / 09_2 : _x000D_
_x000D_
    TOTAL : ( 21 )_x000D_
  DIVISOR : 12_x000D_
    MÉDIA : 1,75_x000D_
-----------------------------_x000D_
   Valores Desconsiderados_x000D_
-----------------------------_x000D_
23 / 06_2 : 7 (20)_x000D_
_x000D_
  TOTAL   : ( 7 )</t>
        </r>
      </text>
    </comment>
    <comment ref="AB673" authorId="0" shapeId="0" xr:uid="{A5CD489D-03A8-4A85-BE37-C890E4B1451E}">
      <text>
        <r>
          <rPr>
            <sz val="10"/>
            <color indexed="81"/>
            <rFont val="Lucida Console"/>
            <family val="3"/>
          </rPr>
          <t>Última movimentação no estoque em 06/2023 quantidade 20.</t>
        </r>
      </text>
    </comment>
    <comment ref="R674" authorId="0" shapeId="0" xr:uid="{4D51BDFB-65F0-44A3-8BEC-8CAA6590BBC1}">
      <text>
        <r>
          <rPr>
            <sz val="10"/>
            <color indexed="81"/>
            <rFont val="Lucida Console"/>
            <family val="3"/>
          </rPr>
          <t>26.11.2009</t>
        </r>
      </text>
    </comment>
    <comment ref="Y674" authorId="0" shapeId="0" xr:uid="{15CE2B7B-C1FF-45CA-B40C-BC20D90CF406}">
      <text>
        <r>
          <rPr>
            <sz val="10"/>
            <color indexed="81"/>
            <rFont val="Courier New"/>
            <family val="3"/>
          </rPr>
          <t>_x000D_
    DESCRIÇÃO DO CÁLCULO_x000D_
Código    : 113.581_x000D_
Corte     : 86_x000D_
-----------------------------_x000D_
Pendente  : _x000D_
22 / 10_2 : 48_x000D_
22 / 11_2 : 21_x000D_
22 / 12_2 : 36_x000D_
23 / 01_2 : 24_x000D_
23 / 02_2 : 39_x000D_
23 / 03_2 : 72_x000D_
23 / 04_2 : 31_x000D_
23 / 05_2 : _x000D_
23 / 06_2 : 20_x000D_
23 / 07_2 : 20_x000D_
23 / 08_2 : 86 (corte = 90)_x000D_
23 / 09_2 : _x000D_
_x000D_
    TOTAL : ( 397 )_x000D_
  DIVISOR : 12_x000D_
    MÉDIA : 33,08_x000D_
-----------------------------_x000D_
   Valores Desconsiderados_x000D_
-----------------------------_x000D_
23 / 08_2 : 4 (90)_x000D_
_x000D_
  TOTAL   : ( 4 )</t>
        </r>
      </text>
    </comment>
    <comment ref="AB674" authorId="0" shapeId="0" xr:uid="{00A30213-C8DE-4B6C-A666-63A713761674}">
      <text>
        <r>
          <rPr>
            <sz val="10"/>
            <color indexed="81"/>
            <rFont val="Lucida Console"/>
            <family val="3"/>
          </rPr>
          <t>Última movimentação no estoque em 08/2023 quantidade 90.</t>
        </r>
      </text>
    </comment>
    <comment ref="R675" authorId="0" shapeId="0" xr:uid="{B808D3AE-7D51-4A62-B224-26D06CCC7B6B}">
      <text>
        <r>
          <rPr>
            <sz val="10"/>
            <color indexed="81"/>
            <rFont val="Lucida Console"/>
            <family val="3"/>
          </rPr>
          <t>21.08.2018</t>
        </r>
      </text>
    </comment>
    <comment ref="Y675" authorId="0" shapeId="0" xr:uid="{5E30E7DE-653E-4797-8F1B-6885E34D75BC}">
      <text>
        <r>
          <rPr>
            <sz val="10"/>
            <color indexed="81"/>
            <rFont val="Courier New"/>
            <family val="3"/>
          </rPr>
          <t>_x000D_
    DESCRIÇÃO DO CÁLCULO_x000D_
Código    : 135.703_x000D_
Corte     : 3.291_x000D_
-----------------------------_x000D_
Pendente  : _x000D_
22 / 10_2 : 459_x000D_
22 / 11_2 : 572_x000D_
22 / 12_2 : 523_x000D_
23 / 01_2 : 274_x000D_
23 / 02_2 : 600_x000D_
23 / 03_2 : 3.291 (corte = 4720)_x000D_
23 / 04_2 : 579_x000D_
23 / 05_2 : 486_x000D_
23 / 06_2 : 401_x000D_
23 / 07_2 : 483_x000D_
23 / 08_2 : 521_x000D_
23 / 09_2 : 514_x000D_
_x000D_
    TOTAL : ( 8.703 )_x000D_
  DIVISOR : 12_x000D_
    MÉDIA : 725,25_x000D_
-----------------------------_x000D_
   Valores Desconsiderados_x000D_
-----------------------------_x000D_
23 / 03_2 : 1.429 (4.720)_x000D_
_x000D_
  TOTAL   : ( 1.429 )</t>
        </r>
      </text>
    </comment>
    <comment ref="AB675" authorId="0" shapeId="0" xr:uid="{91C7601E-E90E-434A-89EC-6DC4B82EE954}">
      <text>
        <r>
          <rPr>
            <sz val="10"/>
            <color indexed="81"/>
            <rFont val="Lucida Console"/>
            <family val="3"/>
          </rPr>
          <t>Última movimentação no estoque em 09/2023 quantidade 514.</t>
        </r>
      </text>
    </comment>
    <comment ref="R676" authorId="0" shapeId="0" xr:uid="{0022C0C4-9FC1-469D-9C18-31543E53331A}">
      <text>
        <r>
          <rPr>
            <sz val="10"/>
            <color indexed="81"/>
            <rFont val="Lucida Console"/>
            <family val="3"/>
          </rPr>
          <t>20.01.2010</t>
        </r>
      </text>
    </comment>
    <comment ref="Y676" authorId="0" shapeId="0" xr:uid="{C8806E93-EFEC-4333-A278-6D80402B3B75}">
      <text>
        <r>
          <rPr>
            <sz val="10"/>
            <color indexed="81"/>
            <rFont val="Courier New"/>
            <family val="3"/>
          </rPr>
          <t>_x000D_
    DESCRIÇÃO DO CÁLCULO_x000D_
Código    : 113.846_x000D_
Corte     : 290_x000D_
-----------------------------_x000D_
Pendente  : _x000D_
22 / 10_2 : 225_x000D_
22 / 11_2 : 40_x000D_
22 / 12_2 : 137_x000D_
23 / 01_2 : 155_x000D_
23 / 02_2 : 5_x000D_
23 / 03_2 : 16_x000D_
23 / 04_2 : 10_x000D_
23 / 05_2 : _x000D_
23 / 06_2 : _x000D_
23 / 07_2 : 40_x000D_
23 / 08_2 : 290 (corte = 300)_x000D_
23 / 09_2 : 140_x000D_
_x000D_
    TOTAL : ( 1.058 )_x000D_
  DIVISOR : 12_x000D_
    MÉDIA : 88,17_x000D_
-----------------------------_x000D_
   Valores Desconsiderados_x000D_
-----------------------------_x000D_
23 / 08_2 : 10 (300)_x000D_
_x000D_
  TOTAL   : ( 10 )</t>
        </r>
      </text>
    </comment>
    <comment ref="AB676" authorId="0" shapeId="0" xr:uid="{85A21FA9-0136-4113-B22F-42F2BDD8A633}">
      <text>
        <r>
          <rPr>
            <sz val="10"/>
            <color indexed="81"/>
            <rFont val="Lucida Console"/>
            <family val="3"/>
          </rPr>
          <t>Última movimentação no estoque em 09/2023 quantidade 140.</t>
        </r>
      </text>
    </comment>
    <comment ref="R677" authorId="0" shapeId="0" xr:uid="{E01C184F-538A-4FDD-92A7-9C043A193C79}">
      <text>
        <r>
          <rPr>
            <sz val="10"/>
            <color indexed="81"/>
            <rFont val="Lucida Console"/>
            <family val="3"/>
          </rPr>
          <t>01.01.1901</t>
        </r>
      </text>
    </comment>
    <comment ref="Y677" authorId="0" shapeId="0" xr:uid="{69F7CA9D-B420-464E-B662-280C1EDA458B}">
      <text>
        <r>
          <rPr>
            <sz val="10"/>
            <color indexed="81"/>
            <rFont val="Courier New"/>
            <family val="3"/>
          </rPr>
          <t>_x000D_
    DESCRIÇÃO DO CÁLCULO_x000D_
Código    : 53.446_x000D_
Corte     : 398_x000D_
-----------------------------_x000D_
Pendente  : _x000D_
22 / 10_2 : 100_x000D_
22 / 11_2 : 44_x000D_
22 / 12_2 : 283_x000D_
23 / 01_2 : 398 (corte = 482)_x000D_
23 / 02_2 : 50_x000D_
23 / 03_2 : 50_x000D_
23 / 04_2 : 13_x000D_
23 / 05_2 : _x000D_
23 / 06_2 : 30_x000D_
23 / 07_2 : 40_x000D_
23 / 08_2 : 180_x000D_
23 / 09_2 : 130_x000D_
_x000D_
    TOTAL : ( 1.318 )_x000D_
  DIVISOR : 12_x000D_
    MÉDIA : 109,83_x000D_
-----------------------------_x000D_
   Valores Desconsiderados_x000D_
-----------------------------_x000D_
23 / 01_2 : 84 (482)_x000D_
_x000D_
  TOTAL   : ( 84 )</t>
        </r>
      </text>
    </comment>
    <comment ref="AB677" authorId="0" shapeId="0" xr:uid="{9F1DB122-47CB-4A2C-9095-603B379686E5}">
      <text>
        <r>
          <rPr>
            <sz val="10"/>
            <color indexed="81"/>
            <rFont val="Lucida Console"/>
            <family val="3"/>
          </rPr>
          <t>Última movimentação no estoque em 09/2023 quantidade 130.</t>
        </r>
      </text>
    </comment>
    <comment ref="R678" authorId="0" shapeId="0" xr:uid="{04EF4C2C-CF50-4EB4-972A-ECD19B125512}">
      <text>
        <r>
          <rPr>
            <sz val="10"/>
            <color indexed="81"/>
            <rFont val="Lucida Console"/>
            <family val="3"/>
          </rPr>
          <t>01.01.1901</t>
        </r>
      </text>
    </comment>
    <comment ref="Y678" authorId="0" shapeId="0" xr:uid="{D38A05E7-4FED-4C8F-BAE7-0B54AC675263}">
      <text>
        <r>
          <rPr>
            <sz val="10"/>
            <color indexed="81"/>
            <rFont val="Courier New"/>
            <family val="3"/>
          </rPr>
          <t>_x000D_
    DESCRIÇÃO DO CÁLCULO_x000D_
Código    : 57.598_x000D_
Corte     : 228_x000D_
-----------------------------_x000D_
Pendente  : 30_x000D_
22 / 10_2 : 220_x000D_
22 / 11_2 : 90_x000D_
22 / 12_2 : 111_x000D_
23 / 01_2 : 160_x000D_
23 / 02_2 : _x000D_
23 / 03_2 : 83_x000D_
23 / 04_2 : 10_x000D_
23 / 05_2 : 40_x000D_
23 / 06_2 : _x000D_
23 / 07_2 : 40_x000D_
23 / 08_2 : 105_x000D_
23 / 09_2 : 170_x000D_
_x000D_
    TOTAL : ( 1.059 )_x000D_
  DIVISOR : 12_x000D_
    MÉDIA : 88,25</t>
        </r>
      </text>
    </comment>
    <comment ref="AB678" authorId="0" shapeId="0" xr:uid="{999BC614-C6FC-4530-A8CE-B593D443C5F9}">
      <text>
        <r>
          <rPr>
            <sz val="10"/>
            <color indexed="81"/>
            <rFont val="Lucida Console"/>
            <family val="3"/>
          </rPr>
          <t>Última movimentação no estoque em 09/2023 quantidade 170.</t>
        </r>
      </text>
    </comment>
    <comment ref="R679" authorId="0" shapeId="0" xr:uid="{BACE7944-23A4-4676-B6C1-F9BE53402018}">
      <text>
        <r>
          <rPr>
            <sz val="10"/>
            <color indexed="81"/>
            <rFont val="Lucida Console"/>
            <family val="3"/>
          </rPr>
          <t>19.08.2008</t>
        </r>
      </text>
    </comment>
    <comment ref="Y679" authorId="0" shapeId="0" xr:uid="{B6FAEE88-4054-4C5D-BC65-4EE72CEF94F9}">
      <text>
        <r>
          <rPr>
            <sz val="10"/>
            <color indexed="81"/>
            <rFont val="Courier New"/>
            <family val="3"/>
          </rPr>
          <t>_x000D_
    DESCRIÇÃO DO CÁLCULO_x000D_
Código    : 107.483_x000D_
Corte     : 74_x000D_
-----------------------------_x000D_
Pendente  : _x000D_
22 / 10_2 : 19_x000D_
22 / 11_2 : 11_x000D_
22 / 12_2 : 18_x000D_
23 / 01_2 : 2_x000D_
23 / 02_2 : _x000D_
23 / 03_2 : 26_x000D_
23 / 04_2 : 20_x000D_
23 / 05_2 : 20_x000D_
23 / 06_2 : 10_x000D_
23 / 07_2 : 74 (corte = 92)_x000D_
23 / 08_2 : 50_x000D_
23 / 09_2 : _x000D_
_x000D_
    TOTAL : ( 250 )_x000D_
  DIVISOR : 12_x000D_
    MÉDIA : 20,83_x000D_
-----------------------------_x000D_
   Valores Desconsiderados_x000D_
-----------------------------_x000D_
23 / 07_2 : 18 (92)_x000D_
_x000D_
  TOTAL   : ( 18 )</t>
        </r>
      </text>
    </comment>
    <comment ref="AB679" authorId="0" shapeId="0" xr:uid="{363951A3-8D63-4313-9119-17A335876DBD}">
      <text>
        <r>
          <rPr>
            <sz val="10"/>
            <color indexed="81"/>
            <rFont val="Lucida Console"/>
            <family val="3"/>
          </rPr>
          <t>Última movimentação no estoque em 08/2023 quantidade 50.</t>
        </r>
      </text>
    </comment>
    <comment ref="R680" authorId="0" shapeId="0" xr:uid="{5DBF9217-8059-4D49-9756-D845D6F8545B}">
      <text>
        <r>
          <rPr>
            <sz val="10"/>
            <color indexed="81"/>
            <rFont val="Lucida Console"/>
            <family val="3"/>
          </rPr>
          <t>24.04.2008</t>
        </r>
      </text>
    </comment>
    <comment ref="Y680" authorId="0" shapeId="0" xr:uid="{5B5FB93A-C6DA-42BD-BC27-DB4C76BBEA07}">
      <text>
        <r>
          <rPr>
            <sz val="10"/>
            <color indexed="81"/>
            <rFont val="Courier New"/>
            <family val="3"/>
          </rPr>
          <t>_x000D_
    DESCRIÇÃO DO CÁLCULO_x000D_
Código    : 106.131_x000D_
Corte     : 5_x000D_
-----------------------------_x000D_
Pendente  : _x000D_
22 / 10_2 : _x000D_
22 / 11_2 : 3_x000D_
22 / 12_2 : _x000D_
23 / 01_2 : 2_x000D_
23 / 02_2 : 3_x000D_
23 / 03_2 : 1_x000D_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0" authorId="0" shapeId="0" xr:uid="{A180EA43-F43B-473F-BFFC-9B2EDDD49464}">
      <text>
        <r>
          <rPr>
            <sz val="10"/>
            <color indexed="81"/>
            <rFont val="Lucida Console"/>
            <family val="3"/>
          </rPr>
          <t>Última movimentação no estoque em 04/2023 quantidade 6.</t>
        </r>
      </text>
    </comment>
    <comment ref="R681" authorId="0" shapeId="0" xr:uid="{704897F6-4D66-4C1C-8548-851B63A13C67}">
      <text>
        <r>
          <rPr>
            <sz val="10"/>
            <color indexed="81"/>
            <rFont val="Lucida Console"/>
            <family val="3"/>
          </rPr>
          <t>24.04.2008</t>
        </r>
      </text>
    </comment>
    <comment ref="Y681" authorId="0" shapeId="0" xr:uid="{7DB307A9-B196-4204-827C-2D6C829C5C0F}">
      <text>
        <r>
          <rPr>
            <sz val="10"/>
            <color indexed="81"/>
            <rFont val="Courier New"/>
            <family val="3"/>
          </rPr>
          <t>_x000D_
    DESCRIÇÃO DO CÁLCULO_x000D_
Código    : 106.129_x000D_
Corte     : 5_x000D_
-----------------------------_x000D_
Pendente  : _x000D_
22 / 10_2 : _x000D_
22 / 11_2 : 5_x000D_
22 / 12_2 : 4_x000D_
23 / 01_2 : _x000D_
23 / 02_2 : _x000D_
23 / 03_2 : 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1" authorId="0" shapeId="0" xr:uid="{3A118125-1173-4792-99F9-1D8765CBD704}">
      <text>
        <r>
          <rPr>
            <sz val="10"/>
            <color indexed="81"/>
            <rFont val="Lucida Console"/>
            <family val="3"/>
          </rPr>
          <t>Última movimentação no estoque em 04/2023 quantidade 6.</t>
        </r>
      </text>
    </comment>
    <comment ref="R682" authorId="0" shapeId="0" xr:uid="{AB26379D-677E-4942-BAA3-54B8B7EFD0FC}">
      <text>
        <r>
          <rPr>
            <sz val="10"/>
            <color indexed="81"/>
            <rFont val="Lucida Console"/>
            <family val="3"/>
          </rPr>
          <t>24.04.2008</t>
        </r>
      </text>
    </comment>
    <comment ref="Y682" authorId="0" shapeId="0" xr:uid="{1D067421-1229-42C6-BBAA-D5C3EDB6FAC1}">
      <text>
        <r>
          <rPr>
            <sz val="10"/>
            <color indexed="81"/>
            <rFont val="Courier New"/>
            <family val="3"/>
          </rPr>
          <t>_x000D_
    DESCRIÇÃO DO CÁLCULO_x000D_
Código    : 106.130_x000D_
Corte     : 4_x000D_
-----------------------------_x000D_
Pendente  : _x000D_
22 / 10_2 : _x000D_
22 / 11_2 : 3_x000D_
22 / 12_2 : _x000D_
23 / 01_2 : 3_x000D_
23 / 02_2 : _x000D_
23 / 03_2 : _x000D_
23 / 04_2 : 4 (corte = 6)_x000D_
23 / 05_2 : _x000D_
23 / 06_2 : _x000D_
23 / 07_2 : _x000D_
23 / 08_2 : _x000D_
23 / 09_2 : _x000D_
_x000D_
    TOTAL : ( 10 )_x000D_
  DIVISOR : 12_x000D_
    MÉDIA : ,83_x000D_
-----------------------------_x000D_
   Valores Desconsiderados_x000D_
-----------------------------_x000D_
23 / 04_2 : 2 (6)_x000D_
_x000D_
  TOTAL   : ( 2 )</t>
        </r>
      </text>
    </comment>
    <comment ref="AB682" authorId="0" shapeId="0" xr:uid="{083E0C55-6D3F-4266-BDB2-B9E303C1125F}">
      <text>
        <r>
          <rPr>
            <sz val="10"/>
            <color indexed="81"/>
            <rFont val="Lucida Console"/>
            <family val="3"/>
          </rPr>
          <t>Última movimentação no estoque em 04/2023 quantidade 6.</t>
        </r>
      </text>
    </comment>
    <comment ref="R683" authorId="0" shapeId="0" xr:uid="{AD706760-8B1C-4FB4-8E21-E9A0370B5EE9}">
      <text>
        <r>
          <rPr>
            <sz val="10"/>
            <color indexed="81"/>
            <rFont val="Lucida Console"/>
            <family val="3"/>
          </rPr>
          <t>01.01.1901</t>
        </r>
      </text>
    </comment>
    <comment ref="Y683" authorId="0" shapeId="0" xr:uid="{83E274D1-76ED-45B9-B1C4-EE0551F50768}">
      <text>
        <r>
          <rPr>
            <sz val="10"/>
            <color indexed="81"/>
            <rFont val="Courier New"/>
            <family val="3"/>
          </rPr>
          <t>_x000D_
    DESCRIÇÃO DO CÁLCULO_x000D_
Código    : 65.173_x000D_
Corte     : 43_x000D_
-----------------------------_x000D_
Pendente  : _x000D_
22 / 10_2 : 5_x000D_
22 / 11_2 : 4_x000D_
22 / 12_2 : 1_x000D_
23 / 01_2 : 6_x000D_
23 / 02_2 : 2_x000D_
23 / 03_2 : 11_x000D_
23 / 04_2 : 19_x000D_
23 / 05_2 : 30_x000D_
23 / 06_2 : _x000D_
23 / 07_2 : _x000D_
23 / 08_2 : _x000D_
23 / 09_2 : 43 (corte = 54)_x000D_
_x000D_
    TOTAL : ( 121 )_x000D_
  DIVISOR : 12_x000D_
    MÉDIA : 10,08_x000D_
-----------------------------_x000D_
   Valores Desconsiderados_x000D_
-----------------------------_x000D_
23 / 09_2 : 11 (54)_x000D_
_x000D_
  TOTAL   : ( 11 )</t>
        </r>
      </text>
    </comment>
    <comment ref="AB683" authorId="0" shapeId="0" xr:uid="{0936528A-C49E-4EFC-8956-18AFB13E3EF0}">
      <text>
        <r>
          <rPr>
            <sz val="10"/>
            <color indexed="81"/>
            <rFont val="Lucida Console"/>
            <family val="3"/>
          </rPr>
          <t>Última movimentação no estoque em 09/2023 quantidade 54.</t>
        </r>
      </text>
    </comment>
    <comment ref="R684" authorId="0" shapeId="0" xr:uid="{61B151F6-E2AD-49B5-A941-E9D2A297F8C2}">
      <text>
        <r>
          <rPr>
            <sz val="10"/>
            <color indexed="81"/>
            <rFont val="Lucida Console"/>
            <family val="3"/>
          </rPr>
          <t>01.01.1901</t>
        </r>
      </text>
    </comment>
    <comment ref="Y684" authorId="0" shapeId="0" xr:uid="{48496807-E861-4E45-9B34-A37906510A67}">
      <text>
        <r>
          <rPr>
            <sz val="10"/>
            <color indexed="81"/>
            <rFont val="Courier New"/>
            <family val="3"/>
          </rPr>
          <t>_x000D_
    DESCRIÇÃO DO CÁLCULO_x000D_
Código    : 15.066_x000D_
Corte     : 47_x000D_
-----------------------------_x000D_
Pendente  : _x000D_
22 / 10_2 : _x000D_
22 / 11_2 : _x000D_
22 / 12_2 : _x000D_
23 / 01_2 : _x000D_
23 / 02_2 : 30_x000D_
23 / 03_2 : 20_x000D_
23 / 04_2 : 10_x000D_
23 / 05_2 : 35_x000D_
23 / 06_2 : _x000D_
23 / 07_2 : _x000D_
23 / 08_2 : 47 (corte = 50)_x000D_
23 / 09_2 : _x000D_
_x000D_
    TOTAL : ( 142 )_x000D_
  DIVISOR : 12_x000D_
    MÉDIA : 11,83_x000D_
-----------------------------_x000D_
   Valores Desconsiderados_x000D_
-----------------------------_x000D_
23 / 08_2 : 3 (50)_x000D_
_x000D_
  TOTAL   : ( 3 )</t>
        </r>
      </text>
    </comment>
    <comment ref="AB684" authorId="0" shapeId="0" xr:uid="{45E2DCB1-6E55-42F6-A1EB-E5FD6D846EEF}">
      <text>
        <r>
          <rPr>
            <sz val="10"/>
            <color indexed="81"/>
            <rFont val="Lucida Console"/>
            <family val="3"/>
          </rPr>
          <t>Última movimentação no estoque em 08/2023 quantidade 50.</t>
        </r>
      </text>
    </comment>
    <comment ref="R685" authorId="0" shapeId="0" xr:uid="{03E05A21-E4A2-4A78-817D-D48F549EF779}">
      <text>
        <r>
          <rPr>
            <sz val="10"/>
            <color indexed="81"/>
            <rFont val="Lucida Console"/>
            <family val="3"/>
          </rPr>
          <t>01.01.1901</t>
        </r>
      </text>
    </comment>
    <comment ref="Y685" authorId="0" shapeId="0" xr:uid="{31306E5C-9B23-4E30-948F-F8CDA08AD7FA}">
      <text>
        <r>
          <rPr>
            <sz val="10"/>
            <color indexed="81"/>
            <rFont val="Courier New"/>
            <family val="3"/>
          </rPr>
          <t>_x000D_
    DESCRIÇÃO DO CÁLCULO_x000D_
Código    : 53.849_x000D_
Corte     : 28_x000D_
-----------------------------_x000D_
Pendente  : 15_x000D_
22 / 10_2 : _x000D_
22 / 11_2 : 5_x000D_
22 / 12_2 : 5_x000D_
23 / 01_2 : _x000D_
23 / 02_2 : 4_x000D_
23 / 03_2 : 18_x000D_
23 / 04_2 : 10_x000D_
23 / 05_2 : _x000D_
23 / 06_2 : _x000D_
23 / 07_2 : _x000D_
23 / 08_2 : 28 (corte = 35)_x000D_
23 / 09_2 : _x000D_
_x000D_
    TOTAL : ( 85 )_x000D_
  DIVISOR : 12_x000D_
    MÉDIA : 7,08_x000D_
-----------------------------_x000D_
   Valores Desconsiderados_x000D_
-----------------------------_x000D_
23 / 08_2 : 7 (35)_x000D_
_x000D_
  TOTAL   : ( 7 )</t>
        </r>
      </text>
    </comment>
    <comment ref="AB685" authorId="0" shapeId="0" xr:uid="{9A11E228-812D-4C53-8C6B-CB38FA1CEC6D}">
      <text>
        <r>
          <rPr>
            <sz val="10"/>
            <color indexed="81"/>
            <rFont val="Lucida Console"/>
            <family val="3"/>
          </rPr>
          <t>Última movimentação no estoque em 08/2023 quantidade 35.</t>
        </r>
      </text>
    </comment>
    <comment ref="R686" authorId="0" shapeId="0" xr:uid="{AF0B2A64-E420-4497-9C06-0FF001C2164D}">
      <text>
        <r>
          <rPr>
            <sz val="10"/>
            <color indexed="81"/>
            <rFont val="Lucida Console"/>
            <family val="3"/>
          </rPr>
          <t>23.06.2010</t>
        </r>
      </text>
    </comment>
    <comment ref="Y686" authorId="0" shapeId="0" xr:uid="{B7EE933C-1A30-4B85-BE6E-130B8715EB2F}">
      <text>
        <r>
          <rPr>
            <sz val="10"/>
            <color indexed="81"/>
            <rFont val="Courier New"/>
            <family val="3"/>
          </rPr>
          <t>_x000D_
    DESCRIÇÃO DO CÁLCULO_x000D_
Código    : 115.805_x000D_
Corte     : 60_x000D_
-----------------------------_x000D_
Pendente  : _x000D_
22 / 10_2 : 1_x000D_
22 / 11_2 : 10_x000D_
22 / 12_2 : _x000D_
23 / 01_2 : 14_x000D_
23 / 02_2 : 35_x000D_
23 / 03_2 : 29_x000D_
23 / 04_2 : 21_x000D_
23 / 05_2 : 60_x000D_
23 / 06_2 : _x000D_
23 / 07_2 : 24_x000D_
23 / 08_2 : 50_x000D_
23 / 09_2 : 12_x000D_
_x000D_
    TOTAL : ( 256 )_x000D_
  DIVISOR : 12_x000D_
    MÉDIA : 21,33</t>
        </r>
      </text>
    </comment>
    <comment ref="AB686" authorId="0" shapeId="0" xr:uid="{61F100B4-D8D5-4EC7-B45D-1067232F0E85}">
      <text>
        <r>
          <rPr>
            <sz val="10"/>
            <color indexed="81"/>
            <rFont val="Lucida Console"/>
            <family val="3"/>
          </rPr>
          <t>Última movimentação no estoque em 09/2023 quantidade 12.</t>
        </r>
      </text>
    </comment>
    <comment ref="R687" authorId="0" shapeId="0" xr:uid="{2F6A3CBF-438A-4173-A0AE-98B1F73D48FD}">
      <text>
        <r>
          <rPr>
            <sz val="10"/>
            <color indexed="81"/>
            <rFont val="Lucida Console"/>
            <family val="3"/>
          </rPr>
          <t>16.09.2004</t>
        </r>
      </text>
    </comment>
    <comment ref="Y687" authorId="0" shapeId="0" xr:uid="{337C8543-DBCB-4FAA-BE06-6266A7D47EBA}">
      <text>
        <r>
          <rPr>
            <sz val="10"/>
            <color indexed="81"/>
            <rFont val="Courier New"/>
            <family val="3"/>
          </rPr>
          <t>_x000D_
    DESCRIÇÃO DO CÁLCULO_x000D_
Código    : 81.807_x000D_
Corte     : 3_x000D_
-----------------------------_x000D_
Pendente  : _x000D_
22 / 10_2 : _x000D_
22 / 11_2 : _x000D_
22 / 12_2 : _x000D_
23 / 01_2 : _x000D_
23 / 02_2 : _x000D_
23 / 03_2 : 3 (corte = 6)_x000D_
23 / 04_2 : _x000D_
23 / 05_2 : _x000D_
23 / 06_2 : _x000D_
23 / 07_2 : _x000D_
23 / 08_2 : _x000D_
23 / 09_2 : _x000D_
_x000D_
    TOTAL : ( 3 )_x000D_
  DIVISOR : 12_x000D_
    MÉDIA : ,25_x000D_
-----------------------------_x000D_
   Valores Desconsiderados_x000D_
-----------------------------_x000D_
23 / 03_2 : 3 (6)_x000D_
_x000D_
  TOTAL   : ( 3 )</t>
        </r>
      </text>
    </comment>
    <comment ref="AB687" authorId="0" shapeId="0" xr:uid="{D227E662-33C2-45BD-93B5-367929A8EB8D}">
      <text>
        <r>
          <rPr>
            <sz val="10"/>
            <color indexed="81"/>
            <rFont val="Lucida Console"/>
            <family val="3"/>
          </rPr>
          <t>Última movimentação no estoque em 03/2023 quantidade 6.</t>
        </r>
      </text>
    </comment>
    <comment ref="R688" authorId="0" shapeId="0" xr:uid="{D9BD410B-1170-43F2-9CA3-04EE18652CAC}">
      <text>
        <r>
          <rPr>
            <sz val="10"/>
            <color indexed="81"/>
            <rFont val="Lucida Console"/>
            <family val="3"/>
          </rPr>
          <t>17.04.2019</t>
        </r>
      </text>
    </comment>
    <comment ref="Y688" authorId="0" shapeId="0" xr:uid="{D7C092F8-5F47-4197-BB22-FAD12C66DE50}">
      <text>
        <r>
          <rPr>
            <sz val="10"/>
            <color indexed="81"/>
            <rFont val="Courier New"/>
            <family val="3"/>
          </rPr>
          <t>_x000D_
    DESCRIÇÃO DO CÁLCULO_x000D_
Código    : 136.818_x000D_
Corte     : 13_x000D_
-----------------------------_x000D_
Pendente  : _x000D_
22 / 10_2 : _x000D_
22 / 11_2 : _x000D_
22 / 12_2 : _x000D_
23 / 01_2 : _x000D_
23 / 02_2 : _x000D_
23 / 03_2 : 13 (corte = 21)_x000D_
23 / 04_2 : _x000D_
23 / 05_2 : _x000D_
23 / 06_2 : _x000D_
23 / 07_2 : _x000D_
23 / 08_2 : _x000D_
23 / 09_2 : _x000D_
_x000D_
    TOTAL : ( 13 )_x000D_
  DIVISOR : 12_x000D_
    MÉDIA : 1,08_x000D_
-----------------------------_x000D_
   Valores Desconsiderados_x000D_
-----------------------------_x000D_
23 / 03_2 : 8 (21)_x000D_
_x000D_
  TOTAL   : ( 8 )</t>
        </r>
      </text>
    </comment>
    <comment ref="AB688" authorId="0" shapeId="0" xr:uid="{95334D80-89C0-4692-A357-3994EBA7DBFC}">
      <text>
        <r>
          <rPr>
            <sz val="10"/>
            <color indexed="81"/>
            <rFont val="Lucida Console"/>
            <family val="3"/>
          </rPr>
          <t>Última movimentação no estoque em 03/2023 quantidade 21.</t>
        </r>
      </text>
    </comment>
    <comment ref="R689" authorId="0" shapeId="0" xr:uid="{B9B72CEA-9563-4B2A-83AF-387774516879}">
      <text>
        <r>
          <rPr>
            <sz val="10"/>
            <color indexed="81"/>
            <rFont val="Lucida Console"/>
            <family val="3"/>
          </rPr>
          <t>13.03.2018</t>
        </r>
      </text>
    </comment>
    <comment ref="Y689" authorId="0" shapeId="0" xr:uid="{1C057D9C-D51C-44FD-966D-22DA388F1175}">
      <text>
        <r>
          <rPr>
            <sz val="10"/>
            <color indexed="81"/>
            <rFont val="Courier New"/>
            <family val="3"/>
          </rPr>
          <t>_x000D_
    DESCRIÇÃO DO CÁLCULO_x000D_
Código    : 134.544_x000D_
Corte     : 229_x000D_
-----------------------------_x000D_
Pendente  : _x000D_
22 / 10_2 : 109_x000D_
22 / 11_2 : 217_x000D_
22 / 12_2 : 217_x000D_
23 / 01_2 : 93_x000D_
23 / 02_2 : 4_x000D_
23 / 03_2 : 31_x000D_
23 / 04_2 : 2_x000D_
23 / 05_2 : 20_x000D_
23 / 06_2 : _x000D_
23 / 07_2 : 10_x000D_
23 / 08_2 : 102_x000D_
23 / 09_2 : 68_x000D_
_x000D_
    TOTAL : ( 873 )_x000D_
  DIVISOR : 12_x000D_
    MÉDIA : 72,75</t>
        </r>
      </text>
    </comment>
    <comment ref="AB689" authorId="0" shapeId="0" xr:uid="{504D4853-720A-49E8-A70D-C96ED258F0FF}">
      <text>
        <r>
          <rPr>
            <sz val="10"/>
            <color indexed="81"/>
            <rFont val="Lucida Console"/>
            <family val="3"/>
          </rPr>
          <t>Última movimentação no estoque em 09/2023 quantidade 68.</t>
        </r>
      </text>
    </comment>
    <comment ref="R690" authorId="0" shapeId="0" xr:uid="{6948FEE4-EABD-4A3A-9350-6FDA9C3DE33F}">
      <text>
        <r>
          <rPr>
            <sz val="10"/>
            <color indexed="81"/>
            <rFont val="Lucida Console"/>
            <family val="3"/>
          </rPr>
          <t>18.03.2004</t>
        </r>
      </text>
    </comment>
    <comment ref="Y690" authorId="0" shapeId="0" xr:uid="{82FFA1C3-B10D-4EBB-9232-766CBADFD138}">
      <text>
        <r>
          <rPr>
            <sz val="10"/>
            <color indexed="81"/>
            <rFont val="Courier New"/>
            <family val="3"/>
          </rPr>
          <t>_x000D_
    DESCRIÇÃO DO CÁLCULO_x000D_
Código    : 77.788_x000D_
Corte     : 16_x000D_
-----------------------------_x000D_
Pendente  : _x000D_
22 / 10_2 : 15_x000D_
22 / 11_2 : _x000D_
22 / 12_2 : _x000D_
23 / 01_2 : 4_x000D_
23 / 02_2 : 8_x000D_
23 / 03_2 : _x000D_
23 / 04_2 : _x000D_
23 / 05_2 : 4_x000D_
23 / 06_2 : 16 (corte = 18)_x000D_
23 / 07_2 : _x000D_
23 / 08_2 : _x000D_
23 / 09_2 : _x000D_
_x000D_
    TOTAL : ( 47 )_x000D_
  DIVISOR : 12_x000D_
    MÉDIA : 3,92_x000D_
-----------------------------_x000D_
   Valores Desconsiderados_x000D_
-----------------------------_x000D_
23 / 06_2 : 2 (18)_x000D_
_x000D_
  TOTAL   : ( 2 )</t>
        </r>
      </text>
    </comment>
    <comment ref="AB690" authorId="0" shapeId="0" xr:uid="{5679BD9E-9C2E-4AAE-86C9-AA3CDF56ED75}">
      <text>
        <r>
          <rPr>
            <sz val="10"/>
            <color indexed="81"/>
            <rFont val="Lucida Console"/>
            <family val="3"/>
          </rPr>
          <t>Última movimentação no estoque em 06/2023 quantidade 18.</t>
        </r>
      </text>
    </comment>
    <comment ref="R691" authorId="0" shapeId="0" xr:uid="{42F915AB-2D1E-4889-B234-03FF6BE34C5D}">
      <text>
        <r>
          <rPr>
            <sz val="10"/>
            <color indexed="81"/>
            <rFont val="Lucida Console"/>
            <family val="3"/>
          </rPr>
          <t>19.03.2004</t>
        </r>
      </text>
    </comment>
    <comment ref="Y691" authorId="0" shapeId="0" xr:uid="{2AC3AC80-3AB3-48B5-94E8-B7FD9E25A039}">
      <text>
        <r>
          <rPr>
            <sz val="10"/>
            <color indexed="81"/>
            <rFont val="Courier New"/>
            <family val="3"/>
          </rPr>
          <t>_x000D_
    DESCRIÇÃO DO CÁLCULO_x000D_
Código    : 77.823_x000D_
Corte     : 9_x000D_
-----------------------------_x000D_
Pendente  : _x000D_
22 / 10_2 : 4_x000D_
22 / 11_2 : _x000D_
22 / 12_2 : 9 (corte = 13)_x000D_
23 / 01_2 : 3_x000D_
23 / 02_2 : _x000D_
23 / 03_2 : 1_x000D_
23 / 04_2 : _x000D_
23 / 05_2 : _x000D_
23 / 06_2 : _x000D_
23 / 07_2 : _x000D_
23 / 08_2 : 3_x000D_
23 / 09_2 : _x000D_
_x000D_
    TOTAL : ( 20 )_x000D_
  DIVISOR : 12_x000D_
    MÉDIA : 1,67_x000D_
-----------------------------_x000D_
   Valores Desconsiderados_x000D_
-----------------------------_x000D_
22 / 12_2 : 4 (13)_x000D_
_x000D_
  TOTAL   : ( 4 )</t>
        </r>
      </text>
    </comment>
    <comment ref="AB691" authorId="0" shapeId="0" xr:uid="{E201EC2C-5DB1-409E-A41F-DE441DFFAF05}">
      <text>
        <r>
          <rPr>
            <sz val="10"/>
            <color indexed="81"/>
            <rFont val="Lucida Console"/>
            <family val="3"/>
          </rPr>
          <t>Última movimentação no estoque em 08/2023 quantidade 3.</t>
        </r>
      </text>
    </comment>
    <comment ref="R692" authorId="0" shapeId="0" xr:uid="{403D68CA-38C0-4926-90BB-9CECDC63F815}">
      <text>
        <r>
          <rPr>
            <sz val="10"/>
            <color indexed="81"/>
            <rFont val="Lucida Console"/>
            <family val="3"/>
          </rPr>
          <t>01.01.1901</t>
        </r>
      </text>
    </comment>
    <comment ref="Y692" authorId="0" shapeId="0" xr:uid="{4F9D63CD-A939-4AC3-9E8E-B3DAA7DAB1A3}">
      <text>
        <r>
          <rPr>
            <sz val="10"/>
            <color indexed="81"/>
            <rFont val="Courier New"/>
            <family val="3"/>
          </rPr>
          <t>_x000D_
    DESCRIÇÃO DO CÁLCULO_x000D_
Código    : 71.874_x000D_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2" authorId="0" shapeId="0" xr:uid="{C66FEC83-0C36-4973-AA6C-C4F0E40FD244}">
      <text>
        <r>
          <rPr>
            <sz val="10"/>
            <color indexed="81"/>
            <rFont val="Lucida Console"/>
            <family val="3"/>
          </rPr>
          <t>Última movimentação no estoque em 05/2023 quantidade 5.</t>
        </r>
      </text>
    </comment>
    <comment ref="R693" authorId="0" shapeId="0" xr:uid="{C87EBADA-C417-46AA-9149-D07AA164301B}">
      <text>
        <r>
          <rPr>
            <sz val="10"/>
            <color indexed="81"/>
            <rFont val="Lucida Console"/>
            <family val="3"/>
          </rPr>
          <t>01.01.1901</t>
        </r>
      </text>
    </comment>
    <comment ref="Y693" authorId="0" shapeId="0" xr:uid="{862C5644-45AC-48F5-9FB8-5022A06F74AE}">
      <text>
        <r>
          <rPr>
            <sz val="10"/>
            <color indexed="81"/>
            <rFont val="Courier New"/>
            <family val="3"/>
          </rPr>
          <t>_x000D_
    DESCRIÇÃO DO CÁLCULO_x000D_
Código    : 36.399_x000D_
Corte     : 18_x000D_
-----------------------------_x000D_
Pendente  : _x000D_
22 / 10_2 : _x000D_
22 / 11_2 : _x000D_
22 / 12_2 : _x000D_
23 / 01_2 : _x000D_
23 / 02_2 : 18 (corte = 20)_x000D_
23 / 03_2 : _x000D_
23 / 04_2 : _x000D_
23 / 05_2 : 18 (corte = 20)_x000D_
23 / 06_2 : _x000D_
23 / 07_2 : _x000D_
23 / 08_2 : _x000D_
23 / 09_2 : _x000D_
_x000D_
    TOTAL : ( 36 )_x000D_
  DIVISOR : 12_x000D_
    MÉDIA : 3,00_x000D_
-----------------------------_x000D_
   Valores Desconsiderados_x000D_
-----------------------------_x000D_
23 / 02_2 : 2 (20)_x000D_
23 / 05_2 : 2 (20)_x000D_
_x000D_
  TOTAL   : ( 4 )</t>
        </r>
      </text>
    </comment>
    <comment ref="AB693" authorId="0" shapeId="0" xr:uid="{04F5734F-A42E-4887-A384-B0EB0338A9A9}">
      <text>
        <r>
          <rPr>
            <sz val="10"/>
            <color indexed="81"/>
            <rFont val="Lucida Console"/>
            <family val="3"/>
          </rPr>
          <t>Última movimentação no estoque em 05/2023 quantidade 20.</t>
        </r>
      </text>
    </comment>
    <comment ref="R694" authorId="0" shapeId="0" xr:uid="{5C131D11-7C99-4B88-9AB9-4903F133DFC4}">
      <text>
        <r>
          <rPr>
            <sz val="10"/>
            <color indexed="81"/>
            <rFont val="Lucida Console"/>
            <family val="3"/>
          </rPr>
          <t>15.10.2010</t>
        </r>
      </text>
    </comment>
    <comment ref="Y694" authorId="0" shapeId="0" xr:uid="{15F90634-BFF8-40F4-A033-F35AD553EFDF}">
      <text>
        <r>
          <rPr>
            <sz val="10"/>
            <color indexed="81"/>
            <rFont val="Courier New"/>
            <family val="3"/>
          </rPr>
          <t>_x000D_
    DESCRIÇÃO DO CÁLCULO_x000D_
Código    : 118.246_x000D_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4" authorId="0" shapeId="0" xr:uid="{8DE3AFF5-C0CF-4EDF-B513-768B56E503A5}">
      <text>
        <r>
          <rPr>
            <sz val="10"/>
            <color indexed="81"/>
            <rFont val="Lucida Console"/>
            <family val="3"/>
          </rPr>
          <t>Última movimentação no estoque em 05/2023 quantidade 5.</t>
        </r>
      </text>
    </comment>
    <comment ref="R695" authorId="0" shapeId="0" xr:uid="{C33122BF-B763-42C9-9D2B-D0936B280323}">
      <text>
        <r>
          <rPr>
            <sz val="10"/>
            <color indexed="81"/>
            <rFont val="Lucida Console"/>
            <family val="3"/>
          </rPr>
          <t>15.10.2010</t>
        </r>
      </text>
    </comment>
    <comment ref="Y695" authorId="0" shapeId="0" xr:uid="{1B072998-E2FC-4D12-98A5-D87D82F83ADC}">
      <text>
        <r>
          <rPr>
            <sz val="10"/>
            <color indexed="81"/>
            <rFont val="Courier New"/>
            <family val="3"/>
          </rPr>
          <t>_x000D_
    DESCRIÇÃO DO CÁLCULO_x000D_
Código    : 118.244_x000D_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5" authorId="0" shapeId="0" xr:uid="{A18BEEFF-38E0-46C1-8D30-01B1A9D21D26}">
      <text>
        <r>
          <rPr>
            <sz val="10"/>
            <color indexed="81"/>
            <rFont val="Lucida Console"/>
            <family val="3"/>
          </rPr>
          <t>Última movimentação no estoque em 05/2023 quantidade 5.</t>
        </r>
      </text>
    </comment>
    <comment ref="R696" authorId="0" shapeId="0" xr:uid="{D66E67C5-1ADE-491B-A1C3-4D55366E86CD}">
      <text>
        <r>
          <rPr>
            <sz val="10"/>
            <color indexed="81"/>
            <rFont val="Lucida Console"/>
            <family val="3"/>
          </rPr>
          <t>15.10.2010</t>
        </r>
      </text>
    </comment>
    <comment ref="Y696" authorId="0" shapeId="0" xr:uid="{70B5EB68-FF28-4508-91C5-111955367059}">
      <text>
        <r>
          <rPr>
            <sz val="10"/>
            <color indexed="81"/>
            <rFont val="Courier New"/>
            <family val="3"/>
          </rPr>
          <t>_x000D_
    DESCRIÇÃO DO CÁLCULO_x000D_
Código    : 118.245_x000D_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6" authorId="0" shapeId="0" xr:uid="{F5CFB742-0BA4-4474-99C0-035F6CDD03D1}">
      <text>
        <r>
          <rPr>
            <sz val="10"/>
            <color indexed="81"/>
            <rFont val="Lucida Console"/>
            <family val="3"/>
          </rPr>
          <t>Última movimentação no estoque em 05/2023 quantidade 5.</t>
        </r>
      </text>
    </comment>
    <comment ref="R697" authorId="0" shapeId="0" xr:uid="{3A61BA21-69DF-405A-8B67-8FE74DF0EE56}">
      <text>
        <r>
          <rPr>
            <sz val="10"/>
            <color indexed="81"/>
            <rFont val="Lucida Console"/>
            <family val="3"/>
          </rPr>
          <t>01.01.1901</t>
        </r>
      </text>
    </comment>
    <comment ref="Y697" authorId="0" shapeId="0" xr:uid="{6094A1DE-E758-4074-BDF2-DF4D3B792322}">
      <text>
        <r>
          <rPr>
            <sz val="10"/>
            <color indexed="81"/>
            <rFont val="Courier New"/>
            <family val="3"/>
          </rPr>
          <t>_x000D_
    DESCRIÇÃO DO CÁLCULO_x000D_
Código    : 58.436_x000D_
Corte     : 9_x000D_
-----------------------------_x000D_
Pendente  : _x000D_
22 / 10_2 : _x000D_
22 / 11_2 : _x000D_
22 / 12_2 : _x000D_
23 / 01_2 : 1_x000D_
23 / 02_2 : _x000D_
23 / 03_2 : 9 (corte = 14)_x000D_
23 / 04_2 : _x000D_
23 / 05_2 : _x000D_
23 / 06_2 : _x000D_
23 / 07_2 : _x000D_
23 / 08_2 : _x000D_
23 / 09_2 : _x000D_
_x000D_
    TOTAL : ( 10 )_x000D_
  DIVISOR : 12_x000D_
    MÉDIA : ,83_x000D_
-----------------------------_x000D_
   Valores Desconsiderados_x000D_
-----------------------------_x000D_
23 / 03_2 : 5 (14)_x000D_
_x000D_
  TOTAL   : ( 5 )</t>
        </r>
      </text>
    </comment>
    <comment ref="AB697" authorId="0" shapeId="0" xr:uid="{C8BE74CD-6210-4DD6-8DCA-4F5DB138B777}">
      <text>
        <r>
          <rPr>
            <sz val="10"/>
            <color indexed="81"/>
            <rFont val="Lucida Console"/>
            <family val="3"/>
          </rPr>
          <t>Última movimentação no estoque em 03/2023 quantidade 14.</t>
        </r>
      </text>
    </comment>
    <comment ref="R698" authorId="0" shapeId="0" xr:uid="{E8956E8E-A7B1-4147-AE6A-D2AA33D0CDDF}">
      <text>
        <r>
          <rPr>
            <sz val="10"/>
            <color indexed="81"/>
            <rFont val="Lucida Console"/>
            <family val="3"/>
          </rPr>
          <t>01.01.1901</t>
        </r>
      </text>
    </comment>
    <comment ref="Y698" authorId="0" shapeId="0" xr:uid="{133D0F0D-97B6-4ADD-8EAC-1DBC663CE42E}">
      <text>
        <r>
          <rPr>
            <sz val="10"/>
            <color indexed="81"/>
            <rFont val="Courier New"/>
            <family val="3"/>
          </rPr>
          <t>_x000D_
    DESCRIÇÃO DO CÁLCULO_x000D_
Código    : 12.847_x000D_
Corte     : 2.634_x000D_
-----------------------------_x000D_
Pendente  : _x000D_
22 / 10_2 : 121_x000D_
22 / 11_2 : 95_x000D_
22 / 12_2 : 61_x000D_
23 / 01_2 : 33_x000D_
23 / 02_2 : 71_x000D_
23 / 03_2 : 2.634 (corte = 3950)_x000D_
23 / 04_2 : 35_x000D_
23 / 05_2 : 89_x000D_
23 / 06_2 : 83_x000D_
23 / 07_2 : 67_x000D_
23 / 08_2 : 69_x000D_
23 / 09_2 : 66_x000D_
_x000D_
    TOTAL : ( 3.424 )_x000D_
  DIVISOR : 12_x000D_
    MÉDIA : 285,33_x000D_
-----------------------------_x000D_
   Valores Desconsiderados_x000D_
-----------------------------_x000D_
23 / 03_2 : 1.316 (3.950)_x000D_
_x000D_
  TOTAL   : ( 1.316 )</t>
        </r>
      </text>
    </comment>
    <comment ref="AB698" authorId="0" shapeId="0" xr:uid="{2E1ECEFB-B535-4B76-81A1-56E50151F538}">
      <text>
        <r>
          <rPr>
            <sz val="10"/>
            <color indexed="81"/>
            <rFont val="Lucida Console"/>
            <family val="3"/>
          </rPr>
          <t>Última movimentação no estoque em 09/2023 quantidade 66.</t>
        </r>
      </text>
    </comment>
    <comment ref="R699" authorId="0" shapeId="0" xr:uid="{A7D1C3C5-E12C-4798-BE6C-3D37D890AC9D}">
      <text>
        <r>
          <rPr>
            <sz val="10"/>
            <color indexed="81"/>
            <rFont val="Lucida Console"/>
            <family val="3"/>
          </rPr>
          <t>01.01.1901</t>
        </r>
      </text>
    </comment>
    <comment ref="Y699" authorId="0" shapeId="0" xr:uid="{BEB64DA9-5EE4-4519-9204-E0204A2A39E5}">
      <text>
        <r>
          <rPr>
            <sz val="10"/>
            <color indexed="81"/>
            <rFont val="Courier New"/>
            <family val="3"/>
          </rPr>
          <t>_x000D_
    DESCRIÇÃO DO CÁLCULO_x000D_
Código    : 24.204_x000D_
Corte     : 124_x000D_
-----------------------------_x000D_
Pendente  : 19_x000D_
22 / 10_2 : 49_x000D_
22 / 11_2 : 71_x000D_
22 / 12_2 : 51_x000D_
23 / 01_2 : 72_x000D_
23 / 02_2 : 53_x000D_
23 / 03_2 : 88_x000D_
23 / 04_2 : 100_x000D_
23 / 05_2 : 70_x000D_
23 / 06_2 : 70_x000D_
23 / 07_2 : 51_x000D_
23 / 08_2 : 102_x000D_
23 / 09_2 : _x000D_
_x000D_
    TOTAL : ( 796 )_x000D_
  DIVISOR : 12_x000D_
    MÉDIA : 66,33</t>
        </r>
      </text>
    </comment>
    <comment ref="AB699" authorId="0" shapeId="0" xr:uid="{AA3D5B49-A5EE-4297-B1B4-4746A5B1E644}">
      <text>
        <r>
          <rPr>
            <sz val="10"/>
            <color indexed="81"/>
            <rFont val="Lucida Console"/>
            <family val="3"/>
          </rPr>
          <t>Última movimentação no estoque em 08/2023 quantidade 102.</t>
        </r>
      </text>
    </comment>
    <comment ref="R700" authorId="0" shapeId="0" xr:uid="{326948BF-FF6D-4937-8B40-2215D00C878B}">
      <text>
        <r>
          <rPr>
            <sz val="10"/>
            <color indexed="81"/>
            <rFont val="Lucida Console"/>
            <family val="3"/>
          </rPr>
          <t>15.06.2021</t>
        </r>
      </text>
    </comment>
    <comment ref="Y700" authorId="0" shapeId="0" xr:uid="{75A919C2-39F4-46B0-95A1-83CB0E9F193F}">
      <text>
        <r>
          <rPr>
            <sz val="10"/>
            <color indexed="81"/>
            <rFont val="Courier New"/>
            <family val="3"/>
          </rPr>
          <t>_x000D_
    DESCRIÇÃO DO CÁLCULO_x000D_
Código    : 141.418_x000D_
Corte     : 85_x000D_
-----------------------------_x000D_
Pendente  : _x000D_
22 / 10_2 : 74_x000D_
22 / 11_2 : 37_x000D_
22 / 12_2 : 17_x000D_
23 / 01_2 : 64_x000D_
23 / 02_2 : 45_x000D_
23 / 03_2 : 78_x000D_
23 / 04_2 : 43_x000D_
23 / 05_2 : 48_x000D_
23 / 06_2 : 50_x000D_
23 / 07_2 : 62_x000D_
23 / 08_2 : 60_x000D_
23 / 09_2 : 45_x000D_
_x000D_
    TOTAL : ( 623 )_x000D_
  DIVISOR : 12_x000D_
    MÉDIA : 51,92</t>
        </r>
      </text>
    </comment>
    <comment ref="AB700" authorId="0" shapeId="0" xr:uid="{3B524205-95A5-4B57-8B99-73E0EB93A185}">
      <text>
        <r>
          <rPr>
            <sz val="10"/>
            <color indexed="81"/>
            <rFont val="Lucida Console"/>
            <family val="3"/>
          </rPr>
          <t>Última movimentação no estoque em 09/2023 quantidade 45.</t>
        </r>
      </text>
    </comment>
    <comment ref="R701" authorId="0" shapeId="0" xr:uid="{5F0F2A3E-0E3D-4B87-A5BA-25349A0845D4}">
      <text>
        <r>
          <rPr>
            <sz val="10"/>
            <color indexed="81"/>
            <rFont val="Lucida Console"/>
            <family val="3"/>
          </rPr>
          <t>19.08.2019</t>
        </r>
      </text>
    </comment>
    <comment ref="Y701" authorId="0" shapeId="0" xr:uid="{3709EB43-2EBE-4DA0-8603-82DA92B34958}">
      <text>
        <r>
          <rPr>
            <sz val="10"/>
            <color indexed="81"/>
            <rFont val="Courier New"/>
            <family val="3"/>
          </rPr>
          <t>_x000D_
    DESCRIÇÃO DO CÁLCULO_x000D_
Código    : 138.352_x000D_
Corte     : 22_x000D_
-----------------------------_x000D_
Pendente  : _x000D_
22 / 10_2 : 7_x000D_
22 / 11_2 : 11_x000D_
22 / 12_2 : 10_x000D_
23 / 01_2 : 14_x000D_
23 / 02_2 : 13_x000D_
23 / 03_2 : 17_x000D_
23 / 04_2 : 2_x000D_
23 / 05_2 : 11_x000D_
23 / 06_2 : 14_x000D_
23 / 07_2 : 2_x000D_
23 / 08_2 : 15_x000D_
23 / 09_2 : 21_x000D_
_x000D_
    TOTAL : ( 137 )_x000D_
  DIVISOR : 12_x000D_
    MÉDIA : 11,42</t>
        </r>
      </text>
    </comment>
    <comment ref="AB701" authorId="0" shapeId="0" xr:uid="{6501B4B6-E767-4CBD-9273-F9B86C025F71}">
      <text>
        <r>
          <rPr>
            <sz val="10"/>
            <color indexed="81"/>
            <rFont val="Lucida Console"/>
            <family val="3"/>
          </rPr>
          <t>Última movimentação no estoque em 09/2023 quantidade 21.</t>
        </r>
      </text>
    </comment>
    <comment ref="R702" authorId="0" shapeId="0" xr:uid="{3568FF0F-1CEA-45FF-BC19-AA57B64A15EA}">
      <text>
        <r>
          <rPr>
            <sz val="10"/>
            <color indexed="81"/>
            <rFont val="Lucida Console"/>
            <family val="3"/>
          </rPr>
          <t>10.05.2006</t>
        </r>
      </text>
    </comment>
    <comment ref="Y702" authorId="0" shapeId="0" xr:uid="{028D1ECD-03EC-49F3-825C-2D05E478D70A}">
      <text>
        <r>
          <rPr>
            <sz val="10"/>
            <color indexed="81"/>
            <rFont val="Courier New"/>
            <family val="3"/>
          </rPr>
          <t>_x000D_
    DESCRIÇÃO DO CÁLCULO_x000D_
Código    : 91.669_x000D_
Corte     : 1.085_x000D_
-----------------------------_x000D_
Pendente  : _x000D_
22 / 10_2 : 488_x000D_
22 / 11_2 : 560_x000D_
22 / 12_2 : 328_x000D_
23 / 01_2 : 80_x000D_
23 / 02_2 : 411_x000D_
23 / 03_2 : 1.085 (corte = 1256)_x000D_
23 / 04_2 : 514_x000D_
23 / 05_2 : 626_x000D_
23 / 06_2 : 605_x000D_
23 / 07_2 : 538_x000D_
23 / 08_2 : 566_x000D_
23 / 09_2 : 576_x000D_
_x000D_
    TOTAL : ( 6.377 )_x000D_
  DIVISOR : 12_x000D_
    MÉDIA : 531,42_x000D_
-----------------------------_x000D_
   Valores Desconsiderados_x000D_
-----------------------------_x000D_
23 / 03_2 : 171 (1.256)_x000D_
_x000D_
  TOTAL   : ( 171 )</t>
        </r>
      </text>
    </comment>
    <comment ref="AB702" authorId="0" shapeId="0" xr:uid="{F50A4EEC-C09C-4466-9F4D-A0B0D6F5628F}">
      <text>
        <r>
          <rPr>
            <sz val="10"/>
            <color indexed="81"/>
            <rFont val="Lucida Console"/>
            <family val="3"/>
          </rPr>
          <t>Última movimentação no estoque em 09/2023 quantidade 576.</t>
        </r>
      </text>
    </comment>
    <comment ref="R703" authorId="0" shapeId="0" xr:uid="{95E27FF5-08DB-49EF-BDC6-4CCAAB2689BC}">
      <text>
        <r>
          <rPr>
            <sz val="10"/>
            <color indexed="81"/>
            <rFont val="Lucida Console"/>
            <family val="3"/>
          </rPr>
          <t>13.04.2009</t>
        </r>
      </text>
    </comment>
    <comment ref="Y703" authorId="0" shapeId="0" xr:uid="{05C4846C-0FE1-4999-82C8-A9C0DA39AE52}">
      <text>
        <r>
          <rPr>
            <sz val="10"/>
            <color indexed="81"/>
            <rFont val="Courier New"/>
            <family val="3"/>
          </rPr>
          <t>_x000D_
    DESCRIÇÃO DO CÁLCULO_x000D_
Código    : 110.578_x000D_
Corte     : 29_x000D_
-----------------------------_x000D_
Pendente  : _x000D_
22 / 10_2 : 14_x000D_
22 / 11_2 : 17_x000D_
22 / 12_2 : 25_x000D_
23 / 01_2 : 29 (corte = 30)_x000D_
23 / 02_2 : 18_x000D_
23 / 03_2 : 20_x000D_
23 / 04_2 : 24_x000D_
23 / 05_2 : 14_x000D_
23 / 06_2 : 16_x000D_
23 / 07_2 : 18_x000D_
23 / 08_2 : 10_x000D_
23 / 09_2 : 14_x000D_
_x000D_
    TOTAL : ( 219 )_x000D_
  DIVISOR : 12_x000D_
    MÉDIA : 18,25_x000D_
-----------------------------_x000D_
   Valores Desconsiderados_x000D_
-----------------------------_x000D_
23 / 01_2 : 1 (30)_x000D_
_x000D_
  TOTAL   : ( 1 )</t>
        </r>
      </text>
    </comment>
    <comment ref="AB703" authorId="0" shapeId="0" xr:uid="{45421E7B-B0AC-4AB6-BD86-C3EC547E0E88}">
      <text>
        <r>
          <rPr>
            <sz val="10"/>
            <color indexed="81"/>
            <rFont val="Lucida Console"/>
            <family val="3"/>
          </rPr>
          <t>Última movimentação no estoque em 09/2023 quantidade 14.</t>
        </r>
      </text>
    </comment>
    <comment ref="R704" authorId="0" shapeId="0" xr:uid="{7E49DFBF-7803-4DF0-8D06-7D08472FA1AD}">
      <text>
        <r>
          <rPr>
            <sz val="10"/>
            <color indexed="81"/>
            <rFont val="Lucida Console"/>
            <family val="3"/>
          </rPr>
          <t>17.01.2005</t>
        </r>
      </text>
    </comment>
    <comment ref="Y704" authorId="0" shapeId="0" xr:uid="{4A2D9096-FE17-4FE6-8DCB-3136E0177C23}">
      <text>
        <r>
          <rPr>
            <sz val="10"/>
            <color indexed="81"/>
            <rFont val="Courier New"/>
            <family val="3"/>
          </rPr>
          <t>_x000D_
    DESCRIÇÃO DO CÁLCULO_x000D_
Código    : 83.627_x000D_
Corte     : 14.975_x000D_
-----------------------------_x000D_
Pendente  : 560_x000D_
22 / 10_2 : 10.044_x000D_
22 / 11_2 : 9.430_x000D_
22 / 12_2 : 6.880_x000D_
23 / 01_2 : 6.400_x000D_
23 / 02_2 : 10.742_x000D_
23 / 03_2 : 12.121_x000D_
23 / 04_2 : 10.265_x000D_
23 / 05_2 : 9.276_x000D_
23 / 06_2 : 8.680_x000D_
23 / 07_2 : 7.779_x000D_
23 / 08_2 : 7.961_x000D_
23 / 09_2 : 10.404_x000D_
_x000D_
    TOTAL : ( 110.542 )_x000D_
  DIVISOR : 12_x000D_
    MÉDIA : 9.211,83</t>
        </r>
      </text>
    </comment>
    <comment ref="AB704" authorId="0" shapeId="0" xr:uid="{D92AAC01-82E3-447A-80D3-F4FE93ED733F}">
      <text>
        <r>
          <rPr>
            <sz val="10"/>
            <color indexed="81"/>
            <rFont val="Lucida Console"/>
            <family val="3"/>
          </rPr>
          <t>Última movimentação no estoque em 09/2023 quantidade 10.404.</t>
        </r>
      </text>
    </comment>
    <comment ref="R705" authorId="0" shapeId="0" xr:uid="{ABE4A935-76CD-4D89-AD59-F458705A0E28}">
      <text>
        <r>
          <rPr>
            <sz val="10"/>
            <color indexed="81"/>
            <rFont val="Lucida Console"/>
            <family val="3"/>
          </rPr>
          <t>01.01.1901</t>
        </r>
      </text>
    </comment>
    <comment ref="Y705" authorId="0" shapeId="0" xr:uid="{EFFD5D0E-F2B4-4C2A-9E33-8F15FC4F6B1D}">
      <text>
        <r>
          <rPr>
            <sz val="10"/>
            <color indexed="81"/>
            <rFont val="Courier New"/>
            <family val="3"/>
          </rPr>
          <t>_x000D_
    DESCRIÇÃO DO CÁLCULO_x000D_
Código    : 9.413_x000D_
Corte     : 3.203_x000D_
-----------------------------_x000D_
Pendente  : 100_x000D_
22 / 10_2 : 1.100_x000D_
22 / 11_2 : 2.442_x000D_
22 / 12_2 : 1.362_x000D_
23 / 01_2 : 1.741_x000D_
23 / 02_2 : 2.205_x000D_
23 / 03_2 : 1.720_x000D_
23 / 04_2 : 2.223_x000D_
23 / 05_2 : 1.735_x000D_
23 / 06_2 : 1.879_x000D_
23 / 07_2 : 963_x000D_
23 / 08_2 : 1.036_x000D_
23 / 09_2 : 2.740_x000D_
_x000D_
    TOTAL : ( 21.246 )_x000D_
  DIVISOR : 12_x000D_
    MÉDIA : 1.770,50</t>
        </r>
      </text>
    </comment>
    <comment ref="AB705" authorId="0" shapeId="0" xr:uid="{269217AC-B952-4438-8585-A842D619B10A}">
      <text>
        <r>
          <rPr>
            <sz val="10"/>
            <color indexed="81"/>
            <rFont val="Lucida Console"/>
            <family val="3"/>
          </rPr>
          <t>Última movimentação no estoque em 09/2023 quantidade 2.740.</t>
        </r>
      </text>
    </comment>
    <comment ref="R706" authorId="0" shapeId="0" xr:uid="{4EC28E53-19F0-41D1-87A7-377201F2B95C}">
      <text>
        <r>
          <rPr>
            <sz val="10"/>
            <color indexed="81"/>
            <rFont val="Lucida Console"/>
            <family val="3"/>
          </rPr>
          <t>21.08.2017</t>
        </r>
      </text>
    </comment>
    <comment ref="Y706" authorId="0" shapeId="0" xr:uid="{080C4992-2BC1-4839-B56F-552434C6186A}">
      <text>
        <r>
          <rPr>
            <sz val="10"/>
            <color indexed="81"/>
            <rFont val="Courier New"/>
            <family val="3"/>
          </rPr>
          <t>_x000D_
    DESCRIÇÃO DO CÁLCULO_x000D_
Código    : 133.191_x000D_
Corte     : 171.657_x000D_
-----------------------------_x000D_
Pendente  : _x000D_
22 / 10_2 : 73.035_x000D_
22 / 11_2 : 3.862_x000D_
22 / 12_2 : 171.657 (corte = 246270)_x000D_
23 / 01_2 : 720_x000D_
23 / 02_2 : 1.910_x000D_
23 / 03_2 : 4.440_x000D_
23 / 04_2 : 2.500_x000D_
23 / 05_2 : 3.180_x000D_
23 / 06_2 : 2.780_x000D_
23 / 07_2 : 2.470_x000D_
23 / 08_2 : 2.451_x000D_
23 / 09_2 : 3.070_x000D_
_x000D_
    TOTAL : ( 272.075 )_x000D_
  DIVISOR : 12_x000D_
    MÉDIA : 22.672,92_x000D_
-----------------------------_x000D_
   Valores Desconsiderados_x000D_
-----------------------------_x000D_
22 / 12_2 : 74.613 (246.270)_x000D_
_x000D_
  TOTAL   : ( 74.613 )</t>
        </r>
      </text>
    </comment>
    <comment ref="AB706" authorId="0" shapeId="0" xr:uid="{68CC17BE-7051-462D-B76B-CCBAC68EBC31}">
      <text>
        <r>
          <rPr>
            <sz val="10"/>
            <color indexed="81"/>
            <rFont val="Lucida Console"/>
            <family val="3"/>
          </rPr>
          <t>Última movimentação no estoque em 09/2023 quantidade 3.070.</t>
        </r>
      </text>
    </comment>
    <comment ref="R707" authorId="0" shapeId="0" xr:uid="{77649E93-3C43-4DB9-B15A-FACB40486956}">
      <text>
        <r>
          <rPr>
            <sz val="10"/>
            <color indexed="81"/>
            <rFont val="Lucida Console"/>
            <family val="3"/>
          </rPr>
          <t>01.01.1901</t>
        </r>
      </text>
    </comment>
    <comment ref="Y707" authorId="0" shapeId="0" xr:uid="{BB5954E4-E8B7-4B29-B377-05F4491585C1}">
      <text>
        <r>
          <rPr>
            <sz val="10"/>
            <color indexed="81"/>
            <rFont val="Courier New"/>
            <family val="3"/>
          </rPr>
          <t>_x000D_
    DESCRIÇÃO DO CÁLCULO_x000D_
Código    : 14.121_x000D_
Corte     : 1.121_x000D_
-----------------------------_x000D_
Pendente  : 100_x000D_
22 / 10_2 : 180_x000D_
22 / 11_2 : 590_x000D_
22 / 12_2 : 480_x000D_
23 / 01_2 : 681_x000D_
23 / 02_2 : 760_x000D_
23 / 03_2 : 520_x000D_
23 / 04_2 : 691_x000D_
23 / 05_2 : 531_x000D_
23 / 06_2 : 762_x000D_
23 / 07_2 : 50_x000D_
23 / 08_2 : 836_x000D_
23 / 09_2 : 810_x000D_
_x000D_
    TOTAL : ( 6.991 )_x000D_
  DIVISOR : 12_x000D_
    MÉDIA : 582,58</t>
        </r>
      </text>
    </comment>
    <comment ref="AB707" authorId="0" shapeId="0" xr:uid="{7E425705-115A-40AA-9154-4E67E30B8819}">
      <text>
        <r>
          <rPr>
            <sz val="10"/>
            <color indexed="81"/>
            <rFont val="Lucida Console"/>
            <family val="3"/>
          </rPr>
          <t>Última movimentação no estoque em 09/2023 quantidade 810.</t>
        </r>
      </text>
    </comment>
    <comment ref="R708" authorId="0" shapeId="0" xr:uid="{F58AED2B-EE69-4C7E-BA2B-DA42791FC74B}">
      <text>
        <r>
          <rPr>
            <sz val="10"/>
            <color indexed="81"/>
            <rFont val="Lucida Console"/>
            <family val="3"/>
          </rPr>
          <t>19.01.2009</t>
        </r>
      </text>
    </comment>
    <comment ref="Y708" authorId="0" shapeId="0" xr:uid="{2EBF2514-CC45-4D72-A36B-C3D29D75D5B0}">
      <text>
        <r>
          <rPr>
            <sz val="10"/>
            <color indexed="81"/>
            <rFont val="Courier New"/>
            <family val="3"/>
          </rPr>
          <t>_x000D_
    DESCRIÇÃO DO CÁLCULO_x000D_
Código    : 109.251_x000D_
Corte     : 100_x000D_
-----------------------------_x000D_
Pendente  : _x000D_
22 / 10_2 : _x000D_
22 / 11_2 : _x000D_
22 / 12_2 : _x000D_
23 / 01_2 : _x000D_
23 / 02_2 : _x000D_
23 / 03_2 : _x000D_
23 / 04_2 : _x000D_
23 / 05_2 : _x000D_
23 / 06_2 : _x000D_
23 / 07_2 : _x000D_
23 / 08_2 : 100 (corte = 151)_x000D_
23 / 09_2 : 18_x000D_
_x000D_
    TOTAL : ( 118 )_x000D_
  DIVISOR : 12_x000D_
    MÉDIA : 9,83_x000D_
-----------------------------_x000D_
   Valores Desconsiderados_x000D_
-----------------------------_x000D_
23 / 08_2 : 51 (151)_x000D_
_x000D_
  TOTAL   : ( 51 )</t>
        </r>
      </text>
    </comment>
    <comment ref="AB708" authorId="0" shapeId="0" xr:uid="{E7019513-36E6-4E48-8329-FF5A3937865D}">
      <text>
        <r>
          <rPr>
            <sz val="10"/>
            <color indexed="81"/>
            <rFont val="Lucida Console"/>
            <family val="3"/>
          </rPr>
          <t>Última movimentação no estoque em 09/2023 quantidade 18.</t>
        </r>
      </text>
    </comment>
    <comment ref="R709" authorId="0" shapeId="0" xr:uid="{A3EAFB21-63BF-46A0-BB79-300C2F7BF570}">
      <text>
        <r>
          <rPr>
            <sz val="10"/>
            <color indexed="81"/>
            <rFont val="Lucida Console"/>
            <family val="3"/>
          </rPr>
          <t>09.08.2004</t>
        </r>
      </text>
    </comment>
    <comment ref="Y709" authorId="0" shapeId="0" xr:uid="{CB0AD137-EA8D-4171-98A7-58FBF6498629}">
      <text>
        <r>
          <rPr>
            <sz val="10"/>
            <color indexed="81"/>
            <rFont val="Courier New"/>
            <family val="3"/>
          </rPr>
          <t>_x000D_
    DESCRIÇÃO DO CÁLCULO_x000D_
Código    : 81.152_x000D_
Corte     : 3_x000D_
-----------------------------_x000D_
Pendente  : _x000D_
22 / 10_2 : _x000D_
22 / 11_2 : 1_x000D_
22 / 12_2 : 3 (corte = 4)_x000D_
23 / 01_2 : 3_x000D_
23 / 02_2 : _x000D_
23 / 03_2 : 1_x000D_
23 / 04_2 : 1_x000D_
23 / 05_2 : 1_x000D_
23 / 06_2 : 1_x000D_
23 / 07_2 : 1_x000D_
23 / 08_2 : 2_x000D_
23 / 09_2 : 2_x000D_
_x000D_
    TOTAL : ( 16 )_x000D_
  DIVISOR : 12_x000D_
    MÉDIA : 1,33_x000D_
-----------------------------_x000D_
   Valores Desconsiderados_x000D_
-----------------------------_x000D_
22 / 12_2 : 1 (4)_x000D_
_x000D_
  TOTAL   : ( 1 )</t>
        </r>
      </text>
    </comment>
    <comment ref="AB709" authorId="0" shapeId="0" xr:uid="{DC255C0F-EABD-4D91-BB57-6E2A8402487C}">
      <text>
        <r>
          <rPr>
            <sz val="10"/>
            <color indexed="81"/>
            <rFont val="Lucida Console"/>
            <family val="3"/>
          </rPr>
          <t>Última movimentação no estoque em 09/2023 quantidade 2.</t>
        </r>
      </text>
    </comment>
    <comment ref="R710" authorId="0" shapeId="0" xr:uid="{016E7140-114B-4B3B-A8B8-61958F2EB700}">
      <text>
        <r>
          <rPr>
            <sz val="10"/>
            <color indexed="81"/>
            <rFont val="Lucida Console"/>
            <family val="3"/>
          </rPr>
          <t>18.07.2007</t>
        </r>
      </text>
    </comment>
    <comment ref="Y710" authorId="0" shapeId="0" xr:uid="{9DF7CB23-27C5-4A3F-82E5-68B063004DBA}">
      <text>
        <r>
          <rPr>
            <sz val="10"/>
            <color indexed="81"/>
            <rFont val="Courier New"/>
            <family val="3"/>
          </rPr>
          <t>_x000D_
    DESCRIÇÃO DO CÁLCULO_x000D_
Código    : 100.907_x000D_
Corte     : 23_x000D_
-----------------------------_x000D_
Pendente  : _x000D_
22 / 10_2 : _x000D_
22 / 11_2 : 20_x000D_
22 / 12_2 : 7_x000D_
23 / 01_2 : 13_x000D_
23 / 02_2 : 19_x000D_
23 / 03_2 : 11_x000D_
23 / 04_2 : 16_x000D_
23 / 05_2 : 13_x000D_
23 / 06_2 : 7_x000D_
23 / 07_2 : 7_x000D_
23 / 08_2 : 15_x000D_
23 / 09_2 : 5_x000D_
_x000D_
    TOTAL : ( 133 )_x000D_
  DIVISOR : 12_x000D_
    MÉDIA : 11,08</t>
        </r>
      </text>
    </comment>
    <comment ref="AB710" authorId="0" shapeId="0" xr:uid="{0501FA55-FB39-427B-873D-599E60B266A1}">
      <text>
        <r>
          <rPr>
            <sz val="10"/>
            <color indexed="81"/>
            <rFont val="Lucida Console"/>
            <family val="3"/>
          </rPr>
          <t>Última movimentação no estoque em 09/2023 quantidade 5.</t>
        </r>
      </text>
    </comment>
    <comment ref="R711" authorId="0" shapeId="0" xr:uid="{82BCBCBB-D8DC-4484-B2A1-1DBED5989997}">
      <text>
        <r>
          <rPr>
            <sz val="10"/>
            <color indexed="81"/>
            <rFont val="Lucida Console"/>
            <family val="3"/>
          </rPr>
          <t>01.01.1901</t>
        </r>
      </text>
    </comment>
    <comment ref="Y711" authorId="0" shapeId="0" xr:uid="{A8084049-41EE-4F1C-B49D-1237FE1B8333}">
      <text>
        <r>
          <rPr>
            <sz val="10"/>
            <color indexed="81"/>
            <rFont val="Courier New"/>
            <family val="3"/>
          </rPr>
          <t>_x000D_
    DESCRIÇÃO DO CÁLCULO_x000D_
Código    : 54.019_x000D_
Corte     : 109_x000D_
-----------------------------_x000D_
Pendente  : _x000D_
22 / 10_2 : 40_x000D_
22 / 11_2 : 90_x000D_
22 / 12_2 : 20_x000D_
23 / 01_2 : 105_x000D_
23 / 02_2 : 64_x000D_
23 / 03_2 : 4_x000D_
23 / 04_2 : 35_x000D_
23 / 05_2 : _x000D_
23 / 06_2 : 10_x000D_
23 / 07_2 : _x000D_
23 / 08_2 : 60_x000D_
23 / 09_2 : _x000D_
_x000D_
    TOTAL : ( 428 )_x000D_
  DIVISOR : 12_x000D_
    MÉDIA : 35,67</t>
        </r>
      </text>
    </comment>
    <comment ref="AB711" authorId="0" shapeId="0" xr:uid="{17C339A4-6859-4C8B-B259-29F9A6663068}">
      <text>
        <r>
          <rPr>
            <sz val="10"/>
            <color indexed="81"/>
            <rFont val="Lucida Console"/>
            <family val="3"/>
          </rPr>
          <t>Última movimentação no estoque em 08/2023 quantidade 60.</t>
        </r>
      </text>
    </comment>
    <comment ref="R712" authorId="0" shapeId="0" xr:uid="{60F1AC32-E045-44D1-96CC-54A5E86DCC49}">
      <text>
        <r>
          <rPr>
            <sz val="10"/>
            <color indexed="81"/>
            <rFont val="Lucida Console"/>
            <family val="3"/>
          </rPr>
          <t>19.09.2008</t>
        </r>
      </text>
    </comment>
    <comment ref="Y712" authorId="0" shapeId="0" xr:uid="{01DFD5AD-438C-4176-80C5-9D8FE5A27C35}">
      <text>
        <r>
          <rPr>
            <sz val="10"/>
            <color indexed="81"/>
            <rFont val="Courier New"/>
            <family val="3"/>
          </rPr>
          <t>_x000D_
    DESCRIÇÃO DO CÁLCULO_x000D_
Código    : 107.926_x000D_
Corte     : 1.598_x000D_
-----------------------------_x000D_
Pendente  : _x000D_
22 / 10_2 : 500_x000D_
22 / 11_2 : 1.598 (corte = 2060)_x000D_
22 / 12_2 : _x000D_
23 / 01_2 : _x000D_
23 / 02_2 : _x000D_
23 / 03_2 : _x000D_
23 / 04_2 : 500_x000D_
23 / 05_2 : _x000D_
23 / 06_2 : 16_x000D_
23 / 07_2 : _x000D_
23 / 08_2 : _x000D_
23 / 09_2 : 1.000_x000D_
_x000D_
    TOTAL : ( 3.614 )_x000D_
  DIVISOR : 12_x000D_
    MÉDIA : 301,17_x000D_
-----------------------------_x000D_
   Valores Desconsiderados_x000D_
-----------------------------_x000D_
22 / 11_2 : 462 (2.060)_x000D_
_x000D_
  TOTAL   : ( 462 )</t>
        </r>
      </text>
    </comment>
    <comment ref="AB712" authorId="0" shapeId="0" xr:uid="{95E6859C-CF1A-4543-AFB6-AD9519BB0F04}">
      <text>
        <r>
          <rPr>
            <sz val="10"/>
            <color indexed="81"/>
            <rFont val="Lucida Console"/>
            <family val="3"/>
          </rPr>
          <t>Última movimentação no estoque em 09/2023 quantidade 1.000.</t>
        </r>
      </text>
    </comment>
    <comment ref="R713" authorId="0" shapeId="0" xr:uid="{DC47D398-8522-43D0-970C-25A9347ACAA1}">
      <text>
        <r>
          <rPr>
            <sz val="10"/>
            <color indexed="81"/>
            <rFont val="Lucida Console"/>
            <family val="3"/>
          </rPr>
          <t>01.01.1901</t>
        </r>
      </text>
    </comment>
    <comment ref="Y713" authorId="0" shapeId="0" xr:uid="{E3900AF6-B6FB-4F0F-BC5C-949B50D109A4}">
      <text>
        <r>
          <rPr>
            <sz val="10"/>
            <color indexed="81"/>
            <rFont val="Courier New"/>
            <family val="3"/>
          </rPr>
          <t>_x000D_
    DESCRIÇÃO DO CÁLCULO_x000D_
Código    : 64.646_x000D_
Corte     : 344_x000D_
-----------------------------_x000D_
Pendente  : _x000D_
22 / 10_2 : _x000D_
22 / 11_2 : _x000D_
22 / 12_2 : 40_x000D_
23 / 01_2 : 120_x000D_
23 / 02_2 : _x000D_
23 / 03_2 : _x000D_
23 / 04_2 : 344 (corte = 500)_x000D_
23 / 05_2 : _x000D_
23 / 06_2 : _x000D_
23 / 07_2 : _x000D_
23 / 08_2 : _x000D_
23 / 09_2 : _x000D_
_x000D_
    TOTAL : ( 504 )_x000D_
  DIVISOR : 12_x000D_
    MÉDIA : 42,00_x000D_
-----------------------------_x000D_
   Valores Desconsiderados_x000D_
-----------------------------_x000D_
23 / 04_2 : 156 (500)_x000D_
_x000D_
  TOTAL   : ( 156 )</t>
        </r>
      </text>
    </comment>
    <comment ref="AB713" authorId="0" shapeId="0" xr:uid="{ABAD2A25-AE8E-49A0-8B51-5E0EBD95488A}">
      <text>
        <r>
          <rPr>
            <sz val="10"/>
            <color indexed="81"/>
            <rFont val="Lucida Console"/>
            <family val="3"/>
          </rPr>
          <t>Última movimentação no estoque em 04/2023 quantidade 500.</t>
        </r>
      </text>
    </comment>
    <comment ref="R714" authorId="0" shapeId="0" xr:uid="{904EBD13-080F-425E-AB58-9F98C86C5FFD}">
      <text>
        <r>
          <rPr>
            <sz val="10"/>
            <color indexed="81"/>
            <rFont val="Lucida Console"/>
            <family val="3"/>
          </rPr>
          <t>28.09.2011</t>
        </r>
      </text>
    </comment>
    <comment ref="Y714" authorId="0" shapeId="0" xr:uid="{B35994BC-645D-4240-847A-5E926C1D2336}">
      <text>
        <r>
          <rPr>
            <sz val="10"/>
            <color indexed="81"/>
            <rFont val="Courier New"/>
            <family val="3"/>
          </rPr>
          <t>_x000D_
    DESCRIÇÃO DO CÁLCULO_x000D_
Código    : 121.126_x000D_
Corte     : 17.912_x000D_
-----------------------------_x000D_
Pendente  : 17.776_x000D_
22 / 10_2 : 14.950_x000D_
22 / 11_2 : 14.151_x000D_
22 / 12_2 : 4.599_x000D_
23 / 01_2 : 800_x000D_
23 / 02_2 : 8_x000D_
23 / 03_2 : _x000D_
23 / 04_2 : _x000D_
23 / 05_2 : _x000D_
23 / 06_2 : _x000D_
23 / 07_2 : _x000D_
23 / 08_2 : _x000D_
23 / 09_2 : _x000D_
_x000D_
    TOTAL : ( 52.284 )_x000D_
  DIVISOR : 12_x000D_
    MÉDIA : 4.357,00</t>
        </r>
      </text>
    </comment>
    <comment ref="AB714" authorId="0" shapeId="0" xr:uid="{6AEB1A31-2585-454C-B84E-0F7574D0DCEF}">
      <text>
        <r>
          <rPr>
            <sz val="10"/>
            <color indexed="81"/>
            <rFont val="Lucida Console"/>
            <family val="3"/>
          </rPr>
          <t>Última movimentação no estoque em 02/2023 quantidade 8.</t>
        </r>
      </text>
    </comment>
    <comment ref="R715" authorId="0" shapeId="0" xr:uid="{BB566704-C3EA-4F5F-BCE6-0BE3D3B29BA7}">
      <text>
        <r>
          <rPr>
            <sz val="10"/>
            <color indexed="81"/>
            <rFont val="Lucida Console"/>
            <family val="3"/>
          </rPr>
          <t>10.03.2004</t>
        </r>
      </text>
    </comment>
    <comment ref="Y715" authorId="0" shapeId="0" xr:uid="{E8262F5F-DF7E-4E2B-9980-79AB375FCA92}">
      <text>
        <r>
          <rPr>
            <sz val="10"/>
            <color indexed="81"/>
            <rFont val="Courier New"/>
            <family val="3"/>
          </rPr>
          <t>_x000D_
    DESCRIÇÃO DO CÁLCULO_x000D_
Código    : 77.562_x000D_
Corte     : 887_x000D_
-----------------------------_x000D_
Pendente  : 183_x000D_
22 / 10_2 : 499_x000D_
22 / 11_2 : 481_x000D_
22 / 12_2 : 281_x000D_
23 / 01_2 : 633_x000D_
23 / 02_2 : 100_x000D_
23 / 03_2 : 559_x000D_
23 / 04_2 : 220_x000D_
23 / 05_2 : 865_x000D_
23 / 06_2 : 90_x000D_
23 / 07_2 : 370_x000D_
23 / 08_2 : 431_x000D_
23 / 09_2 : _x000D_
_x000D_
    TOTAL : ( 4.712 )_x000D_
  DIVISOR : 12_x000D_
    MÉDIA : 392,67</t>
        </r>
      </text>
    </comment>
    <comment ref="AB715" authorId="0" shapeId="0" xr:uid="{2DBF6CAF-6E20-494B-B24E-AF2A81233F67}">
      <text>
        <r>
          <rPr>
            <sz val="10"/>
            <color indexed="81"/>
            <rFont val="Lucida Console"/>
            <family val="3"/>
          </rPr>
          <t>Última movimentação no estoque em 08/2023 quantidade 431.</t>
        </r>
      </text>
    </comment>
    <comment ref="R716" authorId="0" shapeId="0" xr:uid="{9F3AB7DB-3B2D-4B04-9A9C-9F52703A09AC}">
      <text>
        <r>
          <rPr>
            <sz val="10"/>
            <color indexed="81"/>
            <rFont val="Lucida Console"/>
            <family val="3"/>
          </rPr>
          <t>07.11.2005</t>
        </r>
      </text>
    </comment>
    <comment ref="Y716" authorId="0" shapeId="0" xr:uid="{F43C69AF-2AFA-4D98-9FAA-69EB6A75775E}">
      <text>
        <r>
          <rPr>
            <sz val="10"/>
            <color indexed="81"/>
            <rFont val="Courier New"/>
            <family val="3"/>
          </rPr>
          <t>_x000D_
    DESCRIÇÃO DO CÁLCULO_x000D_
Código    : 88.839_x000D_
Corte     : 10_x000D_
-----------------------------_x000D_
Pendente  : _x000D_
22 / 10_2 : 10_x000D_
22 / 11_2 : 1_x000D_
22 / 12_2 : 5_x000D_
23 / 01_2 : 6_x000D_
23 / 02_2 : _x000D_
23 / 03_2 : 10_x000D_
23 / 04_2 : 2_x000D_
23 / 05_2 : 2_x000D_
23 / 06_2 : 1_x000D_
23 / 07_2 : _x000D_
23 / 08_2 : _x000D_
23 / 09_2 : 4_x000D_
_x000D_
    TOTAL : ( 41 )_x000D_
  DIVISOR : 12_x000D_
    MÉDIA : 3,42</t>
        </r>
      </text>
    </comment>
    <comment ref="AB716" authorId="0" shapeId="0" xr:uid="{48C3CB4A-75C6-419C-94BF-81469C9DC873}">
      <text>
        <r>
          <rPr>
            <sz val="10"/>
            <color indexed="81"/>
            <rFont val="Lucida Console"/>
            <family val="3"/>
          </rPr>
          <t>Última movimentação no estoque em 09/2023 quantidade 4.</t>
        </r>
      </text>
    </comment>
    <comment ref="R717" authorId="0" shapeId="0" xr:uid="{EE5525A2-4A28-4CB5-A622-4F212027488E}">
      <text>
        <r>
          <rPr>
            <sz val="10"/>
            <color indexed="81"/>
            <rFont val="Lucida Console"/>
            <family val="3"/>
          </rPr>
          <t>10.07.2014</t>
        </r>
      </text>
    </comment>
    <comment ref="Y717" authorId="0" shapeId="0" xr:uid="{0DB64726-7978-42F8-9178-2C34514D48ED}">
      <text>
        <r>
          <rPr>
            <sz val="10"/>
            <color indexed="81"/>
            <rFont val="Courier New"/>
            <family val="3"/>
          </rPr>
          <t>_x000D_
    DESCRIÇÃO DO CÁLCULO_x000D_
Código    : 128.288_x000D_
Corte     : 6_x000D_
-----------------------------_x000D_
Pendente  : 2_x000D_
22 / 10_2 : 1_x000D_
22 / 11_2 : 1_x000D_
22 / 12_2 : 3_x000D_
23 / 01_2 : _x000D_
23 / 02_2 : 6 (corte = 10)_x000D_
23 / 03_2 : _x000D_
23 / 04_2 : _x000D_
23 / 05_2 : _x000D_
23 / 06_2 : _x000D_
23 / 07_2 : _x000D_
23 / 08_2 : _x000D_
23 / 09_2 : _x000D_
_x000D_
    TOTAL : ( 13 )_x000D_
  DIVISOR : 12_x000D_
    MÉDIA : 1,08_x000D_
-----------------------------_x000D_
   Valores Desconsiderados_x000D_
-----------------------------_x000D_
23 / 02_2 : 4 (10)_x000D_
_x000D_
  TOTAL   : ( 4 )</t>
        </r>
      </text>
    </comment>
    <comment ref="AB717" authorId="0" shapeId="0" xr:uid="{44F01096-BD09-4A4D-931C-C39FB0881BE9}">
      <text>
        <r>
          <rPr>
            <sz val="10"/>
            <color indexed="81"/>
            <rFont val="Lucida Console"/>
            <family val="3"/>
          </rPr>
          <t>Última movimentação no estoque em 02/2023 quantidade 10.</t>
        </r>
      </text>
    </comment>
    <comment ref="R718" authorId="0" shapeId="0" xr:uid="{8F547C83-F72F-4BED-AF1E-0AA6AB54F62A}">
      <text>
        <r>
          <rPr>
            <sz val="10"/>
            <color indexed="81"/>
            <rFont val="Lucida Console"/>
            <family val="3"/>
          </rPr>
          <t>01.01.1901</t>
        </r>
      </text>
    </comment>
    <comment ref="Y718" authorId="0" shapeId="0" xr:uid="{27B594BA-4ABF-4D71-8274-4787C8D227F2}">
      <text>
        <r>
          <rPr>
            <sz val="10"/>
            <color indexed="81"/>
            <rFont val="Courier New"/>
            <family val="3"/>
          </rPr>
          <t>_x000D_
    DESCRIÇÃO DO CÁLCULO_x000D_
Código    : 63.031_x000D_
Corte     : 398_x000D_
-----------------------------_x000D_
Pendente  : _x000D_
22 / 10_2 : 83_x000D_
22 / 11_2 : 68_x000D_
22 / 12_2 : 12_x000D_
23 / 01_2 : 51_x000D_
23 / 02_2 : 86_x000D_
23 / 03_2 : 123_x000D_
23 / 04_2 : 104_x000D_
23 / 05_2 : 104_x000D_
23 / 06_2 : 150_x000D_
23 / 07_2 : _x000D_
23 / 08_2 : 102_x000D_
23 / 09_2 : 398 (corte = 542)_x000D_
_x000D_
    TOTAL : ( 1.281 )_x000D_
  DIVISOR : 12_x000D_
    MÉDIA : 106,75_x000D_
-----------------------------_x000D_
   Valores Desconsiderados_x000D_
-----------------------------_x000D_
23 / 09_2 : 144 (542)_x000D_
_x000D_
  TOTAL   : ( 144 )</t>
        </r>
      </text>
    </comment>
    <comment ref="AB718" authorId="0" shapeId="0" xr:uid="{D604CDEB-E402-46D1-BF16-45D06EC2E360}">
      <text>
        <r>
          <rPr>
            <sz val="10"/>
            <color indexed="81"/>
            <rFont val="Lucida Console"/>
            <family val="3"/>
          </rPr>
          <t>Última movimentação no estoque em 09/2023 quantidade 542.</t>
        </r>
      </text>
    </comment>
    <comment ref="R719" authorId="0" shapeId="0" xr:uid="{2AB248ED-C7D2-4CF3-8E44-4001A7EE1AF6}">
      <text>
        <r>
          <rPr>
            <sz val="10"/>
            <color indexed="81"/>
            <rFont val="Lucida Console"/>
            <family val="3"/>
          </rPr>
          <t>12.07.2007</t>
        </r>
      </text>
    </comment>
    <comment ref="Y719" authorId="0" shapeId="0" xr:uid="{3748AD8C-212B-4FA3-90BD-1C9AE55F7337}">
      <text>
        <r>
          <rPr>
            <sz val="10"/>
            <color indexed="81"/>
            <rFont val="Courier New"/>
            <family val="3"/>
          </rPr>
          <t>_x000D_
    DESCRIÇÃO DO CÁLCULO_x000D_
Código    : 100.802_x000D_
Corte     : 229_x000D_
-----------------------------_x000D_
Pendente  : 7_x000D_
22 / 10_2 : 173_x000D_
22 / 11_2 : 84_x000D_
22 / 12_2 : 174_x000D_
23 / 01_2 : 215_x000D_
23 / 02_2 : _x000D_
23 / 03_2 : _x000D_
23 / 04_2 : _x000D_
23 / 05_2 : _x000D_
23 / 06_2 : _x000D_
23 / 07_2 : _x000D_
23 / 08_2 : 98_x000D_
23 / 09_2 : 84_x000D_
_x000D_
    TOTAL : ( 835 )_x000D_
  DIVISOR : 12_x000D_
    MÉDIA : 69,58</t>
        </r>
      </text>
    </comment>
    <comment ref="AB719" authorId="0" shapeId="0" xr:uid="{FE231F26-77D8-48CE-8E8A-5148B8AF8AC9}">
      <text>
        <r>
          <rPr>
            <sz val="10"/>
            <color indexed="81"/>
            <rFont val="Lucida Console"/>
            <family val="3"/>
          </rPr>
          <t>Última movimentação no estoque em 09/2023 quantidade 84.</t>
        </r>
      </text>
    </comment>
    <comment ref="R720" authorId="0" shapeId="0" xr:uid="{1078A403-EC1D-4E24-BA99-3907ECC6CD48}">
      <text>
        <r>
          <rPr>
            <sz val="10"/>
            <color indexed="81"/>
            <rFont val="Lucida Console"/>
            <family val="3"/>
          </rPr>
          <t>01.01.1901</t>
        </r>
      </text>
    </comment>
    <comment ref="Y720" authorId="0" shapeId="0" xr:uid="{C22D9464-2D32-4E50-9BDB-66BEC143FB12}">
      <text>
        <r>
          <rPr>
            <sz val="10"/>
            <color indexed="81"/>
            <rFont val="Courier New"/>
            <family val="3"/>
          </rPr>
          <t>_x000D_
    DESCRIÇÃO DO CÁLCULO_x000D_
Código    : 23.778_x000D_
Corte     : 42_x000D_
-----------------------------_x000D_
Pendente  : _x000D_
22 / 10_2 : 14_x000D_
22 / 11_2 : 9_x000D_
22 / 12_2 : 5_x000D_
23 / 01_2 : 8_x000D_
23 / 02_2 : 8_x000D_
23 / 03_2 : 11_x000D_
23 / 04_2 : 10_x000D_
23 / 05_2 : 15_x000D_
23 / 06_2 : 16_x000D_
23 / 07_2 : 22_x000D_
23 / 08_2 : 42 (corte = 56)_x000D_
23 / 09_2 : 11_x000D_
_x000D_
    TOTAL : ( 171 )_x000D_
  DIVISOR : 12_x000D_
    MÉDIA : 14,25_x000D_
-----------------------------_x000D_
   Valores Desconsiderados_x000D_
-----------------------------_x000D_
23 / 08_2 : 14 (56)_x000D_
_x000D_
  TOTAL   : ( 14 )</t>
        </r>
      </text>
    </comment>
    <comment ref="AB720" authorId="0" shapeId="0" xr:uid="{022FD29D-F202-4F9E-8996-50066FCDC766}">
      <text>
        <r>
          <rPr>
            <sz val="10"/>
            <color indexed="81"/>
            <rFont val="Lucida Console"/>
            <family val="3"/>
          </rPr>
          <t>Última movimentação no estoque em 09/2023 quantidade 11.</t>
        </r>
      </text>
    </comment>
    <comment ref="R721" authorId="0" shapeId="0" xr:uid="{39E0AE17-E285-44CE-A7C8-1ADC3FB31CE1}">
      <text>
        <r>
          <rPr>
            <sz val="10"/>
            <color indexed="81"/>
            <rFont val="Lucida Console"/>
            <family val="3"/>
          </rPr>
          <t>01.01.1901</t>
        </r>
      </text>
    </comment>
    <comment ref="Y721" authorId="0" shapeId="0" xr:uid="{6992D5F3-BA77-431B-AD9F-D80CD21E2C17}">
      <text>
        <r>
          <rPr>
            <sz val="10"/>
            <color indexed="81"/>
            <rFont val="Courier New"/>
            <family val="3"/>
          </rPr>
          <t>_x000D_
    DESCRIÇÃO DO CÁLCULO_x000D_
Código    : 14.831_x000D_
Corte     : 87_x000D_
-----------------------------_x000D_
Pendente  : _x000D_
22 / 10_2 : 33_x000D_
22 / 11_2 : 15_x000D_
22 / 12_2 : 19_x000D_
23 / 01_2 : 87 (corte = 109)_x000D_
23 / 02_2 : _x000D_
23 / 03_2 : 5_x000D_
23 / 04_2 : 40_x000D_
23 / 05_2 : _x000D_
23 / 06_2 : 15_x000D_
23 / 07_2 : _x000D_
23 / 08_2 : _x000D_
23 / 09_2 : 50_x000D_
_x000D_
    TOTAL : ( 264 )_x000D_
  DIVISOR : 12_x000D_
    MÉDIA : 22,00_x000D_
-----------------------------_x000D_
   Valores Desconsiderados_x000D_
-----------------------------_x000D_
23 / 01_2 : 22 (109)_x000D_
_x000D_
  TOTAL   : ( 22 )</t>
        </r>
      </text>
    </comment>
    <comment ref="AB721" authorId="0" shapeId="0" xr:uid="{BF031C05-9F45-4D13-9454-C4997DA5DFD4}">
      <text>
        <r>
          <rPr>
            <sz val="10"/>
            <color indexed="81"/>
            <rFont val="Lucida Console"/>
            <family val="3"/>
          </rPr>
          <t>Última movimentação no estoque em 09/2023 quantidade 50.</t>
        </r>
      </text>
    </comment>
    <comment ref="R722" authorId="0" shapeId="0" xr:uid="{4C3AF9F5-30F0-4D52-9F48-49406124737B}">
      <text>
        <r>
          <rPr>
            <sz val="10"/>
            <color indexed="81"/>
            <rFont val="Lucida Console"/>
            <family val="3"/>
          </rPr>
          <t>31.08.2017</t>
        </r>
      </text>
    </comment>
    <comment ref="Y722" authorId="0" shapeId="0" xr:uid="{DD17DBE5-EBFF-44AA-B0A0-F8FE5984A66A}">
      <text>
        <r>
          <rPr>
            <sz val="10"/>
            <color indexed="81"/>
            <rFont val="Courier New"/>
            <family val="3"/>
          </rPr>
          <t>_x000D_
    DESCRIÇÃO DO CÁLCULO_x000D_
Código    : 133.301_x000D_
Corte     : 1.204_x000D_
-----------------------------_x000D_
Pendente  : 1.478_x000D_
22 / 10_2 : 630_x000D_
22 / 11_2 : 280_x000D_
22 / 12_2 : 650_x000D_
23 / 01_2 : 612_x000D_
23 / 02_2 : _x000D_
23 / 03_2 : _x000D_
23 / 04_2 : _x000D_
23 / 05_2 : _x000D_
23 / 06_2 : _x000D_
23 / 07_2 : _x000D_
23 / 08_2 : _x000D_
23 / 09_2 : _x000D_
_x000D_
    TOTAL : ( 3.650 )_x000D_
  DIVISOR : 12_x000D_
    MÉDIA : 304,17</t>
        </r>
      </text>
    </comment>
    <comment ref="AB722" authorId="0" shapeId="0" xr:uid="{85D2FA78-7E47-4F52-AED5-BB7A76BBACB8}">
      <text>
        <r>
          <rPr>
            <sz val="10"/>
            <color indexed="81"/>
            <rFont val="Lucida Console"/>
            <family val="3"/>
          </rPr>
          <t>Última movimentação no estoque em 01/2023 quantidade 612.</t>
        </r>
      </text>
    </comment>
    <comment ref="R723" authorId="0" shapeId="0" xr:uid="{DCAD1415-85FF-4025-A2CF-7AADC220989F}">
      <text>
        <r>
          <rPr>
            <sz val="10"/>
            <color indexed="81"/>
            <rFont val="Lucida Console"/>
            <family val="3"/>
          </rPr>
          <t>26.03.2004</t>
        </r>
      </text>
    </comment>
    <comment ref="Y723" authorId="0" shapeId="0" xr:uid="{155DF3AF-B030-46DA-88BF-F41D83087DEF}">
      <text>
        <r>
          <rPr>
            <sz val="10"/>
            <color indexed="81"/>
            <rFont val="Courier New"/>
            <family val="3"/>
          </rPr>
          <t>_x000D_
    DESCRIÇÃO DO CÁLCULO_x000D_
Código    : 78.057_x000D_
Corte     : 498_x000D_
-----------------------------_x000D_
Pendente  : 715_x000D_
22 / 10_2 : _x000D_
22 / 11_2 : 3_x000D_
22 / 12_2 : _x000D_
23 / 01_2 : _x000D_
23 / 02_2 : 5_x000D_
23 / 03_2 : _x000D_
23 / 04_2 : 1_x000D_
23 / 05_2 : 285_x000D_
23 / 06_2 : _x000D_
23 / 07_2 : _x000D_
23 / 08_2 : _x000D_
23 / 09_2 : _x000D_
_x000D_
    TOTAL : ( 1.009 )_x000D_
  DIVISOR : 12_x000D_
    MÉDIA : 84,08</t>
        </r>
      </text>
    </comment>
    <comment ref="AB723" authorId="0" shapeId="0" xr:uid="{EE52442D-BC32-438F-A9EA-A073974D1D44}">
      <text>
        <r>
          <rPr>
            <sz val="10"/>
            <color indexed="81"/>
            <rFont val="Lucida Console"/>
            <family val="3"/>
          </rPr>
          <t>Última movimentação no estoque em 05/2023 quantidade 285.</t>
        </r>
      </text>
    </comment>
    <comment ref="R724" authorId="0" shapeId="0" xr:uid="{C437B30A-B5A5-4068-8054-DA6EE0B50385}">
      <text>
        <r>
          <rPr>
            <sz val="10"/>
            <color indexed="81"/>
            <rFont val="Lucida Console"/>
            <family val="3"/>
          </rPr>
          <t>08.11.2010</t>
        </r>
      </text>
    </comment>
    <comment ref="Y724" authorId="0" shapeId="0" xr:uid="{DBAD791E-FA17-4EB9-8495-D78871754782}">
      <text>
        <r>
          <rPr>
            <sz val="10"/>
            <color indexed="81"/>
            <rFont val="Courier New"/>
            <family val="3"/>
          </rPr>
          <t>_x000D_
    DESCRIÇÃO DO CÁLCULO_x000D_
Código    : 118.427_x000D_
Corte     : 1.273_x000D_
-----------------------------_x000D_
Pendente  : _x000D_
22 / 10_2 : 311_x000D_
22 / 11_2 : 1.252_x000D_
22 / 12_2 : 1.250_x000D_
23 / 01_2 : 496_x000D_
23 / 02_2 : 347_x000D_
23 / 03_2 : 540_x000D_
23 / 04_2 : 285_x000D_
23 / 05_2 : 230_x000D_
23 / 06_2 : 75_x000D_
23 / 07_2 : _x000D_
23 / 08_2 : 31_x000D_
23 / 09_2 : _x000D_
_x000D_
    TOTAL : ( 4.817 )_x000D_
  DIVISOR : 12_x000D_
    MÉDIA : 401,42</t>
        </r>
      </text>
    </comment>
    <comment ref="AB724" authorId="0" shapeId="0" xr:uid="{D87E9BA1-A745-41D2-A8E6-F60288D98D94}">
      <text>
        <r>
          <rPr>
            <sz val="10"/>
            <color indexed="81"/>
            <rFont val="Lucida Console"/>
            <family val="3"/>
          </rPr>
          <t>Última movimentação no estoque em 08/2023 quantidade 31.</t>
        </r>
      </text>
    </comment>
    <comment ref="R725" authorId="0" shapeId="0" xr:uid="{ADAA69A0-B334-442E-B9E6-20A7E9769615}">
      <text>
        <r>
          <rPr>
            <sz val="10"/>
            <color indexed="81"/>
            <rFont val="Lucida Console"/>
            <family val="3"/>
          </rPr>
          <t>17.07.2009</t>
        </r>
      </text>
    </comment>
    <comment ref="Y725" authorId="0" shapeId="0" xr:uid="{94461E69-009C-4C0C-B89B-0B3C3F8D1467}">
      <text>
        <r>
          <rPr>
            <sz val="10"/>
            <color indexed="81"/>
            <rFont val="Courier New"/>
            <family val="3"/>
          </rPr>
          <t>_x000D_
    DESCRIÇÃO DO CÁLCULO_x000D_
Código    : 111.806_x000D_
Corte     : 502_x000D_
-----------------------------_x000D_
Pendente  : 399_x000D_
22 / 10_2 : 226_x000D_
22 / 11_2 : 60_x000D_
22 / 12_2 : 385_x000D_
23 / 01_2 : 493_x000D_
23 / 02_2 : 42_x000D_
23 / 03_2 : _x000D_
23 / 04_2 : _x000D_
23 / 05_2 : _x000D_
23 / 06_2 : 9_x000D_
23 / 07_2 : _x000D_
23 / 08_2 : _x000D_
23 / 09_2 : _x000D_
_x000D_
    TOTAL : ( 1.614 )_x000D_
  DIVISOR : 12_x000D_
    MÉDIA : 134,50</t>
        </r>
      </text>
    </comment>
    <comment ref="AB725" authorId="0" shapeId="0" xr:uid="{8E9749D1-C3F2-4803-98A9-0D1B754F555F}">
      <text>
        <r>
          <rPr>
            <sz val="10"/>
            <color indexed="81"/>
            <rFont val="Lucida Console"/>
            <family val="3"/>
          </rPr>
          <t>Última movimentação no estoque em 06/2023 quantidade 9.</t>
        </r>
      </text>
    </comment>
    <comment ref="R726" authorId="0" shapeId="0" xr:uid="{BB8089B9-9C7E-409B-B44D-C1F316E83FEF}">
      <text>
        <r>
          <rPr>
            <sz val="10"/>
            <color indexed="81"/>
            <rFont val="Lucida Console"/>
            <family val="3"/>
          </rPr>
          <t>14.10.2014</t>
        </r>
      </text>
    </comment>
    <comment ref="Y726" authorId="0" shapeId="0" xr:uid="{E7BCC8E8-0E06-4F82-996B-FF11CB3D4A01}">
      <text>
        <r>
          <rPr>
            <sz val="10"/>
            <color indexed="81"/>
            <rFont val="Courier New"/>
            <family val="3"/>
          </rPr>
          <t>_x000D_
    DESCRIÇÃO DO CÁLCULO_x000D_
Código    : 128.816_x000D_
Corte     : 122_x000D_
-----------------------------_x000D_
Pendente  : _x000D_
22 / 10_2 : _x000D_
22 / 11_2 : _x000D_
22 / 12_2 : _x000D_
23 / 01_2 : 122 (corte = 185)_x000D_
23 / 02_2 : _x000D_
23 / 03_2 : _x000D_
23 / 04_2 : _x000D_
23 / 05_2 : _x000D_
23 / 06_2 : _x000D_
23 / 07_2 : _x000D_
23 / 08_2 : _x000D_
23 / 09_2 : _x000D_
_x000D_
    TOTAL : ( 122 )_x000D_
  DIVISOR : 12_x000D_
    MÉDIA : 10,17_x000D_
-----------------------------_x000D_
   Valores Desconsiderados_x000D_
-----------------------------_x000D_
23 / 01_2 : 63 (185)_x000D_
_x000D_
  TOTAL   : ( 63 )</t>
        </r>
      </text>
    </comment>
    <comment ref="AB726" authorId="0" shapeId="0" xr:uid="{AF521AA1-329E-45E1-A180-7788C93C3D24}">
      <text>
        <r>
          <rPr>
            <sz val="10"/>
            <color indexed="81"/>
            <rFont val="Lucida Console"/>
            <family val="3"/>
          </rPr>
          <t>Última movimentação no estoque em 01/2023 quantidade 185.</t>
        </r>
      </text>
    </comment>
    <comment ref="R727" authorId="0" shapeId="0" xr:uid="{1718DF42-0B25-4F45-ADEC-F48BCA7A6DEE}">
      <text>
        <r>
          <rPr>
            <sz val="10"/>
            <color indexed="81"/>
            <rFont val="Lucida Console"/>
            <family val="3"/>
          </rPr>
          <t>14.10.2014</t>
        </r>
      </text>
    </comment>
    <comment ref="Y727" authorId="0" shapeId="0" xr:uid="{3FA784D8-328F-4ED5-9C98-1E825A891FB0}">
      <text>
        <r>
          <rPr>
            <sz val="10"/>
            <color indexed="81"/>
            <rFont val="Courier New"/>
            <family val="3"/>
          </rPr>
          <t>_x000D_
    DESCRIÇÃO DO CÁLCULO_x000D_
Código    : 128.815_x000D_
Corte     : 829_x000D_
-----------------------------_x000D_
Pendente  : _x000D_
22 / 10_2 : 450_x000D_
22 / 11_2 : 210_x000D_
22 / 12_2 : 730_x000D_
23 / 01_2 : 784_x000D_
23 / 02_2 : 220_x000D_
23 / 03_2 : 220_x000D_
23 / 04_2 : 470_x000D_
23 / 05_2 : 150_x000D_
23 / 06_2 : _x000D_
23 / 07_2 : _x000D_
23 / 08_2 : _x000D_
23 / 09_2 : _x000D_
_x000D_
    TOTAL : ( 3.234 )_x000D_
  DIVISOR : 12_x000D_
    MÉDIA : 269,50</t>
        </r>
      </text>
    </comment>
    <comment ref="AB727" authorId="0" shapeId="0" xr:uid="{B0FEB5FC-65D8-465B-AEC5-DF8DF930A5A2}">
      <text>
        <r>
          <rPr>
            <sz val="10"/>
            <color indexed="81"/>
            <rFont val="Lucida Console"/>
            <family val="3"/>
          </rPr>
          <t>Última movimentação no estoque em 05/2023 quantidade 150.</t>
        </r>
      </text>
    </comment>
    <comment ref="R728" authorId="0" shapeId="0" xr:uid="{3B065EBB-BAB3-4AE7-8B97-3639BBDB6D04}">
      <text>
        <r>
          <rPr>
            <sz val="10"/>
            <color indexed="81"/>
            <rFont val="Lucida Console"/>
            <family val="3"/>
          </rPr>
          <t>01.01.1901</t>
        </r>
      </text>
    </comment>
    <comment ref="Y728" authorId="0" shapeId="0" xr:uid="{D0E7A820-10CC-4FCC-BBD4-5D1CC81A640D}">
      <text>
        <r>
          <rPr>
            <sz val="10"/>
            <color indexed="81"/>
            <rFont val="Courier New"/>
            <family val="3"/>
          </rPr>
          <t>_x000D_
    DESCRIÇÃO DO CÁLCULO_x000D_
Código    : 14.977_x000D_
Corte     : 22_x000D_
-----------------------------_x000D_
Pendente  : _x000D_
22 / 10_2 : 12_x000D_
22 / 11_2 : 5_x000D_
22 / 12_2 : 4_x000D_
23 / 01_2 : 12_x000D_
23 / 02_2 : 13_x000D_
23 / 03_2 : 14_x000D_
23 / 04_2 : 15_x000D_
23 / 05_2 : _x000D_
23 / 06_2 : _x000D_
23 / 07_2 : _x000D_
23 / 08_2 : 2_x000D_
23 / 09_2 : 20_x000D_
_x000D_
    TOTAL : ( 97 )_x000D_
  DIVISOR : 12_x000D_
    MÉDIA : 8,08</t>
        </r>
      </text>
    </comment>
    <comment ref="AB728" authorId="0" shapeId="0" xr:uid="{5DC7C5D9-3C20-4274-9CFD-D3F3A0F12E86}">
      <text>
        <r>
          <rPr>
            <sz val="10"/>
            <color indexed="81"/>
            <rFont val="Lucida Console"/>
            <family val="3"/>
          </rPr>
          <t>Última movimentação no estoque em 09/2023 quantidade 20.</t>
        </r>
      </text>
    </comment>
    <comment ref="R729" authorId="0" shapeId="0" xr:uid="{C30745CD-C530-48B2-913B-8E8A8B391FEC}">
      <text>
        <r>
          <rPr>
            <sz val="10"/>
            <color indexed="81"/>
            <rFont val="Lucida Console"/>
            <family val="3"/>
          </rPr>
          <t>05.10.2007</t>
        </r>
      </text>
    </comment>
    <comment ref="Y729" authorId="0" shapeId="0" xr:uid="{C3E47187-A58C-4BD2-A815-CED1247A97D1}">
      <text>
        <r>
          <rPr>
            <sz val="10"/>
            <color indexed="81"/>
            <rFont val="Courier New"/>
            <family val="3"/>
          </rPr>
          <t>_x000D_
    DESCRIÇÃO DO CÁLCULO_x000D_
Código    : 102.443_x000D_
Corte     : 1_x000D_
-----------------------------_x000D_
Pendente  : _x000D_
22 / 10_2 : _x000D_
22 / 11_2 : _x000D_
22 / 12_2 : 1 (corte = 3)_x000D_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12_2 : 2 (3)_x000D_
_x000D_
  TOTAL   : ( 2 )</t>
        </r>
      </text>
    </comment>
    <comment ref="AB729" authorId="0" shapeId="0" xr:uid="{A2E2014B-6AC4-409A-81DA-44B45E7F1D4F}">
      <text>
        <r>
          <rPr>
            <sz val="10"/>
            <color indexed="81"/>
            <rFont val="Lucida Console"/>
            <family val="3"/>
          </rPr>
          <t>Última movimentação no estoque em 12/2022 quantidade 3.</t>
        </r>
      </text>
    </comment>
    <comment ref="R730" authorId="0" shapeId="0" xr:uid="{69644A12-7EDA-4281-A16B-CAD89A26C3F1}">
      <text>
        <r>
          <rPr>
            <sz val="10"/>
            <color indexed="81"/>
            <rFont val="Lucida Console"/>
            <family val="3"/>
          </rPr>
          <t>23.04.2004</t>
        </r>
      </text>
    </comment>
    <comment ref="Y730" authorId="0" shapeId="0" xr:uid="{604CB6BF-7131-4045-A9EC-485B174ADBB5}">
      <text>
        <r>
          <rPr>
            <sz val="10"/>
            <color indexed="81"/>
            <rFont val="Courier New"/>
            <family val="3"/>
          </rPr>
          <t>_x000D_
    DESCRIÇÃO DO CÁLCULO_x000D_
Código    : 78.509_x000D_
Corte     : 4_x000D_
-----------------------------_x000D_
Pendente  : 1_x000D_
22 / 10_2 : 2_x000D_
22 / 11_2 : 2_x000D_
22 / 12_2 : 1_x000D_
23 / 01_2 : 3_x000D_
23 / 02_2 : 3_x000D_
23 / 03_2 : _x000D_
23 / 04_2 : 1_x000D_
23 / 05_2 : _x000D_
23 / 06_2 : _x000D_
23 / 07_2 : _x000D_
23 / 08_2 : _x000D_
23 / 09_2 : 4_x000D_
_x000D_
    TOTAL : ( 17 )_x000D_
  DIVISOR : 12_x000D_
    MÉDIA : 1,42</t>
        </r>
      </text>
    </comment>
    <comment ref="AB730" authorId="0" shapeId="0" xr:uid="{AE00FDFE-CCB1-4317-BCB0-C6E4FED1F7E8}">
      <text>
        <r>
          <rPr>
            <sz val="10"/>
            <color indexed="81"/>
            <rFont val="Lucida Console"/>
            <family val="3"/>
          </rPr>
          <t>Última movimentação no estoque em 09/2023 quantidade 4.</t>
        </r>
      </text>
    </comment>
    <comment ref="R731" authorId="0" shapeId="0" xr:uid="{366A3903-EC5D-4B18-9241-604BB51883CA}">
      <text>
        <r>
          <rPr>
            <sz val="10"/>
            <color indexed="81"/>
            <rFont val="Lucida Console"/>
            <family val="3"/>
          </rPr>
          <t>01.01.1901</t>
        </r>
      </text>
    </comment>
    <comment ref="Y731" authorId="0" shapeId="0" xr:uid="{9D4FB44F-1091-49A3-A7FF-1F5A3E8BF9D5}">
      <text>
        <r>
          <rPr>
            <sz val="10"/>
            <color indexed="81"/>
            <rFont val="Courier New"/>
            <family val="3"/>
          </rPr>
          <t>_x000D_
    DESCRIÇÃO DO CÁLCULO_x000D_
Código    : 23.607_x000D_
Corte     : 33_x000D_
-----------------------------_x000D_
Pendente  : _x000D_
22 / 10_2 : _x000D_
22 / 11_2 : _x000D_
22 / 12_2 : _x000D_
23 / 01_2 : _x000D_
23 / 02_2 : _x000D_
23 / 03_2 : _x000D_
23 / 04_2 : _x000D_
23 / 05_2 : _x000D_
23 / 06_2 : _x000D_
23 / 07_2 : 33 (corte = 50)_x000D_
23 / 08_2 : _x000D_
23 / 09_2 : _x000D_
_x000D_
    TOTAL : ( 33 )_x000D_
  DIVISOR : 12_x000D_
    MÉDIA : 2,75_x000D_
-----------------------------_x000D_
   Valores Desconsiderados_x000D_
-----------------------------_x000D_
23 / 07_2 : 17 (50)_x000D_
_x000D_
  TOTAL   : ( 17 )</t>
        </r>
      </text>
    </comment>
    <comment ref="AB731" authorId="0" shapeId="0" xr:uid="{DC3321E8-9FC7-4364-A81A-7D9C43DF7B9E}">
      <text>
        <r>
          <rPr>
            <sz val="10"/>
            <color indexed="81"/>
            <rFont val="Lucida Console"/>
            <family val="3"/>
          </rPr>
          <t>Última movimentação no estoque em 07/2023 quantidade 50.</t>
        </r>
      </text>
    </comment>
    <comment ref="R732" authorId="0" shapeId="0" xr:uid="{0240B9D5-7DBB-4B17-AEFB-CA1098CDCD9E}">
      <text>
        <r>
          <rPr>
            <sz val="10"/>
            <color indexed="81"/>
            <rFont val="Lucida Console"/>
            <family val="3"/>
          </rPr>
          <t>01.01.1901</t>
        </r>
      </text>
    </comment>
    <comment ref="Y732" authorId="0" shapeId="0" xr:uid="{FACBB19E-4AC4-4FCA-9843-EACCBFF7FEB5}">
      <text>
        <r>
          <rPr>
            <sz val="10"/>
            <color indexed="81"/>
            <rFont val="Courier New"/>
            <family val="3"/>
          </rPr>
          <t>_x000D_
    DESCRIÇÃO DO CÁLCULO_x000D_
Código    : 13.094_x000D_
Corte     : 204_x000D_
-----------------------------_x000D_
Pendente  : _x000D_
22 / 10_2 : 15_x000D_
22 / 11_2 : _x000D_
22 / 12_2 : 30_x000D_
23 / 01_2 : 95_x000D_
23 / 02_2 : 204 (corte = 253)_x000D_
23 / 03_2 : 50_x000D_
23 / 04_2 : 50_x000D_
23 / 05_2 : _x000D_
23 / 06_2 : 100_x000D_
23 / 07_2 : 50_x000D_
23 / 08_2 : _x000D_
23 / 09_2 : 100_x000D_
_x000D_
    TOTAL : ( 694 )_x000D_
  DIVISOR : 12_x000D_
    MÉDIA : 57,83_x000D_
-----------------------------_x000D_
   Valores Desconsiderados_x000D_
-----------------------------_x000D_
23 / 02_2 : 49 (253)_x000D_
_x000D_
  TOTAL   : ( 49 )</t>
        </r>
      </text>
    </comment>
    <comment ref="AB732" authorId="0" shapeId="0" xr:uid="{7F3C3AA3-38D8-4573-81A3-9326DA7380ED}">
      <text>
        <r>
          <rPr>
            <sz val="10"/>
            <color indexed="81"/>
            <rFont val="Lucida Console"/>
            <family val="3"/>
          </rPr>
          <t>Última movimentação no estoque em 09/2023 quantidade 100.</t>
        </r>
      </text>
    </comment>
    <comment ref="R733" authorId="0" shapeId="0" xr:uid="{4C67E5ED-E000-4245-B9DC-8BFEFEC7DA6D}">
      <text>
        <r>
          <rPr>
            <sz val="10"/>
            <color indexed="81"/>
            <rFont val="Lucida Console"/>
            <family val="3"/>
          </rPr>
          <t>01.01.1901</t>
        </r>
      </text>
    </comment>
    <comment ref="Y733" authorId="0" shapeId="0" xr:uid="{C79C4979-02DC-4565-B1A0-0F00C56F79BD}">
      <text>
        <r>
          <rPr>
            <sz val="10"/>
            <color indexed="81"/>
            <rFont val="Courier New"/>
            <family val="3"/>
          </rPr>
          <t>_x000D_
    DESCRIÇÃO DO CÁLCULO_x000D_
Código    : 13.517_x000D_
Corte     : 12_x000D_
-----------------------------_x000D_
Pendente  : _x000D_
22 / 10_2 : 8_x000D_
22 / 11_2 : 6_x000D_
22 / 12_2 : 7_x000D_
23 / 01_2 : 1_x000D_
23 / 02_2 : _x000D_
23 / 03_2 : _x000D_
23 / 04_2 : 11_x000D_
23 / 05_2 : _x000D_
23 / 06_2 : _x000D_
23 / 07_2 : 10_x000D_
23 / 08_2 : _x000D_
23 / 09_2 : _x000D_
_x000D_
    TOTAL : ( 43 )_x000D_
  DIVISOR : 12_x000D_
    MÉDIA : 3,58</t>
        </r>
      </text>
    </comment>
    <comment ref="AB733" authorId="0" shapeId="0" xr:uid="{EE7CC559-24F1-4066-A274-19A0A4A4C70B}">
      <text>
        <r>
          <rPr>
            <sz val="10"/>
            <color indexed="81"/>
            <rFont val="Lucida Console"/>
            <family val="3"/>
          </rPr>
          <t>Última movimentação no estoque em 07/2023 quantidade 10.</t>
        </r>
      </text>
    </comment>
    <comment ref="R734" authorId="0" shapeId="0" xr:uid="{9A6A7E41-EE68-4AA3-B352-BF54BC461A87}">
      <text>
        <r>
          <rPr>
            <sz val="10"/>
            <color indexed="81"/>
            <rFont val="Lucida Console"/>
            <family val="3"/>
          </rPr>
          <t>01.01.1901</t>
        </r>
      </text>
    </comment>
    <comment ref="Y734" authorId="0" shapeId="0" xr:uid="{9723ECCB-71A5-48C3-A2CC-C3D1EF09894C}">
      <text>
        <r>
          <rPr>
            <sz val="10"/>
            <color indexed="81"/>
            <rFont val="Courier New"/>
            <family val="3"/>
          </rPr>
          <t>_x000D_
    DESCRIÇÃO DO CÁLCULO_x000D_
Código    : 13.518_x000D_
Corte     : 13_x000D_
-----------------------------_x000D_
Pendente  : _x000D_
22 / 10_2 : _x000D_
22 / 11_2 : 8_x000D_
22 / 12_2 : 9_x000D_
23 / 01_2 : 2_x000D_
23 / 02_2 : _x000D_
23 / 03_2 : 5_x000D_
23 / 04_2 : 13 (corte = 15)_x000D_
23 / 05_2 : _x000D_
23 / 06_2 : _x000D_
23 / 07_2 : _x000D_
23 / 08_2 : _x000D_
23 / 09_2 : _x000D_
_x000D_
    TOTAL : ( 37 )_x000D_
  DIVISOR : 12_x000D_
    MÉDIA : 3,08_x000D_
-----------------------------_x000D_
   Valores Desconsiderados_x000D_
-----------------------------_x000D_
23 / 04_2 : 2 (15)_x000D_
_x000D_
  TOTAL   : ( 2 )</t>
        </r>
      </text>
    </comment>
    <comment ref="AB734" authorId="0" shapeId="0" xr:uid="{63FE660D-3A23-41F1-A1D3-E834C31F5579}">
      <text>
        <r>
          <rPr>
            <sz val="10"/>
            <color indexed="81"/>
            <rFont val="Lucida Console"/>
            <family val="3"/>
          </rPr>
          <t>Última movimentação no estoque em 04/2023 quantidade 15.</t>
        </r>
      </text>
    </comment>
    <comment ref="R735" authorId="0" shapeId="0" xr:uid="{A9D1CE49-0B88-41DA-880F-5F0E4D630E5C}">
      <text>
        <r>
          <rPr>
            <sz val="10"/>
            <color indexed="81"/>
            <rFont val="Lucida Console"/>
            <family val="3"/>
          </rPr>
          <t>01.01.1901</t>
        </r>
      </text>
    </comment>
    <comment ref="Y735" authorId="0" shapeId="0" xr:uid="{1E5A8374-5CC1-4419-8E4E-ACE32E770654}">
      <text>
        <r>
          <rPr>
            <sz val="10"/>
            <color indexed="81"/>
            <rFont val="Courier New"/>
            <family val="3"/>
          </rPr>
          <t>_x000D_
    DESCRIÇÃO DO CÁLCULO_x000D_
Código    : 13.095_x000D_
Corte     : 24_x000D_
-----------------------------_x000D_
Pendente  : _x000D_
22 / 10_2 : 11_x000D_
22 / 11_2 : 21_x000D_
22 / 12_2 : 8_x000D_
23 / 01_2 : 4_x000D_
23 / 02_2 : 2_x000D_
23 / 03_2 : 9_x000D_
23 / 04_2 : 19_x000D_
23 / 05_2 : _x000D_
23 / 06_2 : _x000D_
23 / 07_2 : _x000D_
23 / 08_2 : _x000D_
23 / 09_2 : 20_x000D_
_x000D_
    TOTAL : ( 94 )_x000D_
  DIVISOR : 12_x000D_
    MÉDIA : 7,83</t>
        </r>
      </text>
    </comment>
    <comment ref="AB735" authorId="0" shapeId="0" xr:uid="{44824583-FE6B-4CB0-9DF9-78E7E76988DC}">
      <text>
        <r>
          <rPr>
            <sz val="10"/>
            <color indexed="81"/>
            <rFont val="Lucida Console"/>
            <family val="3"/>
          </rPr>
          <t>Última movimentação no estoque em 09/2023 quantidade 20.</t>
        </r>
      </text>
    </comment>
    <comment ref="R736" authorId="0" shapeId="0" xr:uid="{294FA03C-1A07-48AD-9B89-3D3054A867AD}">
      <text>
        <r>
          <rPr>
            <sz val="10"/>
            <color indexed="81"/>
            <rFont val="Lucida Console"/>
            <family val="3"/>
          </rPr>
          <t>01.01.1901</t>
        </r>
      </text>
    </comment>
    <comment ref="Y736" authorId="0" shapeId="0" xr:uid="{47EFE079-5725-494D-B24B-A691F81AB86A}">
      <text>
        <r>
          <rPr>
            <sz val="10"/>
            <color indexed="81"/>
            <rFont val="Courier New"/>
            <family val="3"/>
          </rPr>
          <t>_x000D_
    DESCRIÇÃO DO CÁLCULO_x000D_
Código    : 13.102_x000D_
Corte     : 12_x000D_
-----------------------------_x000D_
Pendente  : 2_x000D_
22 / 10_2 : _x000D_
22 / 11_2 : 3_x000D_
22 / 12_2 : _x000D_
23 / 01_2 : 4_x000D_
23 / 02_2 : _x000D_
23 / 03_2 : 1_x000D_
23 / 04_2 : 12 (corte = 18)_x000D_
23 / 05_2 : _x000D_
23 / 06_2 : _x000D_
23 / 07_2 : _x000D_
23 / 08_2 : _x000D_
23 / 09_2 : _x000D_
_x000D_
    TOTAL : ( 22 )_x000D_
  DIVISOR : 12_x000D_
    MÉDIA : 1,83_x000D_
-----------------------------_x000D_
   Valores Desconsiderados_x000D_
-----------------------------_x000D_
23 / 04_2 : 6 (18)_x000D_
_x000D_
  TOTAL   : ( 6 )</t>
        </r>
      </text>
    </comment>
    <comment ref="AB736" authorId="0" shapeId="0" xr:uid="{6C9C4388-27CA-4897-BACC-D6145F90F0A6}">
      <text>
        <r>
          <rPr>
            <sz val="10"/>
            <color indexed="81"/>
            <rFont val="Lucida Console"/>
            <family val="3"/>
          </rPr>
          <t>Última movimentação no estoque em 04/2023 quantidade 18.</t>
        </r>
      </text>
    </comment>
    <comment ref="R737" authorId="0" shapeId="0" xr:uid="{24F2C430-3455-4662-9D9A-2BE6C5FF6014}">
      <text>
        <r>
          <rPr>
            <sz val="10"/>
            <color indexed="81"/>
            <rFont val="Lucida Console"/>
            <family val="3"/>
          </rPr>
          <t>01.01.1901</t>
        </r>
      </text>
    </comment>
    <comment ref="Y737" authorId="0" shapeId="0" xr:uid="{367F8086-A3D2-4478-BCC1-69DC7B4D8C36}">
      <text>
        <r>
          <rPr>
            <sz val="10"/>
            <color indexed="81"/>
            <rFont val="Courier New"/>
            <family val="3"/>
          </rPr>
          <t>_x000D_
    DESCRIÇÃO DO CÁLCULO_x000D_
Código    : 59.069_x000D_
Corte     : 16_x000D_
-----------------------------_x000D_
Pendente  : _x000D_
22 / 10_2 : _x000D_
22 / 11_2 : 16 (corte = 19)_x000D_
22 / 12_2 : _x000D_
23 / 01_2 : 3_x000D_
23 / 02_2 : 6_x000D_
23 / 03_2 : 5_x000D_
23 / 04_2 : 15_x000D_
23 / 05_2 : _x000D_
23 / 06_2 : _x000D_
23 / 07_2 : _x000D_
23 / 08_2 : _x000D_
23 / 09_2 : _x000D_
_x000D_
    TOTAL : ( 45 )_x000D_
  DIVISOR : 12_x000D_
    MÉDIA : 3,75_x000D_
-----------------------------_x000D_
   Valores Desconsiderados_x000D_
-----------------------------_x000D_
22 / 11_2 : 3 (19)_x000D_
_x000D_
  TOTAL   : ( 3 )</t>
        </r>
      </text>
    </comment>
    <comment ref="AB737" authorId="0" shapeId="0" xr:uid="{A3A69976-6E48-40AE-BAF5-5ED1A362B977}">
      <text>
        <r>
          <rPr>
            <sz val="10"/>
            <color indexed="81"/>
            <rFont val="Lucida Console"/>
            <family val="3"/>
          </rPr>
          <t>Última movimentação no estoque em 04/2023 quantidade 15.</t>
        </r>
      </text>
    </comment>
    <comment ref="R738" authorId="0" shapeId="0" xr:uid="{1AE377E4-71C8-4F99-9B48-EBC91DB84ADE}">
      <text>
        <r>
          <rPr>
            <sz val="10"/>
            <color indexed="81"/>
            <rFont val="Lucida Console"/>
            <family val="3"/>
          </rPr>
          <t>01.01.1901</t>
        </r>
      </text>
    </comment>
    <comment ref="Y738" authorId="0" shapeId="0" xr:uid="{4C4E20DE-E238-46AA-B4A7-DA902561F674}">
      <text>
        <r>
          <rPr>
            <sz val="10"/>
            <color indexed="81"/>
            <rFont val="Courier New"/>
            <family val="3"/>
          </rPr>
          <t>_x000D_
    DESCRIÇÃO DO CÁLCULO_x000D_
Código    : 13.068_x000D_
Corte     : 14_x000D_
-----------------------------_x000D_
Pendente  : _x000D_
22 / 10_2 : 6_x000D_
22 / 11_2 : 1_x000D_
22 / 12_2 : 7_x000D_
23 / 01_2 : _x000D_
23 / 02_2 : _x000D_
23 / 03_2 : 2_x000D_
23 / 04_2 : 14 (corte = 20)_x000D_
23 / 05_2 : _x000D_
23 / 06_2 : _x000D_
23 / 07_2 : _x000D_
23 / 08_2 : _x000D_
23 / 09_2 : _x000D_
_x000D_
    TOTAL : ( 30 )_x000D_
  DIVISOR : 12_x000D_
    MÉDIA : 2,50_x000D_
-----------------------------_x000D_
   Valores Desconsiderados_x000D_
-----------------------------_x000D_
23 / 04_2 : 6 (20)_x000D_
_x000D_
  TOTAL   : ( 6 )</t>
        </r>
      </text>
    </comment>
    <comment ref="AB738" authorId="0" shapeId="0" xr:uid="{F2EABD78-ACC3-4A89-A77F-FC9EDDDEA5D2}">
      <text>
        <r>
          <rPr>
            <sz val="10"/>
            <color indexed="81"/>
            <rFont val="Lucida Console"/>
            <family val="3"/>
          </rPr>
          <t>Última movimentação no estoque em 04/2023 quantidade 20.</t>
        </r>
      </text>
    </comment>
    <comment ref="R739" authorId="0" shapeId="0" xr:uid="{7208DAAE-B6E6-4D03-9ECD-2454568D7D5D}">
      <text>
        <r>
          <rPr>
            <sz val="10"/>
            <color indexed="81"/>
            <rFont val="Lucida Console"/>
            <family val="3"/>
          </rPr>
          <t>01.01.1901</t>
        </r>
      </text>
    </comment>
    <comment ref="Y739" authorId="0" shapeId="0" xr:uid="{A27FAB78-2371-4C1E-8DFC-F393089D2ED0}">
      <text>
        <r>
          <rPr>
            <sz val="10"/>
            <color indexed="81"/>
            <rFont val="Courier New"/>
            <family val="3"/>
          </rPr>
          <t>_x000D_
    DESCRIÇÃO DO CÁLCULO_x000D_
Código    : 64.648_x000D_
Corte     : 1_x000D_
-----------------------------_x000D_
Pendente  : _x000D_
22 / 10_2 : _x000D_
22 / 11_2 : _x000D_
22 / 12_2 : 1_x000D_
23 / 01_2 : _x000D_
23 / 02_2 : 1_x000D_
23 / 03_2 : 1_x000D_
23 / 04_2 : _x000D_
23 / 05_2 : _x000D_
23 / 06_2 : _x000D_
23 / 07_2 : _x000D_
23 / 08_2 : _x000D_
23 / 09_2 : _x000D_
_x000D_
    TOTAL : ( 3 )_x000D_
  DIVISOR : 12_x000D_
    MÉDIA : ,25</t>
        </r>
      </text>
    </comment>
    <comment ref="AB739" authorId="0" shapeId="0" xr:uid="{0954E335-1CBF-471C-A026-2C8BB9171B5F}">
      <text>
        <r>
          <rPr>
            <sz val="10"/>
            <color indexed="81"/>
            <rFont val="Lucida Console"/>
            <family val="3"/>
          </rPr>
          <t>Última movimentação no estoque em 03/2023 quantidade 1.</t>
        </r>
      </text>
    </comment>
    <comment ref="R740" authorId="0" shapeId="0" xr:uid="{7AF7B5F2-B805-450D-A9DC-8D19E4C38B03}">
      <text>
        <r>
          <rPr>
            <sz val="10"/>
            <color indexed="81"/>
            <rFont val="Lucida Console"/>
            <family val="3"/>
          </rPr>
          <t>01.01.1901</t>
        </r>
      </text>
    </comment>
    <comment ref="Y740" authorId="0" shapeId="0" xr:uid="{C1C17161-1E86-4A80-A54F-D5074D9058B4}">
      <text>
        <r>
          <rPr>
            <sz val="10"/>
            <color indexed="81"/>
            <rFont val="Courier New"/>
            <family val="3"/>
          </rPr>
          <t>_x000D_
    DESCRIÇÃO DO CÁLCULO_x000D_
Código    : 13.072_x000D_
Corte     : 58_x000D_
-----------------------------_x000D_
Pendente  : _x000D_
22 / 10_2 : 32_x000D_
22 / 11_2 : 25_x000D_
22 / 12_2 : 45_x000D_
23 / 01_2 : 10_x000D_
23 / 02_2 : 42_x000D_
23 / 03_2 : 43_x000D_
23 / 04_2 : 35_x000D_
23 / 05_2 : _x000D_
23 / 06_2 : _x000D_
23 / 07_2 : 20_x000D_
23 / 08_2 : _x000D_
23 / 09_2 : 30_x000D_
_x000D_
    TOTAL : ( 282 )_x000D_
  DIVISOR : 12_x000D_
    MÉDIA : 23,50</t>
        </r>
      </text>
    </comment>
    <comment ref="AB740" authorId="0" shapeId="0" xr:uid="{FC9D9DFC-05D6-4E56-B008-B412F9D006DF}">
      <text>
        <r>
          <rPr>
            <sz val="10"/>
            <color indexed="81"/>
            <rFont val="Lucida Console"/>
            <family val="3"/>
          </rPr>
          <t>Última movimentação no estoque em 09/2023 quantidade 30.</t>
        </r>
      </text>
    </comment>
    <comment ref="R741" authorId="0" shapeId="0" xr:uid="{BD20840A-C056-4C72-B3ED-00ECECF849C7}">
      <text>
        <r>
          <rPr>
            <sz val="10"/>
            <color indexed="81"/>
            <rFont val="Lucida Console"/>
            <family val="3"/>
          </rPr>
          <t>01.01.1901</t>
        </r>
      </text>
    </comment>
    <comment ref="Y741" authorId="0" shapeId="0" xr:uid="{E8C5244C-EDE1-49D6-A1D6-C92007D0D14F}">
      <text>
        <r>
          <rPr>
            <sz val="10"/>
            <color indexed="81"/>
            <rFont val="Courier New"/>
            <family val="3"/>
          </rPr>
          <t>_x000D_
    DESCRIÇÃO DO CÁLCULO_x000D_
Código    : 61.200_x000D_
Corte     : 15_x000D_
-----------------------------_x000D_
Pendente  : _x000D_
22 / 10_2 : _x000D_
22 / 11_2 : 13_x000D_
22 / 12_2 : 8_x000D_
23 / 01_2 : _x000D_
23 / 02_2 : 8_x000D_
23 / 03_2 : 6_x000D_
23 / 04_2 : 15_x000D_
23 / 05_2 : _x000D_
23 / 06_2 : _x000D_
23 / 07_2 : _x000D_
23 / 08_2 : _x000D_
23 / 09_2 : _x000D_
_x000D_
    TOTAL : ( 50 )_x000D_
  DIVISOR : 12_x000D_
    MÉDIA : 4,17</t>
        </r>
      </text>
    </comment>
    <comment ref="AB741" authorId="0" shapeId="0" xr:uid="{F31B3A5A-9FBA-469C-A698-3E47A288B722}">
      <text>
        <r>
          <rPr>
            <sz val="10"/>
            <color indexed="81"/>
            <rFont val="Lucida Console"/>
            <family val="3"/>
          </rPr>
          <t>Última movimentação no estoque em 04/2023 quantidade 15.</t>
        </r>
      </text>
    </comment>
    <comment ref="R742" authorId="0" shapeId="0" xr:uid="{C9A8A235-5258-42B1-9A29-5827E9DBC1FD}">
      <text>
        <r>
          <rPr>
            <sz val="10"/>
            <color indexed="81"/>
            <rFont val="Lucida Console"/>
            <family val="3"/>
          </rPr>
          <t>01.01.1901</t>
        </r>
      </text>
    </comment>
    <comment ref="Y742" authorId="0" shapeId="0" xr:uid="{20AA9E85-8571-4D46-9706-B2DC9AB35D06}">
      <text>
        <r>
          <rPr>
            <sz val="10"/>
            <color indexed="81"/>
            <rFont val="Courier New"/>
            <family val="3"/>
          </rPr>
          <t>_x000D_
    DESCRIÇÃO DO CÁLCULO_x000D_
Código    : 64.044_x000D_
Corte     : 94_x000D_
-----------------------------_x000D_
Pendente  : _x000D_
22 / 10_2 : 94 (corte = 140)_x000D_
22 / 11_2 : _x000D_
22 / 12_2 : _x000D_
23 / 01_2 : _x000D_
23 / 02_2 : 10_x000D_
23 / 03_2 : _x000D_
23 / 04_2 : _x000D_
23 / 05_2 : _x000D_
23 / 06_2 : 20_x000D_
23 / 07_2 : _x000D_
23 / 08_2 : _x000D_
23 / 09_2 : _x000D_
_x000D_
    TOTAL : ( 124 )_x000D_
  DIVISOR : 12_x000D_
    MÉDIA : 10,33_x000D_
-----------------------------_x000D_
   Valores Desconsiderados_x000D_
-----------------------------_x000D_
22 / 10_2 : 46 (140)_x000D_
_x000D_
  TOTAL   : ( 46 )</t>
        </r>
      </text>
    </comment>
    <comment ref="AB742" authorId="0" shapeId="0" xr:uid="{28C4FBBE-54FE-44C0-B2F6-71C12F8F10CF}">
      <text>
        <r>
          <rPr>
            <sz val="10"/>
            <color indexed="81"/>
            <rFont val="Lucida Console"/>
            <family val="3"/>
          </rPr>
          <t>Última movimentação no estoque em 06/2023 quantidade 20.</t>
        </r>
      </text>
    </comment>
    <comment ref="R743" authorId="0" shapeId="0" xr:uid="{5F57CD55-6DC5-422A-8F5A-ADE91AEECA32}">
      <text>
        <r>
          <rPr>
            <sz val="10"/>
            <color indexed="81"/>
            <rFont val="Lucida Console"/>
            <family val="3"/>
          </rPr>
          <t>01.01.1901</t>
        </r>
      </text>
    </comment>
    <comment ref="Y743" authorId="0" shapeId="0" xr:uid="{C8D98727-9653-4FFB-AFA0-55BAF96CA3F8}">
      <text>
        <r>
          <rPr>
            <sz val="10"/>
            <color indexed="81"/>
            <rFont val="Courier New"/>
            <family val="3"/>
          </rPr>
          <t>_x000D_
    DESCRIÇÃO DO CÁLCULO_x000D_
Código    : 54.680_x000D_
Corte     : 60_x000D_
-----------------------------_x000D_
Pendente  : _x000D_
22 / 10_2 : _x000D_
22 / 11_2 : _x000D_
22 / 12_2 : _x000D_
23 / 01_2 : 41_x000D_
23 / 02_2 : _x000D_
23 / 03_2 : 60 (corte = 70)_x000D_
23 / 04_2 : _x000D_
23 / 05_2 : _x000D_
23 / 06_2 : 40_x000D_
23 / 07_2 : _x000D_
23 / 08_2 : _x000D_
23 / 09_2 : _x000D_
_x000D_
    TOTAL : ( 141 )_x000D_
  DIVISOR : 12_x000D_
    MÉDIA : 11,75_x000D_
-----------------------------_x000D_
   Valores Desconsiderados_x000D_
-----------------------------_x000D_
23 / 03_2 : 10 (70)_x000D_
_x000D_
  TOTAL   : ( 10 )</t>
        </r>
      </text>
    </comment>
    <comment ref="AB743" authorId="0" shapeId="0" xr:uid="{E9F67502-F75B-4BF9-BFEC-EF8A597C23B4}">
      <text>
        <r>
          <rPr>
            <sz val="10"/>
            <color indexed="81"/>
            <rFont val="Lucida Console"/>
            <family val="3"/>
          </rPr>
          <t>Última movimentação no estoque em 06/2023 quantidade 40.</t>
        </r>
      </text>
    </comment>
    <comment ref="R744" authorId="0" shapeId="0" xr:uid="{9F14C0D2-254B-43E9-A962-C270176FB16B}">
      <text>
        <r>
          <rPr>
            <sz val="10"/>
            <color indexed="81"/>
            <rFont val="Lucida Console"/>
            <family val="3"/>
          </rPr>
          <t>18.09.2017</t>
        </r>
      </text>
    </comment>
    <comment ref="Y744" authorId="0" shapeId="0" xr:uid="{BB311C9B-C3C3-42F6-9996-2EED9B7C3FFA}">
      <text>
        <r>
          <rPr>
            <sz val="10"/>
            <color indexed="81"/>
            <rFont val="Courier New"/>
            <family val="3"/>
          </rPr>
          <t>_x000D_
    DESCRIÇÃO DO CÁLCULO_x000D_
Código    : 133.433_x000D_
Corte     : 4_x000D_
-----------------------------_x000D_
Pendente  : _x000D_
22 / 10_2 : _x000D_
22 / 11_2 : _x000D_
22 / 12_2 : 1_x000D_
23 / 01_2 : _x000D_
23 / 02_2 : _x000D_
23 / 03_2 : 4 (corte = 6)_x000D_
23 / 04_2 : _x000D_
23 / 05_2 : _x000D_
23 / 06_2 : _x000D_
23 / 07_2 : 4_x000D_
23 / 08_2 : _x000D_
23 / 09_2 : _x000D_
_x000D_
    TOTAL : ( 9 )_x000D_
  DIVISOR : 12_x000D_
    MÉDIA : ,75_x000D_
-----------------------------_x000D_
   Valores Desconsiderados_x000D_
-----------------------------_x000D_
23 / 03_2 : 2 (6)_x000D_
_x000D_
  TOTAL   : ( 2 )</t>
        </r>
      </text>
    </comment>
    <comment ref="AB744" authorId="0" shapeId="0" xr:uid="{19AE48E4-919A-4772-A142-79E15E91F24C}">
      <text>
        <r>
          <rPr>
            <sz val="10"/>
            <color indexed="81"/>
            <rFont val="Lucida Console"/>
            <family val="3"/>
          </rPr>
          <t>Última movimentação no estoque em 07/2023 quantidade 4.</t>
        </r>
      </text>
    </comment>
    <comment ref="R745" authorId="0" shapeId="0" xr:uid="{0AE4CD46-AE81-421F-B6F6-42D6F7A34A18}">
      <text>
        <r>
          <rPr>
            <sz val="10"/>
            <color indexed="81"/>
            <rFont val="Lucida Console"/>
            <family val="3"/>
          </rPr>
          <t>28.06.2004</t>
        </r>
      </text>
    </comment>
    <comment ref="Y745" authorId="0" shapeId="0" xr:uid="{9E003F40-6D2B-4A97-83B2-B76CD713F2F6}">
      <text>
        <r>
          <rPr>
            <sz val="10"/>
            <color indexed="81"/>
            <rFont val="Courier New"/>
            <family val="3"/>
          </rPr>
          <t>_x000D_
    DESCRIÇÃO DO CÁLCULO_x000D_
Código    : 80.298_x000D_
Corte     : 2_x000D_
-----------------------------_x000D_
Pendente  : _x000D_
22 / 10_2 : 2_x000D_
22 / 11_2 : _x000D_
22 / 12_2 : 2_x000D_
23 / 01_2 : _x000D_
23 / 02_2 : 2_x000D_
23 / 03_2 : _x000D_
23 / 04_2 : _x000D_
23 / 05_2 : _x000D_
23 / 06_2 : 2_x000D_
23 / 07_2 : _x000D_
23 / 08_2 : _x000D_
23 / 09_2 : _x000D_
_x000D_
    TOTAL : ( 8 )_x000D_
  DIVISOR : 12_x000D_
    MÉDIA : ,67</t>
        </r>
      </text>
    </comment>
    <comment ref="AB745" authorId="0" shapeId="0" xr:uid="{8EA1C975-966A-439E-9748-230FF2960EF6}">
      <text>
        <r>
          <rPr>
            <sz val="10"/>
            <color indexed="81"/>
            <rFont val="Lucida Console"/>
            <family val="3"/>
          </rPr>
          <t>Última movimentação no estoque em 06/2023 quantidade 2.</t>
        </r>
      </text>
    </comment>
    <comment ref="R746" authorId="0" shapeId="0" xr:uid="{633DD337-E469-483B-8212-1DEA69DCDA74}">
      <text>
        <r>
          <rPr>
            <sz val="10"/>
            <color indexed="81"/>
            <rFont val="Lucida Console"/>
            <family val="3"/>
          </rPr>
          <t>01.01.1901</t>
        </r>
      </text>
    </comment>
    <comment ref="Y746" authorId="0" shapeId="0" xr:uid="{03134500-C187-4BEA-A255-86E03DCA98D5}">
      <text>
        <r>
          <rPr>
            <sz val="10"/>
            <color indexed="81"/>
            <rFont val="Courier New"/>
            <family val="3"/>
          </rPr>
          <t>_x000D_
    DESCRIÇÃO DO CÁLCULO_x000D_
Código    : 50.476_x000D_
Corte     : 7_x000D_
-----------------------------_x000D_
Pendente  : _x000D_
22 / 10_2 : _x000D_
22 / 11_2 : _x000D_
22 / 12_2 : 7 (corte = 11)_x000D_
23 / 01_2 : _x000D_
23 / 02_2 : _x000D_
23 / 03_2 : _x000D_
23 / 04_2 : _x000D_
23 / 05_2 : _x000D_
23 / 06_2 : _x000D_
23 / 07_2 : _x000D_
23 / 08_2 : _x000D_
23 / 09_2 : _x000D_
_x000D_
    TOTAL : ( 7 )_x000D_
  DIVISOR : 12_x000D_
    MÉDIA : ,58_x000D_
-----------------------------_x000D_
   Valores Desconsiderados_x000D_
-----------------------------_x000D_
22 / 12_2 : 4 (11)_x000D_
_x000D_
  TOTAL   : ( 4 )</t>
        </r>
      </text>
    </comment>
    <comment ref="AB746" authorId="0" shapeId="0" xr:uid="{4ECF0165-CEDE-4A38-B6CA-55E454B60824}">
      <text>
        <r>
          <rPr>
            <sz val="10"/>
            <color indexed="81"/>
            <rFont val="Lucida Console"/>
            <family val="3"/>
          </rPr>
          <t>Última movimentação no estoque em 12/2022 quantidade 11.</t>
        </r>
      </text>
    </comment>
    <comment ref="R747" authorId="0" shapeId="0" xr:uid="{D3BA2DF3-C265-4291-8C32-24BFB74B3437}">
      <text>
        <r>
          <rPr>
            <sz val="10"/>
            <color indexed="81"/>
            <rFont val="Lucida Console"/>
            <family val="3"/>
          </rPr>
          <t>01.01.1901</t>
        </r>
      </text>
    </comment>
    <comment ref="Y747" authorId="0" shapeId="0" xr:uid="{D7E847AC-F116-4E0B-8C28-1978DD13B83A}">
      <text>
        <r>
          <rPr>
            <sz val="10"/>
            <color indexed="81"/>
            <rFont val="Courier New"/>
            <family val="3"/>
          </rPr>
          <t>_x000D_
    DESCRIÇÃO DO CÁLCULO_x000D_
Código    : 40.086_x000D_
Corte     : 15_x000D_
-----------------------------_x000D_
Pendente  : _x000D_
22 / 10_2 : _x000D_
22 / 11_2 : _x000D_
22 / 12_2 : 15 (corte = 24)_x000D_
23 / 01_2 : _x000D_
23 / 02_2 : _x000D_
23 / 03_2 : _x000D_
23 / 04_2 : _x000D_
23 / 05_2 : _x000D_
23 / 06_2 : _x000D_
23 / 07_2 : _x000D_
23 / 08_2 : _x000D_
23 / 09_2 : _x000D_
_x000D_
    TOTAL : ( 15 )_x000D_
  DIVISOR : 12_x000D_
    MÉDIA : 1,25_x000D_
-----------------------------_x000D_
   Valores Desconsiderados_x000D_
-----------------------------_x000D_
22 / 12_2 : 9 (24)_x000D_
_x000D_
  TOTAL   : ( 9 )</t>
        </r>
      </text>
    </comment>
    <comment ref="AB747" authorId="0" shapeId="0" xr:uid="{35B5C4EF-1A60-49B5-9203-87D1006DCA5C}">
      <text>
        <r>
          <rPr>
            <sz val="10"/>
            <color indexed="81"/>
            <rFont val="Lucida Console"/>
            <family val="3"/>
          </rPr>
          <t>Última movimentação no estoque em 12/2022 quantidade 24.</t>
        </r>
      </text>
    </comment>
    <comment ref="R748" authorId="0" shapeId="0" xr:uid="{84AB93F4-0A76-43D2-ADBD-57384EAEE15B}">
      <text>
        <r>
          <rPr>
            <sz val="10"/>
            <color indexed="81"/>
            <rFont val="Lucida Console"/>
            <family val="3"/>
          </rPr>
          <t>03.03.2010</t>
        </r>
      </text>
    </comment>
    <comment ref="Y748" authorId="0" shapeId="0" xr:uid="{C7A06781-2C35-4D6A-92F6-DEC42EA30BD9}">
      <text>
        <r>
          <rPr>
            <sz val="10"/>
            <color indexed="81"/>
            <rFont val="Courier New"/>
            <family val="3"/>
          </rPr>
          <t>_x000D_
    DESCRIÇÃO DO CÁLCULO_x000D_
Código    : 114.297_x000D_
Corte     : 22_x000D_
-----------------------------_x000D_
Pendente  : _x000D_
22 / 10_2 : _x000D_
22 / 11_2 : 15_x000D_
22 / 12_2 : 22 (corte = 28)_x000D_
23 / 01_2 : _x000D_
23 / 02_2 : 10_x000D_
23 / 03_2 : _x000D_
23 / 04_2 : _x000D_
23 / 05_2 : _x000D_
23 / 06_2 : _x000D_
23 / 07_2 : _x000D_
23 / 08_2 : _x000D_
23 / 09_2 : _x000D_
_x000D_
    TOTAL : ( 47 )_x000D_
  DIVISOR : 12_x000D_
    MÉDIA : 3,92_x000D_
-----------------------------_x000D_
   Valores Desconsiderados_x000D_
-----------------------------_x000D_
22 / 12_2 : 6 (28)_x000D_
_x000D_
  TOTAL   : ( 6 )</t>
        </r>
      </text>
    </comment>
    <comment ref="AB748" authorId="0" shapeId="0" xr:uid="{5CCCD2CF-ED1E-4A37-85E4-3959C49C1C15}">
      <text>
        <r>
          <rPr>
            <sz val="10"/>
            <color indexed="81"/>
            <rFont val="Lucida Console"/>
            <family val="3"/>
          </rPr>
          <t>Última movimentação no estoque em 02/2023 quantidade 10.</t>
        </r>
      </text>
    </comment>
    <comment ref="R749" authorId="0" shapeId="0" xr:uid="{B55B597E-D254-4EF9-888F-0FBBDAB57BBA}">
      <text>
        <r>
          <rPr>
            <sz val="10"/>
            <color indexed="81"/>
            <rFont val="Lucida Console"/>
            <family val="3"/>
          </rPr>
          <t>01.12.2003</t>
        </r>
      </text>
    </comment>
    <comment ref="Y749" authorId="0" shapeId="0" xr:uid="{CB93E081-485D-4CF5-845D-1007326365EA}">
      <text>
        <r>
          <rPr>
            <sz val="10"/>
            <color indexed="81"/>
            <rFont val="Courier New"/>
            <family val="3"/>
          </rPr>
          <t>_x000D_
    DESCRIÇÃO DO CÁLCULO_x000D_
Código    : 76.218_x000D_
Corte     : 2_x000D_
-----------------------------_x000D_
Pendente  : _x000D_
22 / 10_2 : _x000D_
22 / 11_2 : _x000D_
22 / 12_2 : _x000D_
23 / 01_2 : _x000D_
23 / 02_2 : _x000D_
23 / 03_2 : _x000D_
23 / 04_2 : 2 (corte = 4)_x000D_
23 / 05_2 : _x000D_
23 / 06_2 : _x000D_
23 / 07_2 : _x000D_
23 / 08_2 : _x000D_
23 / 09_2 : _x000D_
_x000D_
    TOTAL : ( 2 )_x000D_
  DIVISOR : 12_x000D_
    MÉDIA : ,17_x000D_
-----------------------------_x000D_
   Valores Desconsiderados_x000D_
-----------------------------_x000D_
23 / 04_2 : 2 (4)_x000D_
_x000D_
  TOTAL   : ( 2 )</t>
        </r>
      </text>
    </comment>
    <comment ref="AB749" authorId="0" shapeId="0" xr:uid="{28E05CE1-DDD5-4388-9893-2CE69749E4CC}">
      <text>
        <r>
          <rPr>
            <sz val="10"/>
            <color indexed="81"/>
            <rFont val="Lucida Console"/>
            <family val="3"/>
          </rPr>
          <t>Última movimentação no estoque em 04/2023 quantidade 4.</t>
        </r>
      </text>
    </comment>
    <comment ref="R750" authorId="0" shapeId="0" xr:uid="{68C39A03-4B8E-455C-A97F-62008A42D3EF}">
      <text>
        <r>
          <rPr>
            <sz val="10"/>
            <color indexed="81"/>
            <rFont val="Lucida Console"/>
            <family val="3"/>
          </rPr>
          <t>12.05.2008</t>
        </r>
      </text>
    </comment>
    <comment ref="Y750" authorId="0" shapeId="0" xr:uid="{18B3EBE8-0EC5-4B1C-8163-E63FAAC92129}">
      <text>
        <r>
          <rPr>
            <sz val="10"/>
            <color indexed="81"/>
            <rFont val="Courier New"/>
            <family val="3"/>
          </rPr>
          <t>_x000D_
    DESCRIÇÃO DO CÁLCULO_x000D_
Código    : 106.375_x000D_
Corte     : 172_x000D_
-----------------------------_x000D_
Pendente  : 41_x000D_
22 / 10_2 : 23_x000D_
22 / 11_2 : 91_x000D_
22 / 12_2 : 20_x000D_
23 / 01_2 : 33_x000D_
23 / 02_2 : 68_x000D_
23 / 03_2 : 172 (corte = 232)_x000D_
23 / 04_2 : 24_x000D_
23 / 05_2 : 9_x000D_
23 / 06_2 : _x000D_
23 / 07_2 : _x000D_
23 / 08_2 : _x000D_
23 / 09_2 : _x000D_
_x000D_
    TOTAL : ( 481 )_x000D_
  DIVISOR : 12_x000D_
    MÉDIA : 40,08_x000D_
-----------------------------_x000D_
   Valores Desconsiderados_x000D_
-----------------------------_x000D_
23 / 03_2 : 60 (232)_x000D_
_x000D_
  TOTAL   : ( 60 )</t>
        </r>
      </text>
    </comment>
    <comment ref="AB750" authorId="0" shapeId="0" xr:uid="{21D7ADD7-89BD-44B9-B9D8-AAD130E1182B}">
      <text>
        <r>
          <rPr>
            <sz val="10"/>
            <color indexed="81"/>
            <rFont val="Lucida Console"/>
            <family val="3"/>
          </rPr>
          <t>Última movimentação no estoque em 05/2023 quantidade 9.</t>
        </r>
      </text>
    </comment>
    <comment ref="R751" authorId="0" shapeId="0" xr:uid="{470563E1-ECD7-4BAD-8638-69DB6ABCC974}">
      <text>
        <r>
          <rPr>
            <sz val="10"/>
            <color indexed="81"/>
            <rFont val="Lucida Console"/>
            <family val="3"/>
          </rPr>
          <t>12.05.2008</t>
        </r>
      </text>
    </comment>
    <comment ref="Y751" authorId="0" shapeId="0" xr:uid="{950D28AD-8387-4CC3-91B2-EBFA125C4BF7}">
      <text>
        <r>
          <rPr>
            <sz val="10"/>
            <color indexed="81"/>
            <rFont val="Courier New"/>
            <family val="3"/>
          </rPr>
          <t>_x000D_
    DESCRIÇÃO DO CÁLCULO_x000D_
Código    : 106.376_x000D_
Corte     : 353_x000D_
-----------------------------_x000D_
Pendente  : _x000D_
22 / 10_2 : 47_x000D_
22 / 11_2 : 126_x000D_
22 / 12_2 : 167_x000D_
23 / 01_2 : 66_x000D_
23 / 02_2 : 22_x000D_
23 / 03_2 : 131_x000D_
23 / 04_2 : 222_x000D_
23 / 05_2 : 323_x000D_
23 / 06_2 : 90_x000D_
23 / 07_2 : 252_x000D_
23 / 08_2 : 120_x000D_
23 / 09_2 : 300_x000D_
_x000D_
    TOTAL : ( 1.866 )_x000D_
  DIVISOR : 12_x000D_
    MÉDIA : 155,50</t>
        </r>
      </text>
    </comment>
    <comment ref="AB751" authorId="0" shapeId="0" xr:uid="{7DD50CA4-45CB-4733-86E2-18540DB7DDFF}">
      <text>
        <r>
          <rPr>
            <sz val="10"/>
            <color indexed="81"/>
            <rFont val="Lucida Console"/>
            <family val="3"/>
          </rPr>
          <t>Última movimentação no estoque em 09/2023 quantidade 300.</t>
        </r>
      </text>
    </comment>
    <comment ref="R752" authorId="0" shapeId="0" xr:uid="{23BAB8C1-AD46-4439-BE39-74FF401B4959}">
      <text>
        <r>
          <rPr>
            <sz val="10"/>
            <color indexed="81"/>
            <rFont val="Lucida Console"/>
            <family val="3"/>
          </rPr>
          <t>08.09.2009</t>
        </r>
      </text>
    </comment>
    <comment ref="Y752" authorId="0" shapeId="0" xr:uid="{9CB6E5BF-E3D9-4D1A-AA88-D071ADB4076F}">
      <text>
        <r>
          <rPr>
            <sz val="10"/>
            <color indexed="81"/>
            <rFont val="Courier New"/>
            <family val="3"/>
          </rPr>
          <t>_x000D_
    DESCRIÇÃO DO CÁLCULO_x000D_
Código    : 112.494_x000D_
Corte     : 23_x000D_
-----------------------------_x000D_
Pendente  : _x000D_
22 / 10_2 : _x000D_
22 / 11_2 : 9_x000D_
22 / 12_2 : _x000D_
23 / 01_2 : 23 (corte = 28)_x000D_
23 / 02_2 : _x000D_
23 / 03_2 : _x000D_
23 / 04_2 : _x000D_
23 / 05_2 : _x000D_
23 / 06_2 : 20_x000D_
23 / 07_2 : _x000D_
23 / 08_2 : _x000D_
23 / 09_2 : _x000D_
_x000D_
    TOTAL : ( 52 )_x000D_
  DIVISOR : 12_x000D_
    MÉDIA : 4,33_x000D_
-----------------------------_x000D_
   Valores Desconsiderados_x000D_
-----------------------------_x000D_
23 / 01_2 : 5 (28)_x000D_
_x000D_
  TOTAL   : ( 5 )</t>
        </r>
      </text>
    </comment>
    <comment ref="AB752" authorId="0" shapeId="0" xr:uid="{9519387C-891A-4B7A-BE51-D6189B88A98D}">
      <text>
        <r>
          <rPr>
            <sz val="10"/>
            <color indexed="81"/>
            <rFont val="Lucida Console"/>
            <family val="3"/>
          </rPr>
          <t>Última movimentação no estoque em 06/2023 quantidade 20.</t>
        </r>
      </text>
    </comment>
    <comment ref="R753" authorId="0" shapeId="0" xr:uid="{CA2EE16F-3E95-4A3A-B4AC-E7DEFC155095}">
      <text>
        <r>
          <rPr>
            <sz val="10"/>
            <color indexed="81"/>
            <rFont val="Lucida Console"/>
            <family val="3"/>
          </rPr>
          <t>27.10.2009</t>
        </r>
      </text>
    </comment>
    <comment ref="Y753" authorId="0" shapeId="0" xr:uid="{9F4720B1-DB85-45B1-A20D-92F086C755D8}">
      <text>
        <r>
          <rPr>
            <sz val="10"/>
            <color indexed="81"/>
            <rFont val="Courier New"/>
            <family val="3"/>
          </rPr>
          <t>_x000D_
    DESCRIÇÃO DO CÁLCULO_x000D_
Código    : 113.242_x000D_
Corte     : 25_x000D_
-----------------------------_x000D_
Pendente  : _x000D_
22 / 10_2 : _x000D_
22 / 11_2 : 6_x000D_
22 / 12_2 : _x000D_
23 / 01_2 : 21_x000D_
23 / 02_2 : _x000D_
23 / 03_2 : _x000D_
23 / 04_2 : _x000D_
23 / 05_2 : _x000D_
23 / 06_2 : 25 (corte = 32)_x000D_
23 / 07_2 : _x000D_
23 / 08_2 : _x000D_
23 / 09_2 : _x000D_
_x000D_
    TOTAL : ( 52 )_x000D_
  DIVISOR : 12_x000D_
    MÉDIA : 4,33_x000D_
-----------------------------_x000D_
   Valores Desconsiderados_x000D_
-----------------------------_x000D_
23 / 06_2 : 7 (32)_x000D_
_x000D_
  TOTAL   : ( 7 )</t>
        </r>
      </text>
    </comment>
    <comment ref="AB753" authorId="0" shapeId="0" xr:uid="{8A4B4EB7-192E-4E7B-BDC1-405C9D667FFB}">
      <text>
        <r>
          <rPr>
            <sz val="10"/>
            <color indexed="81"/>
            <rFont val="Lucida Console"/>
            <family val="3"/>
          </rPr>
          <t>Última movimentação no estoque em 06/2023 quantidade 32.</t>
        </r>
      </text>
    </comment>
    <comment ref="R754" authorId="0" shapeId="0" xr:uid="{E81BCE4D-59EE-457A-ABCC-C757B8BC8D80}">
      <text>
        <r>
          <rPr>
            <sz val="10"/>
            <color indexed="81"/>
            <rFont val="Lucida Console"/>
            <family val="3"/>
          </rPr>
          <t>11.05.2009</t>
        </r>
      </text>
    </comment>
    <comment ref="Y754" authorId="0" shapeId="0" xr:uid="{5CDEFE14-17F7-4545-92C5-9FA335F9726B}">
      <text>
        <r>
          <rPr>
            <sz val="10"/>
            <color indexed="81"/>
            <rFont val="Courier New"/>
            <family val="3"/>
          </rPr>
          <t>_x000D_
    DESCRIÇÃO DO CÁLCULO_x000D_
Código    : 110.892_x000D_
Corte     : 14_x000D_
-----------------------------_x000D_
Pendente  : _x000D_
22 / 10_2 : _x000D_
22 / 11_2 : 6_x000D_
22 / 12_2 : _x000D_
23 / 01_2 : 14 (corte = 19)_x000D_
23 / 02_2 : _x000D_
23 / 03_2 : _x000D_
23 / 04_2 : _x000D_
23 / 05_2 : _x000D_
23 / 06_2 : 10_x000D_
23 / 07_2 : _x000D_
23 / 08_2 : _x000D_
23 / 09_2 : _x000D_
_x000D_
    TOTAL : ( 30 )_x000D_
  DIVISOR : 12_x000D_
    MÉDIA : 2,50_x000D_
-----------------------------_x000D_
   Valores Desconsiderados_x000D_
-----------------------------_x000D_
23 / 01_2 : 5 (19)_x000D_
_x000D_
  TOTAL   : ( 5 )</t>
        </r>
      </text>
    </comment>
    <comment ref="AB754" authorId="0" shapeId="0" xr:uid="{E7886DE9-0B25-41BD-B668-C378FC86104D}">
      <text>
        <r>
          <rPr>
            <sz val="10"/>
            <color indexed="81"/>
            <rFont val="Lucida Console"/>
            <family val="3"/>
          </rPr>
          <t>Última movimentação no estoque em 06/2023 quantidade 10.</t>
        </r>
      </text>
    </comment>
    <comment ref="R755" authorId="0" shapeId="0" xr:uid="{6B42AB2A-7F2A-4DCE-9FA7-85260D795B00}">
      <text>
        <r>
          <rPr>
            <sz val="10"/>
            <color indexed="81"/>
            <rFont val="Lucida Console"/>
            <family val="3"/>
          </rPr>
          <t>11.05.2009</t>
        </r>
      </text>
    </comment>
    <comment ref="Y755" authorId="0" shapeId="0" xr:uid="{A363F469-608A-4105-AA8F-F2DD244AC383}">
      <text>
        <r>
          <rPr>
            <sz val="10"/>
            <color indexed="81"/>
            <rFont val="Courier New"/>
            <family val="3"/>
          </rPr>
          <t>_x000D_
    DESCRIÇÃO DO CÁLCULO_x000D_
Código    : 110.893_x000D_
Corte     : 15_x000D_
-----------------------------_x000D_
Pendente  : _x000D_
22 / 10_2 : _x000D_
22 / 11_2 : _x000D_
22 / 12_2 : 10_x000D_
23 / 01_2 : 5_x000D_
23 / 02_2 : _x000D_
23 / 03_2 : _x000D_
23 / 04_2 : _x000D_
23 / 05_2 : _x000D_
23 / 06_2 : 15 (corte = 20)_x000D_
23 / 07_2 : _x000D_
23 / 08_2 : _x000D_
23 / 09_2 : _x000D_
_x000D_
    TOTAL : ( 30 )_x000D_
  DIVISOR : 12_x000D_
    MÉDIA : 2,50_x000D_
-----------------------------_x000D_
   Valores Desconsiderados_x000D_
-----------------------------_x000D_
23 / 06_2 : 5 (20)_x000D_
_x000D_
  TOTAL   : ( 5 )</t>
        </r>
      </text>
    </comment>
    <comment ref="AB755" authorId="0" shapeId="0" xr:uid="{EF1E74DF-E5E7-4916-B468-0222FE45A47E}">
      <text>
        <r>
          <rPr>
            <sz val="10"/>
            <color indexed="81"/>
            <rFont val="Lucida Console"/>
            <family val="3"/>
          </rPr>
          <t>Última movimentação no estoque em 06/2023 quantidade 20.</t>
        </r>
      </text>
    </comment>
    <comment ref="R756" authorId="0" shapeId="0" xr:uid="{D433605A-101B-4887-9F7E-77915203577A}">
      <text>
        <r>
          <rPr>
            <sz val="10"/>
            <color indexed="81"/>
            <rFont val="Lucida Console"/>
            <family val="3"/>
          </rPr>
          <t>14.11.2007</t>
        </r>
      </text>
    </comment>
    <comment ref="Y756" authorId="0" shapeId="0" xr:uid="{4EED775A-2560-4DDB-BD2D-A81B0B12D347}">
      <text>
        <r>
          <rPr>
            <sz val="10"/>
            <color indexed="81"/>
            <rFont val="Courier New"/>
            <family val="3"/>
          </rPr>
          <t>_x000D_
    DESCRIÇÃO DO CÁLCULO_x000D_
Código    : 103.344_x000D_
Corte     : 9_x000D_
-----------------------------_x000D_
Pendente  : _x000D_
22 / 10_2 : _x000D_
22 / 11_2 : _x000D_
22 / 12_2 : _x000D_
23 / 01_2 : 9 (corte = 10)_x000D_
23 / 02_2 : _x000D_
23 / 03_2 : _x000D_
23 / 04_2 : _x000D_
23 / 05_2 : _x000D_
23 / 06_2 : _x000D_
23 / 07_2 : 9 (corte = 10)_x000D_
23 / 08_2 : _x000D_
23 / 09_2 : _x000D_
_x000D_
    TOTAL : ( 18 )_x000D_
  DIVISOR : 12_x000D_
    MÉDIA : 1,50_x000D_
-----------------------------_x000D_
   Valores Desconsiderados_x000D_
-----------------------------_x000D_
23 / 01_2 : 1 (10)_x000D_
23 / 07_2 : 1 (10)_x000D_
_x000D_
  TOTAL   : ( 2 )</t>
        </r>
      </text>
    </comment>
    <comment ref="AB756" authorId="0" shapeId="0" xr:uid="{9F71F5EF-270E-4D64-94F7-CD6891532F40}">
      <text>
        <r>
          <rPr>
            <sz val="10"/>
            <color indexed="81"/>
            <rFont val="Lucida Console"/>
            <family val="3"/>
          </rPr>
          <t>Última movimentação no estoque em 07/2023 quantidade 10.</t>
        </r>
      </text>
    </comment>
    <comment ref="R757" authorId="0" shapeId="0" xr:uid="{A1761E8A-1EA9-4CE5-AA71-CCDC2120495D}">
      <text>
        <r>
          <rPr>
            <sz val="10"/>
            <color indexed="81"/>
            <rFont val="Lucida Console"/>
            <family val="3"/>
          </rPr>
          <t>01.01.1901</t>
        </r>
      </text>
    </comment>
    <comment ref="Y757" authorId="0" shapeId="0" xr:uid="{6F3B95C5-6633-4AC3-85D7-52C701CB2CFF}">
      <text>
        <r>
          <rPr>
            <sz val="10"/>
            <color indexed="81"/>
            <rFont val="Courier New"/>
            <family val="3"/>
          </rPr>
          <t>_x000D_
    DESCRIÇÃO DO CÁLCULO_x000D_
Código    : 15.648_x000D_
Corte     : 10_x000D_
-----------------------------_x000D_
Pendente  : _x000D_
22 / 10_2 : _x000D_
22 / 11_2 : _x000D_
22 / 12_2 : 10 (corte = 12)_x000D_
23 / 01_2 : 10_x000D_
23 / 02_2 : _x000D_
23 / 03_2 : _x000D_
23 / 04_2 : _x000D_
23 / 05_2 : _x000D_
23 / 06_2 : _x000D_
23 / 07_2 : _x000D_
23 / 08_2 : _x000D_
23 / 09_2 : _x000D_
_x000D_
    TOTAL : ( 20 )_x000D_
  DIVISOR : 12_x000D_
    MÉDIA : 1,67_x000D_
-----------------------------_x000D_
   Valores Desconsiderados_x000D_
-----------------------------_x000D_
22 / 12_2 : 2 (12)_x000D_
_x000D_
  TOTAL   : ( 2 )</t>
        </r>
      </text>
    </comment>
    <comment ref="AB757" authorId="0" shapeId="0" xr:uid="{A5055A39-7403-4181-935C-1746483FBC26}">
      <text>
        <r>
          <rPr>
            <sz val="10"/>
            <color indexed="81"/>
            <rFont val="Lucida Console"/>
            <family val="3"/>
          </rPr>
          <t>Última movimentação no estoque em 01/2023 quantidade 10.</t>
        </r>
      </text>
    </comment>
    <comment ref="R758" authorId="0" shapeId="0" xr:uid="{5DF7B0BC-B871-4AFF-83A5-57102035E475}">
      <text>
        <r>
          <rPr>
            <sz val="10"/>
            <color indexed="81"/>
            <rFont val="Lucida Console"/>
            <family val="3"/>
          </rPr>
          <t>01.01.1901</t>
        </r>
      </text>
    </comment>
    <comment ref="Y758" authorId="0" shapeId="0" xr:uid="{BF23109B-6E97-4137-8356-73111413D8EC}">
      <text>
        <r>
          <rPr>
            <sz val="10"/>
            <color indexed="81"/>
            <rFont val="Courier New"/>
            <family val="3"/>
          </rPr>
          <t>_x000D_
    DESCRIÇÃO DO CÁLCULO_x000D_
Código    : 15.656_x000D_
Corte     : 7_x000D_
-----------------------------_x000D_
Pendente  : _x000D_
22 / 10_2 : _x000D_
22 / 11_2 : _x000D_
22 / 12_2 : _x000D_
23 / 01_2 : 5_x000D_
23 / 02_2 : _x000D_
23 / 03_2 : _x000D_
23 / 04_2 : 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758" authorId="0" shapeId="0" xr:uid="{0E6ED989-1772-44CD-A000-59E67871D59E}">
      <text>
        <r>
          <rPr>
            <sz val="10"/>
            <color indexed="81"/>
            <rFont val="Lucida Console"/>
            <family val="3"/>
          </rPr>
          <t>Última movimentação no estoque em 06/2023 quantidade 10.</t>
        </r>
      </text>
    </comment>
    <comment ref="R759" authorId="0" shapeId="0" xr:uid="{647E2EE2-B8F3-46BD-91AD-81BBAA2BFA72}">
      <text>
        <r>
          <rPr>
            <sz val="10"/>
            <color indexed="81"/>
            <rFont val="Lucida Console"/>
            <family val="3"/>
          </rPr>
          <t>01.01.1901</t>
        </r>
      </text>
    </comment>
    <comment ref="Y759" authorId="0" shapeId="0" xr:uid="{49C6E126-A6A6-4B14-9DA6-A906C094CBD1}">
      <text>
        <r>
          <rPr>
            <sz val="10"/>
            <color indexed="81"/>
            <rFont val="Courier New"/>
            <family val="3"/>
          </rPr>
          <t>_x000D_
    DESCRIÇÃO DO CÁLCULO_x000D_
Código    : 15.673_x000D_
Corte     : 21_x000D_
-----------------------------_x000D_
Pendente  : _x000D_
22 / 10_2 : _x000D_
22 / 11_2 : 6_x000D_
22 / 12_2 : 12_x000D_
23 / 01_2 : 20_x000D_
23 / 02_2 : _x000D_
23 / 03_2 : _x000D_
23 / 04_2 : _x000D_
23 / 05_2 : _x000D_
23 / 06_2 : 20_x000D_
23 / 07_2 : _x000D_
23 / 08_2 : _x000D_
23 / 09_2 : 8_x000D_
_x000D_
    TOTAL : ( 66 )_x000D_
  DIVISOR : 12_x000D_
    MÉDIA : 5,50</t>
        </r>
      </text>
    </comment>
    <comment ref="AB759" authorId="0" shapeId="0" xr:uid="{5C181AB4-F80A-44C0-AF16-83D95357CD1C}">
      <text>
        <r>
          <rPr>
            <sz val="10"/>
            <color indexed="81"/>
            <rFont val="Lucida Console"/>
            <family val="3"/>
          </rPr>
          <t>Última movimentação no estoque em 09/2023 quantidade 8.</t>
        </r>
      </text>
    </comment>
    <comment ref="R760" authorId="0" shapeId="0" xr:uid="{295E8750-C10B-4EED-BC13-E1B56EBA380F}">
      <text>
        <r>
          <rPr>
            <sz val="10"/>
            <color indexed="81"/>
            <rFont val="Lucida Console"/>
            <family val="3"/>
          </rPr>
          <t>01.01.1901</t>
        </r>
      </text>
    </comment>
    <comment ref="Y760" authorId="0" shapeId="0" xr:uid="{AECFD3AA-7CF8-4E00-8A38-A1CA2BB3B681}">
      <text>
        <r>
          <rPr>
            <sz val="10"/>
            <color indexed="81"/>
            <rFont val="Courier New"/>
            <family val="3"/>
          </rPr>
          <t>_x000D_
    DESCRIÇÃO DO CÁLCULO_x000D_
Código    : 15.664_x000D_
Corte     : 5_x000D_
-----------------------------_x000D_
Pendente  : _x000D_
22 / 10_2 : _x000D_
22 / 11_2 : 5 (corte = 9)_x000D_
22 / 12_2 : _x000D_
23 / 01_2 : _x000D_
23 / 02_2 : _x000D_
23 / 03_2 : _x000D_
23 / 04_2 : _x000D_
23 / 05_2 : _x000D_
23 / 06_2 : _x000D_
23 / 07_2 : _x000D_
23 / 08_2 : _x000D_
23 / 09_2 : _x000D_
_x000D_
    TOTAL : ( 5 )_x000D_
  DIVISOR : 12_x000D_
    MÉDIA : ,42_x000D_
-----------------------------_x000D_
   Valores Desconsiderados_x000D_
-----------------------------_x000D_
22 / 11_2 : 4 (9)_x000D_
_x000D_
  TOTAL   : ( 4 )</t>
        </r>
      </text>
    </comment>
    <comment ref="AB760" authorId="0" shapeId="0" xr:uid="{5F275EC9-FCA9-4F84-8AF9-62FC280325B5}">
      <text>
        <r>
          <rPr>
            <sz val="10"/>
            <color indexed="81"/>
            <rFont val="Lucida Console"/>
            <family val="3"/>
          </rPr>
          <t>Última movimentação no estoque em 11/2022 quantidade 9.</t>
        </r>
      </text>
    </comment>
    <comment ref="R761" authorId="0" shapeId="0" xr:uid="{D06AD37A-6DD3-4C59-89BF-D2E22B2E23B2}">
      <text>
        <r>
          <rPr>
            <sz val="10"/>
            <color indexed="81"/>
            <rFont val="Lucida Console"/>
            <family val="3"/>
          </rPr>
          <t>01.01.1901</t>
        </r>
      </text>
    </comment>
    <comment ref="Y761" authorId="0" shapeId="0" xr:uid="{F18B789B-FD58-4F7A-8FF8-93FC725F27A2}">
      <text>
        <r>
          <rPr>
            <sz val="10"/>
            <color indexed="81"/>
            <rFont val="Courier New"/>
            <family val="3"/>
          </rPr>
          <t>_x000D_
    DESCRIÇÃO DO CÁLCULO_x000D_
Código    : 15.668_x000D_
Corte     : 7_x000D_
-----------------------------_x000D_
Pendente  : _x000D_
22 / 10_2 : _x000D_
22 / 11_2 : _x000D_
22 / 12_2 : 7 (corte = 10)_x000D_
23 / 01_2 : _x000D_
23 / 02_2 : _x000D_
23 / 03_2 : _x000D_
23 / 04_2 : _x000D_
23 / 05_2 : _x000D_
23 / 06_2 : _x000D_
23 / 07_2 : _x000D_
23 / 08_2 : 5_x000D_
23 / 09_2 : _x000D_
_x000D_
    TOTAL : ( 12 )_x000D_
  DIVISOR : 12_x000D_
    MÉDIA : 1,00_x000D_
-----------------------------_x000D_
   Valores Desconsiderados_x000D_
-----------------------------_x000D_
22 / 12_2 : 3 (10)_x000D_
_x000D_
  TOTAL   : ( 3 )</t>
        </r>
      </text>
    </comment>
    <comment ref="AB761" authorId="0" shapeId="0" xr:uid="{29BD7D51-A517-455D-ACEE-66CDF9D61083}">
      <text>
        <r>
          <rPr>
            <sz val="10"/>
            <color indexed="81"/>
            <rFont val="Lucida Console"/>
            <family val="3"/>
          </rPr>
          <t>Última movimentação no estoque em 08/2023 quantidade 5.</t>
        </r>
      </text>
    </comment>
    <comment ref="R762" authorId="0" shapeId="0" xr:uid="{D987E174-E345-48F5-BB16-34250B503F1C}">
      <text>
        <r>
          <rPr>
            <sz val="10"/>
            <color indexed="81"/>
            <rFont val="Lucida Console"/>
            <family val="3"/>
          </rPr>
          <t>01.01.1901</t>
        </r>
      </text>
    </comment>
    <comment ref="Y762" authorId="0" shapeId="0" xr:uid="{0E377B0E-46BF-4196-AC99-D0FE90059929}">
      <text>
        <r>
          <rPr>
            <sz val="10"/>
            <color indexed="81"/>
            <rFont val="Courier New"/>
            <family val="3"/>
          </rPr>
          <t>_x000D_
    DESCRIÇÃO DO CÁLCULO_x000D_
Código    : 15.672_x000D_
Corte     : 25_x000D_
-----------------------------_x000D_
Pendente  : 28_x000D_
22 / 10_2 : _x000D_
22 / 11_2 : _x000D_
22 / 12_2 : 10_x000D_
23 / 01_2 : 25 (corte = 26)_x000D_
23 / 02_2 : _x000D_
23 / 03_2 : _x000D_
23 / 04_2 : _x000D_
23 / 05_2 : _x000D_
23 / 06_2 : _x000D_
23 / 07_2 : _x000D_
23 / 08_2 : _x000D_
23 / 09_2 : _x000D_
_x000D_
    TOTAL : ( 63 )_x000D_
  DIVISOR : 12_x000D_
    MÉDIA : 5,25_x000D_
-----------------------------_x000D_
   Valores Desconsiderados_x000D_
-----------------------------_x000D_
23 / 01_2 : 1 (26)_x000D_
_x000D_
  TOTAL   : ( 1 )</t>
        </r>
      </text>
    </comment>
    <comment ref="AB762" authorId="0" shapeId="0" xr:uid="{B8A9605C-7F9D-42F6-A701-15C81BD488E6}">
      <text>
        <r>
          <rPr>
            <sz val="10"/>
            <color indexed="81"/>
            <rFont val="Lucida Console"/>
            <family val="3"/>
          </rPr>
          <t>Última movimentação no estoque em 01/2023 quantidade 26.</t>
        </r>
      </text>
    </comment>
    <comment ref="R763" authorId="0" shapeId="0" xr:uid="{1052F858-21E0-4B3F-A489-AE70A43DFF9E}">
      <text>
        <r>
          <rPr>
            <sz val="10"/>
            <color indexed="81"/>
            <rFont val="Lucida Console"/>
            <family val="3"/>
          </rPr>
          <t>01.01.1901</t>
        </r>
      </text>
    </comment>
    <comment ref="Y763" authorId="0" shapeId="0" xr:uid="{EC20BD8E-6971-4CEC-9AF3-BEB08D7B4BFD}">
      <text>
        <r>
          <rPr>
            <sz val="10"/>
            <color indexed="81"/>
            <rFont val="Courier New"/>
            <family val="3"/>
          </rPr>
          <t>_x000D_
    DESCRIÇÃO DO CÁLCULO_x000D_
Código    : 15.680_x000D_
Corte     : 21_x000D_
-----------------------------_x000D_
Pendente  : _x000D_
22 / 10_2 : _x000D_
22 / 11_2 : 6_x000D_
22 / 12_2 : 10_x000D_
23 / 01_2 : _x000D_
23 / 02_2 : _x000D_
23 / 03_2 : _x000D_
23 / 04_2 : _x000D_
23 / 05_2 : _x000D_
23 / 06_2 : 21 (corte = 30)_x000D_
23 / 07_2 : _x000D_
23 / 08_2 : _x000D_
23 / 09_2 : _x000D_
_x000D_
    TOTAL : ( 37 )_x000D_
  DIVISOR : 12_x000D_
    MÉDIA : 3,08_x000D_
-----------------------------_x000D_
   Valores Desconsiderados_x000D_
-----------------------------_x000D_
23 / 06_2 : 9 (30)_x000D_
_x000D_
  TOTAL   : ( 9 )</t>
        </r>
      </text>
    </comment>
    <comment ref="AB763" authorId="0" shapeId="0" xr:uid="{1546E534-ADD3-426C-BE66-BA268BFF0E0F}">
      <text>
        <r>
          <rPr>
            <sz val="10"/>
            <color indexed="81"/>
            <rFont val="Lucida Console"/>
            <family val="3"/>
          </rPr>
          <t>Última movimentação no estoque em 06/2023 quantidade 30.</t>
        </r>
      </text>
    </comment>
    <comment ref="R764" authorId="0" shapeId="0" xr:uid="{57228851-C48E-43B1-A56E-E704D8FD84C0}">
      <text>
        <r>
          <rPr>
            <sz val="10"/>
            <color indexed="81"/>
            <rFont val="Lucida Console"/>
            <family val="3"/>
          </rPr>
          <t>01.01.1901</t>
        </r>
      </text>
    </comment>
    <comment ref="Y764" authorId="0" shapeId="0" xr:uid="{DDE68490-73F7-47C8-85A8-882466AC1928}">
      <text>
        <r>
          <rPr>
            <sz val="10"/>
            <color indexed="81"/>
            <rFont val="Courier New"/>
            <family val="3"/>
          </rPr>
          <t>_x000D_
    DESCRIÇÃO DO CÁLCULO_x000D_
Código    : 29.952_x000D_
Corte     : 1.347_x000D_
-----------------------------_x000D_
Pendente  : 234_x000D_
22 / 10_2 : 251_x000D_
22 / 11_2 : 276_x000D_
22 / 12_2 : 444_x000D_
23 / 01_2 : 136_x000D_
23 / 02_2 : 242_x000D_
23 / 03_2 : 1.347 (corte = 1902)_x000D_
23 / 04_2 : 77_x000D_
23 / 05_2 : 327_x000D_
23 / 06_2 : 294_x000D_
23 / 07_2 : 285_x000D_
23 / 08_2 : 318_x000D_
23 / 09_2 : 270_x000D_
_x000D_
    TOTAL : ( 4.501 )_x000D_
  DIVISOR : 12_x000D_
    MÉDIA : 375,08_x000D_
-----------------------------_x000D_
   Valores Desconsiderados_x000D_
-----------------------------_x000D_
23 / 03_2 : 555 (1.902)_x000D_
_x000D_
  TOTAL   : ( 555 )</t>
        </r>
      </text>
    </comment>
    <comment ref="AB764" authorId="0" shapeId="0" xr:uid="{DC59F6C5-6D71-4D99-86EC-5F89A872AD3C}">
      <text>
        <r>
          <rPr>
            <sz val="10"/>
            <color indexed="81"/>
            <rFont val="Lucida Console"/>
            <family val="3"/>
          </rPr>
          <t>Última movimentação no estoque em 09/2023 quantidade 270.</t>
        </r>
      </text>
    </comment>
    <comment ref="R765" authorId="0" shapeId="0" xr:uid="{39925BA5-0C5B-47CA-A644-1150B73D580D}">
      <text>
        <r>
          <rPr>
            <sz val="10"/>
            <color indexed="81"/>
            <rFont val="Lucida Console"/>
            <family val="3"/>
          </rPr>
          <t>12.09.2019</t>
        </r>
      </text>
    </comment>
    <comment ref="Y765" authorId="0" shapeId="0" xr:uid="{2E162671-00DC-401D-AB72-3B7618A09795}">
      <text>
        <r>
          <rPr>
            <sz val="10"/>
            <color indexed="81"/>
            <rFont val="Courier New"/>
            <family val="3"/>
          </rPr>
          <t>_x000D_
    DESCRIÇÃO DO CÁLCULO_x000D_
Código    : 138.471_x000D_
Corte     : 3.339_x000D_
-----------------------------_x000D_
Pendente  : 144_x000D_
22 / 10_2 : 735_x000D_
22 / 11_2 : 714_x000D_
22 / 12_2 : 188_x000D_
23 / 01_2 : 173_x000D_
23 / 02_2 : 454_x000D_
23 / 03_2 : 3.339 (corte = 4848)_x000D_
23 / 04_2 : 570_x000D_
23 / 05_2 : 491_x000D_
23 / 06_2 : 606_x000D_
23 / 07_2 : 613_x000D_
23 / 08_2 : 571_x000D_
23 / 09_2 : 527_x000D_
_x000D_
    TOTAL : ( 9.125 )_x000D_
  DIVISOR : 12_x000D_
    MÉDIA : 760,42_x000D_
-----------------------------_x000D_
   Valores Desconsiderados_x000D_
-----------------------------_x000D_
23 / 03_2 : 1.509 (4.848)_x000D_
_x000D_
  TOTAL   : ( 1.509 )</t>
        </r>
      </text>
    </comment>
    <comment ref="AB765" authorId="0" shapeId="0" xr:uid="{CA4F5934-EBC2-4121-BD03-4F6D836EA292}">
      <text>
        <r>
          <rPr>
            <sz val="10"/>
            <color indexed="81"/>
            <rFont val="Lucida Console"/>
            <family val="3"/>
          </rPr>
          <t>Última movimentação no estoque em 09/2023 quantidade 527.</t>
        </r>
      </text>
    </comment>
    <comment ref="R766" authorId="0" shapeId="0" xr:uid="{F00E41F0-0C9E-4E96-86E0-188D92E612C7}">
      <text>
        <r>
          <rPr>
            <sz val="10"/>
            <color indexed="81"/>
            <rFont val="Lucida Console"/>
            <family val="3"/>
          </rPr>
          <t>13.02.2009</t>
        </r>
      </text>
    </comment>
    <comment ref="Y766" authorId="0" shapeId="0" xr:uid="{9B3C5258-1F32-488B-AAD4-50AB805F171D}">
      <text>
        <r>
          <rPr>
            <sz val="10"/>
            <color indexed="81"/>
            <rFont val="Courier New"/>
            <family val="3"/>
          </rPr>
          <t>_x000D_
    DESCRIÇÃO DO CÁLCULO_x000D_
Código    : 109.848_x000D_
Corte     : 22_x000D_
-----------------------------_x000D_
Pendente  : _x000D_
22 / 10_2 : 13_x000D_
22 / 11_2 : 22 (corte = 25)_x000D_
22 / 12_2 : 18_x000D_
23 / 01_2 : _x000D_
23 / 02_2 : 2_x000D_
23 / 03_2 : 5_x000D_
23 / 04_2 : _x000D_
23 / 05_2 : _x000D_
23 / 06_2 : _x000D_
23 / 07_2 : _x000D_
23 / 08_2 : _x000D_
23 / 09_2 : _x000D_
_x000D_
    TOTAL : ( 60 )_x000D_
  DIVISOR : 12_x000D_
    MÉDIA : 5,00_x000D_
-----------------------------_x000D_
   Valores Desconsiderados_x000D_
-----------------------------_x000D_
22 / 11_2 : 3 (25)_x000D_
_x000D_
  TOTAL   : ( 3 )</t>
        </r>
      </text>
    </comment>
    <comment ref="AB766" authorId="0" shapeId="0" xr:uid="{540E4DD8-3FE8-4C1D-841F-6941572B8F47}">
      <text>
        <r>
          <rPr>
            <sz val="10"/>
            <color indexed="81"/>
            <rFont val="Lucida Console"/>
            <family val="3"/>
          </rPr>
          <t>Última movimentação no estoque em 03/2023 quantidade 5.</t>
        </r>
      </text>
    </comment>
    <comment ref="R767" authorId="0" shapeId="0" xr:uid="{078C726B-6071-4770-9DAF-745694070994}">
      <text>
        <r>
          <rPr>
            <sz val="10"/>
            <color indexed="81"/>
            <rFont val="Lucida Console"/>
            <family val="3"/>
          </rPr>
          <t>08.07.2014</t>
        </r>
      </text>
    </comment>
    <comment ref="Y767" authorId="0" shapeId="0" xr:uid="{00800934-C189-4A27-8B51-4E482D1C2EDE}">
      <text>
        <r>
          <rPr>
            <sz val="10"/>
            <color indexed="81"/>
            <rFont val="Courier New"/>
            <family val="3"/>
          </rPr>
          <t>_x000D_
    DESCRIÇÃO DO CÁLCULO_x000D_
Código    : 128.287_x000D_
Corte     : 79_x000D_
-----------------------------_x000D_
Pendente  : 24_x000D_
22 / 10_2 : 74_x000D_
22 / 11_2 : 50_x000D_
22 / 12_2 : 42_x000D_
23 / 01_2 : 68_x000D_
23 / 02_2 : 26_x000D_
23 / 03_2 : 23_x000D_
23 / 04_2 : _x000D_
23 / 05_2 : _x000D_
23 / 06_2 : _x000D_
23 / 07_2 : _x000D_
23 / 08_2 : _x000D_
23 / 09_2 : 7_x000D_
_x000D_
    TOTAL : ( 314 )_x000D_
  DIVISOR : 12_x000D_
    MÉDIA : 26,17</t>
        </r>
      </text>
    </comment>
    <comment ref="AB767" authorId="0" shapeId="0" xr:uid="{0497C472-E1BB-4C99-91A3-8EF4A2FA85AE}">
      <text>
        <r>
          <rPr>
            <sz val="10"/>
            <color indexed="81"/>
            <rFont val="Lucida Console"/>
            <family val="3"/>
          </rPr>
          <t>Última movimentação no estoque em 09/2023 quantidade 7.</t>
        </r>
      </text>
    </comment>
    <comment ref="R768" authorId="0" shapeId="0" xr:uid="{AA670C6A-785D-4B7C-989B-1091E94351DD}">
      <text>
        <r>
          <rPr>
            <sz val="10"/>
            <color indexed="81"/>
            <rFont val="Lucida Console"/>
            <family val="3"/>
          </rPr>
          <t>01.01.1901</t>
        </r>
      </text>
    </comment>
    <comment ref="Y768" authorId="0" shapeId="0" xr:uid="{1FFC49FB-DB3C-4A1D-819A-C6F34D7C0A0A}">
      <text>
        <r>
          <rPr>
            <sz val="10"/>
            <color indexed="81"/>
            <rFont val="Courier New"/>
            <family val="3"/>
          </rPr>
          <t>_x000D_
    DESCRIÇÃO DO CÁLCULO_x000D_
Código    : 15.813_x000D_
Corte     : 1.599_x000D_
-----------------------------_x000D_
Pendente  : _x000D_
22 / 10_2 : 1.599 (corte = 1635)_x000D_
22 / 11_2 : 50_x000D_
22 / 12_2 : 520_x000D_
23 / 01_2 : 615_x000D_
23 / 02_2 : 565_x000D_
23 / 03_2 : 515_x000D_
23 / 04_2 : 85_x000D_
23 / 05_2 : 950_x000D_
23 / 06_2 : 1.350_x000D_
23 / 07_2 : 200_x000D_
23 / 08_2 : _x000D_
23 / 09_2 : 400_x000D_
_x000D_
    TOTAL : ( 6.849 )_x000D_
  DIVISOR : 12_x000D_
    MÉDIA : 570,75_x000D_
-----------------------------_x000D_
   Valores Desconsiderados_x000D_
-----------------------------_x000D_
22 / 10_2 : 36 (1.635)_x000D_
_x000D_
  TOTAL   : ( 36 )</t>
        </r>
      </text>
    </comment>
    <comment ref="AB768" authorId="0" shapeId="0" xr:uid="{1396733F-CA4B-4B9B-9E27-798E817D30F5}">
      <text>
        <r>
          <rPr>
            <sz val="10"/>
            <color indexed="81"/>
            <rFont val="Lucida Console"/>
            <family val="3"/>
          </rPr>
          <t>Última movimentação no estoque em 09/2023 quantidade 400.</t>
        </r>
      </text>
    </comment>
    <comment ref="R769" authorId="0" shapeId="0" xr:uid="{30788359-6993-4157-9ECB-C7757F53F1CD}">
      <text>
        <r>
          <rPr>
            <sz val="10"/>
            <color indexed="81"/>
            <rFont val="Lucida Console"/>
            <family val="3"/>
          </rPr>
          <t>24.02.2011</t>
        </r>
      </text>
    </comment>
    <comment ref="Y769" authorId="0" shapeId="0" xr:uid="{91641F32-04D0-451E-9970-49132C3C8642}">
      <text>
        <r>
          <rPr>
            <sz val="10"/>
            <color indexed="81"/>
            <rFont val="Courier New"/>
            <family val="3"/>
          </rPr>
          <t>_x000D_
    DESCRIÇÃO DO CÁLCULO_x000D_
Código    : 119.318_x000D_
Corte     : 35_x000D_
-----------------------------_x000D_
Pendente  : 4_x000D_
22 / 10_2 : 9_x000D_
22 / 11_2 : 16_x000D_
22 / 12_2 : 4_x000D_
23 / 01_2 : 8_x000D_
23 / 02_2 : 10_x000D_
23 / 03_2 : 31_x000D_
23 / 04_2 : 25_x000D_
23 / 05_2 : 26_x000D_
23 / 06_2 : 22_x000D_
23 / 07_2 : 17_x000D_
23 / 08_2 : _x000D_
23 / 09_2 : _x000D_
_x000D_
    TOTAL : ( 172 )_x000D_
  DIVISOR : 12_x000D_
    MÉDIA : 14,33</t>
        </r>
      </text>
    </comment>
    <comment ref="AB769" authorId="0" shapeId="0" xr:uid="{6111815B-6D1F-405E-8F5E-73352D88AB04}">
      <text>
        <r>
          <rPr>
            <sz val="10"/>
            <color indexed="81"/>
            <rFont val="Lucida Console"/>
            <family val="3"/>
          </rPr>
          <t>Última movimentação no estoque em 07/2023 quantidade 17.</t>
        </r>
      </text>
    </comment>
    <comment ref="R770" authorId="0" shapeId="0" xr:uid="{FC204DE0-5BB9-4232-A912-6409F5520912}">
      <text>
        <r>
          <rPr>
            <sz val="10"/>
            <color indexed="81"/>
            <rFont val="Lucida Console"/>
            <family val="3"/>
          </rPr>
          <t>01.01.1901</t>
        </r>
      </text>
    </comment>
    <comment ref="Y770" authorId="0" shapeId="0" xr:uid="{92545773-C187-4BF6-B887-E28C402FDCD9}">
      <text>
        <r>
          <rPr>
            <sz val="10"/>
            <color indexed="81"/>
            <rFont val="Courier New"/>
            <family val="3"/>
          </rPr>
          <t>_x000D_
    DESCRIÇÃO DO CÁLCULO_x000D_
Código    : 14.737_x000D_
Corte     : 9_x000D_
-----------------------------_x000D_
Pendente  : _x000D_
22 / 10_2 : 3_x000D_
22 / 11_2 : _x000D_
22 / 12_2 : _x000D_
23 / 01_2 : 2_x000D_
23 / 02_2 : 2_x000D_
23 / 03_2 : 3_x000D_
23 / 04_2 : _x000D_
23 / 05_2 : _x000D_
23 / 06_2 : _x000D_
23 / 07_2 : _x000D_
23 / 08_2 : 9 (corte = 13)_x000D_
23 / 09_2 : _x000D_
_x000D_
    TOTAL : ( 19 )_x000D_
  DIVISOR : 12_x000D_
    MÉDIA : 1,58_x000D_
-----------------------------_x000D_
   Valores Desconsiderados_x000D_
-----------------------------_x000D_
23 / 08_2 : 4 (13)_x000D_
_x000D_
  TOTAL   : ( 4 )</t>
        </r>
      </text>
    </comment>
    <comment ref="AB770" authorId="0" shapeId="0" xr:uid="{48616E40-7059-4C2C-AEDC-A44DC2EDBBAE}">
      <text>
        <r>
          <rPr>
            <sz val="10"/>
            <color indexed="81"/>
            <rFont val="Lucida Console"/>
            <family val="3"/>
          </rPr>
          <t>Última movimentação no estoque em 08/2023 quantidade 13.</t>
        </r>
      </text>
    </comment>
    <comment ref="R771" authorId="0" shapeId="0" xr:uid="{A3635C64-6F7C-4A63-9FB0-24C16A2D5BD8}">
      <text>
        <r>
          <rPr>
            <sz val="10"/>
            <color indexed="81"/>
            <rFont val="Lucida Console"/>
            <family val="3"/>
          </rPr>
          <t>08.09.2005</t>
        </r>
      </text>
    </comment>
    <comment ref="Y771" authorId="0" shapeId="0" xr:uid="{02FBD958-A4B8-4490-92C2-7C7ED21D96F5}">
      <text>
        <r>
          <rPr>
            <sz val="10"/>
            <color indexed="81"/>
            <rFont val="Courier New"/>
            <family val="3"/>
          </rPr>
          <t>_x000D_
    DESCRIÇÃO DO CÁLCULO_x000D_
Código    : 87.586_x000D_
Corte     : 12_x000D_
-----------------------------_x000D_
Pendente  : _x000D_
22 / 10_2 : 11_x000D_
22 / 11_2 : _x000D_
22 / 12_2 : _x000D_
23 / 01_2 : _x000D_
23 / 02_2 : _x000D_
23 / 03_2 : _x000D_
23 / 04_2 : _x000D_
23 / 05_2 : _x000D_
23 / 06_2 : _x000D_
23 / 07_2 : _x000D_
23 / 08_2 : 12 (corte = 15)_x000D_
23 / 09_2 : _x000D_
_x000D_
    TOTAL : ( 23 )_x000D_
  DIVISOR : 12_x000D_
    MÉDIA : 1,92_x000D_
-----------------------------_x000D_
   Valores Desconsiderados_x000D_
-----------------------------_x000D_
23 / 08_2 : 3 (15)_x000D_
_x000D_
  TOTAL   : ( 3 )</t>
        </r>
      </text>
    </comment>
    <comment ref="AB771" authorId="0" shapeId="0" xr:uid="{87281225-0316-4904-A7B6-EB5842C7B93F}">
      <text>
        <r>
          <rPr>
            <sz val="10"/>
            <color indexed="81"/>
            <rFont val="Lucida Console"/>
            <family val="3"/>
          </rPr>
          <t>Última movimentação no estoque em 08/2023 quantidade 15.</t>
        </r>
      </text>
    </comment>
    <comment ref="R772" authorId="0" shapeId="0" xr:uid="{463755C7-32FB-4360-B4CE-14D8C890524E}">
      <text>
        <r>
          <rPr>
            <sz val="10"/>
            <color indexed="81"/>
            <rFont val="Lucida Console"/>
            <family val="3"/>
          </rPr>
          <t>01.01.1901</t>
        </r>
      </text>
    </comment>
    <comment ref="Y772" authorId="0" shapeId="0" xr:uid="{6DEFBC2D-B4FA-4199-B4D9-00974F618B72}">
      <text>
        <r>
          <rPr>
            <sz val="10"/>
            <color indexed="81"/>
            <rFont val="Courier New"/>
            <family val="3"/>
          </rPr>
          <t>_x000D_
    DESCRIÇÃO DO CÁLCULO_x000D_
Código    : 20.760_x000D_
Corte     : 32_x000D_
-----------------------------_x000D_
Pendente  : 1_x000D_
22 / 10_2 : 12_x000D_
22 / 11_2 : _x000D_
22 / 12_2 : 7_x000D_
23 / 01_2 : 25_x000D_
23 / 02_2 : 16_x000D_
23 / 03_2 : 15_x000D_
23 / 04_2 : 9_x000D_
23 / 05_2 : _x000D_
23 / 06_2 : 5_x000D_
23 / 07_2 : 8_x000D_
23 / 08_2 : 32 (corte = 35)_x000D_
23 / 09_2 : 10_x000D_
_x000D_
    TOTAL : ( 140 )_x000D_
  DIVISOR : 12_x000D_
    MÉDIA : 11,67_x000D_
-----------------------------_x000D_
   Valores Desconsiderados_x000D_
-----------------------------_x000D_
23 / 08_2 : 3 (35)_x000D_
_x000D_
  TOTAL   : ( 3 )</t>
        </r>
      </text>
    </comment>
    <comment ref="AB772" authorId="0" shapeId="0" xr:uid="{413D9F2F-0A91-43DD-8C13-B6B7DCF9DB12}">
      <text>
        <r>
          <rPr>
            <sz val="10"/>
            <color indexed="81"/>
            <rFont val="Lucida Console"/>
            <family val="3"/>
          </rPr>
          <t>Última movimentação no estoque em 09/2023 quantidade 10.</t>
        </r>
      </text>
    </comment>
    <comment ref="R773" authorId="0" shapeId="0" xr:uid="{A92218D7-4C01-4D13-B35F-BF436643CC84}">
      <text>
        <r>
          <rPr>
            <sz val="10"/>
            <color indexed="81"/>
            <rFont val="Lucida Console"/>
            <family val="3"/>
          </rPr>
          <t>01.01.1901</t>
        </r>
      </text>
    </comment>
    <comment ref="Y773" authorId="0" shapeId="0" xr:uid="{F60C555B-4F09-4E99-BEDA-B0163F2DD40E}">
      <text>
        <r>
          <rPr>
            <sz val="10"/>
            <color indexed="81"/>
            <rFont val="Courier New"/>
            <family val="3"/>
          </rPr>
          <t>_x000D_
    DESCRIÇÃO DO CÁLCULO_x000D_
Código    : 69.229_x000D_
Corte     : 26_x000D_
-----------------------------_x000D_
Pendente  : _x000D_
22 / 10_2 : 9_x000D_
22 / 11_2 : 25_x000D_
22 / 12_2 : _x000D_
23 / 01_2 : _x000D_
23 / 02_2 : 3_x000D_
23 / 03_2 : _x000D_
23 / 04_2 : _x000D_
23 / 05_2 : _x000D_
23 / 06_2 : 1_x000D_
23 / 07_2 : 8_x000D_
23 / 08_2 : 26 (corte = 28)_x000D_
23 / 09_2 : _x000D_
_x000D_
    TOTAL : ( 72 )_x000D_
  DIVISOR : 12_x000D_
    MÉDIA : 6,00_x000D_
-----------------------------_x000D_
   Valores Desconsiderados_x000D_
-----------------------------_x000D_
23 / 08_2 : 2 (28)_x000D_
_x000D_
  TOTAL   : ( 2 )</t>
        </r>
      </text>
    </comment>
    <comment ref="AB773" authorId="0" shapeId="0" xr:uid="{C1A39EDB-3420-4707-8BCE-F06CF6A3D3DD}">
      <text>
        <r>
          <rPr>
            <sz val="10"/>
            <color indexed="81"/>
            <rFont val="Lucida Console"/>
            <family val="3"/>
          </rPr>
          <t>Última movimentação no estoque em 08/2023 quantidade 28.</t>
        </r>
      </text>
    </comment>
    <comment ref="R774" authorId="0" shapeId="0" xr:uid="{F34C39A4-07BA-4753-B298-BC38FFECAA36}">
      <text>
        <r>
          <rPr>
            <sz val="10"/>
            <color indexed="81"/>
            <rFont val="Lucida Console"/>
            <family val="3"/>
          </rPr>
          <t>01.01.1901</t>
        </r>
      </text>
    </comment>
    <comment ref="Y774" authorId="0" shapeId="0" xr:uid="{66C2CB6F-021F-4AB3-AD8F-21B3B27BAFD0}">
      <text>
        <r>
          <rPr>
            <sz val="10"/>
            <color indexed="81"/>
            <rFont val="Courier New"/>
            <family val="3"/>
          </rPr>
          <t>_x000D_
    DESCRIÇÃO DO CÁLCULO_x000D_
Código    : 20.763_x000D_
Corte     : 13_x000D_
-----------------------------_x000D_
Pendente  : _x000D_
22 / 10_2 : _x000D_
22 / 11_2 : 8_x000D_
22 / 12_2 : _x000D_
23 / 01_2 : _x000D_
23 / 02_2 : 1_x000D_
23 / 03_2 : 2_x000D_
23 / 04_2 : 1_x000D_
23 / 05_2 : _x000D_
23 / 06_2 : 6_x000D_
23 / 07_2 : 2_x000D_
23 / 08_2 : 13 (corte = 17)_x000D_
23 / 09_2 : _x000D_
_x000D_
    TOTAL : ( 33 )_x000D_
  DIVISOR : 12_x000D_
    MÉDIA : 2,75_x000D_
-----------------------------_x000D_
   Valores Desconsiderados_x000D_
-----------------------------_x000D_
23 / 08_2 : 4 (17)_x000D_
_x000D_
  TOTAL   : ( 4 )</t>
        </r>
      </text>
    </comment>
    <comment ref="AB774" authorId="0" shapeId="0" xr:uid="{9A99933B-83E2-4B86-808C-449E8617A8B2}">
      <text>
        <r>
          <rPr>
            <sz val="10"/>
            <color indexed="81"/>
            <rFont val="Lucida Console"/>
            <family val="3"/>
          </rPr>
          <t>Última movimentação no estoque em 08/2023 quantidade 17.</t>
        </r>
      </text>
    </comment>
    <comment ref="R775" authorId="0" shapeId="0" xr:uid="{1A2E434D-639B-4DC7-8EC9-8306273C8F6A}">
      <text>
        <r>
          <rPr>
            <sz val="10"/>
            <color indexed="81"/>
            <rFont val="Lucida Console"/>
            <family val="3"/>
          </rPr>
          <t>24.06.2021</t>
        </r>
      </text>
    </comment>
    <comment ref="Y775" authorId="0" shapeId="0" xr:uid="{E7DC728F-14DD-442B-AE68-47C6C79C62BA}">
      <text>
        <r>
          <rPr>
            <sz val="10"/>
            <color indexed="81"/>
            <rFont val="Courier New"/>
            <family val="3"/>
          </rPr>
          <t>_x000D_
    DESCRIÇÃO DO CÁLCULO_x000D_
Código    : 141.608_x000D_
Corte     : 14_x000D_
-----------------------------_x000D_
Pendente  : _x000D_
22 / 10_2 : _x000D_
22 / 11_2 : _x000D_
22 / 12_2 : _x000D_
23 / 01_2 : 4_x000D_
23 / 02_2 : _x000D_
23 / 03_2 : 1_x000D_
23 / 04_2 : _x000D_
23 / 05_2 : 3_x000D_
23 / 06_2 : _x000D_
23 / 07_2 : _x000D_
23 / 08_2 : 14 (corte = 21)_x000D_
23 / 09_2 : 4_x000D_
_x000D_
    TOTAL : ( 26 )_x000D_
  DIVISOR : 12_x000D_
    MÉDIA : 2,17_x000D_
-----------------------------_x000D_
   Valores Desconsiderados_x000D_
-----------------------------_x000D_
23 / 08_2 : 7 (21)_x000D_
_x000D_
  TOTAL   : ( 7 )</t>
        </r>
      </text>
    </comment>
    <comment ref="AB775" authorId="0" shapeId="0" xr:uid="{8120BC09-036C-46AA-A5B7-772D7771C9FE}">
      <text>
        <r>
          <rPr>
            <sz val="10"/>
            <color indexed="81"/>
            <rFont val="Lucida Console"/>
            <family val="3"/>
          </rPr>
          <t>Última movimentação no estoque em 09/2023 quantidade 4.</t>
        </r>
      </text>
    </comment>
    <comment ref="R776" authorId="0" shapeId="0" xr:uid="{E6EE33AF-F811-490F-BDC7-151C1CFF205C}">
      <text>
        <r>
          <rPr>
            <sz val="10"/>
            <color indexed="81"/>
            <rFont val="Lucida Console"/>
            <family val="3"/>
          </rPr>
          <t>01.01.1901</t>
        </r>
      </text>
    </comment>
    <comment ref="Y776" authorId="0" shapeId="0" xr:uid="{6961025A-6E2D-447B-811D-FF85EB92E21C}">
      <text>
        <r>
          <rPr>
            <sz val="10"/>
            <color indexed="81"/>
            <rFont val="Courier New"/>
            <family val="3"/>
          </rPr>
          <t>_x000D_
    DESCRIÇÃO DO CÁLCULO_x000D_
Código    : 57.900_x000D_
Corte     : 8_x000D_
-----------------------------_x000D_
Pendente  : 1_x000D_
22 / 10_2 : 3_x000D_
22 / 11_2 : 1_x000D_
22 / 12_2 : 8 (corte = 10)_x000D_
23 / 01_2 : 5_x000D_
23 / 02_2 : 5_x000D_
23 / 03_2 : 1_x000D_
23 / 04_2 : 3_x000D_
23 / 05_2 : _x000D_
23 / 06_2 : _x000D_
23 / 07_2 : _x000D_
23 / 08_2 : _x000D_
23 / 09_2 : _x000D_
_x000D_
    TOTAL : ( 27 )_x000D_
  DIVISOR : 12_x000D_
    MÉDIA : 2,25_x000D_
-----------------------------_x000D_
   Valores Desconsiderados_x000D_
-----------------------------_x000D_
22 / 12_2 : 2 (10)_x000D_
_x000D_
  TOTAL   : ( 2 )</t>
        </r>
      </text>
    </comment>
    <comment ref="AB776" authorId="0" shapeId="0" xr:uid="{DAAEB8B9-F62C-49D7-AD53-3346D425151F}">
      <text>
        <r>
          <rPr>
            <sz val="10"/>
            <color indexed="81"/>
            <rFont val="Lucida Console"/>
            <family val="3"/>
          </rPr>
          <t>Última movimentação no estoque em 04/2023 quantidade 3.</t>
        </r>
      </text>
    </comment>
    <comment ref="R777" authorId="0" shapeId="0" xr:uid="{9651FA99-6057-4F88-BF1D-F91194A13F4F}">
      <text>
        <r>
          <rPr>
            <sz val="10"/>
            <color indexed="81"/>
            <rFont val="Lucida Console"/>
            <family val="3"/>
          </rPr>
          <t>28.06.2021</t>
        </r>
      </text>
    </comment>
    <comment ref="Y777" authorId="0" shapeId="0" xr:uid="{739C9E85-AF98-4332-8212-48D9A5A439F7}">
      <text>
        <r>
          <rPr>
            <sz val="10"/>
            <color indexed="81"/>
            <rFont val="Courier New"/>
            <family val="3"/>
          </rPr>
          <t>_x000D_
    DESCRIÇÃO DO CÁLCULO_x000D_
Código    : 141.679_x000D_
Corte     : 12_x000D_
-----------------------------_x000D_
Pendente  : _x000D_
22 / 10_2 : _x000D_
22 / 11_2 : _x000D_
22 / 12_2 : 3_x000D_
23 / 01_2 : 8_x000D_
23 / 02_2 : _x000D_
23 / 03_2 : 12 (corte = 14)_x000D_
23 / 04_2 : 7_x000D_
23 / 05_2 : 3_x000D_
23 / 06_2 : 7_x000D_
23 / 07_2 : 3_x000D_
23 / 08_2 : 6_x000D_
23 / 09_2 : 2_x000D_
_x000D_
    TOTAL : ( 51 )_x000D_
  DIVISOR : 12_x000D_
    MÉDIA : 4,25_x000D_
-----------------------------_x000D_
   Valores Desconsiderados_x000D_
-----------------------------_x000D_
23 / 03_2 : 2 (14)_x000D_
_x000D_
  TOTAL   : ( 2 )</t>
        </r>
      </text>
    </comment>
    <comment ref="AB777" authorId="0" shapeId="0" xr:uid="{A9DED3E4-7BA1-45F8-91E5-456AC079C08D}">
      <text>
        <r>
          <rPr>
            <sz val="10"/>
            <color indexed="81"/>
            <rFont val="Lucida Console"/>
            <family val="3"/>
          </rPr>
          <t>Última movimentação no estoque em 09/2023 quantidade 2.</t>
        </r>
      </text>
    </comment>
    <comment ref="R778" authorId="0" shapeId="0" xr:uid="{6D766F92-BFD0-43E3-A3CE-1F03CCD72693}">
      <text>
        <r>
          <rPr>
            <sz val="10"/>
            <color indexed="81"/>
            <rFont val="Lucida Console"/>
            <family val="3"/>
          </rPr>
          <t>28.06.2021</t>
        </r>
      </text>
    </comment>
    <comment ref="Y778" authorId="0" shapeId="0" xr:uid="{550652C3-A897-4DAF-AA63-D568CE84E207}">
      <text>
        <r>
          <rPr>
            <sz val="10"/>
            <color indexed="81"/>
            <rFont val="Courier New"/>
            <family val="3"/>
          </rPr>
          <t>_x000D_
    DESCRIÇÃO DO CÁLCULO_x000D_
Código    : 141.680_x000D_
Corte     : 148_x000D_
-----------------------------_x000D_
Pendente  : _x000D_
22 / 10_2 : 71_x000D_
22 / 11_2 : 14_x000D_
22 / 12_2 : 4_x000D_
23 / 01_2 : 83_x000D_
23 / 02_2 : 42_x000D_
23 / 03_2 : 22_x000D_
23 / 04_2 : 31_x000D_
23 / 05_2 : 105_x000D_
23 / 06_2 : 72_x000D_
23 / 07_2 : 111_x000D_
23 / 08_2 : 139_x000D_
23 / 09_2 : 72_x000D_
_x000D_
    TOTAL : ( 766 )_x000D_
  DIVISOR : 12_x000D_
    MÉDIA : 63,83</t>
        </r>
      </text>
    </comment>
    <comment ref="AB778" authorId="0" shapeId="0" xr:uid="{E139C3E3-61B9-4B03-939C-16C840BEB139}">
      <text>
        <r>
          <rPr>
            <sz val="10"/>
            <color indexed="81"/>
            <rFont val="Lucida Console"/>
            <family val="3"/>
          </rPr>
          <t>Última movimentação no estoque em 09/2023 quantidade 72.</t>
        </r>
      </text>
    </comment>
    <comment ref="R779" authorId="0" shapeId="0" xr:uid="{EDEBD3C1-9C72-4653-8305-49E6ED30DE95}">
      <text>
        <r>
          <rPr>
            <sz val="10"/>
            <color indexed="81"/>
            <rFont val="Lucida Console"/>
            <family val="3"/>
          </rPr>
          <t>08.06.2021</t>
        </r>
      </text>
    </comment>
    <comment ref="Y779" authorId="0" shapeId="0" xr:uid="{DAEA8ADC-E186-411E-B7B4-49CF017F3BF7}">
      <text>
        <r>
          <rPr>
            <sz val="10"/>
            <color indexed="81"/>
            <rFont val="Courier New"/>
            <family val="3"/>
          </rPr>
          <t>_x000D_
    DESCRIÇÃO DO CÁLCULO_x000D_
Código    : 141.268_x000D_
Corte     : 150_x000D_
-----------------------------_x000D_
Pendente  : _x000D_
22 / 10_2 : 111_x000D_
22 / 11_2 : 77_x000D_
22 / 12_2 : 81_x000D_
23 / 01_2 : 150 (corte = 168)_x000D_
23 / 02_2 : 58_x000D_
23 / 03_2 : 60_x000D_
23 / 04_2 : 27_x000D_
23 / 05_2 : 44_x000D_
23 / 06_2 : 54_x000D_
23 / 07_2 : 82_x000D_
23 / 08_2 : 96_x000D_
23 / 09_2 : 74_x000D_
_x000D_
    TOTAL : ( 914 )_x000D_
  DIVISOR : 12_x000D_
    MÉDIA : 76,17_x000D_
-----------------------------_x000D_
   Valores Desconsiderados_x000D_
-----------------------------_x000D_
23 / 01_2 : 18 (168)_x000D_
_x000D_
  TOTAL   : ( 18 )</t>
        </r>
      </text>
    </comment>
    <comment ref="AB779" authorId="0" shapeId="0" xr:uid="{12F7D8C4-FDA8-439D-B015-A591B7DA6A34}">
      <text>
        <r>
          <rPr>
            <sz val="10"/>
            <color indexed="81"/>
            <rFont val="Lucida Console"/>
            <family val="3"/>
          </rPr>
          <t>Última movimentação no estoque em 09/2023 quantidade 74.</t>
        </r>
      </text>
    </comment>
    <comment ref="R780" authorId="0" shapeId="0" xr:uid="{E4D8FAEF-8188-443D-B0E9-AEB13541A646}">
      <text>
        <r>
          <rPr>
            <sz val="10"/>
            <color indexed="81"/>
            <rFont val="Lucida Console"/>
            <family val="3"/>
          </rPr>
          <t>28.06.2021</t>
        </r>
      </text>
    </comment>
    <comment ref="Y780" authorId="0" shapeId="0" xr:uid="{1E30EFE7-6FFA-449C-B612-F855520B874C}">
      <text>
        <r>
          <rPr>
            <sz val="10"/>
            <color indexed="81"/>
            <rFont val="Courier New"/>
            <family val="3"/>
          </rPr>
          <t>_x000D_
    DESCRIÇÃO DO CÁLCULO_x000D_
Código    : 141.681_x000D_
Corte     : 7_x000D_
-----------------------------_x000D_
Pendente  : _x000D_
22 / 10_2 : 1_x000D_
22 / 11_2 : _x000D_
22 / 12_2 : _x000D_
23 / 01_2 : 1_x000D_
23 / 02_2 : _x000D_
23 / 03_2 : 5_x000D_
23 / 04_2 : 4_x000D_
23 / 05_2 : _x000D_
23 / 06_2 : 7 (corte = 8)_x000D_
23 / 07_2 : 1_x000D_
23 / 08_2 : 6_x000D_
23 / 09_2 : _x000D_
_x000D_
    TOTAL : ( 25 )_x000D_
  DIVISOR : 12_x000D_
    MÉDIA : 2,08_x000D_
-----------------------------_x000D_
   Valores Desconsiderados_x000D_
-----------------------------_x000D_
23 / 06_2 : 1 (8)_x000D_
_x000D_
  TOTAL   : ( 1 )</t>
        </r>
      </text>
    </comment>
    <comment ref="AB780" authorId="0" shapeId="0" xr:uid="{0A1303C8-405E-491A-9271-6BF6CC622BEB}">
      <text>
        <r>
          <rPr>
            <sz val="10"/>
            <color indexed="81"/>
            <rFont val="Lucida Console"/>
            <family val="3"/>
          </rPr>
          <t>Última movimentação no estoque em 08/2023 quantidade 6.</t>
        </r>
      </text>
    </comment>
    <comment ref="R781" authorId="0" shapeId="0" xr:uid="{3A7566B2-B0F1-465D-900C-E7CFF8CBF628}">
      <text>
        <r>
          <rPr>
            <sz val="10"/>
            <color indexed="81"/>
            <rFont val="Lucida Console"/>
            <family val="3"/>
          </rPr>
          <t>08.06.2021</t>
        </r>
      </text>
    </comment>
    <comment ref="Y781" authorId="0" shapeId="0" xr:uid="{7295D2C3-067E-4E2D-AE08-A89F6ACA0DBF}">
      <text>
        <r>
          <rPr>
            <sz val="10"/>
            <color indexed="81"/>
            <rFont val="Courier New"/>
            <family val="3"/>
          </rPr>
          <t>_x000D_
    DESCRIÇÃO DO CÁLCULO_x000D_
Código    : 141.265_x000D_
Corte     : 21_x000D_
-----------------------------_x000D_
Pendente  : _x000D_
22 / 10_2 : 11_x000D_
22 / 11_2 : _x000D_
22 / 12_2 : _x000D_
23 / 01_2 : 5_x000D_
23 / 02_2 : 12_x000D_
23 / 03_2 : 11_x000D_
23 / 04_2 : 5_x000D_
23 / 05_2 : 18_x000D_
23 / 06_2 : 20_x000D_
23 / 07_2 : 9_x000D_
23 / 08_2 : _x000D_
23 / 09_2 : 2_x000D_
_x000D_
    TOTAL : ( 93 )_x000D_
  DIVISOR : 12_x000D_
    MÉDIA : 7,75</t>
        </r>
      </text>
    </comment>
    <comment ref="AB781" authorId="0" shapeId="0" xr:uid="{1226CC3B-2FC6-4946-9B50-C8278E46B67E}">
      <text>
        <r>
          <rPr>
            <sz val="10"/>
            <color indexed="81"/>
            <rFont val="Lucida Console"/>
            <family val="3"/>
          </rPr>
          <t>Última movimentação no estoque em 09/2023 quantidade 2.</t>
        </r>
      </text>
    </comment>
    <comment ref="R782" authorId="0" shapeId="0" xr:uid="{EAE4DD21-6D6C-49BD-9023-C9F882E1073D}">
      <text>
        <r>
          <rPr>
            <sz val="10"/>
            <color indexed="81"/>
            <rFont val="Lucida Console"/>
            <family val="3"/>
          </rPr>
          <t>08.06.2021</t>
        </r>
      </text>
    </comment>
    <comment ref="Y782" authorId="0" shapeId="0" xr:uid="{46608F08-152D-4AF5-B6C7-7917577ED3BB}">
      <text>
        <r>
          <rPr>
            <sz val="10"/>
            <color indexed="81"/>
            <rFont val="Courier New"/>
            <family val="3"/>
          </rPr>
          <t>_x000D_
    DESCRIÇÃO DO CÁLCULO_x000D_
Código    : 141.266_x000D_
Corte     : 19_x000D_
-----------------------------_x000D_
Pendente  : _x000D_
22 / 10_2 : 2_x000D_
22 / 11_2 : 1_x000D_
22 / 12_2 : _x000D_
23 / 01_2 : _x000D_
23 / 02_2 : _x000D_
23 / 03_2 : 19 (corte = 22)_x000D_
23 / 04_2 : 6_x000D_
23 / 05_2 : 3_x000D_
23 / 06_2 : 8_x000D_
23 / 07_2 : 3_x000D_
23 / 08_2 : 6_x000D_
23 / 09_2 : 16_x000D_
_x000D_
    TOTAL : ( 64 )_x000D_
  DIVISOR : 12_x000D_
    MÉDIA : 5,33_x000D_
-----------------------------_x000D_
   Valores Desconsiderados_x000D_
-----------------------------_x000D_
23 / 03_2 : 3 (22)_x000D_
_x000D_
  TOTAL   : ( 3 )</t>
        </r>
      </text>
    </comment>
    <comment ref="AB782" authorId="0" shapeId="0" xr:uid="{1C39EFDF-70A0-4E81-8935-F619A9549BAD}">
      <text>
        <r>
          <rPr>
            <sz val="10"/>
            <color indexed="81"/>
            <rFont val="Lucida Console"/>
            <family val="3"/>
          </rPr>
          <t>Última movimentação no estoque em 09/2023 quantidade 16.</t>
        </r>
      </text>
    </comment>
    <comment ref="R783" authorId="0" shapeId="0" xr:uid="{A06F617C-04AD-424E-9593-C8527630B8F0}">
      <text>
        <r>
          <rPr>
            <sz val="10"/>
            <color indexed="81"/>
            <rFont val="Lucida Console"/>
            <family val="3"/>
          </rPr>
          <t>30.05.2008</t>
        </r>
      </text>
    </comment>
    <comment ref="Y783" authorId="0" shapeId="0" xr:uid="{2B27000E-D3D6-44E3-B7F2-F94DE172DE86}">
      <text>
        <r>
          <rPr>
            <sz val="10"/>
            <color indexed="81"/>
            <rFont val="Courier New"/>
            <family val="3"/>
          </rPr>
          <t>_x000D_
    DESCRIÇÃO DO CÁLCULO_x000D_
Código    : 106.697_x000D_
Corte     : 1.130_x000D_
-----------------------------_x000D_
Pendente  : 2_x000D_
22 / 10_2 : 477_x000D_
22 / 11_2 : 395_x000D_
22 / 12_2 : 320_x000D_
23 / 01_2 : 88_x000D_
23 / 02_2 : 327_x000D_
23 / 03_2 : 1.130 (corte = 1483)_x000D_
23 / 04_2 : 263_x000D_
23 / 05_2 : 337_x000D_
23 / 06_2 : 348_x000D_
23 / 07_2 : 310_x000D_
23 / 08_2 : 369_x000D_
23 / 09_2 : 417_x000D_
_x000D_
    TOTAL : ( 4.783 )_x000D_
  DIVISOR : 12_x000D_
    MÉDIA : 398,58_x000D_
-----------------------------_x000D_
   Valores Desconsiderados_x000D_
-----------------------------_x000D_
23 / 03_2 : 353 (1.483)_x000D_
_x000D_
  TOTAL   : ( 353 )</t>
        </r>
      </text>
    </comment>
    <comment ref="AB783" authorId="0" shapeId="0" xr:uid="{4ABE3B67-F7D4-44B4-9242-122ADEB04169}">
      <text>
        <r>
          <rPr>
            <sz val="10"/>
            <color indexed="81"/>
            <rFont val="Lucida Console"/>
            <family val="3"/>
          </rPr>
          <t>Última movimentação no estoque em 09/2023 quantidade 417.</t>
        </r>
      </text>
    </comment>
    <comment ref="R784" authorId="0" shapeId="0" xr:uid="{7F68449C-96BE-4E7B-85DE-43950E9351D5}">
      <text>
        <r>
          <rPr>
            <sz val="10"/>
            <color indexed="81"/>
            <rFont val="Lucida Console"/>
            <family val="3"/>
          </rPr>
          <t>27.04.2004</t>
        </r>
      </text>
    </comment>
    <comment ref="Y784" authorId="0" shapeId="0" xr:uid="{F2503750-A01F-4915-993E-AAAFC8239722}">
      <text>
        <r>
          <rPr>
            <sz val="10"/>
            <color indexed="81"/>
            <rFont val="Courier New"/>
            <family val="3"/>
          </rPr>
          <t>_x000D_
    DESCRIÇÃO DO CÁLCULO_x000D_
Código    : 78.641_x000D_
Corte     : 1.072_x000D_
-----------------------------_x000D_
Pendente  : 16_x000D_
22 / 10_2 : 429_x000D_
22 / 11_2 : 360_x000D_
22 / 12_2 : 331_x000D_
23 / 01_2 : 88_x000D_
23 / 02_2 : 262_x000D_
23 / 03_2 : 1.072 (corte = 1431)_x000D_
23 / 04_2 : 242_x000D_
23 / 05_2 : 334_x000D_
23 / 06_2 : 292_x000D_
23 / 07_2 : 230_x000D_
23 / 08_2 : 328_x000D_
23 / 09_2 : 351_x000D_
_x000D_
    TOTAL : ( 4.335 )_x000D_
  DIVISOR : 12_x000D_
    MÉDIA : 361,25_x000D_
-----------------------------_x000D_
   Valores Desconsiderados_x000D_
-----------------------------_x000D_
23 / 03_2 : 359 (1.431)_x000D_
_x000D_
  TOTAL   : ( 359 )</t>
        </r>
      </text>
    </comment>
    <comment ref="AB784" authorId="0" shapeId="0" xr:uid="{F230723A-A9EF-49EB-A371-466783CDAF65}">
      <text>
        <r>
          <rPr>
            <sz val="10"/>
            <color indexed="81"/>
            <rFont val="Lucida Console"/>
            <family val="3"/>
          </rPr>
          <t>Última movimentação no estoque em 09/2023 quantidade 351.</t>
        </r>
      </text>
    </comment>
    <comment ref="R785" authorId="0" shapeId="0" xr:uid="{E2336BBD-6716-4900-9208-2305C93F45FD}">
      <text>
        <r>
          <rPr>
            <sz val="10"/>
            <color indexed="81"/>
            <rFont val="Lucida Console"/>
            <family val="3"/>
          </rPr>
          <t>27.04.2004</t>
        </r>
      </text>
    </comment>
    <comment ref="Y785" authorId="0" shapeId="0" xr:uid="{F5301043-4E8F-4C54-AEA8-B9DE66B28183}">
      <text>
        <r>
          <rPr>
            <sz val="10"/>
            <color indexed="81"/>
            <rFont val="Courier New"/>
            <family val="3"/>
          </rPr>
          <t>_x000D_
    DESCRIÇÃO DO CÁLCULO_x000D_
Código    : 78.642_x000D_
Corte     : 1.040_x000D_
-----------------------------_x000D_
Pendente  : 2_x000D_
22 / 10_2 : 383_x000D_
22 / 11_2 : 294_x000D_
22 / 12_2 : 272_x000D_
23 / 01_2 : 99_x000D_
23 / 02_2 : 262_x000D_
23 / 03_2 : 1.040 (corte = 1401)_x000D_
23 / 04_2 : 250_x000D_
23 / 05_2 : 293_x000D_
23 / 06_2 : 309_x000D_
23 / 07_2 : 218_x000D_
23 / 08_2 : 313_x000D_
23 / 09_2 : 364_x000D_
_x000D_
    TOTAL : ( 4.099 )_x000D_
  DIVISOR : 12_x000D_
    MÉDIA : 341,58_x000D_
-----------------------------_x000D_
   Valores Desconsiderados_x000D_
-----------------------------_x000D_
23 / 03_2 : 361 (1.401)_x000D_
_x000D_
  TOTAL   : ( 361 )</t>
        </r>
      </text>
    </comment>
    <comment ref="AB785" authorId="0" shapeId="0" xr:uid="{6F6A94EB-243D-4F6E-86E7-93764BEB8CE9}">
      <text>
        <r>
          <rPr>
            <sz val="10"/>
            <color indexed="81"/>
            <rFont val="Lucida Console"/>
            <family val="3"/>
          </rPr>
          <t>Última movimentação no estoque em 09/2023 quantidade 364.</t>
        </r>
      </text>
    </comment>
    <comment ref="R786" authorId="0" shapeId="0" xr:uid="{56BD232A-1CA8-4751-B591-43215ADEE356}">
      <text>
        <r>
          <rPr>
            <sz val="10"/>
            <color indexed="81"/>
            <rFont val="Lucida Console"/>
            <family val="3"/>
          </rPr>
          <t>27.04.2004</t>
        </r>
      </text>
    </comment>
    <comment ref="Y786" authorId="0" shapeId="0" xr:uid="{AF38FBE4-DA70-43F9-820A-3A3C1DEBDAF1}">
      <text>
        <r>
          <rPr>
            <sz val="10"/>
            <color indexed="81"/>
            <rFont val="Courier New"/>
            <family val="3"/>
          </rPr>
          <t>_x000D_
    DESCRIÇÃO DO CÁLCULO_x000D_
Código    : 78.643_x000D_
Corte     : 1.127_x000D_
-----------------------------_x000D_
Pendente  : 2_x000D_
22 / 10_2 : 487_x000D_
22 / 11_2 : 385_x000D_
22 / 12_2 : 311_x000D_
23 / 01_2 : 93_x000D_
23 / 02_2 : 322_x000D_
23 / 03_2 : 1.127 (corte = 1486)_x000D_
23 / 04_2 : 289_x000D_
23 / 05_2 : 306_x000D_
23 / 06_2 : 348_x000D_
23 / 07_2 : 307_x000D_
23 / 08_2 : 327_x000D_
23 / 09_2 : 411_x000D_
_x000D_
    TOTAL : ( 4.715 )_x000D_
  DIVISOR : 12_x000D_
    MÉDIA : 392,92_x000D_
-----------------------------_x000D_
   Valores Desconsiderados_x000D_
-----------------------------_x000D_
23 / 03_2 : 359 (1.486)_x000D_
_x000D_
  TOTAL   : ( 359 )</t>
        </r>
      </text>
    </comment>
    <comment ref="AB786" authorId="0" shapeId="0" xr:uid="{45C1AC01-8546-4E44-8AD3-2ABAC6E52A8C}">
      <text>
        <r>
          <rPr>
            <sz val="10"/>
            <color indexed="81"/>
            <rFont val="Lucida Console"/>
            <family val="3"/>
          </rPr>
          <t>Última movimentação no estoque em 09/2023 quantidade 411.</t>
        </r>
      </text>
    </comment>
    <comment ref="R787" authorId="0" shapeId="0" xr:uid="{BA19B542-469D-4ADF-AB68-6BF3E0FEF8FA}">
      <text>
        <r>
          <rPr>
            <sz val="10"/>
            <color indexed="81"/>
            <rFont val="Lucida Console"/>
            <family val="3"/>
          </rPr>
          <t>27.04.2004</t>
        </r>
      </text>
    </comment>
    <comment ref="Y787" authorId="0" shapeId="0" xr:uid="{2D9EDA99-6B26-4AD7-B92A-44B6D82D30B7}">
      <text>
        <r>
          <rPr>
            <sz val="10"/>
            <color indexed="81"/>
            <rFont val="Courier New"/>
            <family val="3"/>
          </rPr>
          <t>_x000D_
    DESCRIÇÃO DO CÁLCULO_x000D_
Código    : 78.646_x000D_
Corte     : 1.184_x000D_
-----------------------------_x000D_
Pendente  : 15_x000D_
22 / 10_2 : 501_x000D_
22 / 11_2 : 488_x000D_
22 / 12_2 : 363_x000D_
23 / 01_2 : 97_x000D_
23 / 02_2 : 313_x000D_
23 / 03_2 : 1.184 (corte = 1514)_x000D_
23 / 04_2 : 275_x000D_
23 / 05_2 : 322_x000D_
23 / 06_2 : 358_x000D_
23 / 07_2 : 315_x000D_
23 / 08_2 : 382_x000D_
23 / 09_2 : 594_x000D_
_x000D_
    TOTAL : ( 5.207 )_x000D_
  DIVISOR : 12_x000D_
    MÉDIA : 433,92_x000D_
-----------------------------_x000D_
   Valores Desconsiderados_x000D_
-----------------------------_x000D_
23 / 03_2 : 330 (1.514)_x000D_
_x000D_
  TOTAL   : ( 330 )</t>
        </r>
      </text>
    </comment>
    <comment ref="AB787" authorId="0" shapeId="0" xr:uid="{8723AE99-E3E9-4ECD-B9FC-EF90E1C55DE4}">
      <text>
        <r>
          <rPr>
            <sz val="10"/>
            <color indexed="81"/>
            <rFont val="Lucida Console"/>
            <family val="3"/>
          </rPr>
          <t>Última movimentação no estoque em 09/2023 quantidade 594.</t>
        </r>
      </text>
    </comment>
    <comment ref="R788" authorId="0" shapeId="0" xr:uid="{2AAAEE7F-6D7F-495A-AE6A-FB508F7AB88C}">
      <text>
        <r>
          <rPr>
            <sz val="10"/>
            <color indexed="81"/>
            <rFont val="Lucida Console"/>
            <family val="3"/>
          </rPr>
          <t>28.07.2004</t>
        </r>
      </text>
    </comment>
    <comment ref="Y788" authorId="0" shapeId="0" xr:uid="{CE1A4761-1C90-4513-B7F8-9F83DC56CB67}">
      <text>
        <r>
          <rPr>
            <sz val="10"/>
            <color indexed="81"/>
            <rFont val="Courier New"/>
            <family val="3"/>
          </rPr>
          <t>_x000D_
    DESCRIÇÃO DO CÁLCULO_x000D_
Código    : 80.874_x000D_
Corte     : 1.161_x000D_
-----------------------------_x000D_
Pendente  : 2_x000D_
22 / 10_2 : 492_x000D_
22 / 11_2 : 414_x000D_
22 / 12_2 : 363_x000D_
23 / 01_2 : 95_x000D_
23 / 02_2 : 343_x000D_
23 / 03_2 : 1.161 (corte = 1513)_x000D_
23 / 04_2 : 304_x000D_
23 / 05_2 : 355_x000D_
23 / 06_2 : 363_x000D_
23 / 07_2 : 336_x000D_
23 / 08_2 : 382_x000D_
23 / 09_2 : 436_x000D_
_x000D_
    TOTAL : ( 5.046 )_x000D_
  DIVISOR : 12_x000D_
    MÉDIA : 420,50_x000D_
-----------------------------_x000D_
   Valores Desconsiderados_x000D_
-----------------------------_x000D_
23 / 03_2 : 352 (1.513)_x000D_
_x000D_
  TOTAL   : ( 352 )</t>
        </r>
      </text>
    </comment>
    <comment ref="AB788" authorId="0" shapeId="0" xr:uid="{86441F6C-FB54-4698-ABA2-695C493D99DB}">
      <text>
        <r>
          <rPr>
            <sz val="10"/>
            <color indexed="81"/>
            <rFont val="Lucida Console"/>
            <family val="3"/>
          </rPr>
          <t>Última movimentação no estoque em 09/2023 quantidade 436.</t>
        </r>
      </text>
    </comment>
    <comment ref="R789" authorId="0" shapeId="0" xr:uid="{FDEB2590-FC8A-4A40-BECA-78590411BD1C}">
      <text>
        <r>
          <rPr>
            <sz val="10"/>
            <color indexed="81"/>
            <rFont val="Lucida Console"/>
            <family val="3"/>
          </rPr>
          <t>28.07.2004</t>
        </r>
      </text>
    </comment>
    <comment ref="Y789" authorId="0" shapeId="0" xr:uid="{95B7B498-059A-42D2-8BBB-9CDAD59EE546}">
      <text>
        <r>
          <rPr>
            <sz val="10"/>
            <color indexed="81"/>
            <rFont val="Courier New"/>
            <family val="3"/>
          </rPr>
          <t>_x000D_
    DESCRIÇÃO DO CÁLCULO_x000D_
Código    : 80.872_x000D_
Corte     : 1.107_x000D_
-----------------------------_x000D_
Pendente  : 332_x000D_
22 / 10_2 : 420_x000D_
22 / 11_2 : 369_x000D_
22 / 12_2 : 314_x000D_
23 / 01_2 : 76_x000D_
23 / 02_2 : 334_x000D_
23 / 03_2 : 1.107 (corte = 1474)_x000D_
23 / 04_2 : 284_x000D_
23 / 05_2 : 328_x000D_
23 / 06_2 : 295_x000D_
23 / 07_2 : 11_x000D_
23 / 08_2 : _x000D_
23 / 09_2 : _x000D_
_x000D_
    TOTAL : ( 3.870 )_x000D_
  DIVISOR : 12_x000D_
    MÉDIA : 322,50_x000D_
-----------------------------_x000D_
   Valores Desconsiderados_x000D_
-----------------------------_x000D_
23 / 03_2 : 367 (1.474)_x000D_
_x000D_
  TOTAL   : ( 367 )</t>
        </r>
      </text>
    </comment>
    <comment ref="AB789" authorId="0" shapeId="0" xr:uid="{C3982758-7C33-46E1-B6A2-C3BBEC1ECE2C}">
      <text>
        <r>
          <rPr>
            <sz val="10"/>
            <color indexed="81"/>
            <rFont val="Lucida Console"/>
            <family val="3"/>
          </rPr>
          <t>Última movimentação no estoque em 07/2023 quantidade 11.</t>
        </r>
      </text>
    </comment>
    <comment ref="R790" authorId="0" shapeId="0" xr:uid="{DCC72D93-9B83-46D2-97BE-D114D93D7B74}">
      <text>
        <r>
          <rPr>
            <sz val="10"/>
            <color indexed="81"/>
            <rFont val="Lucida Console"/>
            <family val="3"/>
          </rPr>
          <t>28.06.2021</t>
        </r>
      </text>
    </comment>
    <comment ref="Y790" authorId="0" shapeId="0" xr:uid="{28A6B9BD-19AC-4323-B96F-F09E2CD9DDFB}">
      <text>
        <r>
          <rPr>
            <sz val="10"/>
            <color indexed="81"/>
            <rFont val="Courier New"/>
            <family val="3"/>
          </rPr>
          <t>_x000D_
    DESCRIÇÃO DO CÁLCULO_x000D_
Código    : 141.786_x000D_
Corte     : 7_x000D_
-----------------------------_x000D_
Pendente  : _x000D_
22 / 10_2 : 1_x000D_
22 / 11_2 : 7 (corte = 8)_x000D_
22 / 12_2 : 2_x000D_
23 / 01_2 : 4_x000D_
23 / 02_2 : 4_x000D_
23 / 03_2 : 4_x000D_
23 / 04_2 : _x000D_
23 / 05_2 : 2_x000D_
23 / 06_2 : _x000D_
23 / 07_2 : 2_x000D_
23 / 08_2 : _x000D_
23 / 09_2 : 2_x000D_
_x000D_
    TOTAL : ( 28 )_x000D_
  DIVISOR : 12_x000D_
    MÉDIA : 2,33_x000D_
-----------------------------_x000D_
   Valores Desconsiderados_x000D_
-----------------------------_x000D_
22 / 11_2 : 1 (8)_x000D_
_x000D_
  TOTAL   : ( 1 )</t>
        </r>
      </text>
    </comment>
    <comment ref="AB790" authorId="0" shapeId="0" xr:uid="{AA6A48A1-0DED-42AF-82FF-F56A48E0BA55}">
      <text>
        <r>
          <rPr>
            <sz val="10"/>
            <color indexed="81"/>
            <rFont val="Lucida Console"/>
            <family val="3"/>
          </rPr>
          <t>Última movimentação no estoque em 09/2023 quantidade 2.</t>
        </r>
      </text>
    </comment>
    <comment ref="R791" authorId="0" shapeId="0" xr:uid="{A4EB3BB7-0483-416E-8D0D-165D1DD3DE15}">
      <text>
        <r>
          <rPr>
            <sz val="10"/>
            <color indexed="81"/>
            <rFont val="Lucida Console"/>
            <family val="3"/>
          </rPr>
          <t>28.06.2021</t>
        </r>
      </text>
    </comment>
    <comment ref="Y791" authorId="0" shapeId="0" xr:uid="{2E697098-EBD0-44C0-8FC5-1C043EECCF1C}">
      <text>
        <r>
          <rPr>
            <sz val="10"/>
            <color indexed="81"/>
            <rFont val="Courier New"/>
            <family val="3"/>
          </rPr>
          <t>_x000D_
    DESCRIÇÃO DO CÁLCULO_x000D_
Código    : 141.787_x000D_
Corte     : 62_x000D_
-----------------------------_x000D_
Pendente  : _x000D_
22 / 10_2 : 11_x000D_
22 / 11_2 : 16_x000D_
22 / 12_2 : 1_x000D_
23 / 01_2 : 39_x000D_
23 / 02_2 : 62 (corte = 72)_x000D_
23 / 03_2 : 29_x000D_
23 / 04_2 : 22_x000D_
23 / 05_2 : 28_x000D_
23 / 06_2 : 32_x000D_
23 / 07_2 : 28_x000D_
23 / 08_2 : 22_x000D_
23 / 09_2 : 33_x000D_
_x000D_
    TOTAL : ( 323 )_x000D_
  DIVISOR : 12_x000D_
    MÉDIA : 26,92_x000D_
-----------------------------_x000D_
   Valores Desconsiderados_x000D_
-----------------------------_x000D_
23 / 02_2 : 10 (72)_x000D_
_x000D_
  TOTAL   : ( 10 )</t>
        </r>
      </text>
    </comment>
    <comment ref="AB791" authorId="0" shapeId="0" xr:uid="{51A32BE6-542F-4319-8BFC-D88C9691B49D}">
      <text>
        <r>
          <rPr>
            <sz val="10"/>
            <color indexed="81"/>
            <rFont val="Lucida Console"/>
            <family val="3"/>
          </rPr>
          <t>Última movimentação no estoque em 09/2023 quantidade 33.</t>
        </r>
      </text>
    </comment>
    <comment ref="R792" authorId="0" shapeId="0" xr:uid="{917921D2-4E3D-45B6-9101-79F48985881B}">
      <text>
        <r>
          <rPr>
            <sz val="10"/>
            <color indexed="81"/>
            <rFont val="Lucida Console"/>
            <family val="3"/>
          </rPr>
          <t>24.06.2021</t>
        </r>
      </text>
    </comment>
    <comment ref="Y792" authorId="0" shapeId="0" xr:uid="{65EE629D-2033-43B6-B714-C4773EC998E0}">
      <text>
        <r>
          <rPr>
            <sz val="10"/>
            <color indexed="81"/>
            <rFont val="Courier New"/>
            <family val="3"/>
          </rPr>
          <t>_x000D_
    DESCRIÇÃO DO CÁLCULO_x000D_
Código    : 141.615_x000D_
Corte     : 19_x000D_
-----------------------------_x000D_
Pendente  : _x000D_
22 / 10_2 : 3_x000D_
22 / 11_2 : 2_x000D_
22 / 12_2 : 2_x000D_
23 / 01_2 : 12_x000D_
23 / 02_2 : 2_x000D_
23 / 03_2 : 4_x000D_
23 / 04_2 : 1_x000D_
23 / 05_2 : 1_x000D_
23 / 06_2 : 2_x000D_
23 / 07_2 : _x000D_
23 / 08_2 : 10_x000D_
23 / 09_2 : 19 (corte = 24)_x000D_
_x000D_
    TOTAL : ( 58 )_x000D_
  DIVISOR : 12_x000D_
    MÉDIA : 4,83_x000D_
-----------------------------_x000D_
   Valores Desconsiderados_x000D_
-----------------------------_x000D_
23 / 09_2 : 5 (24)_x000D_
_x000D_
  TOTAL   : ( 5 )</t>
        </r>
      </text>
    </comment>
    <comment ref="AB792" authorId="0" shapeId="0" xr:uid="{10B5CC8C-37B2-400A-9DF3-1A3F0CF2CB65}">
      <text>
        <r>
          <rPr>
            <sz val="10"/>
            <color indexed="81"/>
            <rFont val="Lucida Console"/>
            <family val="3"/>
          </rPr>
          <t>Última movimentação no estoque em 09/2023 quantidade 24.</t>
        </r>
      </text>
    </comment>
    <comment ref="R793" authorId="0" shapeId="0" xr:uid="{9DD09791-A4BC-4A2F-AAEA-C0333F064517}">
      <text>
        <r>
          <rPr>
            <sz val="10"/>
            <color indexed="81"/>
            <rFont val="Lucida Console"/>
            <family val="3"/>
          </rPr>
          <t>01.01.1901</t>
        </r>
      </text>
    </comment>
    <comment ref="Y793" authorId="0" shapeId="0" xr:uid="{7B4903F6-44CA-4DB8-844E-24EFB561EF20}">
      <text>
        <r>
          <rPr>
            <sz val="10"/>
            <color indexed="81"/>
            <rFont val="Courier New"/>
            <family val="3"/>
          </rPr>
          <t>_x000D_
    DESCRIÇÃO DO CÁLCULO_x000D_
Código    : 12.877_x000D_
Corte     : 80_x000D_
-----------------------------_x000D_
Pendente  : _x000D_
22 / 10_2 : 64_x000D_
22 / 11_2 : 53_x000D_
22 / 12_2 : 51_x000D_
23 / 01_2 : 53_x000D_
23 / 02_2 : 8_x000D_
23 / 03_2 : 56_x000D_
23 / 04_2 : 14_x000D_
23 / 05_2 : 20_x000D_
23 / 06_2 : 49_x000D_
23 / 07_2 : 26_x000D_
23 / 08_2 : _x000D_
23 / 09_2 : _x000D_
_x000D_
    TOTAL : ( 394 )_x000D_
  DIVISOR : 12_x000D_
    MÉDIA : 32,83</t>
        </r>
      </text>
    </comment>
    <comment ref="AB793" authorId="0" shapeId="0" xr:uid="{403F7E0B-BB6F-4F85-B5DB-D228EDEC57D9}">
      <text>
        <r>
          <rPr>
            <sz val="10"/>
            <color indexed="81"/>
            <rFont val="Lucida Console"/>
            <family val="3"/>
          </rPr>
          <t>Última movimentação no estoque em 07/2023 quantidade 26.</t>
        </r>
      </text>
    </comment>
    <comment ref="R794" authorId="0" shapeId="0" xr:uid="{0040DABF-4AA2-43DA-9190-0119BF2966BD}">
      <text>
        <r>
          <rPr>
            <sz val="10"/>
            <color indexed="81"/>
            <rFont val="Lucida Console"/>
            <family val="3"/>
          </rPr>
          <t>01.01.1901</t>
        </r>
      </text>
    </comment>
    <comment ref="Y794" authorId="0" shapeId="0" xr:uid="{B472EC2F-46A2-4AB4-B5C0-14C4DD8E3930}">
      <text>
        <r>
          <rPr>
            <sz val="10"/>
            <color indexed="81"/>
            <rFont val="Courier New"/>
            <family val="3"/>
          </rPr>
          <t>_x000D_
    DESCRIÇÃO DO CÁLCULO_x000D_
Código    : 64.821_x000D_
Corte     : 2_x000D_
-----------------------------_x000D_
Pendente  : _x000D_
22 / 10_2 : _x000D_
22 / 11_2 : _x000D_
22 / 12_2 : _x000D_
23 / 01_2 : _x000D_
23 / 02_2 : _x000D_
23 / 03_2 : 1_x000D_
23 / 04_2 : _x000D_
23 / 05_2 : _x000D_
23 / 06_2 : 2_x000D_
23 / 07_2 : _x000D_
23 / 08_2 : 2_x000D_
23 / 09_2 : _x000D_
_x000D_
    TOTAL : ( 5 )_x000D_
  DIVISOR : 12_x000D_
    MÉDIA : ,42</t>
        </r>
      </text>
    </comment>
    <comment ref="AB794" authorId="0" shapeId="0" xr:uid="{7A54D7B9-E9AC-4B0F-9C89-386F150C9F9F}">
      <text>
        <r>
          <rPr>
            <sz val="10"/>
            <color indexed="81"/>
            <rFont val="Lucida Console"/>
            <family val="3"/>
          </rPr>
          <t>Última movimentação no estoque em 08/2023 quantidade 2.</t>
        </r>
      </text>
    </comment>
    <comment ref="R795" authorId="0" shapeId="0" xr:uid="{011F6BC2-E5A7-4E69-A2DD-FCA629BF0632}">
      <text>
        <r>
          <rPr>
            <sz val="10"/>
            <color indexed="81"/>
            <rFont val="Lucida Console"/>
            <family val="3"/>
          </rPr>
          <t>14.08.2015</t>
        </r>
      </text>
    </comment>
    <comment ref="Y795" authorId="0" shapeId="0" xr:uid="{AC91C5BC-E16C-4856-9DA5-5F18042D8521}">
      <text>
        <r>
          <rPr>
            <sz val="10"/>
            <color indexed="81"/>
            <rFont val="Courier New"/>
            <family val="3"/>
          </rPr>
          <t>_x000D_
    DESCRIÇÃO DO CÁLCULO_x000D_
Código    : 130.695_x000D_
Corte     : 961_x000D_
-----------------------------_x000D_
Pendente  : 29_x000D_
22 / 10_2 : 289_x000D_
22 / 11_2 : 321_x000D_
22 / 12_2 : 961 (corte = 1244)_x000D_
23 / 01_2 : 127_x000D_
23 / 02_2 : 274_x000D_
23 / 03_2 : 420_x000D_
23 / 04_2 : 335_x000D_
23 / 05_2 : 353_x000D_
23 / 06_2 : 334_x000D_
23 / 07_2 : 255_x000D_
23 / 08_2 : 337_x000D_
23 / 09_2 : 374_x000D_
_x000D_
    TOTAL : ( 4.409 )_x000D_
  DIVISOR : 12_x000D_
    MÉDIA : 367,42_x000D_
-----------------------------_x000D_
   Valores Desconsiderados_x000D_
-----------------------------_x000D_
22 / 12_2 : 283 (1.244)_x000D_
_x000D_
  TOTAL   : ( 283 )</t>
        </r>
      </text>
    </comment>
    <comment ref="AB795" authorId="0" shapeId="0" xr:uid="{AF89453D-BC4A-4AC3-966B-316A04FA0D1E}">
      <text>
        <r>
          <rPr>
            <sz val="10"/>
            <color indexed="81"/>
            <rFont val="Lucida Console"/>
            <family val="3"/>
          </rPr>
          <t>Última movimentação no estoque em 09/2023 quantidade 374.</t>
        </r>
      </text>
    </comment>
    <comment ref="R796" authorId="0" shapeId="0" xr:uid="{28665DD8-BAFF-48F1-BA4B-89CC54A710C8}">
      <text>
        <r>
          <rPr>
            <sz val="10"/>
            <color indexed="81"/>
            <rFont val="Lucida Console"/>
            <family val="3"/>
          </rPr>
          <t>20.08.2009</t>
        </r>
      </text>
    </comment>
    <comment ref="Y796" authorId="0" shapeId="0" xr:uid="{71B09E54-B293-463A-B979-F219F5CB656B}">
      <text>
        <r>
          <rPr>
            <sz val="10"/>
            <color indexed="81"/>
            <rFont val="Courier New"/>
            <family val="3"/>
          </rPr>
          <t>_x000D_
    DESCRIÇÃO DO CÁLCULO_x000D_
Código    : 112.155_x000D_
Corte     : 81_x000D_
-----------------------------_x000D_
Pendente  : 8_x000D_
22 / 10_2 : _x000D_
22 / 11_2 : _x000D_
22 / 12_2 : 23_x000D_
23 / 01_2 : 15_x000D_
23 / 02_2 : _x000D_
23 / 03_2 : 30_x000D_
23 / 04_2 : 62_x000D_
23 / 05_2 : _x000D_
23 / 06_2 : 81 (corte = 100)_x000D_
23 / 07_2 : _x000D_
23 / 08_2 : 22_x000D_
23 / 09_2 : _x000D_
_x000D_
    TOTAL : ( 241 )_x000D_
  DIVISOR : 12_x000D_
    MÉDIA : 20,08_x000D_
-----------------------------_x000D_
   Valores Desconsiderados_x000D_
-----------------------------_x000D_
23 / 06_2 : 19 (100)_x000D_
_x000D_
  TOTAL   : ( 19 )</t>
        </r>
      </text>
    </comment>
    <comment ref="AB796" authorId="0" shapeId="0" xr:uid="{AFEDA26D-4F86-4D34-850F-8C4F848976CF}">
      <text>
        <r>
          <rPr>
            <sz val="10"/>
            <color indexed="81"/>
            <rFont val="Lucida Console"/>
            <family val="3"/>
          </rPr>
          <t>Última movimentação no estoque em 08/2023 quantidade 22.</t>
        </r>
      </text>
    </comment>
    <comment ref="R797" authorId="0" shapeId="0" xr:uid="{A5DEEEFA-AE7A-4FD8-8B2D-A5EDA94EB460}">
      <text>
        <r>
          <rPr>
            <sz val="10"/>
            <color indexed="81"/>
            <rFont val="Lucida Console"/>
            <family val="3"/>
          </rPr>
          <t>07.02.2011</t>
        </r>
      </text>
    </comment>
    <comment ref="Y797" authorId="0" shapeId="0" xr:uid="{31F05B69-0658-44E0-8AF8-C075261F3BBF}">
      <text>
        <r>
          <rPr>
            <sz val="10"/>
            <color indexed="81"/>
            <rFont val="Courier New"/>
            <family val="3"/>
          </rPr>
          <t>_x000D_
    DESCRIÇÃO DO CÁLCULO_x000D_
Código    : 119.181_x000D_
Corte     : 125_x000D_
-----------------------------_x000D_
Pendente  : _x000D_
22 / 10_2 : 17_x000D_
22 / 11_2 : 55_x000D_
22 / 12_2 : 25_x000D_
23 / 01_2 : 44_x000D_
23 / 02_2 : 20_x000D_
23 / 03_2 : 125 (corte = 166)_x000D_
23 / 04_2 : 30_x000D_
23 / 05_2 : 30_x000D_
23 / 06_2 : _x000D_
23 / 07_2 : 50_x000D_
23 / 08_2 : 40_x000D_
23 / 09_2 : 30_x000D_
_x000D_
    TOTAL : ( 466 )_x000D_
  DIVISOR : 12_x000D_
    MÉDIA : 38,83_x000D_
-----------------------------_x000D_
   Valores Desconsiderados_x000D_
-----------------------------_x000D_
23 / 03_2 : 41 (166)_x000D_
_x000D_
  TOTAL   : ( 41 )</t>
        </r>
      </text>
    </comment>
    <comment ref="AB797" authorId="0" shapeId="0" xr:uid="{FE2ABC40-1469-4929-8C64-86171C1BD44C}">
      <text>
        <r>
          <rPr>
            <sz val="10"/>
            <color indexed="81"/>
            <rFont val="Lucida Console"/>
            <family val="3"/>
          </rPr>
          <t>Última movimentação no estoque em 09/2023 quantidade 30.</t>
        </r>
      </text>
    </comment>
    <comment ref="R798" authorId="0" shapeId="0" xr:uid="{75A7FF10-6607-4B34-92A3-31FE523EB97C}">
      <text>
        <r>
          <rPr>
            <sz val="10"/>
            <color indexed="81"/>
            <rFont val="Lucida Console"/>
            <family val="3"/>
          </rPr>
          <t>20.08.2009</t>
        </r>
      </text>
    </comment>
    <comment ref="Y798" authorId="0" shapeId="0" xr:uid="{AE78F2E3-7CF4-40B3-BED0-54560AE4388F}">
      <text>
        <r>
          <rPr>
            <sz val="10"/>
            <color indexed="81"/>
            <rFont val="Courier New"/>
            <family val="3"/>
          </rPr>
          <t>_x000D_
    DESCRIÇÃO DO CÁLCULO_x000D_
Código    : 112.156_x000D_
Corte     : 173_x000D_
-----------------------------_x000D_
Pendente  : _x000D_
22 / 10_2 : 10_x000D_
22 / 11_2 : 45_x000D_
22 / 12_2 : 15_x000D_
23 / 01_2 : 10_x000D_
23 / 02_2 : 40_x000D_
23 / 03_2 : 173 (corte = 245)_x000D_
23 / 04_2 : 20_x000D_
23 / 05_2 : 30_x000D_
23 / 06_2 : 2_x000D_
23 / 07_2 : 50_x000D_
23 / 08_2 : 30_x000D_
23 / 09_2 : 1_x000D_
_x000D_
    TOTAL : ( 426 )_x000D_
  DIVISOR : 12_x000D_
    MÉDIA : 35,50_x000D_
-----------------------------_x000D_
   Valores Desconsiderados_x000D_
-----------------------------_x000D_
23 / 03_2 : 72 (245)_x000D_
_x000D_
  TOTAL   : ( 72 )</t>
        </r>
      </text>
    </comment>
    <comment ref="AB798" authorId="0" shapeId="0" xr:uid="{DAC479B9-B303-494A-B136-3B1E2F7A7C1B}">
      <text>
        <r>
          <rPr>
            <sz val="10"/>
            <color indexed="81"/>
            <rFont val="Lucida Console"/>
            <family val="3"/>
          </rPr>
          <t>Última movimentação no estoque em 09/2023 quantidade 1.</t>
        </r>
      </text>
    </comment>
    <comment ref="R799" authorId="0" shapeId="0" xr:uid="{54FF3669-6A66-491C-9346-DFABD1954D5F}">
      <text>
        <r>
          <rPr>
            <sz val="10"/>
            <color indexed="81"/>
            <rFont val="Lucida Console"/>
            <family val="3"/>
          </rPr>
          <t>12.12.2018</t>
        </r>
      </text>
    </comment>
    <comment ref="Y799" authorId="0" shapeId="0" xr:uid="{A6900A08-07ED-41E2-8B51-2319054BC4B7}">
      <text>
        <r>
          <rPr>
            <sz val="10"/>
            <color indexed="81"/>
            <rFont val="Courier New"/>
            <family val="3"/>
          </rPr>
          <t>_x000D_
    DESCRIÇÃO DO CÁLCULO_x000D_
Código    : 136.082_x000D_
Corte     : 209_x000D_
-----------------------------_x000D_
Pendente  : 290_x000D_
22 / 10_2 : 100_x000D_
22 / 11_2 : 14_x000D_
22 / 12_2 : 62_x000D_
23 / 01_2 : 67_x000D_
23 / 02_2 : 26_x000D_
23 / 03_2 : _x000D_
23 / 04_2 : _x000D_
23 / 05_2 : _x000D_
23 / 06_2 : 12_x000D_
23 / 07_2 : _x000D_
23 / 08_2 : _x000D_
23 / 09_2 : _x000D_
_x000D_
    TOTAL : ( 571 )_x000D_
  DIVISOR : 12_x000D_
    MÉDIA : 47,58</t>
        </r>
      </text>
    </comment>
    <comment ref="AB799" authorId="0" shapeId="0" xr:uid="{363F9ECE-A2E6-46D6-901E-454DAEB51D88}">
      <text>
        <r>
          <rPr>
            <sz val="10"/>
            <color indexed="81"/>
            <rFont val="Lucida Console"/>
            <family val="3"/>
          </rPr>
          <t>Última movimentação no estoque em 06/2023 quantidade 12.</t>
        </r>
      </text>
    </comment>
    <comment ref="R800" authorId="0" shapeId="0" xr:uid="{66FB5143-9E11-45D9-9DA8-A8B1048F5386}">
      <text>
        <r>
          <rPr>
            <sz val="10"/>
            <color indexed="81"/>
            <rFont val="Lucida Console"/>
            <family val="3"/>
          </rPr>
          <t>12.12.2018</t>
        </r>
      </text>
    </comment>
    <comment ref="Y800" authorId="0" shapeId="0" xr:uid="{F28FECC1-05ED-40D9-B03B-E74ED0F2F3EA}">
      <text>
        <r>
          <rPr>
            <sz val="10"/>
            <color indexed="81"/>
            <rFont val="Courier New"/>
            <family val="3"/>
          </rPr>
          <t>_x000D_
    DESCRIÇÃO DO CÁLCULO_x000D_
Código    : 136.083_x000D_
Corte     : 45_x000D_
-----------------------------_x000D_
Pendente  : _x000D_
22 / 10_2 : _x000D_
22 / 11_2 : 4_x000D_
22 / 12_2 : _x000D_
23 / 01_2 : 20_x000D_
23 / 02_2 : 20_x000D_
23 / 03_2 : 4_x000D_
23 / 04_2 : _x000D_
23 / 05_2 : _x000D_
23 / 06_2 : 45 (corte = 62)_x000D_
23 / 07_2 : _x000D_
23 / 08_2 : _x000D_
23 / 09_2 : _x000D_
_x000D_
    TOTAL : ( 93 )_x000D_
  DIVISOR : 12_x000D_
    MÉDIA : 7,75_x000D_
-----------------------------_x000D_
   Valores Desconsiderados_x000D_
-----------------------------_x000D_
23 / 06_2 : 17 (62)_x000D_
_x000D_
  TOTAL   : ( 17 )</t>
        </r>
      </text>
    </comment>
    <comment ref="AB800" authorId="0" shapeId="0" xr:uid="{E72F6B11-795C-4A76-AC31-CCF0A0055442}">
      <text>
        <r>
          <rPr>
            <sz val="10"/>
            <color indexed="81"/>
            <rFont val="Lucida Console"/>
            <family val="3"/>
          </rPr>
          <t>Última movimentação no estoque em 06/2023 quantidade 62.</t>
        </r>
      </text>
    </comment>
    <comment ref="R801" authorId="0" shapeId="0" xr:uid="{1B950C0B-76D6-45DA-B000-D08C3D34949F}">
      <text>
        <r>
          <rPr>
            <sz val="10"/>
            <color indexed="81"/>
            <rFont val="Lucida Console"/>
            <family val="3"/>
          </rPr>
          <t>01.02.2011</t>
        </r>
      </text>
    </comment>
    <comment ref="Y801" authorId="0" shapeId="0" xr:uid="{550D8BF2-A712-4C17-8B7A-FE464741EBAE}">
      <text>
        <r>
          <rPr>
            <sz val="10"/>
            <color indexed="81"/>
            <rFont val="Courier New"/>
            <family val="3"/>
          </rPr>
          <t>_x000D_
    DESCRIÇÃO DO CÁLCULO_x000D_
Código    : 119.087_x000D_
Corte     : 19_x000D_
-----------------------------_x000D_
Pendente  : _x000D_
22 / 10_2 : _x000D_
22 / 11_2 : _x000D_
22 / 12_2 : _x000D_
23 / 01_2 : _x000D_
23 / 02_2 : _x000D_
23 / 03_2 : _x000D_
23 / 04_2 : _x000D_
23 / 05_2 : 19 (corte = 30)_x000D_
23 / 06_2 : _x000D_
23 / 07_2 : _x000D_
23 / 08_2 : _x000D_
23 / 09_2 : _x000D_
_x000D_
    TOTAL : ( 19 )_x000D_
  DIVISOR : 12_x000D_
    MÉDIA : 1,58_x000D_
-----------------------------_x000D_
   Valores Desconsiderados_x000D_
-----------------------------_x000D_
23 / 05_2 : 11 (30)_x000D_
_x000D_
  TOTAL   : ( 11 )</t>
        </r>
      </text>
    </comment>
    <comment ref="AB801" authorId="0" shapeId="0" xr:uid="{27E5F85A-3A7E-4B2C-9475-F6D40DF1D903}">
      <text>
        <r>
          <rPr>
            <sz val="10"/>
            <color indexed="81"/>
            <rFont val="Lucida Console"/>
            <family val="3"/>
          </rPr>
          <t>Última movimentação no estoque em 05/2023 quantidade 30.</t>
        </r>
      </text>
    </comment>
    <comment ref="R802" authorId="0" shapeId="0" xr:uid="{D6C0E9CF-B965-4035-A95C-843FB05C62BB}">
      <text>
        <r>
          <rPr>
            <sz val="10"/>
            <color indexed="81"/>
            <rFont val="Lucida Console"/>
            <family val="3"/>
          </rPr>
          <t>16.08.2010</t>
        </r>
      </text>
    </comment>
    <comment ref="Y802" authorId="0" shapeId="0" xr:uid="{4E5902DA-B305-4D88-94EE-3B73EFF9718D}">
      <text>
        <r>
          <rPr>
            <sz val="10"/>
            <color indexed="81"/>
            <rFont val="Courier New"/>
            <family val="3"/>
          </rPr>
          <t>_x000D_
    DESCRIÇÃO DO CÁLCULO_x000D_
Código    : 116.874_x000D_
Corte     : 334_x000D_
-----------------------------_x000D_
Pendente  : _x000D_
22 / 10_2 : 87_x000D_
22 / 11_2 : 80_x000D_
22 / 12_2 : 95_x000D_
23 / 01_2 : 334 (corte = 373)_x000D_
23 / 02_2 : 128_x000D_
23 / 03_2 : 98_x000D_
23 / 04_2 : 140_x000D_
23 / 05_2 : 100_x000D_
23 / 06_2 : 170_x000D_
23 / 07_2 : 300_x000D_
23 / 08_2 : 90_x000D_
23 / 09_2 : 90_x000D_
_x000D_
    TOTAL : ( 1.712 )_x000D_
  DIVISOR : 12_x000D_
    MÉDIA : 142,67_x000D_
-----------------------------_x000D_
   Valores Desconsiderados_x000D_
-----------------------------_x000D_
23 / 01_2 : 39 (373)_x000D_
_x000D_
  TOTAL   : ( 39 )</t>
        </r>
      </text>
    </comment>
    <comment ref="AB802" authorId="0" shapeId="0" xr:uid="{BF696C95-C700-41A0-BBC2-47156C20E888}">
      <text>
        <r>
          <rPr>
            <sz val="10"/>
            <color indexed="81"/>
            <rFont val="Lucida Console"/>
            <family val="3"/>
          </rPr>
          <t>Última movimentação no estoque em 09/2023 quantidade 90.</t>
        </r>
      </text>
    </comment>
    <comment ref="R803" authorId="0" shapeId="0" xr:uid="{5C99CF8B-1A39-4463-B0AA-B0DD799C24DE}">
      <text>
        <r>
          <rPr>
            <sz val="10"/>
            <color indexed="81"/>
            <rFont val="Lucida Console"/>
            <family val="3"/>
          </rPr>
          <t>20.08.2009</t>
        </r>
      </text>
    </comment>
    <comment ref="Y803" authorId="0" shapeId="0" xr:uid="{510A61EF-0D2A-43F0-AA22-7BB1FBCCAE99}">
      <text>
        <r>
          <rPr>
            <sz val="10"/>
            <color indexed="81"/>
            <rFont val="Courier New"/>
            <family val="3"/>
          </rPr>
          <t>_x000D_
    DESCRIÇÃO DO CÁLCULO_x000D_
Código    : 112.154_x000D_
Corte     : 104_x000D_
-----------------------------_x000D_
Pendente  : 27_x000D_
22 / 10_2 : 15_x000D_
22 / 11_2 : 20_x000D_
22 / 12_2 : 60_x000D_
23 / 01_2 : 80_x000D_
23 / 02_2 : 30_x000D_
23 / 03_2 : 30_x000D_
23 / 04_2 : 104 (corte = 114)_x000D_
23 / 05_2 : _x000D_
23 / 06_2 : _x000D_
23 / 07_2 : _x000D_
23 / 08_2 : 45_x000D_
23 / 09_2 : 23_x000D_
_x000D_
    TOTAL : ( 434 )_x000D_
  DIVISOR : 12_x000D_
    MÉDIA : 36,17_x000D_
-----------------------------_x000D_
   Valores Desconsiderados_x000D_
-----------------------------_x000D_
23 / 04_2 : 10 (114)_x000D_
_x000D_
  TOTAL   : ( 10 )</t>
        </r>
      </text>
    </comment>
    <comment ref="AB803" authorId="0" shapeId="0" xr:uid="{C60C7943-2DEB-4C9F-B182-3CBE0B867585}">
      <text>
        <r>
          <rPr>
            <sz val="10"/>
            <color indexed="81"/>
            <rFont val="Lucida Console"/>
            <family val="3"/>
          </rPr>
          <t>Última movimentação no estoque em 09/2023 quantidade 23.</t>
        </r>
      </text>
    </comment>
    <comment ref="R804" authorId="0" shapeId="0" xr:uid="{B6F71473-94AA-4610-8FFB-A54FC2C95A75}">
      <text>
        <r>
          <rPr>
            <sz val="10"/>
            <color indexed="81"/>
            <rFont val="Lucida Console"/>
            <family val="3"/>
          </rPr>
          <t>20.08.2009</t>
        </r>
      </text>
    </comment>
    <comment ref="Y804" authorId="0" shapeId="0" xr:uid="{3E78ED38-8D6F-4FA9-BD74-A682DF9638B0}">
      <text>
        <r>
          <rPr>
            <sz val="10"/>
            <color indexed="81"/>
            <rFont val="Courier New"/>
            <family val="3"/>
          </rPr>
          <t>_x000D_
    DESCRIÇÃO DO CÁLCULO_x000D_
Código    : 112.157_x000D_
Corte     : 29_x000D_
-----------------------------_x000D_
Pendente  : _x000D_
22 / 10_2 : _x000D_
22 / 11_2 : _x000D_
22 / 12_2 : _x000D_
23 / 01_2 : _x000D_
23 / 02_2 : _x000D_
23 / 03_2 : 2_x000D_
23 / 04_2 : _x000D_
23 / 05_2 : 2_x000D_
23 / 06_2 : 20_x000D_
23 / 07_2 : _x000D_
23 / 08_2 : 29 (corte = 40)_x000D_
23 / 09_2 : _x000D_
_x000D_
    TOTAL : ( 53 )_x000D_
  DIVISOR : 12_x000D_
    MÉDIA : 4,42_x000D_
-----------------------------_x000D_
   Valores Desconsiderados_x000D_
-----------------------------_x000D_
23 / 08_2 : 11 (40)_x000D_
_x000D_
  TOTAL   : ( 11 )</t>
        </r>
      </text>
    </comment>
    <comment ref="AB804" authorId="0" shapeId="0" xr:uid="{3BF0C1A1-2BD8-4179-A08A-AC6D2712294D}">
      <text>
        <r>
          <rPr>
            <sz val="10"/>
            <color indexed="81"/>
            <rFont val="Lucida Console"/>
            <family val="3"/>
          </rPr>
          <t>Última movimentação no estoque em 08/2023 quantidade 40.</t>
        </r>
      </text>
    </comment>
    <comment ref="R805" authorId="0" shapeId="0" xr:uid="{3F8EA4A1-EEF8-41A7-9E7C-68DEBFFECE17}">
      <text>
        <r>
          <rPr>
            <sz val="10"/>
            <color indexed="81"/>
            <rFont val="Lucida Console"/>
            <family val="3"/>
          </rPr>
          <t>15.03.2018</t>
        </r>
      </text>
    </comment>
    <comment ref="Y805" authorId="0" shapeId="0" xr:uid="{8B5FF746-B55E-4523-87D8-A49C4755A756}">
      <text>
        <r>
          <rPr>
            <sz val="10"/>
            <color indexed="81"/>
            <rFont val="Courier New"/>
            <family val="3"/>
          </rPr>
          <t>_x000D_
    DESCRIÇÃO DO CÁLCULO_x000D_
Código    : 134.581_x000D_
Corte     : 22_x000D_
-----------------------------_x000D_
Pendente  : 21_x000D_
22 / 10_2 : 7_x000D_
22 / 11_2 : 1_x000D_
22 / 12_2 : 4_x000D_
23 / 01_2 : 2_x000D_
23 / 02_2 : 4_x000D_
23 / 03_2 : 12_x000D_
23 / 04_2 : 22_x000D_
23 / 05_2 : _x000D_
23 / 06_2 : _x000D_
23 / 07_2 : _x000D_
23 / 08_2 : _x000D_
23 / 09_2 : 10_x000D_
_x000D_
    TOTAL : ( 83 )_x000D_
  DIVISOR : 12_x000D_
    MÉDIA : 6,92</t>
        </r>
      </text>
    </comment>
    <comment ref="AB805" authorId="0" shapeId="0" xr:uid="{929A2101-777C-4AFF-BF6E-461BB373100F}">
      <text>
        <r>
          <rPr>
            <sz val="10"/>
            <color indexed="81"/>
            <rFont val="Lucida Console"/>
            <family val="3"/>
          </rPr>
          <t>Última movimentação no estoque em 09/2023 quantidade 10.</t>
        </r>
      </text>
    </comment>
    <comment ref="R806" authorId="0" shapeId="0" xr:uid="{D58B183F-AA46-4CEA-9C42-E5DD9E81827F}">
      <text>
        <r>
          <rPr>
            <sz val="10"/>
            <color indexed="81"/>
            <rFont val="Lucida Console"/>
            <family val="3"/>
          </rPr>
          <t>15.03.2018</t>
        </r>
      </text>
    </comment>
    <comment ref="Y806" authorId="0" shapeId="0" xr:uid="{3839DC69-5277-4433-8B23-E0110A777A98}">
      <text>
        <r>
          <rPr>
            <sz val="10"/>
            <color indexed="81"/>
            <rFont val="Courier New"/>
            <family val="3"/>
          </rPr>
          <t>_x000D_
    DESCRIÇÃO DO CÁLCULO_x000D_
Código    : 134.582_x000D_
Corte     : 18_x000D_
-----------------------------_x000D_
Pendente  : _x000D_
22 / 10_2 : 7_x000D_
22 / 11_2 : 3_x000D_
22 / 12_2 : 4_x000D_
23 / 01_2 : 9_x000D_
23 / 02_2 : 9_x000D_
23 / 03_2 : 7_x000D_
23 / 04_2 : 18 (corte = 21)_x000D_
23 / 05_2 : _x000D_
23 / 06_2 : 10_x000D_
23 / 07_2 : 6_x000D_
23 / 08_2 : 10_x000D_
23 / 09_2 : 10_x000D_
_x000D_
    TOTAL : ( 93 )_x000D_
  DIVISOR : 12_x000D_
    MÉDIA : 7,75_x000D_
-----------------------------_x000D_
   Valores Desconsiderados_x000D_
-----------------------------_x000D_
23 / 04_2 : 3 (21)_x000D_
_x000D_
  TOTAL   : ( 3 )</t>
        </r>
      </text>
    </comment>
    <comment ref="AB806" authorId="0" shapeId="0" xr:uid="{112AE0A9-92E8-4D98-A252-61DEE08919CA}">
      <text>
        <r>
          <rPr>
            <sz val="10"/>
            <color indexed="81"/>
            <rFont val="Lucida Console"/>
            <family val="3"/>
          </rPr>
          <t>Última movimentação no estoque em 09/2023 quantidade 10.</t>
        </r>
      </text>
    </comment>
    <comment ref="R807" authorId="0" shapeId="0" xr:uid="{D252233D-0DBA-4B7A-BECC-E35F06AFD406}">
      <text>
        <r>
          <rPr>
            <sz val="10"/>
            <color indexed="81"/>
            <rFont val="Lucida Console"/>
            <family val="3"/>
          </rPr>
          <t>13.07.2018</t>
        </r>
      </text>
    </comment>
    <comment ref="Y807" authorId="0" shapeId="0" xr:uid="{D1F9B514-0848-47A4-BE7E-001361F716CA}">
      <text>
        <r>
          <rPr>
            <sz val="10"/>
            <color indexed="81"/>
            <rFont val="Courier New"/>
            <family val="3"/>
          </rPr>
          <t>_x000D_
    DESCRIÇÃO DO CÁLCULO_x000D_
Código    : 135.414_x000D_
Corte     : 67_x000D_
-----------------------------_x000D_
Pendente  : 71_x000D_
22 / 10_2 : 32_x000D_
22 / 11_2 : 17_x000D_
22 / 12_2 : _x000D_
23 / 01_2 : _x000D_
23 / 02_2 : _x000D_
23 / 03_2 : _x000D_
23 / 04_2 : _x000D_
23 / 05_2 : 25_x000D_
23 / 06_2 : 53_x000D_
23 / 07_2 : _x000D_
23 / 08_2 : 30_x000D_
23 / 09_2 : 30_x000D_
_x000D_
    TOTAL : ( 258 )_x000D_
  DIVISOR : 12_x000D_
    MÉDIA : 21,50</t>
        </r>
      </text>
    </comment>
    <comment ref="AB807" authorId="0" shapeId="0" xr:uid="{F3F56145-30BC-42CA-8DC9-A0E1A232B386}">
      <text>
        <r>
          <rPr>
            <sz val="10"/>
            <color indexed="81"/>
            <rFont val="Lucida Console"/>
            <family val="3"/>
          </rPr>
          <t>Última movimentação no estoque em 09/2023 quantidade 30.</t>
        </r>
      </text>
    </comment>
    <comment ref="R808" authorId="0" shapeId="0" xr:uid="{B72A093C-6F94-4ED2-B62D-1555210A4FE0}">
      <text>
        <r>
          <rPr>
            <sz val="10"/>
            <color indexed="81"/>
            <rFont val="Lucida Console"/>
            <family val="3"/>
          </rPr>
          <t>01.01.1901</t>
        </r>
      </text>
    </comment>
    <comment ref="Y808" authorId="0" shapeId="0" xr:uid="{BC902725-4FFB-4010-8D6E-F71423B2B4B8}">
      <text>
        <r>
          <rPr>
            <sz val="10"/>
            <color indexed="81"/>
            <rFont val="Courier New"/>
            <family val="3"/>
          </rPr>
          <t>_x000D_
    DESCRIÇÃO DO CÁLCULO_x000D_
Código    : 13.161_x000D_
Corte     : 98_x000D_
-----------------------------_x000D_
Pendente  : _x000D_
22 / 10_2 : 11_x000D_
22 / 11_2 : 4_x000D_
22 / 12_2 : 10_x000D_
23 / 01_2 : 18_x000D_
23 / 02_2 : 41_x000D_
23 / 03_2 : 46_x000D_
23 / 04_2 : 47_x000D_
23 / 05_2 : 30_x000D_
23 / 06_2 : 30_x000D_
23 / 07_2 : _x000D_
23 / 08_2 : 32_x000D_
23 / 09_2 : 98 (corte = 124)_x000D_
_x000D_
    TOTAL : ( 367 )_x000D_
  DIVISOR : 12_x000D_
    MÉDIA : 30,58_x000D_
-----------------------------_x000D_
   Valores Desconsiderados_x000D_
-----------------------------_x000D_
23 / 09_2 : 26 (124)_x000D_
_x000D_
  TOTAL   : ( 26 )</t>
        </r>
      </text>
    </comment>
    <comment ref="AB808" authorId="0" shapeId="0" xr:uid="{7F34A27F-61C6-41E9-879D-DBBC3BF794E2}">
      <text>
        <r>
          <rPr>
            <sz val="10"/>
            <color indexed="81"/>
            <rFont val="Lucida Console"/>
            <family val="3"/>
          </rPr>
          <t>Última movimentação no estoque em 09/2023 quantidade 124.</t>
        </r>
      </text>
    </comment>
    <comment ref="R809" authorId="0" shapeId="0" xr:uid="{94C9220F-4D5E-46F7-BE52-41EFFC3409AC}">
      <text>
        <r>
          <rPr>
            <sz val="10"/>
            <color indexed="81"/>
            <rFont val="Lucida Console"/>
            <family val="3"/>
          </rPr>
          <t>01.01.1901</t>
        </r>
      </text>
    </comment>
    <comment ref="Y809" authorId="0" shapeId="0" xr:uid="{F70AE2FE-12E8-4837-BCED-2A79557BCE8F}">
      <text>
        <r>
          <rPr>
            <sz val="10"/>
            <color indexed="81"/>
            <rFont val="Courier New"/>
            <family val="3"/>
          </rPr>
          <t>_x000D_
    DESCRIÇÃO DO CÁLCULO_x000D_
Código    : 13.165_x000D_
Corte     : 104_x000D_
-----------------------------_x000D_
Pendente  : 10_x000D_
22 / 10_2 : 29_x000D_
22 / 11_2 : 35_x000D_
22 / 12_2 : 20_x000D_
23 / 01_2 : 33_x000D_
23 / 02_2 : 40_x000D_
23 / 03_2 : 80_x000D_
23 / 04_2 : 65_x000D_
23 / 05_2 : 40_x000D_
23 / 06_2 : 50_x000D_
23 / 07_2 : 20_x000D_
23 / 08_2 : 104 (corte = 105)_x000D_
23 / 09_2 : 72_x000D_
_x000D_
    TOTAL : ( 598 )_x000D_
  DIVISOR : 12_x000D_
    MÉDIA : 49,83_x000D_
-----------------------------_x000D_
   Valores Desconsiderados_x000D_
-----------------------------_x000D_
23 / 08_2 : 1 (105)_x000D_
_x000D_
  TOTAL   : ( 1 )</t>
        </r>
      </text>
    </comment>
    <comment ref="AB809" authorId="0" shapeId="0" xr:uid="{39668879-B847-4C3F-92B2-7C3348BD618F}">
      <text>
        <r>
          <rPr>
            <sz val="10"/>
            <color indexed="81"/>
            <rFont val="Lucida Console"/>
            <family val="3"/>
          </rPr>
          <t>Última movimentação no estoque em 09/2023 quantidade 72.</t>
        </r>
      </text>
    </comment>
    <comment ref="R810" authorId="0" shapeId="0" xr:uid="{A37E7705-108A-4264-AE0C-296A03ED13B8}">
      <text>
        <r>
          <rPr>
            <sz val="10"/>
            <color indexed="81"/>
            <rFont val="Lucida Console"/>
            <family val="3"/>
          </rPr>
          <t>15.06.2021</t>
        </r>
      </text>
    </comment>
    <comment ref="Y810" authorId="0" shapeId="0" xr:uid="{F2819EDC-DA82-4A78-A216-54AABFFADD7C}">
      <text>
        <r>
          <rPr>
            <sz val="10"/>
            <color indexed="81"/>
            <rFont val="Courier New"/>
            <family val="3"/>
          </rPr>
          <t>_x000D_
    DESCRIÇÃO DO CÁLCULO_x000D_
Código    : 141.429_x000D_
Corte     : 78_x000D_
-----------------------------_x000D_
Pendente  : _x000D_
22 / 10_2 : 28_x000D_
22 / 11_2 : 23_x000D_
22 / 12_2 : 7_x000D_
23 / 01_2 : 33_x000D_
23 / 02_2 : 24_x000D_
23 / 03_2 : 25_x000D_
23 / 04_2 : 48_x000D_
23 / 05_2 : 25_x000D_
23 / 06_2 : 76_x000D_
23 / 07_2 : _x000D_
23 / 08_2 : 70_x000D_
23 / 09_2 : 40_x000D_
_x000D_
    TOTAL : ( 399 )_x000D_
  DIVISOR : 12_x000D_
    MÉDIA : 33,25</t>
        </r>
      </text>
    </comment>
    <comment ref="AB810" authorId="0" shapeId="0" xr:uid="{3DBE8B15-8DC2-4368-8595-9A4206CD6A13}">
      <text>
        <r>
          <rPr>
            <sz val="10"/>
            <color indexed="81"/>
            <rFont val="Lucida Console"/>
            <family val="3"/>
          </rPr>
          <t>Última movimentação no estoque em 09/2023 quantidade 40.</t>
        </r>
      </text>
    </comment>
    <comment ref="R811" authorId="0" shapeId="0" xr:uid="{C9DB232B-D03F-4AC2-AC55-E07F7732AA8A}">
      <text>
        <r>
          <rPr>
            <sz val="10"/>
            <color indexed="81"/>
            <rFont val="Lucida Console"/>
            <family val="3"/>
          </rPr>
          <t>24.06.2009</t>
        </r>
      </text>
    </comment>
    <comment ref="Y811" authorId="0" shapeId="0" xr:uid="{BC579FAF-D514-40A7-A249-88BEF17826DD}">
      <text>
        <r>
          <rPr>
            <sz val="10"/>
            <color indexed="81"/>
            <rFont val="Courier New"/>
            <family val="3"/>
          </rPr>
          <t>_x000D_
    DESCRIÇÃO DO CÁLCULO_x000D_
Código    : 111.524_x000D_
Corte     : 91_x000D_
-----------------------------_x000D_
Pendente  : _x000D_
22 / 10_2 : 14_x000D_
22 / 11_2 : 23_x000D_
22 / 12_2 : 22_x000D_
23 / 01_2 : 17_x000D_
23 / 02_2 : 25_x000D_
23 / 03_2 : 45_x000D_
23 / 04_2 : 32_x000D_
23 / 05_2 : 60_x000D_
23 / 06_2 : _x000D_
23 / 07_2 : _x000D_
23 / 08_2 : 80_x000D_
23 / 09_2 : 88_x000D_
_x000D_
    TOTAL : ( 406 )_x000D_
  DIVISOR : 12_x000D_
    MÉDIA : 33,83</t>
        </r>
      </text>
    </comment>
    <comment ref="AB811" authorId="0" shapeId="0" xr:uid="{75051BAB-F697-4ED3-8A09-46A9AA10D3B2}">
      <text>
        <r>
          <rPr>
            <sz val="10"/>
            <color indexed="81"/>
            <rFont val="Lucida Console"/>
            <family val="3"/>
          </rPr>
          <t>Última movimentação no estoque em 09/2023 quantidade 88.</t>
        </r>
      </text>
    </comment>
    <comment ref="R812" authorId="0" shapeId="0" xr:uid="{63AB1C23-F89B-4234-8A3D-EE8E1F1F1869}">
      <text>
        <r>
          <rPr>
            <sz val="10"/>
            <color indexed="81"/>
            <rFont val="Lucida Console"/>
            <family val="3"/>
          </rPr>
          <t>01.01.1901</t>
        </r>
      </text>
    </comment>
    <comment ref="Y812" authorId="0" shapeId="0" xr:uid="{2941F9B0-00D8-49A1-BB57-F295A241E5AA}">
      <text>
        <r>
          <rPr>
            <sz val="10"/>
            <color indexed="81"/>
            <rFont val="Courier New"/>
            <family val="3"/>
          </rPr>
          <t>_x000D_
    DESCRIÇÃO DO CÁLCULO_x000D_
Código    : 27.136_x000D_
Corte     : 47.315_x000D_
-----------------------------_x000D_
Pendente  : 33.671_x000D_
22 / 10_2 : 26.306_x000D_
22 / 11_2 : _x000D_
22 / 12_2 : _x000D_
23 / 01_2 : 32_x000D_
23 / 02_2 : _x000D_
23 / 03_2 : _x000D_
23 / 04_2 : _x000D_
23 / 05_2 : _x000D_
23 / 06_2 : 15.000_x000D_
23 / 07_2 : 39.614_x000D_
23 / 08_2 : 42.501_x000D_
23 / 09_2 : 4.048_x000D_
_x000D_
    TOTAL : ( 161.172 )_x000D_
  DIVISOR : 12_x000D_
    MÉDIA : 13.431,00</t>
        </r>
      </text>
    </comment>
    <comment ref="AB812" authorId="0" shapeId="0" xr:uid="{90AEBE94-39FE-4891-96AA-F37FCC8BBE36}">
      <text>
        <r>
          <rPr>
            <sz val="10"/>
            <color indexed="81"/>
            <rFont val="Lucida Console"/>
            <family val="3"/>
          </rPr>
          <t>Última movimentação no estoque em 09/2023 quantidade 4.048.</t>
        </r>
      </text>
    </comment>
    <comment ref="R813" authorId="0" shapeId="0" xr:uid="{B2B3690A-A24C-422D-8C37-C4B59B733FEA}">
      <text>
        <r>
          <rPr>
            <sz val="10"/>
            <color indexed="81"/>
            <rFont val="Lucida Console"/>
            <family val="3"/>
          </rPr>
          <t>30.10.2017</t>
        </r>
      </text>
    </comment>
    <comment ref="Y813" authorId="0" shapeId="0" xr:uid="{B39E24D3-6AE3-46C9-8ADF-559EFF58732C}">
      <text>
        <r>
          <rPr>
            <sz val="10"/>
            <color indexed="81"/>
            <rFont val="Courier New"/>
            <family val="3"/>
          </rPr>
          <t>_x000D_
    DESCRIÇÃO DO CÁLCULO_x000D_
Código    : 133.791_x000D_
Corte     : 151_x000D_
-----------------------------_x000D_
Pendente  : _x000D_
22 / 10_2 : 17_x000D_
22 / 11_2 : 34_x000D_
22 / 12_2 : 59_x000D_
23 / 01_2 : 12_x000D_
23 / 02_2 : 35_x000D_
23 / 03_2 : 151 (corte = 162)_x000D_
23 / 04_2 : 135_x000D_
23 / 05_2 : 75_x000D_
23 / 06_2 : 69_x000D_
23 / 07_2 : 50_x000D_
23 / 08_2 : 35_x000D_
23 / 09_2 : 50_x000D_
_x000D_
    TOTAL : ( 722 )_x000D_
  DIVISOR : 12_x000D_
    MÉDIA : 60,17_x000D_
-----------------------------_x000D_
   Valores Desconsiderados_x000D_
-----------------------------_x000D_
23 / 03_2 : 11 (162)_x000D_
_x000D_
  TOTAL   : ( 11 )</t>
        </r>
      </text>
    </comment>
    <comment ref="AB813" authorId="0" shapeId="0" xr:uid="{5D5272FA-DEF6-493C-932E-785F93CD51CB}">
      <text>
        <r>
          <rPr>
            <sz val="10"/>
            <color indexed="81"/>
            <rFont val="Lucida Console"/>
            <family val="3"/>
          </rPr>
          <t>Última movimentação no estoque em 09/2023 quantidade 50.</t>
        </r>
      </text>
    </comment>
    <comment ref="R814" authorId="0" shapeId="0" xr:uid="{6DC86A30-E989-49E3-BD75-BD92EDEA501E}">
      <text>
        <r>
          <rPr>
            <sz val="10"/>
            <color indexed="81"/>
            <rFont val="Lucida Console"/>
            <family val="3"/>
          </rPr>
          <t>01.01.1901</t>
        </r>
      </text>
    </comment>
    <comment ref="Y814" authorId="0" shapeId="0" xr:uid="{36729785-4C2C-4391-AABB-E5EFF3A9013C}">
      <text>
        <r>
          <rPr>
            <sz val="10"/>
            <color indexed="81"/>
            <rFont val="Courier New"/>
            <family val="3"/>
          </rPr>
          <t>_x000D_
    DESCRIÇÃO DO CÁLCULO_x000D_
Código    : 28.093_x000D_
Corte     : 1_x000D_
-----------------------------_x000D_
Pendente  : _x000D_
22 / 10_2 : 1 (corte = 3)_x000D_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2 (3)_x000D_
_x000D_
  TOTAL   : ( 2 )</t>
        </r>
      </text>
    </comment>
    <comment ref="AB814" authorId="0" shapeId="0" xr:uid="{9EF018FF-C8E0-4500-B926-704C27773DFB}">
      <text>
        <r>
          <rPr>
            <sz val="10"/>
            <color indexed="81"/>
            <rFont val="Lucida Console"/>
            <family val="3"/>
          </rPr>
          <t>Última movimentação no estoque em 10/2022 quantidade 3.</t>
        </r>
      </text>
    </comment>
    <comment ref="R815" authorId="0" shapeId="0" xr:uid="{0F5DA819-5B24-4BC0-936E-6F9C18B98614}">
      <text>
        <r>
          <rPr>
            <sz val="10"/>
            <color indexed="81"/>
            <rFont val="Lucida Console"/>
            <family val="3"/>
          </rPr>
          <t>19.10.2007</t>
        </r>
      </text>
    </comment>
    <comment ref="Y815" authorId="0" shapeId="0" xr:uid="{64FFF3B5-05B9-4593-9B8F-841454FBA3C7}">
      <text>
        <r>
          <rPr>
            <sz val="10"/>
            <color indexed="81"/>
            <rFont val="Courier New"/>
            <family val="3"/>
          </rPr>
          <t>_x000D_
    DESCRIÇÃO DO CÁLCULO_x000D_
Código    : 102.822_x000D_
Corte     : 2_x000D_
-----------------------------_x000D_
Pendente  : _x000D_
22 / 10_2 : 1_x000D_
22 / 11_2 : _x000D_
22 / 12_2 : 2 (corte = 3)_x000D_
23 / 01_2 : 2_x000D_
23 / 02_2 : 1_x000D_
23 / 03_2 : _x000D_
23 / 04_2 : _x000D_
23 / 05_2 : _x000D_
23 / 06_2 : _x000D_
23 / 07_2 : _x000D_
23 / 08_2 : _x000D_
23 / 09_2 : _x000D_
_x000D_
    TOTAL : ( 6 )_x000D_
  DIVISOR : 12_x000D_
    MÉDIA : ,50_x000D_
-----------------------------_x000D_
   Valores Desconsiderados_x000D_
-----------------------------_x000D_
22 / 12_2 : 1 (3)_x000D_
_x000D_
  TOTAL   : ( 1 )</t>
        </r>
      </text>
    </comment>
    <comment ref="AB815" authorId="0" shapeId="0" xr:uid="{F50BB0C8-8131-4A76-B876-E2E0AA9C46E6}">
      <text>
        <r>
          <rPr>
            <sz val="10"/>
            <color indexed="81"/>
            <rFont val="Lucida Console"/>
            <family val="3"/>
          </rPr>
          <t>Última movimentação no estoque em 02/2023 quantidade 1.</t>
        </r>
      </text>
    </comment>
    <comment ref="R816" authorId="0" shapeId="0" xr:uid="{2BB28EDA-6988-4660-A219-BB25CDE31E8E}">
      <text>
        <r>
          <rPr>
            <sz val="10"/>
            <color indexed="81"/>
            <rFont val="Lucida Console"/>
            <family val="3"/>
          </rPr>
          <t>01.01.1901</t>
        </r>
      </text>
    </comment>
    <comment ref="Y816" authorId="0" shapeId="0" xr:uid="{56B0590A-D7B9-453D-B94C-A56139E966B6}">
      <text>
        <r>
          <rPr>
            <sz val="10"/>
            <color indexed="81"/>
            <rFont val="Courier New"/>
            <family val="3"/>
          </rPr>
          <t>_x000D_
    DESCRIÇÃO DO CÁLCULO_x000D_
Código    : 12.856_x000D_
Corte     : 1.178_x000D_
-----------------------------_x000D_
Pendente  : _x000D_
22 / 10_2 : 153_x000D_
22 / 11_2 : 146_x000D_
22 / 12_2 : 119_x000D_
23 / 01_2 : 93_x000D_
23 / 02_2 : 145_x000D_
23 / 03_2 : 1.178 (corte = 1716)_x000D_
23 / 04_2 : 125_x000D_
23 / 05_2 : 77_x000D_
23 / 06_2 : 141_x000D_
23 / 07_2 : 146_x000D_
23 / 08_2 : 138_x000D_
23 / 09_2 : 132_x000D_
_x000D_
    TOTAL : ( 2.593 )_x000D_
  DIVISOR : 12_x000D_
    MÉDIA : 216,08_x000D_
-----------------------------_x000D_
   Valores Desconsiderados_x000D_
-----------------------------_x000D_
23 / 03_2 : 538 (1.716)_x000D_
_x000D_
  TOTAL   : ( 538 )</t>
        </r>
      </text>
    </comment>
    <comment ref="AB816" authorId="0" shapeId="0" xr:uid="{4DD3C2EB-C9EF-4419-BD56-876BEC998A5F}">
      <text>
        <r>
          <rPr>
            <sz val="10"/>
            <color indexed="81"/>
            <rFont val="Lucida Console"/>
            <family val="3"/>
          </rPr>
          <t>Última movimentação no estoque em 09/2023 quantidade 132.</t>
        </r>
      </text>
    </comment>
    <comment ref="R817" authorId="0" shapeId="0" xr:uid="{59031CD0-7261-4F53-A958-116412709F3E}">
      <text>
        <r>
          <rPr>
            <sz val="10"/>
            <color indexed="81"/>
            <rFont val="Lucida Console"/>
            <family val="3"/>
          </rPr>
          <t>27.09.2007</t>
        </r>
      </text>
    </comment>
    <comment ref="Y817" authorId="0" shapeId="0" xr:uid="{3C1AD11D-4029-48D6-AB78-6579941E1C59}">
      <text>
        <r>
          <rPr>
            <sz val="10"/>
            <color indexed="81"/>
            <rFont val="Courier New"/>
            <family val="3"/>
          </rPr>
          <t>_x000D_
    DESCRIÇÃO DO CÁLCULO_x000D_
Código    : 102.276_x000D_
Corte     : 21_x000D_
-----------------------------_x000D_
Pendente  : _x000D_
22 / 10_2 : 21 (corte = 25)_x000D_
22 / 11_2 : _x000D_
22 / 12_2 : _x000D_
23 / 01_2 : _x000D_
23 / 02_2 : _x000D_
23 / 03_2 : _x000D_
23 / 04_2 : _x000D_
23 / 05_2 : _x000D_
23 / 06_2 : _x000D_
23 / 07_2 : 2_x000D_
23 / 08_2 : 20_x000D_
23 / 09_2 : 4_x000D_
_x000D_
    TOTAL : ( 47 )_x000D_
  DIVISOR : 12_x000D_
    MÉDIA : 3,92_x000D_
-----------------------------_x000D_
   Valores Desconsiderados_x000D_
-----------------------------_x000D_
22 / 10_2 : 4 (25)_x000D_
_x000D_
  TOTAL   : ( 4 )</t>
        </r>
      </text>
    </comment>
    <comment ref="AB817" authorId="0" shapeId="0" xr:uid="{C0B2B869-AE05-4167-AE43-8958E609204E}">
      <text>
        <r>
          <rPr>
            <sz val="10"/>
            <color indexed="81"/>
            <rFont val="Lucida Console"/>
            <family val="3"/>
          </rPr>
          <t>Última movimentação no estoque em 09/2023 quantidade 4.</t>
        </r>
      </text>
    </comment>
    <comment ref="R818" authorId="0" shapeId="0" xr:uid="{F0F2CEA9-7CC3-4175-B5B7-DA0AE7F7B5A4}">
      <text>
        <r>
          <rPr>
            <sz val="10"/>
            <color indexed="81"/>
            <rFont val="Lucida Console"/>
            <family val="3"/>
          </rPr>
          <t>27.09.2007</t>
        </r>
      </text>
    </comment>
    <comment ref="Y818" authorId="0" shapeId="0" xr:uid="{D6872934-8A3C-43DF-AC83-7F88DCB414EC}">
      <text>
        <r>
          <rPr>
            <sz val="10"/>
            <color indexed="81"/>
            <rFont val="Courier New"/>
            <family val="3"/>
          </rPr>
          <t>_x000D_
    DESCRIÇÃO DO CÁLCULO_x000D_
Código    : 102.279_x000D_
Corte     : 17_x000D_
-----------------------------_x000D_
Pendente  : 20_x000D_
22 / 10_2 : 5_x000D_
22 / 11_2 : _x000D_
22 / 12_2 : _x000D_
23 / 01_2 : _x000D_
23 / 02_2 : _x000D_
23 / 03_2 : 10_x000D_
23 / 04_2 : _x000D_
23 / 05_2 : 10_x000D_
23 / 06_2 : _x000D_
23 / 07_2 : _x000D_
23 / 08_2 : 10_x000D_
23 / 09_2 : 6_x000D_
_x000D_
    TOTAL : ( 61 )_x000D_
  DIVISOR : 12_x000D_
    MÉDIA : 5,08</t>
        </r>
      </text>
    </comment>
    <comment ref="AB818" authorId="0" shapeId="0" xr:uid="{4C9B03BF-A8E4-4594-81E3-88C9CD9A01B1}">
      <text>
        <r>
          <rPr>
            <sz val="10"/>
            <color indexed="81"/>
            <rFont val="Lucida Console"/>
            <family val="3"/>
          </rPr>
          <t>Última movimentação no estoque em 09/2023 quantidade 6.</t>
        </r>
      </text>
    </comment>
    <comment ref="R819" authorId="0" shapeId="0" xr:uid="{C01726D1-BD1D-474B-8EAC-355E232B1E9D}">
      <text>
        <r>
          <rPr>
            <sz val="10"/>
            <color indexed="81"/>
            <rFont val="Lucida Console"/>
            <family val="3"/>
          </rPr>
          <t>03.09.2007</t>
        </r>
      </text>
    </comment>
    <comment ref="Y819" authorId="0" shapeId="0" xr:uid="{EA2AB0EB-420D-4509-9E00-5BD44945A44D}">
      <text>
        <r>
          <rPr>
            <sz val="10"/>
            <color indexed="81"/>
            <rFont val="Courier New"/>
            <family val="3"/>
          </rPr>
          <t>_x000D_
    DESCRIÇÃO DO CÁLCULO_x000D_
Código    : 101.867_x000D_
Corte     : 30_x000D_
-----------------------------_x000D_
Pendente  : _x000D_
22 / 10_2 : _x000D_
22 / 11_2 : _x000D_
22 / 12_2 : _x000D_
23 / 01_2 : _x000D_
23 / 02_2 : 1_x000D_
23 / 03_2 : 20_x000D_
23 / 04_2 : _x000D_
23 / 05_2 : _x000D_
23 / 06_2 : _x000D_
23 / 07_2 : _x000D_
23 / 08_2 : 30 (corte = 40)_x000D_
23 / 09_2 : 4_x000D_
_x000D_
    TOTAL : ( 55 )_x000D_
  DIVISOR : 12_x000D_
    MÉDIA : 4,58_x000D_
-----------------------------_x000D_
   Valores Desconsiderados_x000D_
-----------------------------_x000D_
23 / 08_2 : 10 (40)_x000D_
_x000D_
  TOTAL   : ( 10 )</t>
        </r>
      </text>
    </comment>
    <comment ref="AB819" authorId="0" shapeId="0" xr:uid="{C262DCCD-91A1-4EB2-81FE-2E932E25C34A}">
      <text>
        <r>
          <rPr>
            <sz val="10"/>
            <color indexed="81"/>
            <rFont val="Lucida Console"/>
            <family val="3"/>
          </rPr>
          <t>Última movimentação no estoque em 09/2023 quantidade 4.</t>
        </r>
      </text>
    </comment>
    <comment ref="R820" authorId="0" shapeId="0" xr:uid="{2D5F5859-A61C-4318-BD86-ED3EB951CC5D}">
      <text>
        <r>
          <rPr>
            <sz val="10"/>
            <color indexed="81"/>
            <rFont val="Lucida Console"/>
            <family val="3"/>
          </rPr>
          <t>19.09.2011</t>
        </r>
      </text>
    </comment>
    <comment ref="Y820" authorId="0" shapeId="0" xr:uid="{B6116A2F-0A2A-413B-A1C6-8F8A8605B8CE}">
      <text>
        <r>
          <rPr>
            <sz val="10"/>
            <color indexed="81"/>
            <rFont val="Courier New"/>
            <family val="3"/>
          </rPr>
          <t>_x000D_
    DESCRIÇÃO DO CÁLCULO_x000D_
Código    : 121.054_x000D_
Corte     : _x000D_
-----------------------------_x000D_
Pendente  : _x000D_
22 / 10_2 : _x000D_
22 / 11_2 : _x000D_
22 / 12_2 : _x000D_
23 / 01_2 : _x000D_
23 / 02_2 : _x000D_
23 / 03_2 : _x000D_
23 / 04_2 : _x000D_
23 / 05_2 : _x000D_
23 / 06_2 : _x000D_
23 / 07_2 :  (corte = 1)_x000D_
23 / 08_2 : _x000D_
23 / 09_2 : _x000D_
_x000D_
    TOTAL : (  )_x000D_
  DIVISOR : 12_x000D_
    MÉDIA : ,00_x000D_
-----------------------------_x000D_
   Valores Desconsiderados_x000D_
-----------------------------_x000D_
23 / 07_2 : 1 (1)_x000D_
_x000D_
  TOTAL   : ( 1 )</t>
        </r>
      </text>
    </comment>
    <comment ref="AB820" authorId="0" shapeId="0" xr:uid="{FCDFA308-1125-4E70-BE8D-745903B106DB}">
      <text>
        <r>
          <rPr>
            <sz val="10"/>
            <color indexed="81"/>
            <rFont val="Lucida Console"/>
            <family val="3"/>
          </rPr>
          <t>Última movimentação no estoque em 07/2023 quantidade 1.</t>
        </r>
      </text>
    </comment>
    <comment ref="R821" authorId="0" shapeId="0" xr:uid="{5A48157E-B9EC-4E50-9C56-0CB74DA41CD4}">
      <text>
        <r>
          <rPr>
            <sz val="10"/>
            <color indexed="81"/>
            <rFont val="Lucida Console"/>
            <family val="3"/>
          </rPr>
          <t>03.09.2007</t>
        </r>
      </text>
    </comment>
    <comment ref="Y821" authorId="0" shapeId="0" xr:uid="{A368B54B-A23E-48B4-9D43-59A5AB25B3C6}">
      <text>
        <r>
          <rPr>
            <sz val="10"/>
            <color indexed="81"/>
            <rFont val="Courier New"/>
            <family val="3"/>
          </rPr>
          <t>_x000D_
    DESCRIÇÃO DO CÁLCULO_x000D_
Código    : 101.868_x000D_
Corte     : 12_x000D_
-----------------------------_x000D_
Pendente  : _x000D_
22 / 10_2 : 8_x000D_
22 / 11_2 : _x000D_
22 / 12_2 : 1_x000D_
23 / 01_2 : _x000D_
23 / 02_2 : 3_x000D_
23 / 03_2 : 6_x000D_
23 / 04_2 : _x000D_
23 / 05_2 : _x000D_
23 / 06_2 : 12 (corte = 15)_x000D_
23 / 07_2 : _x000D_
23 / 08_2 : _x000D_
23 / 09_2 : 7_x000D_
_x000D_
    TOTAL : ( 37 )_x000D_
  DIVISOR : 12_x000D_
    MÉDIA : 3,08_x000D_
-----------------------------_x000D_
   Valores Desconsiderados_x000D_
-----------------------------_x000D_
23 / 06_2 : 3 (15)_x000D_
_x000D_
  TOTAL   : ( 3 )</t>
        </r>
      </text>
    </comment>
    <comment ref="AB821" authorId="0" shapeId="0" xr:uid="{46940F48-39DC-4725-87A6-BA829E1D697A}">
      <text>
        <r>
          <rPr>
            <sz val="10"/>
            <color indexed="81"/>
            <rFont val="Lucida Console"/>
            <family val="3"/>
          </rPr>
          <t>Última movimentação no estoque em 09/2023 quantidade 7.</t>
        </r>
      </text>
    </comment>
    <comment ref="R822" authorId="0" shapeId="0" xr:uid="{BB220169-B460-4640-8EB7-9D55F96672A4}">
      <text>
        <r>
          <rPr>
            <sz val="10"/>
            <color indexed="81"/>
            <rFont val="Lucida Console"/>
            <family val="3"/>
          </rPr>
          <t>01.01.1901</t>
        </r>
      </text>
    </comment>
    <comment ref="Y822" authorId="0" shapeId="0" xr:uid="{241B0B20-B031-495E-B564-5BFC6ECFEC94}">
      <text>
        <r>
          <rPr>
            <sz val="10"/>
            <color indexed="81"/>
            <rFont val="Courier New"/>
            <family val="3"/>
          </rPr>
          <t>_x000D_
    DESCRIÇÃO DO CÁLCULO_x000D_
Código    : 54.550_x000D_
Corte     : 121_x000D_
-----------------------------_x000D_
Pendente  : _x000D_
22 / 10_2 : 11_x000D_
22 / 11_2 : 40_x000D_
22 / 12_2 : 112_x000D_
23 / 01_2 : 70_x000D_
23 / 02_2 : 6_x000D_
23 / 03_2 : _x000D_
23 / 04_2 : 60_x000D_
23 / 05_2 : _x000D_
23 / 06_2 : 100_x000D_
23 / 07_2 : _x000D_
23 / 08_2 : 60_x000D_
23 / 09_2 : _x000D_
_x000D_
    TOTAL : ( 459 )_x000D_
  DIVISOR : 12_x000D_
    MÉDIA : 38,25</t>
        </r>
      </text>
    </comment>
    <comment ref="AB822" authorId="0" shapeId="0" xr:uid="{932FEF67-77BF-4606-BE97-FB3E678390AD}">
      <text>
        <r>
          <rPr>
            <sz val="10"/>
            <color indexed="81"/>
            <rFont val="Lucida Console"/>
            <family val="3"/>
          </rPr>
          <t>Última movimentação no estoque em 08/2023 quantidade 60.</t>
        </r>
      </text>
    </comment>
    <comment ref="R823" authorId="0" shapeId="0" xr:uid="{21318FE5-000E-41D8-9780-74E968B4D7F9}">
      <text>
        <r>
          <rPr>
            <sz val="10"/>
            <color indexed="81"/>
            <rFont val="Lucida Console"/>
            <family val="3"/>
          </rPr>
          <t>01.01.1901</t>
        </r>
      </text>
    </comment>
    <comment ref="Y823" authorId="0" shapeId="0" xr:uid="{4606EA7B-AA3A-4798-8149-45270FE30841}">
      <text>
        <r>
          <rPr>
            <sz val="10"/>
            <color indexed="81"/>
            <rFont val="Courier New"/>
            <family val="3"/>
          </rPr>
          <t>_x000D_
    DESCRIÇÃO DO CÁLCULO_x000D_
Código    : 54.552_x000D_
Corte     : 113_x000D_
-----------------------------_x000D_
Pendente  : _x000D_
22 / 10_2 : _x000D_
22 / 11_2 : _x000D_
22 / 12_2 : 113 (corte = 144)_x000D_
23 / 01_2 : 40_x000D_
23 / 02_2 : 5_x000D_
23 / 03_2 : _x000D_
23 / 04_2 : 80_x000D_
23 / 05_2 : _x000D_
23 / 06_2 : _x000D_
23 / 07_2 : _x000D_
23 / 08_2 : _x000D_
23 / 09_2 : _x000D_
_x000D_
    TOTAL : ( 238 )_x000D_
  DIVISOR : 12_x000D_
    MÉDIA : 19,83_x000D_
-----------------------------_x000D_
   Valores Desconsiderados_x000D_
-----------------------------_x000D_
22 / 12_2 : 31 (144)_x000D_
_x000D_
  TOTAL   : ( 31 )</t>
        </r>
      </text>
    </comment>
    <comment ref="AB823" authorId="0" shapeId="0" xr:uid="{02DE58E3-3D0C-4647-8CB0-B3667879EBBF}">
      <text>
        <r>
          <rPr>
            <sz val="10"/>
            <color indexed="81"/>
            <rFont val="Lucida Console"/>
            <family val="3"/>
          </rPr>
          <t>Última movimentação no estoque em 04/2023 quantidade 80.</t>
        </r>
      </text>
    </comment>
    <comment ref="R824" authorId="0" shapeId="0" xr:uid="{F0D17DDE-8B07-46A9-B82B-F5C65E0E1EE7}">
      <text>
        <r>
          <rPr>
            <sz val="10"/>
            <color indexed="81"/>
            <rFont val="Lucida Console"/>
            <family val="3"/>
          </rPr>
          <t>01.01.1901</t>
        </r>
      </text>
    </comment>
    <comment ref="Y824" authorId="0" shapeId="0" xr:uid="{34F0ED5E-ADC1-41B0-AC8A-BA71F7C4B892}">
      <text>
        <r>
          <rPr>
            <sz val="10"/>
            <color indexed="81"/>
            <rFont val="Courier New"/>
            <family val="3"/>
          </rPr>
          <t>_x000D_
    DESCRIÇÃO DO CÁLCULO_x000D_
Código    : 44.398_x000D_
Corte     : 217_x000D_
-----------------------------_x000D_
Pendente  : _x000D_
22 / 10_2 : _x000D_
22 / 11_2 : _x000D_
22 / 12_2 : _x000D_
23 / 01_2 : _x000D_
23 / 02_2 : _x000D_
23 / 03_2 : _x000D_
23 / 04_2 : _x000D_
23 / 05_2 : 190_x000D_
23 / 06_2 : 212_x000D_
23 / 07_2 : _x000D_
23 / 08_2 : 160_x000D_
23 / 09_2 : _x000D_
_x000D_
    TOTAL : ( 562 )_x000D_
  DIVISOR : 12_x000D_
    MÉDIA : 46,83</t>
        </r>
      </text>
    </comment>
    <comment ref="AB824" authorId="0" shapeId="0" xr:uid="{653EE9E0-57D1-4194-877D-E2EEA094982E}">
      <text>
        <r>
          <rPr>
            <sz val="10"/>
            <color indexed="81"/>
            <rFont val="Lucida Console"/>
            <family val="3"/>
          </rPr>
          <t>Última movimentação no estoque em 08/2023 quantidade 160.</t>
        </r>
      </text>
    </comment>
    <comment ref="R825" authorId="0" shapeId="0" xr:uid="{3ED78232-7B93-46C6-BF74-9D325F139DA7}">
      <text>
        <r>
          <rPr>
            <sz val="10"/>
            <color indexed="81"/>
            <rFont val="Lucida Console"/>
            <family val="3"/>
          </rPr>
          <t>01.01.1901</t>
        </r>
      </text>
    </comment>
    <comment ref="Y825" authorId="0" shapeId="0" xr:uid="{098205D7-4426-49A3-8842-876D999E6AAC}">
      <text>
        <r>
          <rPr>
            <sz val="10"/>
            <color indexed="81"/>
            <rFont val="Courier New"/>
            <family val="3"/>
          </rPr>
          <t>_x000D_
    DESCRIÇÃO DO CÁLCULO_x000D_
Código    : 59.097_x000D_
Corte     : 20_x000D_
-----------------------------_x000D_
Pendente  : 5_x000D_
22 / 10_2 : 7_x000D_
22 / 11_2 : 20 (corte = 24)_x000D_
22 / 12_2 : 2_x000D_
23 / 01_2 : 16_x000D_
23 / 02_2 : 6_x000D_
23 / 03_2 : 6_x000D_
23 / 04_2 : _x000D_
23 / 05_2 : 2_x000D_
23 / 06_2 : _x000D_
23 / 07_2 : _x000D_
23 / 08_2 : _x000D_
23 / 09_2 : _x000D_
_x000D_
    TOTAL : ( 64 )_x000D_
  DIVISOR : 12_x000D_
    MÉDIA : 5,33_x000D_
-----------------------------_x000D_
   Valores Desconsiderados_x000D_
-----------------------------_x000D_
22 / 11_2 : 4 (24)_x000D_
_x000D_
  TOTAL   : ( 4 )</t>
        </r>
      </text>
    </comment>
    <comment ref="AB825" authorId="0" shapeId="0" xr:uid="{E6CAF691-3DF0-418A-8C60-34F1790D3A85}">
      <text>
        <r>
          <rPr>
            <sz val="10"/>
            <color indexed="81"/>
            <rFont val="Lucida Console"/>
            <family val="3"/>
          </rPr>
          <t>Última movimentação no estoque em 05/2023 quantidade 2.</t>
        </r>
      </text>
    </comment>
    <comment ref="R826" authorId="0" shapeId="0" xr:uid="{628826FA-93F3-463C-890D-B89E9A5CF76B}">
      <text>
        <r>
          <rPr>
            <sz val="10"/>
            <color indexed="81"/>
            <rFont val="Lucida Console"/>
            <family val="3"/>
          </rPr>
          <t>01.01.1901</t>
        </r>
      </text>
    </comment>
    <comment ref="Y826" authorId="0" shapeId="0" xr:uid="{35870A17-82CB-41D8-A9B3-1A4E0BE00536}">
      <text>
        <r>
          <rPr>
            <sz val="10"/>
            <color indexed="81"/>
            <rFont val="Courier New"/>
            <family val="3"/>
          </rPr>
          <t>_x000D_
    DESCRIÇÃO DO CÁLCULO_x000D_
Código    : 27.761_x000D_
Corte     : 1_x000D_
-----------------------------_x000D_
Pendente  : _x000D_
22 / 10_2 : _x000D_
22 / 11_2 : _x000D_
22 / 12_2 : _x000D_
23 / 01_2 : _x000D_
23 / 02_2 : _x000D_
23 / 03_2 : _x000D_
23 / 04_2 : _x000D_
23 / 05_2 : _x000D_
23 / 06_2 : 1 (corte = 2)_x000D_
23 / 07_2 : _x000D_
23 / 08_2 : _x000D_
23 / 09_2 : _x000D_
_x000D_
    TOTAL : ( 1 )_x000D_
  DIVISOR : 12_x000D_
    MÉDIA : ,08_x000D_
-----------------------------_x000D_
   Valores Desconsiderados_x000D_
-----------------------------_x000D_
23 / 06_2 : 1 (2)_x000D_
_x000D_
  TOTAL   : ( 1 )</t>
        </r>
      </text>
    </comment>
    <comment ref="AB826" authorId="0" shapeId="0" xr:uid="{65927CB7-7A6C-4D0C-9177-33BD097233B4}">
      <text>
        <r>
          <rPr>
            <sz val="10"/>
            <color indexed="81"/>
            <rFont val="Lucida Console"/>
            <family val="3"/>
          </rPr>
          <t>Última movimentação no estoque em 06/2023 quantidade 2.</t>
        </r>
      </text>
    </comment>
    <comment ref="R827" authorId="0" shapeId="0" xr:uid="{5453B08A-F645-437A-953B-D8D9DEB38994}">
      <text>
        <r>
          <rPr>
            <sz val="10"/>
            <color indexed="81"/>
            <rFont val="Lucida Console"/>
            <family val="3"/>
          </rPr>
          <t>01.01.1901</t>
        </r>
      </text>
    </comment>
    <comment ref="Y827" authorId="0" shapeId="0" xr:uid="{3D080F18-3A7C-4026-8E11-474FC2F5D312}">
      <text>
        <r>
          <rPr>
            <sz val="10"/>
            <color indexed="81"/>
            <rFont val="Courier New"/>
            <family val="3"/>
          </rPr>
          <t>_x000D_
    DESCRIÇÃO DO CÁLCULO_x000D_
Código    : 13.559_x000D_
Corte     : 46_x000D_
-----------------------------_x000D_
Pendente  : 30_x000D_
22 / 10_2 : 27_x000D_
22 / 11_2 : 18_x000D_
22 / 12_2 : 12_x000D_
23 / 01_2 : 15_x000D_
23 / 02_2 : 17_x000D_
23 / 03_2 : 46 (corte = 54)_x000D_
23 / 04_2 : 9_x000D_
23 / 05_2 : _x000D_
23 / 06_2 : _x000D_
23 / 07_2 : _x000D_
23 / 08_2 : _x000D_
23 / 09_2 : 10_x000D_
_x000D_
    TOTAL : ( 184 )_x000D_
  DIVISOR : 12_x000D_
    MÉDIA : 15,33_x000D_
-----------------------------_x000D_
   Valores Desconsiderados_x000D_
-----------------------------_x000D_
23 / 03_2 : 8 (54)_x000D_
_x000D_
  TOTAL   : ( 8 )</t>
        </r>
      </text>
    </comment>
    <comment ref="AB827" authorId="0" shapeId="0" xr:uid="{71D958CB-70DA-4A85-B759-2016A9A324BA}">
      <text>
        <r>
          <rPr>
            <sz val="10"/>
            <color indexed="81"/>
            <rFont val="Lucida Console"/>
            <family val="3"/>
          </rPr>
          <t>Última movimentação no estoque em 09/2023 quantidade 10.</t>
        </r>
      </text>
    </comment>
    <comment ref="R828" authorId="0" shapeId="0" xr:uid="{0654F340-6BF9-4083-98F7-865EB89A4208}">
      <text>
        <r>
          <rPr>
            <sz val="10"/>
            <color indexed="81"/>
            <rFont val="Lucida Console"/>
            <family val="3"/>
          </rPr>
          <t>01.01.1901</t>
        </r>
      </text>
    </comment>
    <comment ref="Y828" authorId="0" shapeId="0" xr:uid="{82B138C8-E0FE-4DF3-AC1F-B89058C784B8}">
      <text>
        <r>
          <rPr>
            <sz val="10"/>
            <color indexed="81"/>
            <rFont val="Courier New"/>
            <family val="3"/>
          </rPr>
          <t>_x000D_
    DESCRIÇÃO DO CÁLCULO_x000D_
Código    : 13.562_x000D_
Corte     : 65_x000D_
-----------------------------_x000D_
Pendente  : _x000D_
22 / 10_2 : 22_x000D_
22 / 11_2 : 30_x000D_
22 / 12_2 : 53_x000D_
23 / 01_2 : 25_x000D_
23 / 02_2 : 42_x000D_
23 / 03_2 : 59_x000D_
23 / 04_2 : 61_x000D_
23 / 05_2 : 30_x000D_
23 / 06_2 : 25_x000D_
23 / 07_2 : 22_x000D_
23 / 08_2 : 40_x000D_
23 / 09_2 : 30_x000D_
_x000D_
    TOTAL : ( 439 )_x000D_
  DIVISOR : 12_x000D_
    MÉDIA : 36,58</t>
        </r>
      </text>
    </comment>
    <comment ref="AB828" authorId="0" shapeId="0" xr:uid="{C66CA66A-6FDA-4699-84C0-A3540F21715E}">
      <text>
        <r>
          <rPr>
            <sz val="10"/>
            <color indexed="81"/>
            <rFont val="Lucida Console"/>
            <family val="3"/>
          </rPr>
          <t>Última movimentação no estoque em 09/2023 quantidade 30.</t>
        </r>
      </text>
    </comment>
    <comment ref="R829" authorId="0" shapeId="0" xr:uid="{6E555F27-DFEA-4E3D-8FCE-B8010FB8F885}">
      <text>
        <r>
          <rPr>
            <sz val="10"/>
            <color indexed="81"/>
            <rFont val="Lucida Console"/>
            <family val="3"/>
          </rPr>
          <t>01.01.1901</t>
        </r>
      </text>
    </comment>
    <comment ref="Y829" authorId="0" shapeId="0" xr:uid="{7D6118E0-28CC-49F7-9C24-B397CE13AD9B}">
      <text>
        <r>
          <rPr>
            <sz val="10"/>
            <color indexed="81"/>
            <rFont val="Courier New"/>
            <family val="3"/>
          </rPr>
          <t>_x000D_
    DESCRIÇÃO DO CÁLCULO_x000D_
Código    : 13.560_x000D_
Corte     : 5_x000D_
-----------------------------_x000D_
Pendente  : _x000D_
22 / 10_2 : 4_x000D_
22 / 11_2 : _x000D_
22 / 12_2 : 2_x000D_
23 / 01_2 : 4_x000D_
23 / 02_2 : 2_x000D_
23 / 03_2 : 2_x000D_
23 / 04_2 : 5 (corte = 6)_x000D_
23 / 05_2 : _x000D_
23 / 06_2 : _x000D_
23 / 07_2 : _x000D_
23 / 08_2 : _x000D_
23 / 09_2 : _x000D_
_x000D_
    TOTAL : ( 19 )_x000D_
  DIVISOR : 12_x000D_
    MÉDIA : 1,58_x000D_
-----------------------------_x000D_
   Valores Desconsiderados_x000D_
-----------------------------_x000D_
23 / 04_2 : 1 (6)_x000D_
_x000D_
  TOTAL   : ( 1 )</t>
        </r>
      </text>
    </comment>
    <comment ref="AB829" authorId="0" shapeId="0" xr:uid="{066C27AF-AD44-4C40-B811-8AC19681BB61}">
      <text>
        <r>
          <rPr>
            <sz val="10"/>
            <color indexed="81"/>
            <rFont val="Lucida Console"/>
            <family val="3"/>
          </rPr>
          <t>Última movimentação no estoque em 04/2023 quantidade 6.</t>
        </r>
      </text>
    </comment>
    <comment ref="R830" authorId="0" shapeId="0" xr:uid="{D19E78DA-6C5D-452B-9F0F-39765FAE271C}">
      <text>
        <r>
          <rPr>
            <sz val="10"/>
            <color indexed="81"/>
            <rFont val="Lucida Console"/>
            <family val="3"/>
          </rPr>
          <t>01.01.1901</t>
        </r>
      </text>
    </comment>
    <comment ref="Y830" authorId="0" shapeId="0" xr:uid="{E83A448B-C4BF-4215-B2FC-B207366F380F}">
      <text>
        <r>
          <rPr>
            <sz val="10"/>
            <color indexed="81"/>
            <rFont val="Courier New"/>
            <family val="3"/>
          </rPr>
          <t>_x000D_
    DESCRIÇÃO DO CÁLCULO_x000D_
Código    : 13.561_x000D_
Corte     : 21_x000D_
-----------------------------_x000D_
Pendente  : 4_x000D_
22 / 10_2 : 12_x000D_
22 / 11_2 : 17_x000D_
22 / 12_2 : 14_x000D_
23 / 01_2 : 2_x000D_
23 / 02_2 : 3_x000D_
23 / 03_2 : 16_x000D_
23 / 04_2 : 9_x000D_
23 / 05_2 : 10_x000D_
23 / 06_2 : _x000D_
23 / 07_2 : _x000D_
23 / 08_2 : _x000D_
23 / 09_2 : 14_x000D_
_x000D_
    TOTAL : ( 101 )_x000D_
  DIVISOR : 12_x000D_
    MÉDIA : 8,42</t>
        </r>
      </text>
    </comment>
    <comment ref="AB830" authorId="0" shapeId="0" xr:uid="{E97FC299-BDD6-4B73-BDC9-DC5ACDF0EBB5}">
      <text>
        <r>
          <rPr>
            <sz val="10"/>
            <color indexed="81"/>
            <rFont val="Lucida Console"/>
            <family val="3"/>
          </rPr>
          <t>Última movimentação no estoque em 09/2023 quantidade 14.</t>
        </r>
      </text>
    </comment>
    <comment ref="R831" authorId="0" shapeId="0" xr:uid="{F920173E-FF2E-47F1-9F52-F905507E0CF7}">
      <text>
        <r>
          <rPr>
            <sz val="10"/>
            <color indexed="81"/>
            <rFont val="Lucida Console"/>
            <family val="3"/>
          </rPr>
          <t>01.01.1901</t>
        </r>
      </text>
    </comment>
    <comment ref="Y831" authorId="0" shapeId="0" xr:uid="{C8979214-A6A0-425B-B831-D3AB6C2C3F2B}">
      <text>
        <r>
          <rPr>
            <sz val="10"/>
            <color indexed="81"/>
            <rFont val="Courier New"/>
            <family val="3"/>
          </rPr>
          <t>_x000D_
    DESCRIÇÃO DO CÁLCULO_x000D_
Código    : 13.558_x000D_
Corte     : 14_x000D_
-----------------------------_x000D_
Pendente  : _x000D_
22 / 10_2 : 2_x000D_
22 / 11_2 : 2_x000D_
22 / 12_2 : 6_x000D_
23 / 01_2 : 3_x000D_
23 / 02_2 : _x000D_
23 / 03_2 : 14 (corte = 15)_x000D_
23 / 04_2 : 6_x000D_
23 / 05_2 : 12_x000D_
23 / 06_2 : _x000D_
23 / 07_2 : 3_x000D_
23 / 08_2 : _x000D_
23 / 09_2 : 6_x000D_
_x000D_
    TOTAL : ( 54 )_x000D_
  DIVISOR : 12_x000D_
    MÉDIA : 4,50_x000D_
-----------------------------_x000D_
   Valores Desconsiderados_x000D_
-----------------------------_x000D_
23 / 03_2 : 1 (15)_x000D_
_x000D_
  TOTAL   : ( 1 )</t>
        </r>
      </text>
    </comment>
    <comment ref="AB831" authorId="0" shapeId="0" xr:uid="{5F662976-C5FE-4E42-B321-CCDF7D74CB8F}">
      <text>
        <r>
          <rPr>
            <sz val="10"/>
            <color indexed="81"/>
            <rFont val="Lucida Console"/>
            <family val="3"/>
          </rPr>
          <t>Última movimentação no estoque em 09/2023 quantidade 6.</t>
        </r>
      </text>
    </comment>
    <comment ref="R832" authorId="0" shapeId="0" xr:uid="{DD0B3B9D-50B1-4E82-A965-CBD1B517E69F}">
      <text>
        <r>
          <rPr>
            <sz val="10"/>
            <color indexed="81"/>
            <rFont val="Lucida Console"/>
            <family val="3"/>
          </rPr>
          <t>09.04.2010</t>
        </r>
      </text>
    </comment>
    <comment ref="Y832" authorId="0" shapeId="0" xr:uid="{E1DCDBA7-BB22-4F7D-942F-902D74F96F37}">
      <text>
        <r>
          <rPr>
            <sz val="10"/>
            <color indexed="81"/>
            <rFont val="Courier New"/>
            <family val="3"/>
          </rPr>
          <t>_x000D_
    DESCRIÇÃO DO CÁLCULO_x000D_
Código    : 114.822_x000D_
Corte     : 8_x000D_
-----------------------------_x000D_
Pendente  : _x000D_
22 / 10_2 : 3_x000D_
22 / 11_2 : _x000D_
22 / 12_2 : _x000D_
23 / 01_2 : _x000D_
23 / 02_2 : _x000D_
23 / 03_2 : 8 (corte = 10)_x000D_
23 / 04_2 : 8_x000D_
23 / 05_2 : _x000D_
23 / 06_2 : _x000D_
23 / 07_2 : _x000D_
23 / 08_2 : 3_x000D_
23 / 09_2 : _x000D_
_x000D_
    TOTAL : ( 22 )_x000D_
  DIVISOR : 12_x000D_
    MÉDIA : 1,83_x000D_
-----------------------------_x000D_
   Valores Desconsiderados_x000D_
-----------------------------_x000D_
23 / 03_2 : 2 (10)_x000D_
_x000D_
  TOTAL   : ( 2 )</t>
        </r>
      </text>
    </comment>
    <comment ref="AB832" authorId="0" shapeId="0" xr:uid="{9E159FE2-E58D-4F0B-9266-496F2E6740F9}">
      <text>
        <r>
          <rPr>
            <sz val="10"/>
            <color indexed="81"/>
            <rFont val="Lucida Console"/>
            <family val="3"/>
          </rPr>
          <t>Última movimentação no estoque em 08/2023 quantidade 3.</t>
        </r>
      </text>
    </comment>
    <comment ref="R833" authorId="0" shapeId="0" xr:uid="{F7F0528A-3D41-40DA-A92E-7217883335AB}">
      <text>
        <r>
          <rPr>
            <sz val="10"/>
            <color indexed="81"/>
            <rFont val="Lucida Console"/>
            <family val="3"/>
          </rPr>
          <t>01.01.1901</t>
        </r>
      </text>
    </comment>
    <comment ref="Y833" authorId="0" shapeId="0" xr:uid="{02E0A4F5-2670-4250-82DC-C157853CC77F}">
      <text>
        <r>
          <rPr>
            <sz val="10"/>
            <color indexed="81"/>
            <rFont val="Courier New"/>
            <family val="3"/>
          </rPr>
          <t>_x000D_
    DESCRIÇÃO DO CÁLCULO_x000D_
Código    : 60.116_x000D_
Corte     : 17_x000D_
-----------------------------_x000D_
Pendente  : _x000D_
22 / 10_2 : 7_x000D_
22 / 11_2 : 2_x000D_
22 / 12_2 : 12_x000D_
23 / 01_2 : 9_x000D_
23 / 02_2 : 4_x000D_
23 / 03_2 : 14_x000D_
23 / 04_2 : 12_x000D_
23 / 05_2 : _x000D_
23 / 06_2 : 10_x000D_
23 / 07_2 : 10_x000D_
23 / 08_2 : _x000D_
23 / 09_2 : 10_x000D_
_x000D_
    TOTAL : ( 90 )_x000D_
  DIVISOR : 12_x000D_
    MÉDIA : 7,50</t>
        </r>
      </text>
    </comment>
    <comment ref="AB833" authorId="0" shapeId="0" xr:uid="{EEE969BE-C89A-4DD7-9508-2E5FAF850456}">
      <text>
        <r>
          <rPr>
            <sz val="10"/>
            <color indexed="81"/>
            <rFont val="Lucida Console"/>
            <family val="3"/>
          </rPr>
          <t>Última movimentação no estoque em 09/2023 quantidade 10.</t>
        </r>
      </text>
    </comment>
    <comment ref="R834" authorId="0" shapeId="0" xr:uid="{C4E781EF-A7EE-4F2E-B039-6F1F0C57180C}">
      <text>
        <r>
          <rPr>
            <sz val="10"/>
            <color indexed="81"/>
            <rFont val="Lucida Console"/>
            <family val="3"/>
          </rPr>
          <t>01.01.1901</t>
        </r>
      </text>
    </comment>
    <comment ref="Y834" authorId="0" shapeId="0" xr:uid="{ADBE5A5F-5325-4466-98E6-748C4C1F28DE}">
      <text>
        <r>
          <rPr>
            <sz val="10"/>
            <color indexed="81"/>
            <rFont val="Courier New"/>
            <family val="3"/>
          </rPr>
          <t>_x000D_
    DESCRIÇÃO DO CÁLCULO_x000D_
Código    : 64.253_x000D_
Corte     : 381_x000D_
-----------------------------_x000D_
Pendente  : _x000D_
22 / 10_2 : 94_x000D_
22 / 11_2 : _x000D_
22 / 12_2 : _x000D_
23 / 01_2 : _x000D_
23 / 02_2 : _x000D_
23 / 03_2 : 352_x000D_
23 / 04_2 : 176_x000D_
23 / 05_2 : 176_x000D_
23 / 06_2 : 170_x000D_
23 / 07_2 : _x000D_
23 / 08_2 : 352_x000D_
23 / 09_2 : _x000D_
_x000D_
    TOTAL : ( 1.320 )_x000D_
  DIVISOR : 12_x000D_
    MÉDIA : 110,00</t>
        </r>
      </text>
    </comment>
    <comment ref="AB834" authorId="0" shapeId="0" xr:uid="{21662121-CE93-450D-8342-59F4E4C83795}">
      <text>
        <r>
          <rPr>
            <sz val="10"/>
            <color indexed="81"/>
            <rFont val="Lucida Console"/>
            <family val="3"/>
          </rPr>
          <t>Última movimentação no estoque em 08/2023 quantidade 352.</t>
        </r>
      </text>
    </comment>
    <comment ref="R835" authorId="0" shapeId="0" xr:uid="{D8A6C0F4-7E0A-409B-AE49-97FCB127DF09}">
      <text>
        <r>
          <rPr>
            <sz val="10"/>
            <color indexed="81"/>
            <rFont val="Lucida Console"/>
            <family val="3"/>
          </rPr>
          <t>17.06.2009</t>
        </r>
      </text>
    </comment>
    <comment ref="Y835" authorId="0" shapeId="0" xr:uid="{336CB701-FCE7-449D-BD03-AF06B95BA2C2}">
      <text>
        <r>
          <rPr>
            <sz val="10"/>
            <color indexed="81"/>
            <rFont val="Courier New"/>
            <family val="3"/>
          </rPr>
          <t>_x000D_
    DESCRIÇÃO DO CÁLCULO_x000D_
Código    : 111.336_x000D_
Corte     : 127_x000D_
-----------------------------_x000D_
Pendente  : _x000D_
22 / 10_2 : 6_x000D_
22 / 11_2 : 80_x000D_
22 / 12_2 : 15_x000D_
23 / 01_2 : _x000D_
23 / 02_2 : 35_x000D_
23 / 03_2 : 30_x000D_
23 / 04_2 : 120_x000D_
23 / 05_2 : 90_x000D_
23 / 06_2 : 91_x000D_
23 / 07_2 : _x000D_
23 / 08_2 : _x000D_
23 / 09_2 : _x000D_
_x000D_
    TOTAL : ( 467 )_x000D_
  DIVISOR : 12_x000D_
    MÉDIA : 38,92</t>
        </r>
      </text>
    </comment>
    <comment ref="AB835" authorId="0" shapeId="0" xr:uid="{F592219B-50A4-4CDC-A996-A5E0FCCEA279}">
      <text>
        <r>
          <rPr>
            <sz val="10"/>
            <color indexed="81"/>
            <rFont val="Lucida Console"/>
            <family val="3"/>
          </rPr>
          <t>Última movimentação no estoque em 06/2023 quantidade 91.</t>
        </r>
      </text>
    </comment>
    <comment ref="R836" authorId="0" shapeId="0" xr:uid="{A4178FF1-367B-4761-9F75-EDBF0DAED14D}">
      <text>
        <r>
          <rPr>
            <sz val="10"/>
            <color indexed="81"/>
            <rFont val="Lucida Console"/>
            <family val="3"/>
          </rPr>
          <t>01.01.1901</t>
        </r>
      </text>
    </comment>
    <comment ref="Y836" authorId="0" shapeId="0" xr:uid="{A667FFF4-A19B-4DBF-AE56-3A25AA689020}">
      <text>
        <r>
          <rPr>
            <sz val="10"/>
            <color indexed="81"/>
            <rFont val="Courier New"/>
            <family val="3"/>
          </rPr>
          <t>_x000D_
    DESCRIÇÃO DO CÁLCULO_x000D_
Código    : 66.168_x000D_
Corte     : 249_x000D_
-----------------------------_x000D_
Pendente  : _x000D_
22 / 10_2 : 20_x000D_
22 / 11_2 : 189_x000D_
22 / 12_2 : _x000D_
23 / 01_2 : 15_x000D_
23 / 02_2 : 10_x000D_
23 / 03_2 : _x000D_
23 / 04_2 : _x000D_
23 / 05_2 : 200_x000D_
23 / 06_2 : _x000D_
23 / 07_2 : _x000D_
23 / 08_2 : 249 (corte = 253)_x000D_
23 / 09_2 : _x000D_
_x000D_
    TOTAL : ( 683 )_x000D_
  DIVISOR : 12_x000D_
    MÉDIA : 56,92_x000D_
-----------------------------_x000D_
   Valores Desconsiderados_x000D_
-----------------------------_x000D_
23 / 08_2 : 4 (253)_x000D_
_x000D_
  TOTAL   : ( 4 )</t>
        </r>
      </text>
    </comment>
    <comment ref="AB836" authorId="0" shapeId="0" xr:uid="{0A03772F-1C81-4DCF-AC74-AF2E5C2E4FFB}">
      <text>
        <r>
          <rPr>
            <sz val="10"/>
            <color indexed="81"/>
            <rFont val="Lucida Console"/>
            <family val="3"/>
          </rPr>
          <t>Última movimentação no estoque em 08/2023 quantidade 253.</t>
        </r>
      </text>
    </comment>
    <comment ref="R837" authorId="0" shapeId="0" xr:uid="{DCDD1DDA-6925-4ACB-B684-2A6A0BFA4E93}">
      <text>
        <r>
          <rPr>
            <sz val="10"/>
            <color indexed="81"/>
            <rFont val="Lucida Console"/>
            <family val="3"/>
          </rPr>
          <t>01.01.1901</t>
        </r>
      </text>
    </comment>
    <comment ref="Y837" authorId="0" shapeId="0" xr:uid="{B50AB673-F3B5-4F09-8CBA-C6B8FA8A270A}">
      <text>
        <r>
          <rPr>
            <sz val="10"/>
            <color indexed="81"/>
            <rFont val="Courier New"/>
            <family val="3"/>
          </rPr>
          <t>_x000D_
    DESCRIÇÃO DO CÁLCULO_x000D_
Código    : 45.607_x000D_
Corte     : 82_x000D_
-----------------------------_x000D_
Pendente  : _x000D_
22 / 10_2 : 56_x000D_
22 / 11_2 : 30_x000D_
22 / 12_2 : 44_x000D_
23 / 01_2 : 33_x000D_
23 / 02_2 : 43_x000D_
23 / 03_2 : 82 (corte = 89)_x000D_
23 / 04_2 : 30_x000D_
23 / 05_2 : _x000D_
23 / 06_2 : _x000D_
23 / 07_2 : 20_x000D_
23 / 08_2 : 30_x000D_
23 / 09_2 : 40_x000D_
_x000D_
    TOTAL : ( 408 )_x000D_
  DIVISOR : 12_x000D_
    MÉDIA : 34,00_x000D_
-----------------------------_x000D_
   Valores Desconsiderados_x000D_
-----------------------------_x000D_
23 / 03_2 : 7 (89)_x000D_
_x000D_
  TOTAL   : ( 7 )</t>
        </r>
      </text>
    </comment>
    <comment ref="AB837" authorId="0" shapeId="0" xr:uid="{23C447AD-4E14-408D-A005-4F92D7B4AA60}">
      <text>
        <r>
          <rPr>
            <sz val="10"/>
            <color indexed="81"/>
            <rFont val="Lucida Console"/>
            <family val="3"/>
          </rPr>
          <t>Última movimentação no estoque em 09/2023 quantidade 40.</t>
        </r>
      </text>
    </comment>
    <comment ref="R838" authorId="0" shapeId="0" xr:uid="{D6704C38-2146-41CB-AA8E-A1FE57D9F77E}">
      <text>
        <r>
          <rPr>
            <sz val="10"/>
            <color indexed="81"/>
            <rFont val="Lucida Console"/>
            <family val="3"/>
          </rPr>
          <t>01.01.1901</t>
        </r>
      </text>
    </comment>
    <comment ref="Y838" authorId="0" shapeId="0" xr:uid="{00F5C211-9A25-4C7F-B1FF-3945512BCFC4}">
      <text>
        <r>
          <rPr>
            <sz val="10"/>
            <color indexed="81"/>
            <rFont val="Courier New"/>
            <family val="3"/>
          </rPr>
          <t>_x000D_
    DESCRIÇÃO DO CÁLCULO_x000D_
Código    : 28.308_x000D_
Corte     : 24_x000D_
-----------------------------_x000D_
Pendente  : _x000D_
22 / 10_2 : 2_x000D_
22 / 11_2 : _x000D_
22 / 12_2 : 9_x000D_
23 / 01_2 : _x000D_
23 / 02_2 : 4_x000D_
23 / 03_2 : 10_x000D_
23 / 04_2 : 24 (corte = 34)_x000D_
23 / 05_2 : _x000D_
23 / 06_2 : _x000D_
23 / 07_2 : _x000D_
23 / 08_2 : _x000D_
23 / 09_2 : _x000D_
_x000D_
    TOTAL : ( 49 )_x000D_
  DIVISOR : 12_x000D_
    MÉDIA : 4,08_x000D_
-----------------------------_x000D_
   Valores Desconsiderados_x000D_
-----------------------------_x000D_
23 / 04_2 : 10 (34)_x000D_
_x000D_
  TOTAL   : ( 10 )</t>
        </r>
      </text>
    </comment>
    <comment ref="AB838" authorId="0" shapeId="0" xr:uid="{3DFA3938-DF8B-425B-9828-C5B434856E68}">
      <text>
        <r>
          <rPr>
            <sz val="10"/>
            <color indexed="81"/>
            <rFont val="Lucida Console"/>
            <family val="3"/>
          </rPr>
          <t>Última movimentação no estoque em 04/2023 quantidade 34.</t>
        </r>
      </text>
    </comment>
    <comment ref="R839" authorId="0" shapeId="0" xr:uid="{16F264C0-3661-462E-B756-495BB7A6B3CE}">
      <text>
        <r>
          <rPr>
            <sz val="10"/>
            <color indexed="81"/>
            <rFont val="Lucida Console"/>
            <family val="3"/>
          </rPr>
          <t>01.01.1901</t>
        </r>
      </text>
    </comment>
    <comment ref="Y839" authorId="0" shapeId="0" xr:uid="{222701D6-FB86-4771-8D4C-48F10A0CEAAE}">
      <text>
        <r>
          <rPr>
            <sz val="10"/>
            <color indexed="81"/>
            <rFont val="Courier New"/>
            <family val="3"/>
          </rPr>
          <t>_x000D_
    DESCRIÇÃO DO CÁLCULO_x000D_
Código    : 28.306_x000D_
Corte     : 6_x000D_
-----------------------------_x000D_
Pendente  : _x000D_
22 / 10_2 : 4_x000D_
22 / 11_2 : _x000D_
22 / 12_2 : 5_x000D_
23 / 01_2 : 4_x000D_
23 / 02_2 : _x000D_
23 / 03_2 : 2_x000D_
23 / 04_2 : 5_x000D_
23 / 05_2 : _x000D_
23 / 06_2 : _x000D_
23 / 07_2 : _x000D_
23 / 08_2 : _x000D_
23 / 09_2 : _x000D_
_x000D_
    TOTAL : ( 20 )_x000D_
  DIVISOR : 12_x000D_
    MÉDIA : 1,67</t>
        </r>
      </text>
    </comment>
    <comment ref="AB839" authorId="0" shapeId="0" xr:uid="{DCECBC9F-8895-4059-B26D-782459CBCAF0}">
      <text>
        <r>
          <rPr>
            <sz val="10"/>
            <color indexed="81"/>
            <rFont val="Lucida Console"/>
            <family val="3"/>
          </rPr>
          <t>Última movimentação no estoque em 04/2023 quantidade 5.</t>
        </r>
      </text>
    </comment>
    <comment ref="R840" authorId="0" shapeId="0" xr:uid="{6A320798-5B43-47A2-AAB7-D6161063934E}">
      <text>
        <r>
          <rPr>
            <sz val="10"/>
            <color indexed="81"/>
            <rFont val="Lucida Console"/>
            <family val="3"/>
          </rPr>
          <t>01.01.1901</t>
        </r>
      </text>
    </comment>
    <comment ref="Y840" authorId="0" shapeId="0" xr:uid="{5555B50C-19C0-4A12-B5AF-4DC1759325A1}">
      <text>
        <r>
          <rPr>
            <sz val="10"/>
            <color indexed="81"/>
            <rFont val="Courier New"/>
            <family val="3"/>
          </rPr>
          <t>_x000D_
    DESCRIÇÃO DO CÁLCULO_x000D_
Código    : 28.307_x000D_
Corte     : 5_x000D_
-----------------------------_x000D_
Pendente  : _x000D_
22 / 10_2 : _x000D_
22 / 11_2 : _x000D_
22 / 12_2 : _x000D_
23 / 01_2 : _x000D_
23 / 02_2 : _x000D_
23 / 03_2 : _x000D_
23 / 04_2 : 5 (corte = 8)_x000D_
23 / 05_2 : _x000D_
23 / 06_2 : _x000D_
23 / 07_2 : _x000D_
23 / 08_2 : _x000D_
23 / 09_2 : _x000D_
_x000D_
    TOTAL : ( 5 )_x000D_
  DIVISOR : 12_x000D_
    MÉDIA : ,42_x000D_
-----------------------------_x000D_
   Valores Desconsiderados_x000D_
-----------------------------_x000D_
23 / 04_2 : 3 (8)_x000D_
_x000D_
  TOTAL   : ( 3 )</t>
        </r>
      </text>
    </comment>
    <comment ref="AB840" authorId="0" shapeId="0" xr:uid="{DB6F7EE2-B8A4-44F3-994F-8893E8A4A340}">
      <text>
        <r>
          <rPr>
            <sz val="10"/>
            <color indexed="81"/>
            <rFont val="Lucida Console"/>
            <family val="3"/>
          </rPr>
          <t>Última movimentação no estoque em 04/2023 quantidade 8.</t>
        </r>
      </text>
    </comment>
    <comment ref="R841" authorId="0" shapeId="0" xr:uid="{B270FA17-0F82-47FF-AA30-DB3E3788F3DD}">
      <text>
        <r>
          <rPr>
            <sz val="10"/>
            <color indexed="81"/>
            <rFont val="Lucida Console"/>
            <family val="3"/>
          </rPr>
          <t>01.07.2004</t>
        </r>
      </text>
    </comment>
    <comment ref="Y841" authorId="0" shapeId="0" xr:uid="{CAB2C262-4F1A-4BA6-ABD0-7B6B4EDE33FC}">
      <text>
        <r>
          <rPr>
            <sz val="10"/>
            <color indexed="81"/>
            <rFont val="Courier New"/>
            <family val="3"/>
          </rPr>
          <t>_x000D_
    DESCRIÇÃO DO CÁLCULO_x000D_
Código    : 80.390_x000D_
Corte     : 35_x000D_
-----------------------------_x000D_
Pendente  : _x000D_
22 / 10_2 : _x000D_
22 / 11_2 : 3_x000D_
22 / 12_2 : 7_x000D_
23 / 01_2 : _x000D_
23 / 02_2 : 10_x000D_
23 / 03_2 : 9_x000D_
23 / 04_2 : 11_x000D_
23 / 05_2 : 35 (corte = 50)_x000D_
23 / 06_2 : _x000D_
23 / 07_2 : _x000D_
23 / 08_2 : _x000D_
23 / 09_2 : _x000D_
_x000D_
    TOTAL : ( 75 )_x000D_
  DIVISOR : 12_x000D_
    MÉDIA : 6,25_x000D_
-----------------------------_x000D_
   Valores Desconsiderados_x000D_
-----------------------------_x000D_
23 / 05_2 : 15 (50)_x000D_
_x000D_
  TOTAL   : ( 15 )</t>
        </r>
      </text>
    </comment>
    <comment ref="AB841" authorId="0" shapeId="0" xr:uid="{87411A19-A5BA-4866-A444-F873FF1395D7}">
      <text>
        <r>
          <rPr>
            <sz val="10"/>
            <color indexed="81"/>
            <rFont val="Lucida Console"/>
            <family val="3"/>
          </rPr>
          <t>Última movimentação no estoque em 05/2023 quantidade 50.</t>
        </r>
      </text>
    </comment>
    <comment ref="R842" authorId="0" shapeId="0" xr:uid="{47D4FFE4-45D4-4EF0-90C7-505D0F0F82EF}">
      <text>
        <r>
          <rPr>
            <sz val="10"/>
            <color indexed="81"/>
            <rFont val="Lucida Console"/>
            <family val="3"/>
          </rPr>
          <t>25.01.2008</t>
        </r>
      </text>
    </comment>
    <comment ref="Y842" authorId="0" shapeId="0" xr:uid="{10D327C5-804A-42C1-A11D-1AB861C90AD7}">
      <text>
        <r>
          <rPr>
            <sz val="10"/>
            <color indexed="81"/>
            <rFont val="Courier New"/>
            <family val="3"/>
          </rPr>
          <t>_x000D_
    DESCRIÇÃO DO CÁLCULO_x000D_
Código    : 104.667_x000D_
Corte     : 21_x000D_
-----------------------------_x000D_
Pendente  : _x000D_
22 / 10_2 : 5_x000D_
22 / 11_2 : 11_x000D_
22 / 12_2 : 2_x000D_
23 / 01_2 : 3_x000D_
23 / 02_2 : 3_x000D_
23 / 03_2 : 8_x000D_
23 / 04_2 : 8_x000D_
23 / 05_2 : 9_x000D_
23 / 06_2 : 21 (corte = 25)_x000D_
23 / 07_2 : _x000D_
23 / 08_2 : _x000D_
23 / 09_2 : 14_x000D_
_x000D_
    TOTAL : ( 84 )_x000D_
  DIVISOR : 12_x000D_
    MÉDIA : 7,00_x000D_
-----------------------------_x000D_
   Valores Desconsiderados_x000D_
-----------------------------_x000D_
23 / 06_2 : 4 (25)_x000D_
_x000D_
  TOTAL   : ( 4 )</t>
        </r>
      </text>
    </comment>
    <comment ref="AB842" authorId="0" shapeId="0" xr:uid="{EB7C1DBC-E77D-4D96-86AE-4C1357B5E3E2}">
      <text>
        <r>
          <rPr>
            <sz val="10"/>
            <color indexed="81"/>
            <rFont val="Lucida Console"/>
            <family val="3"/>
          </rPr>
          <t>Última movimentação no estoque em 09/2023 quantidade 14.</t>
        </r>
      </text>
    </comment>
    <comment ref="R843" authorId="0" shapeId="0" xr:uid="{DB0A0E4A-99A4-460F-8220-0CD9C99C6A82}">
      <text>
        <r>
          <rPr>
            <sz val="10"/>
            <color indexed="81"/>
            <rFont val="Lucida Console"/>
            <family val="3"/>
          </rPr>
          <t>17.10.2006</t>
        </r>
      </text>
    </comment>
    <comment ref="Y843" authorId="0" shapeId="0" xr:uid="{60304440-20A0-4768-B5F7-3206D3D2EF0E}">
      <text>
        <r>
          <rPr>
            <sz val="10"/>
            <color indexed="81"/>
            <rFont val="Courier New"/>
            <family val="3"/>
          </rPr>
          <t>_x000D_
    DESCRIÇÃO DO CÁLCULO_x000D_
Código    : 95.209_x000D_
Corte     : 98_x000D_
-----------------------------_x000D_
Pendente  : 100_x000D_
22 / 10_2 : 10_x000D_
22 / 11_2 : 37_x000D_
22 / 12_2 : 19_x000D_
23 / 01_2 : 8_x000D_
23 / 02_2 : 21_x000D_
23 / 03_2 : 46_x000D_
23 / 04_2 : 73_x000D_
23 / 05_2 : 9_x000D_
23 / 06_2 : _x000D_
23 / 07_2 : _x000D_
23 / 08_2 : 63_x000D_
23 / 09_2 : 50_x000D_
_x000D_
    TOTAL : ( 436 )_x000D_
  DIVISOR : 12_x000D_
    MÉDIA : 36,33</t>
        </r>
      </text>
    </comment>
    <comment ref="AB843" authorId="0" shapeId="0" xr:uid="{1A3A6846-E82B-4BC3-8561-A6756654FF1E}">
      <text>
        <r>
          <rPr>
            <sz val="10"/>
            <color indexed="81"/>
            <rFont val="Lucida Console"/>
            <family val="3"/>
          </rPr>
          <t>Última movimentação no estoque em 09/2023 quantidade 50.</t>
        </r>
      </text>
    </comment>
    <comment ref="R844" authorId="0" shapeId="0" xr:uid="{D2877387-085F-47EF-8125-BFA812B1B2BE}">
      <text>
        <r>
          <rPr>
            <sz val="10"/>
            <color indexed="81"/>
            <rFont val="Lucida Console"/>
            <family val="3"/>
          </rPr>
          <t>25.04.2017</t>
        </r>
      </text>
    </comment>
    <comment ref="Y844" authorId="0" shapeId="0" xr:uid="{C0D8E5A5-62B5-45A3-8B12-2FF95D8032D8}">
      <text>
        <r>
          <rPr>
            <sz val="10"/>
            <color indexed="81"/>
            <rFont val="Courier New"/>
            <family val="3"/>
          </rPr>
          <t>_x000D_
    DESCRIÇÃO DO CÁLCULO_x000D_
Código    : 132.623_x000D_
Corte     : 4_x000D_
-----------------------------_x000D_
Pendente  : _x000D_
22 / 10_2 : 1_x000D_
22 / 11_2 : 1_x000D_
22 / 12_2 : 1_x000D_
23 / 01_2 : 4 (corte = 6)_x000D_
23 / 02_2 : _x000D_
23 / 03_2 : 1_x000D_
23 / 04_2 : 3_x000D_
23 / 05_2 : _x000D_
23 / 06_2 : _x000D_
23 / 07_2 : _x000D_
23 / 08_2 : 2_x000D_
23 / 09_2 : _x000D_
_x000D_
    TOTAL : ( 13 )_x000D_
  DIVISOR : 12_x000D_
    MÉDIA : 1,08_x000D_
-----------------------------_x000D_
   Valores Desconsiderados_x000D_
-----------------------------_x000D_
23 / 01_2 : 2 (6)_x000D_
_x000D_
  TOTAL   : ( 2 )</t>
        </r>
      </text>
    </comment>
    <comment ref="AB844" authorId="0" shapeId="0" xr:uid="{62B7E1D2-C341-4F28-9CC1-4824A7378447}">
      <text>
        <r>
          <rPr>
            <sz val="10"/>
            <color indexed="81"/>
            <rFont val="Lucida Console"/>
            <family val="3"/>
          </rPr>
          <t>Última movimentação no estoque em 08/2023 quantidade 2.</t>
        </r>
      </text>
    </comment>
    <comment ref="R845" authorId="0" shapeId="0" xr:uid="{C8A6C045-FDF8-4F16-9404-364B94785D7E}">
      <text>
        <r>
          <rPr>
            <sz val="10"/>
            <color indexed="81"/>
            <rFont val="Lucida Console"/>
            <family val="3"/>
          </rPr>
          <t>01.01.1901</t>
        </r>
      </text>
    </comment>
    <comment ref="Y845" authorId="0" shapeId="0" xr:uid="{95C1DB0A-6914-4043-BA4A-E3D559F01F1E}">
      <text>
        <r>
          <rPr>
            <sz val="10"/>
            <color indexed="81"/>
            <rFont val="Courier New"/>
            <family val="3"/>
          </rPr>
          <t>_x000D_
    DESCRIÇÃO DO CÁLCULO_x000D_
Código    : 13.192_x000D_
Corte     : 26_x000D_
-----------------------------_x000D_
Pendente  : 5_x000D_
22 / 10_2 : 3_x000D_
22 / 11_2 : 2_x000D_
22 / 12_2 : 24_x000D_
23 / 01_2 : 7_x000D_
23 / 02_2 : 5_x000D_
23 / 03_2 : 1_x000D_
23 / 04_2 : _x000D_
23 / 05_2 : _x000D_
23 / 06_2 : _x000D_
23 / 07_2 : _x000D_
23 / 08_2 : 10_x000D_
23 / 09_2 : 26 (corte = 31)_x000D_
_x000D_
    TOTAL : ( 83 )_x000D_
  DIVISOR : 12_x000D_
    MÉDIA : 6,92_x000D_
-----------------------------_x000D_
   Valores Desconsiderados_x000D_
-----------------------------_x000D_
23 / 09_2 : 5 (31)_x000D_
_x000D_
  TOTAL   : ( 5 )</t>
        </r>
      </text>
    </comment>
    <comment ref="AB845" authorId="0" shapeId="0" xr:uid="{3055BEDE-2E7B-44A0-8034-7CAFFC2C56C8}">
      <text>
        <r>
          <rPr>
            <sz val="10"/>
            <color indexed="81"/>
            <rFont val="Lucida Console"/>
            <family val="3"/>
          </rPr>
          <t>Última movimentação no estoque em 09/2023 quantidade 31.</t>
        </r>
      </text>
    </comment>
    <comment ref="R846" authorId="0" shapeId="0" xr:uid="{1E465318-0570-46CF-AE4D-B3383EA0436C}">
      <text>
        <r>
          <rPr>
            <sz val="10"/>
            <color indexed="81"/>
            <rFont val="Lucida Console"/>
            <family val="3"/>
          </rPr>
          <t>01.01.1901</t>
        </r>
      </text>
    </comment>
    <comment ref="Y846" authorId="0" shapeId="0" xr:uid="{7A45DECA-E626-4BC3-B823-A19E67E467EB}">
      <text>
        <r>
          <rPr>
            <sz val="10"/>
            <color indexed="81"/>
            <rFont val="Courier New"/>
            <family val="3"/>
          </rPr>
          <t>_x000D_
    DESCRIÇÃO DO CÁLCULO_x000D_
Código    : 12.673_x000D_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846" authorId="0" shapeId="0" xr:uid="{A99BF926-175B-486F-B1C9-95B2BED54D4C}">
      <text>
        <r>
          <rPr>
            <sz val="10"/>
            <color indexed="81"/>
            <rFont val="Lucida Console"/>
            <family val="3"/>
          </rPr>
          <t>Última movimentação no estoque em 09/2023 quantidade 31.</t>
        </r>
      </text>
    </comment>
    <comment ref="R847" authorId="0" shapeId="0" xr:uid="{B13E932D-FC11-4F04-898E-375F768D0307}">
      <text>
        <r>
          <rPr>
            <sz val="10"/>
            <color indexed="81"/>
            <rFont val="Lucida Console"/>
            <family val="3"/>
          </rPr>
          <t>01.01.1901</t>
        </r>
      </text>
    </comment>
    <comment ref="Y847" authorId="0" shapeId="0" xr:uid="{049B0634-A95E-4DD0-8761-F04264252688}">
      <text>
        <r>
          <rPr>
            <sz val="10"/>
            <color indexed="81"/>
            <rFont val="Courier New"/>
            <family val="3"/>
          </rPr>
          <t>_x000D_
    DESCRIÇÃO DO CÁLCULO_x000D_
Código    : 91.868_x000D_
Corte     : 1_x000D_
-----------------------------_x000D_
Pendente  : 2_x000D_
22 / 10_2 : _x000D_
22 / 11_2 : _x000D_
22 / 12_2 : _x000D_
23 / 01_2 : _x000D_
23 / 02_2 : _x000D_
23 / 03_2 : _x000D_
23 / 04_2 : _x000D_
23 / 05_2 : _x000D_
23 / 06_2 : _x000D_
23 / 07_2 : _x000D_
23 / 08_2 : _x000D_
23 / 09_2 : _x000D_
_x000D_
    TOTAL : ( 2 )_x000D_
  DIVISOR : 12_x000D_
    MÉDIA : ,17</t>
        </r>
      </text>
    </comment>
    <comment ref="AB847" authorId="0" shapeId="0" xr:uid="{78896887-81DC-4293-AAE3-49C94279519F}">
      <text>
        <r>
          <rPr>
            <sz val="10"/>
            <color indexed="81"/>
            <rFont val="Lucida Console"/>
            <family val="3"/>
          </rPr>
          <t>Última movimentação no estoque em 09/2023 quantidade 31.</t>
        </r>
      </text>
    </comment>
    <comment ref="R848" authorId="0" shapeId="0" xr:uid="{8BBCC802-8D96-4541-87D9-F5BB78987CE8}">
      <text>
        <r>
          <rPr>
            <sz val="10"/>
            <color indexed="81"/>
            <rFont val="Lucida Console"/>
            <family val="3"/>
          </rPr>
          <t>01.01.1901</t>
        </r>
      </text>
    </comment>
    <comment ref="Y848" authorId="0" shapeId="0" xr:uid="{8326C632-F6BA-46FA-9A13-23F68A389FDE}">
      <text>
        <r>
          <rPr>
            <sz val="10"/>
            <color indexed="81"/>
            <rFont val="Courier New"/>
            <family val="3"/>
          </rPr>
          <t>_x000D_
    DESCRIÇÃO DO CÁLCULO_x000D_
Código    : 42.854_x000D_
Corte     : 175_x000D_
-----------------------------_x000D_
Pendente  : _x000D_
22 / 10_2 : 81_x000D_
22 / 11_2 : 76_x000D_
22 / 12_2 : 60_x000D_
23 / 01_2 : 95_x000D_
23 / 02_2 : 115_x000D_
23 / 03_2 : 106_x000D_
23 / 04_2 : 76_x000D_
23 / 05_2 : 101_x000D_
23 / 06_2 : 110_x000D_
23 / 07_2 : _x000D_
23 / 08_2 : 175 (corte = 181)_x000D_
23 / 09_2 : 100_x000D_
_x000D_
    TOTAL : ( 1.095 )_x000D_
  DIVISOR : 12_x000D_
    MÉDIA : 91,25_x000D_
-----------------------------_x000D_
   Valores Desconsiderados_x000D_
-----------------------------_x000D_
23 / 08_2 : 6 (181)_x000D_
_x000D_
  TOTAL   : ( 6 )</t>
        </r>
      </text>
    </comment>
    <comment ref="AB848" authorId="0" shapeId="0" xr:uid="{55BF04ED-FA11-4686-A15D-770C7982AAA6}">
      <text>
        <r>
          <rPr>
            <sz val="10"/>
            <color indexed="81"/>
            <rFont val="Lucida Console"/>
            <family val="3"/>
          </rPr>
          <t>Última movimentação no estoque em 09/2023 quantidade 100.</t>
        </r>
      </text>
    </comment>
    <comment ref="R849" authorId="0" shapeId="0" xr:uid="{682DF188-9B4C-44BA-B535-3BD85026B82C}">
      <text>
        <r>
          <rPr>
            <sz val="10"/>
            <color indexed="81"/>
            <rFont val="Lucida Console"/>
            <family val="3"/>
          </rPr>
          <t>01.01.1901</t>
        </r>
      </text>
    </comment>
    <comment ref="Y849" authorId="0" shapeId="0" xr:uid="{379A1822-2BD1-41B5-9019-5D4DECD9FC19}">
      <text>
        <r>
          <rPr>
            <sz val="10"/>
            <color indexed="81"/>
            <rFont val="Courier New"/>
            <family val="3"/>
          </rPr>
          <t>_x000D_
    DESCRIÇÃO DO CÁLCULO_x000D_
Código    : 54.026_x000D_
Corte     : 14_x000D_
-----------------------------_x000D_
Pendente  : _x000D_
22 / 10_2 : 12_x000D_
22 / 11_2 : _x000D_
22 / 12_2 : 9_x000D_
23 / 01_2 : 10_x000D_
23 / 02_2 : 6_x000D_
23 / 03_2 : 3_x000D_
23 / 04_2 : 8_x000D_
23 / 05_2 : 10_x000D_
23 / 06_2 : _x000D_
23 / 07_2 : _x000D_
23 / 08_2 : _x000D_
23 / 09_2 : _x000D_
_x000D_
    TOTAL : ( 58 )_x000D_
  DIVISOR : 12_x000D_
    MÉDIA : 4,83</t>
        </r>
      </text>
    </comment>
    <comment ref="AB849" authorId="0" shapeId="0" xr:uid="{4A3F4E5D-A61E-487F-B8CF-11234F213903}">
      <text>
        <r>
          <rPr>
            <sz val="10"/>
            <color indexed="81"/>
            <rFont val="Lucida Console"/>
            <family val="3"/>
          </rPr>
          <t>Última movimentação no estoque em 05/2023 quantidade 10.</t>
        </r>
      </text>
    </comment>
    <comment ref="R850" authorId="0" shapeId="0" xr:uid="{FDEEABF7-C1BE-4BED-B04A-1533FE132E51}">
      <text>
        <r>
          <rPr>
            <sz val="10"/>
            <color indexed="81"/>
            <rFont val="Lucida Console"/>
            <family val="3"/>
          </rPr>
          <t>08.06.2021</t>
        </r>
      </text>
    </comment>
    <comment ref="Y850" authorId="0" shapeId="0" xr:uid="{67C43DBE-8B79-45DF-9619-BB4D3AE24E4A}">
      <text>
        <r>
          <rPr>
            <sz val="10"/>
            <color indexed="81"/>
            <rFont val="Courier New"/>
            <family val="3"/>
          </rPr>
          <t>_x000D_
    DESCRIÇÃO DO CÁLCULO_x000D_
Código    : 141.270_x000D_
Corte     : 25_x000D_
-----------------------------_x000D_
Pendente  : _x000D_
22 / 10_2 : 2_x000D_
22 / 11_2 : _x000D_
22 / 12_2 : _x000D_
23 / 01_2 : _x000D_
23 / 02_2 : 25 (corte = 38)_x000D_
23 / 03_2 : _x000D_
23 / 04_2 : _x000D_
23 / 05_2 : _x000D_
23 / 06_2 : _x000D_
23 / 07_2 : _x000D_
23 / 08_2 : _x000D_
23 / 09_2 : _x000D_
_x000D_
    TOTAL : ( 27 )_x000D_
  DIVISOR : 12_x000D_
    MÉDIA : 2,25_x000D_
-----------------------------_x000D_
   Valores Desconsiderados_x000D_
-----------------------------_x000D_
23 / 02_2 : 13 (38)_x000D_
_x000D_
  TOTAL   : ( 13 )</t>
        </r>
      </text>
    </comment>
    <comment ref="AB850" authorId="0" shapeId="0" xr:uid="{95BBF3CB-06DA-4446-85A1-1F8499395451}">
      <text>
        <r>
          <rPr>
            <sz val="10"/>
            <color indexed="81"/>
            <rFont val="Lucida Console"/>
            <family val="3"/>
          </rPr>
          <t>Última movimentação no estoque em 02/2023 quantidade 38.</t>
        </r>
      </text>
    </comment>
    <comment ref="R851" authorId="0" shapeId="0" xr:uid="{36A75C89-FC5A-48DD-92AE-C8AF03586603}">
      <text>
        <r>
          <rPr>
            <sz val="10"/>
            <color indexed="81"/>
            <rFont val="Lucida Console"/>
            <family val="3"/>
          </rPr>
          <t>12.08.2003</t>
        </r>
      </text>
    </comment>
    <comment ref="Y851" authorId="0" shapeId="0" xr:uid="{10351DA8-1907-4FB7-84EE-90CA3899DC16}">
      <text>
        <r>
          <rPr>
            <sz val="10"/>
            <color indexed="81"/>
            <rFont val="Courier New"/>
            <family val="3"/>
          </rPr>
          <t>_x000D_
    DESCRIÇÃO DO CÁLCULO_x000D_
Código    : 74.908_x000D_
Corte     : 24_x000D_
-----------------------------_x000D_
Pendente  : _x000D_
22 / 10_2 : _x000D_
22 / 11_2 : 1_x000D_
22 / 12_2 : _x000D_
23 / 01_2 : 12_x000D_
23 / 02_2 : _x000D_
23 / 03_2 : _x000D_
23 / 04_2 : _x000D_
23 / 05_2 : 6_x000D_
23 / 06_2 : 24 (corte = 34)_x000D_
23 / 07_2 : _x000D_
23 / 08_2 : _x000D_
23 / 09_2 : _x000D_
_x000D_
    TOTAL : ( 43 )_x000D_
  DIVISOR : 12_x000D_
    MÉDIA : 3,58_x000D_
-----------------------------_x000D_
   Valores Desconsiderados_x000D_
-----------------------------_x000D_
23 / 06_2 : 10 (34)_x000D_
_x000D_
  TOTAL   : ( 10 )</t>
        </r>
      </text>
    </comment>
    <comment ref="AB851" authorId="0" shapeId="0" xr:uid="{3CB77D73-0C66-4B49-8E17-5F0E01607F85}">
      <text>
        <r>
          <rPr>
            <sz val="10"/>
            <color indexed="81"/>
            <rFont val="Lucida Console"/>
            <family val="3"/>
          </rPr>
          <t>Última movimentação no estoque em 06/2023 quantidade 34.</t>
        </r>
      </text>
    </comment>
    <comment ref="R852" authorId="0" shapeId="0" xr:uid="{24A6CD3B-2BB2-43D9-A5C6-B590AAE091BF}">
      <text>
        <r>
          <rPr>
            <sz val="10"/>
            <color indexed="81"/>
            <rFont val="Lucida Console"/>
            <family val="3"/>
          </rPr>
          <t>10.03.2004</t>
        </r>
      </text>
    </comment>
    <comment ref="Y852" authorId="0" shapeId="0" xr:uid="{6D01190D-2BB7-4AD8-B1D3-159D5D2BAB60}">
      <text>
        <r>
          <rPr>
            <sz val="10"/>
            <color indexed="81"/>
            <rFont val="Courier New"/>
            <family val="3"/>
          </rPr>
          <t>_x000D_
    DESCRIÇÃO DO CÁLCULO_x000D_
Código    : 77.556_x000D_
Corte     : 34_x000D_
-----------------------------_x000D_
Pendente  : _x000D_
22 / 10_2 : _x000D_
22 / 11_2 : _x000D_
22 / 12_2 : _x000D_
23 / 01_2 : _x000D_
23 / 02_2 : _x000D_
23 / 03_2 : _x000D_
23 / 04_2 : 34 (corte = 50)_x000D_
23 / 05_2 : _x000D_
23 / 06_2 : 15_x000D_
23 / 07_2 : _x000D_
23 / 08_2 : _x000D_
23 / 09_2 : _x000D_
_x000D_
    TOTAL : ( 49 )_x000D_
  DIVISOR : 12_x000D_
    MÉDIA : 4,08_x000D_
-----------------------------_x000D_
   Valores Desconsiderados_x000D_
-----------------------------_x000D_
23 / 04_2 : 16 (50)_x000D_
_x000D_
  TOTAL   : ( 16 )</t>
        </r>
      </text>
    </comment>
    <comment ref="AB852" authorId="0" shapeId="0" xr:uid="{296321A6-BAA3-432A-B9C4-DBE3DCB25732}">
      <text>
        <r>
          <rPr>
            <sz val="10"/>
            <color indexed="81"/>
            <rFont val="Lucida Console"/>
            <family val="3"/>
          </rPr>
          <t>Última movimentação no estoque em 06/2023 quantidade 15.</t>
        </r>
      </text>
    </comment>
    <comment ref="R853" authorId="0" shapeId="0" xr:uid="{F96567B8-DE60-449A-8951-3132C0ADFDB1}">
      <text>
        <r>
          <rPr>
            <sz val="10"/>
            <color indexed="81"/>
            <rFont val="Lucida Console"/>
            <family val="3"/>
          </rPr>
          <t>12.08.2003</t>
        </r>
      </text>
    </comment>
    <comment ref="Y853" authorId="0" shapeId="0" xr:uid="{333DA408-6A98-4BEA-ACDF-32C45BEAE3BE}">
      <text>
        <r>
          <rPr>
            <sz val="10"/>
            <color indexed="81"/>
            <rFont val="Courier New"/>
            <family val="3"/>
          </rPr>
          <t>_x000D_
    DESCRIÇÃO DO CÁLCULO_x000D_
Código    : 74.907_x000D_
Corte     : 37_x000D_
-----------------------------_x000D_
Pendente  : _x000D_
22 / 10_2 : _x000D_
22 / 11_2 : _x000D_
22 / 12_2 : 23_x000D_
23 / 01_2 : _x000D_
23 / 02_2 : _x000D_
23 / 03_2 : _x000D_
23 / 04_2 : _x000D_
23 / 05_2 : 37 (corte = 50)_x000D_
23 / 06_2 : 10_x000D_
23 / 07_2 : 4_x000D_
23 / 08_2 : _x000D_
23 / 09_2 : _x000D_
_x000D_
    TOTAL : ( 74 )_x000D_
  DIVISOR : 12_x000D_
    MÉDIA : 6,17_x000D_
-----------------------------_x000D_
   Valores Desconsiderados_x000D_
-----------------------------_x000D_
23 / 05_2 : 13 (50)_x000D_
_x000D_
  TOTAL   : ( 13 )</t>
        </r>
      </text>
    </comment>
    <comment ref="AB853" authorId="0" shapeId="0" xr:uid="{DFD40A11-6494-4D4E-B335-A99E052FFF93}">
      <text>
        <r>
          <rPr>
            <sz val="10"/>
            <color indexed="81"/>
            <rFont val="Lucida Console"/>
            <family val="3"/>
          </rPr>
          <t>Última movimentação no estoque em 07/2023 quantidade 4.</t>
        </r>
      </text>
    </comment>
    <comment ref="R854" authorId="0" shapeId="0" xr:uid="{7EB38F70-2FC6-4DC3-AC4E-A6F23D2B16DD}">
      <text>
        <r>
          <rPr>
            <sz val="10"/>
            <color indexed="81"/>
            <rFont val="Lucida Console"/>
            <family val="3"/>
          </rPr>
          <t>10.03.2004</t>
        </r>
      </text>
    </comment>
    <comment ref="Y854" authorId="0" shapeId="0" xr:uid="{78D2AC9E-9FFD-4E56-A36B-D0246E210E6D}">
      <text>
        <r>
          <rPr>
            <sz val="10"/>
            <color indexed="81"/>
            <rFont val="Courier New"/>
            <family val="3"/>
          </rPr>
          <t>_x000D_
    DESCRIÇÃO DO CÁLCULO_x000D_
Código    : 77.557_x000D_
Corte     : 23_x000D_
-----------------------------_x000D_
Pendente  : _x000D_
22 / 10_2 : _x000D_
22 / 11_2 : _x000D_
22 / 12_2 : 6_x000D_
23 / 01_2 : _x000D_
23 / 02_2 : _x000D_
23 / 03_2 : _x000D_
23 / 04_2 : _x000D_
23 / 05_2 : 3_x000D_
23 / 06_2 : 23 (corte = 34)_x000D_
23 / 07_2 : _x000D_
23 / 08_2 : _x000D_
23 / 09_2 : _x000D_
_x000D_
    TOTAL : ( 32 )_x000D_
  DIVISOR : 12_x000D_
    MÉDIA : 2,67_x000D_
-----------------------------_x000D_
   Valores Desconsiderados_x000D_
-----------------------------_x000D_
23 / 06_2 : 11 (34)_x000D_
_x000D_
  TOTAL   : ( 11 )</t>
        </r>
      </text>
    </comment>
    <comment ref="AB854" authorId="0" shapeId="0" xr:uid="{13D30846-ED09-4AF7-B46C-5009FF7D8258}">
      <text>
        <r>
          <rPr>
            <sz val="10"/>
            <color indexed="81"/>
            <rFont val="Lucida Console"/>
            <family val="3"/>
          </rPr>
          <t>Última movimentação no estoque em 06/2023 quantidade 34.</t>
        </r>
      </text>
    </comment>
    <comment ref="R855" authorId="0" shapeId="0" xr:uid="{E85CB853-EA45-46B4-8909-D45F799C346B}">
      <text>
        <r>
          <rPr>
            <sz val="10"/>
            <color indexed="81"/>
            <rFont val="Lucida Console"/>
            <family val="3"/>
          </rPr>
          <t>12.08.2003</t>
        </r>
      </text>
    </comment>
    <comment ref="Y855" authorId="0" shapeId="0" xr:uid="{B289D6AE-277C-4F91-AC73-FB98315BC705}">
      <text>
        <r>
          <rPr>
            <sz val="10"/>
            <color indexed="81"/>
            <rFont val="Courier New"/>
            <family val="3"/>
          </rPr>
          <t>_x000D_
    DESCRIÇÃO DO CÁLCULO_x000D_
Código    : 74.909_x000D_
Corte     : 57_x000D_
-----------------------------_x000D_
Pendente  : 23_x000D_
22 / 10_2 : 7_x000D_
22 / 11_2 : 57 (corte = 70)_x000D_
22 / 12_2 : 47_x000D_
23 / 01_2 : _x000D_
23 / 02_2 : _x000D_
23 / 03_2 : _x000D_
23 / 04_2 : _x000D_
23 / 05_2 : _x000D_
23 / 06_2 : _x000D_
23 / 07_2 : _x000D_
23 / 08_2 : _x000D_
23 / 09_2 : _x000D_
_x000D_
    TOTAL : ( 134 )_x000D_
  DIVISOR : 12_x000D_
    MÉDIA : 11,17_x000D_
-----------------------------_x000D_
   Valores Desconsiderados_x000D_
-----------------------------_x000D_
22 / 11_2 : 13 (70)_x000D_
_x000D_
  TOTAL   : ( 13 )</t>
        </r>
      </text>
    </comment>
    <comment ref="AB855" authorId="0" shapeId="0" xr:uid="{9E799C9D-844A-4627-8FB1-FD6164882C51}">
      <text>
        <r>
          <rPr>
            <sz val="10"/>
            <color indexed="81"/>
            <rFont val="Lucida Console"/>
            <family val="3"/>
          </rPr>
          <t>Última movimentação no estoque em 12/2022 quantidade 47.</t>
        </r>
      </text>
    </comment>
    <comment ref="R856" authorId="0" shapeId="0" xr:uid="{CF78EA1A-F0F3-4D03-A2BC-5AAB5773547F}">
      <text>
        <r>
          <rPr>
            <sz val="10"/>
            <color indexed="81"/>
            <rFont val="Lucida Console"/>
            <family val="3"/>
          </rPr>
          <t>10.03.2004</t>
        </r>
      </text>
    </comment>
    <comment ref="Y856" authorId="0" shapeId="0" xr:uid="{56A18898-B719-45CE-9181-30BD759596A1}">
      <text>
        <r>
          <rPr>
            <sz val="10"/>
            <color indexed="81"/>
            <rFont val="Courier New"/>
            <family val="3"/>
          </rPr>
          <t>_x000D_
    DESCRIÇÃO DO CÁLCULO_x000D_
Código    : 77.554_x000D_
Corte     : 68_x000D_
-----------------------------_x000D_
Pendente  : _x000D_
22 / 10_2 : 24_x000D_
22 / 11_2 : 68 (corte = 70)_x000D_
22 / 12_2 : _x000D_
23 / 01_2 : _x000D_
23 / 02_2 : _x000D_
23 / 03_2 : 50_x000D_
23 / 04_2 : 6_x000D_
23 / 05_2 : 20_x000D_
23 / 06_2 : 5_x000D_
23 / 07_2 : _x000D_
23 / 08_2 : 50_x000D_
23 / 09_2 : _x000D_
_x000D_
    TOTAL : ( 223 )_x000D_
  DIVISOR : 12_x000D_
    MÉDIA : 18,58_x000D_
-----------------------------_x000D_
   Valores Desconsiderados_x000D_
-----------------------------_x000D_
22 / 11_2 : 2 (70)_x000D_
_x000D_
  TOTAL   : ( 2 )</t>
        </r>
      </text>
    </comment>
    <comment ref="AB856" authorId="0" shapeId="0" xr:uid="{04D3708D-EFE6-43B3-9BD4-0CA0EDC1FE44}">
      <text>
        <r>
          <rPr>
            <sz val="10"/>
            <color indexed="81"/>
            <rFont val="Lucida Console"/>
            <family val="3"/>
          </rPr>
          <t>Última movimentação no estoque em 08/2023 quantidade 50.</t>
        </r>
      </text>
    </comment>
    <comment ref="R857" authorId="0" shapeId="0" xr:uid="{B80DF330-19D9-49F8-8534-44038601968E}">
      <text>
        <r>
          <rPr>
            <sz val="10"/>
            <color indexed="81"/>
            <rFont val="Lucida Console"/>
            <family val="3"/>
          </rPr>
          <t>12.08.2003</t>
        </r>
      </text>
    </comment>
    <comment ref="Y857" authorId="0" shapeId="0" xr:uid="{7B600862-1216-46D5-B21D-E42EA6771F6E}">
      <text>
        <r>
          <rPr>
            <sz val="10"/>
            <color indexed="81"/>
            <rFont val="Courier New"/>
            <family val="3"/>
          </rPr>
          <t>_x000D_
    DESCRIÇÃO DO CÁLCULO_x000D_
Código    : 74.911_x000D_
Corte     : 56_x000D_
-----------------------------_x000D_
Pendente  : _x000D_
22 / 10_2 : _x000D_
22 / 11_2 : _x000D_
22 / 12_2 : _x000D_
23 / 01_2 : _x000D_
23 / 02_2 : _x000D_
23 / 03_2 : 50_x000D_
23 / 04_2 : 56 (corte = 65)_x000D_
23 / 05_2 : _x000D_
23 / 06_2 : _x000D_
23 / 07_2 : _x000D_
23 / 08_2 : _x000D_
23 / 09_2 : 18_x000D_
_x000D_
    TOTAL : ( 124 )_x000D_
  DIVISOR : 12_x000D_
    MÉDIA : 10,33_x000D_
-----------------------------_x000D_
   Valores Desconsiderados_x000D_
-----------------------------_x000D_
23 / 04_2 : 9 (65)_x000D_
_x000D_
  TOTAL   : ( 9 )</t>
        </r>
      </text>
    </comment>
    <comment ref="AB857" authorId="0" shapeId="0" xr:uid="{786FC234-9A1C-4FA1-B1CB-07844451A65E}">
      <text>
        <r>
          <rPr>
            <sz val="10"/>
            <color indexed="81"/>
            <rFont val="Lucida Console"/>
            <family val="3"/>
          </rPr>
          <t>Última movimentação no estoque em 09/2023 quantidade 18.</t>
        </r>
      </text>
    </comment>
    <comment ref="R858" authorId="0" shapeId="0" xr:uid="{4A8E90F1-CBC1-4FD5-9CDA-58FE25955723}">
      <text>
        <r>
          <rPr>
            <sz val="10"/>
            <color indexed="81"/>
            <rFont val="Lucida Console"/>
            <family val="3"/>
          </rPr>
          <t>13.10.2004</t>
        </r>
      </text>
    </comment>
    <comment ref="Y858" authorId="0" shapeId="0" xr:uid="{FE00E3BE-0ECD-4622-ACB5-BBF0C0671C27}">
      <text>
        <r>
          <rPr>
            <sz val="10"/>
            <color indexed="81"/>
            <rFont val="Courier New"/>
            <family val="3"/>
          </rPr>
          <t>_x000D_
    DESCRIÇÃO DO CÁLCULO_x000D_
Código    : 82.185_x000D_
Corte     : 26_x000D_
-----------------------------_x000D_
Pendente  : _x000D_
22 / 10_2 : _x000D_
22 / 11_2 : _x000D_
22 / 12_2 : _x000D_
23 / 01_2 : _x000D_
23 / 02_2 : _x000D_
23 / 03_2 : _x000D_
23 / 04_2 : 10_x000D_
23 / 05_2 : 26 (corte = 32)_x000D_
23 / 06_2 : 17_x000D_
23 / 07_2 : 15_x000D_
23 / 08_2 : _x000D_
23 / 09_2 : _x000D_
_x000D_
    TOTAL : ( 68 )_x000D_
  DIVISOR : 12_x000D_
    MÉDIA : 5,67_x000D_
-----------------------------_x000D_
   Valores Desconsiderados_x000D_
-----------------------------_x000D_
23 / 05_2 : 6 (32)_x000D_
_x000D_
  TOTAL   : ( 6 )</t>
        </r>
      </text>
    </comment>
    <comment ref="AB858" authorId="0" shapeId="0" xr:uid="{ED652E1C-DEFF-4D18-908E-B92AFE3937AE}">
      <text>
        <r>
          <rPr>
            <sz val="10"/>
            <color indexed="81"/>
            <rFont val="Lucida Console"/>
            <family val="3"/>
          </rPr>
          <t>Última movimentação no estoque em 07/2023 quantidade 15.</t>
        </r>
      </text>
    </comment>
    <comment ref="R859" authorId="0" shapeId="0" xr:uid="{1CB9E617-2CF1-412C-B9DE-D03FD6524228}">
      <text>
        <r>
          <rPr>
            <sz val="10"/>
            <color indexed="81"/>
            <rFont val="Lucida Console"/>
            <family val="3"/>
          </rPr>
          <t>12.04.2010</t>
        </r>
      </text>
    </comment>
    <comment ref="Y859" authorId="0" shapeId="0" xr:uid="{90F28BE8-54D4-4249-8FF5-0E5522C7D8E0}">
      <text>
        <r>
          <rPr>
            <sz val="10"/>
            <color indexed="81"/>
            <rFont val="Courier New"/>
            <family val="3"/>
          </rPr>
          <t>_x000D_
    DESCRIÇÃO DO CÁLCULO_x000D_
Código    : 114.852_x000D_
Corte     : 27_x000D_
-----------------------------_x000D_
Pendente  : _x000D_
22 / 10_2 : _x000D_
22 / 11_2 : 25_x000D_
22 / 12_2 : _x000D_
23 / 01_2 : _x000D_
23 / 02_2 : _x000D_
23 / 03_2 : _x000D_
23 / 04_2 : _x000D_
23 / 05_2 : 27 (corte = 30)_x000D_
23 / 06_2 : 14_x000D_
23 / 07_2 : _x000D_
23 / 08_2 : _x000D_
23 / 09_2 : _x000D_
_x000D_
    TOTAL : ( 66 )_x000D_
  DIVISOR : 12_x000D_
    MÉDIA : 5,50_x000D_
-----------------------------_x000D_
   Valores Desconsiderados_x000D_
-----------------------------_x000D_
23 / 05_2 : 3 (30)_x000D_
_x000D_
  TOTAL   : ( 3 )</t>
        </r>
      </text>
    </comment>
    <comment ref="AB859" authorId="0" shapeId="0" xr:uid="{1AAA3633-B611-4820-B7AC-66B471543D33}">
      <text>
        <r>
          <rPr>
            <sz val="10"/>
            <color indexed="81"/>
            <rFont val="Lucida Console"/>
            <family val="3"/>
          </rPr>
          <t>Última movimentação no estoque em 06/2023 quantidade 14.</t>
        </r>
      </text>
    </comment>
    <comment ref="R860" authorId="0" shapeId="0" xr:uid="{11AE96D5-75E0-4F03-AFF0-22FB39C8F2FB}">
      <text>
        <r>
          <rPr>
            <sz val="10"/>
            <color indexed="81"/>
            <rFont val="Lucida Console"/>
            <family val="3"/>
          </rPr>
          <t>12.04.2010</t>
        </r>
      </text>
    </comment>
    <comment ref="Y860" authorId="0" shapeId="0" xr:uid="{5A3F3E1D-FC09-4CB9-BBEE-107E9B3560E9}">
      <text>
        <r>
          <rPr>
            <sz val="10"/>
            <color indexed="81"/>
            <rFont val="Courier New"/>
            <family val="3"/>
          </rPr>
          <t>_x000D_
    DESCRIÇÃO DO CÁLCULO_x000D_
Código    : 114.853_x000D_
Corte     : 15_x000D_
-----------------------------_x000D_
Pendente  : _x000D_
22 / 10_2 : 1_x000D_
22 / 11_2 : _x000D_
22 / 12_2 : 7_x000D_
23 / 01_2 : _x000D_
23 / 02_2 : _x000D_
23 / 03_2 : 6_x000D_
23 / 04_2 : _x000D_
23 / 05_2 : 15 (corte = 16)_x000D_
23 / 06_2 : 15_x000D_
23 / 07_2 : 2_x000D_
23 / 08_2 : _x000D_
23 / 09_2 : _x000D_
_x000D_
    TOTAL : ( 46 )_x000D_
  DIVISOR : 12_x000D_
    MÉDIA : 3,83_x000D_
-----------------------------_x000D_
   Valores Desconsiderados_x000D_
-----------------------------_x000D_
23 / 05_2 : 1 (16)_x000D_
_x000D_
  TOTAL   : ( 1 )</t>
        </r>
      </text>
    </comment>
    <comment ref="AB860" authorId="0" shapeId="0" xr:uid="{A5A3CF24-B8DA-4FA7-A395-43FF1125369B}">
      <text>
        <r>
          <rPr>
            <sz val="10"/>
            <color indexed="81"/>
            <rFont val="Lucida Console"/>
            <family val="3"/>
          </rPr>
          <t>Última movimentação no estoque em 07/2023 quantidade 2.</t>
        </r>
      </text>
    </comment>
    <comment ref="R861" authorId="0" shapeId="0" xr:uid="{51C031AE-A295-4A33-A1D8-4C500CA5AA24}">
      <text>
        <r>
          <rPr>
            <sz val="10"/>
            <color indexed="81"/>
            <rFont val="Lucida Console"/>
            <family val="3"/>
          </rPr>
          <t>28.06.2010</t>
        </r>
      </text>
    </comment>
    <comment ref="Y861" authorId="0" shapeId="0" xr:uid="{571F2093-129D-4B86-8D14-B58B08A4BD3B}">
      <text>
        <r>
          <rPr>
            <sz val="10"/>
            <color indexed="81"/>
            <rFont val="Courier New"/>
            <family val="3"/>
          </rPr>
          <t>_x000D_
    DESCRIÇÃO DO CÁLCULO_x000D_
Código    : 115.840_x000D_
Corte     : 4_x000D_
-----------------------------_x000D_
Pendente  : _x000D_
22 / 10_2 : _x000D_
22 / 11_2 : _x000D_
22 / 12_2 : _x000D_
23 / 01_2 : _x000D_
23 / 02_2 : _x000D_
23 / 03_2 : _x000D_
23 / 04_2 : _x000D_
23 / 05_2 : _x000D_
23 / 06_2 : 4 (corte = 6)_x000D_
23 / 07_2 : 1_x000D_
23 / 08_2 : _x000D_
23 / 09_2 : _x000D_
_x000D_
    TOTAL : ( 5 )_x000D_
  DIVISOR : 12_x000D_
    MÉDIA : ,42_x000D_
-----------------------------_x000D_
   Valores Desconsiderados_x000D_
-----------------------------_x000D_
23 / 06_2 : 2 (6)_x000D_
_x000D_
  TOTAL   : ( 2 )</t>
        </r>
      </text>
    </comment>
    <comment ref="AB861" authorId="0" shapeId="0" xr:uid="{A8B7DF2B-8C97-4780-BE3D-11CC4564320A}">
      <text>
        <r>
          <rPr>
            <sz val="10"/>
            <color indexed="81"/>
            <rFont val="Lucida Console"/>
            <family val="3"/>
          </rPr>
          <t>Última movimentação no estoque em 07/2023 quantidade 1.</t>
        </r>
      </text>
    </comment>
    <comment ref="R862" authorId="0" shapeId="0" xr:uid="{15808E19-159B-4CE9-B8EB-58C6F7FCEB45}">
      <text>
        <r>
          <rPr>
            <sz val="10"/>
            <color indexed="81"/>
            <rFont val="Lucida Console"/>
            <family val="3"/>
          </rPr>
          <t>01.01.1901</t>
        </r>
      </text>
    </comment>
    <comment ref="Y862" authorId="0" shapeId="0" xr:uid="{E0665A0C-D0D4-4362-A9C8-C69CED5CC713}">
      <text>
        <r>
          <rPr>
            <sz val="10"/>
            <color indexed="81"/>
            <rFont val="Courier New"/>
            <family val="3"/>
          </rPr>
          <t>_x000D_
    DESCRIÇÃO DO CÁLCULO_x000D_
Código    : 17.946_x000D_
Corte     : 13_x000D_
-----------------------------_x000D_
Pendente  : _x000D_
22 / 10_2 : _x000D_
22 / 11_2 : _x000D_
22 / 12_2 : _x000D_
23 / 01_2 : _x000D_
23 / 02_2 : _x000D_
23 / 03_2 : _x000D_
23 / 04_2 : _x000D_
23 / 05_2 : 13 (corte = 20)_x000D_
23 / 06_2 : _x000D_
23 / 07_2 : _x000D_
23 / 08_2 : _x000D_
23 / 09_2 : _x000D_
_x000D_
    TOTAL : ( 13 )_x000D_
  DIVISOR : 12_x000D_
    MÉDIA : 1,08_x000D_
-----------------------------_x000D_
   Valores Desconsiderados_x000D_
-----------------------------_x000D_
23 / 05_2 : 7 (20)_x000D_
_x000D_
  TOTAL   : ( 7 )</t>
        </r>
      </text>
    </comment>
    <comment ref="AB862" authorId="0" shapeId="0" xr:uid="{108697D8-A9D1-420B-9BEA-FE9A15B5F227}">
      <text>
        <r>
          <rPr>
            <sz val="10"/>
            <color indexed="81"/>
            <rFont val="Lucida Console"/>
            <family val="3"/>
          </rPr>
          <t>Última movimentação no estoque em 05/2023 quantidade 20.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4C907EB7-15F5-460F-A071-183888704C6A}">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D4EF2F8E-474A-4B87-9530-F3E3AF05CD9C}">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9FAF7E9-98B5-4723-97E7-9A4775B81B0A}" keepAlive="1" name="Consulta - pq_tabAtas" description="Conexão com a consulta 'pq_tabAtas' na pasta de trabalho." type="5" refreshedVersion="8" background="1" saveData="1">
    <dbPr connection="Provider=Microsoft.Mashup.OleDb.1;Data Source=$Workbook$;Location=pq_tabAtas;Extended Properties=&quot;&quot;" command="SELECT * FROM [pq_tabAtas]"/>
  </connection>
  <connection id="2" xr16:uid="{173A390C-F72C-4F3C-8F82-6CDDA774D941}" keepAlive="1" name="Consulta - pq_tabZeradosTodos" description="Conexão com a consulta 'pq_tabZeradosTodos' na pasta de trabalho." type="5" refreshedVersion="8" background="1" saveData="1">
    <dbPr connection="Provider=Microsoft.Mashup.OleDb.1;Data Source=$Workbook$;Location=pq_tabZeradosTodos;Extended Properties=&quot;&quot;" command="SELECT * FROM [pq_tabZeradosTodo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pythonScripts.xml><?xml version="1.0" encoding="utf-8"?>
<pythonScripts xmlns="http://schemas.microsoft.com/office/spreadsheetml/2022/pythonscript">
  <pythonScript>
    <code>pd.tabItens = xl(%P2%)
pd.tabItens</code>
  </pythonScript>
  <pythonScript>
    <code>pd.tabParametros = xl(%P2%)
pd.tabParametros</code>
  </pythonScript>
  <pythonScript>
    <code>#===============================================
# DataFrame de Atas Ativas
#===============================================
from datetime import datetime
#===============================================
# Função que troca datas vazias por data antiga
# para que a ARP seja considerada inativa
#===============================================
def trata_data_vazia( data ):
    if data is None:
        return datetime(2000,1,1)
    return data
#===============================================
# Gera um DataFrame somente com as ARPs ativas
#===============================================
def df_arps_ativas():
    # Lê a data de geração deste Workbook
    pd.data_geracao = xl(%P2%,headers=False)    
    # Lê a conexão do PowerQuery da tabela de ARPs
    dfAtas = xl(%P3%,headers=True)
    # Filtra somente atas cujo vencimento esteja igual ou acima desta geração (Ativas)
    dfAtas = dfAtas.loc[dfAtas["VENC"] &gt;= pd.data_geracao]
    #Cria uma nova coluna de mes em que vai vencer
    nova_mes = []
    nova_nmes = []
    meses = ["Jan","Fev","Mar","Abr","Mai","Jun","Jul","Ago","Set","Out","Nov","Dez"]
    for ata in dfAtas.itertuples():
        try:
            nova_mes.append(meses[ata.VENC.month-1])
        except:
            print(f"ERRO Mês: {ata.VENC.month}, Data: {ata.VENC}")
        try:
            nova_nmes.append(ata.VENC.month)    
        except:
            print(f"ERRO N-Mês: {ata.VENC.month}, Data: {ata.VENC}")
    dfAtas["MES"] = nova_mes
    dfAtas["NMES"] = nova_nmes
    return dfAtas.sort_values(by=["VENC", "ANO", "NR"], ascending=[True, True, True])
# Gera o DF de atas ativas    
pd.tabAtas = df_arps_ativas() 
pd.tabAtas</code>
  </pythonScript>
  <pythonScript>
    <code>pd.tabInativos = xl(%P2%,headers=True)[["CÓDIGO"]]
pd.tabInativos</code>
  </pythonScript>
  <pythonScript>
    <code>pd.tabItensSituacao = xl(%P2%,headers=True)[["CÓDIGO"]]
pd.tabItensSituacao["Situação"] = np.where(pd.tabItensSituacao["CÓDIGO"].isin(pd.tabInativos["CÓDIGO"]),"Excluir do Estoque", "Ativos")
pd.tabItensSituacao</code>
  </pythonScript>
  <pythonScript>
    <code>pd.tabItensZerados = xl(%P2%,headers=True)[["QTDE ATUAL"]]
pd.tabItensZerados["Situação"] = np.where(pd.tabItensZerados["QTDE ATUAL"] &gt; 0 ,"Com Saldo", "Zerado no Estoque")
pd.tabItensZerados</code>
  </pythonScript>
  <pythonScript>
    <code>pd.histZerados = xl(%P2%,headers=True)
pd.histZerados</code>
  </pythonScript>
  <pythonScript>
    <code># Gráfico Pizza ARPs Ativas %% por Mês Vencimento
#===========================================================
def graficoPizzaARPsAtivas():
    pizza = pd.tabAtas.groupby(["MES","NMES"])    \
          .size()                                 \
          .reset_index(name="Qtd")                \
          .sort_values(by="NMES",ascending=False) \
          .drop("NMES",axis=1)
    explode = [0.2] * pizza["MES"].shape[0]
    fig, aux = plt.subplots()
    aux.pie( pizza["Qtd"] , labels=pizza["MES"], autopct="%%1.1f%%%%", startangle=90, explode=explode, pctdistance=0.85)
    fig= plt.gcf()
    fig.gca().add_artist(plt. Circle((0, 0), 0.80, fc='white')) 
    # Textos em branco e negrito
    i = 0
    while i &lt; 24:
        plt.gca().texts[i].set_color("black")
        if i %% 2 == 0:
            plt.gca().texts[i].set_fontsize(15)
            plt.gca().texts[i].set_fontweight("bold")
        else:
            plt.gca().texts[i].set_fontsize(plt.gca().texts[i].get_fontsize()+2)
        i += 1
    plt.axis("equal")
    qtd_ativas = pd.tabAtas["CHAVE"].count()
    plt.title(f"ARPs vencendo por mês (Ativas: {qtd_ativas})\n",color="#375623",fontsize=20, fontweight="bold",fontstyle="italic")
    plt.tight_layout()
    return plt
graficoPizzaARPsAtivas().show()</code>
  </pythonScript>
  <pythonScript>
    <code xml:space="preserve"># Gera Pizza Situação dos Itens (Ativos x Excluir do Estoque)
#==============================================================
def graficoPizza( pizza, cores, titulo, angulo = 180 ):
    pizza = pizza.groupby(["Situação"])                  \
              .size()                                    \
              .reset_index(name="Qtd")                   \
              .sort_values(by="Situação",ascending=False)
    explode = (0, 0.3)
    #cores = ["red", "green"]
    plt.pie(pizza["Qtd"], labels=pizza["Situação"], autopct=lambda pct: f"{pct:.1f}%%".replace(".",","), startangle=angulo,
        explode=explode, shadow=True, colors=cores)
    # Textos em branco/Preto e negrito
    for i in [0,1,2,3]:
        plt.gca().texts[i].set_fontweight("bold")
        plt.gca().texts[i].set_fontsize(14)
        if i %% 2 == 0:
            plt.gca().texts[i].set_color("black")
        else:    
            plt.gca().texts[i].set_color("white")
    plt.axis("equal")    
    plt.title(titulo + "\n",color="#375623",fontsize=20, fontweight="bold",fontstyle="italic")
    return plt    
#Disponibiliza a função para outra célula    
pd.graficoPizza = graficoPizza
# Executa o gráfico
pd.graficoPizza( pd.tabItensSituacao , ["red", "green"] , "Itens Ativos x Excluir do Estoque").show()
</code>
  </pythonScript>
  <pythonScript>
    <code xml:space="preserve"># Gráfico Pizza - Itens Zerados no Estoque %%
pd.graficoPizza(pd.tabItensZerados,["black","purple"] \
             ,"Itens Zerados no Estoque: " + str(pd.tabItensZerados.loc[pd.tabItensZerados["QTDE ATUAL"] == 0].shape[0])\
             ,300).show()
</code>
  </pythonScript>
  <pythonScript>
    <code># Gráfico Linha Itens Zerados no Estoque
pd.histZerados.plot(x="Data",y="Itens Zerados")
plt.title("Histórico de 2021 a 2023\n")
plt.show()</code>
  </pythonScript>
</pythonScripts>
</file>

<file path=xl/sharedStrings.xml><?xml version="1.0" encoding="utf-8"?>
<sst xmlns="http://schemas.openxmlformats.org/spreadsheetml/2006/main" count="25297" uniqueCount="2258">
  <si>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</si>
  <si>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</si>
  <si>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</si>
  <si>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</si>
  <si>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</si>
  <si>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</si>
  <si>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</si>
  <si>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</si>
  <si>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</si>
  <si>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</si>
  <si>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</si>
  <si>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</si>
  <si>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</si>
  <si>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</si>
  <si>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</si>
  <si>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</si>
  <si>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</si>
  <si>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</si>
  <si>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</si>
  <si>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</si>
  <si>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</si>
  <si>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</si>
  <si>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</si>
  <si>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</si>
  <si>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</si>
  <si>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</si>
  <si>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</si>
  <si>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</si>
  <si>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</si>
  <si>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</si>
  <si>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</si>
  <si>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</si>
  <si>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</si>
  <si>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</si>
  <si>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</si>
  <si>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</si>
  <si>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</si>
  <si>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DATA INCLUSÃO</t>
  </si>
  <si>
    <t>DATA ALTERAÇÃO</t>
  </si>
  <si>
    <t>DATA DESATIVAÇÃO</t>
  </si>
  <si>
    <t>DESCRIÇÃO DETALHADA</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</si>
  <si>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</si>
  <si>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</si>
  <si>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</si>
  <si>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</si>
  <si>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</si>
  <si>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</si>
  <si>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</si>
  <si>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</si>
  <si>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</si>
  <si>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</si>
  <si>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</si>
  <si>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</si>
  <si>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</si>
  <si>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</si>
  <si>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</si>
  <si>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</si>
  <si>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</si>
  <si>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</si>
  <si>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</si>
  <si>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</si>
  <si>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</si>
  <si>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</si>
  <si>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</si>
  <si>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</si>
  <si>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</si>
  <si>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</si>
  <si>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</si>
  <si>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</si>
  <si>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Divisão de Suprimentos</t>
  </si>
  <si>
    <t>Saldo</t>
  </si>
  <si>
    <t>Abaixo</t>
  </si>
  <si>
    <t>TIPO</t>
  </si>
  <si>
    <t>VALOR</t>
  </si>
  <si>
    <t>Assinatura</t>
  </si>
  <si>
    <t>Diferente</t>
  </si>
  <si>
    <t>OBSERVAÇÃO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</si>
  <si>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</si>
  <si>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</si>
  <si>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</si>
  <si>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</si>
  <si>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</si>
  <si>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</si>
  <si>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</si>
  <si>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</si>
  <si>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</si>
  <si>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</si>
  <si>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</si>
  <si>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</si>
  <si>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</si>
  <si>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</si>
  <si>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</si>
  <si>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</si>
  <si>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</si>
  <si>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</si>
  <si>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</si>
  <si>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</si>
  <si>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</si>
  <si>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</si>
  <si>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</si>
  <si>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</si>
  <si>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</si>
  <si>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</si>
  <si>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</si>
  <si>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</si>
  <si>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</si>
  <si>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</si>
  <si>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</si>
  <si>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</si>
  <si>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</si>
  <si>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</si>
  <si>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</si>
  <si>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</si>
  <si>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</si>
  <si>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</si>
  <si>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</si>
  <si>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</si>
  <si>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</si>
  <si>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</si>
  <si>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</si>
  <si>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</si>
  <si>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</si>
  <si>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</si>
  <si>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</si>
  <si>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</si>
  <si>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</si>
  <si>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</si>
  <si>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</si>
  <si>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</si>
  <si>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</si>
  <si>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</si>
  <si>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</si>
  <si>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</si>
  <si>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</si>
  <si>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</si>
  <si>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</si>
  <si>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</si>
  <si>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</si>
  <si>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</si>
  <si>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</si>
  <si>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</si>
  <si>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</si>
  <si>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</si>
  <si>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</si>
  <si>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</si>
  <si>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</si>
  <si>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</si>
  <si>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</si>
  <si>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</si>
  <si>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</si>
  <si>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</si>
  <si>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</si>
  <si>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</si>
  <si>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</si>
  <si>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</si>
  <si>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</si>
  <si>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</si>
  <si>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</si>
  <si>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</si>
  <si>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</si>
  <si>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</si>
  <si>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</si>
  <si>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</si>
  <si>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</si>
  <si>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</si>
  <si>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</si>
  <si>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</si>
  <si>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</si>
  <si>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</si>
  <si>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</si>
  <si>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</si>
  <si>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</si>
  <si>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</si>
  <si>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</si>
  <si>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</si>
  <si>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</si>
  <si>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</si>
  <si>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</si>
  <si>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</si>
  <si>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</si>
  <si>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</si>
  <si>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</si>
  <si>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</si>
  <si>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</si>
  <si>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</si>
  <si>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</si>
  <si>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</si>
  <si>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</si>
  <si>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</si>
  <si>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</si>
  <si>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</si>
  <si>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</si>
  <si>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</si>
  <si>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</si>
  <si>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</si>
  <si>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</si>
  <si>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</si>
  <si>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</si>
  <si>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</si>
  <si>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</si>
  <si>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</si>
  <si>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</si>
  <si>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</si>
  <si>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</si>
  <si>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</si>
  <si>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</si>
  <si>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</si>
  <si>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</si>
  <si>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</si>
  <si>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</si>
  <si>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</si>
  <si>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</si>
  <si>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</si>
  <si>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</si>
  <si>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</si>
  <si>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</si>
  <si>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</si>
  <si>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</si>
  <si>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</si>
  <si>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</si>
  <si>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</si>
  <si>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</si>
  <si>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</si>
  <si>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</si>
  <si>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</si>
  <si>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</si>
  <si>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</si>
  <si>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</si>
  <si>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</si>
  <si>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</si>
  <si>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</si>
  <si>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</si>
  <si>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</si>
  <si>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</si>
  <si>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</si>
  <si>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</si>
  <si>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</si>
  <si>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</si>
  <si>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</si>
  <si>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</si>
  <si>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</si>
  <si>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</si>
  <si>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</si>
  <si>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</si>
  <si>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</si>
  <si>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</si>
  <si>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</si>
  <si>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</si>
  <si>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</si>
  <si>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</si>
  <si>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</si>
  <si>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</si>
  <si>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</si>
  <si>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PLANILHA Nº 0 / 2023</t>
  </si>
  <si>
    <t>Prefeitura Municipal</t>
  </si>
  <si>
    <t>Secretaria de Educação</t>
  </si>
  <si>
    <t>PREFEITURA MUNICIPAL</t>
  </si>
  <si>
    <t>SECRETARIA DE EDUCAÇÃO</t>
  </si>
  <si>
    <t>27.11.2023 - 16:58:24</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</si>
  <si>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</si>
  <si>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</si>
  <si>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</si>
  <si>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</si>
  <si>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</si>
  <si>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</si>
  <si>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</si>
  <si>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</si>
  <si>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</si>
  <si>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</si>
  <si>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</si>
  <si>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</si>
  <si>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</si>
  <si>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</si>
  <si>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</si>
  <si>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</si>
  <si>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</si>
  <si>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</si>
  <si>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</si>
  <si>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</si>
  <si>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</si>
  <si>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</si>
  <si>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</si>
  <si>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</si>
  <si>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</si>
  <si>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</si>
  <si>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</si>
  <si>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</si>
  <si>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</si>
  <si>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</si>
  <si>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</si>
  <si>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</si>
  <si>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</si>
  <si>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</si>
  <si>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</si>
  <si>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</si>
  <si>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</si>
  <si>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</si>
  <si>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</si>
  <si>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</si>
  <si>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</si>
  <si>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</si>
  <si>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</si>
  <si>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</si>
  <si>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</si>
  <si>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</si>
  <si>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</si>
  <si>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</si>
  <si>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</si>
  <si>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</si>
  <si>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</si>
  <si>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</si>
  <si>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</si>
  <si>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</si>
  <si>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</si>
  <si>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</si>
  <si>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</si>
  <si>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</si>
  <si>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</si>
  <si>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</si>
  <si>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</si>
  <si>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</si>
  <si>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</si>
  <si>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</si>
  <si>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</si>
  <si>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</si>
  <si>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</si>
  <si>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</si>
  <si>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</si>
  <si>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</si>
  <si>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</si>
  <si>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</si>
  <si>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</si>
  <si>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</si>
  <si>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</si>
  <si>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</si>
  <si>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</si>
  <si>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</si>
  <si>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</si>
  <si>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</si>
  <si>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</si>
  <si>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</si>
  <si>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</si>
  <si>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</si>
  <si>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</si>
  <si>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</si>
  <si>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</si>
  <si>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</si>
  <si>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</si>
  <si>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</si>
  <si>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</si>
  <si>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</si>
  <si>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</si>
  <si>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</si>
  <si>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</si>
  <si>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</si>
  <si>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</si>
  <si>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</si>
  <si>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</si>
  <si>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</si>
  <si>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</si>
  <si>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</si>
  <si>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</si>
  <si>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</si>
  <si>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</si>
  <si>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</si>
  <si>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</si>
  <si>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</si>
  <si>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</si>
  <si>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</si>
  <si>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</si>
  <si>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</si>
  <si>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</si>
  <si>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</si>
  <si>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</si>
  <si>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</si>
  <si>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</si>
  <si>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</si>
  <si>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</si>
  <si>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</si>
  <si>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</si>
  <si>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</si>
  <si>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</si>
  <si>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</si>
  <si>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</si>
  <si>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</si>
  <si>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</si>
  <si>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</si>
  <si>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</si>
  <si>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</si>
  <si>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</si>
  <si>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</si>
  <si>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</si>
  <si>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</si>
  <si>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</si>
  <si>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</si>
  <si>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</si>
  <si>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</si>
  <si>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</si>
  <si>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</si>
  <si>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</si>
  <si>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</si>
  <si>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</si>
  <si>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</si>
  <si>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</si>
  <si>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</si>
  <si>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</si>
  <si>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</si>
  <si>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</si>
  <si>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</si>
  <si>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</si>
  <si>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</si>
  <si>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</si>
  <si>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</si>
  <si>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</si>
  <si>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</si>
  <si>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</si>
  <si>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</si>
  <si>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</si>
  <si>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</si>
  <si>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</si>
  <si>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</si>
  <si>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</si>
  <si>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</si>
  <si>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</si>
  <si>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</si>
  <si>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</si>
  <si>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</si>
  <si>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</si>
  <si>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</si>
  <si>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</si>
  <si>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</si>
  <si>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</si>
  <si>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</si>
  <si>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</si>
  <si>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</si>
  <si>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</si>
  <si>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</si>
  <si>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</si>
  <si>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</si>
  <si>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</si>
  <si>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</si>
  <si>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</si>
  <si>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</si>
  <si>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</si>
  <si>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</si>
  <si>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</si>
  <si>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</si>
  <si>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</si>
  <si>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</si>
  <si>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</si>
  <si>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</si>
  <si>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</si>
  <si>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</si>
  <si>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</si>
  <si>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</si>
  <si>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</si>
  <si>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</si>
  <si>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</si>
  <si>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</si>
  <si>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</si>
  <si>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</si>
  <si>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</si>
  <si>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</si>
  <si>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</si>
  <si>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</si>
  <si>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</si>
  <si>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</si>
  <si>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</si>
  <si>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</si>
  <si>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</si>
  <si>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</si>
  <si>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</si>
  <si>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</si>
  <si>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</si>
  <si>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</si>
  <si>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</si>
  <si>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</si>
  <si>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</si>
  <si>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</si>
  <si>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</si>
  <si>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</si>
  <si>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</si>
  <si>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</si>
  <si>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</si>
  <si>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</si>
  <si>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</si>
  <si>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</si>
  <si>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</si>
  <si>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</si>
  <si>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</si>
  <si>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</si>
  <si>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</si>
  <si>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</si>
  <si>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</si>
  <si>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</si>
  <si>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</si>
  <si>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</si>
  <si>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</si>
  <si>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</si>
  <si>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</si>
  <si>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</si>
  <si>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</si>
  <si>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</si>
  <si>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</si>
  <si>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</si>
  <si>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</si>
  <si>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</si>
  <si>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</si>
  <si>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</si>
  <si>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</si>
  <si>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</si>
  <si>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</si>
  <si>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</si>
  <si>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</si>
  <si>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</si>
  <si>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</si>
  <si>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</si>
  <si>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</si>
  <si>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</si>
  <si>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</si>
  <si>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</si>
  <si>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</si>
  <si>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</si>
  <si>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</si>
  <si>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</si>
  <si>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</si>
  <si>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</si>
  <si>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</si>
  <si>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</si>
  <si>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</si>
  <si>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</si>
  <si>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</si>
  <si>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</si>
  <si>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</si>
  <si>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</si>
  <si>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</si>
  <si>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</si>
  <si>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</si>
  <si>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</si>
  <si>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</si>
  <si>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</si>
  <si>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</si>
  <si>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</si>
  <si>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</si>
  <si>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</si>
  <si>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</si>
  <si>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</si>
  <si>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</si>
  <si>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</si>
  <si>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</si>
  <si>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</si>
  <si>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</si>
  <si>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</si>
  <si>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</si>
  <si>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</si>
  <si>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</si>
  <si>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</si>
  <si>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</si>
  <si>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</si>
  <si>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</si>
  <si>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</si>
  <si>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</si>
  <si>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</si>
  <si>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</si>
  <si>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</si>
  <si>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</si>
  <si>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</si>
  <si>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</si>
  <si>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</si>
  <si>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</si>
  <si>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</si>
  <si>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</si>
  <si>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</si>
  <si>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</si>
  <si>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</si>
  <si>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</si>
  <si>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</si>
  <si>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</si>
  <si>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</si>
  <si>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</si>
  <si>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</si>
  <si>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</si>
  <si>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</si>
  <si>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</si>
  <si>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</si>
  <si>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</si>
  <si>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</si>
  <si>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</si>
  <si>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</si>
  <si>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</si>
  <si>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</si>
  <si>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</si>
  <si>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</si>
  <si>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</si>
  <si>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</si>
  <si>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</si>
  <si>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</si>
  <si>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</si>
  <si>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</si>
  <si>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</si>
  <si>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</si>
  <si>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</si>
  <si>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</si>
  <si>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</si>
  <si>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</si>
  <si>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</si>
  <si>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</si>
  <si>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</si>
  <si>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</si>
  <si>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</si>
  <si>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</si>
  <si>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</si>
  <si>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</si>
  <si>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</si>
  <si>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</si>
  <si>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</si>
  <si>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</si>
  <si>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</si>
  <si>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</si>
  <si>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</si>
  <si>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</si>
  <si>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</si>
  <si>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</si>
  <si>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</si>
  <si>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</si>
  <si>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</si>
  <si>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</si>
  <si>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</si>
  <si>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</si>
  <si>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</si>
  <si>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</si>
  <si>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</si>
  <si>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</si>
  <si>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</si>
  <si>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</si>
  <si>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</si>
  <si>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</si>
  <si>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</si>
  <si>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</si>
  <si>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</si>
  <si>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</si>
  <si>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</si>
  <si>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</si>
  <si>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</si>
  <si>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</si>
  <si>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</si>
  <si>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</si>
  <si>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</si>
  <si>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</si>
  <si>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</si>
  <si>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</si>
  <si>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</si>
  <si>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</si>
  <si>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</si>
  <si>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</si>
  <si>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</si>
  <si>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</si>
  <si>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</si>
  <si>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</si>
  <si>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</si>
  <si>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</si>
  <si>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</si>
  <si>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</si>
  <si>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</si>
  <si>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</si>
  <si>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</si>
  <si>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</si>
  <si>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</si>
  <si>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</si>
  <si>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</si>
  <si>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</si>
  <si>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</si>
  <si>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</si>
  <si>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</si>
  <si>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</si>
  <si>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</si>
  <si>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</si>
  <si>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</si>
  <si>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</si>
  <si>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</si>
  <si>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</si>
  <si>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</si>
  <si>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</si>
  <si>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</si>
  <si>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</si>
  <si>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</si>
  <si>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</si>
  <si>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</si>
  <si>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</si>
  <si>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</si>
  <si>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</si>
  <si>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</si>
  <si>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</si>
  <si>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</si>
  <si>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</si>
  <si>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</si>
  <si>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</si>
  <si>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</si>
  <si>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</si>
  <si>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</si>
  <si>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</si>
  <si>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</si>
  <si>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</si>
  <si>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</si>
  <si>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</si>
  <si>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</si>
  <si>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</si>
  <si>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</si>
  <si>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</si>
  <si>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</si>
  <si>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</si>
  <si>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</si>
  <si>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</si>
  <si>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</si>
  <si>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</si>
  <si>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</si>
  <si>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</si>
  <si>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</si>
  <si>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</si>
  <si>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</si>
  <si>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</si>
  <si>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</si>
  <si>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</si>
  <si>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</si>
  <si>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</si>
  <si>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</si>
  <si>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</si>
  <si>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</si>
  <si>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</si>
  <si>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</si>
  <si>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</si>
  <si>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</si>
  <si>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</si>
  <si>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</si>
  <si>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</si>
  <si>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</si>
  <si>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</si>
  <si>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</si>
  <si>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</si>
  <si>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</si>
  <si>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</si>
  <si>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</si>
  <si>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</si>
  <si>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</si>
  <si>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</si>
  <si>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</si>
  <si>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</si>
  <si>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</si>
  <si>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</si>
  <si>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</si>
  <si>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</si>
  <si>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</si>
  <si>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</si>
  <si>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</si>
  <si>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</si>
  <si>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</si>
  <si>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</si>
  <si>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</si>
  <si>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</si>
  <si>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</si>
  <si>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</si>
  <si>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</si>
  <si>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</si>
  <si>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</si>
  <si>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</si>
  <si>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</si>
  <si>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</si>
  <si>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</si>
  <si>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</si>
  <si>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</si>
  <si>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</si>
  <si>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</si>
  <si>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</si>
  <si>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</si>
  <si>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</si>
  <si>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</si>
  <si>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</si>
  <si>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</si>
  <si>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</si>
  <si>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</si>
  <si>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</si>
  <si>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</si>
  <si>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</si>
  <si>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</si>
  <si>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</si>
  <si>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</si>
  <si>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</si>
  <si>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</si>
  <si>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</si>
  <si>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</si>
  <si>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</si>
  <si>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</si>
  <si>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</si>
  <si>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</si>
  <si>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</si>
  <si>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</si>
  <si>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</si>
  <si>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</si>
  <si>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</si>
  <si>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</si>
  <si>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</si>
  <si>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</si>
  <si>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</si>
  <si>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</si>
  <si>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</si>
  <si>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</si>
  <si>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</si>
  <si>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</si>
  <si>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</si>
  <si>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</si>
  <si>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</si>
  <si>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</si>
  <si>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</si>
  <si>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</si>
  <si>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</si>
  <si>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</si>
  <si>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</si>
  <si>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</si>
  <si>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</si>
  <si>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</si>
  <si>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</si>
  <si>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</si>
  <si>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</si>
  <si>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</si>
  <si>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</si>
  <si>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</si>
  <si>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</si>
  <si>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</si>
  <si>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</si>
  <si>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</si>
  <si>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</si>
  <si>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</si>
  <si>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</si>
  <si>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</si>
  <si>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</si>
  <si>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</si>
  <si>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</si>
  <si>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</si>
  <si>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</si>
  <si>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</si>
  <si>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</si>
  <si>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</si>
  <si>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</si>
  <si>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</si>
  <si>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</si>
  <si>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</si>
  <si>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</si>
  <si>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</si>
  <si>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</si>
  <si>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</si>
  <si>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</si>
  <si>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</si>
  <si>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</si>
  <si>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</si>
  <si>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</si>
  <si>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</si>
  <si>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</si>
  <si>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</si>
  <si>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</si>
  <si>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</si>
  <si>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</si>
  <si>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</si>
  <si>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</si>
  <si>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</si>
  <si>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</si>
  <si>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</si>
  <si>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</si>
  <si>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</si>
  <si>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</si>
  <si>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</si>
  <si>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</si>
  <si>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</si>
  <si>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</si>
  <si>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</si>
  <si>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</si>
  <si>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</si>
  <si>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</si>
  <si>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</si>
  <si>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</si>
  <si>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</si>
  <si>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</si>
  <si>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</si>
  <si>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</si>
  <si>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</si>
  <si>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</si>
  <si>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</si>
  <si>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</si>
  <si>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</si>
  <si>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
  </si>
  <si>
    <t xml:space="preserve"> </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</si>
  <si>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</si>
  <si>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</si>
  <si>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</si>
  <si>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</si>
  <si>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</si>
  <si>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</si>
  <si>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</si>
  <si>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</si>
  <si>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</si>
  <si>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</si>
  <si>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</si>
  <si>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</si>
  <si>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</si>
  <si>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</si>
  <si>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</si>
  <si>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</si>
  <si>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</si>
  <si>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</si>
  <si>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</si>
  <si>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</si>
  <si>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</si>
  <si>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</si>
  <si>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</si>
  <si>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</si>
  <si>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</si>
  <si>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</si>
  <si>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</si>
  <si>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</si>
  <si>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</si>
  <si>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</si>
  <si>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</si>
  <si>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</si>
  <si>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</si>
  <si>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</si>
  <si>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</si>
  <si>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</si>
  <si>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</si>
  <si>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</si>
  <si>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</si>
  <si>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</si>
  <si>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</si>
  <si>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</si>
  <si>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</si>
  <si>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</si>
  <si>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</si>
  <si>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</si>
  <si>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</si>
  <si>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</si>
  <si>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</si>
  <si>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</si>
  <si>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</si>
  <si>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</si>
  <si>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</si>
  <si>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</si>
  <si>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</si>
  <si>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</si>
  <si>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</si>
  <si>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</si>
  <si>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</si>
  <si>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</si>
  <si>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</si>
  <si>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</si>
  <si>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</si>
  <si>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</si>
  <si>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</si>
  <si>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</si>
  <si>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</si>
  <si>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</si>
  <si>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</si>
  <si>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</si>
  <si>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</si>
  <si>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</si>
  <si>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</si>
  <si>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</si>
  <si>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</si>
  <si>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</si>
  <si>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</si>
  <si>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</si>
  <si>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</si>
  <si>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</si>
  <si>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</si>
  <si>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</si>
  <si>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</si>
  <si>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</si>
  <si>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</si>
  <si>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</si>
  <si>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</si>
  <si>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</si>
  <si>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</si>
  <si>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</si>
  <si>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</si>
  <si>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</si>
  <si>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</si>
  <si>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</si>
  <si>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</si>
  <si>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</si>
  <si>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</si>
  <si>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</si>
  <si>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</si>
  <si>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</si>
  <si>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</si>
  <si>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</si>
  <si>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</si>
  <si>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</si>
  <si>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</si>
  <si>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</si>
  <si>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</si>
  <si>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</si>
  <si>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</si>
  <si>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</si>
  <si>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</si>
  <si>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</si>
  <si>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</si>
  <si>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</si>
  <si>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</si>
  <si>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</si>
  <si>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</si>
  <si>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</si>
  <si>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</si>
  <si>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</si>
  <si>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</si>
  <si>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</si>
  <si>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</si>
  <si>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</si>
  <si>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</si>
  <si>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</si>
  <si>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</si>
  <si>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</si>
  <si>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</si>
  <si>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</si>
  <si>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</si>
  <si>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</si>
  <si>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</si>
  <si>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</si>
  <si>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</si>
  <si>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</si>
  <si>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</si>
  <si>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</si>
  <si>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</si>
  <si>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</si>
  <si>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</si>
  <si>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</si>
  <si>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</si>
  <si>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</si>
  <si>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</si>
  <si>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</si>
  <si>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</si>
  <si>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</si>
  <si>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</si>
  <si>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</si>
  <si>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</si>
  <si>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</si>
  <si>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</si>
  <si>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</si>
  <si>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</si>
  <si>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</si>
  <si>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</si>
  <si>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</si>
  <si>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</si>
  <si>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</si>
  <si>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</si>
  <si>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</si>
  <si>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BRACADEIRAS E CINTAS</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</si>
  <si>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</si>
  <si>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</si>
  <si>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</si>
  <si>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</si>
  <si>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</si>
  <si>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</si>
  <si>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</si>
  <si>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</si>
  <si>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</si>
  <si>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</si>
  <si>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ZOOM COMERCIAL SUDESTE LTDA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</si>
  <si>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</si>
  <si>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</si>
  <si>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</si>
  <si>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</si>
  <si>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</si>
  <si>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</si>
  <si>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</si>
  <si>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</si>
  <si>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</si>
  <si>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</si>
  <si>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</si>
  <si>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</si>
  <si>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</si>
  <si>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</si>
  <si>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</si>
  <si>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</si>
  <si>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</si>
  <si>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</si>
  <si>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</si>
  <si>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</si>
  <si>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</si>
  <si>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</si>
  <si>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</si>
  <si>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</si>
  <si>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</si>
  <si>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</si>
  <si>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</si>
  <si>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</si>
  <si>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</si>
  <si>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</si>
  <si>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</si>
  <si>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</si>
  <si>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</si>
  <si>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</si>
  <si>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</si>
  <si>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</si>
  <si>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</si>
  <si>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</si>
  <si>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</si>
  <si>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</si>
  <si>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</si>
  <si>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</si>
  <si>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</si>
  <si>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</si>
  <si>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</si>
  <si>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</si>
  <si>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</si>
  <si>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</si>
  <si>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</si>
  <si>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</si>
  <si>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</si>
  <si>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</si>
  <si>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</si>
  <si>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</si>
  <si>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</si>
  <si>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</si>
  <si>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</si>
  <si>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</si>
  <si>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</si>
  <si>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</si>
  <si>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</si>
  <si>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</si>
  <si>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</si>
  <si>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</si>
  <si>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</si>
  <si>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</si>
  <si>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</si>
  <si>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</si>
  <si>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</si>
  <si>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</si>
  <si>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</si>
  <si>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</si>
  <si>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</si>
  <si>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</si>
  <si>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</si>
  <si>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</si>
  <si>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</si>
  <si>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</si>
  <si>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</si>
  <si>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</si>
  <si>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</si>
  <si>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</si>
  <si>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</si>
  <si>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</si>
  <si>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</si>
  <si>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</si>
  <si>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</si>
  <si>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</si>
  <si>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</si>
  <si>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</si>
  <si>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</si>
  <si>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</si>
  <si>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</si>
  <si>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</si>
  <si>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</si>
  <si>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</si>
  <si>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</si>
  <si>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</si>
  <si>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</si>
  <si>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</si>
  <si>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</si>
  <si>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</si>
  <si>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</si>
  <si>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</si>
  <si>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</si>
  <si>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</si>
  <si>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</si>
  <si>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</si>
  <si>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</si>
  <si>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</si>
  <si>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</si>
  <si>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</si>
  <si>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</si>
  <si>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</si>
  <si>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</si>
  <si>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</si>
  <si>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</si>
  <si>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</si>
  <si>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</si>
  <si>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</si>
  <si>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</si>
  <si>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</si>
  <si>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</si>
  <si>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</si>
  <si>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</si>
  <si>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</si>
  <si>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</si>
  <si>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</si>
  <si>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</si>
  <si>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</si>
  <si>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</si>
  <si>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</si>
  <si>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</si>
  <si>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</si>
  <si>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</si>
  <si>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</si>
  <si>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</si>
  <si>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</si>
  <si>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</si>
  <si>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</si>
  <si>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</si>
  <si>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</si>
  <si>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</si>
  <si>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</si>
  <si>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</si>
  <si>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</si>
  <si>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</si>
  <si>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</si>
  <si>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</si>
  <si>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</si>
  <si>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</si>
  <si>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</si>
  <si>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</si>
  <si>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</si>
  <si>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</si>
  <si>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</si>
  <si>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</si>
  <si>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</si>
  <si>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</si>
  <si>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</si>
  <si>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</si>
  <si>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</si>
  <si>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</si>
  <si>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</si>
  <si>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</si>
  <si>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</si>
  <si>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</si>
  <si>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</si>
  <si>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</si>
  <si>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</si>
  <si>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</si>
  <si>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</si>
  <si>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</si>
  <si>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</si>
  <si>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</si>
  <si>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</si>
  <si>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</si>
  <si>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</si>
  <si>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</si>
  <si>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</si>
  <si>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</si>
  <si>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</si>
  <si>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</si>
  <si>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</si>
  <si>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</si>
  <si>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</si>
  <si>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</si>
  <si>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</si>
  <si>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</si>
  <si>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</si>
  <si>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</si>
  <si>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</si>
  <si>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</si>
  <si>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</si>
  <si>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</si>
  <si>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</si>
  <si>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</si>
  <si>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</si>
  <si>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</si>
  <si>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</si>
  <si>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</si>
  <si>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</si>
  <si>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</si>
  <si>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</si>
  <si>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</si>
  <si>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</si>
  <si>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</si>
  <si>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</si>
  <si>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</si>
  <si>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</si>
  <si>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</si>
  <si>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</si>
  <si>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</si>
  <si>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</si>
  <si>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</si>
  <si>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PORTEBRAS</t>
  </si>
  <si>
    <t>RCL COMERCIO DE MATERIAIS DE CONSTRUCAO E SERVICOS LTDA</t>
  </si>
  <si>
    <t>PE   109/23</t>
  </si>
  <si>
    <t>143/23</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</si>
  <si>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</si>
  <si>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</si>
  <si>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</si>
  <si>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</si>
  <si>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</si>
  <si>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</si>
  <si>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</si>
  <si>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</si>
  <si>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CARTOLINA - VERDE CLARO - 50 X 66 CM - GRAMATURA 180G/M2</t>
  </si>
  <si>
    <t>PASTA MOLHA DEDO</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</si>
  <si>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</si>
  <si>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</si>
  <si>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</si>
  <si>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</si>
  <si>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</si>
  <si>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</si>
  <si>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</si>
  <si>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</si>
  <si>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</si>
  <si>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</si>
  <si>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</si>
  <si>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</si>
  <si>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</si>
  <si>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</si>
  <si>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</si>
  <si>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</si>
  <si>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</si>
  <si>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</si>
  <si>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</si>
  <si>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</si>
  <si>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</si>
  <si>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</si>
  <si>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</si>
  <si>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</si>
  <si>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</si>
  <si>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</si>
  <si>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</si>
  <si>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</si>
  <si>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</si>
  <si>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</si>
  <si>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</si>
  <si>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</si>
  <si>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</si>
  <si>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</si>
  <si>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</si>
  <si>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</si>
  <si>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</si>
  <si>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SEIS</t>
  </si>
  <si>
    <t>M A COMÉRCIO DE MADEIRAS LTDA</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</si>
  <si>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</si>
  <si>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</si>
  <si>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</si>
  <si>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</si>
  <si>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</si>
  <si>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</si>
  <si>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</si>
  <si>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</si>
  <si>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</si>
  <si>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</si>
  <si>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</si>
  <si>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</si>
  <si>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</si>
  <si>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</si>
  <si>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</si>
  <si>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</si>
  <si>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</si>
  <si>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</si>
  <si>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</si>
  <si>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</si>
  <si>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</si>
  <si>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</si>
  <si>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</si>
  <si>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</si>
  <si>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</si>
  <si>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</si>
  <si>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</si>
  <si>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</si>
  <si>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</si>
  <si>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</si>
  <si>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</si>
  <si>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</si>
  <si>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</si>
  <si>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</si>
  <si>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</si>
  <si>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</si>
  <si>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</si>
  <si>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</si>
  <si>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</si>
  <si>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</si>
  <si>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</si>
  <si>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</si>
  <si>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</si>
  <si>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</si>
  <si>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</si>
  <si>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</si>
  <si>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</si>
  <si>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</si>
  <si>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</si>
  <si>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</si>
  <si>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</si>
  <si>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</si>
  <si>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</si>
  <si>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</si>
  <si>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</si>
  <si>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</si>
  <si>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</si>
  <si>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</si>
  <si>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</si>
  <si>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</si>
  <si>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</si>
  <si>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</si>
  <si>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</si>
  <si>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</si>
  <si>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</si>
  <si>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</si>
  <si>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</si>
  <si>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</si>
  <si>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</si>
  <si>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</si>
  <si>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</si>
  <si>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</si>
  <si>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</si>
  <si>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</si>
  <si>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</si>
  <si>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</si>
  <si>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</si>
  <si>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ARD</t>
  </si>
  <si>
    <t>MADEIREIRA ARRUDA LTDA</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</si>
  <si>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</si>
  <si>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</si>
  <si>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</si>
  <si>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</si>
  <si>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</si>
  <si>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</si>
  <si>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</si>
  <si>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FIBRAPLAC</t>
  </si>
  <si>
    <t>50X1 COMERCIO DE MADEIRAS LTDA</t>
  </si>
  <si>
    <t>PAPEL CAMURCA - 60 X 40CM - AMARELO</t>
  </si>
  <si>
    <t>TELHA DE FIBROCIMENTO - 0,90 X 8,20 M - TIPO CANALETE</t>
  </si>
  <si>
    <t>CHAPA DE MADEIRA COMPENSADO LAMINADO DE VIROLA - MEDIDAS: 2,20 M X 1,60 M X 15 MM</t>
  </si>
  <si>
    <t>CDS</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</si>
  <si>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</si>
  <si>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</si>
  <si>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</si>
  <si>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</si>
  <si>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</si>
  <si>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</si>
  <si>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</si>
  <si>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</si>
  <si>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</si>
  <si>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</si>
  <si>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</si>
  <si>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</si>
  <si>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</si>
  <si>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</si>
  <si>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</si>
  <si>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</si>
  <si>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</si>
  <si>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</si>
  <si>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</si>
  <si>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</si>
  <si>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</si>
  <si>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</si>
  <si>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</si>
  <si>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</si>
  <si>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OTIMA PORTAS</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</si>
  <si>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</si>
  <si>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</si>
  <si>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</si>
  <si>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</si>
  <si>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</si>
  <si>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</si>
  <si>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</si>
  <si>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</si>
  <si>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</si>
  <si>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</si>
  <si>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</si>
  <si>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</si>
  <si>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</si>
  <si>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</si>
  <si>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</si>
  <si>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</si>
  <si>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</si>
  <si>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</si>
  <si>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</si>
  <si>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</si>
  <si>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</si>
  <si>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</si>
  <si>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</si>
  <si>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</si>
  <si>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</si>
  <si>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</si>
  <si>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</si>
  <si>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</si>
  <si>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</si>
  <si>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</si>
  <si>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</si>
  <si>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</si>
  <si>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</si>
  <si>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</si>
  <si>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</si>
  <si>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</si>
  <si>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</si>
  <si>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</si>
  <si>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</si>
  <si>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</si>
  <si>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</si>
  <si>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</si>
  <si>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</si>
  <si>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</si>
  <si>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</si>
  <si>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</si>
  <si>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</si>
  <si>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</si>
  <si>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</si>
  <si>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</si>
  <si>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</si>
  <si>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</si>
  <si>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</si>
  <si>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</si>
  <si>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</si>
  <si>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</si>
  <si>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</si>
  <si>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</si>
  <si>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</si>
  <si>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</si>
  <si>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</si>
  <si>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</si>
  <si>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</si>
  <si>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</si>
  <si>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</si>
  <si>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</si>
  <si>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</si>
  <si>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</si>
  <si>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</si>
  <si>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</si>
  <si>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</si>
  <si>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</si>
  <si>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</si>
  <si>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</si>
  <si>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</si>
  <si>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</si>
  <si>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</si>
  <si>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</si>
  <si>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</si>
  <si>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</si>
  <si>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</si>
  <si>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</si>
  <si>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</si>
  <si>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</si>
  <si>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</si>
  <si>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</si>
  <si>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</si>
  <si>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</si>
  <si>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</si>
  <si>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</si>
  <si>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</si>
  <si>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</si>
  <si>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</si>
  <si>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</si>
  <si>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</si>
  <si>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</si>
  <si>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</si>
  <si>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</si>
  <si>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</si>
  <si>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</si>
  <si>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</si>
  <si>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</si>
  <si>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</si>
  <si>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</si>
  <si>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</si>
  <si>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</si>
  <si>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 xml:space="preserve">ABRACADEIRA DE NYLON COMPRIMENTO 200 MM </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</si>
  <si>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</si>
  <si>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</si>
  <si>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</si>
  <si>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</si>
  <si>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</si>
  <si>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</si>
  <si>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</si>
  <si>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</si>
  <si>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</si>
  <si>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</si>
  <si>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</si>
  <si>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</si>
  <si>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</si>
  <si>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</si>
  <si>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</si>
  <si>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BANDEIRA DA CIDADE - 1,12 X 1,60 M, ,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</si>
  <si>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</si>
  <si>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</si>
  <si>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</si>
  <si>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</si>
  <si>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</si>
  <si>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</si>
  <si>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</si>
  <si>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</si>
  <si>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</si>
  <si>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</si>
  <si>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</si>
  <si>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</si>
  <si>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</si>
  <si>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</si>
  <si>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</si>
  <si>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</si>
  <si>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</si>
  <si>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</si>
  <si>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</si>
  <si>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</si>
  <si>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</si>
  <si>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</si>
  <si>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</si>
  <si>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</si>
  <si>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</si>
  <si>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</si>
  <si>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</si>
  <si>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</si>
  <si>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</si>
  <si>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</si>
  <si>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</si>
  <si>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</si>
  <si>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</si>
  <si>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</si>
  <si>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</si>
  <si>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</si>
  <si>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</si>
  <si>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</si>
  <si>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</si>
  <si>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</si>
  <si>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</si>
  <si>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</si>
  <si>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</si>
  <si>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</si>
  <si>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</si>
  <si>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</si>
  <si>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</si>
  <si>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</si>
  <si>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</si>
  <si>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</si>
  <si>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</si>
  <si>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</si>
  <si>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</si>
  <si>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</si>
  <si>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</si>
  <si>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</si>
  <si>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</si>
  <si>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</si>
  <si>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</si>
  <si>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</si>
  <si>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</si>
  <si>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</si>
  <si>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</si>
  <si>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</si>
  <si>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</si>
  <si>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</si>
  <si>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</si>
  <si>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</si>
  <si>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</si>
  <si>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</si>
  <si>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</si>
  <si>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</si>
  <si>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</si>
  <si>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</si>
  <si>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</si>
  <si>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</si>
  <si>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</si>
  <si>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</si>
  <si>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</si>
  <si>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</si>
  <si>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</si>
  <si>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</si>
  <si>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</si>
  <si>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</si>
  <si>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</si>
  <si>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</si>
  <si>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</si>
  <si>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</si>
  <si>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</si>
  <si>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</si>
  <si>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</si>
  <si>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</si>
  <si>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</si>
  <si>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</si>
  <si>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</si>
  <si>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</si>
  <si>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</si>
  <si>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</si>
  <si>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</si>
  <si>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</si>
  <si>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</si>
  <si>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</si>
  <si>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</si>
  <si>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</si>
  <si>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</si>
  <si>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</si>
  <si>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</si>
  <si>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</si>
  <si>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</si>
  <si>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</si>
  <si>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</si>
  <si>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</si>
  <si>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</si>
  <si>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</si>
  <si>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</si>
  <si>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</si>
  <si>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</si>
  <si>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</si>
  <si>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</si>
  <si>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</si>
  <si>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</si>
  <si>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</si>
  <si>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</si>
  <si>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</si>
  <si>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</si>
  <si>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</si>
  <si>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</si>
  <si>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</si>
  <si>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</si>
  <si>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</si>
  <si>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</si>
  <si>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</si>
  <si>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</si>
  <si>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</si>
  <si>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</si>
  <si>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</si>
  <si>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</si>
  <si>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</si>
  <si>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</si>
  <si>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</si>
  <si>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</si>
  <si>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</si>
  <si>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</si>
  <si>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</si>
  <si>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</si>
  <si>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</si>
  <si>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</si>
  <si>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</si>
  <si>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</si>
  <si>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</si>
  <si>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</si>
  <si>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</si>
  <si>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</si>
  <si>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</si>
  <si>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</si>
  <si>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</si>
  <si>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</si>
  <si>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</si>
  <si>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</si>
  <si>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</si>
  <si>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CAMBARA</t>
  </si>
  <si>
    <t>PISO HIDRAULICO, ANTIDERRAPANTE</t>
  </si>
  <si>
    <t>PISOS DE BORRACHA, PVC E OUTROS COLAVEIS</t>
  </si>
  <si>
    <t>PISO HIDRAULICO, ANTIDERRAPANTE, COR CINZA.</t>
  </si>
  <si>
    <t xml:space="preserve">INTERRUPTOR 10A/250V COM 2 TECLAS PARALELAS </t>
  </si>
  <si>
    <t>TOMADA MOVEL PADRAO NBR 14136 2 +T  DE 10A/250V</t>
  </si>
  <si>
    <t>TINTA A BASE DE AGUA PARA USO EM CARIMBO AUTO ENTINTADO - FRASCO COM  30 ML -  COR PRETA</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</si>
  <si>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</si>
  <si>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</si>
  <si>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</si>
  <si>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</si>
  <si>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</si>
  <si>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</si>
  <si>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</si>
  <si>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</si>
  <si>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</si>
  <si>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</si>
  <si>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</si>
  <si>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</si>
  <si>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</si>
  <si>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</si>
  <si>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</si>
  <si>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</si>
  <si>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</si>
  <si>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</si>
  <si>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</si>
  <si>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</si>
  <si>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</si>
  <si>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</si>
  <si>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</si>
  <si>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</si>
  <si>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</si>
  <si>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</si>
  <si>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</si>
  <si>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</si>
  <si>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</si>
  <si>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</si>
  <si>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</si>
  <si>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</si>
  <si>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</si>
  <si>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</si>
  <si>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</si>
  <si>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</si>
  <si>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</si>
  <si>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</si>
  <si>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</si>
  <si>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</si>
  <si>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</si>
  <si>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</si>
  <si>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</si>
  <si>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</si>
  <si>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</si>
  <si>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</si>
  <si>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TRISANTI</t>
  </si>
  <si>
    <t>NUTRITE COMERCIO DE ALIMENTOS LTDA</t>
  </si>
  <si>
    <t>PE   106/23</t>
  </si>
  <si>
    <t>167/23</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</si>
  <si>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</si>
  <si>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</si>
  <si>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</si>
  <si>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</si>
  <si>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</si>
  <si>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</si>
  <si>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</si>
  <si>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</si>
  <si>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</si>
  <si>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</si>
  <si>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</si>
  <si>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</si>
  <si>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</si>
  <si>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</si>
  <si>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</si>
  <si>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</si>
  <si>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</si>
  <si>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</si>
  <si>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</si>
  <si>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</si>
  <si>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</si>
  <si>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</si>
  <si>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</si>
  <si>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</si>
  <si>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</si>
  <si>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</si>
  <si>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</si>
  <si>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</si>
  <si>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</si>
  <si>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</si>
  <si>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</si>
  <si>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</si>
  <si>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</si>
  <si>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</si>
  <si>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</si>
  <si>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</si>
  <si>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</si>
  <si>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</si>
  <si>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</si>
  <si>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</si>
  <si>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MATERIAIS DE DESENHO TECNICO</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</si>
  <si>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</si>
  <si>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</si>
  <si>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</si>
  <si>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</si>
  <si>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</si>
  <si>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</si>
  <si>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</si>
  <si>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</si>
  <si>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</si>
  <si>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</si>
  <si>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</si>
  <si>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</si>
  <si>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</si>
  <si>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</si>
  <si>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</si>
  <si>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</si>
  <si>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</si>
  <si>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</si>
  <si>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</si>
  <si>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</si>
  <si>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</si>
  <si>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</si>
  <si>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</si>
  <si>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</si>
  <si>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</si>
  <si>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</si>
  <si>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</si>
  <si>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</si>
  <si>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</si>
  <si>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</si>
  <si>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</si>
  <si>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</si>
  <si>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</si>
  <si>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</si>
  <si>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</si>
  <si>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</si>
  <si>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</si>
  <si>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</si>
  <si>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</si>
  <si>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</si>
  <si>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</si>
  <si>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</si>
  <si>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</si>
  <si>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</si>
  <si>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</si>
  <si>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</si>
  <si>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</si>
  <si>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</si>
  <si>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</si>
  <si>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GRANITO</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</si>
  <si>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</si>
  <si>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</si>
  <si>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</si>
  <si>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</si>
  <si>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</si>
  <si>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</si>
  <si>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</si>
  <si>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</si>
  <si>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</si>
  <si>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TEGUS</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</si>
  <si>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</si>
  <si>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</si>
  <si>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</si>
  <si>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</si>
  <si>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</si>
  <si>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</si>
  <si>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</si>
  <si>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</si>
  <si>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</si>
  <si>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</si>
  <si>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</si>
  <si>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</si>
  <si>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</si>
  <si>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</si>
  <si>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</si>
  <si>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</si>
  <si>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</si>
  <si>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</si>
  <si>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</si>
  <si>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</si>
  <si>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</si>
  <si>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</si>
  <si>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</si>
  <si>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</si>
  <si>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</si>
  <si>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</si>
  <si>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</si>
  <si>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</si>
  <si>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</si>
  <si>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</si>
  <si>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LIVROS</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</si>
  <si>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</si>
  <si>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</si>
  <si>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</si>
  <si>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</si>
  <si>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</si>
  <si>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</si>
  <si>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</si>
  <si>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</si>
  <si>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</si>
  <si>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</si>
  <si>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</si>
  <si>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</si>
  <si>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</si>
  <si>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</si>
  <si>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</si>
  <si>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</si>
  <si>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</si>
  <si>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</si>
  <si>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</si>
  <si>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</si>
  <si>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</si>
  <si>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</si>
  <si>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</si>
  <si>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</si>
  <si>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</si>
  <si>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</si>
  <si>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</si>
  <si>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</si>
  <si>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</si>
  <si>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</si>
  <si>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</si>
  <si>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</si>
  <si>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</si>
  <si>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</si>
  <si>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</si>
  <si>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</si>
  <si>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</si>
  <si>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</si>
  <si>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</si>
  <si>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</si>
  <si>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</si>
  <si>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</si>
  <si>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</si>
  <si>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BORRACHA BRANCA COMUM NUMERO 20 (SEM CINTA), CONFECCIONADA EM MATERIAL NATURAL E MACIO, ATOXICA. APLICAVEL PARA QUALQUER SUPERFICIE E GRADUACAO DE GRAFITE. MEDIDA: 40MM X 30MM X 10MM (VARIACAO +/- 2MM). PRODUTO CERTIFICADO PELO INMETRO.</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</si>
  <si>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</si>
  <si>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</si>
  <si>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</si>
  <si>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</si>
  <si>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</si>
  <si>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</si>
  <si>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</si>
  <si>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</si>
  <si>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</si>
  <si>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</si>
  <si>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</si>
  <si>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</si>
  <si>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PASTA PLASTICA COM ELASTICO, SEM LOMBADA, MEDINDO 235 MM X 335 MM (VARIACAO DE +/- 2 MM). ATOXICA. ELASTICO DE BORRACHA REVESTIDO COM TECIDO TRANSPASSADO E TERMINAL PLASTICO, DE BOA QUALIDADE. COR: TRANSPARENTE/ CRISTAL.</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</si>
  <si>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</si>
  <si>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</si>
  <si>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</si>
  <si>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</si>
  <si>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</si>
  <si>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</si>
  <si>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</si>
  <si>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</si>
  <si>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</si>
  <si>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</si>
  <si>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</si>
  <si>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</si>
  <si>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</si>
  <si>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</si>
  <si>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</si>
  <si>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REALCE PORCELANATO R</t>
  </si>
  <si>
    <t>JCB REPRESENTACAO E COMERCIO LTDA</t>
  </si>
  <si>
    <t>PE   146/23</t>
  </si>
  <si>
    <t>162/23</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</si>
  <si>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</si>
  <si>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</si>
  <si>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</si>
  <si>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</si>
  <si>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</si>
  <si>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</si>
  <si>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</si>
  <si>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</si>
  <si>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</si>
  <si>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</si>
  <si>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</si>
  <si>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</si>
  <si>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</si>
  <si>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</si>
  <si>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</si>
  <si>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</si>
  <si>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</si>
  <si>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</si>
  <si>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</si>
  <si>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</si>
  <si>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</si>
  <si>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</si>
  <si>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</si>
  <si>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</si>
  <si>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</si>
  <si>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</si>
  <si>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</si>
  <si>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</si>
  <si>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</si>
  <si>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</si>
  <si>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</si>
  <si>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</si>
  <si>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</si>
  <si>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</si>
  <si>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</si>
  <si>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</si>
  <si>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</si>
  <si>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</si>
  <si>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</si>
  <si>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</si>
  <si>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</si>
  <si>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</si>
  <si>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</si>
  <si>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</si>
  <si>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</si>
  <si>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</si>
  <si>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</si>
  <si>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</si>
  <si>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</si>
  <si>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</si>
  <si>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</si>
  <si>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</si>
  <si>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</si>
  <si>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</si>
  <si>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GM PLASTICOS INDUSTRIA E COMERCIO LTDA ( 226361 )</t>
  </si>
  <si>
    <t>NUTRICIONALE COMERCIO DE ALIMENTOS LTDA ( 29315 )</t>
  </si>
  <si>
    <t>FINO SABOR INDUSTRIA E COMERCIO LTDA ( 20351 )</t>
  </si>
  <si>
    <t>ART SUPRIMENTOS LTDA ( 237679 )</t>
  </si>
  <si>
    <t>REDE I9 DO BRASIL MATERIAIS ELETRICOS E MONTAGENS INDUSTRIAIS LTDA ( 235922 )</t>
  </si>
  <si>
    <t>CHRISPIN PINTOR TINTAS COMERCIO E SERVICOS LTDA ( 119818 )</t>
  </si>
  <si>
    <t>GUARANI INDUSTRIA, COMERCIO E SERVICOS LTDA ( 6058 )</t>
  </si>
  <si>
    <t>CLEANING DISTRIBUIDORA DE PRODUTOS DE LIMPEZA LTDA ( 233259 )</t>
  </si>
  <si>
    <t>SUPREME COMERCIAL LTDA ( 218117 )</t>
  </si>
  <si>
    <t>MZ SINALIZACAO VIARIA LTDA ( 252800 )</t>
  </si>
  <si>
    <t>DAVOP COMERCIAL LTDA ( 44459 )</t>
  </si>
  <si>
    <t>RCL COMERCIO DE MATERIAIS DE CONSTRUCAO E SERVICOS LTDA ( 186610 )</t>
  </si>
  <si>
    <t>RELLEK TEK COMERCIAL LTDA ( 162825 )</t>
  </si>
  <si>
    <t>MADEIREIRA ARRUDA LTDA ( 119856 )</t>
  </si>
  <si>
    <t>P.P. QUIMICA INDUSTRIAL LTDA ( 207252 )</t>
  </si>
  <si>
    <t>NOG. COM VARIEDADES LTDA ( 148457 )</t>
  </si>
  <si>
    <t>DURA TINTAS E REVESTIMENTOS LTDA ( 22353 )</t>
  </si>
  <si>
    <t>ALINE NICACIO ( 158489 )</t>
  </si>
  <si>
    <t>TRANSNECO MATERIAIS DE CONSTRUCAO EM GERAL LTDA ( 226566 )</t>
  </si>
  <si>
    <t>DIPAR FERRAGENS LTDA ( 158993 )</t>
  </si>
  <si>
    <t>DM-Construção</t>
  </si>
  <si>
    <t>.</t>
  </si>
  <si>
    <t>Administrativo</t>
  </si>
  <si>
    <t>Pedagógico</t>
  </si>
  <si>
    <t>DM-Pintura</t>
  </si>
  <si>
    <t>DM-Hidráulica</t>
  </si>
  <si>
    <t>DM-Elétrica</t>
  </si>
  <si>
    <t>DM-Serralheria</t>
  </si>
  <si>
    <t>DM-Marcenaria</t>
  </si>
  <si>
    <t># 2</t>
  </si>
  <si>
    <t>SegMedTra</t>
  </si>
  <si>
    <t>DM-Geral</t>
  </si>
  <si>
    <t>Eventos</t>
  </si>
  <si>
    <t>DM-Jardinagem</t>
  </si>
  <si>
    <t>Informática</t>
  </si>
  <si>
    <t>*</t>
  </si>
  <si>
    <t>8/20 | Aguardando!</t>
  </si>
  <si>
    <t>143/21 | Aguardando!</t>
  </si>
  <si>
    <t>81/21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</si>
  <si>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</si>
  <si>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</si>
  <si>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</si>
  <si>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</si>
  <si>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</si>
  <si>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</si>
  <si>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</si>
  <si>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</si>
  <si>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</si>
  <si>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</si>
  <si>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</si>
  <si>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</si>
  <si>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</si>
  <si>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</si>
  <si>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</si>
  <si>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</si>
  <si>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</si>
  <si>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</si>
  <si>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</si>
  <si>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</si>
  <si>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</si>
  <si>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</si>
  <si>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</si>
  <si>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</si>
  <si>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</si>
  <si>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</si>
  <si>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</si>
  <si>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</si>
  <si>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</si>
  <si>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</si>
  <si>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</si>
  <si>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</si>
  <si>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</si>
  <si>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</si>
  <si>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</si>
  <si>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</si>
  <si>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</si>
  <si>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</si>
  <si>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</si>
  <si>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</si>
  <si>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</si>
  <si>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</si>
  <si>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</si>
  <si>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70/19 | Suspenso!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</si>
  <si>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</si>
  <si>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</si>
  <si>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</si>
  <si>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</si>
  <si>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</si>
  <si>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</si>
  <si>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</si>
  <si>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</si>
  <si>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</si>
  <si>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</si>
  <si>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</si>
  <si>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</si>
  <si>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</si>
  <si>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</si>
  <si>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</si>
  <si>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</si>
  <si>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</si>
  <si>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</si>
  <si>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</si>
  <si>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</si>
  <si>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</si>
  <si>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</si>
  <si>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</si>
  <si>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</si>
  <si>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</si>
  <si>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</si>
  <si>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</si>
  <si>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</si>
  <si>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</si>
  <si>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</si>
  <si>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</si>
  <si>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</si>
  <si>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</si>
  <si>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</si>
  <si>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</si>
  <si>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</si>
  <si>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</si>
  <si>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</si>
  <si>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</si>
  <si>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</si>
  <si>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</si>
  <si>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</si>
  <si>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</si>
  <si>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</si>
  <si>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105/20 | Aguardando!</t>
  </si>
  <si>
    <t>2/21 | Aguardando!</t>
  </si>
  <si>
    <t>158/20 | Suspenso!</t>
  </si>
  <si>
    <t>2/19 | Aguardando!</t>
  </si>
  <si>
    <t>169/17 | Suspenso Impróspero!</t>
  </si>
  <si>
    <t>78/18 | Suspenso!</t>
  </si>
  <si>
    <t>64/20 | Suspenso!</t>
  </si>
  <si>
    <t>115/20 | Aguardando!</t>
  </si>
  <si>
    <t>204/18 | Suspenso!</t>
  </si>
  <si>
    <t>2/18 | Inativo!</t>
  </si>
  <si>
    <t>199/19 | Suspenso Impróspero!</t>
  </si>
  <si>
    <t>131/21 | Aguardando!</t>
  </si>
  <si>
    <t>216/20 | Aguardando!</t>
  </si>
  <si>
    <t>114/18 | Suspenso!</t>
  </si>
  <si>
    <t>296/20 | Aguardando!</t>
  </si>
  <si>
    <t>51/20 | Aguardando!</t>
  </si>
  <si>
    <t>183/20 | Aguardando!</t>
  </si>
  <si>
    <t>173/21 | Aguardando!</t>
  </si>
  <si>
    <t>143/20 | Aguardando!</t>
  </si>
  <si>
    <t>191/17 | Aguardando!</t>
  </si>
  <si>
    <t>289/20 | Aguardando!</t>
  </si>
  <si>
    <t>274/20 | Aguardando!</t>
  </si>
  <si>
    <t>155/19 | Aguardando!</t>
  </si>
  <si>
    <t>75/21 | Aguardando Impróspero!</t>
  </si>
  <si>
    <t>109/17 | Aguardando Impróspero!</t>
  </si>
  <si>
    <t>281/20 | Aguardando!</t>
  </si>
  <si>
    <t>292/19 | Aguardando!</t>
  </si>
  <si>
    <t>237/20 | Aguardando!</t>
  </si>
  <si>
    <t>151/19 | Aguardando!</t>
  </si>
  <si>
    <t>/-2000 | ATA!</t>
  </si>
  <si>
    <t>234/19 | Suspenso Impróspero!</t>
  </si>
  <si>
    <t>79/21 | Aguardando!</t>
  </si>
  <si>
    <t>61/21 | Aguardando!</t>
  </si>
  <si>
    <t>DESCRICAO</t>
  </si>
  <si>
    <t>CODIGO</t>
  </si>
  <si>
    <t>ASSENTO PARA VASO SANITARIO EM POLIURETANO EXPANDIDO COM TAMPA EM POLIPROPILENO, FIXACAO COM ELEMENTOS DE PLASTICO COM POSSIBILIDADE DE AJUSTE EM TODAS AS DIRECOES</t>
  </si>
  <si>
    <t>DESINFETANTE, MULTIUSO, ANTIBACTERICIDA, PERFUME LAVANDA, GALAO COM 5 LITROS</t>
  </si>
  <si>
    <t>ESTILETE DE METAL C/ LAMINA ESTREITA</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</si>
  <si>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</si>
  <si>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</si>
  <si>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</si>
  <si>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</si>
  <si>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</si>
  <si>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</si>
  <si>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</si>
  <si>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</si>
  <si>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</si>
  <si>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</si>
  <si>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</si>
  <si>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</si>
  <si>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</si>
  <si>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</si>
  <si>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</si>
  <si>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</si>
  <si>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</si>
  <si>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</si>
  <si>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</si>
  <si>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</si>
  <si>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</si>
  <si>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</si>
  <si>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</si>
  <si>
    <t>07.2023</t>
  </si>
  <si>
    <t>04.2023</t>
  </si>
  <si>
    <t>08.2023</t>
  </si>
  <si>
    <t>10.2022</t>
  </si>
  <si>
    <t>11.2022</t>
  </si>
  <si>
    <t>05.2023</t>
  </si>
  <si>
    <t>03.2023</t>
  </si>
  <si>
    <t>06.2023</t>
  </si>
  <si>
    <t>01.2023</t>
  </si>
  <si>
    <t>02.2023</t>
  </si>
  <si>
    <t>12.2022</t>
  </si>
  <si>
    <t>pd.tabParametros</t>
  </si>
  <si>
    <t>pd.tabItens</t>
  </si>
  <si>
    <t>pd.tabAtasAtivas</t>
  </si>
  <si>
    <t>pd.tabInativos</t>
  </si>
  <si>
    <t>pd.tabItensSituacao</t>
  </si>
  <si>
    <t>pd.tabItensZerados</t>
  </si>
  <si>
    <t>pd.histZerados</t>
  </si>
  <si>
    <t>Seleção: Itens Ativos com Ata - Todos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</si>
</sst>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3"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
      <sz val="11"/>
      <color theme="1"/>
      <name val="Consolas"/>
      <family val="3"/>
    </font>
    <font>
      <sz val="11"/>
      <color rgb="FF000000"/>
      <name val="Calibri"/>
      <family val="2"/>
    </font>
    <font>
      <sz val="11"/>
      <color theme="9" tint="-0.499984740745262"/>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theme="1"/>
        <bgColor theme="1"/>
      </patternFill>
    </fill>
    <fill>
      <patternFill patternType="solid">
        <fgColor theme="9" tint="-0.49998474074526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style="thin">
        <color theme="1"/>
      </bottom>
      <diagonal/>
    </border>
    <border>
      <left/>
      <right style="thin">
        <color theme="1"/>
      </right>
      <top style="thin">
        <color theme="1"/>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409">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6" fillId="6" borderId="11" xfId="0" applyNumberFormat="1" applyFont="1" applyFill="1" applyBorder="1" applyAlignment="1">
      <alignment horizontal="center" vertical="center"/>
    </xf>
    <xf numFmtId="3" fontId="36" fillId="6" borderId="12" xfId="0" applyNumberFormat="1" applyFont="1" applyFill="1" applyBorder="1" applyAlignment="1">
      <alignment horizontal="center" vertical="center"/>
    </xf>
    <xf numFmtId="3" fontId="36" fillId="6" borderId="13" xfId="0" applyNumberFormat="1" applyFont="1" applyFill="1" applyBorder="1" applyAlignment="1">
      <alignment horizontal="center" vertical="center"/>
    </xf>
    <xf numFmtId="49" fontId="36"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6" fillId="6" borderId="0" xfId="0" applyNumberFormat="1" applyFont="1" applyFill="1" applyAlignment="1">
      <alignment horizontal="center" vertical="center"/>
    </xf>
    <xf numFmtId="1" fontId="36" fillId="6" borderId="11" xfId="0" applyNumberFormat="1" applyFont="1" applyFill="1" applyBorder="1" applyAlignment="1">
      <alignment horizontal="center" vertical="center"/>
    </xf>
    <xf numFmtId="1" fontId="36" fillId="6" borderId="11" xfId="0" applyNumberFormat="1" applyFont="1" applyFill="1" applyBorder="1" applyAlignment="1">
      <alignment horizontal="left" vertical="center"/>
    </xf>
    <xf numFmtId="1" fontId="36" fillId="6" borderId="11" xfId="0" applyNumberFormat="1" applyFont="1" applyFill="1" applyBorder="1" applyAlignment="1">
      <alignment horizontal="left" vertical="center" indent="1"/>
    </xf>
    <xf numFmtId="3" fontId="36" fillId="6" borderId="0" xfId="0" applyNumberFormat="1" applyFont="1" applyFill="1" applyAlignment="1">
      <alignment horizontal="left" vertical="center" indent="1"/>
    </xf>
    <xf numFmtId="3" fontId="36"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1"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49" fillId="0" borderId="0" xfId="0" applyFont="1" applyAlignment="1">
      <alignment horizontal="center" vertical="center"/>
    </xf>
    <xf numFmtId="3" fontId="49"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0"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3"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6"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5" fillId="7" borderId="0" xfId="0" applyNumberFormat="1" applyFont="1" applyFill="1" applyAlignment="1">
      <alignment horizontal="center" vertical="center"/>
    </xf>
    <xf numFmtId="184" fontId="45" fillId="7" borderId="0" xfId="0" applyNumberFormat="1" applyFont="1" applyFill="1" applyAlignment="1">
      <alignment horizontal="center" vertical="center"/>
    </xf>
    <xf numFmtId="179" fontId="40" fillId="7" borderId="0" xfId="0" applyNumberFormat="1" applyFont="1" applyFill="1" applyAlignment="1">
      <alignment horizontal="right" vertical="center"/>
    </xf>
    <xf numFmtId="179" fontId="41"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1" fillId="7" borderId="0" xfId="0" applyNumberFormat="1" applyFont="1" applyFill="1" applyAlignment="1">
      <alignment horizontal="center" vertical="center"/>
    </xf>
    <xf numFmtId="179" fontId="54"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39" fillId="0" borderId="1" xfId="0" applyNumberFormat="1" applyFont="1" applyBorder="1" applyAlignment="1">
      <alignment horizontal="left" vertical="top"/>
    </xf>
    <xf numFmtId="22" fontId="39"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5" fillId="0" borderId="1" xfId="0" applyNumberFormat="1" applyFont="1" applyBorder="1" applyAlignment="1">
      <alignment horizontal="center" vertical="top"/>
    </xf>
    <xf numFmtId="3" fontId="43"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7"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8"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194" fontId="0" fillId="0" borderId="0" xfId="0" applyNumberFormat="1" applyAlignment="1">
      <alignment horizontal="center" vertical="top"/>
    </xf>
    <xf numFmtId="176" fontId="36" fillId="0" borderId="0" xfId="0" applyNumberFormat="1" applyFont="1" applyAlignment="1">
      <alignment horizontal="left" vertical="top"/>
    </xf>
    <xf numFmtId="49" fontId="36" fillId="0" borderId="0" xfId="0" applyNumberFormat="1" applyFont="1" applyAlignment="1">
      <alignment horizontal="left" vertical="top" indent="1"/>
    </xf>
    <xf numFmtId="49" fontId="36" fillId="0" borderId="0" xfId="0" applyNumberFormat="1" applyFont="1" applyAlignment="1">
      <alignment horizontal="center" vertical="top"/>
    </xf>
    <xf numFmtId="178" fontId="36" fillId="0" borderId="0" xfId="0" applyNumberFormat="1" applyFont="1" applyAlignment="1">
      <alignment horizontal="right" vertical="top" indent="1"/>
    </xf>
    <xf numFmtId="179" fontId="36" fillId="0" borderId="0" xfId="0" applyNumberFormat="1" applyFont="1" applyAlignment="1">
      <alignment horizontal="right" vertical="top"/>
    </xf>
    <xf numFmtId="49" fontId="36" fillId="0" borderId="0" xfId="0" applyNumberFormat="1" applyFont="1" applyAlignment="1">
      <alignment horizontal="right" indent="1"/>
    </xf>
    <xf numFmtId="177" fontId="36" fillId="0" borderId="0" xfId="0" applyNumberFormat="1" applyFont="1" applyAlignment="1">
      <alignment horizontal="right" vertical="top"/>
    </xf>
    <xf numFmtId="181" fontId="36" fillId="0" borderId="0" xfId="0" applyNumberFormat="1" applyFont="1" applyAlignment="1">
      <alignment horizontal="right" vertical="top"/>
    </xf>
    <xf numFmtId="180" fontId="36" fillId="0" borderId="0" xfId="0" applyNumberFormat="1" applyFont="1" applyAlignment="1">
      <alignment horizontal="center" vertical="center"/>
    </xf>
    <xf numFmtId="177" fontId="36" fillId="0" borderId="0" xfId="0" applyNumberFormat="1" applyFont="1" applyAlignment="1">
      <alignment horizontal="center" vertical="center"/>
    </xf>
    <xf numFmtId="182" fontId="36" fillId="0" borderId="0" xfId="0" applyNumberFormat="1" applyFont="1" applyAlignment="1">
      <alignment horizontal="left" vertical="top"/>
    </xf>
    <xf numFmtId="180" fontId="36" fillId="0" borderId="0" xfId="0" applyNumberFormat="1" applyFont="1" applyAlignment="1">
      <alignment horizontal="right" vertical="top"/>
    </xf>
    <xf numFmtId="175" fontId="36" fillId="0" borderId="0" xfId="0" applyNumberFormat="1" applyFont="1" applyAlignment="1">
      <alignment horizontal="left" vertical="top"/>
    </xf>
    <xf numFmtId="183" fontId="36" fillId="0" borderId="0" xfId="0" applyNumberFormat="1" applyFont="1" applyAlignment="1">
      <alignment horizontal="center" vertical="top"/>
    </xf>
    <xf numFmtId="183" fontId="36" fillId="0" borderId="0" xfId="0" applyNumberFormat="1" applyFont="1" applyAlignment="1">
      <alignment horizontal="right" vertical="top"/>
    </xf>
    <xf numFmtId="183" fontId="36" fillId="0" borderId="0" xfId="0" applyNumberFormat="1" applyFont="1" applyAlignment="1">
      <alignment horizontal="left" vertical="top"/>
    </xf>
    <xf numFmtId="184" fontId="36" fillId="0" borderId="0" xfId="0" applyNumberFormat="1" applyFont="1" applyAlignment="1">
      <alignment horizontal="left" vertical="top"/>
    </xf>
    <xf numFmtId="1" fontId="36" fillId="0" borderId="0" xfId="0" applyNumberFormat="1" applyFont="1" applyAlignment="1">
      <alignment horizontal="left" vertical="top"/>
    </xf>
    <xf numFmtId="185" fontId="36" fillId="0" borderId="0" xfId="0" applyNumberFormat="1" applyFont="1" applyAlignment="1">
      <alignment horizontal="right" vertical="top"/>
    </xf>
    <xf numFmtId="180" fontId="36" fillId="0" borderId="0" xfId="0" applyNumberFormat="1" applyFont="1" applyAlignment="1">
      <alignment horizontal="center" vertical="top"/>
    </xf>
    <xf numFmtId="186" fontId="36" fillId="0" borderId="0" xfId="0" applyNumberFormat="1" applyFont="1" applyAlignment="1">
      <alignment horizontal="left" vertical="top"/>
    </xf>
    <xf numFmtId="186" fontId="36" fillId="0" borderId="0" xfId="0" applyNumberFormat="1" applyFont="1" applyAlignment="1">
      <alignment horizontal="center" vertical="top"/>
    </xf>
    <xf numFmtId="175" fontId="36" fillId="0" borderId="0" xfId="0" applyNumberFormat="1" applyFont="1" applyAlignment="1">
      <alignment horizontal="right" vertical="top"/>
    </xf>
    <xf numFmtId="180" fontId="36" fillId="0" borderId="0" xfId="0" applyNumberFormat="1" applyFont="1" applyAlignment="1">
      <alignment horizontal="left" vertical="top"/>
    </xf>
    <xf numFmtId="187" fontId="36" fillId="0" borderId="0" xfId="0" applyNumberFormat="1" applyFont="1" applyAlignment="1">
      <alignment horizontal="center" vertical="top"/>
    </xf>
    <xf numFmtId="49" fontId="36" fillId="0" borderId="0" xfId="0" applyNumberFormat="1" applyFont="1" applyAlignment="1">
      <alignment horizontal="left" vertical="top"/>
    </xf>
    <xf numFmtId="188" fontId="36" fillId="0" borderId="0" xfId="0" applyNumberFormat="1" applyFont="1" applyAlignment="1">
      <alignment horizontal="left" vertical="top"/>
    </xf>
    <xf numFmtId="179" fontId="36" fillId="0" borderId="0" xfId="0" applyNumberFormat="1" applyFont="1" applyAlignment="1">
      <alignment horizontal="left" vertical="top"/>
    </xf>
    <xf numFmtId="1" fontId="36" fillId="0" borderId="0" xfId="0" applyNumberFormat="1" applyFont="1" applyAlignment="1">
      <alignment horizontal="center" vertical="top"/>
    </xf>
    <xf numFmtId="0" fontId="36" fillId="0" borderId="0" xfId="0" applyFont="1" applyAlignment="1">
      <alignment horizontal="left" vertical="top"/>
    </xf>
    <xf numFmtId="1" fontId="0" fillId="0" borderId="0" xfId="0" applyNumberFormat="1" applyAlignment="1">
      <alignment horizontal="right" indent="1"/>
    </xf>
    <xf numFmtId="49" fontId="39" fillId="0" borderId="0" xfId="0" applyNumberFormat="1" applyFont="1" applyAlignment="1">
      <alignment horizontal="left"/>
    </xf>
    <xf numFmtId="191" fontId="39" fillId="0" borderId="0" xfId="0" applyNumberFormat="1" applyFont="1" applyAlignment="1">
      <alignment horizontal="left"/>
    </xf>
    <xf numFmtId="176" fontId="0" fillId="0" borderId="0" xfId="0" applyNumberFormat="1" applyAlignment="1">
      <alignment horizontal="right" vertical="top"/>
    </xf>
    <xf numFmtId="49" fontId="0" fillId="0" borderId="0" xfId="0" applyNumberFormat="1" applyAlignment="1">
      <alignment horizontal="left" vertical="top" indent="1"/>
    </xf>
    <xf numFmtId="178" fontId="0" fillId="0" borderId="0" xfId="0" applyNumberFormat="1" applyAlignment="1">
      <alignment horizontal="right" vertical="top" indent="1"/>
    </xf>
    <xf numFmtId="179" fontId="0" fillId="0" borderId="0" xfId="0" applyNumberFormat="1" applyAlignment="1">
      <alignment horizontal="right" vertical="top"/>
    </xf>
    <xf numFmtId="177" fontId="0" fillId="0" borderId="0" xfId="0" applyNumberFormat="1" applyAlignment="1">
      <alignment horizontal="right" vertical="top"/>
    </xf>
    <xf numFmtId="181" fontId="0" fillId="0" borderId="0" xfId="0" applyNumberFormat="1" applyAlignment="1">
      <alignment horizontal="right" vertical="top"/>
    </xf>
    <xf numFmtId="180" fontId="0" fillId="0" borderId="0" xfId="0" applyNumberFormat="1" applyAlignment="1">
      <alignment horizontal="right" vertical="top"/>
    </xf>
    <xf numFmtId="182" fontId="0" fillId="0" borderId="0" xfId="0" applyNumberFormat="1" applyAlignment="1">
      <alignment horizontal="right" vertical="top"/>
    </xf>
    <xf numFmtId="175" fontId="0" fillId="0" borderId="0" xfId="0" applyNumberFormat="1" applyAlignment="1">
      <alignment horizontal="right" vertical="top"/>
    </xf>
    <xf numFmtId="183" fontId="0" fillId="0" borderId="0" xfId="0" applyNumberFormat="1" applyAlignment="1">
      <alignment horizontal="center" vertical="top"/>
    </xf>
    <xf numFmtId="184" fontId="0" fillId="0" borderId="0" xfId="0" applyNumberFormat="1" applyAlignment="1">
      <alignment horizontal="center" vertical="top"/>
    </xf>
    <xf numFmtId="185" fontId="0" fillId="0" borderId="0" xfId="0" applyNumberFormat="1" applyAlignment="1">
      <alignment horizontal="right" vertical="top"/>
    </xf>
    <xf numFmtId="180" fontId="1" fillId="0" borderId="0" xfId="0" applyNumberFormat="1" applyFont="1" applyAlignment="1">
      <alignment horizontal="center" vertical="top"/>
    </xf>
    <xf numFmtId="186" fontId="1" fillId="0" borderId="0" xfId="0" applyNumberFormat="1" applyFont="1" applyAlignment="1">
      <alignment horizontal="center" vertical="top"/>
    </xf>
    <xf numFmtId="180" fontId="1" fillId="0" borderId="0" xfId="0" applyNumberFormat="1" applyFont="1" applyAlignment="1">
      <alignment horizontal="right" vertical="top"/>
    </xf>
    <xf numFmtId="49" fontId="1" fillId="0" borderId="0" xfId="0" applyNumberFormat="1" applyFont="1" applyAlignment="1">
      <alignment horizontal="left" vertical="top"/>
    </xf>
    <xf numFmtId="183" fontId="1" fillId="0" borderId="0" xfId="0" applyNumberFormat="1" applyFont="1" applyAlignment="1">
      <alignment horizontal="center" vertical="top"/>
    </xf>
    <xf numFmtId="0" fontId="60" fillId="0" borderId="0" xfId="0" applyFont="1" applyAlignment="1">
      <alignment wrapText="1"/>
    </xf>
    <xf numFmtId="0" fontId="60" fillId="0" borderId="0" xfId="0" applyFont="1" applyAlignment="1">
      <alignment horizontal="left" wrapText="1"/>
    </xf>
    <xf numFmtId="0" fontId="1" fillId="0" borderId="0" xfId="0" applyFont="1" applyAlignment="1">
      <alignment horizontal="left" indent="2"/>
    </xf>
    <xf numFmtId="0" fontId="36" fillId="8" borderId="32" xfId="0" applyFont="1" applyFill="1" applyBorder="1" applyAlignment="1">
      <alignment horizontal="left" indent="2"/>
    </xf>
    <xf numFmtId="0" fontId="36" fillId="8" borderId="33" xfId="0" applyFont="1" applyFill="1" applyBorder="1" applyAlignment="1">
      <alignment horizontal="left" indent="2"/>
    </xf>
    <xf numFmtId="0" fontId="36" fillId="8" borderId="35" xfId="0" applyFont="1" applyFill="1" applyBorder="1" applyAlignment="1">
      <alignment horizontal="left" indent="2"/>
    </xf>
    <xf numFmtId="0" fontId="0" fillId="0" borderId="31" xfId="0" applyBorder="1" applyAlignment="1">
      <alignment horizontal="left"/>
    </xf>
    <xf numFmtId="0" fontId="0" fillId="0" borderId="11" xfId="0" applyBorder="1" applyAlignment="1">
      <alignment horizontal="left"/>
    </xf>
    <xf numFmtId="0" fontId="60" fillId="0" borderId="34" xfId="0" applyFont="1" applyBorder="1" applyAlignment="1">
      <alignment horizontal="center" wrapText="1"/>
    </xf>
    <xf numFmtId="0" fontId="0" fillId="9" borderId="0" xfId="0" applyFill="1"/>
    <xf numFmtId="0" fontId="0" fillId="9" borderId="0" xfId="0" applyFill="1" applyAlignment="1">
      <alignment textRotation="255"/>
    </xf>
    <xf numFmtId="176" fontId="0" fillId="0" borderId="0" xfId="0" applyNumberFormat="1" applyAlignment="1" applyProtection="1">
      <alignment horizontal="right" vertical="top"/>
      <protection locked="0"/>
    </xf>
    <xf numFmtId="49" fontId="48" fillId="0" borderId="0" xfId="0" applyNumberFormat="1" applyFont="1" applyAlignment="1" applyProtection="1">
      <alignment horizontal="left" vertical="top" indent="1"/>
      <protection locked="0"/>
    </xf>
    <xf numFmtId="49" fontId="0" fillId="0" borderId="0" xfId="0" applyNumberFormat="1" applyAlignment="1" applyProtection="1">
      <alignment horizontal="center" vertical="top"/>
      <protection locked="0"/>
    </xf>
    <xf numFmtId="178" fontId="0" fillId="0" borderId="0" xfId="0" applyNumberFormat="1" applyAlignment="1" applyProtection="1">
      <alignment horizontal="right" vertical="top" indent="1"/>
      <protection locked="0"/>
    </xf>
    <xf numFmtId="49" fontId="0" fillId="0" borderId="0" xfId="0" applyNumberFormat="1" applyAlignment="1" applyProtection="1">
      <alignment horizontal="left" vertical="top" indent="1"/>
      <protection locked="0"/>
    </xf>
    <xf numFmtId="179" fontId="9" fillId="0" borderId="0" xfId="0" applyNumberFormat="1" applyFont="1" applyAlignment="1" applyProtection="1">
      <alignment horizontal="right" vertical="top"/>
      <protection locked="0"/>
    </xf>
    <xf numFmtId="3" fontId="0" fillId="0" borderId="0" xfId="0" applyNumberFormat="1" applyAlignment="1" applyProtection="1">
      <alignment horizontal="right" vertical="top" indent="1"/>
      <protection locked="0"/>
    </xf>
    <xf numFmtId="177" fontId="0" fillId="0" borderId="0" xfId="0" applyNumberFormat="1" applyAlignment="1" applyProtection="1">
      <alignment horizontal="right" vertical="top"/>
      <protection locked="0"/>
    </xf>
    <xf numFmtId="179" fontId="0" fillId="0" borderId="0" xfId="0" applyNumberFormat="1" applyAlignment="1" applyProtection="1">
      <alignment horizontal="right" vertical="top"/>
      <protection locked="0"/>
    </xf>
    <xf numFmtId="181" fontId="0" fillId="0" borderId="0" xfId="0" applyNumberFormat="1" applyAlignment="1" applyProtection="1">
      <alignment horizontal="right" vertical="top"/>
      <protection locked="0"/>
    </xf>
    <xf numFmtId="180" fontId="28" fillId="0" borderId="0" xfId="0" applyNumberFormat="1" applyFont="1" applyAlignment="1" applyProtection="1">
      <alignment horizontal="right" vertical="top"/>
      <protection locked="0"/>
    </xf>
    <xf numFmtId="175" fontId="0" fillId="0" borderId="0" xfId="0" applyNumberFormat="1" applyAlignment="1" applyProtection="1">
      <alignment horizontal="right" vertical="top"/>
      <protection locked="0"/>
    </xf>
    <xf numFmtId="182" fontId="0" fillId="0" borderId="0" xfId="0" applyNumberFormat="1" applyAlignment="1" applyProtection="1">
      <alignment horizontal="right" vertical="top"/>
      <protection locked="0"/>
    </xf>
    <xf numFmtId="179" fontId="11" fillId="0" borderId="0" xfId="0" applyNumberFormat="1" applyFont="1" applyAlignment="1" applyProtection="1">
      <alignment horizontal="right" vertical="top"/>
      <protection locked="0"/>
    </xf>
    <xf numFmtId="180" fontId="0" fillId="0" borderId="0" xfId="0" applyNumberFormat="1" applyAlignment="1" applyProtection="1">
      <alignment horizontal="right" vertical="top"/>
      <protection locked="0"/>
    </xf>
    <xf numFmtId="183" fontId="0" fillId="0" borderId="0" xfId="0" applyNumberFormat="1" applyAlignment="1" applyProtection="1">
      <alignment horizontal="center" vertical="top"/>
      <protection locked="0"/>
    </xf>
    <xf numFmtId="180" fontId="29" fillId="0" borderId="0" xfId="0" applyNumberFormat="1" applyFont="1" applyAlignment="1" applyProtection="1">
      <alignment horizontal="right" vertical="top"/>
      <protection locked="0"/>
    </xf>
    <xf numFmtId="1" fontId="53" fillId="0" borderId="0" xfId="0" applyNumberFormat="1" applyFont="1" applyAlignment="1" applyProtection="1">
      <alignment horizontal="center" vertical="top"/>
      <protection locked="0"/>
    </xf>
    <xf numFmtId="185" fontId="56" fillId="0" borderId="0" xfId="0" applyNumberFormat="1" applyFont="1" applyAlignment="1" applyProtection="1">
      <alignment horizontal="left" vertical="top"/>
      <protection locked="0"/>
    </xf>
    <xf numFmtId="184" fontId="47" fillId="0" borderId="0" xfId="0" applyNumberFormat="1" applyFont="1" applyAlignment="1" applyProtection="1">
      <alignment horizontal="center" vertical="top"/>
      <protection locked="0"/>
    </xf>
    <xf numFmtId="185" fontId="47" fillId="0" borderId="0" xfId="0" applyNumberFormat="1" applyFont="1" applyAlignment="1" applyProtection="1">
      <alignment horizontal="right" vertical="top"/>
      <protection locked="0"/>
    </xf>
    <xf numFmtId="180" fontId="9" fillId="0" borderId="0" xfId="0" applyNumberFormat="1" applyFont="1" applyAlignment="1" applyProtection="1">
      <alignment horizontal="center" vertical="top"/>
      <protection locked="0"/>
    </xf>
    <xf numFmtId="186" fontId="9" fillId="0" borderId="0" xfId="0" applyNumberFormat="1" applyFont="1" applyAlignment="1" applyProtection="1">
      <alignment horizontal="center" vertical="top"/>
      <protection locked="0"/>
    </xf>
    <xf numFmtId="180" fontId="9" fillId="0" borderId="0" xfId="0" applyNumberFormat="1" applyFont="1" applyAlignment="1" applyProtection="1">
      <alignment horizontal="right" vertical="top"/>
      <protection locked="0"/>
    </xf>
    <xf numFmtId="49" fontId="46" fillId="0" borderId="0" xfId="0" applyNumberFormat="1" applyFont="1" applyAlignment="1" applyProtection="1">
      <alignment horizontal="left" vertical="top"/>
      <protection locked="0"/>
    </xf>
    <xf numFmtId="183" fontId="29" fillId="0" borderId="0" xfId="0" applyNumberFormat="1" applyFont="1" applyAlignment="1" applyProtection="1">
      <alignment horizontal="center" vertical="top"/>
      <protection locked="0"/>
    </xf>
    <xf numFmtId="187" fontId="0" fillId="0" borderId="0" xfId="0" applyNumberFormat="1" applyAlignment="1" applyProtection="1">
      <alignment horizontal="center" vertical="top"/>
      <protection locked="0"/>
    </xf>
    <xf numFmtId="3" fontId="22" fillId="0" borderId="0" xfId="0" applyNumberFormat="1" applyFont="1" applyAlignment="1" applyProtection="1">
      <alignment horizontal="center" vertical="top"/>
      <protection locked="0"/>
    </xf>
    <xf numFmtId="180" fontId="30" fillId="0" borderId="0" xfId="0" applyNumberFormat="1" applyFont="1" applyAlignment="1" applyProtection="1">
      <alignment horizontal="right" vertical="top"/>
      <protection locked="0"/>
    </xf>
    <xf numFmtId="188" fontId="23" fillId="0" borderId="0" xfId="0" applyNumberFormat="1" applyFont="1" applyAlignment="1" applyProtection="1">
      <alignment horizontal="center" vertical="top"/>
      <protection locked="0"/>
    </xf>
    <xf numFmtId="180" fontId="51" fillId="0" borderId="0" xfId="0" applyNumberFormat="1" applyFont="1" applyAlignment="1" applyProtection="1">
      <alignment horizontal="right" vertical="top"/>
      <protection locked="0"/>
    </xf>
    <xf numFmtId="180" fontId="52" fillId="0" borderId="0" xfId="0" applyNumberFormat="1" applyFont="1" applyAlignment="1" applyProtection="1">
      <alignment horizontal="right" vertical="top"/>
      <protection locked="0"/>
    </xf>
    <xf numFmtId="180" fontId="22" fillId="0" borderId="0" xfId="0" applyNumberFormat="1" applyFont="1" applyAlignment="1" applyProtection="1">
      <alignment horizontal="right" vertical="top"/>
      <protection locked="0"/>
    </xf>
    <xf numFmtId="179" fontId="22" fillId="0" borderId="0" xfId="0" applyNumberFormat="1" applyFont="1" applyAlignment="1" applyProtection="1">
      <alignment horizontal="right" vertical="top"/>
      <protection locked="0"/>
    </xf>
    <xf numFmtId="9" fontId="22" fillId="0" borderId="0" xfId="0" applyNumberFormat="1" applyFont="1" applyAlignment="1" applyProtection="1">
      <alignment horizontal="right" vertical="top"/>
      <protection locked="0"/>
    </xf>
    <xf numFmtId="1" fontId="22" fillId="0" borderId="0" xfId="0" applyNumberFormat="1" applyFont="1" applyAlignment="1" applyProtection="1">
      <alignment horizontal="center" vertical="top"/>
      <protection locked="0"/>
    </xf>
    <xf numFmtId="180" fontId="35" fillId="0" borderId="0" xfId="0" applyNumberFormat="1" applyFont="1" applyAlignment="1">
      <alignment horizontal="right" vertical="top"/>
    </xf>
    <xf numFmtId="180" fontId="34" fillId="0" borderId="0" xfId="0" applyNumberFormat="1" applyFont="1" applyAlignment="1">
      <alignment horizontal="right" vertical="top"/>
    </xf>
    <xf numFmtId="190" fontId="34" fillId="0" borderId="0" xfId="0" applyNumberFormat="1" applyFont="1" applyAlignment="1">
      <alignment horizontal="right" vertical="top"/>
    </xf>
    <xf numFmtId="49" fontId="22" fillId="0" borderId="0" xfId="0" applyNumberFormat="1" applyFont="1" applyAlignment="1" applyProtection="1">
      <alignment horizontal="center" vertical="top"/>
      <protection locked="0"/>
    </xf>
    <xf numFmtId="0" fontId="62" fillId="0" borderId="0" xfId="0" applyFont="1"/>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42" fillId="0" borderId="16" xfId="0" applyFont="1" applyBorder="1" applyAlignment="1">
      <alignment horizontal="center" vertical="center" wrapText="1"/>
    </xf>
    <xf numFmtId="0" fontId="42" fillId="0" borderId="18" xfId="0" applyFont="1" applyBorder="1" applyAlignment="1">
      <alignment horizontal="center" vertical="center"/>
    </xf>
    <xf numFmtId="0" fontId="42" fillId="0" borderId="19" xfId="0" applyFont="1" applyBorder="1" applyAlignment="1">
      <alignment horizontal="center" vertical="center"/>
    </xf>
    <xf numFmtId="0" fontId="42" fillId="0" borderId="20" xfId="0" applyFont="1" applyBorder="1" applyAlignment="1">
      <alignment horizontal="center" vertical="center"/>
    </xf>
    <xf numFmtId="0" fontId="44" fillId="0" borderId="10" xfId="0" applyFont="1" applyBorder="1" applyAlignment="1">
      <alignment horizontal="center" vertical="center" wrapText="1"/>
    </xf>
    <xf numFmtId="0" fontId="44" fillId="0" borderId="0" xfId="0" applyFont="1" applyAlignment="1">
      <alignment horizontal="center" vertical="center" wrapText="1"/>
    </xf>
    <xf numFmtId="0" fontId="44"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7" fillId="2" borderId="10" xfId="0" applyFont="1" applyFill="1" applyBorder="1" applyAlignment="1">
      <alignment horizontal="center" vertical="center"/>
    </xf>
    <xf numFmtId="0" fontId="37"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8" fillId="0" borderId="0" xfId="0" applyFont="1" applyAlignment="1">
      <alignment horizontal="center" vertical="center" wrapText="1"/>
    </xf>
    <xf numFmtId="0" fontId="38"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8"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85" fontId="56" fillId="0" borderId="0" xfId="0" applyNumberFormat="1" applyFont="1" applyFill="1" applyAlignment="1" applyProtection="1">
      <alignment horizontal="left" vertical="top"/>
      <protection locked="0"/>
    </xf>
    <xf numFmtId="184" fontId="47" fillId="0" borderId="0" xfId="0" applyNumberFormat="1" applyFont="1" applyFill="1" applyAlignment="1" applyProtection="1">
      <alignment horizontal="center" vertical="top"/>
      <protection locked="0"/>
    </xf>
    <xf numFmtId="185" fontId="47"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6"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1" fillId="0" borderId="0" xfId="0" applyNumberFormat="1" applyFont="1" applyFill="1" applyAlignment="1" applyProtection="1">
      <alignment horizontal="right" vertical="top"/>
      <protection locked="0"/>
    </xf>
    <xf numFmtId="180" fontId="52"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5" fillId="0" borderId="0" xfId="0" applyNumberFormat="1" applyFont="1" applyFill="1" applyAlignment="1">
      <alignment horizontal="right" vertical="top"/>
    </xf>
    <xf numFmtId="180" fontId="34"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cellXfs>
  <cellStyles count="4">
    <cellStyle name="Moeda" xfId="1" builtinId="4"/>
    <cellStyle name="Normal" xfId="0" builtinId="0"/>
    <cellStyle name="Normal 2" xfId="3" xr:uid="{00000000-0005-0000-0000-000002000000}"/>
    <cellStyle name="Normal 36" xfId="2" xr:uid="{00000000-0005-0000-0000-000003000000}"/>
  </cellStyles>
  <dxfs count="325">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ill>
        <gradientFill degree="90">
          <stop position="0">
            <color theme="0"/>
          </stop>
          <stop position="1">
            <color theme="7" tint="0.40000610370189521"/>
          </stop>
        </gradientFill>
      </fill>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color rgb="FF9C0006"/>
      </font>
      <fill>
        <patternFill>
          <bgColor rgb="FFFFC7CE"/>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color rgb="FF9C0006"/>
      </font>
      <fill>
        <patternFill>
          <bgColor rgb="FFFFC7CE"/>
        </patternFill>
      </fill>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color rgb="FF9C0006"/>
      </font>
      <fill>
        <patternFill>
          <bgColor rgb="FFFFC7CE"/>
        </patternFill>
      </fill>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val="0"/>
        <i val="0"/>
        <strike val="0"/>
        <condense val="0"/>
        <extend val="0"/>
        <outline val="0"/>
        <shadow val="0"/>
        <u val="none"/>
        <vertAlign val="baseline"/>
        <sz val="11"/>
        <color theme="1"/>
        <name val="Consolas"/>
        <family val="3"/>
        <scheme val="none"/>
      </font>
      <alignment horizontal="left"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2"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none"/>
      </font>
      <numFmt numFmtId="30" formatCode="@"/>
      <fill>
        <patternFill patternType="none">
          <fgColor indexed="64"/>
          <bgColor indexed="65"/>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ont>
        <color rgb="FF9C0006"/>
      </font>
      <fill>
        <patternFill>
          <bgColor rgb="FFFFC7CE"/>
        </patternFill>
      </fill>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24"/>
    </tableStyle>
    <tableStyle name="Estilo de Tabela Dinâmica 1" table="0" count="0" xr9:uid="{00000000-0011-0000-FFFF-FFFF01000000}"/>
  </tableStyles>
  <colors>
    <mruColors>
      <color rgb="FF006DF2"/>
      <color rgb="FFFF6600"/>
      <color rgb="FF00863D"/>
      <color rgb="FF007033"/>
      <color rgb="FF57257D"/>
      <color rgb="FF3C0FB9"/>
      <color rgb="FFDC7324"/>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microsoft.com/office/2022/03/relationships/PythonScripts" Target="pythonScripts.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4" Type="http://schemas.openxmlformats.org/officeDocument/2006/relationships/image" Target="../media/image2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7.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7.emf"/><Relationship Id="rId11" Type="http://schemas.openxmlformats.org/officeDocument/2006/relationships/image" Target="../media/image8.emf"/><Relationship Id="rId5" Type="http://schemas.openxmlformats.org/officeDocument/2006/relationships/image" Target="../media/image12.emf"/><Relationship Id="rId10" Type="http://schemas.openxmlformats.org/officeDocument/2006/relationships/image" Target="../media/image18.emf"/><Relationship Id="rId4" Type="http://schemas.openxmlformats.org/officeDocument/2006/relationships/image" Target="../media/image16.emf"/><Relationship Id="rId9"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4.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7.emf"/><Relationship Id="rId1" Type="http://schemas.openxmlformats.org/officeDocument/2006/relationships/image" Target="../media/image28.emf"/><Relationship Id="rId4"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image" Target="../media/image37.emf"/><Relationship Id="rId18" Type="http://schemas.openxmlformats.org/officeDocument/2006/relationships/image" Target="../media/image52.emf"/><Relationship Id="rId26" Type="http://schemas.openxmlformats.org/officeDocument/2006/relationships/image" Target="../media/image56.emf"/><Relationship Id="rId3" Type="http://schemas.openxmlformats.org/officeDocument/2006/relationships/image" Target="../media/image43.emf"/><Relationship Id="rId21" Type="http://schemas.openxmlformats.org/officeDocument/2006/relationships/image" Target="../media/image54.emf"/><Relationship Id="rId7" Type="http://schemas.openxmlformats.org/officeDocument/2006/relationships/image" Target="../media/image47.emf"/><Relationship Id="rId12" Type="http://schemas.openxmlformats.org/officeDocument/2006/relationships/image" Target="../media/image38.emf"/><Relationship Id="rId17" Type="http://schemas.openxmlformats.org/officeDocument/2006/relationships/image" Target="../media/image35.emf"/><Relationship Id="rId25" Type="http://schemas.openxmlformats.org/officeDocument/2006/relationships/image" Target="../media/image31.emf"/><Relationship Id="rId2" Type="http://schemas.openxmlformats.org/officeDocument/2006/relationships/image" Target="../media/image41.emf"/><Relationship Id="rId16" Type="http://schemas.openxmlformats.org/officeDocument/2006/relationships/image" Target="../media/image36.emf"/><Relationship Id="rId20" Type="http://schemas.openxmlformats.org/officeDocument/2006/relationships/image" Target="../media/image34.emf"/><Relationship Id="rId29" Type="http://schemas.openxmlformats.org/officeDocument/2006/relationships/image" Target="../media/image58.emf"/><Relationship Id="rId1" Type="http://schemas.openxmlformats.org/officeDocument/2006/relationships/image" Target="../media/image42.emf"/><Relationship Id="rId6" Type="http://schemas.openxmlformats.org/officeDocument/2006/relationships/image" Target="../media/image46.emf"/><Relationship Id="rId11" Type="http://schemas.openxmlformats.org/officeDocument/2006/relationships/image" Target="../media/image39.emf"/><Relationship Id="rId24" Type="http://schemas.openxmlformats.org/officeDocument/2006/relationships/image" Target="../media/image32.emf"/><Relationship Id="rId5" Type="http://schemas.openxmlformats.org/officeDocument/2006/relationships/image" Target="../media/image45.emf"/><Relationship Id="rId15" Type="http://schemas.openxmlformats.org/officeDocument/2006/relationships/image" Target="../media/image51.emf"/><Relationship Id="rId23" Type="http://schemas.openxmlformats.org/officeDocument/2006/relationships/image" Target="../media/image55.emf"/><Relationship Id="rId28" Type="http://schemas.openxmlformats.org/officeDocument/2006/relationships/image" Target="../media/image30.emf"/><Relationship Id="rId10" Type="http://schemas.openxmlformats.org/officeDocument/2006/relationships/image" Target="../media/image40.emf"/><Relationship Id="rId19" Type="http://schemas.openxmlformats.org/officeDocument/2006/relationships/image" Target="../media/image53.emf"/><Relationship Id="rId4" Type="http://schemas.openxmlformats.org/officeDocument/2006/relationships/image" Target="../media/image44.emf"/><Relationship Id="rId9" Type="http://schemas.openxmlformats.org/officeDocument/2006/relationships/image" Target="../media/image49.emf"/><Relationship Id="rId14" Type="http://schemas.openxmlformats.org/officeDocument/2006/relationships/image" Target="../media/image50.emf"/><Relationship Id="rId22" Type="http://schemas.openxmlformats.org/officeDocument/2006/relationships/image" Target="../media/image33.emf"/><Relationship Id="rId27" Type="http://schemas.openxmlformats.org/officeDocument/2006/relationships/image" Target="../media/image57.emf"/><Relationship Id="rId30"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59.emf"/><Relationship Id="rId2" Type="http://schemas.openxmlformats.org/officeDocument/2006/relationships/image" Target="../media/image61.emf"/><Relationship Id="rId1" Type="http://schemas.openxmlformats.org/officeDocument/2006/relationships/image" Target="../media/image6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6.emf"/><Relationship Id="rId7" Type="http://schemas.openxmlformats.org/officeDocument/2006/relationships/image" Target="../media/image68.emf"/><Relationship Id="rId2" Type="http://schemas.openxmlformats.org/officeDocument/2006/relationships/image" Target="../media/image64.emf"/><Relationship Id="rId1" Type="http://schemas.openxmlformats.org/officeDocument/2006/relationships/image" Target="../media/image65.emf"/><Relationship Id="rId6" Type="http://schemas.openxmlformats.org/officeDocument/2006/relationships/image" Target="../media/image67.emf"/><Relationship Id="rId5" Type="http://schemas.openxmlformats.org/officeDocument/2006/relationships/image" Target="../media/image62.emf"/><Relationship Id="rId4" Type="http://schemas.openxmlformats.org/officeDocument/2006/relationships/image" Target="../media/image6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70.emf"/><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79.emf"/><Relationship Id="rId3" Type="http://schemas.openxmlformats.org/officeDocument/2006/relationships/image" Target="../media/image75.emf"/><Relationship Id="rId7" Type="http://schemas.openxmlformats.org/officeDocument/2006/relationships/image" Target="../media/image72.emf"/><Relationship Id="rId2" Type="http://schemas.openxmlformats.org/officeDocument/2006/relationships/image" Target="../media/image76.emf"/><Relationship Id="rId1" Type="http://schemas.openxmlformats.org/officeDocument/2006/relationships/image" Target="../media/image77.emf"/><Relationship Id="rId6" Type="http://schemas.openxmlformats.org/officeDocument/2006/relationships/image" Target="../media/image73.emf"/><Relationship Id="rId5" Type="http://schemas.openxmlformats.org/officeDocument/2006/relationships/image" Target="../media/image74.emf"/><Relationship Id="rId4" Type="http://schemas.openxmlformats.org/officeDocument/2006/relationships/image" Target="../media/image78.emf"/><Relationship Id="rId9" Type="http://schemas.openxmlformats.org/officeDocument/2006/relationships/image" Target="../media/image8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87.emf"/><Relationship Id="rId2" Type="http://schemas.openxmlformats.org/officeDocument/2006/relationships/image" Target="../media/image85.emf"/><Relationship Id="rId1" Type="http://schemas.openxmlformats.org/officeDocument/2006/relationships/image" Target="../media/image86.emf"/><Relationship Id="rId4" Type="http://schemas.openxmlformats.org/officeDocument/2006/relationships/image" Target="../media/image84.emf"/></Relationships>
</file>

<file path=xl/drawings/drawing1.xml><?xml version="1.0" encoding="utf-8"?>
<xdr:wsDr xmlns:xdr="http://schemas.openxmlformats.org/drawingml/2006/spreadsheetDrawing" xmlns:a="http://schemas.openxmlformats.org/drawingml/2006/main">
  <xdr:twoCellAnchor editAs="oneCell">
    <xdr:from>
      <xdr:col>0</xdr:col>
      <xdr:colOff>189416</xdr:colOff>
      <xdr:row>0</xdr:row>
      <xdr:rowOff>55147</xdr:rowOff>
    </xdr:from>
    <xdr:to>
      <xdr:col>2</xdr:col>
      <xdr:colOff>186027</xdr:colOff>
      <xdr:row>4</xdr:row>
      <xdr:rowOff>235585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8941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204651</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0</xdr:row>
          <xdr:rowOff>60960</xdr:rowOff>
        </xdr:from>
        <xdr:to>
          <xdr:col>1</xdr:col>
          <xdr:colOff>4776651</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54429</xdr:rowOff>
        </xdr:from>
        <xdr:to>
          <xdr:col>1</xdr:col>
          <xdr:colOff>204651</xdr:colOff>
          <xdr:row>1</xdr:row>
          <xdr:rowOff>564969</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1</xdr:row>
          <xdr:rowOff>54429</xdr:rowOff>
        </xdr:from>
        <xdr:to>
          <xdr:col>1</xdr:col>
          <xdr:colOff>1119051</xdr:colOff>
          <xdr:row>1</xdr:row>
          <xdr:rowOff>564969</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1</xdr:row>
          <xdr:rowOff>54429</xdr:rowOff>
        </xdr:from>
        <xdr:to>
          <xdr:col>1</xdr:col>
          <xdr:colOff>2947851</xdr:colOff>
          <xdr:row>1</xdr:row>
          <xdr:rowOff>564969</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0</xdr:row>
          <xdr:rowOff>60960</xdr:rowOff>
        </xdr:from>
        <xdr:to>
          <xdr:col>1</xdr:col>
          <xdr:colOff>1119051</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1</xdr:row>
          <xdr:rowOff>54429</xdr:rowOff>
        </xdr:from>
        <xdr:to>
          <xdr:col>1</xdr:col>
          <xdr:colOff>3862251</xdr:colOff>
          <xdr:row>1</xdr:row>
          <xdr:rowOff>564969</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0</xdr:row>
          <xdr:rowOff>60960</xdr:rowOff>
        </xdr:from>
        <xdr:to>
          <xdr:col>1</xdr:col>
          <xdr:colOff>2033451</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0</xdr:row>
          <xdr:rowOff>60960</xdr:rowOff>
        </xdr:from>
        <xdr:to>
          <xdr:col>1</xdr:col>
          <xdr:colOff>2947851</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1</xdr:row>
          <xdr:rowOff>54429</xdr:rowOff>
        </xdr:from>
        <xdr:to>
          <xdr:col>1</xdr:col>
          <xdr:colOff>2033451</xdr:colOff>
          <xdr:row>1</xdr:row>
          <xdr:rowOff>564969</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3885111</xdr:colOff>
          <xdr:row>1</xdr:row>
          <xdr:rowOff>54429</xdr:rowOff>
        </xdr:from>
        <xdr:to>
          <xdr:col>1</xdr:col>
          <xdr:colOff>4776651</xdr:colOff>
          <xdr:row>1</xdr:row>
          <xdr:rowOff>564969</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145869</xdr:colOff>
          <xdr:row>1</xdr:row>
          <xdr:rowOff>54429</xdr:rowOff>
        </xdr:from>
        <xdr:to>
          <xdr:col>3</xdr:col>
          <xdr:colOff>623751</xdr:colOff>
          <xdr:row>1</xdr:row>
          <xdr:rowOff>572589</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178525</xdr:colOff>
      <xdr:row>1</xdr:row>
      <xdr:rowOff>1</xdr:rowOff>
    </xdr:from>
    <xdr:to>
      <xdr:col>7</xdr:col>
      <xdr:colOff>43543</xdr:colOff>
      <xdr:row>29</xdr:row>
      <xdr:rowOff>54429</xdr:rowOff>
    </xdr:to>
    <xdr:sp macro="" textlink="">
      <xdr:nvSpPr>
        <xdr:cNvPr id="9" name="Retângulo 8">
          <a:extLst>
            <a:ext uri="{FF2B5EF4-FFF2-40B4-BE49-F238E27FC236}">
              <a16:creationId xmlns:a16="http://schemas.microsoft.com/office/drawing/2014/main" id="{00000000-0008-0000-0300-000009000000}"/>
            </a:ext>
          </a:extLst>
        </xdr:cNvPr>
        <xdr:cNvSpPr/>
      </xdr:nvSpPr>
      <xdr:spPr>
        <a:xfrm>
          <a:off x="178525" y="185058"/>
          <a:ext cx="4132218" cy="5236028"/>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174170</xdr:colOff>
      <xdr:row>1</xdr:row>
      <xdr:rowOff>10886</xdr:rowOff>
    </xdr:from>
    <xdr:to>
      <xdr:col>24</xdr:col>
      <xdr:colOff>435427</xdr:colOff>
      <xdr:row>29</xdr:row>
      <xdr:rowOff>54429</xdr:rowOff>
    </xdr:to>
    <xdr:sp macro="" textlink="">
      <xdr:nvSpPr>
        <xdr:cNvPr id="10" name="Retângulo 9">
          <a:extLst>
            <a:ext uri="{FF2B5EF4-FFF2-40B4-BE49-F238E27FC236}">
              <a16:creationId xmlns:a16="http://schemas.microsoft.com/office/drawing/2014/main" id="{00000000-0008-0000-0300-00000A000000}"/>
            </a:ext>
          </a:extLst>
        </xdr:cNvPr>
        <xdr:cNvSpPr/>
      </xdr:nvSpPr>
      <xdr:spPr>
        <a:xfrm>
          <a:off x="4441370" y="195943"/>
          <a:ext cx="10624457" cy="5225143"/>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272142</xdr:colOff>
      <xdr:row>1</xdr:row>
      <xdr:rowOff>65313</xdr:rowOff>
    </xdr:from>
    <xdr:to>
      <xdr:col>24</xdr:col>
      <xdr:colOff>348942</xdr:colOff>
      <xdr:row>4</xdr:row>
      <xdr:rowOff>119742</xdr:rowOff>
    </xdr:to>
    <xdr:sp macro="" textlink="">
      <xdr:nvSpPr>
        <xdr:cNvPr id="11" name="Retângulo: Cantos Arredondados 10">
          <a:extLst>
            <a:ext uri="{FF2B5EF4-FFF2-40B4-BE49-F238E27FC236}">
              <a16:creationId xmlns:a16="http://schemas.microsoft.com/office/drawing/2014/main" id="{00000000-0008-0000-0300-00000B000000}"/>
            </a:ext>
          </a:extLst>
        </xdr:cNvPr>
        <xdr:cNvSpPr/>
      </xdr:nvSpPr>
      <xdr:spPr>
        <a:xfrm>
          <a:off x="5170713" y="250370"/>
          <a:ext cx="10929858" cy="609601"/>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pt-BR" sz="2900" b="1">
              <a:solidFill>
                <a:schemeClr val="accent6">
                  <a:lumMod val="50000"/>
                </a:schemeClr>
              </a:solidFill>
            </a:rPr>
            <a:t>DashBoard - Apuração Compras / Estimativas </a:t>
          </a:r>
          <a:r>
            <a:rPr lang="pt-BR" sz="2900" b="1" baseline="0">
              <a:solidFill>
                <a:schemeClr val="accent6">
                  <a:lumMod val="50000"/>
                </a:schemeClr>
              </a:solidFill>
            </a:rPr>
            <a:t>       </a:t>
          </a:r>
          <a:r>
            <a:rPr lang="pt-BR" sz="2900" b="1">
              <a:solidFill>
                <a:schemeClr val="accent6">
                  <a:lumMod val="50000"/>
                </a:schemeClr>
              </a:solidFill>
            </a:rPr>
            <a:t>(Excel + Python)</a:t>
          </a:r>
        </a:p>
      </xdr:txBody>
    </xdr:sp>
    <xdr:clientData/>
  </xdr:twoCellAnchor>
  <xdr:twoCellAnchor>
    <xdr:from>
      <xdr:col>0</xdr:col>
      <xdr:colOff>250371</xdr:colOff>
      <xdr:row>1</xdr:row>
      <xdr:rowOff>87087</xdr:rowOff>
    </xdr:from>
    <xdr:to>
      <xdr:col>6</xdr:col>
      <xdr:colOff>566057</xdr:colOff>
      <xdr:row>14</xdr:row>
      <xdr:rowOff>119744</xdr:rowOff>
    </xdr:to>
    <xdr:sp macro="" textlink="">
      <xdr:nvSpPr>
        <xdr:cNvPr id="12" name="Retângulo: Cantos Arredondados 11">
          <a:extLst>
            <a:ext uri="{FF2B5EF4-FFF2-40B4-BE49-F238E27FC236}">
              <a16:creationId xmlns:a16="http://schemas.microsoft.com/office/drawing/2014/main" id="{00000000-0008-0000-0300-00000C000000}"/>
            </a:ext>
          </a:extLst>
        </xdr:cNvPr>
        <xdr:cNvSpPr/>
      </xdr:nvSpPr>
      <xdr:spPr>
        <a:xfrm>
          <a:off x="250371" y="272144"/>
          <a:ext cx="3973286" cy="243840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t>E</a:t>
          </a:r>
        </a:p>
      </xdr:txBody>
    </xdr:sp>
    <xdr:clientData/>
  </xdr:twoCellAnchor>
  <xdr:twoCellAnchor>
    <xdr:from>
      <xdr:col>0</xdr:col>
      <xdr:colOff>272143</xdr:colOff>
      <xdr:row>15</xdr:row>
      <xdr:rowOff>76201</xdr:rowOff>
    </xdr:from>
    <xdr:to>
      <xdr:col>6</xdr:col>
      <xdr:colOff>587829</xdr:colOff>
      <xdr:row>28</xdr:row>
      <xdr:rowOff>108858</xdr:rowOff>
    </xdr:to>
    <xdr:sp macro="" textlink="">
      <xdr:nvSpPr>
        <xdr:cNvPr id="13" name="Retângulo: Cantos Arredondados 12">
          <a:extLst>
            <a:ext uri="{FF2B5EF4-FFF2-40B4-BE49-F238E27FC236}">
              <a16:creationId xmlns:a16="http://schemas.microsoft.com/office/drawing/2014/main" id="{00000000-0008-0000-0300-00000D000000}"/>
            </a:ext>
          </a:extLst>
        </xdr:cNvPr>
        <xdr:cNvSpPr/>
      </xdr:nvSpPr>
      <xdr:spPr>
        <a:xfrm>
          <a:off x="272143" y="2852058"/>
          <a:ext cx="4441372" cy="243840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272141</xdr:colOff>
      <xdr:row>5</xdr:row>
      <xdr:rowOff>-1</xdr:rowOff>
    </xdr:from>
    <xdr:to>
      <xdr:col>24</xdr:col>
      <xdr:colOff>348941</xdr:colOff>
      <xdr:row>29</xdr:row>
      <xdr:rowOff>10885</xdr:rowOff>
    </xdr:to>
    <xdr:sp macro="" textlink="">
      <xdr:nvSpPr>
        <xdr:cNvPr id="14" name="Retângulo: Cantos Arredondados 13">
          <a:extLst>
            <a:ext uri="{FF2B5EF4-FFF2-40B4-BE49-F238E27FC236}">
              <a16:creationId xmlns:a16="http://schemas.microsoft.com/office/drawing/2014/main" id="{00000000-0008-0000-0300-00000E000000}"/>
            </a:ext>
          </a:extLst>
        </xdr:cNvPr>
        <xdr:cNvSpPr/>
      </xdr:nvSpPr>
      <xdr:spPr>
        <a:xfrm>
          <a:off x="5170712" y="925285"/>
          <a:ext cx="10929858" cy="4452257"/>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400" b="1" i="1">
            <a:solidFill>
              <a:schemeClr val="accent6">
                <a:lumMod val="50000"/>
              </a:schemeClr>
            </a:solidFill>
          </a:endParaRPr>
        </a:p>
      </xdr:txBody>
    </xdr:sp>
    <xdr:clientData/>
  </xdr:twoCellAnchor>
  <xdr:twoCellAnchor editAs="oneCell">
    <xdr:from>
      <xdr:col>0</xdr:col>
      <xdr:colOff>566057</xdr:colOff>
      <xdr:row>2</xdr:row>
      <xdr:rowOff>1</xdr:rowOff>
    </xdr:from>
    <xdr:to>
      <xdr:col>6</xdr:col>
      <xdr:colOff>283028</xdr:colOff>
      <xdr:row>14</xdr:row>
      <xdr:rowOff>42631</xdr:rowOff>
    </xdr:to>
    <xdr:pic>
      <xdr:nvPicPr>
        <xdr:cNvPr id="23" name="Imagem 22" descr="Imagem gerada pelo Python">
          <a:extLst>
            <a:ext uri="{FF2B5EF4-FFF2-40B4-BE49-F238E27FC236}">
              <a16:creationId xmlns:a16="http://schemas.microsoft.com/office/drawing/2014/main" id="{00000000-0008-0000-0300-000017000000}"/>
            </a:ext>
          </a:extLst>
        </xdr:cNvPr>
        <xdr:cNvPicPr>
          <a:picLocks noChangeAspect="1"/>
          <a:extLst>
            <a:ext uri="{53484399-7A02-498B-ADA4-41CD10E50FAC}">
              <aif:imageFormula xmlns:aif="http://schemas.microsoft.com/office/drawing/2022/imageformula" formula="DashBoard!C33"/>
            </a:ext>
          </a:extLst>
        </xdr:cNvPicPr>
      </xdr:nvPicPr>
      <xdr:blipFill>
        <a:blip xmlns:r="http://schemas.openxmlformats.org/officeDocument/2006/relationships" r:embed="rId1"/>
        <a:stretch>
          <a:fillRect/>
        </a:stretch>
      </xdr:blipFill>
      <xdr:spPr>
        <a:xfrm>
          <a:off x="566057" y="370115"/>
          <a:ext cx="3842657" cy="2263316"/>
        </a:xfrm>
        <a:prstGeom prst="rect">
          <a:avLst/>
        </a:prstGeom>
      </xdr:spPr>
    </xdr:pic>
    <xdr:clientData/>
  </xdr:twoCellAnchor>
  <xdr:twoCellAnchor editAs="oneCell">
    <xdr:from>
      <xdr:col>1</xdr:col>
      <xdr:colOff>119743</xdr:colOff>
      <xdr:row>15</xdr:row>
      <xdr:rowOff>97964</xdr:rowOff>
    </xdr:from>
    <xdr:to>
      <xdr:col>6</xdr:col>
      <xdr:colOff>119743</xdr:colOff>
      <xdr:row>28</xdr:row>
      <xdr:rowOff>87086</xdr:rowOff>
    </xdr:to>
    <xdr:pic>
      <xdr:nvPicPr>
        <xdr:cNvPr id="24" name="Imagem 23" descr="Imagem gerada pelo Python">
          <a:extLst>
            <a:ext uri="{FF2B5EF4-FFF2-40B4-BE49-F238E27FC236}">
              <a16:creationId xmlns:a16="http://schemas.microsoft.com/office/drawing/2014/main" id="{00000000-0008-0000-0300-000018000000}"/>
            </a:ext>
          </a:extLst>
        </xdr:cNvPr>
        <xdr:cNvPicPr>
          <a:picLocks noChangeAspect="1"/>
          <a:extLst>
            <a:ext uri="{53484399-7A02-498B-ADA4-41CD10E50FAC}">
              <aif:imageFormula xmlns:aif="http://schemas.microsoft.com/office/drawing/2022/imageformula" formula="DashBoard!E33"/>
            </a:ext>
          </a:extLst>
        </xdr:cNvPicPr>
      </xdr:nvPicPr>
      <xdr:blipFill>
        <a:blip xmlns:r="http://schemas.openxmlformats.org/officeDocument/2006/relationships" r:embed="rId2"/>
        <a:stretch>
          <a:fillRect/>
        </a:stretch>
      </xdr:blipFill>
      <xdr:spPr>
        <a:xfrm>
          <a:off x="729343" y="2873821"/>
          <a:ext cx="3516086" cy="2394865"/>
        </a:xfrm>
        <a:prstGeom prst="rect">
          <a:avLst/>
        </a:prstGeom>
      </xdr:spPr>
    </xdr:pic>
    <xdr:clientData/>
  </xdr:twoCellAnchor>
  <xdr:twoCellAnchor editAs="oneCell">
    <xdr:from>
      <xdr:col>7</xdr:col>
      <xdr:colOff>315686</xdr:colOff>
      <xdr:row>8</xdr:row>
      <xdr:rowOff>97974</xdr:rowOff>
    </xdr:from>
    <xdr:to>
      <xdr:col>13</xdr:col>
      <xdr:colOff>546635</xdr:colOff>
      <xdr:row>24</xdr:row>
      <xdr:rowOff>54429</xdr:rowOff>
    </xdr:to>
    <xdr:pic>
      <xdr:nvPicPr>
        <xdr:cNvPr id="25" name="Imagem 24" descr="Imagem gerada pelo Python">
          <a:extLst>
            <a:ext uri="{FF2B5EF4-FFF2-40B4-BE49-F238E27FC236}">
              <a16:creationId xmlns:a16="http://schemas.microsoft.com/office/drawing/2014/main" id="{00000000-0008-0000-0300-000019000000}"/>
            </a:ext>
          </a:extLst>
        </xdr:cNvPr>
        <xdr:cNvPicPr>
          <a:picLocks noChangeAspect="1"/>
          <a:extLst>
            <a:ext uri="{53484399-7A02-498B-ADA4-41CD10E50FAC}">
              <aif:imageFormula xmlns:aif="http://schemas.microsoft.com/office/drawing/2022/imageformula" formula="DashBoard!H33"/>
            </a:ext>
          </a:extLst>
        </xdr:cNvPicPr>
      </xdr:nvPicPr>
      <xdr:blipFill>
        <a:blip xmlns:r="http://schemas.openxmlformats.org/officeDocument/2006/relationships" r:embed="rId3"/>
        <a:stretch>
          <a:fillRect/>
        </a:stretch>
      </xdr:blipFill>
      <xdr:spPr>
        <a:xfrm>
          <a:off x="5214257" y="1578431"/>
          <a:ext cx="4215121" cy="2917369"/>
        </a:xfrm>
        <a:prstGeom prst="rect">
          <a:avLst/>
        </a:prstGeom>
      </xdr:spPr>
    </xdr:pic>
    <xdr:clientData/>
  </xdr:twoCellAnchor>
  <xdr:twoCellAnchor editAs="oneCell">
    <xdr:from>
      <xdr:col>13</xdr:col>
      <xdr:colOff>566055</xdr:colOff>
      <xdr:row>5</xdr:row>
      <xdr:rowOff>76198</xdr:rowOff>
    </xdr:from>
    <xdr:to>
      <xdr:col>23</xdr:col>
      <xdr:colOff>500739</xdr:colOff>
      <xdr:row>28</xdr:row>
      <xdr:rowOff>126717</xdr:rowOff>
    </xdr:to>
    <xdr:pic>
      <xdr:nvPicPr>
        <xdr:cNvPr id="26" name="Imagem 25" descr="Imagem gerada pelo Python">
          <a:extLst>
            <a:ext uri="{FF2B5EF4-FFF2-40B4-BE49-F238E27FC236}">
              <a16:creationId xmlns:a16="http://schemas.microsoft.com/office/drawing/2014/main" id="{00000000-0008-0000-0300-00001A000000}"/>
            </a:ext>
          </a:extLst>
        </xdr:cNvPr>
        <xdr:cNvPicPr>
          <a:picLocks noChangeAspect="1"/>
          <a:extLst>
            <a:ext uri="{53484399-7A02-498B-ADA4-41CD10E50FAC}">
              <aif:imageFormula xmlns:aif="http://schemas.microsoft.com/office/drawing/2022/imageformula" formula="DashBoard!I33"/>
            </a:ext>
          </a:extLst>
        </xdr:cNvPicPr>
      </xdr:nvPicPr>
      <xdr:blipFill>
        <a:blip xmlns:r="http://schemas.openxmlformats.org/officeDocument/2006/relationships" r:embed="rId4"/>
        <a:stretch>
          <a:fillRect/>
        </a:stretch>
      </xdr:blipFill>
      <xdr:spPr>
        <a:xfrm>
          <a:off x="9448798" y="1001484"/>
          <a:ext cx="6193970" cy="430683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1775460</xdr:colOff>
          <xdr:row>0</xdr:row>
          <xdr:rowOff>53340</xdr:rowOff>
        </xdr:from>
        <xdr:to>
          <xdr:col>1</xdr:col>
          <xdr:colOff>3360420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4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xdr:colOff>
          <xdr:row>0</xdr:row>
          <xdr:rowOff>53340</xdr:rowOff>
        </xdr:from>
        <xdr:to>
          <xdr:col>1</xdr:col>
          <xdr:colOff>1668780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4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5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5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5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5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6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6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6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6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6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6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6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6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6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6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6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6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6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6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6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6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6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6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6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6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6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6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6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6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6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6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6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6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6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6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7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7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7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45720</xdr:rowOff>
        </xdr:from>
        <xdr:to>
          <xdr:col>1</xdr:col>
          <xdr:colOff>3009900</xdr:colOff>
          <xdr:row>1</xdr:row>
          <xdr:rowOff>373380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8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1</xdr:row>
          <xdr:rowOff>45720</xdr:rowOff>
        </xdr:from>
        <xdr:to>
          <xdr:col>7</xdr:col>
          <xdr:colOff>365760</xdr:colOff>
          <xdr:row>1</xdr:row>
          <xdr:rowOff>373380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8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45720</xdr:rowOff>
        </xdr:from>
        <xdr:to>
          <xdr:col>1</xdr:col>
          <xdr:colOff>1181100</xdr:colOff>
          <xdr:row>1</xdr:row>
          <xdr:rowOff>373380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8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45720</xdr:rowOff>
        </xdr:from>
        <xdr:to>
          <xdr:col>1</xdr:col>
          <xdr:colOff>4838700</xdr:colOff>
          <xdr:row>1</xdr:row>
          <xdr:rowOff>373380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8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45720</xdr:rowOff>
        </xdr:from>
        <xdr:to>
          <xdr:col>1</xdr:col>
          <xdr:colOff>6667500</xdr:colOff>
          <xdr:row>1</xdr:row>
          <xdr:rowOff>373380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8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45720</xdr:rowOff>
        </xdr:from>
        <xdr:to>
          <xdr:col>1</xdr:col>
          <xdr:colOff>8496300</xdr:colOff>
          <xdr:row>1</xdr:row>
          <xdr:rowOff>373380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8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45720</xdr:rowOff>
        </xdr:from>
        <xdr:to>
          <xdr:col>1</xdr:col>
          <xdr:colOff>10325100</xdr:colOff>
          <xdr:row>1</xdr:row>
          <xdr:rowOff>373380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8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9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9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9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277046</xdr:colOff>
      <xdr:row>0</xdr:row>
      <xdr:rowOff>55147</xdr:rowOff>
    </xdr:from>
    <xdr:to>
      <xdr:col>2</xdr:col>
      <xdr:colOff>834997</xdr:colOff>
      <xdr:row>4</xdr:row>
      <xdr:rowOff>231775</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52850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548640</xdr:colOff>
          <xdr:row>1</xdr:row>
          <xdr:rowOff>190500</xdr:rowOff>
        </xdr:from>
        <xdr:to>
          <xdr:col>24</xdr:col>
          <xdr:colOff>396240</xdr:colOff>
          <xdr:row>3</xdr:row>
          <xdr:rowOff>76200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A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190500</xdr:rowOff>
        </xdr:from>
        <xdr:to>
          <xdr:col>26</xdr:col>
          <xdr:colOff>480060</xdr:colOff>
          <xdr:row>3</xdr:row>
          <xdr:rowOff>76200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A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0</xdr:row>
          <xdr:rowOff>38100</xdr:rowOff>
        </xdr:from>
        <xdr:to>
          <xdr:col>24</xdr:col>
          <xdr:colOff>396240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A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3</xdr:row>
          <xdr:rowOff>99060</xdr:rowOff>
        </xdr:from>
        <xdr:to>
          <xdr:col>26</xdr:col>
          <xdr:colOff>480060</xdr:colOff>
          <xdr:row>4</xdr:row>
          <xdr:rowOff>228600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A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0</xdr:row>
          <xdr:rowOff>38100</xdr:rowOff>
        </xdr:from>
        <xdr:to>
          <xdr:col>26</xdr:col>
          <xdr:colOff>480060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A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3</xdr:row>
          <xdr:rowOff>99060</xdr:rowOff>
        </xdr:from>
        <xdr:to>
          <xdr:col>29</xdr:col>
          <xdr:colOff>464820</xdr:colOff>
          <xdr:row>4</xdr:row>
          <xdr:rowOff>228600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A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1</xdr:row>
          <xdr:rowOff>190500</xdr:rowOff>
        </xdr:from>
        <xdr:to>
          <xdr:col>29</xdr:col>
          <xdr:colOff>464820</xdr:colOff>
          <xdr:row>3</xdr:row>
          <xdr:rowOff>76200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A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3</xdr:row>
          <xdr:rowOff>99060</xdr:rowOff>
        </xdr:from>
        <xdr:to>
          <xdr:col>24</xdr:col>
          <xdr:colOff>396240</xdr:colOff>
          <xdr:row>4</xdr:row>
          <xdr:rowOff>228600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A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0</xdr:row>
          <xdr:rowOff>38100</xdr:rowOff>
        </xdr:from>
        <xdr:to>
          <xdr:col>29</xdr:col>
          <xdr:colOff>464820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A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C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C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C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D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D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D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D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14</v>
  </rv>
</rvData>
</file>

<file path=xl/richData/rdrichvaluestructure.xml><?xml version="1.0" encoding="utf-8"?>
<rvStructures xmlns="http://schemas.microsoft.com/office/spreadsheetml/2017/richdata" count="1">
  <s t="_error">
    <k n="error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22" dataDxfId="320" headerRowBorderDxfId="321" tableBorderDxfId="319" totalsRowBorderDxfId="318">
  <autoFilter ref="A8:Z9" xr:uid="{00000000-0009-0000-0100-00000A000000}"/>
  <sortState xmlns:xlrd2="http://schemas.microsoft.com/office/spreadsheetml/2017/richdata2" ref="A9:X74">
    <sortCondition ref="B9:B74"/>
  </sortState>
  <tableColumns count="26">
    <tableColumn id="1" xr3:uid="{00000000-0010-0000-0000-000001000000}" name="ITEM" dataDxfId="317"/>
    <tableColumn id="2" xr3:uid="{00000000-0010-0000-0000-000002000000}" name="CÓDIGO" dataDxfId="316"/>
    <tableColumn id="3" xr3:uid="{00000000-0010-0000-0000-000003000000}" name="ESPECIFICAÇÃO" dataDxfId="315"/>
    <tableColumn id="4" xr3:uid="{00000000-0010-0000-0000-000004000000}" name="UN" dataDxfId="314"/>
    <tableColumn id="5" xr3:uid="{00000000-0010-0000-0000-000005000000}" name="GRUPO" dataDxfId="313"/>
    <tableColumn id="6" xr3:uid="{00000000-0010-0000-0000-000006000000}" name="SUBG" dataDxfId="312"/>
    <tableColumn id="7" xr3:uid="{00000000-0010-0000-0000-000007000000}" name="COMPRA" dataDxfId="311"/>
    <tableColumn id="8" xr3:uid="{00000000-0010-0000-0000-000008000000}" name="SALDO ESTOQUE" dataDxfId="310" dataCellStyle="Moeda"/>
    <tableColumn id="9" xr3:uid="{00000000-0010-0000-0000-000009000000}" name="TOTAL CONSUMO ÚLTIMO ANO" dataDxfId="309" dataCellStyle="Moeda"/>
    <tableColumn id="28" xr3:uid="{00000000-0010-0000-0000-00001C000000}" name="TEMPO ESTOQUE (MESES)" dataDxfId="308" dataCellStyle="Moeda"/>
    <tableColumn id="10" xr3:uid="{00000000-0010-0000-0000-00000A000000}" name="ATA" dataDxfId="307"/>
    <tableColumn id="11" xr3:uid="{00000000-0010-0000-0000-00000B000000}" name="ATA QTDE" dataDxfId="306"/>
    <tableColumn id="12" xr3:uid="{00000000-0010-0000-0000-00000C000000}" name="VIGÊNCIA DA ATA" dataDxfId="305"/>
    <tableColumn id="13" xr3:uid="{00000000-0010-0000-0000-00000D000000}" name="FORNECEDOR" dataDxfId="304"/>
    <tableColumn id="14" xr3:uid="{00000000-0010-0000-0000-00000E000000}" name="RC Nº" dataDxfId="303"/>
    <tableColumn id="15" xr3:uid="{00000000-0010-0000-0000-00000F000000}" name="RC QTDE" dataDxfId="302"/>
    <tableColumn id="16" xr3:uid="{00000000-0010-0000-0000-000010000000}" name="AF Nº" dataDxfId="301"/>
    <tableColumn id="17" xr3:uid="{00000000-0010-0000-0000-000011000000}" name="AF SALDO" dataDxfId="300"/>
    <tableColumn id="18" xr3:uid="{00000000-0010-0000-0000-000012000000}" name="DATA ENTREGA" dataDxfId="299"/>
    <tableColumn id="19" xr3:uid="{00000000-0010-0000-0000-000013000000}" name="RC" dataDxfId="298"/>
    <tableColumn id="20" xr3:uid="{00000000-0010-0000-0000-000014000000}" name="FICHA" dataDxfId="297"/>
    <tableColumn id="21" xr3:uid="{00000000-0010-0000-0000-000015000000}" name="PROJ" dataDxfId="296"/>
    <tableColumn id="24" xr3:uid="{00000000-0010-0000-0000-000018000000}" name="OBSERVAÇÕES" dataDxfId="295"/>
    <tableColumn id="23" xr3:uid="{00000000-0010-0000-0000-000017000000}" name="ESTIMATIVA ANTERIOR" dataDxfId="294"/>
    <tableColumn id="22" xr3:uid="{00000000-0010-0000-0000-000016000000}" name="QUANTIDADE ESTIMADA" dataDxfId="293"/>
    <tableColumn id="25" xr3:uid="{00000000-0010-0000-0000-000019000000}" name="INFORMAR &quot;OK&quot; OU NOVA QUANTIDADE" dataDxfId="292"/>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6" totalsRowShown="0" headerRowDxfId="274" dataDxfId="273">
  <autoFilter ref="A3:BK946" xr:uid="{00000000-000C-0000-FFFF-FFFF01000000}">
    <filterColumn colId="14">
      <customFilters>
        <customFilter operator="notEqual" val=" "/>
      </customFilters>
    </filterColumn>
    <filterColumn colId="40">
      <customFilters>
        <customFilter operator="notEqual" val="Sim"/>
      </customFilters>
    </filterColumn>
  </autoFilter>
  <tableColumns count="63">
    <tableColumn id="1" xr3:uid="{00000000-0010-0000-0100-000001000000}" name="CÓDIGO" dataDxfId="272"/>
    <tableColumn id="2" xr3:uid="{00000000-0010-0000-0100-000002000000}" name="DESCRIÇÃO" dataDxfId="271"/>
    <tableColumn id="3" xr3:uid="{00000000-0010-0000-0100-000003000000}" name="UNIDADE" dataDxfId="270"/>
    <tableColumn id="4" xr3:uid="{00000000-0010-0000-0100-000004000000}" name="VALOR UNIT." dataDxfId="269"/>
    <tableColumn id="5" xr3:uid="{00000000-0010-0000-0100-000005000000}" name="MARCA" dataDxfId="268"/>
    <tableColumn id="6" xr3:uid="{00000000-0010-0000-0100-000006000000}" name="FORNECEDOR" dataDxfId="267"/>
    <tableColumn id="7" xr3:uid="{00000000-0010-0000-0100-000007000000}" name="LICITACAO" dataDxfId="266"/>
    <tableColumn id="8" xr3:uid="{00000000-0010-0000-0100-000008000000}" name="QTDE ATUAL" dataDxfId="265"/>
    <tableColumn id="9" xr3:uid="{00000000-0010-0000-0100-000009000000}" name="COD. ALMOX" dataDxfId="264"/>
    <tableColumn id="10" xr3:uid="{00000000-0010-0000-0100-00000A000000}" name="PREÇO MÉDIO" dataDxfId="263"/>
    <tableColumn id="11" xr3:uid="{00000000-0010-0000-0100-00000B000000}" name="L.C. 6 MESES" dataDxfId="262"/>
    <tableColumn id="12" xr3:uid="{00000000-0010-0000-0100-00000C000000}" name="TEMPO ESTOQUE" dataDxfId="261">
      <calculatedColumnFormula>IF(tabItens[[#This Row],[Média]] &gt; 0, tabItens[[#This Row],[QTDE ATUAL]] / tabItens[[#This Row],[Média]],999.9)</calculatedColumnFormula>
    </tableColumn>
    <tableColumn id="13" xr3:uid="{00000000-0010-0000-0100-00000D000000}" name="LC" dataDxfId="260"/>
    <tableColumn id="14" xr3:uid="{00000000-0010-0000-0100-00000E000000}" name="TOTAL" dataDxfId="259">
      <calculatedColumnFormula>tabItens[[#This Row],[VALOR UNIT.]] * tabItens[[#This Row],[LC]]</calculatedColumnFormula>
    </tableColumn>
    <tableColumn id="15" xr3:uid="{00000000-0010-0000-0100-00000F000000}" name="ATA Nº/ANO" dataDxfId="258"/>
    <tableColumn id="39" xr3:uid="{00000000-0010-0000-0100-000027000000}" name="ATA SALDO" dataDxfId="257"/>
    <tableColumn id="16" xr3:uid="{00000000-0010-0000-0100-000010000000}" name="ATA QTDE" dataDxfId="256"/>
    <tableColumn id="17" xr3:uid="{00000000-0010-0000-0100-000011000000}" name="ATA VALOR" dataDxfId="255"/>
    <tableColumn id="18" xr3:uid="{00000000-0010-0000-0100-000012000000}" name="ATA DT.VALID." dataDxfId="254"/>
    <tableColumn id="64" xr3:uid="{00000000-0010-0000-0100-000040000000}" name="ATA MESES" dataDxfId="253">
      <calculatedColumnFormula>ROUNDDOWN(IFERROR(tabItens[[#This Row],[ATA DT.VALID.]] - $D$1,0) / 30,0)</calculatedColumnFormula>
    </tableColumn>
    <tableColumn id="60" xr3:uid="{00000000-0010-0000-0100-00003C000000}" name="DESCRIÇÃO DA ESTRUTURA" dataDxfId="252"/>
    <tableColumn id="19" xr3:uid="{00000000-0010-0000-0100-000013000000}" name="ESTRUTURA" dataDxfId="251"/>
    <tableColumn id="65" xr3:uid="{00000000-0010-0000-0100-000041000000}" name="SETOR" dataDxfId="250"/>
    <tableColumn id="20" xr3:uid="{00000000-0010-0000-0100-000014000000}" name="GRUPO" dataDxfId="249"/>
    <tableColumn id="21" xr3:uid="{00000000-0010-0000-0100-000015000000}" name="SUBGRUPO" dataDxfId="248"/>
    <tableColumn id="22" xr3:uid="{00000000-0010-0000-0100-000016000000}" name="RC Nº" dataDxfId="247"/>
    <tableColumn id="23" xr3:uid="{00000000-0010-0000-0100-000017000000}" name="RC ANO" dataDxfId="246"/>
    <tableColumn id="24" xr3:uid="{00000000-0010-0000-0100-000018000000}" name="RC QTDE" dataDxfId="245"/>
    <tableColumn id="25" xr3:uid="{00000000-0010-0000-0100-000019000000}" name="AF Nº" dataDxfId="244"/>
    <tableColumn id="26" xr3:uid="{00000000-0010-0000-0100-00001A000000}" name="AF ANO" dataDxfId="243"/>
    <tableColumn id="27" xr3:uid="{00000000-0010-0000-0100-00001B000000}" name="AF SALDO" dataDxfId="242"/>
    <tableColumn id="28" xr3:uid="{00000000-0010-0000-0100-00001C000000}" name="AF QTDE" dataDxfId="241"/>
    <tableColumn id="29" xr3:uid="{00000000-0010-0000-0100-00001D000000}" name="AF FORN" dataDxfId="240"/>
    <tableColumn id="53" xr3:uid="{00000000-0010-0000-0100-000035000000}" name="AF VENC" dataDxfId="239"/>
    <tableColumn id="45" xr3:uid="{00000000-0010-0000-0100-00002D000000}" name="PONTO PEDIDO" dataDxfId="238"/>
    <tableColumn id="30" xr3:uid="{00000000-0010-0000-0100-00001E000000}" name="DATA ENTREGA" dataDxfId="237"/>
    <tableColumn id="38" xr3:uid="{00000000-0010-0000-0100-000026000000}" name="DATA INCLUSÃO" dataDxfId="236"/>
    <tableColumn id="41" xr3:uid="{00000000-0010-0000-0100-000029000000}" name="DATA ALTERAÇÃO" dataDxfId="235"/>
    <tableColumn id="40" xr3:uid="{00000000-0010-0000-0100-000028000000}" name="DATA DESATIVAÇÃO" dataDxfId="234"/>
    <tableColumn id="31" xr3:uid="{00000000-0010-0000-0100-00001F000000}" name="DESCRIÇÃO DETALHADA" dataDxfId="233"/>
    <tableColumn id="46" xr3:uid="{00000000-0010-0000-0100-00002E000000}" name="Excluir?" dataDxfId="232">
      <calculatedColumnFormula>_xlfn.IFNA(IF(VLOOKUP(tabItens[[#This Row],[CÓDIGO]],tabExcluirDoEstoque[#Data],1,FALSE),"sim",""),"")</calculatedColumnFormula>
    </tableColumn>
    <tableColumn id="47" xr3:uid="{00000000-0010-0000-0100-00002F000000}" name="Semanas ATA" dataDxfId="231">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30"/>
    <tableColumn id="48" xr3:uid="{00000000-0010-0000-0100-000030000000}" name="ÚltMov" dataDxfId="229">
      <calculatedColumnFormula>IF(ISBLANK(tabItens[[#This Row],[CÓDIGO]]),"",IFERROR(VLOOKUP(tabItens[[#This Row],[CÓDIGO]],Consumo!$C$2:$AC$862,26,FALSE),0))</calculatedColumnFormula>
    </tableColumn>
    <tableColumn id="55" xr3:uid="{00000000-0010-0000-0100-000037000000}" name="04_MESES" dataDxfId="228">
      <calculatedColumnFormula>SUMIF(Consumo!$C$3:$C$862,tabItens[[#This Row],[CÓDIGO]],Consumo!$N$3:$N$862) + SUMIF(Consumo!$C$3:$C$862,tabItens[[#This Row],[CÓDIGO]],Consumo!$O$3:$O$862) + SUMIF(Consumo!$C$3:$C$862,tabItens[[#This Row],[CÓDIGO]],Consumo!$P$3:$P$862) + SUMIF(Consumo!$C$3:$C$862,tabItens[[#This Row],[CÓDIGO]],Consumo!$Q$3:$Q$862)</calculatedColumnFormula>
    </tableColumn>
    <tableColumn id="34" xr3:uid="{00000000-0010-0000-0100-000022000000}" name="Consumo" dataDxfId="227">
      <calculatedColumnFormula>SUMIF(Consumo!$C$3:$C$862,tabItens[[#This Row],[CÓDIGO]],Consumo!$Z$3:$Z$862)</calculatedColumnFormula>
    </tableColumn>
    <tableColumn id="59" xr3:uid="{00000000-0010-0000-0100-00003B000000}" name="Pico" dataDxfId="226">
      <calculatedColumnFormula>SUMIF(Consumo!$C$3:$C$862,tabItens[[#This Row],[CÓDIGO]],Consumo!$AA$3:$AA$862)</calculatedColumnFormula>
    </tableColumn>
    <tableColumn id="49" xr3:uid="{00000000-0010-0000-0100-000031000000}" name="Média" dataDxfId="225">
      <calculatedColumnFormula>SUMIF(Consumo!$C$3:$C$862,tabItens[[#This Row],[CÓDIGO]],Consumo!$Y$3:$Y$862)</calculatedColumnFormula>
    </tableColumn>
    <tableColumn id="32" xr3:uid="{00000000-0010-0000-0100-000020000000}" name="Saldo" dataDxfId="224">
      <calculatedColumnFormula>tabItens[[#This Row],[QTDE ATUAL]] + tabItens[[#This Row],[RC QTDE]] + tabItens[[#This Row],[AF SALDO]] + tabItens[[#This Row],[Recentes]]</calculatedColumnFormula>
    </tableColumn>
    <tableColumn id="42" xr3:uid="{00000000-0010-0000-0100-00002A000000}" name="PontoMês" dataDxfId="223"/>
    <tableColumn id="43" xr3:uid="{00000000-0010-0000-0100-00002B000000}" name="PontoQtM" dataDxfId="222"/>
    <tableColumn id="50" xr3:uid="{00000000-0010-0000-0100-000032000000}" name="PontoPed" dataDxfId="221">
      <calculatedColumnFormula>IF(ISBLANK(tabItens[[#This Row],[CÓDIGO]]),"",tabItens[[#This Row],[PontoMês]] * (AZ$2+tabItens[[#This Row],[PontoQtM]]))</calculatedColumnFormula>
    </tableColumn>
    <tableColumn id="44" xr3:uid="{00000000-0010-0000-0100-00002C000000}" name="Abaixo" dataDxfId="220">
      <calculatedColumnFormula>tabItens[[#This Row],[PontoPed]] - tabItens[[#This Row],[Saldo]] + (1/10)</calculatedColumnFormula>
    </tableColumn>
    <tableColumn id="52" xr3:uid="{00000000-0010-0000-0100-000034000000}" name="AbaixoFisico" dataDxfId="219">
      <calculatedColumnFormula xml:space="preserve"> tabItens[[#This Row],[PontoMês]] * BB$2 - tabItens[[#This Row],[QTDE ATUAL]] - (1/10)</calculatedColumnFormula>
    </tableColumn>
    <tableColumn id="54" xr3:uid="{00000000-0010-0000-0100-000036000000}" name="PctAb" dataDxfId="218">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217">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216">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215">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214">
      <calculatedColumnFormula>SUMIF(Consumo!$C$3:$C$862,tabItens[[#This Row],[CÓDIGO]],Consumo!$E$3:$E$862)</calculatedColumnFormula>
    </tableColumn>
    <tableColumn id="57" xr3:uid="{00000000-0010-0000-0100-000039000000}" name="%Pend" dataDxfId="213">
      <calculatedColumnFormula>IF(AND(tabItens[[#This Row],[Pend]] &gt; 0,tabItens[[#This Row],[Consumo]] &lt;&gt; 0), tabItens[[#This Row],[Pend]] / tabItens[[#This Row],[Consumo]], 0 )</calculatedColumnFormula>
    </tableColumn>
    <tableColumn id="56" xr3:uid="{00000000-0010-0000-0100-000038000000}" name="CompraAnterior" dataDxfId="212"/>
    <tableColumn id="61" xr3:uid="{00000000-0010-0000-0100-00003D000000}" name="COMPRA_EXTRA" dataDxfId="211"/>
    <tableColumn id="37" xr3:uid="{00000000-0010-0000-0100-000025000000}" name="Fim" dataDxfId="210"/>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09B4893-B4DA-4909-89E8-1DE54B5C1B34}" name="Tabela3" displayName="Tabela3" ref="A1:C2" totalsRowShown="0" headerRowDxfId="209">
  <autoFilter ref="A1:C2" xr:uid="{809B4893-B4DA-4909-89E8-1DE54B5C1B34}">
    <filterColumn colId="0" hiddenButton="1"/>
    <filterColumn colId="1" hiddenButton="1"/>
    <filterColumn colId="2" hiddenButton="1"/>
  </autoFilter>
  <tableColumns count="3">
    <tableColumn id="1" xr3:uid="{B7A88F29-FCD4-47D3-8864-1F18E28A3F21}" name="pd.tabItens" dataDxfId="208">
      <calculatedColumnFormula array="1">_xlfn._xlws.PY(0,1,tabItens[#All])</calculatedColumnFormula>
    </tableColumn>
    <tableColumn id="2" xr3:uid="{FE92D0A9-3CB1-449B-9BA6-F7F3CEA548E2}" name="pd.tabParametros" dataDxfId="207">
      <calculatedColumnFormula array="1">_xlfn._xlws.PY(1,1,tabParametros[#All])</calculatedColumnFormula>
    </tableColumn>
    <tableColumn id="3" xr3:uid="{AE761B77-10A2-49E1-BA0C-59A5D5C80F1F}" name="pd.tabAtasAtivas" dataDxfId="206">
      <calculatedColumnFormula array="1">_xlfn._xlws.PY(2,1,Itens!D1,_xlfn.PQSOURCE("dbc468db-82dd-4985-9e5d-7ecbaeaa5da7"))</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56" totalsRowShown="0" headerRowDxfId="188" dataDxfId="186" headerRowBorderDxfId="187" tableBorderDxfId="185">
  <tableColumns count="37">
    <tableColumn id="1" xr3:uid="{00000000-0010-0000-0200-000001000000}" name="CÓDIGO" dataDxfId="184"/>
    <tableColumn id="2" xr3:uid="{00000000-0010-0000-0200-000002000000}" name="DESCRIÇÃO" dataDxfId="183"/>
    <tableColumn id="3" xr3:uid="{00000000-0010-0000-0200-000003000000}" name="UNIDADE" dataDxfId="182"/>
    <tableColumn id="4" xr3:uid="{00000000-0010-0000-0200-000004000000}" name="VALOR UNIT." dataDxfId="181"/>
    <tableColumn id="5" xr3:uid="{00000000-0010-0000-0200-000005000000}" name="MARCA" dataDxfId="180"/>
    <tableColumn id="6" xr3:uid="{00000000-0010-0000-0200-000006000000}" name="FORNECEDOR" dataDxfId="179"/>
    <tableColumn id="7" xr3:uid="{00000000-0010-0000-0200-000007000000}" name="LICITACAO" dataDxfId="178"/>
    <tableColumn id="8" xr3:uid="{00000000-0010-0000-0200-000008000000}" name="QTDE ATUAL" dataDxfId="177"/>
    <tableColumn id="9" xr3:uid="{00000000-0010-0000-0200-000009000000}" name="COD. ALMOX" dataDxfId="176"/>
    <tableColumn id="10" xr3:uid="{00000000-0010-0000-0200-00000A000000}" name="PREÇO MÉDIO" dataDxfId="175"/>
    <tableColumn id="11" xr3:uid="{00000000-0010-0000-0200-00000B000000}" name="L.C. 6 MESES" dataDxfId="174"/>
    <tableColumn id="12" xr3:uid="{00000000-0010-0000-0200-00000C000000}" name="TEMPO ESTOQUE" dataDxfId="173"/>
    <tableColumn id="13" xr3:uid="{00000000-0010-0000-0200-00000D000000}" name="LC" dataDxfId="172"/>
    <tableColumn id="14" xr3:uid="{00000000-0010-0000-0200-00000E000000}" name="TOTAL" dataDxfId="171"/>
    <tableColumn id="15" xr3:uid="{00000000-0010-0000-0200-00000F000000}" name="ATA Nº/ANO" dataDxfId="170"/>
    <tableColumn id="16" xr3:uid="{00000000-0010-0000-0200-000010000000}" name="ATA QTDE" dataDxfId="169"/>
    <tableColumn id="17" xr3:uid="{00000000-0010-0000-0200-000011000000}" name="ATA VALOR" dataDxfId="168"/>
    <tableColumn id="18" xr3:uid="{00000000-0010-0000-0200-000012000000}" name="ATA DT.VALID." dataDxfId="167"/>
    <tableColumn id="19" xr3:uid="{00000000-0010-0000-0200-000013000000}" name="DESCRIÇÃO DA ESTRUTURA" dataDxfId="166"/>
    <tableColumn id="20" xr3:uid="{00000000-0010-0000-0200-000014000000}" name="ESTRUTURA" dataDxfId="165"/>
    <tableColumn id="21" xr3:uid="{00000000-0010-0000-0200-000015000000}" name="GRUPO" dataDxfId="164"/>
    <tableColumn id="22" xr3:uid="{00000000-0010-0000-0200-000016000000}" name="SUBGRUPO" dataDxfId="163"/>
    <tableColumn id="23" xr3:uid="{00000000-0010-0000-0200-000017000000}" name="RC Nº" dataDxfId="162"/>
    <tableColumn id="24" xr3:uid="{00000000-0010-0000-0200-000018000000}" name="RC ANO" dataDxfId="161"/>
    <tableColumn id="25" xr3:uid="{00000000-0010-0000-0200-000019000000}" name="RC QTDE" dataDxfId="160"/>
    <tableColumn id="26" xr3:uid="{00000000-0010-0000-0200-00001A000000}" name="AF Nº" dataDxfId="159"/>
    <tableColumn id="27" xr3:uid="{00000000-0010-0000-0200-00001B000000}" name="AF ANO" dataDxfId="158"/>
    <tableColumn id="28" xr3:uid="{00000000-0010-0000-0200-00001C000000}" name="AF SALDO" dataDxfId="157"/>
    <tableColumn id="29" xr3:uid="{00000000-0010-0000-0200-00001D000000}" name="AF QTDE" dataDxfId="156"/>
    <tableColumn id="37" xr3:uid="{00000000-0010-0000-0200-000025000000}" name="AF FORN" dataDxfId="155"/>
    <tableColumn id="36" xr3:uid="{00000000-0010-0000-0200-000024000000}" name="AF VENC" dataDxfId="154"/>
    <tableColumn id="30" xr3:uid="{00000000-0010-0000-0200-00001E000000}" name="PONTO PEDIDO" dataDxfId="153"/>
    <tableColumn id="31" xr3:uid="{00000000-0010-0000-0200-00001F000000}" name="DATA ENTREGA" dataDxfId="152"/>
    <tableColumn id="32" xr3:uid="{00000000-0010-0000-0200-000020000000}" name="DATA INCLUSÃO" dataDxfId="151"/>
    <tableColumn id="33" xr3:uid="{00000000-0010-0000-0200-000021000000}" name="DATA ALTERAÇÃO" dataDxfId="150"/>
    <tableColumn id="34" xr3:uid="{00000000-0010-0000-0200-000022000000}" name="DATA DESATIVAÇÃO" dataDxfId="149"/>
    <tableColumn id="35" xr3:uid="{00000000-0010-0000-0200-000023000000}" name="DESCRIÇÃO DETALHADA" dataDxfId="148"/>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147" dataDxfId="145" headerRowBorderDxfId="146" tableBorderDxfId="144" totalsRowBorderDxfId="143">
  <tableColumns count="14">
    <tableColumn id="1" xr3:uid="{00000000-0010-0000-0300-000001000000}" name="CÓDIGO" dataDxfId="142"/>
    <tableColumn id="2" xr3:uid="{00000000-0010-0000-0300-000002000000}" name="DESCRIÇÃO" dataDxfId="141"/>
    <tableColumn id="3" xr3:uid="{00000000-0010-0000-0300-000003000000}" name="UNIDADE" dataDxfId="140"/>
    <tableColumn id="13" xr3:uid="{00000000-0010-0000-0300-00000D000000}" name="GRUPO" dataDxfId="139"/>
    <tableColumn id="4" xr3:uid="{00000000-0010-0000-0300-000004000000}" name="ESTOQUE FÍSICO" dataDxfId="138"/>
    <tableColumn id="12" xr3:uid="{00000000-0010-0000-0300-00000C000000}" name="DURAÇÃO EM MESES" dataDxfId="137"/>
    <tableColumn id="5" xr3:uid="{00000000-0010-0000-0300-000005000000}" name="COMPRAS EM ANDAMENTO" dataDxfId="136"/>
    <tableColumn id="6" xr3:uid="{00000000-0010-0000-0300-000006000000}" name="SALDO" dataDxfId="135"/>
    <tableColumn id="7" xr3:uid="{00000000-0010-0000-0300-000007000000}" name="ÚLTIMA ENTRADA ESTOQUE" dataDxfId="134"/>
    <tableColumn id="8" xr3:uid="{00000000-0010-0000-0300-000008000000}" name="ÚLTIMA SAÍDA" dataDxfId="133"/>
    <tableColumn id="9" xr3:uid="{00000000-0010-0000-0300-000009000000}" name="CONSUMO" dataDxfId="132"/>
    <tableColumn id="14" xr3:uid="{00000000-0010-0000-0300-00000E000000}" name="COMPRA EXTRA" dataDxfId="131"/>
    <tableColumn id="10" xr3:uid="{00000000-0010-0000-0300-00000A000000}" name="SUGESTÃO DE COMPRA" dataDxfId="130"/>
    <tableColumn id="11" xr3:uid="{00000000-0010-0000-0300-00000B000000}" name="QUANT ESTIMADA PELO SETOR" dataDxfId="129"/>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26" headerRowBorderDxfId="127" tableBorderDxfId="125">
  <autoFilter ref="M1:P2" xr:uid="{00000000-0009-0000-0100-000008000000}"/>
  <tableColumns count="4">
    <tableColumn id="1" xr3:uid="{00000000-0010-0000-0400-000001000000}" name="Código do Item" dataDxfId="124"/>
    <tableColumn id="2" xr3:uid="{00000000-0010-0000-0400-000002000000}" name="Descrição" dataDxfId="123">
      <calculatedColumnFormula>IF(ISBLANK(tabCodigosParaFiltrar[Código do Item]),"",VLOOKUP(tabCodigosParaFiltrar[Código do Item],Itens!$A$4:$B$946,2,FALSE))</calculatedColumnFormula>
    </tableColumn>
    <tableColumn id="4" xr3:uid="{00000000-0010-0000-0400-000004000000}" name="Última Estimativa" dataDxfId="122"/>
    <tableColumn id="3" xr3:uid="{00000000-0010-0000-0400-000003000000}" name="FIM" dataDxfId="121">
      <calculatedColumnFormula>IF(ISBLANK(tabCodigosParaFiltrar[Código do Item]),"","*")</calculatedColumnFormula>
    </tableColumn>
  </tableColumns>
  <tableStyleInfo name="TableStyleMedium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094E60-1C7B-4E88-AC6E-BB66D967980D}" name="tabConsumo" displayName="tabConsumo" ref="A2:AC862" totalsRowShown="0" headerRowDxfId="118">
  <autoFilter ref="A2:AC862" xr:uid="{8F094E60-1C7B-4E88-AC6E-BB66D967980D}"/>
  <tableColumns count="29">
    <tableColumn id="1" xr3:uid="{95666FEF-868C-4EF0-B208-ECB01E469D06}" name="DESCRICAO" dataDxfId="117"/>
    <tableColumn id="2" xr3:uid="{F19B6731-F505-431E-9893-2D13E1DC5786}" name="UN" dataDxfId="116"/>
    <tableColumn id="3" xr3:uid="{A25883B3-3385-4E31-B6EA-CC5021942A43}" name="CODIGO" dataDxfId="115"/>
    <tableColumn id="4" xr3:uid="{9D1F279E-393D-4D3E-B02D-5EFBE228C13D}" name="SALDO" dataDxfId="114"/>
    <tableColumn id="5" xr3:uid="{1641373F-AAAE-406C-87A6-4113C75489C5}" name="QTD.PENDENTE" dataDxfId="113"/>
    <tableColumn id="6" xr3:uid="{DFC1F679-BFA6-4969-9A0B-B65EB79769CA}" name="10_22" dataDxfId="112"/>
    <tableColumn id="7" xr3:uid="{95FB3ADA-9DD2-4514-B024-7D22505EE512}" name="11_22" dataDxfId="111"/>
    <tableColumn id="8" xr3:uid="{3EB10070-7BDB-4736-9249-CBA514036542}" name="12_22" dataDxfId="110"/>
    <tableColumn id="9" xr3:uid="{4687E519-8B58-4EC7-B8B3-AA0ECA95D039}" name="01_23" dataDxfId="109"/>
    <tableColumn id="10" xr3:uid="{E10710EC-B6C6-4F51-B37F-4127F0EF2560}" name="02_23" dataDxfId="108"/>
    <tableColumn id="11" xr3:uid="{32D8B058-1902-4FFC-91BF-7F28A3550317}" name="03_23" dataDxfId="107"/>
    <tableColumn id="12" xr3:uid="{DF9610BC-64DE-4546-850F-009B48804393}" name="04_23" dataDxfId="106"/>
    <tableColumn id="13" xr3:uid="{54585D07-5EB2-4C1F-84F6-9D5557DDE272}" name="05_23" dataDxfId="105"/>
    <tableColumn id="14" xr3:uid="{9E6F93B4-878B-4B50-A968-E6EA9537696C}" name="06_23" dataDxfId="104"/>
    <tableColumn id="15" xr3:uid="{B0A84AB1-2D06-446C-9BAE-C1CCF56CE76E}" name="07_23" dataDxfId="103"/>
    <tableColumn id="16" xr3:uid="{651138D1-FA6A-4973-9824-E570846267C8}" name="08_23" dataDxfId="102"/>
    <tableColumn id="17" xr3:uid="{8909BB22-3D3F-40BD-88D6-94EF12827236}" name="09_23" dataDxfId="101"/>
    <tableColumn id="18" xr3:uid="{24EB6625-95B8-4BBB-9CFB-A70EB76591C7}" name="DtIncl" dataDxfId="100"/>
    <tableColumn id="19" xr3:uid="{3E9A299D-D5F6-4498-86BE-B11BB37AAB6B}" name="Div" dataDxfId="99">
      <calculatedColumnFormula xml:space="preserve"> 12</calculatedColumnFormula>
    </tableColumn>
    <tableColumn id="20" xr3:uid="{91EF99A6-90C6-4DAB-9ABC-E14960DAA513}" name="Média.A" dataDxfId="98">
      <calculatedColumnFormula>SUM( tabConsumo[[#This Row],[QTD.PENDENTE]]:tabConsumo[[#This Row],[09_23]] ) / tabConsumo[[#This Row],[Div]]</calculatedColumnFormula>
    </tableColumn>
    <tableColumn id="21" xr3:uid="{5BAADE03-03B2-430F-B790-E7C0EE1A5377}" name="DP1" dataDxfId="97">
      <calculatedColumnFormula xml:space="preserve"> tabConsumo[[#This Row],[Média.A]] + (_xlfn.STDEV.S( tabConsumo[[#This Row],[QTD.PENDENTE]]:tabConsumo[[#This Row],[09_23]] ) * 1)</calculatedColumnFormula>
    </tableColumn>
    <tableColumn id="22" xr3:uid="{9D14CC97-72F0-4CB2-83F6-84C1B61F0E28}" name="DP2" dataDxfId="96">
      <calculatedColumnFormula xml:space="preserve"> tabConsumo[[#This Row],[Média.A]] + (_xlfn.STDEV.S( tabConsumo[[#This Row],[QTD.PENDENTE]]:tabConsumo[[#This Row],[09_23]] ) * 2)</calculatedColumnFormula>
    </tableColumn>
    <tableColumn id="23" xr3:uid="{39AC8253-3F64-405B-922B-52045124FBC9}" name="DP3" dataDxfId="95">
      <calculatedColumnFormula xml:space="preserve"> tabConsumo[[#This Row],[Média.A]] + (_xlfn.STDEV.S( tabConsumo[[#This Row],[QTD.PENDENTE]]:tabConsumo[[#This Row],[09_23]] ) * 3)</calculatedColumnFormula>
    </tableColumn>
    <tableColumn id="24" xr3:uid="{1F980825-EAE2-44B7-BE17-33BFB1CE6E61}" name="Nº DP" dataDxfId="94">
      <calculatedColumnFormula xml:space="preserve"> 2</calculatedColumnFormula>
    </tableColumn>
    <tableColumn id="25" xr3:uid="{917ADD42-0E86-4BE0-985E-EB007C85F4F6}" name="Média.C"/>
    <tableColumn id="26" xr3:uid="{3A97826A-CDCA-4C40-8A49-3343EBF65535}" name="Consumo.C" dataDxfId="93">
      <calculatedColumnFormula>SUM( tabConsumo[[#This Row],[QTD.PENDENTE]]:tabConsumo[[#This Row],[09_23]] )</calculatedColumnFormula>
    </tableColumn>
    <tableColumn id="27" xr3:uid="{72CDBF6B-75E4-4CAB-872A-D33B0F649F06}" name="Pico" dataDxfId="92">
      <calculatedColumnFormula>LARGE(tabConsumo[[#This Row],[10_22]:[09_23]],1)</calculatedColumnFormula>
    </tableColumn>
    <tableColumn id="28" xr3:uid="{7C6CBCD2-F32F-4184-8155-89392AC65FE4}" name="ÚltMov"/>
    <tableColumn id="29" xr3:uid="{B637E27E-0E67-482E-88A9-DE8A977CCAB4}" name="Fim" dataDxfId="91"/>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89" headerRowBorderDxfId="90" tableBorderDxfId="88">
  <tableColumns count="8">
    <tableColumn id="1" xr3:uid="{00000000-0010-0000-0500-000001000000}" name="CÓDIGO" dataDxfId="87"/>
    <tableColumn id="2" xr3:uid="{00000000-0010-0000-0500-000002000000}" name="DESCRIÇÃO" dataDxfId="86"/>
    <tableColumn id="3" xr3:uid="{00000000-0010-0000-0500-000003000000}" name="UN" dataDxfId="85"/>
    <tableColumn id="4" xr3:uid="{00000000-0010-0000-0500-000004000000}" name="GRUPO" dataDxfId="84"/>
    <tableColumn id="5" xr3:uid="{00000000-0010-0000-0500-000005000000}" name="SUBGR" dataDxfId="83"/>
    <tableColumn id="10" xr3:uid="{00000000-0010-0000-0500-00000A000000}" name="US_NOME" dataDxfId="82"/>
    <tableColumn id="9" xr3:uid="{00000000-0010-0000-0500-000009000000}" name="US_DATH" dataDxfId="81"/>
    <tableColumn id="8" xr3:uid="{00000000-0010-0000-0500-000008000000}" name="TRANSF" dataDxfId="80"/>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78" dataDxfId="77">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76"/>
  </tableColumns>
  <tableStyleInfo name="TableStyleMedium1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74" dataDxfId="72" headerRowBorderDxfId="73" tableBorderDxfId="71" totalsRowBorderDxfId="70">
  <sortState xmlns:xlrd2="http://schemas.microsoft.com/office/spreadsheetml/2017/richdata2" ref="A11:Z15">
    <sortCondition ref="B11:B15"/>
  </sortState>
  <tableColumns count="26">
    <tableColumn id="1" xr3:uid="{00000000-0010-0000-0700-000001000000}" name="ITEM" dataDxfId="69"/>
    <tableColumn id="2" xr3:uid="{00000000-0010-0000-0700-000002000000}" name="CÓDIGO" dataDxfId="68"/>
    <tableColumn id="3" xr3:uid="{00000000-0010-0000-0700-000003000000}" name="DESCRIÇÃO" dataDxfId="67"/>
    <tableColumn id="4" xr3:uid="{00000000-0010-0000-0700-000004000000}" name="UN" dataDxfId="66"/>
    <tableColumn id="5" xr3:uid="{00000000-0010-0000-0700-000005000000}" name="GRUPO" dataDxfId="65"/>
    <tableColumn id="6" xr3:uid="{00000000-0010-0000-0700-000006000000}" name="SUBG" dataDxfId="64"/>
    <tableColumn id="7" xr3:uid="{00000000-0010-0000-0700-000007000000}" name="COMPRA" dataDxfId="63"/>
    <tableColumn id="8" xr3:uid="{00000000-0010-0000-0700-000008000000}" name="VALOR UNIT." dataDxfId="62" dataCellStyle="Moeda"/>
    <tableColumn id="9" xr3:uid="{00000000-0010-0000-0700-000009000000}" name="VALOR TOTAL" dataDxfId="61" dataCellStyle="Moeda">
      <calculatedColumnFormula>G11*H11</calculatedColumnFormula>
    </tableColumn>
    <tableColumn id="10" xr3:uid="{00000000-0010-0000-0700-00000A000000}" name="ATA" dataDxfId="60"/>
    <tableColumn id="11" xr3:uid="{00000000-0010-0000-0700-00000B000000}" name="ATA QTDE" dataDxfId="59"/>
    <tableColumn id="12" xr3:uid="{00000000-0010-0000-0700-00000C000000}" name="VIGÊNCIA DA ATA" dataDxfId="58"/>
    <tableColumn id="13" xr3:uid="{00000000-0010-0000-0700-00000D000000}" name="FORNECEDOR" dataDxfId="57"/>
    <tableColumn id="14" xr3:uid="{00000000-0010-0000-0700-00000E000000}" name="RC Nº" dataDxfId="56"/>
    <tableColumn id="15" xr3:uid="{00000000-0010-0000-0700-00000F000000}" name="RC QTDE" dataDxfId="55"/>
    <tableColumn id="16" xr3:uid="{00000000-0010-0000-0700-000010000000}" name="AF Nº" dataDxfId="54"/>
    <tableColumn id="17" xr3:uid="{00000000-0010-0000-0700-000011000000}" name="AF SALDO" dataDxfId="53"/>
    <tableColumn id="23" xr3:uid="{00000000-0010-0000-0700-000017000000}" name="Recentes" dataDxfId="52">
      <calculatedColumnFormula>SUMIF(tabItens[CÓDIGO],tabAssinaturas[[#This Row],[CÓDIGO]],tabItens[Recentes])</calculatedColumnFormula>
    </tableColumn>
    <tableColumn id="18" xr3:uid="{00000000-0010-0000-0700-000012000000}" name="DATA ENTREGA" dataDxfId="51"/>
    <tableColumn id="26" xr3:uid="{00000000-0010-0000-0700-00001A000000}" name="US_NOME" dataDxfId="50"/>
    <tableColumn id="24" xr3:uid="{00000000-0010-0000-0700-000018000000}" name="US_DATH" dataDxfId="49"/>
    <tableColumn id="19" xr3:uid="{00000000-0010-0000-0700-000013000000}" name="RC" dataDxfId="48"/>
    <tableColumn id="20" xr3:uid="{00000000-0010-0000-0700-000014000000}" name="PROJ" dataDxfId="47"/>
    <tableColumn id="21" xr3:uid="{00000000-0010-0000-0700-000015000000}" name="FICHA" dataDxfId="46"/>
    <tableColumn id="25" xr3:uid="{00000000-0010-0000-0700-000019000000}" name="OBSERVAÇÕES" dataDxfId="45"/>
    <tableColumn id="22" xr3:uid="{00000000-0010-0000-0700-000016000000}" name="DEST" dataDxfId="44"/>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42" dataDxfId="41">
  <autoFilter ref="A1:D2" xr:uid="{00000000-000C-0000-FFFF-FFFF08000000}"/>
  <tableColumns count="4">
    <tableColumn id="1" xr3:uid="{00000000-0010-0000-0800-000001000000}" name="RC" dataDxfId="40" totalsRowDxfId="39"/>
    <tableColumn id="2" xr3:uid="{00000000-0010-0000-0800-000002000000}" name="VALOR" totalsRowFunction="sum" dataDxfId="38" totalsRowDxfId="37"/>
    <tableColumn id="4" xr3:uid="{00000000-0010-0000-0800-000004000000}" name="Assinatura" totalsRowFunction="sum" dataDxfId="36" totalsRowDxfId="35">
      <calculatedColumnFormula>IF(ISBLANK(tabRCsGeradas[[#This Row],[RC]]),0,SUMIF(tabAssinaturas[RC],tabRCsGeradas[[#This Row],[RC]],tabAssinaturas[VALOR TOTAL]))</calculatedColumnFormula>
    </tableColumn>
    <tableColumn id="5" xr3:uid="{00000000-0010-0000-0800-000005000000}" name="Diferente" dataDxfId="34">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33">
  <autoFilter ref="A2:L3" xr:uid="{00000000-0009-0000-0100-00000B000000}"/>
  <tableColumns count="12">
    <tableColumn id="1" xr3:uid="{00000000-0010-0000-0900-000001000000}" name="AF ANO" dataDxfId="32"/>
    <tableColumn id="2" xr3:uid="{00000000-0010-0000-0900-000002000000}" name="AF Nº" dataDxfId="31"/>
    <tableColumn id="3" xr3:uid="{00000000-0010-0000-0900-000003000000}" name="AF SALDO" dataDxfId="30"/>
    <tableColumn id="4" xr3:uid="{00000000-0010-0000-0900-000004000000}" name="AF QTDE" dataDxfId="29"/>
    <tableColumn id="5" xr3:uid="{00000000-0010-0000-0900-000005000000}" name="CÓDIGO" dataDxfId="28"/>
    <tableColumn id="6" xr3:uid="{00000000-0010-0000-0900-000006000000}" name="DESCRIÇÃO" dataDxfId="27"/>
    <tableColumn id="12" xr3:uid="{00000000-0010-0000-0900-00000C000000}" name="ESTOQUE" dataDxfId="26"/>
    <tableColumn id="7" xr3:uid="{00000000-0010-0000-0900-000007000000}" name="FORNECEDOR" dataDxfId="25"/>
    <tableColumn id="8" xr3:uid="{00000000-0010-0000-0900-000008000000}" name="PREVISÃO" dataDxfId="24"/>
    <tableColumn id="9" xr3:uid="{00000000-0010-0000-0900-000009000000}" name="STATUS" dataDxfId="23"/>
    <tableColumn id="10" xr3:uid="{00000000-0010-0000-0900-00000A000000}" name="SITUAÇÃO" dataDxfId="22"/>
    <tableColumn id="11" xr3:uid="{00000000-0010-0000-0900-00000B000000}" name="OBSERVAÇÃO" dataDxfId="21"/>
  </tableColumns>
  <tableStyleInfo name="TableStyleLight1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20" dataDxfId="19">
  <tableColumns count="16">
    <tableColumn id="2" xr3:uid="{00000000-0010-0000-0A00-000002000000}" name="CÓDIGO" dataDxfId="18"/>
    <tableColumn id="3" xr3:uid="{00000000-0010-0000-0A00-000003000000}" name="DESCRIÇÃO" dataDxfId="17"/>
    <tableColumn id="16" xr3:uid="{00000000-0010-0000-0A00-000010000000}" name="GRUPO" dataDxfId="16"/>
    <tableColumn id="1" xr3:uid="{00000000-0010-0000-0A00-000001000000}" name="SUBGRUPO" dataDxfId="15"/>
    <tableColumn id="4" xr3:uid="{00000000-0010-0000-0A00-000004000000}" name="TIPO" dataDxfId="14"/>
    <tableColumn id="5" xr3:uid="{00000000-0010-0000-0A00-000005000000}" name="ANO" dataDxfId="13"/>
    <tableColumn id="6" xr3:uid="{00000000-0010-0000-0A00-000006000000}" name="Nº" dataDxfId="12"/>
    <tableColumn id="7" xr3:uid="{00000000-0010-0000-0A00-000007000000}" name="QTDE" dataDxfId="11"/>
    <tableColumn id="8" xr3:uid="{00000000-0010-0000-0A00-000008000000}" name="SALDO" dataDxfId="10"/>
    <tableColumn id="9" xr3:uid="{00000000-0010-0000-0A00-000009000000}" name="ESTOQUE" dataDxfId="9"/>
    <tableColumn id="10" xr3:uid="{00000000-0010-0000-0A00-00000A000000}" name="FORNECEDOR" dataDxfId="8"/>
    <tableColumn id="11" xr3:uid="{00000000-0010-0000-0A00-00000B000000}" name="PREVISÃO" dataDxfId="7"/>
    <tableColumn id="12" xr3:uid="{00000000-0010-0000-0A00-00000C000000}" name="STATUS" dataDxfId="6"/>
    <tableColumn id="13" xr3:uid="{00000000-0010-0000-0A00-00000D000000}" name="SITUAÇÃO" dataDxfId="5"/>
    <tableColumn id="14" xr3:uid="{00000000-0010-0000-0A00-00000E000000}" name="OBSERVAÇÃO" dataDxfId="4"/>
    <tableColumn id="15" xr3:uid="{00000000-0010-0000-0A00-00000F000000}" name="FIM" dataDxfId="3"/>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E6B8AF6-49E8-4599-9BFE-2C6FEDFFE6DC}">
  <we:reference id="wa200003696" version="1.3.0.0" store="pt-BR" storeType="OMEX"/>
  <we:alternateReferences>
    <we:reference id="WA200003696" version="1.3.0.0" store="WA200003696" storeType="OMEX"/>
  </we:alternateReferences>
  <we:properties>
    <we:property name="projectV0_1-56c6e055-265e-4713-816e-a646dbb708de" value="{&quot;kind&quot;:&quot;AFEJSONBlobNode&quot;,&quot;id&quot;:&quot;{D98F18A2-E4FC-4B93-B276-33CDABBC20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7" Type="http://schemas.openxmlformats.org/officeDocument/2006/relationships/image" Target="../media/image24.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23.emf"/><Relationship Id="rId10" Type="http://schemas.openxmlformats.org/officeDocument/2006/relationships/comments" Target="../comments4.xml"/><Relationship Id="rId4" Type="http://schemas.openxmlformats.org/officeDocument/2006/relationships/control" Target="../activeX/activeX18.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5.vml"/><Relationship Id="rId7" Type="http://schemas.openxmlformats.org/officeDocument/2006/relationships/image" Target="../media/image26.emf"/><Relationship Id="rId12"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8.emf"/><Relationship Id="rId5" Type="http://schemas.openxmlformats.org/officeDocument/2006/relationships/image" Target="../media/image25.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7.emf"/></Relationships>
</file>

<file path=xl/worksheets/_rels/sheet7.x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6.emf"/><Relationship Id="rId21" Type="http://schemas.openxmlformats.org/officeDocument/2006/relationships/image" Target="../media/image37.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50.emf"/><Relationship Id="rId50" Type="http://schemas.openxmlformats.org/officeDocument/2006/relationships/control" Target="../activeX/activeX47.xml"/><Relationship Id="rId55" Type="http://schemas.openxmlformats.org/officeDocument/2006/relationships/image" Target="../media/image54.emf"/><Relationship Id="rId63" Type="http://schemas.openxmlformats.org/officeDocument/2006/relationships/image" Target="../media/image58.emf"/><Relationship Id="rId7" Type="http://schemas.openxmlformats.org/officeDocument/2006/relationships/image" Target="../media/image30.emf"/><Relationship Id="rId2" Type="http://schemas.openxmlformats.org/officeDocument/2006/relationships/drawing" Target="../drawings/drawing6.xml"/><Relationship Id="rId16" Type="http://schemas.openxmlformats.org/officeDocument/2006/relationships/control" Target="../activeX/activeX30.xml"/><Relationship Id="rId29" Type="http://schemas.openxmlformats.org/officeDocument/2006/relationships/image" Target="../media/image41.emf"/><Relationship Id="rId11" Type="http://schemas.openxmlformats.org/officeDocument/2006/relationships/image" Target="../media/image32.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5.emf"/><Relationship Id="rId40" Type="http://schemas.openxmlformats.org/officeDocument/2006/relationships/control" Target="../activeX/activeX42.xml"/><Relationship Id="rId45" Type="http://schemas.openxmlformats.org/officeDocument/2006/relationships/image" Target="../media/image49.emf"/><Relationship Id="rId53" Type="http://schemas.openxmlformats.org/officeDocument/2006/relationships/image" Target="../media/image53.emf"/><Relationship Id="rId58" Type="http://schemas.openxmlformats.org/officeDocument/2006/relationships/control" Target="../activeX/activeX51.xml"/><Relationship Id="rId5" Type="http://schemas.openxmlformats.org/officeDocument/2006/relationships/image" Target="../media/image29.emf"/><Relationship Id="rId61" Type="http://schemas.openxmlformats.org/officeDocument/2006/relationships/image" Target="../media/image57.emf"/><Relationship Id="rId19" Type="http://schemas.openxmlformats.org/officeDocument/2006/relationships/image" Target="../media/image36.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40.emf"/><Relationship Id="rId30" Type="http://schemas.openxmlformats.org/officeDocument/2006/relationships/control" Target="../activeX/activeX37.xml"/><Relationship Id="rId35" Type="http://schemas.openxmlformats.org/officeDocument/2006/relationships/image" Target="../media/image44.emf"/><Relationship Id="rId43" Type="http://schemas.openxmlformats.org/officeDocument/2006/relationships/image" Target="../media/image48.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6.xml"/><Relationship Id="rId8" Type="http://schemas.openxmlformats.org/officeDocument/2006/relationships/control" Target="../activeX/activeX26.xml"/><Relationship Id="rId51" Type="http://schemas.openxmlformats.org/officeDocument/2006/relationships/image" Target="../media/image52.emf"/><Relationship Id="rId3" Type="http://schemas.openxmlformats.org/officeDocument/2006/relationships/vmlDrawing" Target="../drawings/vmlDrawing6.vml"/><Relationship Id="rId12" Type="http://schemas.openxmlformats.org/officeDocument/2006/relationships/control" Target="../activeX/activeX28.xml"/><Relationship Id="rId17" Type="http://schemas.openxmlformats.org/officeDocument/2006/relationships/image" Target="../media/image35.emf"/><Relationship Id="rId25" Type="http://schemas.openxmlformats.org/officeDocument/2006/relationships/image" Target="../media/image39.emf"/><Relationship Id="rId33" Type="http://schemas.openxmlformats.org/officeDocument/2006/relationships/image" Target="../media/image43.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6.emf"/><Relationship Id="rId20" Type="http://schemas.openxmlformats.org/officeDocument/2006/relationships/control" Target="../activeX/activeX32.xml"/><Relationship Id="rId41" Type="http://schemas.openxmlformats.org/officeDocument/2006/relationships/image" Target="../media/image47.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51.emf"/><Relationship Id="rId57" Type="http://schemas.openxmlformats.org/officeDocument/2006/relationships/image" Target="../media/image55.emf"/><Relationship Id="rId10" Type="http://schemas.openxmlformats.org/officeDocument/2006/relationships/control" Target="../activeX/activeX27.xml"/><Relationship Id="rId31" Type="http://schemas.openxmlformats.org/officeDocument/2006/relationships/image" Target="../media/image42.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31.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7.vml"/><Relationship Id="rId7" Type="http://schemas.openxmlformats.org/officeDocument/2006/relationships/image" Target="../media/image60.emf"/><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5.xml"/><Relationship Id="rId5" Type="http://schemas.openxmlformats.org/officeDocument/2006/relationships/image" Target="../media/image59.emf"/><Relationship Id="rId10" Type="http://schemas.openxmlformats.org/officeDocument/2006/relationships/table" Target="../tables/table7.xml"/><Relationship Id="rId4" Type="http://schemas.openxmlformats.org/officeDocument/2006/relationships/control" Target="../activeX/activeX54.xml"/><Relationship Id="rId9" Type="http://schemas.openxmlformats.org/officeDocument/2006/relationships/image" Target="../media/image6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6.emf"/><Relationship Id="rId18" Type="http://schemas.openxmlformats.org/officeDocument/2006/relationships/table" Target="../tables/table8.xml"/><Relationship Id="rId3" Type="http://schemas.openxmlformats.org/officeDocument/2006/relationships/vmlDrawing" Target="../drawings/vmlDrawing8.vml"/><Relationship Id="rId7" Type="http://schemas.openxmlformats.org/officeDocument/2006/relationships/image" Target="../media/image63.emf"/><Relationship Id="rId12" Type="http://schemas.openxmlformats.org/officeDocument/2006/relationships/control" Target="../activeX/activeX61.xml"/><Relationship Id="rId17" Type="http://schemas.openxmlformats.org/officeDocument/2006/relationships/image" Target="../media/image68.emf"/><Relationship Id="rId2" Type="http://schemas.openxmlformats.org/officeDocument/2006/relationships/drawing" Target="../drawings/drawing8.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5.emf"/><Relationship Id="rId5" Type="http://schemas.openxmlformats.org/officeDocument/2006/relationships/image" Target="../media/image62.emf"/><Relationship Id="rId15" Type="http://schemas.openxmlformats.org/officeDocument/2006/relationships/image" Target="../media/image67.emf"/><Relationship Id="rId10" Type="http://schemas.openxmlformats.org/officeDocument/2006/relationships/control" Target="../activeX/activeX60.xml"/><Relationship Id="rId19" Type="http://schemas.openxmlformats.org/officeDocument/2006/relationships/comments" Target="../comments6.xml"/><Relationship Id="rId4" Type="http://schemas.openxmlformats.org/officeDocument/2006/relationships/control" Target="../activeX/activeX57.xml"/><Relationship Id="rId9" Type="http://schemas.openxmlformats.org/officeDocument/2006/relationships/image" Target="../media/image64.emf"/><Relationship Id="rId14" Type="http://schemas.openxmlformats.org/officeDocument/2006/relationships/control" Target="../activeX/activeX62.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9.vml"/><Relationship Id="rId7" Type="http://schemas.openxmlformats.org/officeDocument/2006/relationships/image" Target="../media/image70.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7.xml"/><Relationship Id="rId5" Type="http://schemas.openxmlformats.org/officeDocument/2006/relationships/image" Target="../media/image69.emf"/><Relationship Id="rId10" Type="http://schemas.openxmlformats.org/officeDocument/2006/relationships/table" Target="../tables/table9.xml"/><Relationship Id="rId4" Type="http://schemas.openxmlformats.org/officeDocument/2006/relationships/control" Target="../activeX/activeX64.xml"/><Relationship Id="rId9" Type="http://schemas.openxmlformats.org/officeDocument/2006/relationships/image" Target="../media/image71.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6.emf"/><Relationship Id="rId18" Type="http://schemas.openxmlformats.org/officeDocument/2006/relationships/control" Target="../activeX/activeX74.xml"/><Relationship Id="rId3" Type="http://schemas.openxmlformats.org/officeDocument/2006/relationships/vmlDrawing" Target="../drawings/vmlDrawing10.vml"/><Relationship Id="rId21" Type="http://schemas.openxmlformats.org/officeDocument/2006/relationships/image" Target="../media/image80.emf"/><Relationship Id="rId7" Type="http://schemas.openxmlformats.org/officeDocument/2006/relationships/image" Target="../media/image73.emf"/><Relationship Id="rId12" Type="http://schemas.openxmlformats.org/officeDocument/2006/relationships/control" Target="../activeX/activeX71.xml"/><Relationship Id="rId17" Type="http://schemas.openxmlformats.org/officeDocument/2006/relationships/image" Target="../media/image78.emf"/><Relationship Id="rId2" Type="http://schemas.openxmlformats.org/officeDocument/2006/relationships/drawing" Target="../drawings/drawing10.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5.emf"/><Relationship Id="rId5" Type="http://schemas.openxmlformats.org/officeDocument/2006/relationships/image" Target="../media/image72.emf"/><Relationship Id="rId15" Type="http://schemas.openxmlformats.org/officeDocument/2006/relationships/image" Target="../media/image77.emf"/><Relationship Id="rId23" Type="http://schemas.openxmlformats.org/officeDocument/2006/relationships/comments" Target="../comments8.xml"/><Relationship Id="rId10" Type="http://schemas.openxmlformats.org/officeDocument/2006/relationships/control" Target="../activeX/activeX70.xml"/><Relationship Id="rId19" Type="http://schemas.openxmlformats.org/officeDocument/2006/relationships/image" Target="../media/image79.emf"/><Relationship Id="rId4" Type="http://schemas.openxmlformats.org/officeDocument/2006/relationships/control" Target="../activeX/activeX67.xml"/><Relationship Id="rId9" Type="http://schemas.openxmlformats.org/officeDocument/2006/relationships/image" Target="../media/image74.emf"/><Relationship Id="rId14" Type="http://schemas.openxmlformats.org/officeDocument/2006/relationships/control" Target="../activeX/activeX72.xml"/><Relationship Id="rId22"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1.vml"/><Relationship Id="rId7" Type="http://schemas.openxmlformats.org/officeDocument/2006/relationships/image" Target="../media/image82.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9.xml"/><Relationship Id="rId5" Type="http://schemas.openxmlformats.org/officeDocument/2006/relationships/image" Target="../media/image81.emf"/><Relationship Id="rId10" Type="http://schemas.openxmlformats.org/officeDocument/2006/relationships/table" Target="../tables/table12.xml"/><Relationship Id="rId4" Type="http://schemas.openxmlformats.org/officeDocument/2006/relationships/control" Target="../activeX/activeX76.xml"/><Relationship Id="rId9" Type="http://schemas.openxmlformats.org/officeDocument/2006/relationships/image" Target="../media/image83.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10.xml"/><Relationship Id="rId3" Type="http://schemas.openxmlformats.org/officeDocument/2006/relationships/vmlDrawing" Target="../drawings/vmlDrawing12.vml"/><Relationship Id="rId7" Type="http://schemas.openxmlformats.org/officeDocument/2006/relationships/image" Target="../media/image85.emf"/><Relationship Id="rId12" Type="http://schemas.openxmlformats.org/officeDocument/2006/relationships/table" Target="../tables/table1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7.emf"/><Relationship Id="rId5" Type="http://schemas.openxmlformats.org/officeDocument/2006/relationships/image" Target="../media/image84.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346"/>
      <c r="B1" s="346"/>
      <c r="C1" s="345"/>
      <c r="D1" s="345"/>
      <c r="E1" s="345"/>
      <c r="F1" s="345"/>
      <c r="G1" s="345"/>
      <c r="H1" s="345"/>
      <c r="I1" s="345"/>
      <c r="J1" s="345"/>
      <c r="K1" s="345"/>
      <c r="L1" s="345"/>
      <c r="M1" s="345"/>
      <c r="N1" s="345"/>
      <c r="O1" s="345"/>
      <c r="P1" s="345"/>
      <c r="Q1" s="345"/>
      <c r="R1" s="345"/>
      <c r="S1" s="345"/>
      <c r="T1" s="345"/>
      <c r="U1" s="345"/>
      <c r="V1" s="345"/>
      <c r="W1" s="345"/>
      <c r="X1" s="345"/>
    </row>
    <row r="2" spans="1:26" ht="19.5" customHeight="1" x14ac:dyDescent="0.3">
      <c r="A2" s="346"/>
      <c r="B2" s="346"/>
      <c r="C2" s="345" t="s">
        <v>254</v>
      </c>
      <c r="D2" s="345"/>
      <c r="E2" s="345"/>
      <c r="F2" s="345"/>
      <c r="G2" s="345"/>
      <c r="H2" s="345"/>
      <c r="I2" s="345"/>
      <c r="J2" s="345"/>
      <c r="K2" s="345"/>
      <c r="L2" s="345"/>
      <c r="M2" s="345"/>
      <c r="N2" s="345"/>
      <c r="O2" s="345"/>
      <c r="P2" s="345"/>
      <c r="Q2" s="345"/>
      <c r="R2" s="345"/>
      <c r="S2" s="345"/>
      <c r="T2" s="345"/>
      <c r="U2" s="345"/>
      <c r="V2" s="345"/>
      <c r="W2" s="345"/>
      <c r="X2" s="345"/>
    </row>
    <row r="3" spans="1:26" ht="18" customHeight="1" x14ac:dyDescent="0.3">
      <c r="A3" s="346"/>
      <c r="B3" s="346"/>
      <c r="C3" s="345" t="s">
        <v>255</v>
      </c>
      <c r="D3" s="345"/>
      <c r="E3" s="345"/>
      <c r="F3" s="345"/>
      <c r="G3" s="345"/>
      <c r="H3" s="345"/>
      <c r="I3" s="345"/>
      <c r="J3" s="345"/>
      <c r="K3" s="345"/>
      <c r="L3" s="345"/>
      <c r="M3" s="345"/>
      <c r="N3" s="345"/>
      <c r="O3" s="345"/>
      <c r="P3" s="345"/>
      <c r="Q3" s="345"/>
      <c r="R3" s="345"/>
      <c r="S3" s="345"/>
      <c r="T3" s="345"/>
      <c r="U3" s="345"/>
      <c r="V3" s="345"/>
      <c r="W3" s="345"/>
      <c r="X3" s="345"/>
    </row>
    <row r="4" spans="1:26" ht="18" customHeight="1" x14ac:dyDescent="0.3">
      <c r="A4" s="347"/>
      <c r="B4" s="347"/>
      <c r="C4" s="345"/>
      <c r="D4" s="345"/>
      <c r="E4" s="345"/>
      <c r="F4" s="345"/>
      <c r="G4" s="345"/>
      <c r="H4" s="345"/>
      <c r="I4" s="345"/>
      <c r="J4" s="345"/>
      <c r="K4" s="345"/>
      <c r="L4" s="345"/>
      <c r="M4" s="345"/>
      <c r="N4" s="345"/>
      <c r="O4" s="345"/>
      <c r="P4" s="345"/>
      <c r="Q4" s="345"/>
      <c r="R4" s="345"/>
      <c r="S4" s="345"/>
      <c r="T4" s="345"/>
      <c r="U4" s="345"/>
      <c r="V4" s="345"/>
      <c r="W4" s="345"/>
      <c r="X4" s="345"/>
    </row>
    <row r="5" spans="1:26" ht="20.100000000000001" customHeight="1" x14ac:dyDescent="0.3">
      <c r="A5" s="343"/>
      <c r="B5" s="343"/>
      <c r="C5" s="344" t="s">
        <v>69</v>
      </c>
      <c r="D5" s="344"/>
      <c r="E5" s="344"/>
      <c r="F5" s="344"/>
      <c r="G5" s="344"/>
      <c r="H5" s="344"/>
      <c r="I5" s="344"/>
      <c r="J5" s="344"/>
      <c r="K5" s="344"/>
      <c r="L5" s="344"/>
      <c r="M5" s="344"/>
      <c r="N5" s="344"/>
      <c r="O5" s="344"/>
      <c r="P5" s="344"/>
      <c r="Q5" s="344"/>
      <c r="R5" s="344"/>
      <c r="S5" s="344"/>
      <c r="T5" s="344"/>
      <c r="U5" s="344"/>
      <c r="V5" s="344"/>
      <c r="W5" s="344"/>
      <c r="X5" s="344"/>
    </row>
    <row r="6" spans="1:26" ht="23.25" customHeight="1" x14ac:dyDescent="0.3">
      <c r="A6" s="66"/>
      <c r="B6"/>
      <c r="C6"/>
      <c r="D6"/>
      <c r="E6"/>
      <c r="F6" s="65"/>
      <c r="G6"/>
      <c r="J6"/>
      <c r="L6" s="98" t="s">
        <v>67</v>
      </c>
      <c r="M6" s="93"/>
      <c r="N6" s="92"/>
      <c r="O6" s="92"/>
      <c r="P6" s="92"/>
      <c r="Q6" s="92"/>
      <c r="R6" s="94"/>
      <c r="S6" s="92"/>
      <c r="T6" s="92"/>
      <c r="U6" s="92"/>
      <c r="V6" s="92"/>
      <c r="W6" s="92"/>
      <c r="X6" s="92"/>
    </row>
    <row r="7" spans="1:26" ht="71.25" customHeight="1" x14ac:dyDescent="0.3">
      <c r="A7" s="342" t="s">
        <v>130</v>
      </c>
      <c r="B7" s="342"/>
      <c r="C7" s="342"/>
      <c r="D7" s="342"/>
      <c r="E7" s="342"/>
      <c r="F7" s="342"/>
      <c r="G7" s="342"/>
      <c r="H7" s="342"/>
      <c r="I7" s="342"/>
      <c r="J7" s="342"/>
      <c r="K7" s="342"/>
      <c r="L7" s="342"/>
      <c r="M7" s="342"/>
      <c r="N7" s="342"/>
      <c r="O7" s="342"/>
      <c r="P7" s="342"/>
      <c r="Q7" s="342"/>
      <c r="R7" s="342"/>
      <c r="S7" s="342"/>
      <c r="T7" s="342"/>
      <c r="U7" s="342"/>
      <c r="V7" s="342"/>
      <c r="W7" s="342"/>
      <c r="X7" s="342"/>
      <c r="Y7" s="342"/>
      <c r="Z7" s="342"/>
    </row>
    <row r="8" spans="1:26" s="38" customFormat="1" ht="63" customHeight="1" x14ac:dyDescent="0.3">
      <c r="A8" s="116" t="s">
        <v>41</v>
      </c>
      <c r="B8" s="117" t="s">
        <v>0</v>
      </c>
      <c r="C8" s="118" t="s">
        <v>65</v>
      </c>
      <c r="D8" s="119" t="s">
        <v>31</v>
      </c>
      <c r="E8" s="120" t="s">
        <v>20</v>
      </c>
      <c r="F8" s="120" t="s">
        <v>42</v>
      </c>
      <c r="G8" s="121" t="s">
        <v>43</v>
      </c>
      <c r="H8" s="122" t="s">
        <v>68</v>
      </c>
      <c r="I8" s="123" t="s">
        <v>108</v>
      </c>
      <c r="J8" s="123" t="s">
        <v>109</v>
      </c>
      <c r="K8" s="119" t="s">
        <v>45</v>
      </c>
      <c r="L8" s="123" t="s">
        <v>15</v>
      </c>
      <c r="M8" s="124" t="s">
        <v>46</v>
      </c>
      <c r="N8" s="125" t="s">
        <v>5</v>
      </c>
      <c r="O8" s="119" t="s">
        <v>22</v>
      </c>
      <c r="P8" s="119" t="s">
        <v>23</v>
      </c>
      <c r="Q8" s="119" t="s">
        <v>24</v>
      </c>
      <c r="R8" s="119" t="s">
        <v>26</v>
      </c>
      <c r="S8" s="126" t="s">
        <v>29</v>
      </c>
      <c r="T8" s="127" t="s">
        <v>47</v>
      </c>
      <c r="U8" s="128" t="s">
        <v>49</v>
      </c>
      <c r="V8" s="128" t="s">
        <v>50</v>
      </c>
      <c r="W8" s="129" t="s">
        <v>48</v>
      </c>
      <c r="X8" s="228" t="s">
        <v>121</v>
      </c>
      <c r="Y8" s="122" t="s">
        <v>66</v>
      </c>
      <c r="Z8" s="130" t="s">
        <v>122</v>
      </c>
    </row>
    <row r="9" spans="1:26" ht="60" customHeight="1" x14ac:dyDescent="0.3">
      <c r="A9" s="226"/>
      <c r="B9" s="131"/>
      <c r="C9" s="132"/>
      <c r="D9" s="133"/>
      <c r="E9" s="133"/>
      <c r="F9" s="133"/>
      <c r="G9" s="134"/>
      <c r="H9" s="135"/>
      <c r="I9" s="135"/>
      <c r="J9" s="230"/>
      <c r="K9" s="136"/>
      <c r="L9" s="137"/>
      <c r="M9" s="138"/>
      <c r="N9" s="139"/>
      <c r="O9" s="140"/>
      <c r="P9" s="140"/>
      <c r="Q9" s="140"/>
      <c r="R9" s="140"/>
      <c r="S9" s="141"/>
      <c r="T9" s="131"/>
      <c r="U9" s="142"/>
      <c r="V9" s="131"/>
      <c r="W9" s="143"/>
      <c r="X9" s="229"/>
      <c r="Y9" s="227"/>
      <c r="Z9" s="225"/>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323"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5049" r:id="rId4" name="btn_EstimativaAta_Exportar">
          <controlPr defaultSize="0" print="0" autoLine="0" r:id="rId5">
            <anchor moveWithCells="1">
              <from>
                <xdr:col>26</xdr:col>
                <xdr:colOff>342900</xdr:colOff>
                <xdr:row>0</xdr:row>
                <xdr:rowOff>121920</xdr:rowOff>
              </from>
              <to>
                <xdr:col>28</xdr:col>
                <xdr:colOff>388620</xdr:colOff>
                <xdr:row>2</xdr:row>
                <xdr:rowOff>220980</xdr:rowOff>
              </to>
            </anchor>
          </controlPr>
        </control>
      </mc:Choice>
      <mc:Fallback>
        <control shapeId="765049" r:id="rId4" name="btn_EstimativaAta_Exportar"/>
      </mc:Fallback>
    </mc:AlternateContent>
    <mc:AlternateContent xmlns:mc="http://schemas.openxmlformats.org/markup-compatibility/2006">
      <mc:Choice Requires="x14">
        <control shapeId="765048" r:id="rId6" name="btn_EstimativaAta_Cabec">
          <controlPr defaultSize="0" print="0" autoLine="0" r:id="rId7">
            <anchor moveWithCells="1">
              <from>
                <xdr:col>31</xdr:col>
                <xdr:colOff>38100</xdr:colOff>
                <xdr:row>0</xdr:row>
                <xdr:rowOff>121920</xdr:rowOff>
              </from>
              <to>
                <xdr:col>33</xdr:col>
                <xdr:colOff>83820</xdr:colOff>
                <xdr:row>2</xdr:row>
                <xdr:rowOff>220980</xdr:rowOff>
              </to>
            </anchor>
          </controlPr>
        </control>
      </mc:Choice>
      <mc:Fallback>
        <control shapeId="765048" r:id="rId6" name="btn_EstimativaAta_Cabec"/>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4930" r:id="rId10" name="btn_EstimativaAta_Importar">
          <controlPr defaultSize="0" print="0" autoLine="0" r:id="rId11">
            <anchor moveWithCells="1">
              <from>
                <xdr:col>24</xdr:col>
                <xdr:colOff>1013460</xdr:colOff>
                <xdr:row>0</xdr:row>
                <xdr:rowOff>121920</xdr:rowOff>
              </from>
              <to>
                <xdr:col>26</xdr:col>
                <xdr:colOff>182880</xdr:colOff>
                <xdr:row>2</xdr:row>
                <xdr:rowOff>220980</xdr:rowOff>
              </to>
            </anchor>
          </controlPr>
        </control>
      </mc:Choice>
      <mc:Fallback>
        <control shapeId="764930" r:id="rId10" name="btn_EstimativaAta_Importar"/>
      </mc:Fallback>
    </mc:AlternateContent>
    <mc:AlternateContent xmlns:mc="http://schemas.openxmlformats.org/markup-compatibility/2006">
      <mc:Choice Requires="x14">
        <control shapeId="764929" r:id="rId12" name="btn_EstimativaAta_Imprimir">
          <controlPr defaultSize="0" print="0" autoLine="0" r:id="rId13">
            <anchor moveWithCells="1">
              <from>
                <xdr:col>23</xdr:col>
                <xdr:colOff>76200</xdr:colOff>
                <xdr:row>0</xdr:row>
                <xdr:rowOff>121920</xdr:rowOff>
              </from>
              <to>
                <xdr:col>24</xdr:col>
                <xdr:colOff>891540</xdr:colOff>
                <xdr:row>2</xdr:row>
                <xdr:rowOff>220980</xdr:rowOff>
              </to>
            </anchor>
          </controlPr>
        </control>
      </mc:Choice>
      <mc:Fallback>
        <control shapeId="764929" r:id="rId12" name="btn_EstimativaAta_Imprimi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946"/>
  <sheetViews>
    <sheetView zoomScale="70" zoomScaleNormal="70" workbookViewId="0">
      <pane xSplit="2" ySplit="3" topLeftCell="C4" activePane="bottomRight" state="frozen"/>
      <selection pane="topRight" activeCell="C1" sqref="C1"/>
      <selection pane="bottomLeft" activeCell="A2" sqref="A2"/>
      <selection pane="bottomRight" activeCell="F1" sqref="F1"/>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348"/>
      <c r="B1" s="348"/>
      <c r="D1" s="96">
        <v>44222.726273148146</v>
      </c>
      <c r="E1" s="3"/>
      <c r="F1" s="27"/>
      <c r="G1" s="3"/>
      <c r="H1" s="30" t="s">
        <v>257</v>
      </c>
      <c r="M1" s="28"/>
      <c r="AC1" s="21"/>
      <c r="AD1" s="12"/>
      <c r="AE1" s="11"/>
      <c r="AG1" s="11"/>
      <c r="AH1" s="11"/>
      <c r="AM1" s="37"/>
      <c r="AO1" s="3"/>
      <c r="AP1" s="35">
        <v>4</v>
      </c>
      <c r="AS1" s="40"/>
      <c r="AT1" s="40"/>
      <c r="AV1" s="36">
        <v>47</v>
      </c>
      <c r="AW1" s="36"/>
      <c r="AX1" s="36"/>
      <c r="AY1" s="8"/>
      <c r="AZ1" s="8"/>
      <c r="BA1" s="8"/>
      <c r="BB1" s="8"/>
      <c r="BD1" s="8"/>
      <c r="BE1" s="84">
        <v>3</v>
      </c>
    </row>
    <row r="2" spans="1:63" ht="50.25" customHeight="1" x14ac:dyDescent="0.7">
      <c r="A2" s="348"/>
      <c r="B2" s="348"/>
      <c r="D2" s="3"/>
      <c r="E2" s="3"/>
      <c r="F2" s="27"/>
      <c r="G2" s="3"/>
      <c r="H2" s="45" t="s">
        <v>2257</v>
      </c>
      <c r="AI2"/>
      <c r="AM2" s="37"/>
      <c r="AO2" s="34">
        <f>COUNTIF(AO4:AO946,"=sim")</f>
        <v>44</v>
      </c>
      <c r="AP2" s="35">
        <v>8</v>
      </c>
      <c r="AS2" s="40"/>
      <c r="AT2" s="40"/>
      <c r="AV2" s="35">
        <v>12</v>
      </c>
      <c r="AW2" s="40"/>
      <c r="AX2" s="40"/>
      <c r="AY2" s="8"/>
      <c r="AZ2" s="46">
        <v>0</v>
      </c>
      <c r="BA2" s="8"/>
      <c r="BB2" s="84">
        <v>1</v>
      </c>
      <c r="BD2" s="8"/>
      <c r="BE2" s="84">
        <v>6</v>
      </c>
    </row>
    <row r="3" spans="1:63" x14ac:dyDescent="0.3">
      <c r="A3" s="240" t="s">
        <v>0</v>
      </c>
      <c r="B3" s="241" t="s">
        <v>1</v>
      </c>
      <c r="C3" s="242" t="s">
        <v>2</v>
      </c>
      <c r="D3" s="243" t="s">
        <v>3</v>
      </c>
      <c r="E3" s="241" t="s">
        <v>4</v>
      </c>
      <c r="F3" s="241" t="s">
        <v>5</v>
      </c>
      <c r="G3" s="241" t="s">
        <v>6</v>
      </c>
      <c r="H3" s="244" t="s">
        <v>7</v>
      </c>
      <c r="I3" s="245" t="s">
        <v>8</v>
      </c>
      <c r="J3" s="246" t="s">
        <v>9</v>
      </c>
      <c r="K3" s="244" t="s">
        <v>10</v>
      </c>
      <c r="L3" s="247" t="s">
        <v>11</v>
      </c>
      <c r="M3" s="248" t="s">
        <v>12</v>
      </c>
      <c r="N3" s="249" t="s">
        <v>13</v>
      </c>
      <c r="O3" s="250" t="s">
        <v>14</v>
      </c>
      <c r="P3" s="250" t="s">
        <v>112</v>
      </c>
      <c r="Q3" s="251" t="s">
        <v>15</v>
      </c>
      <c r="R3" s="252" t="s">
        <v>16</v>
      </c>
      <c r="S3" s="253" t="s">
        <v>17</v>
      </c>
      <c r="T3" s="254" t="s">
        <v>110</v>
      </c>
      <c r="U3" s="255" t="s">
        <v>18</v>
      </c>
      <c r="V3" s="241" t="s">
        <v>19</v>
      </c>
      <c r="W3" s="256" t="s">
        <v>123</v>
      </c>
      <c r="X3" s="257" t="s">
        <v>20</v>
      </c>
      <c r="Y3" s="256" t="s">
        <v>21</v>
      </c>
      <c r="Z3" s="258" t="s">
        <v>22</v>
      </c>
      <c r="AA3" s="259" t="s">
        <v>111</v>
      </c>
      <c r="AB3" s="260" t="s">
        <v>23</v>
      </c>
      <c r="AC3" s="251" t="s">
        <v>24</v>
      </c>
      <c r="AD3" s="251" t="s">
        <v>25</v>
      </c>
      <c r="AE3" s="261" t="s">
        <v>26</v>
      </c>
      <c r="AF3" s="262" t="s">
        <v>27</v>
      </c>
      <c r="AG3" s="263" t="s">
        <v>91</v>
      </c>
      <c r="AH3" s="259" t="s">
        <v>92</v>
      </c>
      <c r="AI3" s="251" t="s">
        <v>28</v>
      </c>
      <c r="AJ3" s="251" t="s">
        <v>29</v>
      </c>
      <c r="AK3" s="253" t="s">
        <v>37</v>
      </c>
      <c r="AL3" s="253" t="s">
        <v>38</v>
      </c>
      <c r="AM3" s="253" t="s">
        <v>39</v>
      </c>
      <c r="AN3" s="241" t="s">
        <v>40</v>
      </c>
      <c r="AO3" s="264" t="s">
        <v>30</v>
      </c>
      <c r="AP3" s="265" t="s">
        <v>33</v>
      </c>
      <c r="AQ3" s="251" t="s">
        <v>53</v>
      </c>
      <c r="AR3" s="266" t="s">
        <v>51</v>
      </c>
      <c r="AS3" s="266" t="s">
        <v>103</v>
      </c>
      <c r="AT3" s="263" t="s">
        <v>54</v>
      </c>
      <c r="AU3" s="263" t="s">
        <v>107</v>
      </c>
      <c r="AV3" s="263" t="s">
        <v>32</v>
      </c>
      <c r="AW3" s="267" t="s">
        <v>70</v>
      </c>
      <c r="AX3" s="244" t="s">
        <v>79</v>
      </c>
      <c r="AY3" s="244" t="s">
        <v>78</v>
      </c>
      <c r="AZ3" s="244" t="s">
        <v>35</v>
      </c>
      <c r="BA3" s="263" t="s">
        <v>71</v>
      </c>
      <c r="BB3" s="263" t="s">
        <v>81</v>
      </c>
      <c r="BC3" s="248" t="s">
        <v>96</v>
      </c>
      <c r="BD3" s="268" t="s">
        <v>36</v>
      </c>
      <c r="BE3" s="263" t="s">
        <v>59</v>
      </c>
      <c r="BF3" s="263" t="s">
        <v>60</v>
      </c>
      <c r="BG3" s="263" t="s">
        <v>104</v>
      </c>
      <c r="BH3" s="269" t="s">
        <v>106</v>
      </c>
      <c r="BI3" s="263" t="s">
        <v>105</v>
      </c>
      <c r="BJ3" s="263" t="s">
        <v>115</v>
      </c>
      <c r="BK3" s="242" t="s">
        <v>55</v>
      </c>
    </row>
    <row r="4" spans="1:63" ht="15" customHeight="1" x14ac:dyDescent="0.3">
      <c r="A4" s="375">
        <v>14662</v>
      </c>
      <c r="B4" s="376" t="s">
        <v>1064</v>
      </c>
      <c r="C4" s="377" t="s">
        <v>611</v>
      </c>
      <c r="D4" s="378">
        <v>41.42</v>
      </c>
      <c r="E4" s="305" t="s">
        <v>1065</v>
      </c>
      <c r="F4" s="379" t="s">
        <v>1066</v>
      </c>
      <c r="G4" s="379" t="s">
        <v>1067</v>
      </c>
      <c r="H4" s="380">
        <v>267</v>
      </c>
      <c r="I4" s="307">
        <v>103003</v>
      </c>
      <c r="J4" s="308">
        <v>41.42</v>
      </c>
      <c r="K4" s="381">
        <v>3329</v>
      </c>
      <c r="L4" s="382">
        <f>IF(tabItens[[#This Row],[Média]] &gt; 0, tabItens[[#This Row],[QTDE ATUAL]] / tabItens[[#This Row],[Média]],999.9)</f>
        <v>0.5696</v>
      </c>
      <c r="M4" s="383">
        <v>0</v>
      </c>
      <c r="N4" s="384">
        <f>tabItens[[#This Row],[VALOR UNIT.]] * tabItens[[#This Row],[LC]]</f>
        <v>0</v>
      </c>
      <c r="O4" s="385" t="s">
        <v>1068</v>
      </c>
      <c r="P4" s="386">
        <v>0</v>
      </c>
      <c r="Q4" s="387">
        <v>1753</v>
      </c>
      <c r="R4" s="312">
        <v>72609.259999999995</v>
      </c>
      <c r="S4" s="388">
        <v>45267</v>
      </c>
      <c r="T4" s="389">
        <f>ROUNDDOWN(IFERROR(tabItens[[#This Row],[ATA DT.VALID.]] - $D$1,0) / 30,0)</f>
        <v>34</v>
      </c>
      <c r="U4" s="302" t="s">
        <v>963</v>
      </c>
      <c r="V4" s="318">
        <v>1</v>
      </c>
      <c r="W4" s="390" t="s">
        <v>2071</v>
      </c>
      <c r="X4" s="391">
        <v>51</v>
      </c>
      <c r="Y4" s="392">
        <v>3</v>
      </c>
      <c r="Z4" s="393"/>
      <c r="AA4" s="394"/>
      <c r="AB4" s="395"/>
      <c r="AC4" s="395" t="s">
        <v>2080</v>
      </c>
      <c r="AD4" s="394">
        <v>2023</v>
      </c>
      <c r="AE4" s="395">
        <v>1800</v>
      </c>
      <c r="AF4" s="317">
        <v>2400</v>
      </c>
      <c r="AG4" s="396" t="s">
        <v>2057</v>
      </c>
      <c r="AH4" s="397">
        <v>45194</v>
      </c>
      <c r="AI4" s="317">
        <v>2614</v>
      </c>
      <c r="AJ4" s="397">
        <v>45169</v>
      </c>
      <c r="AK4" s="326" t="s">
        <v>889</v>
      </c>
      <c r="AL4" s="326">
        <v>45181</v>
      </c>
      <c r="AM4" s="316"/>
      <c r="AN4" s="305"/>
      <c r="AO4" s="327" t="str">
        <f>_xlfn.IFNA(IF(VLOOKUP(tabItens[[#This Row],[CÓDIGO]],tabExcluirDoEstoque[#Data],1,FALSE),"sim",""),"")</f>
        <v/>
      </c>
      <c r="AP4" s="398">
        <f ca="1">IF(OR(ISBLANK(tabItens[[#This Row],[ATA DT.VALID.]]),tabItens[[#This Row],[ATA DT.VALID.]]="",tabItens[[#This Row],[ATA DT.VALID.]]=" "),"",IF(TYPE(tabItens[[#This Row],[ATA DT.VALID.]])=1,ROUNDUP((tabItens[[#This Row],[ATA DT.VALID.]]-TODAY())/7,0),""))</f>
        <v>1</v>
      </c>
      <c r="AQ4" s="399">
        <v>0</v>
      </c>
      <c r="AR4" s="400" t="str">
        <f>IF(ISBLANK(tabItens[[#This Row],[CÓDIGO]]),"",IFERROR(VLOOKUP(tabItens[[#This Row],[CÓDIGO]],Consumo!$C$2:$AC$862,26,FALSE),0))</f>
        <v>09.2023</v>
      </c>
      <c r="AS4" s="401">
        <f>SUMIF(Consumo!$C$3:$C$862,tabItens[[#This Row],[CÓDIGO]],Consumo!$N$3:$N$862) + SUMIF(Consumo!$C$3:$C$862,tabItens[[#This Row],[CÓDIGO]],Consumo!$O$3:$O$862) + SUMIF(Consumo!$C$3:$C$862,tabItens[[#This Row],[CÓDIGO]],Consumo!$P$3:$P$862) + SUMIF(Consumo!$C$3:$C$862,tabItens[[#This Row],[CÓDIGO]],Consumo!$Q$3:$Q$862)</f>
        <v>1476</v>
      </c>
      <c r="AT4" s="401">
        <f>SUMIF(Consumo!$C$3:$C$862,tabItens[[#This Row],[CÓDIGO]],Consumo!$Z$3:$Z$862)</f>
        <v>5625</v>
      </c>
      <c r="AU4" s="402">
        <f>SUMIF(Consumo!$C$3:$C$862,tabItens[[#This Row],[CÓDIGO]],Consumo!$AA$3:$AA$862)</f>
        <v>653</v>
      </c>
      <c r="AV4" s="403">
        <f>SUMIF(Consumo!$C$3:$C$862,tabItens[[#This Row],[CÓDIGO]],Consumo!$Y$3:$Y$862)</f>
        <v>468.75</v>
      </c>
      <c r="AW4" s="380">
        <f>tabItens[[#This Row],[QTDE ATUAL]] + tabItens[[#This Row],[RC QTDE]] + tabItens[[#This Row],[AF SALDO]] + tabItens[[#This Row],[Recentes]]</f>
        <v>2067</v>
      </c>
      <c r="AX4" s="404">
        <v>480</v>
      </c>
      <c r="AY4" s="404">
        <v>2</v>
      </c>
      <c r="AZ4" s="404">
        <f>IF(ISBLANK(tabItens[[#This Row],[CÓDIGO]]),"",tabItens[[#This Row],[PontoMês]] * (AZ$2+tabItens[[#This Row],[PontoQtM]]))</f>
        <v>960</v>
      </c>
      <c r="BA4" s="403">
        <f>tabItens[[#This Row],[PontoPed]] - tabItens[[#This Row],[Saldo]] + (1/10)</f>
        <v>-1106.9000000000001</v>
      </c>
      <c r="BB4" s="403">
        <f xml:space="preserve"> tabItens[[#This Row],[PontoMês]] * BB$2 - tabItens[[#This Row],[QTDE ATUAL]] - (1/10)</f>
        <v>212.9</v>
      </c>
      <c r="BC4" s="335">
        <f>IF( tabItens[[#This Row],[PontoPed]]&gt;0, IF(tabItens[[#This Row],[PontoPed]]&lt;1, 1, IF( tabItens[[#This Row],[Saldo]]&gt;tabItens[[#This Row],[PontoPed]], 0, (tabItens[[#This Row],[PontoPed]]-tabItens[[#This Row],[Saldo]])/tabItens[[#This Row],[PontoPed]] ) ), 0 )</f>
        <v>0</v>
      </c>
      <c r="BD4" s="405">
        <f>ROUNDDOWN(IF( OR( AND(tabItens[[#This Row],[PontoPed]]&lt;tabItens[[#This Row],[Saldo]],tabItens[[#This Row],[Saldo]]&gt;0), tabItens[[#This Row],[PontoPed]]=0), 99, IF(AND(tabItens[[#This Row],[Saldo]]=0,tabItens[[#This Row],[PontoPed]]&gt;0), 0, (1-tabItens[[#This Row],[PctAb]])*10 ) ),0)</f>
        <v>99</v>
      </c>
      <c r="BE4" s="406">
        <f>MAX(ROUNDDOWN( IF(tabItens[[#This Row],[Abaixo]] &gt; 0,   tabItens[[#This Row],[Abaixo]] + (tabItens[[#This Row],[PontoMês]] * IF( OR( ISBLANK(tabItens[[#This Row],[ATA Nº/ANO]]), tabItens[[#This Row],[ATA Nº/ANO]] = ""),BE$2,BE$1)),0),0),0)</f>
        <v>0</v>
      </c>
      <c r="BF4"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 s="338">
        <f>SUMIF(Consumo!$C$3:$C$862,tabItens[[#This Row],[CÓDIGO]],Consumo!$E$3:$E$862)</f>
        <v>146</v>
      </c>
      <c r="BH4" s="339">
        <f>IF(AND(tabItens[[#This Row],[Pend]] &gt; 0,tabItens[[#This Row],[Consumo]] &lt;&gt; 0), tabItens[[#This Row],[Pend]] / tabItens[[#This Row],[Consumo]], 0 )</f>
        <v>2.5955555555555555E-2</v>
      </c>
      <c r="BI4" s="338"/>
      <c r="BJ4" s="407"/>
      <c r="BK4" s="408" t="s">
        <v>2086</v>
      </c>
    </row>
    <row r="5" spans="1:63" x14ac:dyDescent="0.3">
      <c r="A5" s="375">
        <v>10867</v>
      </c>
      <c r="B5" s="376" t="s">
        <v>924</v>
      </c>
      <c r="C5" s="377" t="s">
        <v>267</v>
      </c>
      <c r="D5" s="378">
        <v>3.55</v>
      </c>
      <c r="E5" s="305" t="s">
        <v>925</v>
      </c>
      <c r="F5" s="379" t="s">
        <v>926</v>
      </c>
      <c r="G5" s="379" t="s">
        <v>927</v>
      </c>
      <c r="H5" s="380">
        <v>12771</v>
      </c>
      <c r="I5" s="307">
        <v>103003</v>
      </c>
      <c r="J5" s="308">
        <v>3.55</v>
      </c>
      <c r="K5" s="381">
        <v>23676</v>
      </c>
      <c r="L5" s="382">
        <f>IF(tabItens[[#This Row],[Média]] &gt; 0, tabItens[[#This Row],[QTDE ATUAL]] / tabItens[[#This Row],[Média]],999.9)</f>
        <v>3.8010814028473634</v>
      </c>
      <c r="M5" s="383">
        <v>0</v>
      </c>
      <c r="N5" s="384">
        <f>tabItens[[#This Row],[VALOR UNIT.]] * tabItens[[#This Row],[LC]]</f>
        <v>0</v>
      </c>
      <c r="O5" s="385" t="s">
        <v>928</v>
      </c>
      <c r="P5" s="386">
        <v>0</v>
      </c>
      <c r="Q5" s="387">
        <v>15100</v>
      </c>
      <c r="R5" s="312">
        <v>57155</v>
      </c>
      <c r="S5" s="388">
        <v>45268</v>
      </c>
      <c r="T5" s="389">
        <f>ROUNDDOWN(IFERROR(tabItens[[#This Row],[ATA DT.VALID.]] - $D$1,0) / 30,0)</f>
        <v>34</v>
      </c>
      <c r="U5" s="302" t="s">
        <v>929</v>
      </c>
      <c r="V5" s="318">
        <v>1</v>
      </c>
      <c r="W5" s="390" t="s">
        <v>2073</v>
      </c>
      <c r="X5" s="391">
        <v>71</v>
      </c>
      <c r="Y5" s="392">
        <v>20</v>
      </c>
      <c r="Z5" s="393"/>
      <c r="AA5" s="394"/>
      <c r="AB5" s="395"/>
      <c r="AC5" s="395"/>
      <c r="AD5" s="394"/>
      <c r="AE5" s="395"/>
      <c r="AF5" s="317"/>
      <c r="AG5" s="396" t="s">
        <v>2072</v>
      </c>
      <c r="AH5" s="397"/>
      <c r="AI5" s="317">
        <v>15564</v>
      </c>
      <c r="AJ5" s="397">
        <v>45048</v>
      </c>
      <c r="AK5" s="326" t="s">
        <v>889</v>
      </c>
      <c r="AL5" s="326">
        <v>45209</v>
      </c>
      <c r="AM5" s="316"/>
      <c r="AN5" s="305"/>
      <c r="AO5" s="327" t="str">
        <f>_xlfn.IFNA(IF(VLOOKUP(tabItens[[#This Row],[CÓDIGO]],tabExcluirDoEstoque[#Data],1,FALSE),"sim",""),"")</f>
        <v/>
      </c>
      <c r="AP5" s="398">
        <f ca="1">IF(OR(ISBLANK(tabItens[[#This Row],[ATA DT.VALID.]]),tabItens[[#This Row],[ATA DT.VALID.]]="",tabItens[[#This Row],[ATA DT.VALID.]]=" "),"",IF(TYPE(tabItens[[#This Row],[ATA DT.VALID.]])=1,ROUNDUP((tabItens[[#This Row],[ATA DT.VALID.]]-TODAY())/7,0),""))</f>
        <v>2</v>
      </c>
      <c r="AQ5" s="399">
        <v>0</v>
      </c>
      <c r="AR5" s="400" t="str">
        <f>IF(ISBLANK(tabItens[[#This Row],[CÓDIGO]]),"",IFERROR(VLOOKUP(tabItens[[#This Row],[CÓDIGO]],Consumo!$C$2:$AC$862,26,FALSE),0))</f>
        <v>09.2023</v>
      </c>
      <c r="AS5" s="401">
        <f>SUMIF(Consumo!$C$3:$C$862,tabItens[[#This Row],[CÓDIGO]],Consumo!$N$3:$N$862) + SUMIF(Consumo!$C$3:$C$862,tabItens[[#This Row],[CÓDIGO]],Consumo!$O$3:$O$862) + SUMIF(Consumo!$C$3:$C$862,tabItens[[#This Row],[CÓDIGO]],Consumo!$P$3:$P$862) + SUMIF(Consumo!$C$3:$C$862,tabItens[[#This Row],[CÓDIGO]],Consumo!$Q$3:$Q$862)</f>
        <v>15134</v>
      </c>
      <c r="AT5" s="401">
        <f>SUMIF(Consumo!$C$3:$C$862,tabItens[[#This Row],[CÓDIGO]],Consumo!$Z$3:$Z$862)</f>
        <v>40318</v>
      </c>
      <c r="AU5" s="402">
        <f>SUMIF(Consumo!$C$3:$C$862,tabItens[[#This Row],[CÓDIGO]],Consumo!$AA$3:$AA$862)</f>
        <v>4414</v>
      </c>
      <c r="AV5" s="403">
        <f>SUMIF(Consumo!$C$3:$C$862,tabItens[[#This Row],[CÓDIGO]],Consumo!$Y$3:$Y$862)</f>
        <v>3359.8333333333335</v>
      </c>
      <c r="AW5" s="380">
        <f>tabItens[[#This Row],[QTDE ATUAL]] + tabItens[[#This Row],[RC QTDE]] + tabItens[[#This Row],[AF SALDO]] + tabItens[[#This Row],[Recentes]]</f>
        <v>12771</v>
      </c>
      <c r="AX5" s="404">
        <v>2776</v>
      </c>
      <c r="AY5" s="404">
        <v>3</v>
      </c>
      <c r="AZ5" s="404">
        <f>IF(ISBLANK(tabItens[[#This Row],[CÓDIGO]]),"",tabItens[[#This Row],[PontoMês]] * (AZ$2+tabItens[[#This Row],[PontoQtM]]))</f>
        <v>8328</v>
      </c>
      <c r="BA5" s="403">
        <f>tabItens[[#This Row],[PontoPed]] - tabItens[[#This Row],[Saldo]] + (1/10)</f>
        <v>-4442.8999999999996</v>
      </c>
      <c r="BB5" s="403">
        <f xml:space="preserve"> tabItens[[#This Row],[PontoMês]] * BB$2 - tabItens[[#This Row],[QTDE ATUAL]] - (1/10)</f>
        <v>-9995.1</v>
      </c>
      <c r="BC5" s="335">
        <f>IF( tabItens[[#This Row],[PontoPed]]&gt;0, IF(tabItens[[#This Row],[PontoPed]]&lt;1, 1, IF( tabItens[[#This Row],[Saldo]]&gt;tabItens[[#This Row],[PontoPed]], 0, (tabItens[[#This Row],[PontoPed]]-tabItens[[#This Row],[Saldo]])/tabItens[[#This Row],[PontoPed]] ) ), 0 )</f>
        <v>0</v>
      </c>
      <c r="BD5" s="405">
        <f>ROUNDDOWN(IF( OR( AND(tabItens[[#This Row],[PontoPed]]&lt;tabItens[[#This Row],[Saldo]],tabItens[[#This Row],[Saldo]]&gt;0), tabItens[[#This Row],[PontoPed]]=0), 99, IF(AND(tabItens[[#This Row],[Saldo]]=0,tabItens[[#This Row],[PontoPed]]&gt;0), 0, (1-tabItens[[#This Row],[PctAb]])*10 ) ),0)</f>
        <v>99</v>
      </c>
      <c r="BE5" s="406">
        <f>MAX(ROUNDDOWN( IF(tabItens[[#This Row],[Abaixo]] &gt; 0,   tabItens[[#This Row],[Abaixo]] + (tabItens[[#This Row],[PontoMês]] * IF( OR( ISBLANK(tabItens[[#This Row],[ATA Nº/ANO]]), tabItens[[#This Row],[ATA Nº/ANO]] = ""),BE$2,BE$1)),0),0),0)</f>
        <v>0</v>
      </c>
      <c r="BF5"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 s="338">
        <f>SUMIF(Consumo!$C$3:$C$862,tabItens[[#This Row],[CÓDIGO]],Consumo!$E$3:$E$862)</f>
        <v>234</v>
      </c>
      <c r="BH5" s="339">
        <f>IF(AND(tabItens[[#This Row],[Pend]] &gt; 0,tabItens[[#This Row],[Consumo]] &lt;&gt; 0), tabItens[[#This Row],[Pend]] / tabItens[[#This Row],[Consumo]], 0 )</f>
        <v>5.8038593184185725E-3</v>
      </c>
      <c r="BI5" s="338"/>
      <c r="BJ5" s="407"/>
      <c r="BK5" s="408" t="s">
        <v>2086</v>
      </c>
    </row>
    <row r="6" spans="1:63" x14ac:dyDescent="0.3">
      <c r="A6" s="375">
        <v>24371</v>
      </c>
      <c r="B6" s="376" t="s">
        <v>1195</v>
      </c>
      <c r="C6" s="377" t="s">
        <v>263</v>
      </c>
      <c r="D6" s="378">
        <v>2.96</v>
      </c>
      <c r="E6" s="305"/>
      <c r="F6" s="379" t="s">
        <v>1066</v>
      </c>
      <c r="G6" s="379" t="s">
        <v>1196</v>
      </c>
      <c r="H6" s="380">
        <v>19274</v>
      </c>
      <c r="I6" s="307">
        <v>103003</v>
      </c>
      <c r="J6" s="308">
        <v>2.96</v>
      </c>
      <c r="K6" s="381">
        <v>20572</v>
      </c>
      <c r="L6" s="382">
        <f>IF(tabItens[[#This Row],[Média]] &gt; 0, tabItens[[#This Row],[QTDE ATUAL]] / tabItens[[#This Row],[Média]],999.9)</f>
        <v>8.4454830935514504</v>
      </c>
      <c r="M6" s="383">
        <v>0</v>
      </c>
      <c r="N6" s="384">
        <f>tabItens[[#This Row],[VALOR UNIT.]] * tabItens[[#This Row],[LC]]</f>
        <v>0</v>
      </c>
      <c r="O6" s="385" t="s">
        <v>1197</v>
      </c>
      <c r="P6" s="386">
        <v>0</v>
      </c>
      <c r="Q6" s="387">
        <v>38900</v>
      </c>
      <c r="R6" s="312">
        <v>115144</v>
      </c>
      <c r="S6" s="388">
        <v>45327</v>
      </c>
      <c r="T6" s="389">
        <f>ROUNDDOWN(IFERROR(tabItens[[#This Row],[ATA DT.VALID.]] - $D$1,0) / 30,0)</f>
        <v>36</v>
      </c>
      <c r="U6" s="302" t="s">
        <v>1198</v>
      </c>
      <c r="V6" s="318">
        <v>1</v>
      </c>
      <c r="W6" s="390" t="s">
        <v>2071</v>
      </c>
      <c r="X6" s="391">
        <v>51</v>
      </c>
      <c r="Y6" s="392">
        <v>7</v>
      </c>
      <c r="Z6" s="393"/>
      <c r="AA6" s="394"/>
      <c r="AB6" s="395"/>
      <c r="AC6" s="395"/>
      <c r="AD6" s="394"/>
      <c r="AE6" s="395"/>
      <c r="AF6" s="317"/>
      <c r="AG6" s="396" t="s">
        <v>2072</v>
      </c>
      <c r="AH6" s="397"/>
      <c r="AI6" s="317">
        <v>9128</v>
      </c>
      <c r="AJ6" s="397">
        <v>45154</v>
      </c>
      <c r="AK6" s="326" t="s">
        <v>889</v>
      </c>
      <c r="AL6" s="326">
        <v>45076</v>
      </c>
      <c r="AM6" s="316"/>
      <c r="AN6" s="305"/>
      <c r="AO6" s="327" t="str">
        <f>_xlfn.IFNA(IF(VLOOKUP(tabItens[[#This Row],[CÓDIGO]],tabExcluirDoEstoque[#Data],1,FALSE),"sim",""),"")</f>
        <v/>
      </c>
      <c r="AP6" s="398">
        <f ca="1">IF(OR(ISBLANK(tabItens[[#This Row],[ATA DT.VALID.]]),tabItens[[#This Row],[ATA DT.VALID.]]="",tabItens[[#This Row],[ATA DT.VALID.]]=" "),"",IF(TYPE(tabItens[[#This Row],[ATA DT.VALID.]])=1,ROUNDUP((tabItens[[#This Row],[ATA DT.VALID.]]-TODAY())/7,0),""))</f>
        <v>10</v>
      </c>
      <c r="AQ6" s="399">
        <v>0</v>
      </c>
      <c r="AR6" s="400" t="str">
        <f>IF(ISBLANK(tabItens[[#This Row],[CÓDIGO]]),"",IFERROR(VLOOKUP(tabItens[[#This Row],[CÓDIGO]],Consumo!$C$2:$AC$862,26,FALSE),0))</f>
        <v>09.2023</v>
      </c>
      <c r="AS6" s="401">
        <f>SUMIF(Consumo!$C$3:$C$862,tabItens[[#This Row],[CÓDIGO]],Consumo!$N$3:$N$862) + SUMIF(Consumo!$C$3:$C$862,tabItens[[#This Row],[CÓDIGO]],Consumo!$O$3:$O$862) + SUMIF(Consumo!$C$3:$C$862,tabItens[[#This Row],[CÓDIGO]],Consumo!$P$3:$P$862) + SUMIF(Consumo!$C$3:$C$862,tabItens[[#This Row],[CÓDIGO]],Consumo!$Q$3:$Q$862)</f>
        <v>5706</v>
      </c>
      <c r="AT6" s="401">
        <f>SUMIF(Consumo!$C$3:$C$862,tabItens[[#This Row],[CÓDIGO]],Consumo!$Z$3:$Z$862)</f>
        <v>27386</v>
      </c>
      <c r="AU6" s="402">
        <f>SUMIF(Consumo!$C$3:$C$862,tabItens[[#This Row],[CÓDIGO]],Consumo!$AA$3:$AA$862)</f>
        <v>5184</v>
      </c>
      <c r="AV6" s="403">
        <f>SUMIF(Consumo!$C$3:$C$862,tabItens[[#This Row],[CÓDIGO]],Consumo!$Y$3:$Y$862)</f>
        <v>2282.1666666666665</v>
      </c>
      <c r="AW6" s="380">
        <f>tabItens[[#This Row],[QTDE ATUAL]] + tabItens[[#This Row],[RC QTDE]] + tabItens[[#This Row],[AF SALDO]] + tabItens[[#This Row],[Recentes]]</f>
        <v>19274</v>
      </c>
      <c r="AX6" s="404">
        <v>2138</v>
      </c>
      <c r="AY6" s="404">
        <v>4</v>
      </c>
      <c r="AZ6" s="404">
        <f>IF(ISBLANK(tabItens[[#This Row],[CÓDIGO]]),"",tabItens[[#This Row],[PontoMês]] * (AZ$2+tabItens[[#This Row],[PontoQtM]]))</f>
        <v>8552</v>
      </c>
      <c r="BA6" s="403">
        <f>tabItens[[#This Row],[PontoPed]] - tabItens[[#This Row],[Saldo]] + (1/10)</f>
        <v>-10721.9</v>
      </c>
      <c r="BB6" s="403">
        <f xml:space="preserve"> tabItens[[#This Row],[PontoMês]] * BB$2 - tabItens[[#This Row],[QTDE ATUAL]] - (1/10)</f>
        <v>-17136.099999999999</v>
      </c>
      <c r="BC6" s="335">
        <f>IF( tabItens[[#This Row],[PontoPed]]&gt;0, IF(tabItens[[#This Row],[PontoPed]]&lt;1, 1, IF( tabItens[[#This Row],[Saldo]]&gt;tabItens[[#This Row],[PontoPed]], 0, (tabItens[[#This Row],[PontoPed]]-tabItens[[#This Row],[Saldo]])/tabItens[[#This Row],[PontoPed]] ) ), 0 )</f>
        <v>0</v>
      </c>
      <c r="BD6" s="405">
        <f>ROUNDDOWN(IF( OR( AND(tabItens[[#This Row],[PontoPed]]&lt;tabItens[[#This Row],[Saldo]],tabItens[[#This Row],[Saldo]]&gt;0), tabItens[[#This Row],[PontoPed]]=0), 99, IF(AND(tabItens[[#This Row],[Saldo]]=0,tabItens[[#This Row],[PontoPed]]&gt;0), 0, (1-tabItens[[#This Row],[PctAb]])*10 ) ),0)</f>
        <v>99</v>
      </c>
      <c r="BE6" s="406">
        <f>MAX(ROUNDDOWN( IF(tabItens[[#This Row],[Abaixo]] &gt; 0,   tabItens[[#This Row],[Abaixo]] + (tabItens[[#This Row],[PontoMês]] * IF( OR( ISBLANK(tabItens[[#This Row],[ATA Nº/ANO]]), tabItens[[#This Row],[ATA Nº/ANO]] = ""),BE$2,BE$1)),0),0),0)</f>
        <v>0</v>
      </c>
      <c r="BF6"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 s="338">
        <f>SUMIF(Consumo!$C$3:$C$862,tabItens[[#This Row],[CÓDIGO]],Consumo!$E$3:$E$862)</f>
        <v>0</v>
      </c>
      <c r="BH6" s="339">
        <f>IF(AND(tabItens[[#This Row],[Pend]] &gt; 0,tabItens[[#This Row],[Consumo]] &lt;&gt; 0), tabItens[[#This Row],[Pend]] / tabItens[[#This Row],[Consumo]], 0 )</f>
        <v>0</v>
      </c>
      <c r="BI6" s="338"/>
      <c r="BJ6" s="407"/>
      <c r="BK6" s="408" t="s">
        <v>2086</v>
      </c>
    </row>
    <row r="7" spans="1:63" x14ac:dyDescent="0.3">
      <c r="A7" s="375">
        <v>32534</v>
      </c>
      <c r="B7" s="376" t="s">
        <v>1248</v>
      </c>
      <c r="C7" s="377" t="s">
        <v>263</v>
      </c>
      <c r="D7" s="378">
        <v>3.97</v>
      </c>
      <c r="E7" s="305"/>
      <c r="F7" s="379" t="s">
        <v>1066</v>
      </c>
      <c r="G7" s="379" t="s">
        <v>1196</v>
      </c>
      <c r="H7" s="380">
        <v>4399</v>
      </c>
      <c r="I7" s="307">
        <v>103003</v>
      </c>
      <c r="J7" s="308">
        <v>3.97</v>
      </c>
      <c r="K7" s="381">
        <v>3382</v>
      </c>
      <c r="L7" s="382">
        <f>IF(tabItens[[#This Row],[Média]] &gt; 0, tabItens[[#This Row],[QTDE ATUAL]] / tabItens[[#This Row],[Média]],999.9)</f>
        <v>17.262262916939175</v>
      </c>
      <c r="M7" s="383">
        <v>0</v>
      </c>
      <c r="N7" s="384">
        <f>tabItens[[#This Row],[VALOR UNIT.]] * tabItens[[#This Row],[LC]]</f>
        <v>0</v>
      </c>
      <c r="O7" s="385" t="s">
        <v>1197</v>
      </c>
      <c r="P7" s="386">
        <v>0</v>
      </c>
      <c r="Q7" s="387">
        <v>10600</v>
      </c>
      <c r="R7" s="312">
        <v>42082</v>
      </c>
      <c r="S7" s="388">
        <v>45327</v>
      </c>
      <c r="T7" s="389">
        <f>ROUNDDOWN(IFERROR(tabItens[[#This Row],[ATA DT.VALID.]] - $D$1,0) / 30,0)</f>
        <v>36</v>
      </c>
      <c r="U7" s="302" t="s">
        <v>1198</v>
      </c>
      <c r="V7" s="318">
        <v>1</v>
      </c>
      <c r="W7" s="390" t="s">
        <v>2071</v>
      </c>
      <c r="X7" s="391">
        <v>51</v>
      </c>
      <c r="Y7" s="392">
        <v>7</v>
      </c>
      <c r="Z7" s="393"/>
      <c r="AA7" s="394"/>
      <c r="AB7" s="395"/>
      <c r="AC7" s="395"/>
      <c r="AD7" s="394"/>
      <c r="AE7" s="395"/>
      <c r="AF7" s="317"/>
      <c r="AG7" s="396" t="s">
        <v>2072</v>
      </c>
      <c r="AH7" s="397"/>
      <c r="AI7" s="317">
        <v>1136</v>
      </c>
      <c r="AJ7" s="397">
        <v>45132</v>
      </c>
      <c r="AK7" s="326" t="s">
        <v>889</v>
      </c>
      <c r="AL7" s="326">
        <v>45076</v>
      </c>
      <c r="AM7" s="316"/>
      <c r="AN7" s="305"/>
      <c r="AO7" s="327" t="str">
        <f>_xlfn.IFNA(IF(VLOOKUP(tabItens[[#This Row],[CÓDIGO]],tabExcluirDoEstoque[#Data],1,FALSE),"sim",""),"")</f>
        <v/>
      </c>
      <c r="AP7" s="398">
        <f ca="1">IF(OR(ISBLANK(tabItens[[#This Row],[ATA DT.VALID.]]),tabItens[[#This Row],[ATA DT.VALID.]]="",tabItens[[#This Row],[ATA DT.VALID.]]=" "),"",IF(TYPE(tabItens[[#This Row],[ATA DT.VALID.]])=1,ROUNDUP((tabItens[[#This Row],[ATA DT.VALID.]]-TODAY())/7,0),""))</f>
        <v>10</v>
      </c>
      <c r="AQ7" s="399">
        <v>0</v>
      </c>
      <c r="AR7" s="400" t="str">
        <f>IF(ISBLANK(tabItens[[#This Row],[CÓDIGO]]),"",IFERROR(VLOOKUP(tabItens[[#This Row],[CÓDIGO]],Consumo!$C$2:$AC$862,26,FALSE),0))</f>
        <v>06.2023</v>
      </c>
      <c r="AS7" s="401">
        <f>SUMIF(Consumo!$C$3:$C$862,tabItens[[#This Row],[CÓDIGO]],Consumo!$N$3:$N$862) + SUMIF(Consumo!$C$3:$C$862,tabItens[[#This Row],[CÓDIGO]],Consumo!$O$3:$O$862) + SUMIF(Consumo!$C$3:$C$862,tabItens[[#This Row],[CÓDIGO]],Consumo!$P$3:$P$862) + SUMIF(Consumo!$C$3:$C$862,tabItens[[#This Row],[CÓDIGO]],Consumo!$Q$3:$Q$862)</f>
        <v>296</v>
      </c>
      <c r="AT7" s="401">
        <f>SUMIF(Consumo!$C$3:$C$862,tabItens[[#This Row],[CÓDIGO]],Consumo!$Z$3:$Z$862)</f>
        <v>3407</v>
      </c>
      <c r="AU7" s="402">
        <f>SUMIF(Consumo!$C$3:$C$862,tabItens[[#This Row],[CÓDIGO]],Consumo!$AA$3:$AA$862)</f>
        <v>1540</v>
      </c>
      <c r="AV7" s="403">
        <f>SUMIF(Consumo!$C$3:$C$862,tabItens[[#This Row],[CÓDIGO]],Consumo!$Y$3:$Y$862)</f>
        <v>254.83333333333334</v>
      </c>
      <c r="AW7" s="380">
        <f>tabItens[[#This Row],[QTDE ATUAL]] + tabItens[[#This Row],[RC QTDE]] + tabItens[[#This Row],[AF SALDO]] + tabItens[[#This Row],[Recentes]]</f>
        <v>4399</v>
      </c>
      <c r="AX7" s="404">
        <v>125</v>
      </c>
      <c r="AY7" s="404">
        <v>4</v>
      </c>
      <c r="AZ7" s="404">
        <f>IF(ISBLANK(tabItens[[#This Row],[CÓDIGO]]),"",tabItens[[#This Row],[PontoMês]] * (AZ$2+tabItens[[#This Row],[PontoQtM]]))</f>
        <v>500</v>
      </c>
      <c r="BA7" s="403">
        <f>tabItens[[#This Row],[PontoPed]] - tabItens[[#This Row],[Saldo]] + (1/10)</f>
        <v>-3898.9</v>
      </c>
      <c r="BB7" s="403">
        <f xml:space="preserve"> tabItens[[#This Row],[PontoMês]] * BB$2 - tabItens[[#This Row],[QTDE ATUAL]] - (1/10)</f>
        <v>-4274.1000000000004</v>
      </c>
      <c r="BC7" s="335">
        <f>IF( tabItens[[#This Row],[PontoPed]]&gt;0, IF(tabItens[[#This Row],[PontoPed]]&lt;1, 1, IF( tabItens[[#This Row],[Saldo]]&gt;tabItens[[#This Row],[PontoPed]], 0, (tabItens[[#This Row],[PontoPed]]-tabItens[[#This Row],[Saldo]])/tabItens[[#This Row],[PontoPed]] ) ), 0 )</f>
        <v>0</v>
      </c>
      <c r="BD7" s="405">
        <f>ROUNDDOWN(IF( OR( AND(tabItens[[#This Row],[PontoPed]]&lt;tabItens[[#This Row],[Saldo]],tabItens[[#This Row],[Saldo]]&gt;0), tabItens[[#This Row],[PontoPed]]=0), 99, IF(AND(tabItens[[#This Row],[Saldo]]=0,tabItens[[#This Row],[PontoPed]]&gt;0), 0, (1-tabItens[[#This Row],[PctAb]])*10 ) ),0)</f>
        <v>99</v>
      </c>
      <c r="BE7" s="406">
        <f>MAX(ROUNDDOWN( IF(tabItens[[#This Row],[Abaixo]] &gt; 0,   tabItens[[#This Row],[Abaixo]] + (tabItens[[#This Row],[PontoMês]] * IF( OR( ISBLANK(tabItens[[#This Row],[ATA Nº/ANO]]), tabItens[[#This Row],[ATA Nº/ANO]] = ""),BE$2,BE$1)),0),0),0)</f>
        <v>0</v>
      </c>
      <c r="BF7"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 s="338">
        <f>SUMIF(Consumo!$C$3:$C$862,tabItens[[#This Row],[CÓDIGO]],Consumo!$E$3:$E$862)</f>
        <v>0</v>
      </c>
      <c r="BH7" s="339">
        <f>IF(AND(tabItens[[#This Row],[Pend]] &gt; 0,tabItens[[#This Row],[Consumo]] &lt;&gt; 0), tabItens[[#This Row],[Pend]] / tabItens[[#This Row],[Consumo]], 0 )</f>
        <v>0</v>
      </c>
      <c r="BI7" s="338"/>
      <c r="BJ7" s="407"/>
      <c r="BK7" s="408" t="s">
        <v>2086</v>
      </c>
    </row>
    <row r="8" spans="1:63" x14ac:dyDescent="0.3">
      <c r="A8" s="375">
        <v>34801</v>
      </c>
      <c r="B8" s="376" t="s">
        <v>1256</v>
      </c>
      <c r="C8" s="377" t="s">
        <v>263</v>
      </c>
      <c r="D8" s="378">
        <v>2.84</v>
      </c>
      <c r="E8" s="305"/>
      <c r="F8" s="379" t="s">
        <v>1066</v>
      </c>
      <c r="G8" s="379" t="s">
        <v>1196</v>
      </c>
      <c r="H8" s="380">
        <v>2439</v>
      </c>
      <c r="I8" s="307">
        <v>103003</v>
      </c>
      <c r="J8" s="308">
        <v>2.84</v>
      </c>
      <c r="K8" s="381">
        <v>2742</v>
      </c>
      <c r="L8" s="382">
        <f>IF(tabItens[[#This Row],[Média]] &gt; 0, tabItens[[#This Row],[QTDE ATUAL]] / tabItens[[#This Row],[Média]],999.9)</f>
        <v>10.57752078062884</v>
      </c>
      <c r="M8" s="383">
        <v>0</v>
      </c>
      <c r="N8" s="384">
        <f>tabItens[[#This Row],[VALOR UNIT.]] * tabItens[[#This Row],[LC]]</f>
        <v>0</v>
      </c>
      <c r="O8" s="385" t="s">
        <v>1197</v>
      </c>
      <c r="P8" s="386">
        <v>0</v>
      </c>
      <c r="Q8" s="387">
        <v>10100</v>
      </c>
      <c r="R8" s="312">
        <v>28684</v>
      </c>
      <c r="S8" s="388">
        <v>45327</v>
      </c>
      <c r="T8" s="389">
        <f>ROUNDDOWN(IFERROR(tabItens[[#This Row],[ATA DT.VALID.]] - $D$1,0) / 30,0)</f>
        <v>36</v>
      </c>
      <c r="U8" s="302" t="s">
        <v>1198</v>
      </c>
      <c r="V8" s="318">
        <v>1</v>
      </c>
      <c r="W8" s="390" t="s">
        <v>2071</v>
      </c>
      <c r="X8" s="391">
        <v>51</v>
      </c>
      <c r="Y8" s="392">
        <v>7</v>
      </c>
      <c r="Z8" s="393"/>
      <c r="AA8" s="394"/>
      <c r="AB8" s="395"/>
      <c r="AC8" s="395"/>
      <c r="AD8" s="394"/>
      <c r="AE8" s="395"/>
      <c r="AF8" s="317"/>
      <c r="AG8" s="396" t="s">
        <v>2072</v>
      </c>
      <c r="AH8" s="397"/>
      <c r="AI8" s="317">
        <v>950</v>
      </c>
      <c r="AJ8" s="397">
        <v>45132</v>
      </c>
      <c r="AK8" s="326" t="s">
        <v>889</v>
      </c>
      <c r="AL8" s="326">
        <v>45082</v>
      </c>
      <c r="AM8" s="316"/>
      <c r="AN8" s="305"/>
      <c r="AO8" s="327" t="str">
        <f>_xlfn.IFNA(IF(VLOOKUP(tabItens[[#This Row],[CÓDIGO]],tabExcluirDoEstoque[#Data],1,FALSE),"sim",""),"")</f>
        <v/>
      </c>
      <c r="AP8" s="398">
        <f ca="1">IF(OR(ISBLANK(tabItens[[#This Row],[ATA DT.VALID.]]),tabItens[[#This Row],[ATA DT.VALID.]]="",tabItens[[#This Row],[ATA DT.VALID.]]=" "),"",IF(TYPE(tabItens[[#This Row],[ATA DT.VALID.]])=1,ROUNDUP((tabItens[[#This Row],[ATA DT.VALID.]]-TODAY())/7,0),""))</f>
        <v>10</v>
      </c>
      <c r="AQ8" s="399">
        <v>0</v>
      </c>
      <c r="AR8" s="400" t="str">
        <f>IF(ISBLANK(tabItens[[#This Row],[CÓDIGO]]),"",IFERROR(VLOOKUP(tabItens[[#This Row],[CÓDIGO]],Consumo!$C$2:$AC$862,26,FALSE),0))</f>
        <v>08.2023</v>
      </c>
      <c r="AS8" s="401">
        <f>SUMIF(Consumo!$C$3:$C$862,tabItens[[#This Row],[CÓDIGO]],Consumo!$N$3:$N$862) + SUMIF(Consumo!$C$3:$C$862,tabItens[[#This Row],[CÓDIGO]],Consumo!$O$3:$O$862) + SUMIF(Consumo!$C$3:$C$862,tabItens[[#This Row],[CÓDIGO]],Consumo!$P$3:$P$862) + SUMIF(Consumo!$C$3:$C$862,tabItens[[#This Row],[CÓDIGO]],Consumo!$Q$3:$Q$862)</f>
        <v>888</v>
      </c>
      <c r="AT8" s="401">
        <f>SUMIF(Consumo!$C$3:$C$862,tabItens[[#This Row],[CÓDIGO]],Consumo!$Z$3:$Z$862)</f>
        <v>2852</v>
      </c>
      <c r="AU8" s="402">
        <f>SUMIF(Consumo!$C$3:$C$862,tabItens[[#This Row],[CÓDIGO]],Consumo!$AA$3:$AA$862)</f>
        <v>890</v>
      </c>
      <c r="AV8" s="403">
        <f>SUMIF(Consumo!$C$3:$C$862,tabItens[[#This Row],[CÓDIGO]],Consumo!$Y$3:$Y$862)</f>
        <v>230.58333333333334</v>
      </c>
      <c r="AW8" s="380">
        <f>tabItens[[#This Row],[QTDE ATUAL]] + tabItens[[#This Row],[RC QTDE]] + tabItens[[#This Row],[AF SALDO]] + tabItens[[#This Row],[Recentes]]</f>
        <v>2439</v>
      </c>
      <c r="AX8" s="404">
        <v>417</v>
      </c>
      <c r="AY8" s="404">
        <v>3</v>
      </c>
      <c r="AZ8" s="404">
        <f>IF(ISBLANK(tabItens[[#This Row],[CÓDIGO]]),"",tabItens[[#This Row],[PontoMês]] * (AZ$2+tabItens[[#This Row],[PontoQtM]]))</f>
        <v>1251</v>
      </c>
      <c r="BA8" s="403">
        <f>tabItens[[#This Row],[PontoPed]] - tabItens[[#This Row],[Saldo]] + (1/10)</f>
        <v>-1187.9000000000001</v>
      </c>
      <c r="BB8" s="403">
        <f xml:space="preserve"> tabItens[[#This Row],[PontoMês]] * BB$2 - tabItens[[#This Row],[QTDE ATUAL]] - (1/10)</f>
        <v>-2022.1</v>
      </c>
      <c r="BC8" s="335">
        <f>IF( tabItens[[#This Row],[PontoPed]]&gt;0, IF(tabItens[[#This Row],[PontoPed]]&lt;1, 1, IF( tabItens[[#This Row],[Saldo]]&gt;tabItens[[#This Row],[PontoPed]], 0, (tabItens[[#This Row],[PontoPed]]-tabItens[[#This Row],[Saldo]])/tabItens[[#This Row],[PontoPed]] ) ), 0 )</f>
        <v>0</v>
      </c>
      <c r="BD8" s="405">
        <f>ROUNDDOWN(IF( OR( AND(tabItens[[#This Row],[PontoPed]]&lt;tabItens[[#This Row],[Saldo]],tabItens[[#This Row],[Saldo]]&gt;0), tabItens[[#This Row],[PontoPed]]=0), 99, IF(AND(tabItens[[#This Row],[Saldo]]=0,tabItens[[#This Row],[PontoPed]]&gt;0), 0, (1-tabItens[[#This Row],[PctAb]])*10 ) ),0)</f>
        <v>99</v>
      </c>
      <c r="BE8" s="406">
        <f>MAX(ROUNDDOWN( IF(tabItens[[#This Row],[Abaixo]] &gt; 0,   tabItens[[#This Row],[Abaixo]] + (tabItens[[#This Row],[PontoMês]] * IF( OR( ISBLANK(tabItens[[#This Row],[ATA Nº/ANO]]), tabItens[[#This Row],[ATA Nº/ANO]] = ""),BE$2,BE$1)),0),0),0)</f>
        <v>0</v>
      </c>
      <c r="BF8"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 s="338">
        <f>SUMIF(Consumo!$C$3:$C$862,tabItens[[#This Row],[CÓDIGO]],Consumo!$E$3:$E$862)</f>
        <v>0</v>
      </c>
      <c r="BH8" s="339">
        <f>IF(AND(tabItens[[#This Row],[Pend]] &gt; 0,tabItens[[#This Row],[Consumo]] &lt;&gt; 0), tabItens[[#This Row],[Pend]] / tabItens[[#This Row],[Consumo]], 0 )</f>
        <v>0</v>
      </c>
      <c r="BI8" s="338"/>
      <c r="BJ8" s="407"/>
      <c r="BK8" s="408" t="s">
        <v>2086</v>
      </c>
    </row>
    <row r="9" spans="1:63" x14ac:dyDescent="0.3">
      <c r="A9" s="375">
        <v>54680</v>
      </c>
      <c r="B9" s="376" t="s">
        <v>1324</v>
      </c>
      <c r="C9" s="377" t="s">
        <v>560</v>
      </c>
      <c r="D9" s="378">
        <v>38.31</v>
      </c>
      <c r="E9" s="305"/>
      <c r="F9" s="379" t="s">
        <v>1325</v>
      </c>
      <c r="G9" s="379" t="s">
        <v>1196</v>
      </c>
      <c r="H9" s="380">
        <v>130</v>
      </c>
      <c r="I9" s="307">
        <v>103003</v>
      </c>
      <c r="J9" s="308">
        <v>53.8</v>
      </c>
      <c r="K9" s="381">
        <v>151</v>
      </c>
      <c r="L9" s="382">
        <f>IF(tabItens[[#This Row],[Média]] &gt; 0, tabItens[[#This Row],[QTDE ATUAL]] / tabItens[[#This Row],[Média]],999.9)</f>
        <v>11.063829787234043</v>
      </c>
      <c r="M9" s="383">
        <v>0</v>
      </c>
      <c r="N9" s="384">
        <f>tabItens[[#This Row],[VALOR UNIT.]] * tabItens[[#This Row],[LC]]</f>
        <v>0</v>
      </c>
      <c r="O9" s="385" t="s">
        <v>1197</v>
      </c>
      <c r="P9" s="386">
        <v>0</v>
      </c>
      <c r="Q9" s="387">
        <v>5500</v>
      </c>
      <c r="R9" s="312">
        <v>210705</v>
      </c>
      <c r="S9" s="388">
        <v>45328</v>
      </c>
      <c r="T9" s="389">
        <f>ROUNDDOWN(IFERROR(tabItens[[#This Row],[ATA DT.VALID.]] - $D$1,0) / 30,0)</f>
        <v>36</v>
      </c>
      <c r="U9" s="302" t="s">
        <v>1326</v>
      </c>
      <c r="V9" s="318">
        <v>1</v>
      </c>
      <c r="W9" s="390" t="s">
        <v>2071</v>
      </c>
      <c r="X9" s="391">
        <v>51</v>
      </c>
      <c r="Y9" s="392">
        <v>30</v>
      </c>
      <c r="Z9" s="393"/>
      <c r="AA9" s="394"/>
      <c r="AB9" s="395"/>
      <c r="AC9" s="395"/>
      <c r="AD9" s="394"/>
      <c r="AE9" s="395"/>
      <c r="AF9" s="317"/>
      <c r="AG9" s="396" t="s">
        <v>2072</v>
      </c>
      <c r="AH9" s="397"/>
      <c r="AI9" s="317">
        <v>50</v>
      </c>
      <c r="AJ9" s="397">
        <v>44616</v>
      </c>
      <c r="AK9" s="326" t="s">
        <v>889</v>
      </c>
      <c r="AL9" s="326">
        <v>44544</v>
      </c>
      <c r="AM9" s="316"/>
      <c r="AN9" s="305"/>
      <c r="AO9" s="327" t="str">
        <f>_xlfn.IFNA(IF(VLOOKUP(tabItens[[#This Row],[CÓDIGO]],tabExcluirDoEstoque[#Data],1,FALSE),"sim",""),"")</f>
        <v/>
      </c>
      <c r="AP9" s="398">
        <f ca="1">IF(OR(ISBLANK(tabItens[[#This Row],[ATA DT.VALID.]]),tabItens[[#This Row],[ATA DT.VALID.]]="",tabItens[[#This Row],[ATA DT.VALID.]]=" "),"",IF(TYPE(tabItens[[#This Row],[ATA DT.VALID.]])=1,ROUNDUP((tabItens[[#This Row],[ATA DT.VALID.]]-TODAY())/7,0),""))</f>
        <v>10</v>
      </c>
      <c r="AQ9" s="399">
        <v>0</v>
      </c>
      <c r="AR9" s="400" t="str">
        <f>IF(ISBLANK(tabItens[[#This Row],[CÓDIGO]]),"",IFERROR(VLOOKUP(tabItens[[#This Row],[CÓDIGO]],Consumo!$C$2:$AC$862,26,FALSE),0))</f>
        <v>06.2023</v>
      </c>
      <c r="AS9" s="401">
        <f>SUMIF(Consumo!$C$3:$C$862,tabItens[[#This Row],[CÓDIGO]],Consumo!$N$3:$N$862) + SUMIF(Consumo!$C$3:$C$862,tabItens[[#This Row],[CÓDIGO]],Consumo!$O$3:$O$862) + SUMIF(Consumo!$C$3:$C$862,tabItens[[#This Row],[CÓDIGO]],Consumo!$P$3:$P$862) + SUMIF(Consumo!$C$3:$C$862,tabItens[[#This Row],[CÓDIGO]],Consumo!$Q$3:$Q$862)</f>
        <v>40</v>
      </c>
      <c r="AT9" s="401">
        <f>SUMIF(Consumo!$C$3:$C$862,tabItens[[#This Row],[CÓDIGO]],Consumo!$Z$3:$Z$862)</f>
        <v>151</v>
      </c>
      <c r="AU9" s="402">
        <f>SUMIF(Consumo!$C$3:$C$862,tabItens[[#This Row],[CÓDIGO]],Consumo!$AA$3:$AA$862)</f>
        <v>70</v>
      </c>
      <c r="AV9" s="403">
        <f>SUMIF(Consumo!$C$3:$C$862,tabItens[[#This Row],[CÓDIGO]],Consumo!$Y$3:$Y$862)</f>
        <v>11.75</v>
      </c>
      <c r="AW9" s="380">
        <f>tabItens[[#This Row],[QTDE ATUAL]] + tabItens[[#This Row],[RC QTDE]] + tabItens[[#This Row],[AF SALDO]] + tabItens[[#This Row],[Recentes]]</f>
        <v>130</v>
      </c>
      <c r="AX9" s="404">
        <v>34</v>
      </c>
      <c r="AY9" s="404">
        <v>4</v>
      </c>
      <c r="AZ9" s="404">
        <f>IF(ISBLANK(tabItens[[#This Row],[CÓDIGO]]),"",tabItens[[#This Row],[PontoMês]] * (AZ$2+tabItens[[#This Row],[PontoQtM]]))</f>
        <v>136</v>
      </c>
      <c r="BA9" s="403">
        <f>tabItens[[#This Row],[PontoPed]] - tabItens[[#This Row],[Saldo]] + (1/10)</f>
        <v>6.1</v>
      </c>
      <c r="BB9" s="403">
        <f xml:space="preserve"> tabItens[[#This Row],[PontoMês]] * BB$2 - tabItens[[#This Row],[QTDE ATUAL]] - (1/10)</f>
        <v>-96.1</v>
      </c>
      <c r="BC9" s="335">
        <f>IF( tabItens[[#This Row],[PontoPed]]&gt;0, IF(tabItens[[#This Row],[PontoPed]]&lt;1, 1, IF( tabItens[[#This Row],[Saldo]]&gt;tabItens[[#This Row],[PontoPed]], 0, (tabItens[[#This Row],[PontoPed]]-tabItens[[#This Row],[Saldo]])/tabItens[[#This Row],[PontoPed]] ) ), 0 )</f>
        <v>4.4117647058823532E-2</v>
      </c>
      <c r="BD9" s="405">
        <f>ROUNDDOWN(IF( OR( AND(tabItens[[#This Row],[PontoPed]]&lt;tabItens[[#This Row],[Saldo]],tabItens[[#This Row],[Saldo]]&gt;0), tabItens[[#This Row],[PontoPed]]=0), 99, IF(AND(tabItens[[#This Row],[Saldo]]=0,tabItens[[#This Row],[PontoPed]]&gt;0), 0, (1-tabItens[[#This Row],[PctAb]])*10 ) ),0)</f>
        <v>9</v>
      </c>
      <c r="BE9" s="406">
        <f>MAX(ROUNDDOWN( IF(tabItens[[#This Row],[Abaixo]] &gt; 0,   tabItens[[#This Row],[Abaixo]] + (tabItens[[#This Row],[PontoMês]] * IF( OR( ISBLANK(tabItens[[#This Row],[ATA Nº/ANO]]), tabItens[[#This Row],[ATA Nº/ANO]] = ""),BE$2,BE$1)),0),0),0)</f>
        <v>108</v>
      </c>
      <c r="BF9"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108</v>
      </c>
      <c r="BG9" s="338">
        <f>SUMIF(Consumo!$C$3:$C$862,tabItens[[#This Row],[CÓDIGO]],Consumo!$E$3:$E$862)</f>
        <v>0</v>
      </c>
      <c r="BH9" s="339">
        <f>IF(AND(tabItens[[#This Row],[Pend]] &gt; 0,tabItens[[#This Row],[Consumo]] &lt;&gt; 0), tabItens[[#This Row],[Pend]] / tabItens[[#This Row],[Consumo]], 0 )</f>
        <v>0</v>
      </c>
      <c r="BI9" s="338"/>
      <c r="BJ9" s="407"/>
      <c r="BK9" s="408" t="s">
        <v>2086</v>
      </c>
    </row>
    <row r="10" spans="1:63" x14ac:dyDescent="0.3">
      <c r="A10" s="375">
        <v>64044</v>
      </c>
      <c r="B10" s="376" t="s">
        <v>1369</v>
      </c>
      <c r="C10" s="377" t="s">
        <v>560</v>
      </c>
      <c r="D10" s="378">
        <v>38.31</v>
      </c>
      <c r="E10" s="305"/>
      <c r="F10" s="379" t="s">
        <v>1325</v>
      </c>
      <c r="G10" s="379" t="s">
        <v>1196</v>
      </c>
      <c r="H10" s="380">
        <v>320</v>
      </c>
      <c r="I10" s="307">
        <v>103003</v>
      </c>
      <c r="J10" s="308">
        <v>38.31</v>
      </c>
      <c r="K10" s="381">
        <v>170</v>
      </c>
      <c r="L10" s="382">
        <f>IF(tabItens[[#This Row],[Média]] &gt; 0, tabItens[[#This Row],[QTDE ATUAL]] / tabItens[[#This Row],[Média]],999.9)</f>
        <v>30.967741935483868</v>
      </c>
      <c r="M10" s="383">
        <v>0</v>
      </c>
      <c r="N10" s="384">
        <f>tabItens[[#This Row],[VALOR UNIT.]] * tabItens[[#This Row],[LC]]</f>
        <v>0</v>
      </c>
      <c r="O10" s="385" t="s">
        <v>1197</v>
      </c>
      <c r="P10" s="386">
        <v>0</v>
      </c>
      <c r="Q10" s="387">
        <v>3000</v>
      </c>
      <c r="R10" s="312">
        <v>114930</v>
      </c>
      <c r="S10" s="388">
        <v>45328</v>
      </c>
      <c r="T10" s="389">
        <f>ROUNDDOWN(IFERROR(tabItens[[#This Row],[ATA DT.VALID.]] - $D$1,0) / 30,0)</f>
        <v>36</v>
      </c>
      <c r="U10" s="302" t="s">
        <v>1326</v>
      </c>
      <c r="V10" s="318">
        <v>1</v>
      </c>
      <c r="W10" s="390" t="s">
        <v>2071</v>
      </c>
      <c r="X10" s="391">
        <v>51</v>
      </c>
      <c r="Y10" s="392">
        <v>30</v>
      </c>
      <c r="Z10" s="393"/>
      <c r="AA10" s="394"/>
      <c r="AB10" s="395"/>
      <c r="AC10" s="395"/>
      <c r="AD10" s="394"/>
      <c r="AE10" s="395"/>
      <c r="AF10" s="317"/>
      <c r="AG10" s="396" t="s">
        <v>2072</v>
      </c>
      <c r="AH10" s="397"/>
      <c r="AI10" s="317">
        <v>56</v>
      </c>
      <c r="AJ10" s="397">
        <v>45104</v>
      </c>
      <c r="AK10" s="326" t="s">
        <v>889</v>
      </c>
      <c r="AL10" s="326">
        <v>45033</v>
      </c>
      <c r="AM10" s="316"/>
      <c r="AN10" s="305"/>
      <c r="AO10" s="327" t="str">
        <f>_xlfn.IFNA(IF(VLOOKUP(tabItens[[#This Row],[CÓDIGO]],tabExcluirDoEstoque[#Data],1,FALSE),"sim",""),"")</f>
        <v/>
      </c>
      <c r="AP10" s="398">
        <f ca="1">IF(OR(ISBLANK(tabItens[[#This Row],[ATA DT.VALID.]]),tabItens[[#This Row],[ATA DT.VALID.]]="",tabItens[[#This Row],[ATA DT.VALID.]]=" "),"",IF(TYPE(tabItens[[#This Row],[ATA DT.VALID.]])=1,ROUNDUP((tabItens[[#This Row],[ATA DT.VALID.]]-TODAY())/7,0),""))</f>
        <v>10</v>
      </c>
      <c r="AQ10" s="399">
        <v>0</v>
      </c>
      <c r="AR10" s="400" t="str">
        <f>IF(ISBLANK(tabItens[[#This Row],[CÓDIGO]]),"",IFERROR(VLOOKUP(tabItens[[#This Row],[CÓDIGO]],Consumo!$C$2:$AC$862,26,FALSE),0))</f>
        <v>06.2023</v>
      </c>
      <c r="AS10" s="401">
        <f>SUMIF(Consumo!$C$3:$C$862,tabItens[[#This Row],[CÓDIGO]],Consumo!$N$3:$N$862) + SUMIF(Consumo!$C$3:$C$862,tabItens[[#This Row],[CÓDIGO]],Consumo!$O$3:$O$862) + SUMIF(Consumo!$C$3:$C$862,tabItens[[#This Row],[CÓDIGO]],Consumo!$P$3:$P$862) + SUMIF(Consumo!$C$3:$C$862,tabItens[[#This Row],[CÓDIGO]],Consumo!$Q$3:$Q$862)</f>
        <v>20</v>
      </c>
      <c r="AT10" s="401">
        <f>SUMIF(Consumo!$C$3:$C$862,tabItens[[#This Row],[CÓDIGO]],Consumo!$Z$3:$Z$862)</f>
        <v>170</v>
      </c>
      <c r="AU10" s="402">
        <f>SUMIF(Consumo!$C$3:$C$862,tabItens[[#This Row],[CÓDIGO]],Consumo!$AA$3:$AA$862)</f>
        <v>140</v>
      </c>
      <c r="AV10" s="403">
        <f>SUMIF(Consumo!$C$3:$C$862,tabItens[[#This Row],[CÓDIGO]],Consumo!$Y$3:$Y$862)</f>
        <v>10.333333333333334</v>
      </c>
      <c r="AW10" s="380">
        <f>tabItens[[#This Row],[QTDE ATUAL]] + tabItens[[#This Row],[RC QTDE]] + tabItens[[#This Row],[AF SALDO]] + tabItens[[#This Row],[Recentes]]</f>
        <v>320</v>
      </c>
      <c r="AX10" s="404">
        <v>10</v>
      </c>
      <c r="AY10" s="404">
        <v>4</v>
      </c>
      <c r="AZ10" s="404">
        <f>IF(ISBLANK(tabItens[[#This Row],[CÓDIGO]]),"",tabItens[[#This Row],[PontoMês]] * (AZ$2+tabItens[[#This Row],[PontoQtM]]))</f>
        <v>40</v>
      </c>
      <c r="BA10" s="403">
        <f>tabItens[[#This Row],[PontoPed]] - tabItens[[#This Row],[Saldo]] + (1/10)</f>
        <v>-279.89999999999998</v>
      </c>
      <c r="BB10" s="403">
        <f xml:space="preserve"> tabItens[[#This Row],[PontoMês]] * BB$2 - tabItens[[#This Row],[QTDE ATUAL]] - (1/10)</f>
        <v>-310.10000000000002</v>
      </c>
      <c r="BC10" s="335">
        <f>IF( tabItens[[#This Row],[PontoPed]]&gt;0, IF(tabItens[[#This Row],[PontoPed]]&lt;1, 1, IF( tabItens[[#This Row],[Saldo]]&gt;tabItens[[#This Row],[PontoPed]], 0, (tabItens[[#This Row],[PontoPed]]-tabItens[[#This Row],[Saldo]])/tabItens[[#This Row],[PontoPed]] ) ), 0 )</f>
        <v>0</v>
      </c>
      <c r="BD10" s="405">
        <f>ROUNDDOWN(IF( OR( AND(tabItens[[#This Row],[PontoPed]]&lt;tabItens[[#This Row],[Saldo]],tabItens[[#This Row],[Saldo]]&gt;0), tabItens[[#This Row],[PontoPed]]=0), 99, IF(AND(tabItens[[#This Row],[Saldo]]=0,tabItens[[#This Row],[PontoPed]]&gt;0), 0, (1-tabItens[[#This Row],[PctAb]])*10 ) ),0)</f>
        <v>99</v>
      </c>
      <c r="BE10" s="406">
        <f>MAX(ROUNDDOWN( IF(tabItens[[#This Row],[Abaixo]] &gt; 0,   tabItens[[#This Row],[Abaixo]] + (tabItens[[#This Row],[PontoMês]] * IF( OR( ISBLANK(tabItens[[#This Row],[ATA Nº/ANO]]), tabItens[[#This Row],[ATA Nº/ANO]] = ""),BE$2,BE$1)),0),0),0)</f>
        <v>0</v>
      </c>
      <c r="BF10"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0" s="338">
        <f>SUMIF(Consumo!$C$3:$C$862,tabItens[[#This Row],[CÓDIGO]],Consumo!$E$3:$E$862)</f>
        <v>0</v>
      </c>
      <c r="BH10" s="339">
        <f>IF(AND(tabItens[[#This Row],[Pend]] &gt; 0,tabItens[[#This Row],[Consumo]] &lt;&gt; 0), tabItens[[#This Row],[Pend]] / tabItens[[#This Row],[Consumo]], 0 )</f>
        <v>0</v>
      </c>
      <c r="BI10" s="338"/>
      <c r="BJ10" s="407"/>
      <c r="BK10" s="408" t="s">
        <v>2086</v>
      </c>
    </row>
    <row r="11" spans="1:63" x14ac:dyDescent="0.3">
      <c r="A11" s="375">
        <v>27136</v>
      </c>
      <c r="B11" s="376" t="s">
        <v>1216</v>
      </c>
      <c r="C11" s="377" t="s">
        <v>263</v>
      </c>
      <c r="D11" s="378">
        <v>7.0000000000000007E-2</v>
      </c>
      <c r="E11" s="305" t="s">
        <v>1217</v>
      </c>
      <c r="F11" s="379" t="s">
        <v>1218</v>
      </c>
      <c r="G11" s="379" t="s">
        <v>896</v>
      </c>
      <c r="H11" s="380">
        <v>34248</v>
      </c>
      <c r="I11" s="307">
        <v>103003</v>
      </c>
      <c r="J11" s="308">
        <v>7.0000000000000007E-2</v>
      </c>
      <c r="K11" s="381">
        <v>127569</v>
      </c>
      <c r="L11" s="382">
        <f>IF(tabItens[[#This Row],[Média]] &gt; 0, tabItens[[#This Row],[QTDE ATUAL]] / tabItens[[#This Row],[Média]],999.9)</f>
        <v>2.5499218226490954</v>
      </c>
      <c r="M11" s="383">
        <v>0</v>
      </c>
      <c r="N11" s="384">
        <f>tabItens[[#This Row],[VALOR UNIT.]] * tabItens[[#This Row],[LC]]</f>
        <v>0</v>
      </c>
      <c r="O11" s="385" t="s">
        <v>897</v>
      </c>
      <c r="P11" s="386">
        <v>0</v>
      </c>
      <c r="Q11" s="387">
        <v>275000</v>
      </c>
      <c r="R11" s="312">
        <v>19250</v>
      </c>
      <c r="S11" s="388">
        <v>45377</v>
      </c>
      <c r="T11" s="389">
        <f>ROUNDDOWN(IFERROR(tabItens[[#This Row],[ATA DT.VALID.]] - $D$1,0) / 30,0)</f>
        <v>38</v>
      </c>
      <c r="U11" s="302" t="s">
        <v>1219</v>
      </c>
      <c r="V11" s="318">
        <v>1</v>
      </c>
      <c r="W11" s="390" t="s">
        <v>2081</v>
      </c>
      <c r="X11" s="391">
        <v>62</v>
      </c>
      <c r="Y11" s="392">
        <v>10</v>
      </c>
      <c r="Z11" s="393"/>
      <c r="AA11" s="394"/>
      <c r="AB11" s="395"/>
      <c r="AC11" s="395"/>
      <c r="AD11" s="394"/>
      <c r="AE11" s="395"/>
      <c r="AF11" s="317"/>
      <c r="AG11" s="396" t="s">
        <v>2072</v>
      </c>
      <c r="AH11" s="397"/>
      <c r="AI11" s="317">
        <v>42500</v>
      </c>
      <c r="AJ11" s="397">
        <v>45203</v>
      </c>
      <c r="AK11" s="326" t="s">
        <v>889</v>
      </c>
      <c r="AL11" s="326">
        <v>45196</v>
      </c>
      <c r="AM11" s="316"/>
      <c r="AN11" s="305"/>
      <c r="AO11" s="327" t="str">
        <f>_xlfn.IFNA(IF(VLOOKUP(tabItens[[#This Row],[CÓDIGO]],tabExcluirDoEstoque[#Data],1,FALSE),"sim",""),"")</f>
        <v/>
      </c>
      <c r="AP11" s="398">
        <f ca="1">IF(OR(ISBLANK(tabItens[[#This Row],[ATA DT.VALID.]]),tabItens[[#This Row],[ATA DT.VALID.]]="",tabItens[[#This Row],[ATA DT.VALID.]]=" "),"",IF(TYPE(tabItens[[#This Row],[ATA DT.VALID.]])=1,ROUNDUP((tabItens[[#This Row],[ATA DT.VALID.]]-TODAY())/7,0),""))</f>
        <v>17</v>
      </c>
      <c r="AQ11" s="399">
        <v>0</v>
      </c>
      <c r="AR11" s="400" t="str">
        <f>IF(ISBLANK(tabItens[[#This Row],[CÓDIGO]]),"",IFERROR(VLOOKUP(tabItens[[#This Row],[CÓDIGO]],Consumo!$C$2:$AC$862,26,FALSE),0))</f>
        <v>09.2023</v>
      </c>
      <c r="AS11" s="401">
        <f>SUMIF(Consumo!$C$3:$C$862,tabItens[[#This Row],[CÓDIGO]],Consumo!$N$3:$N$862) + SUMIF(Consumo!$C$3:$C$862,tabItens[[#This Row],[CÓDIGO]],Consumo!$O$3:$O$862) + SUMIF(Consumo!$C$3:$C$862,tabItens[[#This Row],[CÓDIGO]],Consumo!$P$3:$P$862) + SUMIF(Consumo!$C$3:$C$862,tabItens[[#This Row],[CÓDIGO]],Consumo!$Q$3:$Q$862)</f>
        <v>101163</v>
      </c>
      <c r="AT11" s="401">
        <f>SUMIF(Consumo!$C$3:$C$862,tabItens[[#This Row],[CÓDIGO]],Consumo!$Z$3:$Z$862)</f>
        <v>161172</v>
      </c>
      <c r="AU11" s="402">
        <f>SUMIF(Consumo!$C$3:$C$862,tabItens[[#This Row],[CÓDIGO]],Consumo!$AA$3:$AA$862)</f>
        <v>42501</v>
      </c>
      <c r="AV11" s="403">
        <f>SUMIF(Consumo!$C$3:$C$862,tabItens[[#This Row],[CÓDIGO]],Consumo!$Y$3:$Y$862)</f>
        <v>13431</v>
      </c>
      <c r="AW11" s="380">
        <f>tabItens[[#This Row],[QTDE ATUAL]] + tabItens[[#This Row],[RC QTDE]] + tabItens[[#This Row],[AF SALDO]] + tabItens[[#This Row],[Recentes]]</f>
        <v>34248</v>
      </c>
      <c r="AX11" s="404">
        <v>9752</v>
      </c>
      <c r="AY11" s="404">
        <v>4</v>
      </c>
      <c r="AZ11" s="404">
        <f>IF(ISBLANK(tabItens[[#This Row],[CÓDIGO]]),"",tabItens[[#This Row],[PontoMês]] * (AZ$2+tabItens[[#This Row],[PontoQtM]]))</f>
        <v>39008</v>
      </c>
      <c r="BA11" s="403">
        <f>tabItens[[#This Row],[PontoPed]] - tabItens[[#This Row],[Saldo]] + (1/10)</f>
        <v>4760.1000000000004</v>
      </c>
      <c r="BB11" s="403">
        <f xml:space="preserve"> tabItens[[#This Row],[PontoMês]] * BB$2 - tabItens[[#This Row],[QTDE ATUAL]] - (1/10)</f>
        <v>-24496.1</v>
      </c>
      <c r="BC11" s="335">
        <f>IF( tabItens[[#This Row],[PontoPed]]&gt;0, IF(tabItens[[#This Row],[PontoPed]]&lt;1, 1, IF( tabItens[[#This Row],[Saldo]]&gt;tabItens[[#This Row],[PontoPed]], 0, (tabItens[[#This Row],[PontoPed]]-tabItens[[#This Row],[Saldo]])/tabItens[[#This Row],[PontoPed]] ) ), 0 )</f>
        <v>0.12202625102543069</v>
      </c>
      <c r="BD11" s="405">
        <f>ROUNDDOWN(IF( OR( AND(tabItens[[#This Row],[PontoPed]]&lt;tabItens[[#This Row],[Saldo]],tabItens[[#This Row],[Saldo]]&gt;0), tabItens[[#This Row],[PontoPed]]=0), 99, IF(AND(tabItens[[#This Row],[Saldo]]=0,tabItens[[#This Row],[PontoPed]]&gt;0), 0, (1-tabItens[[#This Row],[PctAb]])*10 ) ),0)</f>
        <v>8</v>
      </c>
      <c r="BE11" s="406">
        <f>MAX(ROUNDDOWN( IF(tabItens[[#This Row],[Abaixo]] &gt; 0,   tabItens[[#This Row],[Abaixo]] + (tabItens[[#This Row],[PontoMês]] * IF( OR( ISBLANK(tabItens[[#This Row],[ATA Nº/ANO]]), tabItens[[#This Row],[ATA Nº/ANO]] = ""),BE$2,BE$1)),0),0),0)</f>
        <v>34016</v>
      </c>
      <c r="BF11"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34016</v>
      </c>
      <c r="BG11" s="338">
        <f>SUMIF(Consumo!$C$3:$C$862,tabItens[[#This Row],[CÓDIGO]],Consumo!$E$3:$E$862)</f>
        <v>33671</v>
      </c>
      <c r="BH11" s="339">
        <f>IF(AND(tabItens[[#This Row],[Pend]] &gt; 0,tabItens[[#This Row],[Consumo]] &lt;&gt; 0), tabItens[[#This Row],[Pend]] / tabItens[[#This Row],[Consumo]], 0 )</f>
        <v>0.20891345891345892</v>
      </c>
      <c r="BI11" s="338"/>
      <c r="BJ11" s="407"/>
      <c r="BK11" s="408" t="s">
        <v>2086</v>
      </c>
    </row>
    <row r="12" spans="1:63" x14ac:dyDescent="0.3">
      <c r="A12" s="375">
        <v>87698</v>
      </c>
      <c r="B12" s="376" t="s">
        <v>1498</v>
      </c>
      <c r="C12" s="377" t="s">
        <v>263</v>
      </c>
      <c r="D12" s="378">
        <v>3.63</v>
      </c>
      <c r="E12" s="305" t="s">
        <v>1499</v>
      </c>
      <c r="F12" s="379" t="s">
        <v>1500</v>
      </c>
      <c r="G12" s="379" t="s">
        <v>896</v>
      </c>
      <c r="H12" s="380">
        <v>10</v>
      </c>
      <c r="I12" s="307">
        <v>103003</v>
      </c>
      <c r="J12" s="308">
        <v>3.63</v>
      </c>
      <c r="K12" s="381">
        <v>15</v>
      </c>
      <c r="L12" s="382">
        <f>IF(tabItens[[#This Row],[Média]] &gt; 0, tabItens[[#This Row],[QTDE ATUAL]] / tabItens[[#This Row],[Média]],999.9)</f>
        <v>6.666666666666667</v>
      </c>
      <c r="M12" s="383">
        <v>0</v>
      </c>
      <c r="N12" s="384">
        <f>tabItens[[#This Row],[VALOR UNIT.]] * tabItens[[#This Row],[LC]]</f>
        <v>0</v>
      </c>
      <c r="O12" s="385" t="s">
        <v>897</v>
      </c>
      <c r="P12" s="386">
        <v>0</v>
      </c>
      <c r="Q12" s="387">
        <v>330</v>
      </c>
      <c r="R12" s="312">
        <v>1197.9000000000001</v>
      </c>
      <c r="S12" s="388">
        <v>45377</v>
      </c>
      <c r="T12" s="389">
        <f>ROUNDDOWN(IFERROR(tabItens[[#This Row],[ATA DT.VALID.]] - $D$1,0) / 30,0)</f>
        <v>38</v>
      </c>
      <c r="U12" s="302" t="s">
        <v>1440</v>
      </c>
      <c r="V12" s="318">
        <v>1</v>
      </c>
      <c r="W12" s="390" t="s">
        <v>2073</v>
      </c>
      <c r="X12" s="391">
        <v>72</v>
      </c>
      <c r="Y12" s="392">
        <v>5</v>
      </c>
      <c r="Z12" s="393"/>
      <c r="AA12" s="394"/>
      <c r="AB12" s="395"/>
      <c r="AC12" s="395"/>
      <c r="AD12" s="394"/>
      <c r="AE12" s="395"/>
      <c r="AF12" s="317"/>
      <c r="AG12" s="396" t="s">
        <v>2072</v>
      </c>
      <c r="AH12" s="397"/>
      <c r="AI12" s="317">
        <v>6</v>
      </c>
      <c r="AJ12" s="397">
        <v>45075</v>
      </c>
      <c r="AK12" s="326">
        <v>38611</v>
      </c>
      <c r="AL12" s="326">
        <v>45209</v>
      </c>
      <c r="AM12" s="316"/>
      <c r="AN12" s="305"/>
      <c r="AO12" s="327" t="str">
        <f>_xlfn.IFNA(IF(VLOOKUP(tabItens[[#This Row],[CÓDIGO]],tabExcluirDoEstoque[#Data],1,FALSE),"sim",""),"")</f>
        <v/>
      </c>
      <c r="AP12" s="398">
        <f ca="1">IF(OR(ISBLANK(tabItens[[#This Row],[ATA DT.VALID.]]),tabItens[[#This Row],[ATA DT.VALID.]]="",tabItens[[#This Row],[ATA DT.VALID.]]=" "),"",IF(TYPE(tabItens[[#This Row],[ATA DT.VALID.]])=1,ROUNDUP((tabItens[[#This Row],[ATA DT.VALID.]]-TODAY())/7,0),""))</f>
        <v>17</v>
      </c>
      <c r="AQ12" s="399">
        <v>0</v>
      </c>
      <c r="AR12" s="400" t="str">
        <f>IF(ISBLANK(tabItens[[#This Row],[CÓDIGO]]),"",IFERROR(VLOOKUP(tabItens[[#This Row],[CÓDIGO]],Consumo!$C$2:$AC$862,26,FALSE),0))</f>
        <v>09.2023</v>
      </c>
      <c r="AS12" s="401">
        <f>SUMIF(Consumo!$C$3:$C$862,tabItens[[#This Row],[CÓDIGO]],Consumo!$N$3:$N$862) + SUMIF(Consumo!$C$3:$C$862,tabItens[[#This Row],[CÓDIGO]],Consumo!$O$3:$O$862) + SUMIF(Consumo!$C$3:$C$862,tabItens[[#This Row],[CÓDIGO]],Consumo!$P$3:$P$862) + SUMIF(Consumo!$C$3:$C$862,tabItens[[#This Row],[CÓDIGO]],Consumo!$Q$3:$Q$862)</f>
        <v>11</v>
      </c>
      <c r="AT12" s="401">
        <f>SUMIF(Consumo!$C$3:$C$862,tabItens[[#This Row],[CÓDIGO]],Consumo!$Z$3:$Z$862)</f>
        <v>18</v>
      </c>
      <c r="AU12" s="402">
        <f>SUMIF(Consumo!$C$3:$C$862,tabItens[[#This Row],[CÓDIGO]],Consumo!$AA$3:$AA$862)</f>
        <v>4</v>
      </c>
      <c r="AV12" s="403">
        <f>SUMIF(Consumo!$C$3:$C$862,tabItens[[#This Row],[CÓDIGO]],Consumo!$Y$3:$Y$862)</f>
        <v>1.5</v>
      </c>
      <c r="AW12" s="380">
        <f>tabItens[[#This Row],[QTDE ATUAL]] + tabItens[[#This Row],[RC QTDE]] + tabItens[[#This Row],[AF SALDO]] + tabItens[[#This Row],[Recentes]]</f>
        <v>10</v>
      </c>
      <c r="AX12" s="404">
        <v>3</v>
      </c>
      <c r="AY12" s="404">
        <v>4</v>
      </c>
      <c r="AZ12" s="404">
        <f>IF(ISBLANK(tabItens[[#This Row],[CÓDIGO]]),"",tabItens[[#This Row],[PontoMês]] * (AZ$2+tabItens[[#This Row],[PontoQtM]]))</f>
        <v>12</v>
      </c>
      <c r="BA12" s="403">
        <f>tabItens[[#This Row],[PontoPed]] - tabItens[[#This Row],[Saldo]] + (1/10)</f>
        <v>2.1</v>
      </c>
      <c r="BB12" s="403">
        <f xml:space="preserve"> tabItens[[#This Row],[PontoMês]] * BB$2 - tabItens[[#This Row],[QTDE ATUAL]] - (1/10)</f>
        <v>-7.1</v>
      </c>
      <c r="BC12" s="335">
        <f>IF( tabItens[[#This Row],[PontoPed]]&gt;0, IF(tabItens[[#This Row],[PontoPed]]&lt;1, 1, IF( tabItens[[#This Row],[Saldo]]&gt;tabItens[[#This Row],[PontoPed]], 0, (tabItens[[#This Row],[PontoPed]]-tabItens[[#This Row],[Saldo]])/tabItens[[#This Row],[PontoPed]] ) ), 0 )</f>
        <v>0.16666666666666666</v>
      </c>
      <c r="BD12" s="405">
        <f>ROUNDDOWN(IF( OR( AND(tabItens[[#This Row],[PontoPed]]&lt;tabItens[[#This Row],[Saldo]],tabItens[[#This Row],[Saldo]]&gt;0), tabItens[[#This Row],[PontoPed]]=0), 99, IF(AND(tabItens[[#This Row],[Saldo]]=0,tabItens[[#This Row],[PontoPed]]&gt;0), 0, (1-tabItens[[#This Row],[PctAb]])*10 ) ),0)</f>
        <v>8</v>
      </c>
      <c r="BE12" s="406">
        <f>MAX(ROUNDDOWN( IF(tabItens[[#This Row],[Abaixo]] &gt; 0,   tabItens[[#This Row],[Abaixo]] + (tabItens[[#This Row],[PontoMês]] * IF( OR( ISBLANK(tabItens[[#This Row],[ATA Nº/ANO]]), tabItens[[#This Row],[ATA Nº/ANO]] = ""),BE$2,BE$1)),0),0),0)</f>
        <v>11</v>
      </c>
      <c r="BF12"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v>
      </c>
      <c r="BG12" s="338">
        <f>SUMIF(Consumo!$C$3:$C$862,tabItens[[#This Row],[CÓDIGO]],Consumo!$E$3:$E$862)</f>
        <v>3</v>
      </c>
      <c r="BH12" s="339">
        <f>IF(AND(tabItens[[#This Row],[Pend]] &gt; 0,tabItens[[#This Row],[Consumo]] &lt;&gt; 0), tabItens[[#This Row],[Pend]] / tabItens[[#This Row],[Consumo]], 0 )</f>
        <v>0.16666666666666666</v>
      </c>
      <c r="BI12" s="338"/>
      <c r="BJ12" s="407"/>
      <c r="BK12" s="408" t="s">
        <v>2086</v>
      </c>
    </row>
    <row r="13" spans="1:63" x14ac:dyDescent="0.3">
      <c r="A13" s="375">
        <v>87699</v>
      </c>
      <c r="B13" s="376" t="s">
        <v>1501</v>
      </c>
      <c r="C13" s="377" t="s">
        <v>263</v>
      </c>
      <c r="D13" s="378">
        <v>3.18</v>
      </c>
      <c r="E13" s="305" t="s">
        <v>1499</v>
      </c>
      <c r="F13" s="379" t="s">
        <v>1500</v>
      </c>
      <c r="G13" s="379" t="s">
        <v>896</v>
      </c>
      <c r="H13" s="380">
        <v>86</v>
      </c>
      <c r="I13" s="307">
        <v>103003</v>
      </c>
      <c r="J13" s="308">
        <v>3.18</v>
      </c>
      <c r="K13" s="381">
        <v>3</v>
      </c>
      <c r="L13" s="382">
        <f>IF(tabItens[[#This Row],[Média]] &gt; 0, tabItens[[#This Row],[QTDE ATUAL]] / tabItens[[#This Row],[Média]],999.9)</f>
        <v>344</v>
      </c>
      <c r="M13" s="383">
        <v>0</v>
      </c>
      <c r="N13" s="384">
        <f>tabItens[[#This Row],[VALOR UNIT.]] * tabItens[[#This Row],[LC]]</f>
        <v>0</v>
      </c>
      <c r="O13" s="385" t="s">
        <v>897</v>
      </c>
      <c r="P13" s="386">
        <v>0</v>
      </c>
      <c r="Q13" s="387">
        <v>330</v>
      </c>
      <c r="R13" s="312">
        <v>1049.4000000000001</v>
      </c>
      <c r="S13" s="388">
        <v>45377</v>
      </c>
      <c r="T13" s="389">
        <f>ROUNDDOWN(IFERROR(tabItens[[#This Row],[ATA DT.VALID.]] - $D$1,0) / 30,0)</f>
        <v>38</v>
      </c>
      <c r="U13" s="302" t="s">
        <v>1440</v>
      </c>
      <c r="V13" s="318">
        <v>1</v>
      </c>
      <c r="W13" s="390" t="s">
        <v>2073</v>
      </c>
      <c r="X13" s="391">
        <v>72</v>
      </c>
      <c r="Y13" s="392">
        <v>5</v>
      </c>
      <c r="Z13" s="393"/>
      <c r="AA13" s="394"/>
      <c r="AB13" s="395"/>
      <c r="AC13" s="395"/>
      <c r="AD13" s="394"/>
      <c r="AE13" s="395"/>
      <c r="AF13" s="317"/>
      <c r="AG13" s="396" t="s">
        <v>2072</v>
      </c>
      <c r="AH13" s="397"/>
      <c r="AI13" s="317">
        <v>0</v>
      </c>
      <c r="AJ13" s="397">
        <v>43279</v>
      </c>
      <c r="AK13" s="326">
        <v>38611</v>
      </c>
      <c r="AL13" s="326">
        <v>45209</v>
      </c>
      <c r="AM13" s="316"/>
      <c r="AN13" s="305"/>
      <c r="AO13" s="327" t="str">
        <f>_xlfn.IFNA(IF(VLOOKUP(tabItens[[#This Row],[CÓDIGO]],tabExcluirDoEstoque[#Data],1,FALSE),"sim",""),"")</f>
        <v/>
      </c>
      <c r="AP13" s="398">
        <f ca="1">IF(OR(ISBLANK(tabItens[[#This Row],[ATA DT.VALID.]]),tabItens[[#This Row],[ATA DT.VALID.]]="",tabItens[[#This Row],[ATA DT.VALID.]]=" "),"",IF(TYPE(tabItens[[#This Row],[ATA DT.VALID.]])=1,ROUNDUP((tabItens[[#This Row],[ATA DT.VALID.]]-TODAY())/7,0),""))</f>
        <v>17</v>
      </c>
      <c r="AQ13" s="399">
        <v>0</v>
      </c>
      <c r="AR13" s="400" t="str">
        <f>IF(ISBLANK(tabItens[[#This Row],[CÓDIGO]]),"",IFERROR(VLOOKUP(tabItens[[#This Row],[CÓDIGO]],Consumo!$C$2:$AC$862,26,FALSE),0))</f>
        <v>08.2023</v>
      </c>
      <c r="AS13" s="401">
        <f>SUMIF(Consumo!$C$3:$C$862,tabItens[[#This Row],[CÓDIGO]],Consumo!$N$3:$N$862) + SUMIF(Consumo!$C$3:$C$862,tabItens[[#This Row],[CÓDIGO]],Consumo!$O$3:$O$862) + SUMIF(Consumo!$C$3:$C$862,tabItens[[#This Row],[CÓDIGO]],Consumo!$P$3:$P$862) + SUMIF(Consumo!$C$3:$C$862,tabItens[[#This Row],[CÓDIGO]],Consumo!$Q$3:$Q$862)</f>
        <v>2</v>
      </c>
      <c r="AT13" s="401">
        <f>SUMIF(Consumo!$C$3:$C$862,tabItens[[#This Row],[CÓDIGO]],Consumo!$Z$3:$Z$862)</f>
        <v>3</v>
      </c>
      <c r="AU13" s="402">
        <f>SUMIF(Consumo!$C$3:$C$862,tabItens[[#This Row],[CÓDIGO]],Consumo!$AA$3:$AA$862)</f>
        <v>1</v>
      </c>
      <c r="AV13" s="403">
        <f>SUMIF(Consumo!$C$3:$C$862,tabItens[[#This Row],[CÓDIGO]],Consumo!$Y$3:$Y$862)</f>
        <v>0.25</v>
      </c>
      <c r="AW13" s="380">
        <f>tabItens[[#This Row],[QTDE ATUAL]] + tabItens[[#This Row],[RC QTDE]] + tabItens[[#This Row],[AF SALDO]] + tabItens[[#This Row],[Recentes]]</f>
        <v>86</v>
      </c>
      <c r="AX13" s="404">
        <v>6</v>
      </c>
      <c r="AY13" s="404">
        <v>4</v>
      </c>
      <c r="AZ13" s="404">
        <f>IF(ISBLANK(tabItens[[#This Row],[CÓDIGO]]),"",tabItens[[#This Row],[PontoMês]] * (AZ$2+tabItens[[#This Row],[PontoQtM]]))</f>
        <v>24</v>
      </c>
      <c r="BA13" s="403">
        <f>tabItens[[#This Row],[PontoPed]] - tabItens[[#This Row],[Saldo]] + (1/10)</f>
        <v>-61.9</v>
      </c>
      <c r="BB13" s="403">
        <f xml:space="preserve"> tabItens[[#This Row],[PontoMês]] * BB$2 - tabItens[[#This Row],[QTDE ATUAL]] - (1/10)</f>
        <v>-80.099999999999994</v>
      </c>
      <c r="BC13" s="335">
        <f>IF( tabItens[[#This Row],[PontoPed]]&gt;0, IF(tabItens[[#This Row],[PontoPed]]&lt;1, 1, IF( tabItens[[#This Row],[Saldo]]&gt;tabItens[[#This Row],[PontoPed]], 0, (tabItens[[#This Row],[PontoPed]]-tabItens[[#This Row],[Saldo]])/tabItens[[#This Row],[PontoPed]] ) ), 0 )</f>
        <v>0</v>
      </c>
      <c r="BD13" s="405">
        <f>ROUNDDOWN(IF( OR( AND(tabItens[[#This Row],[PontoPed]]&lt;tabItens[[#This Row],[Saldo]],tabItens[[#This Row],[Saldo]]&gt;0), tabItens[[#This Row],[PontoPed]]=0), 99, IF(AND(tabItens[[#This Row],[Saldo]]=0,tabItens[[#This Row],[PontoPed]]&gt;0), 0, (1-tabItens[[#This Row],[PctAb]])*10 ) ),0)</f>
        <v>99</v>
      </c>
      <c r="BE13" s="406">
        <f>MAX(ROUNDDOWN( IF(tabItens[[#This Row],[Abaixo]] &gt; 0,   tabItens[[#This Row],[Abaixo]] + (tabItens[[#This Row],[PontoMês]] * IF( OR( ISBLANK(tabItens[[#This Row],[ATA Nº/ANO]]), tabItens[[#This Row],[ATA Nº/ANO]] = ""),BE$2,BE$1)),0),0),0)</f>
        <v>0</v>
      </c>
      <c r="BF13"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 s="338">
        <f>SUMIF(Consumo!$C$3:$C$862,tabItens[[#This Row],[CÓDIGO]],Consumo!$E$3:$E$862)</f>
        <v>0</v>
      </c>
      <c r="BH13" s="339">
        <f>IF(AND(tabItens[[#This Row],[Pend]] &gt; 0,tabItens[[#This Row],[Consumo]] &lt;&gt; 0), tabItens[[#This Row],[Pend]] / tabItens[[#This Row],[Consumo]], 0 )</f>
        <v>0</v>
      </c>
      <c r="BI13" s="338"/>
      <c r="BJ13" s="407"/>
      <c r="BK13" s="408" t="s">
        <v>2086</v>
      </c>
    </row>
    <row r="14" spans="1:63" x14ac:dyDescent="0.3">
      <c r="A14" s="375">
        <v>9413</v>
      </c>
      <c r="B14" s="376" t="s">
        <v>893</v>
      </c>
      <c r="C14" s="377" t="s">
        <v>31</v>
      </c>
      <c r="D14" s="378">
        <v>0.67</v>
      </c>
      <c r="E14" s="305" t="s">
        <v>894</v>
      </c>
      <c r="F14" s="379" t="s">
        <v>895</v>
      </c>
      <c r="G14" s="379" t="s">
        <v>896</v>
      </c>
      <c r="H14" s="380">
        <v>5316</v>
      </c>
      <c r="I14" s="307">
        <v>103003</v>
      </c>
      <c r="J14" s="308">
        <v>0.67</v>
      </c>
      <c r="K14" s="381">
        <v>13230</v>
      </c>
      <c r="L14" s="382">
        <f>IF(tabItens[[#This Row],[Média]] &gt; 0, tabItens[[#This Row],[QTDE ATUAL]] / tabItens[[#This Row],[Média]],999.9)</f>
        <v>3.0025416548997459</v>
      </c>
      <c r="M14" s="383">
        <v>0</v>
      </c>
      <c r="N14" s="384">
        <f>tabItens[[#This Row],[VALOR UNIT.]] * tabItens[[#This Row],[LC]]</f>
        <v>0</v>
      </c>
      <c r="O14" s="385" t="s">
        <v>897</v>
      </c>
      <c r="P14" s="386">
        <v>0</v>
      </c>
      <c r="Q14" s="387">
        <v>106700</v>
      </c>
      <c r="R14" s="312">
        <v>71489</v>
      </c>
      <c r="S14" s="388">
        <v>45377</v>
      </c>
      <c r="T14" s="389">
        <f>ROUNDDOWN(IFERROR(tabItens[[#This Row],[ATA DT.VALID.]] - $D$1,0) / 30,0)</f>
        <v>38</v>
      </c>
      <c r="U14" s="302" t="s">
        <v>898</v>
      </c>
      <c r="V14" s="318">
        <v>1</v>
      </c>
      <c r="W14" s="390" t="s">
        <v>2073</v>
      </c>
      <c r="X14" s="391">
        <v>72</v>
      </c>
      <c r="Y14" s="392">
        <v>6</v>
      </c>
      <c r="Z14" s="393"/>
      <c r="AA14" s="394"/>
      <c r="AB14" s="395"/>
      <c r="AC14" s="395">
        <v>12192</v>
      </c>
      <c r="AD14" s="394">
        <v>2023</v>
      </c>
      <c r="AE14" s="395">
        <v>2700</v>
      </c>
      <c r="AF14" s="317">
        <v>2700</v>
      </c>
      <c r="AG14" s="396" t="s">
        <v>2051</v>
      </c>
      <c r="AH14" s="397">
        <v>45229</v>
      </c>
      <c r="AI14" s="317">
        <v>10382</v>
      </c>
      <c r="AJ14" s="397">
        <v>45098</v>
      </c>
      <c r="AK14" s="326" t="s">
        <v>889</v>
      </c>
      <c r="AL14" s="326">
        <v>45209</v>
      </c>
      <c r="AM14" s="316"/>
      <c r="AN14" s="305"/>
      <c r="AO14" s="327" t="str">
        <f>_xlfn.IFNA(IF(VLOOKUP(tabItens[[#This Row],[CÓDIGO]],tabExcluirDoEstoque[#Data],1,FALSE),"sim",""),"")</f>
        <v/>
      </c>
      <c r="AP14" s="398">
        <f ca="1">IF(OR(ISBLANK(tabItens[[#This Row],[ATA DT.VALID.]]),tabItens[[#This Row],[ATA DT.VALID.]]="",tabItens[[#This Row],[ATA DT.VALID.]]=" "),"",IF(TYPE(tabItens[[#This Row],[ATA DT.VALID.]])=1,ROUNDUP((tabItens[[#This Row],[ATA DT.VALID.]]-TODAY())/7,0),""))</f>
        <v>17</v>
      </c>
      <c r="AQ14" s="399">
        <v>0</v>
      </c>
      <c r="AR14" s="400" t="str">
        <f>IF(ISBLANK(tabItens[[#This Row],[CÓDIGO]]),"",IFERROR(VLOOKUP(tabItens[[#This Row],[CÓDIGO]],Consumo!$C$2:$AC$862,26,FALSE),0))</f>
        <v>09.2023</v>
      </c>
      <c r="AS14" s="401">
        <f>SUMIF(Consumo!$C$3:$C$862,tabItens[[#This Row],[CÓDIGO]],Consumo!$N$3:$N$862) + SUMIF(Consumo!$C$3:$C$862,tabItens[[#This Row],[CÓDIGO]],Consumo!$O$3:$O$862) + SUMIF(Consumo!$C$3:$C$862,tabItens[[#This Row],[CÓDIGO]],Consumo!$P$3:$P$862) + SUMIF(Consumo!$C$3:$C$862,tabItens[[#This Row],[CÓDIGO]],Consumo!$Q$3:$Q$862)</f>
        <v>6618</v>
      </c>
      <c r="AT14" s="401">
        <f>SUMIF(Consumo!$C$3:$C$862,tabItens[[#This Row],[CÓDIGO]],Consumo!$Z$3:$Z$862)</f>
        <v>21246</v>
      </c>
      <c r="AU14" s="402">
        <f>SUMIF(Consumo!$C$3:$C$862,tabItens[[#This Row],[CÓDIGO]],Consumo!$AA$3:$AA$862)</f>
        <v>2740</v>
      </c>
      <c r="AV14" s="403">
        <f>SUMIF(Consumo!$C$3:$C$862,tabItens[[#This Row],[CÓDIGO]],Consumo!$Y$3:$Y$862)</f>
        <v>1770.5</v>
      </c>
      <c r="AW14" s="380">
        <f>tabItens[[#This Row],[QTDE ATUAL]] + tabItens[[#This Row],[RC QTDE]] + tabItens[[#This Row],[AF SALDO]] + tabItens[[#This Row],[Recentes]]</f>
        <v>8016</v>
      </c>
      <c r="AX14" s="404">
        <v>1132</v>
      </c>
      <c r="AY14" s="404">
        <v>4</v>
      </c>
      <c r="AZ14" s="404">
        <f>IF(ISBLANK(tabItens[[#This Row],[CÓDIGO]]),"",tabItens[[#This Row],[PontoMês]] * (AZ$2+tabItens[[#This Row],[PontoQtM]]))</f>
        <v>4528</v>
      </c>
      <c r="BA14" s="403">
        <f>tabItens[[#This Row],[PontoPed]] - tabItens[[#This Row],[Saldo]] + (1/10)</f>
        <v>-3487.9</v>
      </c>
      <c r="BB14" s="403">
        <f xml:space="preserve"> tabItens[[#This Row],[PontoMês]] * BB$2 - tabItens[[#This Row],[QTDE ATUAL]] - (1/10)</f>
        <v>-4184.1000000000004</v>
      </c>
      <c r="BC14" s="335">
        <f>IF( tabItens[[#This Row],[PontoPed]]&gt;0, IF(tabItens[[#This Row],[PontoPed]]&lt;1, 1, IF( tabItens[[#This Row],[Saldo]]&gt;tabItens[[#This Row],[PontoPed]], 0, (tabItens[[#This Row],[PontoPed]]-tabItens[[#This Row],[Saldo]])/tabItens[[#This Row],[PontoPed]] ) ), 0 )</f>
        <v>0</v>
      </c>
      <c r="BD14" s="405">
        <f>ROUNDDOWN(IF( OR( AND(tabItens[[#This Row],[PontoPed]]&lt;tabItens[[#This Row],[Saldo]],tabItens[[#This Row],[Saldo]]&gt;0), tabItens[[#This Row],[PontoPed]]=0), 99, IF(AND(tabItens[[#This Row],[Saldo]]=0,tabItens[[#This Row],[PontoPed]]&gt;0), 0, (1-tabItens[[#This Row],[PctAb]])*10 ) ),0)</f>
        <v>99</v>
      </c>
      <c r="BE14" s="406">
        <f>MAX(ROUNDDOWN( IF(tabItens[[#This Row],[Abaixo]] &gt; 0,   tabItens[[#This Row],[Abaixo]] + (tabItens[[#This Row],[PontoMês]] * IF( OR( ISBLANK(tabItens[[#This Row],[ATA Nº/ANO]]), tabItens[[#This Row],[ATA Nº/ANO]] = ""),BE$2,BE$1)),0),0),0)</f>
        <v>0</v>
      </c>
      <c r="BF14"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 s="338">
        <f>SUMIF(Consumo!$C$3:$C$862,tabItens[[#This Row],[CÓDIGO]],Consumo!$E$3:$E$862)</f>
        <v>100</v>
      </c>
      <c r="BH14" s="339">
        <f>IF(AND(tabItens[[#This Row],[Pend]] &gt; 0,tabItens[[#This Row],[Consumo]] &lt;&gt; 0), tabItens[[#This Row],[Pend]] / tabItens[[#This Row],[Consumo]], 0 )</f>
        <v>4.7067683328626568E-3</v>
      </c>
      <c r="BI14" s="338"/>
      <c r="BJ14" s="407"/>
      <c r="BK14" s="408" t="s">
        <v>2086</v>
      </c>
    </row>
    <row r="15" spans="1:63" x14ac:dyDescent="0.3">
      <c r="A15" s="375">
        <v>14154</v>
      </c>
      <c r="B15" s="376" t="s">
        <v>1061</v>
      </c>
      <c r="C15" s="377" t="s">
        <v>263</v>
      </c>
      <c r="D15" s="378">
        <v>0.56000000000000005</v>
      </c>
      <c r="E15" s="305" t="s">
        <v>1062</v>
      </c>
      <c r="F15" s="379" t="s">
        <v>1063</v>
      </c>
      <c r="G15" s="379" t="s">
        <v>896</v>
      </c>
      <c r="H15" s="380">
        <v>3297</v>
      </c>
      <c r="I15" s="307">
        <v>103003</v>
      </c>
      <c r="J15" s="308">
        <v>0.56000000000000005</v>
      </c>
      <c r="K15" s="381">
        <v>8388</v>
      </c>
      <c r="L15" s="382">
        <f>IF(tabItens[[#This Row],[Média]] &gt; 0, tabItens[[#This Row],[QTDE ATUAL]] / tabItens[[#This Row],[Média]],999.9)</f>
        <v>3.6525110782865586</v>
      </c>
      <c r="M15" s="383">
        <v>0</v>
      </c>
      <c r="N15" s="384">
        <f>tabItens[[#This Row],[VALOR UNIT.]] * tabItens[[#This Row],[LC]]</f>
        <v>0</v>
      </c>
      <c r="O15" s="385" t="s">
        <v>897</v>
      </c>
      <c r="P15" s="386">
        <v>0</v>
      </c>
      <c r="Q15" s="387">
        <v>27500</v>
      </c>
      <c r="R15" s="312">
        <v>15400</v>
      </c>
      <c r="S15" s="388">
        <v>45377</v>
      </c>
      <c r="T15" s="389">
        <f>ROUNDDOWN(IFERROR(tabItens[[#This Row],[ATA DT.VALID.]] - $D$1,0) / 30,0)</f>
        <v>38</v>
      </c>
      <c r="U15" s="302" t="s">
        <v>898</v>
      </c>
      <c r="V15" s="318">
        <v>1</v>
      </c>
      <c r="W15" s="390" t="s">
        <v>2073</v>
      </c>
      <c r="X15" s="391">
        <v>72</v>
      </c>
      <c r="Y15" s="392">
        <v>6</v>
      </c>
      <c r="Z15" s="393"/>
      <c r="AA15" s="394"/>
      <c r="AB15" s="395"/>
      <c r="AC15" s="395"/>
      <c r="AD15" s="394"/>
      <c r="AE15" s="395"/>
      <c r="AF15" s="317"/>
      <c r="AG15" s="396" t="s">
        <v>2072</v>
      </c>
      <c r="AH15" s="397"/>
      <c r="AI15" s="317">
        <v>3696</v>
      </c>
      <c r="AJ15" s="397">
        <v>45208</v>
      </c>
      <c r="AK15" s="326" t="s">
        <v>889</v>
      </c>
      <c r="AL15" s="326">
        <v>45209</v>
      </c>
      <c r="AM15" s="316"/>
      <c r="AN15" s="305"/>
      <c r="AO15" s="327" t="str">
        <f>_xlfn.IFNA(IF(VLOOKUP(tabItens[[#This Row],[CÓDIGO]],tabExcluirDoEstoque[#Data],1,FALSE),"sim",""),"")</f>
        <v/>
      </c>
      <c r="AP15" s="398">
        <f ca="1">IF(OR(ISBLANK(tabItens[[#This Row],[ATA DT.VALID.]]),tabItens[[#This Row],[ATA DT.VALID.]]="",tabItens[[#This Row],[ATA DT.VALID.]]=" "),"",IF(TYPE(tabItens[[#This Row],[ATA DT.VALID.]])=1,ROUNDUP((tabItens[[#This Row],[ATA DT.VALID.]]-TODAY())/7,0),""))</f>
        <v>17</v>
      </c>
      <c r="AQ15" s="399">
        <v>0</v>
      </c>
      <c r="AR15" s="400" t="str">
        <f>IF(ISBLANK(tabItens[[#This Row],[CÓDIGO]]),"",IFERROR(VLOOKUP(tabItens[[#This Row],[CÓDIGO]],Consumo!$C$2:$AC$862,26,FALSE),0))</f>
        <v>09.2023</v>
      </c>
      <c r="AS15" s="401">
        <f>SUMIF(Consumo!$C$3:$C$862,tabItens[[#This Row],[CÓDIGO]],Consumo!$N$3:$N$862) + SUMIF(Consumo!$C$3:$C$862,tabItens[[#This Row],[CÓDIGO]],Consumo!$O$3:$O$862) + SUMIF(Consumo!$C$3:$C$862,tabItens[[#This Row],[CÓDIGO]],Consumo!$P$3:$P$862) + SUMIF(Consumo!$C$3:$C$862,tabItens[[#This Row],[CÓDIGO]],Consumo!$Q$3:$Q$862)</f>
        <v>3470</v>
      </c>
      <c r="AT15" s="401">
        <f>SUMIF(Consumo!$C$3:$C$862,tabItens[[#This Row],[CÓDIGO]],Consumo!$Z$3:$Z$862)</f>
        <v>11757</v>
      </c>
      <c r="AU15" s="402">
        <f>SUMIF(Consumo!$C$3:$C$862,tabItens[[#This Row],[CÓDIGO]],Consumo!$AA$3:$AA$862)</f>
        <v>3714</v>
      </c>
      <c r="AV15" s="403">
        <f>SUMIF(Consumo!$C$3:$C$862,tabItens[[#This Row],[CÓDIGO]],Consumo!$Y$3:$Y$862)</f>
        <v>902.66666666666663</v>
      </c>
      <c r="AW15" s="380">
        <f>tabItens[[#This Row],[QTDE ATUAL]] + tabItens[[#This Row],[RC QTDE]] + tabItens[[#This Row],[AF SALDO]] + tabItens[[#This Row],[Recentes]]</f>
        <v>3297</v>
      </c>
      <c r="AX15" s="404">
        <v>750</v>
      </c>
      <c r="AY15" s="404">
        <v>4</v>
      </c>
      <c r="AZ15" s="404">
        <f>IF(ISBLANK(tabItens[[#This Row],[CÓDIGO]]),"",tabItens[[#This Row],[PontoMês]] * (AZ$2+tabItens[[#This Row],[PontoQtM]]))</f>
        <v>3000</v>
      </c>
      <c r="BA15" s="403">
        <f>tabItens[[#This Row],[PontoPed]] - tabItens[[#This Row],[Saldo]] + (1/10)</f>
        <v>-296.89999999999998</v>
      </c>
      <c r="BB15" s="403">
        <f xml:space="preserve"> tabItens[[#This Row],[PontoMês]] * BB$2 - tabItens[[#This Row],[QTDE ATUAL]] - (1/10)</f>
        <v>-2547.1</v>
      </c>
      <c r="BC15" s="335">
        <f>IF( tabItens[[#This Row],[PontoPed]]&gt;0, IF(tabItens[[#This Row],[PontoPed]]&lt;1, 1, IF( tabItens[[#This Row],[Saldo]]&gt;tabItens[[#This Row],[PontoPed]], 0, (tabItens[[#This Row],[PontoPed]]-tabItens[[#This Row],[Saldo]])/tabItens[[#This Row],[PontoPed]] ) ), 0 )</f>
        <v>0</v>
      </c>
      <c r="BD15" s="405">
        <f>ROUNDDOWN(IF( OR( AND(tabItens[[#This Row],[PontoPed]]&lt;tabItens[[#This Row],[Saldo]],tabItens[[#This Row],[Saldo]]&gt;0), tabItens[[#This Row],[PontoPed]]=0), 99, IF(AND(tabItens[[#This Row],[Saldo]]=0,tabItens[[#This Row],[PontoPed]]&gt;0), 0, (1-tabItens[[#This Row],[PctAb]])*10 ) ),0)</f>
        <v>99</v>
      </c>
      <c r="BE15" s="406">
        <f>MAX(ROUNDDOWN( IF(tabItens[[#This Row],[Abaixo]] &gt; 0,   tabItens[[#This Row],[Abaixo]] + (tabItens[[#This Row],[PontoMês]] * IF( OR( ISBLANK(tabItens[[#This Row],[ATA Nº/ANO]]), tabItens[[#This Row],[ATA Nº/ANO]] = ""),BE$2,BE$1)),0),0),0)</f>
        <v>0</v>
      </c>
      <c r="BF15"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5" s="338">
        <f>SUMIF(Consumo!$C$3:$C$862,tabItens[[#This Row],[CÓDIGO]],Consumo!$E$3:$E$862)</f>
        <v>872</v>
      </c>
      <c r="BH15" s="339">
        <f>IF(AND(tabItens[[#This Row],[Pend]] &gt; 0,tabItens[[#This Row],[Consumo]] &lt;&gt; 0), tabItens[[#This Row],[Pend]] / tabItens[[#This Row],[Consumo]], 0 )</f>
        <v>7.4168580420175212E-2</v>
      </c>
      <c r="BI15" s="338"/>
      <c r="BJ15" s="407"/>
      <c r="BK15" s="408" t="s">
        <v>2086</v>
      </c>
    </row>
    <row r="16" spans="1:63" x14ac:dyDescent="0.3">
      <c r="A16" s="375">
        <v>133021</v>
      </c>
      <c r="B16" s="376" t="s">
        <v>1848</v>
      </c>
      <c r="C16" s="377" t="s">
        <v>31</v>
      </c>
      <c r="D16" s="378">
        <v>2.2999999999999998</v>
      </c>
      <c r="E16" s="305" t="s">
        <v>1849</v>
      </c>
      <c r="F16" s="379" t="s">
        <v>1850</v>
      </c>
      <c r="G16" s="379" t="s">
        <v>896</v>
      </c>
      <c r="H16" s="380">
        <v>85</v>
      </c>
      <c r="I16" s="307">
        <v>103003</v>
      </c>
      <c r="J16" s="308">
        <v>2.2999999999999998</v>
      </c>
      <c r="K16" s="381">
        <v>543</v>
      </c>
      <c r="L16" s="382">
        <f>IF(tabItens[[#This Row],[Média]] &gt; 0, tabItens[[#This Row],[QTDE ATUAL]] / tabItens[[#This Row],[Média]],999.9)</f>
        <v>1.1617312072892938</v>
      </c>
      <c r="M16" s="383">
        <v>0</v>
      </c>
      <c r="N16" s="384">
        <f>tabItens[[#This Row],[VALOR UNIT.]] * tabItens[[#This Row],[LC]]</f>
        <v>0</v>
      </c>
      <c r="O16" s="385" t="s">
        <v>897</v>
      </c>
      <c r="P16" s="386">
        <v>0</v>
      </c>
      <c r="Q16" s="387">
        <v>17600</v>
      </c>
      <c r="R16" s="312">
        <v>40480</v>
      </c>
      <c r="S16" s="388">
        <v>45377</v>
      </c>
      <c r="T16" s="389">
        <f>ROUNDDOWN(IFERROR(tabItens[[#This Row],[ATA DT.VALID.]] - $D$1,0) / 30,0)</f>
        <v>38</v>
      </c>
      <c r="U16" s="302" t="s">
        <v>956</v>
      </c>
      <c r="V16" s="318">
        <v>1</v>
      </c>
      <c r="W16" s="390" t="s">
        <v>2073</v>
      </c>
      <c r="X16" s="391">
        <v>72</v>
      </c>
      <c r="Y16" s="392">
        <v>7</v>
      </c>
      <c r="Z16" s="393"/>
      <c r="AA16" s="394"/>
      <c r="AB16" s="395"/>
      <c r="AC16" s="395"/>
      <c r="AD16" s="394"/>
      <c r="AE16" s="395"/>
      <c r="AF16" s="317"/>
      <c r="AG16" s="396" t="s">
        <v>2072</v>
      </c>
      <c r="AH16" s="397"/>
      <c r="AI16" s="317">
        <v>206</v>
      </c>
      <c r="AJ16" s="397">
        <v>45208</v>
      </c>
      <c r="AK16" s="326">
        <v>42926</v>
      </c>
      <c r="AL16" s="326">
        <v>45181</v>
      </c>
      <c r="AM16" s="316"/>
      <c r="AN16" s="305"/>
      <c r="AO16" s="327" t="str">
        <f>_xlfn.IFNA(IF(VLOOKUP(tabItens[[#This Row],[CÓDIGO]],tabExcluirDoEstoque[#Data],1,FALSE),"sim",""),"")</f>
        <v/>
      </c>
      <c r="AP16" s="398">
        <f ca="1">IF(OR(ISBLANK(tabItens[[#This Row],[ATA DT.VALID.]]),tabItens[[#This Row],[ATA DT.VALID.]]="",tabItens[[#This Row],[ATA DT.VALID.]]=" "),"",IF(TYPE(tabItens[[#This Row],[ATA DT.VALID.]])=1,ROUNDUP((tabItens[[#This Row],[ATA DT.VALID.]]-TODAY())/7,0),""))</f>
        <v>17</v>
      </c>
      <c r="AQ16" s="399">
        <v>0</v>
      </c>
      <c r="AR16" s="400" t="str">
        <f>IF(ISBLANK(tabItens[[#This Row],[CÓDIGO]]),"",IFERROR(VLOOKUP(tabItens[[#This Row],[CÓDIGO]],Consumo!$C$2:$AC$862,26,FALSE),0))</f>
        <v>08.2023</v>
      </c>
      <c r="AS16" s="401">
        <f>SUMIF(Consumo!$C$3:$C$862,tabItens[[#This Row],[CÓDIGO]],Consumo!$N$3:$N$862) + SUMIF(Consumo!$C$3:$C$862,tabItens[[#This Row],[CÓDIGO]],Consumo!$O$3:$O$862) + SUMIF(Consumo!$C$3:$C$862,tabItens[[#This Row],[CÓDIGO]],Consumo!$P$3:$P$862) + SUMIF(Consumo!$C$3:$C$862,tabItens[[#This Row],[CÓDIGO]],Consumo!$Q$3:$Q$862)</f>
        <v>251</v>
      </c>
      <c r="AT16" s="401">
        <f>SUMIF(Consumo!$C$3:$C$862,tabItens[[#This Row],[CÓDIGO]],Consumo!$Z$3:$Z$862)</f>
        <v>878</v>
      </c>
      <c r="AU16" s="402">
        <f>SUMIF(Consumo!$C$3:$C$862,tabItens[[#This Row],[CÓDIGO]],Consumo!$AA$3:$AA$862)</f>
        <v>193</v>
      </c>
      <c r="AV16" s="403">
        <f>SUMIF(Consumo!$C$3:$C$862,tabItens[[#This Row],[CÓDIGO]],Consumo!$Y$3:$Y$862)</f>
        <v>73.166666666666671</v>
      </c>
      <c r="AW16" s="380">
        <f>tabItens[[#This Row],[QTDE ATUAL]] + tabItens[[#This Row],[RC QTDE]] + tabItens[[#This Row],[AF SALDO]] + tabItens[[#This Row],[Recentes]]</f>
        <v>85</v>
      </c>
      <c r="AX16" s="404">
        <v>60</v>
      </c>
      <c r="AY16" s="404">
        <v>4</v>
      </c>
      <c r="AZ16" s="404">
        <f>IF(ISBLANK(tabItens[[#This Row],[CÓDIGO]]),"",tabItens[[#This Row],[PontoMês]] * (AZ$2+tabItens[[#This Row],[PontoQtM]]))</f>
        <v>240</v>
      </c>
      <c r="BA16" s="403">
        <f>tabItens[[#This Row],[PontoPed]] - tabItens[[#This Row],[Saldo]] + (1/10)</f>
        <v>155.1</v>
      </c>
      <c r="BB16" s="403">
        <f xml:space="preserve"> tabItens[[#This Row],[PontoMês]] * BB$2 - tabItens[[#This Row],[QTDE ATUAL]] - (1/10)</f>
        <v>-25.1</v>
      </c>
      <c r="BC16" s="335">
        <f>IF( tabItens[[#This Row],[PontoPed]]&gt;0, IF(tabItens[[#This Row],[PontoPed]]&lt;1, 1, IF( tabItens[[#This Row],[Saldo]]&gt;tabItens[[#This Row],[PontoPed]], 0, (tabItens[[#This Row],[PontoPed]]-tabItens[[#This Row],[Saldo]])/tabItens[[#This Row],[PontoPed]] ) ), 0 )</f>
        <v>0.64583333333333337</v>
      </c>
      <c r="BD16" s="405">
        <f>ROUNDDOWN(IF( OR( AND(tabItens[[#This Row],[PontoPed]]&lt;tabItens[[#This Row],[Saldo]],tabItens[[#This Row],[Saldo]]&gt;0), tabItens[[#This Row],[PontoPed]]=0), 99, IF(AND(tabItens[[#This Row],[Saldo]]=0,tabItens[[#This Row],[PontoPed]]&gt;0), 0, (1-tabItens[[#This Row],[PctAb]])*10 ) ),0)</f>
        <v>3</v>
      </c>
      <c r="BE16" s="406">
        <f>MAX(ROUNDDOWN( IF(tabItens[[#This Row],[Abaixo]] &gt; 0,   tabItens[[#This Row],[Abaixo]] + (tabItens[[#This Row],[PontoMês]] * IF( OR( ISBLANK(tabItens[[#This Row],[ATA Nº/ANO]]), tabItens[[#This Row],[ATA Nº/ANO]] = ""),BE$2,BE$1)),0),0),0)</f>
        <v>335</v>
      </c>
      <c r="BF16"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335</v>
      </c>
      <c r="BG16" s="338">
        <f>SUMIF(Consumo!$C$3:$C$862,tabItens[[#This Row],[CÓDIGO]],Consumo!$E$3:$E$862)</f>
        <v>262</v>
      </c>
      <c r="BH16" s="339">
        <f>IF(AND(tabItens[[#This Row],[Pend]] &gt; 0,tabItens[[#This Row],[Consumo]] &lt;&gt; 0), tabItens[[#This Row],[Pend]] / tabItens[[#This Row],[Consumo]], 0 )</f>
        <v>0.29840546697038722</v>
      </c>
      <c r="BI16" s="338"/>
      <c r="BJ16" s="407"/>
      <c r="BK16" s="408" t="s">
        <v>2086</v>
      </c>
    </row>
    <row r="17" spans="1:63" x14ac:dyDescent="0.3">
      <c r="A17" s="375">
        <v>91669</v>
      </c>
      <c r="B17" s="376" t="s">
        <v>1531</v>
      </c>
      <c r="C17" s="377" t="s">
        <v>31</v>
      </c>
      <c r="D17" s="378">
        <v>4.46</v>
      </c>
      <c r="E17" s="305" t="s">
        <v>1532</v>
      </c>
      <c r="F17" s="379" t="s">
        <v>1533</v>
      </c>
      <c r="G17" s="379" t="s">
        <v>896</v>
      </c>
      <c r="H17" s="380">
        <v>668</v>
      </c>
      <c r="I17" s="307">
        <v>103003</v>
      </c>
      <c r="J17" s="308">
        <v>4.46</v>
      </c>
      <c r="K17" s="381">
        <v>4189</v>
      </c>
      <c r="L17" s="382">
        <f>IF(tabItens[[#This Row],[Média]] &gt; 0, tabItens[[#This Row],[QTDE ATUAL]] / tabItens[[#This Row],[Média]],999.9)</f>
        <v>1.2570174063039048</v>
      </c>
      <c r="M17" s="383">
        <v>0</v>
      </c>
      <c r="N17" s="384">
        <f>tabItens[[#This Row],[VALOR UNIT.]] * tabItens[[#This Row],[LC]]</f>
        <v>0</v>
      </c>
      <c r="O17" s="385" t="s">
        <v>897</v>
      </c>
      <c r="P17" s="386">
        <v>0</v>
      </c>
      <c r="Q17" s="387">
        <v>4950</v>
      </c>
      <c r="R17" s="312">
        <v>22077</v>
      </c>
      <c r="S17" s="388">
        <v>45377</v>
      </c>
      <c r="T17" s="389">
        <f>ROUNDDOWN(IFERROR(tabItens[[#This Row],[ATA DT.VALID.]] - $D$1,0) / 30,0)</f>
        <v>38</v>
      </c>
      <c r="U17" s="302" t="s">
        <v>1534</v>
      </c>
      <c r="V17" s="318">
        <v>1</v>
      </c>
      <c r="W17" s="390" t="s">
        <v>2073</v>
      </c>
      <c r="X17" s="391">
        <v>72</v>
      </c>
      <c r="Y17" s="392">
        <v>9</v>
      </c>
      <c r="Z17" s="393"/>
      <c r="AA17" s="394"/>
      <c r="AB17" s="395"/>
      <c r="AC17" s="395">
        <v>12191</v>
      </c>
      <c r="AD17" s="394">
        <v>2023</v>
      </c>
      <c r="AE17" s="395">
        <v>800</v>
      </c>
      <c r="AF17" s="317">
        <v>800</v>
      </c>
      <c r="AG17" s="396" t="s">
        <v>2065</v>
      </c>
      <c r="AH17" s="397">
        <v>45229</v>
      </c>
      <c r="AI17" s="317">
        <v>2182</v>
      </c>
      <c r="AJ17" s="397">
        <v>45092</v>
      </c>
      <c r="AK17" s="326">
        <v>38847</v>
      </c>
      <c r="AL17" s="326">
        <v>45196</v>
      </c>
      <c r="AM17" s="316"/>
      <c r="AN17" s="305"/>
      <c r="AO17" s="327" t="str">
        <f>_xlfn.IFNA(IF(VLOOKUP(tabItens[[#This Row],[CÓDIGO]],tabExcluirDoEstoque[#Data],1,FALSE),"sim",""),"")</f>
        <v/>
      </c>
      <c r="AP17" s="398">
        <f ca="1">IF(OR(ISBLANK(tabItens[[#This Row],[ATA DT.VALID.]]),tabItens[[#This Row],[ATA DT.VALID.]]="",tabItens[[#This Row],[ATA DT.VALID.]]=" "),"",IF(TYPE(tabItens[[#This Row],[ATA DT.VALID.]])=1,ROUNDUP((tabItens[[#This Row],[ATA DT.VALID.]]-TODAY())/7,0),""))</f>
        <v>17</v>
      </c>
      <c r="AQ17" s="399">
        <v>0</v>
      </c>
      <c r="AR17" s="400" t="str">
        <f>IF(ISBLANK(tabItens[[#This Row],[CÓDIGO]]),"",IFERROR(VLOOKUP(tabItens[[#This Row],[CÓDIGO]],Consumo!$C$2:$AC$862,26,FALSE),0))</f>
        <v>09.2023</v>
      </c>
      <c r="AS17" s="401">
        <f>SUMIF(Consumo!$C$3:$C$862,tabItens[[#This Row],[CÓDIGO]],Consumo!$N$3:$N$862) + SUMIF(Consumo!$C$3:$C$862,tabItens[[#This Row],[CÓDIGO]],Consumo!$O$3:$O$862) + SUMIF(Consumo!$C$3:$C$862,tabItens[[#This Row],[CÓDIGO]],Consumo!$P$3:$P$862) + SUMIF(Consumo!$C$3:$C$862,tabItens[[#This Row],[CÓDIGO]],Consumo!$Q$3:$Q$862)</f>
        <v>2285</v>
      </c>
      <c r="AT17" s="401">
        <f>SUMIF(Consumo!$C$3:$C$862,tabItens[[#This Row],[CÓDIGO]],Consumo!$Z$3:$Z$862)</f>
        <v>6548</v>
      </c>
      <c r="AU17" s="402">
        <f>SUMIF(Consumo!$C$3:$C$862,tabItens[[#This Row],[CÓDIGO]],Consumo!$AA$3:$AA$862)</f>
        <v>1256</v>
      </c>
      <c r="AV17" s="403">
        <f>SUMIF(Consumo!$C$3:$C$862,tabItens[[#This Row],[CÓDIGO]],Consumo!$Y$3:$Y$862)</f>
        <v>531.41666666666663</v>
      </c>
      <c r="AW17" s="380">
        <f>tabItens[[#This Row],[QTDE ATUAL]] + tabItens[[#This Row],[RC QTDE]] + tabItens[[#This Row],[AF SALDO]] + tabItens[[#This Row],[Recentes]]</f>
        <v>1468</v>
      </c>
      <c r="AX17" s="404">
        <v>391</v>
      </c>
      <c r="AY17" s="404">
        <v>4</v>
      </c>
      <c r="AZ17" s="404">
        <f>IF(ISBLANK(tabItens[[#This Row],[CÓDIGO]]),"",tabItens[[#This Row],[PontoMês]] * (AZ$2+tabItens[[#This Row],[PontoQtM]]))</f>
        <v>1564</v>
      </c>
      <c r="BA17" s="403">
        <f>tabItens[[#This Row],[PontoPed]] - tabItens[[#This Row],[Saldo]] + (1/10)</f>
        <v>96.1</v>
      </c>
      <c r="BB17" s="403">
        <f xml:space="preserve"> tabItens[[#This Row],[PontoMês]] * BB$2 - tabItens[[#This Row],[QTDE ATUAL]] - (1/10)</f>
        <v>-277.10000000000002</v>
      </c>
      <c r="BC17" s="335">
        <f>IF( tabItens[[#This Row],[PontoPed]]&gt;0, IF(tabItens[[#This Row],[PontoPed]]&lt;1, 1, IF( tabItens[[#This Row],[Saldo]]&gt;tabItens[[#This Row],[PontoPed]], 0, (tabItens[[#This Row],[PontoPed]]-tabItens[[#This Row],[Saldo]])/tabItens[[#This Row],[PontoPed]] ) ), 0 )</f>
        <v>6.1381074168797956E-2</v>
      </c>
      <c r="BD17" s="405">
        <f>ROUNDDOWN(IF( OR( AND(tabItens[[#This Row],[PontoPed]]&lt;tabItens[[#This Row],[Saldo]],tabItens[[#This Row],[Saldo]]&gt;0), tabItens[[#This Row],[PontoPed]]=0), 99, IF(AND(tabItens[[#This Row],[Saldo]]=0,tabItens[[#This Row],[PontoPed]]&gt;0), 0, (1-tabItens[[#This Row],[PctAb]])*10 ) ),0)</f>
        <v>9</v>
      </c>
      <c r="BE17" s="406">
        <f>MAX(ROUNDDOWN( IF(tabItens[[#This Row],[Abaixo]] &gt; 0,   tabItens[[#This Row],[Abaixo]] + (tabItens[[#This Row],[PontoMês]] * IF( OR( ISBLANK(tabItens[[#This Row],[ATA Nº/ANO]]), tabItens[[#This Row],[ATA Nº/ANO]] = ""),BE$2,BE$1)),0),0),0)</f>
        <v>1269</v>
      </c>
      <c r="BF17"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1269</v>
      </c>
      <c r="BG17" s="338">
        <f>SUMIF(Consumo!$C$3:$C$862,tabItens[[#This Row],[CÓDIGO]],Consumo!$E$3:$E$862)</f>
        <v>0</v>
      </c>
      <c r="BH17" s="339">
        <f>IF(AND(tabItens[[#This Row],[Pend]] &gt; 0,tabItens[[#This Row],[Consumo]] &lt;&gt; 0), tabItens[[#This Row],[Pend]] / tabItens[[#This Row],[Consumo]], 0 )</f>
        <v>0</v>
      </c>
      <c r="BI17" s="338"/>
      <c r="BJ17" s="407"/>
      <c r="BK17" s="408" t="s">
        <v>2086</v>
      </c>
    </row>
    <row r="18" spans="1:63" x14ac:dyDescent="0.3">
      <c r="A18" s="375">
        <v>12685</v>
      </c>
      <c r="B18" s="376" t="s">
        <v>957</v>
      </c>
      <c r="C18" s="377" t="s">
        <v>335</v>
      </c>
      <c r="D18" s="378">
        <v>1.8</v>
      </c>
      <c r="E18" s="305" t="s">
        <v>958</v>
      </c>
      <c r="F18" s="379" t="s">
        <v>959</v>
      </c>
      <c r="G18" s="379" t="s">
        <v>896</v>
      </c>
      <c r="H18" s="380">
        <v>0</v>
      </c>
      <c r="I18" s="307">
        <v>103003</v>
      </c>
      <c r="J18" s="308">
        <v>1.8</v>
      </c>
      <c r="K18" s="381">
        <v>389</v>
      </c>
      <c r="L18" s="382">
        <f>IF(tabItens[[#This Row],[Média]] &gt; 0, tabItens[[#This Row],[QTDE ATUAL]] / tabItens[[#This Row],[Média]],999.9)</f>
        <v>0</v>
      </c>
      <c r="M18" s="383">
        <v>0</v>
      </c>
      <c r="N18" s="384">
        <f>tabItens[[#This Row],[VALOR UNIT.]] * tabItens[[#This Row],[LC]]</f>
        <v>0</v>
      </c>
      <c r="O18" s="385" t="s">
        <v>897</v>
      </c>
      <c r="P18" s="386">
        <v>0</v>
      </c>
      <c r="Q18" s="387">
        <v>22440</v>
      </c>
      <c r="R18" s="312">
        <v>40392</v>
      </c>
      <c r="S18" s="388">
        <v>45377</v>
      </c>
      <c r="T18" s="389">
        <f>ROUNDDOWN(IFERROR(tabItens[[#This Row],[ATA DT.VALID.]] - $D$1,0) / 30,0)</f>
        <v>38</v>
      </c>
      <c r="U18" s="302" t="s">
        <v>960</v>
      </c>
      <c r="V18" s="318">
        <v>1</v>
      </c>
      <c r="W18" s="390" t="s">
        <v>2073</v>
      </c>
      <c r="X18" s="391">
        <v>72</v>
      </c>
      <c r="Y18" s="392">
        <v>10</v>
      </c>
      <c r="Z18" s="393"/>
      <c r="AA18" s="394"/>
      <c r="AB18" s="395"/>
      <c r="AC18" s="395">
        <v>12193</v>
      </c>
      <c r="AD18" s="394">
        <v>2023</v>
      </c>
      <c r="AE18" s="395">
        <v>100</v>
      </c>
      <c r="AF18" s="317">
        <v>100</v>
      </c>
      <c r="AG18" s="396" t="s">
        <v>2054</v>
      </c>
      <c r="AH18" s="397">
        <v>45229</v>
      </c>
      <c r="AI18" s="317">
        <v>136</v>
      </c>
      <c r="AJ18" s="397">
        <v>45132</v>
      </c>
      <c r="AK18" s="326" t="s">
        <v>889</v>
      </c>
      <c r="AL18" s="326">
        <v>45209</v>
      </c>
      <c r="AM18" s="316"/>
      <c r="AN18" s="305"/>
      <c r="AO18" s="327" t="str">
        <f>_xlfn.IFNA(IF(VLOOKUP(tabItens[[#This Row],[CÓDIGO]],tabExcluirDoEstoque[#Data],1,FALSE),"sim",""),"")</f>
        <v/>
      </c>
      <c r="AP18" s="398">
        <f ca="1">IF(OR(ISBLANK(tabItens[[#This Row],[ATA DT.VALID.]]),tabItens[[#This Row],[ATA DT.VALID.]]="",tabItens[[#This Row],[ATA DT.VALID.]]=" "),"",IF(TYPE(tabItens[[#This Row],[ATA DT.VALID.]])=1,ROUNDUP((tabItens[[#This Row],[ATA DT.VALID.]]-TODAY())/7,0),""))</f>
        <v>17</v>
      </c>
      <c r="AQ18" s="399">
        <v>0</v>
      </c>
      <c r="AR18" s="400" t="str">
        <f>IF(ISBLANK(tabItens[[#This Row],[CÓDIGO]]),"",IFERROR(VLOOKUP(tabItens[[#This Row],[CÓDIGO]],Consumo!$C$2:$AC$862,26,FALSE),0))</f>
        <v>09.2023</v>
      </c>
      <c r="AS18" s="401">
        <f>SUMIF(Consumo!$C$3:$C$862,tabItens[[#This Row],[CÓDIGO]],Consumo!$N$3:$N$862) + SUMIF(Consumo!$C$3:$C$862,tabItens[[#This Row],[CÓDIGO]],Consumo!$O$3:$O$862) + SUMIF(Consumo!$C$3:$C$862,tabItens[[#This Row],[CÓDIGO]],Consumo!$P$3:$P$862) + SUMIF(Consumo!$C$3:$C$862,tabItens[[#This Row],[CÓDIGO]],Consumo!$Q$3:$Q$862)</f>
        <v>210</v>
      </c>
      <c r="AT18" s="401">
        <f>SUMIF(Consumo!$C$3:$C$862,tabItens[[#This Row],[CÓDIGO]],Consumo!$Z$3:$Z$862)</f>
        <v>621</v>
      </c>
      <c r="AU18" s="402">
        <f>SUMIF(Consumo!$C$3:$C$862,tabItens[[#This Row],[CÓDIGO]],Consumo!$AA$3:$AA$862)</f>
        <v>82</v>
      </c>
      <c r="AV18" s="403">
        <f>SUMIF(Consumo!$C$3:$C$862,tabItens[[#This Row],[CÓDIGO]],Consumo!$Y$3:$Y$862)</f>
        <v>51.75</v>
      </c>
      <c r="AW18" s="380">
        <f>tabItens[[#This Row],[QTDE ATUAL]] + tabItens[[#This Row],[RC QTDE]] + tabItens[[#This Row],[AF SALDO]] + tabItens[[#This Row],[Recentes]]</f>
        <v>100</v>
      </c>
      <c r="AX18" s="404">
        <v>624</v>
      </c>
      <c r="AY18" s="404">
        <v>4</v>
      </c>
      <c r="AZ18" s="404">
        <f>IF(ISBLANK(tabItens[[#This Row],[CÓDIGO]]),"",tabItens[[#This Row],[PontoMês]] * (AZ$2+tabItens[[#This Row],[PontoQtM]]))</f>
        <v>2496</v>
      </c>
      <c r="BA18" s="403">
        <f>tabItens[[#This Row],[PontoPed]] - tabItens[[#This Row],[Saldo]] + (1/10)</f>
        <v>2396.1</v>
      </c>
      <c r="BB18" s="403">
        <f xml:space="preserve"> tabItens[[#This Row],[PontoMês]] * BB$2 - tabItens[[#This Row],[QTDE ATUAL]] - (1/10)</f>
        <v>623.9</v>
      </c>
      <c r="BC18" s="335">
        <f>IF( tabItens[[#This Row],[PontoPed]]&gt;0, IF(tabItens[[#This Row],[PontoPed]]&lt;1, 1, IF( tabItens[[#This Row],[Saldo]]&gt;tabItens[[#This Row],[PontoPed]], 0, (tabItens[[#This Row],[PontoPed]]-tabItens[[#This Row],[Saldo]])/tabItens[[#This Row],[PontoPed]] ) ), 0 )</f>
        <v>0.95993589743589747</v>
      </c>
      <c r="BD18" s="405">
        <f>ROUNDDOWN(IF( OR( AND(tabItens[[#This Row],[PontoPed]]&lt;tabItens[[#This Row],[Saldo]],tabItens[[#This Row],[Saldo]]&gt;0), tabItens[[#This Row],[PontoPed]]=0), 99, IF(AND(tabItens[[#This Row],[Saldo]]=0,tabItens[[#This Row],[PontoPed]]&gt;0), 0, (1-tabItens[[#This Row],[PctAb]])*10 ) ),0)</f>
        <v>0</v>
      </c>
      <c r="BE18" s="406">
        <f>MAX(ROUNDDOWN( IF(tabItens[[#This Row],[Abaixo]] &gt; 0,   tabItens[[#This Row],[Abaixo]] + (tabItens[[#This Row],[PontoMês]] * IF( OR( ISBLANK(tabItens[[#This Row],[ATA Nº/ANO]]), tabItens[[#This Row],[ATA Nº/ANO]] = ""),BE$2,BE$1)),0),0),0)</f>
        <v>4268</v>
      </c>
      <c r="BF18"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4268</v>
      </c>
      <c r="BG18" s="338">
        <f>SUMIF(Consumo!$C$3:$C$862,tabItens[[#This Row],[CÓDIGO]],Consumo!$E$3:$E$862)</f>
        <v>211</v>
      </c>
      <c r="BH18" s="339">
        <f>IF(AND(tabItens[[#This Row],[Pend]] &gt; 0,tabItens[[#This Row],[Consumo]] &lt;&gt; 0), tabItens[[#This Row],[Pend]] / tabItens[[#This Row],[Consumo]], 0 )</f>
        <v>0.33977455716586152</v>
      </c>
      <c r="BI18" s="338"/>
      <c r="BJ18" s="407"/>
      <c r="BK18" s="408" t="s">
        <v>2086</v>
      </c>
    </row>
    <row r="19" spans="1:63" x14ac:dyDescent="0.3">
      <c r="A19" s="375">
        <v>102922</v>
      </c>
      <c r="B19" s="376" t="s">
        <v>1599</v>
      </c>
      <c r="C19" s="377" t="s">
        <v>335</v>
      </c>
      <c r="D19" s="378">
        <v>1.41</v>
      </c>
      <c r="E19" s="305" t="s">
        <v>1600</v>
      </c>
      <c r="F19" s="379" t="s">
        <v>1533</v>
      </c>
      <c r="G19" s="379" t="s">
        <v>896</v>
      </c>
      <c r="H19" s="380">
        <v>826</v>
      </c>
      <c r="I19" s="307">
        <v>103003</v>
      </c>
      <c r="J19" s="308">
        <v>1.41</v>
      </c>
      <c r="K19" s="381">
        <v>13442</v>
      </c>
      <c r="L19" s="382">
        <f>IF(tabItens[[#This Row],[Média]] &gt; 0, tabItens[[#This Row],[QTDE ATUAL]] / tabItens[[#This Row],[Média]],999.9)</f>
        <v>0.46911827346301294</v>
      </c>
      <c r="M19" s="383">
        <v>0</v>
      </c>
      <c r="N19" s="384">
        <f>tabItens[[#This Row],[VALOR UNIT.]] * tabItens[[#This Row],[LC]]</f>
        <v>0</v>
      </c>
      <c r="O19" s="385" t="s">
        <v>897</v>
      </c>
      <c r="P19" s="386">
        <v>0</v>
      </c>
      <c r="Q19" s="387">
        <v>44000</v>
      </c>
      <c r="R19" s="312">
        <v>62040</v>
      </c>
      <c r="S19" s="388">
        <v>45377</v>
      </c>
      <c r="T19" s="389">
        <f>ROUNDDOWN(IFERROR(tabItens[[#This Row],[ATA DT.VALID.]] - $D$1,0) / 30,0)</f>
        <v>38</v>
      </c>
      <c r="U19" s="302" t="s">
        <v>960</v>
      </c>
      <c r="V19" s="318">
        <v>1</v>
      </c>
      <c r="W19" s="390" t="s">
        <v>2073</v>
      </c>
      <c r="X19" s="391">
        <v>72</v>
      </c>
      <c r="Y19" s="392">
        <v>10</v>
      </c>
      <c r="Z19" s="393"/>
      <c r="AA19" s="394"/>
      <c r="AB19" s="395"/>
      <c r="AC19" s="395">
        <v>12190</v>
      </c>
      <c r="AD19" s="394">
        <v>2023</v>
      </c>
      <c r="AE19" s="395">
        <v>4000</v>
      </c>
      <c r="AF19" s="317">
        <v>4000</v>
      </c>
      <c r="AG19" s="396" t="s">
        <v>2065</v>
      </c>
      <c r="AH19" s="397">
        <v>45229</v>
      </c>
      <c r="AI19" s="317">
        <v>6010</v>
      </c>
      <c r="AJ19" s="397">
        <v>45154</v>
      </c>
      <c r="AK19" s="326">
        <v>39379</v>
      </c>
      <c r="AL19" s="326">
        <v>45209</v>
      </c>
      <c r="AM19" s="316"/>
      <c r="AN19" s="305"/>
      <c r="AO19" s="327" t="str">
        <f>_xlfn.IFNA(IF(VLOOKUP(tabItens[[#This Row],[CÓDIGO]],tabExcluirDoEstoque[#Data],1,FALSE),"sim",""),"")</f>
        <v/>
      </c>
      <c r="AP19" s="398">
        <f ca="1">IF(OR(ISBLANK(tabItens[[#This Row],[ATA DT.VALID.]]),tabItens[[#This Row],[ATA DT.VALID.]]="",tabItens[[#This Row],[ATA DT.VALID.]]=" "),"",IF(TYPE(tabItens[[#This Row],[ATA DT.VALID.]])=1,ROUNDUP((tabItens[[#This Row],[ATA DT.VALID.]]-TODAY())/7,0),""))</f>
        <v>17</v>
      </c>
      <c r="AQ19" s="399">
        <v>0</v>
      </c>
      <c r="AR19" s="400" t="str">
        <f>IF(ISBLANK(tabItens[[#This Row],[CÓDIGO]]),"",IFERROR(VLOOKUP(tabItens[[#This Row],[CÓDIGO]],Consumo!$C$2:$AC$862,26,FALSE),0))</f>
        <v>09.2023</v>
      </c>
      <c r="AS19" s="401">
        <f>SUMIF(Consumo!$C$3:$C$862,tabItens[[#This Row],[CÓDIGO]],Consumo!$N$3:$N$862) + SUMIF(Consumo!$C$3:$C$862,tabItens[[#This Row],[CÓDIGO]],Consumo!$O$3:$O$862) + SUMIF(Consumo!$C$3:$C$862,tabItens[[#This Row],[CÓDIGO]],Consumo!$P$3:$P$862) + SUMIF(Consumo!$C$3:$C$862,tabItens[[#This Row],[CÓDIGO]],Consumo!$Q$3:$Q$862)</f>
        <v>7231</v>
      </c>
      <c r="AT19" s="401">
        <f>SUMIF(Consumo!$C$3:$C$862,tabItens[[#This Row],[CÓDIGO]],Consumo!$Z$3:$Z$862)</f>
        <v>21129</v>
      </c>
      <c r="AU19" s="402">
        <f>SUMIF(Consumo!$C$3:$C$862,tabItens[[#This Row],[CÓDIGO]],Consumo!$AA$3:$AA$862)</f>
        <v>2574</v>
      </c>
      <c r="AV19" s="403">
        <f>SUMIF(Consumo!$C$3:$C$862,tabItens[[#This Row],[CÓDIGO]],Consumo!$Y$3:$Y$862)</f>
        <v>1760.75</v>
      </c>
      <c r="AW19" s="380">
        <f>tabItens[[#This Row],[QTDE ATUAL]] + tabItens[[#This Row],[RC QTDE]] + tabItens[[#This Row],[AF SALDO]] + tabItens[[#This Row],[Recentes]]</f>
        <v>4826</v>
      </c>
      <c r="AX19" s="404">
        <v>1914</v>
      </c>
      <c r="AY19" s="404">
        <v>4</v>
      </c>
      <c r="AZ19" s="404">
        <f>IF(ISBLANK(tabItens[[#This Row],[CÓDIGO]]),"",tabItens[[#This Row],[PontoMês]] * (AZ$2+tabItens[[#This Row],[PontoQtM]]))</f>
        <v>7656</v>
      </c>
      <c r="BA19" s="403">
        <f>tabItens[[#This Row],[PontoPed]] - tabItens[[#This Row],[Saldo]] + (1/10)</f>
        <v>2830.1</v>
      </c>
      <c r="BB19" s="403">
        <f xml:space="preserve"> tabItens[[#This Row],[PontoMês]] * BB$2 - tabItens[[#This Row],[QTDE ATUAL]] - (1/10)</f>
        <v>1087.9000000000001</v>
      </c>
      <c r="BC19" s="335">
        <f>IF( tabItens[[#This Row],[PontoPed]]&gt;0, IF(tabItens[[#This Row],[PontoPed]]&lt;1, 1, IF( tabItens[[#This Row],[Saldo]]&gt;tabItens[[#This Row],[PontoPed]], 0, (tabItens[[#This Row],[PontoPed]]-tabItens[[#This Row],[Saldo]])/tabItens[[#This Row],[PontoPed]] ) ), 0 )</f>
        <v>0.36964472309299895</v>
      </c>
      <c r="BD19" s="405">
        <f>ROUNDDOWN(IF( OR( AND(tabItens[[#This Row],[PontoPed]]&lt;tabItens[[#This Row],[Saldo]],tabItens[[#This Row],[Saldo]]&gt;0), tabItens[[#This Row],[PontoPed]]=0), 99, IF(AND(tabItens[[#This Row],[Saldo]]=0,tabItens[[#This Row],[PontoPed]]&gt;0), 0, (1-tabItens[[#This Row],[PctAb]])*10 ) ),0)</f>
        <v>6</v>
      </c>
      <c r="BE19" s="406">
        <f>MAX(ROUNDDOWN( IF(tabItens[[#This Row],[Abaixo]] &gt; 0,   tabItens[[#This Row],[Abaixo]] + (tabItens[[#This Row],[PontoMês]] * IF( OR( ISBLANK(tabItens[[#This Row],[ATA Nº/ANO]]), tabItens[[#This Row],[ATA Nº/ANO]] = ""),BE$2,BE$1)),0),0),0)</f>
        <v>8572</v>
      </c>
      <c r="BF19"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8572</v>
      </c>
      <c r="BG19" s="338">
        <f>SUMIF(Consumo!$C$3:$C$862,tabItens[[#This Row],[CÓDIGO]],Consumo!$E$3:$E$862)</f>
        <v>3100</v>
      </c>
      <c r="BH19" s="339">
        <f>IF(AND(tabItens[[#This Row],[Pend]] &gt; 0,tabItens[[#This Row],[Consumo]] &lt;&gt; 0), tabItens[[#This Row],[Pend]] / tabItens[[#This Row],[Consumo]], 0 )</f>
        <v>0.146717781248521</v>
      </c>
      <c r="BI19" s="338"/>
      <c r="BJ19" s="407"/>
      <c r="BK19" s="408" t="s">
        <v>2086</v>
      </c>
    </row>
    <row r="20" spans="1:63" x14ac:dyDescent="0.3">
      <c r="A20" s="375">
        <v>10719</v>
      </c>
      <c r="B20" s="376" t="s">
        <v>918</v>
      </c>
      <c r="C20" s="377" t="s">
        <v>267</v>
      </c>
      <c r="D20" s="378">
        <v>11.99</v>
      </c>
      <c r="E20" s="305" t="s">
        <v>919</v>
      </c>
      <c r="F20" s="379" t="s">
        <v>920</v>
      </c>
      <c r="G20" s="379" t="s">
        <v>921</v>
      </c>
      <c r="H20" s="380">
        <v>2984</v>
      </c>
      <c r="I20" s="307">
        <v>103003</v>
      </c>
      <c r="J20" s="308">
        <v>11.99</v>
      </c>
      <c r="K20" s="381">
        <v>23741</v>
      </c>
      <c r="L20" s="382">
        <f>IF(tabItens[[#This Row],[Média]] &gt; 0, tabItens[[#This Row],[QTDE ATUAL]] / tabItens[[#This Row],[Média]],999.9)</f>
        <v>0.8599836687641097</v>
      </c>
      <c r="M20" s="383">
        <v>0</v>
      </c>
      <c r="N20" s="384">
        <f>tabItens[[#This Row],[VALOR UNIT.]] * tabItens[[#This Row],[LC]]</f>
        <v>0</v>
      </c>
      <c r="O20" s="385" t="s">
        <v>922</v>
      </c>
      <c r="P20" s="386">
        <v>0</v>
      </c>
      <c r="Q20" s="387">
        <v>105769</v>
      </c>
      <c r="R20" s="312">
        <v>1268170.31</v>
      </c>
      <c r="S20" s="388">
        <v>45422</v>
      </c>
      <c r="T20" s="389">
        <f>ROUNDDOWN(IFERROR(tabItens[[#This Row],[ATA DT.VALID.]] - $D$1,0) / 30,0)</f>
        <v>39</v>
      </c>
      <c r="U20" s="302" t="s">
        <v>923</v>
      </c>
      <c r="V20" s="318">
        <v>1</v>
      </c>
      <c r="W20" s="390" t="s">
        <v>2073</v>
      </c>
      <c r="X20" s="391">
        <v>71</v>
      </c>
      <c r="Y20" s="392">
        <v>26</v>
      </c>
      <c r="Z20" s="393"/>
      <c r="AA20" s="394"/>
      <c r="AB20" s="395"/>
      <c r="AC20" s="395">
        <v>12171</v>
      </c>
      <c r="AD20" s="394">
        <v>2023</v>
      </c>
      <c r="AE20" s="395">
        <v>5331</v>
      </c>
      <c r="AF20" s="317">
        <v>5331</v>
      </c>
      <c r="AG20" s="396" t="s">
        <v>2053</v>
      </c>
      <c r="AH20" s="397">
        <v>45208</v>
      </c>
      <c r="AI20" s="317">
        <v>13836</v>
      </c>
      <c r="AJ20" s="397">
        <v>45148</v>
      </c>
      <c r="AK20" s="326" t="s">
        <v>889</v>
      </c>
      <c r="AL20" s="326">
        <v>45209</v>
      </c>
      <c r="AM20" s="316"/>
      <c r="AN20" s="305"/>
      <c r="AO20" s="327" t="str">
        <f>_xlfn.IFNA(IF(VLOOKUP(tabItens[[#This Row],[CÓDIGO]],tabExcluirDoEstoque[#Data],1,FALSE),"sim",""),"")</f>
        <v/>
      </c>
      <c r="AP20" s="398">
        <f ca="1">IF(OR(ISBLANK(tabItens[[#This Row],[ATA DT.VALID.]]),tabItens[[#This Row],[ATA DT.VALID.]]="",tabItens[[#This Row],[ATA DT.VALID.]]=" "),"",IF(TYPE(tabItens[[#This Row],[ATA DT.VALID.]])=1,ROUNDUP((tabItens[[#This Row],[ATA DT.VALID.]]-TODAY())/7,0),""))</f>
        <v>24</v>
      </c>
      <c r="AQ20" s="399">
        <v>0</v>
      </c>
      <c r="AR20" s="400" t="str">
        <f>IF(ISBLANK(tabItens[[#This Row],[CÓDIGO]]),"",IFERROR(VLOOKUP(tabItens[[#This Row],[CÓDIGO]],Consumo!$C$2:$AC$862,26,FALSE),0))</f>
        <v>09.2023</v>
      </c>
      <c r="AS20" s="401">
        <f>SUMIF(Consumo!$C$3:$C$862,tabItens[[#This Row],[CÓDIGO]],Consumo!$N$3:$N$862) + SUMIF(Consumo!$C$3:$C$862,tabItens[[#This Row],[CÓDIGO]],Consumo!$O$3:$O$862) + SUMIF(Consumo!$C$3:$C$862,tabItens[[#This Row],[CÓDIGO]],Consumo!$P$3:$P$862) + SUMIF(Consumo!$C$3:$C$862,tabItens[[#This Row],[CÓDIGO]],Consumo!$Q$3:$Q$862)</f>
        <v>14815</v>
      </c>
      <c r="AT20" s="401">
        <f>SUMIF(Consumo!$C$3:$C$862,tabItens[[#This Row],[CÓDIGO]],Consumo!$Z$3:$Z$862)</f>
        <v>41638</v>
      </c>
      <c r="AU20" s="402">
        <f>SUMIF(Consumo!$C$3:$C$862,tabItens[[#This Row],[CÓDIGO]],Consumo!$AA$3:$AA$862)</f>
        <v>4731</v>
      </c>
      <c r="AV20" s="403">
        <f>SUMIF(Consumo!$C$3:$C$862,tabItens[[#This Row],[CÓDIGO]],Consumo!$Y$3:$Y$862)</f>
        <v>3469.8333333333335</v>
      </c>
      <c r="AW20" s="380">
        <f>tabItens[[#This Row],[QTDE ATUAL]] + tabItens[[#This Row],[RC QTDE]] + tabItens[[#This Row],[AF SALDO]] + tabItens[[#This Row],[Recentes]]</f>
        <v>8315</v>
      </c>
      <c r="AX20" s="404">
        <v>3498</v>
      </c>
      <c r="AY20" s="404">
        <v>3</v>
      </c>
      <c r="AZ20" s="404">
        <f>IF(ISBLANK(tabItens[[#This Row],[CÓDIGO]]),"",tabItens[[#This Row],[PontoMês]] * (AZ$2+tabItens[[#This Row],[PontoQtM]]))</f>
        <v>10494</v>
      </c>
      <c r="BA20" s="403">
        <f>tabItens[[#This Row],[PontoPed]] - tabItens[[#This Row],[Saldo]] + (1/10)</f>
        <v>2179.1</v>
      </c>
      <c r="BB20" s="403">
        <f xml:space="preserve"> tabItens[[#This Row],[PontoMês]] * BB$2 - tabItens[[#This Row],[QTDE ATUAL]] - (1/10)</f>
        <v>513.9</v>
      </c>
      <c r="BC20" s="335">
        <f>IF( tabItens[[#This Row],[PontoPed]]&gt;0, IF(tabItens[[#This Row],[PontoPed]]&lt;1, 1, IF( tabItens[[#This Row],[Saldo]]&gt;tabItens[[#This Row],[PontoPed]], 0, (tabItens[[#This Row],[PontoPed]]-tabItens[[#This Row],[Saldo]])/tabItens[[#This Row],[PontoPed]] ) ), 0 )</f>
        <v>0.2076424623594435</v>
      </c>
      <c r="BD20" s="405">
        <f>ROUNDDOWN(IF( OR( AND(tabItens[[#This Row],[PontoPed]]&lt;tabItens[[#This Row],[Saldo]],tabItens[[#This Row],[Saldo]]&gt;0), tabItens[[#This Row],[PontoPed]]=0), 99, IF(AND(tabItens[[#This Row],[Saldo]]=0,tabItens[[#This Row],[PontoPed]]&gt;0), 0, (1-tabItens[[#This Row],[PctAb]])*10 ) ),0)</f>
        <v>7</v>
      </c>
      <c r="BE20" s="406">
        <f>MAX(ROUNDDOWN( IF(tabItens[[#This Row],[Abaixo]] &gt; 0,   tabItens[[#This Row],[Abaixo]] + (tabItens[[#This Row],[PontoMês]] * IF( OR( ISBLANK(tabItens[[#This Row],[ATA Nº/ANO]]), tabItens[[#This Row],[ATA Nº/ANO]] = ""),BE$2,BE$1)),0),0),0)</f>
        <v>12673</v>
      </c>
      <c r="BF20"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12673</v>
      </c>
      <c r="BG20" s="338">
        <f>SUMIF(Consumo!$C$3:$C$862,tabItens[[#This Row],[CÓDIGO]],Consumo!$E$3:$E$862)</f>
        <v>132</v>
      </c>
      <c r="BH20" s="339">
        <f>IF(AND(tabItens[[#This Row],[Pend]] &gt; 0,tabItens[[#This Row],[Consumo]] &lt;&gt; 0), tabItens[[#This Row],[Pend]] / tabItens[[#This Row],[Consumo]], 0 )</f>
        <v>3.1701810845861955E-3</v>
      </c>
      <c r="BI20" s="338"/>
      <c r="BJ20" s="407"/>
      <c r="BK20" s="408" t="s">
        <v>2086</v>
      </c>
    </row>
    <row r="21" spans="1:63" x14ac:dyDescent="0.3">
      <c r="A21" s="375">
        <v>14121</v>
      </c>
      <c r="B21" s="376" t="s">
        <v>1056</v>
      </c>
      <c r="C21" s="377" t="s">
        <v>31</v>
      </c>
      <c r="D21" s="378">
        <v>0.33</v>
      </c>
      <c r="E21" s="305" t="s">
        <v>1057</v>
      </c>
      <c r="F21" s="379" t="s">
        <v>1058</v>
      </c>
      <c r="G21" s="379" t="s">
        <v>1059</v>
      </c>
      <c r="H21" s="380">
        <v>4343</v>
      </c>
      <c r="I21" s="307">
        <v>103003</v>
      </c>
      <c r="J21" s="308">
        <v>0.33</v>
      </c>
      <c r="K21" s="381">
        <v>4540</v>
      </c>
      <c r="L21" s="382">
        <f>IF(tabItens[[#This Row],[Média]] &gt; 0, tabItens[[#This Row],[QTDE ATUAL]] / tabItens[[#This Row],[Média]],999.9)</f>
        <v>7.4547275067944492</v>
      </c>
      <c r="M21" s="383">
        <v>0</v>
      </c>
      <c r="N21" s="384">
        <f>tabItens[[#This Row],[VALOR UNIT.]] * tabItens[[#This Row],[LC]]</f>
        <v>0</v>
      </c>
      <c r="O21" s="385" t="s">
        <v>1060</v>
      </c>
      <c r="P21" s="386">
        <v>0</v>
      </c>
      <c r="Q21" s="387">
        <v>42000</v>
      </c>
      <c r="R21" s="312">
        <v>15510</v>
      </c>
      <c r="S21" s="388">
        <v>45446</v>
      </c>
      <c r="T21" s="389">
        <f>ROUNDDOWN(IFERROR(tabItens[[#This Row],[ATA DT.VALID.]] - $D$1,0) / 30,0)</f>
        <v>40</v>
      </c>
      <c r="U21" s="302" t="s">
        <v>898</v>
      </c>
      <c r="V21" s="318">
        <v>1</v>
      </c>
      <c r="W21" s="390" t="s">
        <v>2073</v>
      </c>
      <c r="X21" s="391">
        <v>72</v>
      </c>
      <c r="Y21" s="392">
        <v>6</v>
      </c>
      <c r="Z21" s="393"/>
      <c r="AA21" s="394"/>
      <c r="AB21" s="395"/>
      <c r="AC21" s="395"/>
      <c r="AD21" s="394"/>
      <c r="AE21" s="395"/>
      <c r="AF21" s="317"/>
      <c r="AG21" s="396" t="s">
        <v>2072</v>
      </c>
      <c r="AH21" s="397"/>
      <c r="AI21" s="317">
        <v>2298</v>
      </c>
      <c r="AJ21" s="397">
        <v>44865</v>
      </c>
      <c r="AK21" s="326" t="s">
        <v>889</v>
      </c>
      <c r="AL21" s="326">
        <v>45103</v>
      </c>
      <c r="AM21" s="316"/>
      <c r="AN21" s="305"/>
      <c r="AO21" s="327" t="str">
        <f>_xlfn.IFNA(IF(VLOOKUP(tabItens[[#This Row],[CÓDIGO]],tabExcluirDoEstoque[#Data],1,FALSE),"sim",""),"")</f>
        <v/>
      </c>
      <c r="AP21" s="398">
        <f ca="1">IF(OR(ISBLANK(tabItens[[#This Row],[ATA DT.VALID.]]),tabItens[[#This Row],[ATA DT.VALID.]]="",tabItens[[#This Row],[ATA DT.VALID.]]=" "),"",IF(TYPE(tabItens[[#This Row],[ATA DT.VALID.]])=1,ROUNDUP((tabItens[[#This Row],[ATA DT.VALID.]]-TODAY())/7,0),""))</f>
        <v>27</v>
      </c>
      <c r="AQ21" s="399">
        <v>0</v>
      </c>
      <c r="AR21" s="400" t="str">
        <f>IF(ISBLANK(tabItens[[#This Row],[CÓDIGO]]),"",IFERROR(VLOOKUP(tabItens[[#This Row],[CÓDIGO]],Consumo!$C$2:$AC$862,26,FALSE),0))</f>
        <v>09.2023</v>
      </c>
      <c r="AS21" s="401">
        <f>SUMIF(Consumo!$C$3:$C$862,tabItens[[#This Row],[CÓDIGO]],Consumo!$N$3:$N$862) + SUMIF(Consumo!$C$3:$C$862,tabItens[[#This Row],[CÓDIGO]],Consumo!$O$3:$O$862) + SUMIF(Consumo!$C$3:$C$862,tabItens[[#This Row],[CÓDIGO]],Consumo!$P$3:$P$862) + SUMIF(Consumo!$C$3:$C$862,tabItens[[#This Row],[CÓDIGO]],Consumo!$Q$3:$Q$862)</f>
        <v>2458</v>
      </c>
      <c r="AT21" s="401">
        <f>SUMIF(Consumo!$C$3:$C$862,tabItens[[#This Row],[CÓDIGO]],Consumo!$Z$3:$Z$862)</f>
        <v>6991</v>
      </c>
      <c r="AU21" s="402">
        <f>SUMIF(Consumo!$C$3:$C$862,tabItens[[#This Row],[CÓDIGO]],Consumo!$AA$3:$AA$862)</f>
        <v>836</v>
      </c>
      <c r="AV21" s="403">
        <f>SUMIF(Consumo!$C$3:$C$862,tabItens[[#This Row],[CÓDIGO]],Consumo!$Y$3:$Y$862)</f>
        <v>582.58333333333337</v>
      </c>
      <c r="AW21" s="380">
        <f>tabItens[[#This Row],[QTDE ATUAL]] + tabItens[[#This Row],[RC QTDE]] + tabItens[[#This Row],[AF SALDO]] + tabItens[[#This Row],[Recentes]]</f>
        <v>4343</v>
      </c>
      <c r="AX21" s="404">
        <v>401</v>
      </c>
      <c r="AY21" s="404">
        <v>4</v>
      </c>
      <c r="AZ21" s="404">
        <f>IF(ISBLANK(tabItens[[#This Row],[CÓDIGO]]),"",tabItens[[#This Row],[PontoMês]] * (AZ$2+tabItens[[#This Row],[PontoQtM]]))</f>
        <v>1604</v>
      </c>
      <c r="BA21" s="403">
        <f>tabItens[[#This Row],[PontoPed]] - tabItens[[#This Row],[Saldo]] + (1/10)</f>
        <v>-2738.9</v>
      </c>
      <c r="BB21" s="403">
        <f xml:space="preserve"> tabItens[[#This Row],[PontoMês]] * BB$2 - tabItens[[#This Row],[QTDE ATUAL]] - (1/10)</f>
        <v>-3942.1</v>
      </c>
      <c r="BC21" s="335">
        <f>IF( tabItens[[#This Row],[PontoPed]]&gt;0, IF(tabItens[[#This Row],[PontoPed]]&lt;1, 1, IF( tabItens[[#This Row],[Saldo]]&gt;tabItens[[#This Row],[PontoPed]], 0, (tabItens[[#This Row],[PontoPed]]-tabItens[[#This Row],[Saldo]])/tabItens[[#This Row],[PontoPed]] ) ), 0 )</f>
        <v>0</v>
      </c>
      <c r="BD21" s="405">
        <f>ROUNDDOWN(IF( OR( AND(tabItens[[#This Row],[PontoPed]]&lt;tabItens[[#This Row],[Saldo]],tabItens[[#This Row],[Saldo]]&gt;0), tabItens[[#This Row],[PontoPed]]=0), 99, IF(AND(tabItens[[#This Row],[Saldo]]=0,tabItens[[#This Row],[PontoPed]]&gt;0), 0, (1-tabItens[[#This Row],[PctAb]])*10 ) ),0)</f>
        <v>99</v>
      </c>
      <c r="BE21" s="406">
        <f>MAX(ROUNDDOWN( IF(tabItens[[#This Row],[Abaixo]] &gt; 0,   tabItens[[#This Row],[Abaixo]] + (tabItens[[#This Row],[PontoMês]] * IF( OR( ISBLANK(tabItens[[#This Row],[ATA Nº/ANO]]), tabItens[[#This Row],[ATA Nº/ANO]] = ""),BE$2,BE$1)),0),0),0)</f>
        <v>0</v>
      </c>
      <c r="BF21"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 s="338">
        <f>SUMIF(Consumo!$C$3:$C$862,tabItens[[#This Row],[CÓDIGO]],Consumo!$E$3:$E$862)</f>
        <v>100</v>
      </c>
      <c r="BH21" s="339">
        <f>IF(AND(tabItens[[#This Row],[Pend]] &gt; 0,tabItens[[#This Row],[Consumo]] &lt;&gt; 0), tabItens[[#This Row],[Pend]] / tabItens[[#This Row],[Consumo]], 0 )</f>
        <v>1.4304105278214848E-2</v>
      </c>
      <c r="BI21" s="338"/>
      <c r="BJ21" s="407"/>
      <c r="BK21" s="408" t="s">
        <v>2086</v>
      </c>
    </row>
    <row r="22" spans="1:63" x14ac:dyDescent="0.3">
      <c r="A22" s="375">
        <v>12652</v>
      </c>
      <c r="B22" s="376" t="s">
        <v>949</v>
      </c>
      <c r="C22" s="377" t="s">
        <v>267</v>
      </c>
      <c r="D22" s="378">
        <v>1.82</v>
      </c>
      <c r="E22" s="305" t="s">
        <v>950</v>
      </c>
      <c r="F22" s="379" t="s">
        <v>912</v>
      </c>
      <c r="G22" s="379" t="s">
        <v>951</v>
      </c>
      <c r="H22" s="380">
        <v>2640</v>
      </c>
      <c r="I22" s="307">
        <v>103003</v>
      </c>
      <c r="J22" s="308">
        <v>1.82</v>
      </c>
      <c r="K22" s="381">
        <v>7203</v>
      </c>
      <c r="L22" s="382">
        <f>IF(tabItens[[#This Row],[Média]] &gt; 0, tabItens[[#This Row],[QTDE ATUAL]] / tabItens[[#This Row],[Média]],999.9)</f>
        <v>3.2386015129830303</v>
      </c>
      <c r="M22" s="383">
        <v>0</v>
      </c>
      <c r="N22" s="384">
        <f>tabItens[[#This Row],[VALOR UNIT.]] * tabItens[[#This Row],[LC]]</f>
        <v>0</v>
      </c>
      <c r="O22" s="385" t="s">
        <v>952</v>
      </c>
      <c r="P22" s="386">
        <v>0</v>
      </c>
      <c r="Q22" s="387">
        <v>62300</v>
      </c>
      <c r="R22" s="312">
        <v>113386</v>
      </c>
      <c r="S22" s="388">
        <v>45454</v>
      </c>
      <c r="T22" s="389">
        <f>ROUNDDOWN(IFERROR(tabItens[[#This Row],[ATA DT.VALID.]] - $D$1,0) / 30,0)</f>
        <v>41</v>
      </c>
      <c r="U22" s="302" t="s">
        <v>953</v>
      </c>
      <c r="V22" s="318">
        <v>1</v>
      </c>
      <c r="W22" s="390" t="s">
        <v>2073</v>
      </c>
      <c r="X22" s="391">
        <v>52</v>
      </c>
      <c r="Y22" s="392">
        <v>6</v>
      </c>
      <c r="Z22" s="393"/>
      <c r="AA22" s="394"/>
      <c r="AB22" s="395"/>
      <c r="AC22" s="395"/>
      <c r="AD22" s="394"/>
      <c r="AE22" s="395"/>
      <c r="AF22" s="317"/>
      <c r="AG22" s="396" t="s">
        <v>2072</v>
      </c>
      <c r="AH22" s="397"/>
      <c r="AI22" s="317">
        <v>3252</v>
      </c>
      <c r="AJ22" s="397">
        <v>45203</v>
      </c>
      <c r="AK22" s="326" t="s">
        <v>889</v>
      </c>
      <c r="AL22" s="326">
        <v>45196</v>
      </c>
      <c r="AM22" s="316"/>
      <c r="AN22" s="305"/>
      <c r="AO22" s="327" t="str">
        <f>_xlfn.IFNA(IF(VLOOKUP(tabItens[[#This Row],[CÓDIGO]],tabExcluirDoEstoque[#Data],1,FALSE),"sim",""),"")</f>
        <v/>
      </c>
      <c r="AP22" s="398">
        <f ca="1">IF(OR(ISBLANK(tabItens[[#This Row],[ATA DT.VALID.]]),tabItens[[#This Row],[ATA DT.VALID.]]="",tabItens[[#This Row],[ATA DT.VALID.]]=" "),"",IF(TYPE(tabItens[[#This Row],[ATA DT.VALID.]])=1,ROUNDUP((tabItens[[#This Row],[ATA DT.VALID.]]-TODAY())/7,0),""))</f>
        <v>28</v>
      </c>
      <c r="AQ22" s="399">
        <v>0</v>
      </c>
      <c r="AR22" s="400" t="str">
        <f>IF(ISBLANK(tabItens[[#This Row],[CÓDIGO]]),"",IFERROR(VLOOKUP(tabItens[[#This Row],[CÓDIGO]],Consumo!$C$2:$AC$862,26,FALSE),0))</f>
        <v>09.2023</v>
      </c>
      <c r="AS22" s="401">
        <f>SUMIF(Consumo!$C$3:$C$862,tabItens[[#This Row],[CÓDIGO]],Consumo!$N$3:$N$862) + SUMIF(Consumo!$C$3:$C$862,tabItens[[#This Row],[CÓDIGO]],Consumo!$O$3:$O$862) + SUMIF(Consumo!$C$3:$C$862,tabItens[[#This Row],[CÓDIGO]],Consumo!$P$3:$P$862) + SUMIF(Consumo!$C$3:$C$862,tabItens[[#This Row],[CÓDIGO]],Consumo!$Q$3:$Q$862)</f>
        <v>3509</v>
      </c>
      <c r="AT22" s="401">
        <f>SUMIF(Consumo!$C$3:$C$862,tabItens[[#This Row],[CÓDIGO]],Consumo!$Z$3:$Z$862)</f>
        <v>9782</v>
      </c>
      <c r="AU22" s="402">
        <f>SUMIF(Consumo!$C$3:$C$862,tabItens[[#This Row],[CÓDIGO]],Consumo!$AA$3:$AA$862)</f>
        <v>1847</v>
      </c>
      <c r="AV22" s="403">
        <f>SUMIF(Consumo!$C$3:$C$862,tabItens[[#This Row],[CÓDIGO]],Consumo!$Y$3:$Y$862)</f>
        <v>815.16666666666663</v>
      </c>
      <c r="AW22" s="380">
        <f>tabItens[[#This Row],[QTDE ATUAL]] + tabItens[[#This Row],[RC QTDE]] + tabItens[[#This Row],[AF SALDO]] + tabItens[[#This Row],[Recentes]]</f>
        <v>2640</v>
      </c>
      <c r="AX22" s="404">
        <v>500</v>
      </c>
      <c r="AY22" s="404">
        <v>4</v>
      </c>
      <c r="AZ22" s="404">
        <f>IF(ISBLANK(tabItens[[#This Row],[CÓDIGO]]),"",tabItens[[#This Row],[PontoMês]] * (AZ$2+tabItens[[#This Row],[PontoQtM]]))</f>
        <v>2000</v>
      </c>
      <c r="BA22" s="403">
        <f>tabItens[[#This Row],[PontoPed]] - tabItens[[#This Row],[Saldo]] + (1/10)</f>
        <v>-639.9</v>
      </c>
      <c r="BB22" s="403">
        <f xml:space="preserve"> tabItens[[#This Row],[PontoMês]] * BB$2 - tabItens[[#This Row],[QTDE ATUAL]] - (1/10)</f>
        <v>-2140.1</v>
      </c>
      <c r="BC22" s="335">
        <f>IF( tabItens[[#This Row],[PontoPed]]&gt;0, IF(tabItens[[#This Row],[PontoPed]]&lt;1, 1, IF( tabItens[[#This Row],[Saldo]]&gt;tabItens[[#This Row],[PontoPed]], 0, (tabItens[[#This Row],[PontoPed]]-tabItens[[#This Row],[Saldo]])/tabItens[[#This Row],[PontoPed]] ) ), 0 )</f>
        <v>0</v>
      </c>
      <c r="BD22" s="405">
        <f>ROUNDDOWN(IF( OR( AND(tabItens[[#This Row],[PontoPed]]&lt;tabItens[[#This Row],[Saldo]],tabItens[[#This Row],[Saldo]]&gt;0), tabItens[[#This Row],[PontoPed]]=0), 99, IF(AND(tabItens[[#This Row],[Saldo]]=0,tabItens[[#This Row],[PontoPed]]&gt;0), 0, (1-tabItens[[#This Row],[PctAb]])*10 ) ),0)</f>
        <v>99</v>
      </c>
      <c r="BE22" s="406">
        <f>MAX(ROUNDDOWN( IF(tabItens[[#This Row],[Abaixo]] &gt; 0,   tabItens[[#This Row],[Abaixo]] + (tabItens[[#This Row],[PontoMês]] * IF( OR( ISBLANK(tabItens[[#This Row],[ATA Nº/ANO]]), tabItens[[#This Row],[ATA Nº/ANO]] = ""),BE$2,BE$1)),0),0),0)</f>
        <v>0</v>
      </c>
      <c r="BF22"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 s="338">
        <f>SUMIF(Consumo!$C$3:$C$862,tabItens[[#This Row],[CÓDIGO]],Consumo!$E$3:$E$862)</f>
        <v>84</v>
      </c>
      <c r="BH22" s="339">
        <f>IF(AND(tabItens[[#This Row],[Pend]] &gt; 0,tabItens[[#This Row],[Consumo]] &lt;&gt; 0), tabItens[[#This Row],[Pend]] / tabItens[[#This Row],[Consumo]], 0 )</f>
        <v>8.5872009813943977E-3</v>
      </c>
      <c r="BI22" s="338"/>
      <c r="BJ22" s="407"/>
      <c r="BK22" s="408" t="s">
        <v>2086</v>
      </c>
    </row>
    <row r="23" spans="1:63" x14ac:dyDescent="0.3">
      <c r="A23" s="375">
        <v>96516</v>
      </c>
      <c r="B23" s="376" t="s">
        <v>1557</v>
      </c>
      <c r="C23" s="377" t="s">
        <v>436</v>
      </c>
      <c r="D23" s="378">
        <v>2.2799999999999998</v>
      </c>
      <c r="E23" s="305" t="s">
        <v>1558</v>
      </c>
      <c r="F23" s="379" t="s">
        <v>1559</v>
      </c>
      <c r="G23" s="379" t="s">
        <v>951</v>
      </c>
      <c r="H23" s="380">
        <v>2989</v>
      </c>
      <c r="I23" s="307">
        <v>103003</v>
      </c>
      <c r="J23" s="308">
        <v>2.2799999999999998</v>
      </c>
      <c r="K23" s="381">
        <v>368</v>
      </c>
      <c r="L23" s="382">
        <f>IF(tabItens[[#This Row],[Média]] &gt; 0, tabItens[[#This Row],[QTDE ATUAL]] / tabItens[[#This Row],[Média]],999.9)</f>
        <v>79.529933481152995</v>
      </c>
      <c r="M23" s="383">
        <v>0</v>
      </c>
      <c r="N23" s="384">
        <f>tabItens[[#This Row],[VALOR UNIT.]] * tabItens[[#This Row],[LC]]</f>
        <v>0</v>
      </c>
      <c r="O23" s="385" t="s">
        <v>952</v>
      </c>
      <c r="P23" s="386">
        <v>0</v>
      </c>
      <c r="Q23" s="387">
        <v>1220</v>
      </c>
      <c r="R23" s="312">
        <v>2781.6</v>
      </c>
      <c r="S23" s="388">
        <v>45454</v>
      </c>
      <c r="T23" s="389">
        <f>ROUNDDOWN(IFERROR(tabItens[[#This Row],[ATA DT.VALID.]] - $D$1,0) / 30,0)</f>
        <v>41</v>
      </c>
      <c r="U23" s="302" t="s">
        <v>1492</v>
      </c>
      <c r="V23" s="318">
        <v>1</v>
      </c>
      <c r="W23" s="390" t="s">
        <v>2081</v>
      </c>
      <c r="X23" s="391">
        <v>54</v>
      </c>
      <c r="Y23" s="392">
        <v>4</v>
      </c>
      <c r="Z23" s="393"/>
      <c r="AA23" s="394"/>
      <c r="AB23" s="395"/>
      <c r="AC23" s="395"/>
      <c r="AD23" s="394"/>
      <c r="AE23" s="395"/>
      <c r="AF23" s="317"/>
      <c r="AG23" s="396" t="s">
        <v>2072</v>
      </c>
      <c r="AH23" s="397"/>
      <c r="AI23" s="317">
        <v>154</v>
      </c>
      <c r="AJ23" s="397">
        <v>43759</v>
      </c>
      <c r="AK23" s="326">
        <v>39063</v>
      </c>
      <c r="AL23" s="326">
        <v>45104</v>
      </c>
      <c r="AM23" s="316"/>
      <c r="AN23" s="305"/>
      <c r="AO23" s="327" t="str">
        <f>_xlfn.IFNA(IF(VLOOKUP(tabItens[[#This Row],[CÓDIGO]],tabExcluirDoEstoque[#Data],1,FALSE),"sim",""),"")</f>
        <v/>
      </c>
      <c r="AP23" s="398">
        <f ca="1">IF(OR(ISBLANK(tabItens[[#This Row],[ATA DT.VALID.]]),tabItens[[#This Row],[ATA DT.VALID.]]="",tabItens[[#This Row],[ATA DT.VALID.]]=" "),"",IF(TYPE(tabItens[[#This Row],[ATA DT.VALID.]])=1,ROUNDUP((tabItens[[#This Row],[ATA DT.VALID.]]-TODAY())/7,0),""))</f>
        <v>28</v>
      </c>
      <c r="AQ23" s="399">
        <v>0</v>
      </c>
      <c r="AR23" s="400" t="str">
        <f>IF(ISBLANK(tabItens[[#This Row],[CÓDIGO]]),"",IFERROR(VLOOKUP(tabItens[[#This Row],[CÓDIGO]],Consumo!$C$2:$AC$862,26,FALSE),0))</f>
        <v>09.2023</v>
      </c>
      <c r="AS23" s="401">
        <f>SUMIF(Consumo!$C$3:$C$862,tabItens[[#This Row],[CÓDIGO]],Consumo!$N$3:$N$862) + SUMIF(Consumo!$C$3:$C$862,tabItens[[#This Row],[CÓDIGO]],Consumo!$O$3:$O$862) + SUMIF(Consumo!$C$3:$C$862,tabItens[[#This Row],[CÓDIGO]],Consumo!$P$3:$P$862) + SUMIF(Consumo!$C$3:$C$862,tabItens[[#This Row],[CÓDIGO]],Consumo!$Q$3:$Q$862)</f>
        <v>215</v>
      </c>
      <c r="AT23" s="401">
        <f>SUMIF(Consumo!$C$3:$C$862,tabItens[[#This Row],[CÓDIGO]],Consumo!$Z$3:$Z$862)</f>
        <v>463</v>
      </c>
      <c r="AU23" s="402">
        <f>SUMIF(Consumo!$C$3:$C$862,tabItens[[#This Row],[CÓDIGO]],Consumo!$AA$3:$AA$862)</f>
        <v>128</v>
      </c>
      <c r="AV23" s="403">
        <f>SUMIF(Consumo!$C$3:$C$862,tabItens[[#This Row],[CÓDIGO]],Consumo!$Y$3:$Y$862)</f>
        <v>37.583333333333336</v>
      </c>
      <c r="AW23" s="380">
        <f>tabItens[[#This Row],[QTDE ATUAL]] + tabItens[[#This Row],[RC QTDE]] + tabItens[[#This Row],[AF SALDO]] + tabItens[[#This Row],[Recentes]]</f>
        <v>2989</v>
      </c>
      <c r="AX23" s="404">
        <v>100</v>
      </c>
      <c r="AY23" s="404">
        <v>4</v>
      </c>
      <c r="AZ23" s="404">
        <f>IF(ISBLANK(tabItens[[#This Row],[CÓDIGO]]),"",tabItens[[#This Row],[PontoMês]] * (AZ$2+tabItens[[#This Row],[PontoQtM]]))</f>
        <v>400</v>
      </c>
      <c r="BA23" s="403">
        <f>tabItens[[#This Row],[PontoPed]] - tabItens[[#This Row],[Saldo]] + (1/10)</f>
        <v>-2588.9</v>
      </c>
      <c r="BB23" s="403">
        <f xml:space="preserve"> tabItens[[#This Row],[PontoMês]] * BB$2 - tabItens[[#This Row],[QTDE ATUAL]] - (1/10)</f>
        <v>-2889.1</v>
      </c>
      <c r="BC23" s="335">
        <f>IF( tabItens[[#This Row],[PontoPed]]&gt;0, IF(tabItens[[#This Row],[PontoPed]]&lt;1, 1, IF( tabItens[[#This Row],[Saldo]]&gt;tabItens[[#This Row],[PontoPed]], 0, (tabItens[[#This Row],[PontoPed]]-tabItens[[#This Row],[Saldo]])/tabItens[[#This Row],[PontoPed]] ) ), 0 )</f>
        <v>0</v>
      </c>
      <c r="BD23" s="405">
        <f>ROUNDDOWN(IF( OR( AND(tabItens[[#This Row],[PontoPed]]&lt;tabItens[[#This Row],[Saldo]],tabItens[[#This Row],[Saldo]]&gt;0), tabItens[[#This Row],[PontoPed]]=0), 99, IF(AND(tabItens[[#This Row],[Saldo]]=0,tabItens[[#This Row],[PontoPed]]&gt;0), 0, (1-tabItens[[#This Row],[PctAb]])*10 ) ),0)</f>
        <v>99</v>
      </c>
      <c r="BE23" s="406">
        <f>MAX(ROUNDDOWN( IF(tabItens[[#This Row],[Abaixo]] &gt; 0,   tabItens[[#This Row],[Abaixo]] + (tabItens[[#This Row],[PontoMês]] * IF( OR( ISBLANK(tabItens[[#This Row],[ATA Nº/ANO]]), tabItens[[#This Row],[ATA Nº/ANO]] = ""),BE$2,BE$1)),0),0),0)</f>
        <v>0</v>
      </c>
      <c r="BF23"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3" s="338">
        <f>SUMIF(Consumo!$C$3:$C$862,tabItens[[#This Row],[CÓDIGO]],Consumo!$E$3:$E$862)</f>
        <v>0</v>
      </c>
      <c r="BH23" s="339">
        <f>IF(AND(tabItens[[#This Row],[Pend]] &gt; 0,tabItens[[#This Row],[Consumo]] &lt;&gt; 0), tabItens[[#This Row],[Pend]] / tabItens[[#This Row],[Consumo]], 0 )</f>
        <v>0</v>
      </c>
      <c r="BI23" s="338"/>
      <c r="BJ23" s="407"/>
      <c r="BK23" s="408" t="s">
        <v>2086</v>
      </c>
    </row>
    <row r="24" spans="1:63" x14ac:dyDescent="0.3">
      <c r="A24" s="375">
        <v>98080</v>
      </c>
      <c r="B24" s="376" t="s">
        <v>1560</v>
      </c>
      <c r="C24" s="377" t="s">
        <v>436</v>
      </c>
      <c r="D24" s="378">
        <v>2.27</v>
      </c>
      <c r="E24" s="305" t="s">
        <v>1558</v>
      </c>
      <c r="F24" s="379" t="s">
        <v>1559</v>
      </c>
      <c r="G24" s="379" t="s">
        <v>951</v>
      </c>
      <c r="H24" s="380">
        <v>2328</v>
      </c>
      <c r="I24" s="307">
        <v>103003</v>
      </c>
      <c r="J24" s="308">
        <v>2.27</v>
      </c>
      <c r="K24" s="381">
        <v>178</v>
      </c>
      <c r="L24" s="382">
        <f>IF(tabItens[[#This Row],[Média]] &gt; 0, tabItens[[#This Row],[QTDE ATUAL]] / tabItens[[#This Row],[Média]],999.9)</f>
        <v>103.85130111524163</v>
      </c>
      <c r="M24" s="383">
        <v>0</v>
      </c>
      <c r="N24" s="384">
        <f>tabItens[[#This Row],[VALOR UNIT.]] * tabItens[[#This Row],[LC]]</f>
        <v>0</v>
      </c>
      <c r="O24" s="385" t="s">
        <v>952</v>
      </c>
      <c r="P24" s="386">
        <v>0</v>
      </c>
      <c r="Q24" s="387">
        <v>1220</v>
      </c>
      <c r="R24" s="312">
        <v>2769.4</v>
      </c>
      <c r="S24" s="388">
        <v>45454</v>
      </c>
      <c r="T24" s="389">
        <f>ROUNDDOWN(IFERROR(tabItens[[#This Row],[ATA DT.VALID.]] - $D$1,0) / 30,0)</f>
        <v>41</v>
      </c>
      <c r="U24" s="302" t="s">
        <v>1561</v>
      </c>
      <c r="V24" s="318">
        <v>1</v>
      </c>
      <c r="W24" s="390" t="s">
        <v>2081</v>
      </c>
      <c r="X24" s="391">
        <v>54</v>
      </c>
      <c r="Y24" s="392">
        <v>19</v>
      </c>
      <c r="Z24" s="393"/>
      <c r="AA24" s="394"/>
      <c r="AB24" s="395"/>
      <c r="AC24" s="395"/>
      <c r="AD24" s="394"/>
      <c r="AE24" s="395"/>
      <c r="AF24" s="317"/>
      <c r="AG24" s="396" t="s">
        <v>2072</v>
      </c>
      <c r="AH24" s="397"/>
      <c r="AI24" s="317">
        <v>90</v>
      </c>
      <c r="AJ24" s="397">
        <v>43798</v>
      </c>
      <c r="AK24" s="326">
        <v>39154</v>
      </c>
      <c r="AL24" s="326">
        <v>45104</v>
      </c>
      <c r="AM24" s="316"/>
      <c r="AN24" s="305"/>
      <c r="AO24" s="327" t="str">
        <f>_xlfn.IFNA(IF(VLOOKUP(tabItens[[#This Row],[CÓDIGO]],tabExcluirDoEstoque[#Data],1,FALSE),"sim",""),"")</f>
        <v/>
      </c>
      <c r="AP24" s="398">
        <f ca="1">IF(OR(ISBLANK(tabItens[[#This Row],[ATA DT.VALID.]]),tabItens[[#This Row],[ATA DT.VALID.]]="",tabItens[[#This Row],[ATA DT.VALID.]]=" "),"",IF(TYPE(tabItens[[#This Row],[ATA DT.VALID.]])=1,ROUNDUP((tabItens[[#This Row],[ATA DT.VALID.]]-TODAY())/7,0),""))</f>
        <v>28</v>
      </c>
      <c r="AQ24" s="399">
        <v>0</v>
      </c>
      <c r="AR24" s="400" t="str">
        <f>IF(ISBLANK(tabItens[[#This Row],[CÓDIGO]]),"",IFERROR(VLOOKUP(tabItens[[#This Row],[CÓDIGO]],Consumo!$C$2:$AC$862,26,FALSE),0))</f>
        <v>09.2023</v>
      </c>
      <c r="AS24" s="401">
        <f>SUMIF(Consumo!$C$3:$C$862,tabItens[[#This Row],[CÓDIGO]],Consumo!$N$3:$N$862) + SUMIF(Consumo!$C$3:$C$862,tabItens[[#This Row],[CÓDIGO]],Consumo!$O$3:$O$862) + SUMIF(Consumo!$C$3:$C$862,tabItens[[#This Row],[CÓDIGO]],Consumo!$P$3:$P$862) + SUMIF(Consumo!$C$3:$C$862,tabItens[[#This Row],[CÓDIGO]],Consumo!$Q$3:$Q$862)</f>
        <v>103</v>
      </c>
      <c r="AT24" s="401">
        <f>SUMIF(Consumo!$C$3:$C$862,tabItens[[#This Row],[CÓDIGO]],Consumo!$Z$3:$Z$862)</f>
        <v>269</v>
      </c>
      <c r="AU24" s="402">
        <f>SUMIF(Consumo!$C$3:$C$862,tabItens[[#This Row],[CÓDIGO]],Consumo!$AA$3:$AA$862)</f>
        <v>35</v>
      </c>
      <c r="AV24" s="403">
        <f>SUMIF(Consumo!$C$3:$C$862,tabItens[[#This Row],[CÓDIGO]],Consumo!$Y$3:$Y$862)</f>
        <v>22.416666666666668</v>
      </c>
      <c r="AW24" s="380">
        <f>tabItens[[#This Row],[QTDE ATUAL]] + tabItens[[#This Row],[RC QTDE]] + tabItens[[#This Row],[AF SALDO]] + tabItens[[#This Row],[Recentes]]</f>
        <v>2328</v>
      </c>
      <c r="AX24" s="404">
        <v>100</v>
      </c>
      <c r="AY24" s="404">
        <v>4</v>
      </c>
      <c r="AZ24" s="404">
        <f>IF(ISBLANK(tabItens[[#This Row],[CÓDIGO]]),"",tabItens[[#This Row],[PontoMês]] * (AZ$2+tabItens[[#This Row],[PontoQtM]]))</f>
        <v>400</v>
      </c>
      <c r="BA24" s="403">
        <f>tabItens[[#This Row],[PontoPed]] - tabItens[[#This Row],[Saldo]] + (1/10)</f>
        <v>-1927.9</v>
      </c>
      <c r="BB24" s="403">
        <f xml:space="preserve"> tabItens[[#This Row],[PontoMês]] * BB$2 - tabItens[[#This Row],[QTDE ATUAL]] - (1/10)</f>
        <v>-2228.1</v>
      </c>
      <c r="BC24" s="335">
        <f>IF( tabItens[[#This Row],[PontoPed]]&gt;0, IF(tabItens[[#This Row],[PontoPed]]&lt;1, 1, IF( tabItens[[#This Row],[Saldo]]&gt;tabItens[[#This Row],[PontoPed]], 0, (tabItens[[#This Row],[PontoPed]]-tabItens[[#This Row],[Saldo]])/tabItens[[#This Row],[PontoPed]] ) ), 0 )</f>
        <v>0</v>
      </c>
      <c r="BD24" s="405">
        <f>ROUNDDOWN(IF( OR( AND(tabItens[[#This Row],[PontoPed]]&lt;tabItens[[#This Row],[Saldo]],tabItens[[#This Row],[Saldo]]&gt;0), tabItens[[#This Row],[PontoPed]]=0), 99, IF(AND(tabItens[[#This Row],[Saldo]]=0,tabItens[[#This Row],[PontoPed]]&gt;0), 0, (1-tabItens[[#This Row],[PctAb]])*10 ) ),0)</f>
        <v>99</v>
      </c>
      <c r="BE24" s="406">
        <f>MAX(ROUNDDOWN( IF(tabItens[[#This Row],[Abaixo]] &gt; 0,   tabItens[[#This Row],[Abaixo]] + (tabItens[[#This Row],[PontoMês]] * IF( OR( ISBLANK(tabItens[[#This Row],[ATA Nº/ANO]]), tabItens[[#This Row],[ATA Nº/ANO]] = ""),BE$2,BE$1)),0),0),0)</f>
        <v>0</v>
      </c>
      <c r="BF24"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4" s="338">
        <f>SUMIF(Consumo!$C$3:$C$862,tabItens[[#This Row],[CÓDIGO]],Consumo!$E$3:$E$862)</f>
        <v>0</v>
      </c>
      <c r="BH24" s="339">
        <f>IF(AND(tabItens[[#This Row],[Pend]] &gt; 0,tabItens[[#This Row],[Consumo]] &lt;&gt; 0), tabItens[[#This Row],[Pend]] / tabItens[[#This Row],[Consumo]], 0 )</f>
        <v>0</v>
      </c>
      <c r="BI24" s="338"/>
      <c r="BJ24" s="407"/>
      <c r="BK24" s="408" t="s">
        <v>2086</v>
      </c>
    </row>
    <row r="25" spans="1:63" x14ac:dyDescent="0.3">
      <c r="A25" s="375">
        <v>10412</v>
      </c>
      <c r="B25" s="376" t="s">
        <v>910</v>
      </c>
      <c r="C25" s="377" t="s">
        <v>320</v>
      </c>
      <c r="D25" s="378">
        <v>13.5</v>
      </c>
      <c r="E25" s="305" t="s">
        <v>911</v>
      </c>
      <c r="F25" s="379" t="s">
        <v>912</v>
      </c>
      <c r="G25" s="379" t="s">
        <v>913</v>
      </c>
      <c r="H25" s="380">
        <v>44</v>
      </c>
      <c r="I25" s="307">
        <v>103003</v>
      </c>
      <c r="J25" s="308">
        <v>13.5</v>
      </c>
      <c r="K25" s="381">
        <v>690.5</v>
      </c>
      <c r="L25" s="382">
        <f>IF(tabItens[[#This Row],[Média]] &gt; 0, tabItens[[#This Row],[QTDE ATUAL]] / tabItens[[#This Row],[Média]],999.9)</f>
        <v>0.41558441558441561</v>
      </c>
      <c r="M25" s="383">
        <v>0</v>
      </c>
      <c r="N25" s="384">
        <f>tabItens[[#This Row],[VALOR UNIT.]] * tabItens[[#This Row],[LC]]</f>
        <v>0</v>
      </c>
      <c r="O25" s="385" t="s">
        <v>914</v>
      </c>
      <c r="P25" s="386">
        <v>0</v>
      </c>
      <c r="Q25" s="387">
        <v>8508</v>
      </c>
      <c r="R25" s="312">
        <v>115020</v>
      </c>
      <c r="S25" s="388">
        <v>45489</v>
      </c>
      <c r="T25" s="389">
        <f>ROUNDDOWN(IFERROR(tabItens[[#This Row],[ATA DT.VALID.]] - $D$1,0) / 30,0)</f>
        <v>42</v>
      </c>
      <c r="U25" s="302" t="s">
        <v>915</v>
      </c>
      <c r="V25" s="318">
        <v>1</v>
      </c>
      <c r="W25" s="390" t="s">
        <v>2073</v>
      </c>
      <c r="X25" s="391">
        <v>71</v>
      </c>
      <c r="Y25" s="392">
        <v>24</v>
      </c>
      <c r="Z25" s="393"/>
      <c r="AA25" s="394"/>
      <c r="AB25" s="395"/>
      <c r="AC25" s="395">
        <v>12177</v>
      </c>
      <c r="AD25" s="394">
        <v>2023</v>
      </c>
      <c r="AE25" s="395">
        <v>240</v>
      </c>
      <c r="AF25" s="317">
        <v>300</v>
      </c>
      <c r="AG25" s="396" t="s">
        <v>2052</v>
      </c>
      <c r="AH25" s="397">
        <v>45208</v>
      </c>
      <c r="AI25" s="317">
        <v>402</v>
      </c>
      <c r="AJ25" s="397">
        <v>45208</v>
      </c>
      <c r="AK25" s="326" t="s">
        <v>889</v>
      </c>
      <c r="AL25" s="326">
        <v>45205</v>
      </c>
      <c r="AM25" s="316"/>
      <c r="AN25" s="305"/>
      <c r="AO25" s="327" t="str">
        <f>_xlfn.IFNA(IF(VLOOKUP(tabItens[[#This Row],[CÓDIGO]],tabExcluirDoEstoque[#Data],1,FALSE),"sim",""),"")</f>
        <v/>
      </c>
      <c r="AP25" s="398">
        <f ca="1">IF(OR(ISBLANK(tabItens[[#This Row],[ATA DT.VALID.]]),tabItens[[#This Row],[ATA DT.VALID.]]="",tabItens[[#This Row],[ATA DT.VALID.]]=" "),"",IF(TYPE(tabItens[[#This Row],[ATA DT.VALID.]])=1,ROUNDUP((tabItens[[#This Row],[ATA DT.VALID.]]-TODAY())/7,0),""))</f>
        <v>33</v>
      </c>
      <c r="AQ25" s="399">
        <v>0</v>
      </c>
      <c r="AR25" s="400" t="str">
        <f>IF(ISBLANK(tabItens[[#This Row],[CÓDIGO]]),"",IFERROR(VLOOKUP(tabItens[[#This Row],[CÓDIGO]],Consumo!$C$2:$AC$862,26,FALSE),0))</f>
        <v>09.2023</v>
      </c>
      <c r="AS25" s="401">
        <f>SUMIF(Consumo!$C$3:$C$862,tabItens[[#This Row],[CÓDIGO]],Consumo!$N$3:$N$862) + SUMIF(Consumo!$C$3:$C$862,tabItens[[#This Row],[CÓDIGO]],Consumo!$O$3:$O$862) + SUMIF(Consumo!$C$3:$C$862,tabItens[[#This Row],[CÓDIGO]],Consumo!$P$3:$P$862) + SUMIF(Consumo!$C$3:$C$862,tabItens[[#This Row],[CÓDIGO]],Consumo!$Q$3:$Q$862)</f>
        <v>441.5</v>
      </c>
      <c r="AT25" s="401">
        <f>SUMIF(Consumo!$C$3:$C$862,tabItens[[#This Row],[CÓDIGO]],Consumo!$Z$3:$Z$862)</f>
        <v>1270.5</v>
      </c>
      <c r="AU25" s="402">
        <f>SUMIF(Consumo!$C$3:$C$862,tabItens[[#This Row],[CÓDIGO]],Consumo!$AA$3:$AA$862)</f>
        <v>121</v>
      </c>
      <c r="AV25" s="403">
        <f>SUMIF(Consumo!$C$3:$C$862,tabItens[[#This Row],[CÓDIGO]],Consumo!$Y$3:$Y$862)</f>
        <v>105.875</v>
      </c>
      <c r="AW25" s="380">
        <f>tabItens[[#This Row],[QTDE ATUAL]] + tabItens[[#This Row],[RC QTDE]] + tabItens[[#This Row],[AF SALDO]] + tabItens[[#This Row],[Recentes]]</f>
        <v>284</v>
      </c>
      <c r="AX25" s="404">
        <v>86</v>
      </c>
      <c r="AY25" s="404">
        <v>2</v>
      </c>
      <c r="AZ25" s="404">
        <f>IF(ISBLANK(tabItens[[#This Row],[CÓDIGO]]),"",tabItens[[#This Row],[PontoMês]] * (AZ$2+tabItens[[#This Row],[PontoQtM]]))</f>
        <v>172</v>
      </c>
      <c r="BA25" s="403">
        <f>tabItens[[#This Row],[PontoPed]] - tabItens[[#This Row],[Saldo]] + (1/10)</f>
        <v>-111.9</v>
      </c>
      <c r="BB25" s="403">
        <f xml:space="preserve"> tabItens[[#This Row],[PontoMês]] * BB$2 - tabItens[[#This Row],[QTDE ATUAL]] - (1/10)</f>
        <v>41.9</v>
      </c>
      <c r="BC25" s="335">
        <f>IF( tabItens[[#This Row],[PontoPed]]&gt;0, IF(tabItens[[#This Row],[PontoPed]]&lt;1, 1, IF( tabItens[[#This Row],[Saldo]]&gt;tabItens[[#This Row],[PontoPed]], 0, (tabItens[[#This Row],[PontoPed]]-tabItens[[#This Row],[Saldo]])/tabItens[[#This Row],[PontoPed]] ) ), 0 )</f>
        <v>0</v>
      </c>
      <c r="BD25" s="405">
        <f>ROUNDDOWN(IF( OR( AND(tabItens[[#This Row],[PontoPed]]&lt;tabItens[[#This Row],[Saldo]],tabItens[[#This Row],[Saldo]]&gt;0), tabItens[[#This Row],[PontoPed]]=0), 99, IF(AND(tabItens[[#This Row],[Saldo]]=0,tabItens[[#This Row],[PontoPed]]&gt;0), 0, (1-tabItens[[#This Row],[PctAb]])*10 ) ),0)</f>
        <v>99</v>
      </c>
      <c r="BE25" s="406">
        <f>MAX(ROUNDDOWN( IF(tabItens[[#This Row],[Abaixo]] &gt; 0,   tabItens[[#This Row],[Abaixo]] + (tabItens[[#This Row],[PontoMês]] * IF( OR( ISBLANK(tabItens[[#This Row],[ATA Nº/ANO]]), tabItens[[#This Row],[ATA Nº/ANO]] = ""),BE$2,BE$1)),0),0),0)</f>
        <v>0</v>
      </c>
      <c r="BF25"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5" s="338">
        <f>SUMIF(Consumo!$C$3:$C$862,tabItens[[#This Row],[CÓDIGO]],Consumo!$E$3:$E$862)</f>
        <v>132</v>
      </c>
      <c r="BH25" s="339">
        <f>IF(AND(tabItens[[#This Row],[Pend]] &gt; 0,tabItens[[#This Row],[Consumo]] &lt;&gt; 0), tabItens[[#This Row],[Pend]] / tabItens[[#This Row],[Consumo]], 0 )</f>
        <v>0.1038961038961039</v>
      </c>
      <c r="BI25" s="338"/>
      <c r="BJ25" s="407"/>
      <c r="BK25" s="408" t="s">
        <v>2086</v>
      </c>
    </row>
    <row r="26" spans="1:63" x14ac:dyDescent="0.3">
      <c r="A26" s="375">
        <v>78307</v>
      </c>
      <c r="B26" s="376" t="s">
        <v>1447</v>
      </c>
      <c r="C26" s="377" t="s">
        <v>263</v>
      </c>
      <c r="D26" s="378">
        <v>238.63</v>
      </c>
      <c r="E26" s="305" t="s">
        <v>1448</v>
      </c>
      <c r="F26" s="379" t="s">
        <v>1419</v>
      </c>
      <c r="G26" s="379" t="s">
        <v>1281</v>
      </c>
      <c r="H26" s="380">
        <v>34</v>
      </c>
      <c r="I26" s="307">
        <v>103003</v>
      </c>
      <c r="J26" s="308">
        <v>273</v>
      </c>
      <c r="K26" s="381"/>
      <c r="L26" s="382">
        <f>IF(tabItens[[#This Row],[Média]] &gt; 0, tabItens[[#This Row],[QTDE ATUAL]] / tabItens[[#This Row],[Média]],999.9)</f>
        <v>999.9</v>
      </c>
      <c r="M26" s="383">
        <v>0</v>
      </c>
      <c r="N26" s="384">
        <f>tabItens[[#This Row],[VALOR UNIT.]] * tabItens[[#This Row],[LC]]</f>
        <v>0</v>
      </c>
      <c r="O26" s="385" t="s">
        <v>1282</v>
      </c>
      <c r="P26" s="386">
        <v>0</v>
      </c>
      <c r="Q26" s="387">
        <v>44</v>
      </c>
      <c r="R26" s="312">
        <v>10499.72</v>
      </c>
      <c r="S26" s="388">
        <v>45540</v>
      </c>
      <c r="T26" s="389">
        <f>ROUNDDOWN(IFERROR(tabItens[[#This Row],[ATA DT.VALID.]] - $D$1,0) / 30,0)</f>
        <v>43</v>
      </c>
      <c r="U26" s="302" t="s">
        <v>1283</v>
      </c>
      <c r="V26" s="318">
        <v>1</v>
      </c>
      <c r="W26" s="390" t="s">
        <v>2071</v>
      </c>
      <c r="X26" s="391">
        <v>51</v>
      </c>
      <c r="Y26" s="392">
        <v>28</v>
      </c>
      <c r="Z26" s="393"/>
      <c r="AA26" s="394"/>
      <c r="AB26" s="395"/>
      <c r="AC26" s="395"/>
      <c r="AD26" s="394"/>
      <c r="AE26" s="395"/>
      <c r="AF26" s="317"/>
      <c r="AG26" s="396" t="s">
        <v>2072</v>
      </c>
      <c r="AH26" s="397"/>
      <c r="AI26" s="317">
        <v>11</v>
      </c>
      <c r="AJ26" s="397">
        <v>43818</v>
      </c>
      <c r="AK26" s="326">
        <v>38085</v>
      </c>
      <c r="AL26" s="326">
        <v>44579</v>
      </c>
      <c r="AM26" s="316"/>
      <c r="AN26" s="305"/>
      <c r="AO26" s="327" t="str">
        <f>_xlfn.IFNA(IF(VLOOKUP(tabItens[[#This Row],[CÓDIGO]],tabExcluirDoEstoque[#Data],1,FALSE),"sim",""),"")</f>
        <v/>
      </c>
      <c r="AP26" s="398">
        <f ca="1">IF(OR(ISBLANK(tabItens[[#This Row],[ATA DT.VALID.]]),tabItens[[#This Row],[ATA DT.VALID.]]="",tabItens[[#This Row],[ATA DT.VALID.]]=" "),"",IF(TYPE(tabItens[[#This Row],[ATA DT.VALID.]])=1,ROUNDUP((tabItens[[#This Row],[ATA DT.VALID.]]-TODAY())/7,0),""))</f>
        <v>40</v>
      </c>
      <c r="AQ26" s="399">
        <v>0</v>
      </c>
      <c r="AR26" s="400">
        <f>IF(ISBLANK(tabItens[[#This Row],[CÓDIGO]]),"",IFERROR(VLOOKUP(tabItens[[#This Row],[CÓDIGO]],Consumo!$C$2:$AC$862,26,FALSE),0))</f>
        <v>0</v>
      </c>
      <c r="AS26" s="401">
        <f>SUMIF(Consumo!$C$3:$C$862,tabItens[[#This Row],[CÓDIGO]],Consumo!$N$3:$N$862) + SUMIF(Consumo!$C$3:$C$862,tabItens[[#This Row],[CÓDIGO]],Consumo!$O$3:$O$862) + SUMIF(Consumo!$C$3:$C$862,tabItens[[#This Row],[CÓDIGO]],Consumo!$P$3:$P$862) + SUMIF(Consumo!$C$3:$C$862,tabItens[[#This Row],[CÓDIGO]],Consumo!$Q$3:$Q$862)</f>
        <v>0</v>
      </c>
      <c r="AT26" s="401">
        <f>SUMIF(Consumo!$C$3:$C$862,tabItens[[#This Row],[CÓDIGO]],Consumo!$Z$3:$Z$862)</f>
        <v>0</v>
      </c>
      <c r="AU26" s="402">
        <f>SUMIF(Consumo!$C$3:$C$862,tabItens[[#This Row],[CÓDIGO]],Consumo!$AA$3:$AA$862)</f>
        <v>0</v>
      </c>
      <c r="AV26" s="403">
        <f>SUMIF(Consumo!$C$3:$C$862,tabItens[[#This Row],[CÓDIGO]],Consumo!$Y$3:$Y$862)</f>
        <v>0</v>
      </c>
      <c r="AW26" s="380">
        <f>tabItens[[#This Row],[QTDE ATUAL]] + tabItens[[#This Row],[RC QTDE]] + tabItens[[#This Row],[AF SALDO]] + tabItens[[#This Row],[Recentes]]</f>
        <v>34</v>
      </c>
      <c r="AX26" s="404">
        <v>3</v>
      </c>
      <c r="AY26" s="404">
        <v>4</v>
      </c>
      <c r="AZ26" s="404">
        <f>IF(ISBLANK(tabItens[[#This Row],[CÓDIGO]]),"",tabItens[[#This Row],[PontoMês]] * (AZ$2+tabItens[[#This Row],[PontoQtM]]))</f>
        <v>12</v>
      </c>
      <c r="BA26" s="403">
        <f>tabItens[[#This Row],[PontoPed]] - tabItens[[#This Row],[Saldo]] + (1/10)</f>
        <v>-21.9</v>
      </c>
      <c r="BB26" s="403">
        <f xml:space="preserve"> tabItens[[#This Row],[PontoMês]] * BB$2 - tabItens[[#This Row],[QTDE ATUAL]] - (1/10)</f>
        <v>-31.1</v>
      </c>
      <c r="BC26" s="335">
        <f>IF( tabItens[[#This Row],[PontoPed]]&gt;0, IF(tabItens[[#This Row],[PontoPed]]&lt;1, 1, IF( tabItens[[#This Row],[Saldo]]&gt;tabItens[[#This Row],[PontoPed]], 0, (tabItens[[#This Row],[PontoPed]]-tabItens[[#This Row],[Saldo]])/tabItens[[#This Row],[PontoPed]] ) ), 0 )</f>
        <v>0</v>
      </c>
      <c r="BD26" s="405">
        <f>ROUNDDOWN(IF( OR( AND(tabItens[[#This Row],[PontoPed]]&lt;tabItens[[#This Row],[Saldo]],tabItens[[#This Row],[Saldo]]&gt;0), tabItens[[#This Row],[PontoPed]]=0), 99, IF(AND(tabItens[[#This Row],[Saldo]]=0,tabItens[[#This Row],[PontoPed]]&gt;0), 0, (1-tabItens[[#This Row],[PctAb]])*10 ) ),0)</f>
        <v>99</v>
      </c>
      <c r="BE26" s="406">
        <f>MAX(ROUNDDOWN( IF(tabItens[[#This Row],[Abaixo]] &gt; 0,   tabItens[[#This Row],[Abaixo]] + (tabItens[[#This Row],[PontoMês]] * IF( OR( ISBLANK(tabItens[[#This Row],[ATA Nº/ANO]]), tabItens[[#This Row],[ATA Nº/ANO]] = ""),BE$2,BE$1)),0),0),0)</f>
        <v>0</v>
      </c>
      <c r="BF26"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6" s="338">
        <f>SUMIF(Consumo!$C$3:$C$862,tabItens[[#This Row],[CÓDIGO]],Consumo!$E$3:$E$862)</f>
        <v>0</v>
      </c>
      <c r="BH26" s="339">
        <f>IF(AND(tabItens[[#This Row],[Pend]] &gt; 0,tabItens[[#This Row],[Consumo]] &lt;&gt; 0), tabItens[[#This Row],[Pend]] / tabItens[[#This Row],[Consumo]], 0 )</f>
        <v>0</v>
      </c>
      <c r="BI26" s="338"/>
      <c r="BJ26" s="407"/>
      <c r="BK26" s="408" t="s">
        <v>2086</v>
      </c>
    </row>
    <row r="27" spans="1:63" x14ac:dyDescent="0.3">
      <c r="A27" s="375">
        <v>56519</v>
      </c>
      <c r="B27" s="376" t="s">
        <v>1329</v>
      </c>
      <c r="C27" s="377" t="s">
        <v>263</v>
      </c>
      <c r="D27" s="378">
        <v>615.38</v>
      </c>
      <c r="E27" s="305" t="s">
        <v>1330</v>
      </c>
      <c r="F27" s="379" t="s">
        <v>1331</v>
      </c>
      <c r="G27" s="379" t="s">
        <v>1281</v>
      </c>
      <c r="H27" s="380">
        <v>38</v>
      </c>
      <c r="I27" s="307">
        <v>103003</v>
      </c>
      <c r="J27" s="308">
        <v>689.98</v>
      </c>
      <c r="K27" s="381">
        <v>16</v>
      </c>
      <c r="L27" s="382">
        <f>IF(tabItens[[#This Row],[Média]] &gt; 0, tabItens[[#This Row],[QTDE ATUAL]] / tabItens[[#This Row],[Média]],999.9)</f>
        <v>30.4</v>
      </c>
      <c r="M27" s="383">
        <v>0</v>
      </c>
      <c r="N27" s="384">
        <f>tabItens[[#This Row],[VALOR UNIT.]] * tabItens[[#This Row],[LC]]</f>
        <v>0</v>
      </c>
      <c r="O27" s="385" t="s">
        <v>1282</v>
      </c>
      <c r="P27" s="386">
        <v>0</v>
      </c>
      <c r="Q27" s="387">
        <v>143</v>
      </c>
      <c r="R27" s="312">
        <v>87999.34</v>
      </c>
      <c r="S27" s="388">
        <v>45540</v>
      </c>
      <c r="T27" s="389">
        <f>ROUNDDOWN(IFERROR(tabItens[[#This Row],[ATA DT.VALID.]] - $D$1,0) / 30,0)</f>
        <v>43</v>
      </c>
      <c r="U27" s="302" t="s">
        <v>1283</v>
      </c>
      <c r="V27" s="318">
        <v>1</v>
      </c>
      <c r="W27" s="390" t="s">
        <v>2071</v>
      </c>
      <c r="X27" s="391">
        <v>51</v>
      </c>
      <c r="Y27" s="392">
        <v>28</v>
      </c>
      <c r="Z27" s="393"/>
      <c r="AA27" s="394"/>
      <c r="AB27" s="395"/>
      <c r="AC27" s="395"/>
      <c r="AD27" s="394"/>
      <c r="AE27" s="395"/>
      <c r="AF27" s="317"/>
      <c r="AG27" s="396" t="s">
        <v>2072</v>
      </c>
      <c r="AH27" s="397"/>
      <c r="AI27" s="317">
        <v>6</v>
      </c>
      <c r="AJ27" s="397">
        <v>45048</v>
      </c>
      <c r="AK27" s="326" t="s">
        <v>889</v>
      </c>
      <c r="AL27" s="326">
        <v>45016</v>
      </c>
      <c r="AM27" s="316"/>
      <c r="AN27" s="305"/>
      <c r="AO27" s="327" t="str">
        <f>_xlfn.IFNA(IF(VLOOKUP(tabItens[[#This Row],[CÓDIGO]],tabExcluirDoEstoque[#Data],1,FALSE),"sim",""),"")</f>
        <v/>
      </c>
      <c r="AP27" s="398">
        <f ca="1">IF(OR(ISBLANK(tabItens[[#This Row],[ATA DT.VALID.]]),tabItens[[#This Row],[ATA DT.VALID.]]="",tabItens[[#This Row],[ATA DT.VALID.]]=" "),"",IF(TYPE(tabItens[[#This Row],[ATA DT.VALID.]])=1,ROUNDUP((tabItens[[#This Row],[ATA DT.VALID.]]-TODAY())/7,0),""))</f>
        <v>40</v>
      </c>
      <c r="AQ27" s="399">
        <v>0</v>
      </c>
      <c r="AR27" s="400" t="str">
        <f>IF(ISBLANK(tabItens[[#This Row],[CÓDIGO]]),"",IFERROR(VLOOKUP(tabItens[[#This Row],[CÓDIGO]],Consumo!$C$2:$AC$862,26,FALSE),0))</f>
        <v>07.2023</v>
      </c>
      <c r="AS27" s="401">
        <f>SUMIF(Consumo!$C$3:$C$862,tabItens[[#This Row],[CÓDIGO]],Consumo!$N$3:$N$862) + SUMIF(Consumo!$C$3:$C$862,tabItens[[#This Row],[CÓDIGO]],Consumo!$O$3:$O$862) + SUMIF(Consumo!$C$3:$C$862,tabItens[[#This Row],[CÓDIGO]],Consumo!$P$3:$P$862) + SUMIF(Consumo!$C$3:$C$862,tabItens[[#This Row],[CÓDIGO]],Consumo!$Q$3:$Q$862)</f>
        <v>6</v>
      </c>
      <c r="AT27" s="401">
        <f>SUMIF(Consumo!$C$3:$C$862,tabItens[[#This Row],[CÓDIGO]],Consumo!$Z$3:$Z$862)</f>
        <v>16</v>
      </c>
      <c r="AU27" s="402">
        <f>SUMIF(Consumo!$C$3:$C$862,tabItens[[#This Row],[CÓDIGO]],Consumo!$AA$3:$AA$862)</f>
        <v>6</v>
      </c>
      <c r="AV27" s="403">
        <f>SUMIF(Consumo!$C$3:$C$862,tabItens[[#This Row],[CÓDIGO]],Consumo!$Y$3:$Y$862)</f>
        <v>1.25</v>
      </c>
      <c r="AW27" s="380">
        <f>tabItens[[#This Row],[QTDE ATUAL]] + tabItens[[#This Row],[RC QTDE]] + tabItens[[#This Row],[AF SALDO]] + tabItens[[#This Row],[Recentes]]</f>
        <v>38</v>
      </c>
      <c r="AX27" s="404">
        <v>3</v>
      </c>
      <c r="AY27" s="404">
        <v>4</v>
      </c>
      <c r="AZ27" s="404">
        <f>IF(ISBLANK(tabItens[[#This Row],[CÓDIGO]]),"",tabItens[[#This Row],[PontoMês]] * (AZ$2+tabItens[[#This Row],[PontoQtM]]))</f>
        <v>12</v>
      </c>
      <c r="BA27" s="403">
        <f>tabItens[[#This Row],[PontoPed]] - tabItens[[#This Row],[Saldo]] + (1/10)</f>
        <v>-25.9</v>
      </c>
      <c r="BB27" s="403">
        <f xml:space="preserve"> tabItens[[#This Row],[PontoMês]] * BB$2 - tabItens[[#This Row],[QTDE ATUAL]] - (1/10)</f>
        <v>-35.1</v>
      </c>
      <c r="BC27" s="335">
        <f>IF( tabItens[[#This Row],[PontoPed]]&gt;0, IF(tabItens[[#This Row],[PontoPed]]&lt;1, 1, IF( tabItens[[#This Row],[Saldo]]&gt;tabItens[[#This Row],[PontoPed]], 0, (tabItens[[#This Row],[PontoPed]]-tabItens[[#This Row],[Saldo]])/tabItens[[#This Row],[PontoPed]] ) ), 0 )</f>
        <v>0</v>
      </c>
      <c r="BD27" s="405">
        <f>ROUNDDOWN(IF( OR( AND(tabItens[[#This Row],[PontoPed]]&lt;tabItens[[#This Row],[Saldo]],tabItens[[#This Row],[Saldo]]&gt;0), tabItens[[#This Row],[PontoPed]]=0), 99, IF(AND(tabItens[[#This Row],[Saldo]]=0,tabItens[[#This Row],[PontoPed]]&gt;0), 0, (1-tabItens[[#This Row],[PctAb]])*10 ) ),0)</f>
        <v>99</v>
      </c>
      <c r="BE27" s="406">
        <f>MAX(ROUNDDOWN( IF(tabItens[[#This Row],[Abaixo]] &gt; 0,   tabItens[[#This Row],[Abaixo]] + (tabItens[[#This Row],[PontoMês]] * IF( OR( ISBLANK(tabItens[[#This Row],[ATA Nº/ANO]]), tabItens[[#This Row],[ATA Nº/ANO]] = ""),BE$2,BE$1)),0),0),0)</f>
        <v>0</v>
      </c>
      <c r="BF27"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7" s="338">
        <f>SUMIF(Consumo!$C$3:$C$862,tabItens[[#This Row],[CÓDIGO]],Consumo!$E$3:$E$862)</f>
        <v>0</v>
      </c>
      <c r="BH27" s="339">
        <f>IF(AND(tabItens[[#This Row],[Pend]] &gt; 0,tabItens[[#This Row],[Consumo]] &lt;&gt; 0), tabItens[[#This Row],[Pend]] / tabItens[[#This Row],[Consumo]], 0 )</f>
        <v>0</v>
      </c>
      <c r="BI27" s="338"/>
      <c r="BJ27" s="407"/>
      <c r="BK27" s="408" t="s">
        <v>2086</v>
      </c>
    </row>
    <row r="28" spans="1:63" x14ac:dyDescent="0.3">
      <c r="A28" s="375">
        <v>42566</v>
      </c>
      <c r="B28" s="376" t="s">
        <v>1278</v>
      </c>
      <c r="C28" s="377" t="s">
        <v>31</v>
      </c>
      <c r="D28" s="378">
        <v>170</v>
      </c>
      <c r="E28" s="305" t="s">
        <v>1279</v>
      </c>
      <c r="F28" s="379" t="s">
        <v>1280</v>
      </c>
      <c r="G28" s="379" t="s">
        <v>1281</v>
      </c>
      <c r="H28" s="380">
        <v>47</v>
      </c>
      <c r="I28" s="307">
        <v>103003</v>
      </c>
      <c r="J28" s="308">
        <v>309.08999999999997</v>
      </c>
      <c r="K28" s="381">
        <v>20</v>
      </c>
      <c r="L28" s="382">
        <f>IF(tabItens[[#This Row],[Média]] &gt; 0, tabItens[[#This Row],[QTDE ATUAL]] / tabItens[[#This Row],[Média]],999.9)</f>
        <v>37.6</v>
      </c>
      <c r="M28" s="383">
        <v>0</v>
      </c>
      <c r="N28" s="384">
        <f>tabItens[[#This Row],[VALOR UNIT.]] * tabItens[[#This Row],[LC]]</f>
        <v>0</v>
      </c>
      <c r="O28" s="385" t="s">
        <v>1282</v>
      </c>
      <c r="P28" s="386">
        <v>0</v>
      </c>
      <c r="Q28" s="387">
        <v>160</v>
      </c>
      <c r="R28" s="312">
        <v>27200</v>
      </c>
      <c r="S28" s="388">
        <v>45540</v>
      </c>
      <c r="T28" s="389">
        <f>ROUNDDOWN(IFERROR(tabItens[[#This Row],[ATA DT.VALID.]] - $D$1,0) / 30,0)</f>
        <v>43</v>
      </c>
      <c r="U28" s="302" t="s">
        <v>1283</v>
      </c>
      <c r="V28" s="318">
        <v>1</v>
      </c>
      <c r="W28" s="390" t="s">
        <v>2071</v>
      </c>
      <c r="X28" s="391">
        <v>51</v>
      </c>
      <c r="Y28" s="392">
        <v>28</v>
      </c>
      <c r="Z28" s="393"/>
      <c r="AA28" s="394"/>
      <c r="AB28" s="395"/>
      <c r="AC28" s="395"/>
      <c r="AD28" s="394"/>
      <c r="AE28" s="395"/>
      <c r="AF28" s="317"/>
      <c r="AG28" s="396" t="s">
        <v>2072</v>
      </c>
      <c r="AH28" s="397"/>
      <c r="AI28" s="317">
        <v>6</v>
      </c>
      <c r="AJ28" s="397">
        <v>45005</v>
      </c>
      <c r="AK28" s="326" t="s">
        <v>889</v>
      </c>
      <c r="AL28" s="326">
        <v>44995</v>
      </c>
      <c r="AM28" s="316"/>
      <c r="AN28" s="305"/>
      <c r="AO28" s="327" t="str">
        <f>_xlfn.IFNA(IF(VLOOKUP(tabItens[[#This Row],[CÓDIGO]],tabExcluirDoEstoque[#Data],1,FALSE),"sim",""),"")</f>
        <v/>
      </c>
      <c r="AP28" s="398">
        <f ca="1">IF(OR(ISBLANK(tabItens[[#This Row],[ATA DT.VALID.]]),tabItens[[#This Row],[ATA DT.VALID.]]="",tabItens[[#This Row],[ATA DT.VALID.]]=" "),"",IF(TYPE(tabItens[[#This Row],[ATA DT.VALID.]])=1,ROUNDUP((tabItens[[#This Row],[ATA DT.VALID.]]-TODAY())/7,0),""))</f>
        <v>40</v>
      </c>
      <c r="AQ28" s="399">
        <v>0</v>
      </c>
      <c r="AR28" s="400" t="str">
        <f>IF(ISBLANK(tabItens[[#This Row],[CÓDIGO]]),"",IFERROR(VLOOKUP(tabItens[[#This Row],[CÓDIGO]],Consumo!$C$2:$AC$862,26,FALSE),0))</f>
        <v>08.2023</v>
      </c>
      <c r="AS28" s="401">
        <f>SUMIF(Consumo!$C$3:$C$862,tabItens[[#This Row],[CÓDIGO]],Consumo!$N$3:$N$862) + SUMIF(Consumo!$C$3:$C$862,tabItens[[#This Row],[CÓDIGO]],Consumo!$O$3:$O$862) + SUMIF(Consumo!$C$3:$C$862,tabItens[[#This Row],[CÓDIGO]],Consumo!$P$3:$P$862) + SUMIF(Consumo!$C$3:$C$862,tabItens[[#This Row],[CÓDIGO]],Consumo!$Q$3:$Q$862)</f>
        <v>2</v>
      </c>
      <c r="AT28" s="401">
        <f>SUMIF(Consumo!$C$3:$C$862,tabItens[[#This Row],[CÓDIGO]],Consumo!$Z$3:$Z$862)</f>
        <v>20</v>
      </c>
      <c r="AU28" s="402">
        <f>SUMIF(Consumo!$C$3:$C$862,tabItens[[#This Row],[CÓDIGO]],Consumo!$AA$3:$AA$862)</f>
        <v>14</v>
      </c>
      <c r="AV28" s="403">
        <f>SUMIF(Consumo!$C$3:$C$862,tabItens[[#This Row],[CÓDIGO]],Consumo!$Y$3:$Y$862)</f>
        <v>1.25</v>
      </c>
      <c r="AW28" s="380">
        <f>tabItens[[#This Row],[QTDE ATUAL]] + tabItens[[#This Row],[RC QTDE]] + tabItens[[#This Row],[AF SALDO]] + tabItens[[#This Row],[Recentes]]</f>
        <v>47</v>
      </c>
      <c r="AX28" s="404">
        <v>5</v>
      </c>
      <c r="AY28" s="404">
        <v>4</v>
      </c>
      <c r="AZ28" s="404">
        <f>IF(ISBLANK(tabItens[[#This Row],[CÓDIGO]]),"",tabItens[[#This Row],[PontoMês]] * (AZ$2+tabItens[[#This Row],[PontoQtM]]))</f>
        <v>20</v>
      </c>
      <c r="BA28" s="403">
        <f>tabItens[[#This Row],[PontoPed]] - tabItens[[#This Row],[Saldo]] + (1/10)</f>
        <v>-26.9</v>
      </c>
      <c r="BB28" s="403">
        <f xml:space="preserve"> tabItens[[#This Row],[PontoMês]] * BB$2 - tabItens[[#This Row],[QTDE ATUAL]] - (1/10)</f>
        <v>-42.1</v>
      </c>
      <c r="BC28" s="335">
        <f>IF( tabItens[[#This Row],[PontoPed]]&gt;0, IF(tabItens[[#This Row],[PontoPed]]&lt;1, 1, IF( tabItens[[#This Row],[Saldo]]&gt;tabItens[[#This Row],[PontoPed]], 0, (tabItens[[#This Row],[PontoPed]]-tabItens[[#This Row],[Saldo]])/tabItens[[#This Row],[PontoPed]] ) ), 0 )</f>
        <v>0</v>
      </c>
      <c r="BD28" s="405">
        <f>ROUNDDOWN(IF( OR( AND(tabItens[[#This Row],[PontoPed]]&lt;tabItens[[#This Row],[Saldo]],tabItens[[#This Row],[Saldo]]&gt;0), tabItens[[#This Row],[PontoPed]]=0), 99, IF(AND(tabItens[[#This Row],[Saldo]]=0,tabItens[[#This Row],[PontoPed]]&gt;0), 0, (1-tabItens[[#This Row],[PctAb]])*10 ) ),0)</f>
        <v>99</v>
      </c>
      <c r="BE28" s="406">
        <f>MAX(ROUNDDOWN( IF(tabItens[[#This Row],[Abaixo]] &gt; 0,   tabItens[[#This Row],[Abaixo]] + (tabItens[[#This Row],[PontoMês]] * IF( OR( ISBLANK(tabItens[[#This Row],[ATA Nº/ANO]]), tabItens[[#This Row],[ATA Nº/ANO]] = ""),BE$2,BE$1)),0),0),0)</f>
        <v>0</v>
      </c>
      <c r="BF28"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8" s="338">
        <f>SUMIF(Consumo!$C$3:$C$862,tabItens[[#This Row],[CÓDIGO]],Consumo!$E$3:$E$862)</f>
        <v>0</v>
      </c>
      <c r="BH28" s="339">
        <f>IF(AND(tabItens[[#This Row],[Pend]] &gt; 0,tabItens[[#This Row],[Consumo]] &lt;&gt; 0), tabItens[[#This Row],[Pend]] / tabItens[[#This Row],[Consumo]], 0 )</f>
        <v>0</v>
      </c>
      <c r="BI28" s="338"/>
      <c r="BJ28" s="407"/>
      <c r="BK28" s="408" t="s">
        <v>2086</v>
      </c>
    </row>
    <row r="29" spans="1:63" x14ac:dyDescent="0.3">
      <c r="A29" s="375">
        <v>49033</v>
      </c>
      <c r="B29" s="376" t="s">
        <v>1293</v>
      </c>
      <c r="C29" s="377" t="s">
        <v>263</v>
      </c>
      <c r="D29" s="378">
        <v>160.13</v>
      </c>
      <c r="E29" s="305" t="s">
        <v>1279</v>
      </c>
      <c r="F29" s="379" t="s">
        <v>1280</v>
      </c>
      <c r="G29" s="379" t="s">
        <v>1281</v>
      </c>
      <c r="H29" s="380">
        <v>30</v>
      </c>
      <c r="I29" s="307">
        <v>103003</v>
      </c>
      <c r="J29" s="308">
        <v>308.64999999999998</v>
      </c>
      <c r="K29" s="381">
        <v>12</v>
      </c>
      <c r="L29" s="382">
        <f>IF(tabItens[[#This Row],[Média]] &gt; 0, tabItens[[#This Row],[QTDE ATUAL]] / tabItens[[#This Row],[Média]],999.9)</f>
        <v>32.727272727272727</v>
      </c>
      <c r="M29" s="383">
        <v>0</v>
      </c>
      <c r="N29" s="384">
        <f>tabItens[[#This Row],[VALOR UNIT.]] * tabItens[[#This Row],[LC]]</f>
        <v>0</v>
      </c>
      <c r="O29" s="385" t="s">
        <v>1282</v>
      </c>
      <c r="P29" s="386">
        <v>0</v>
      </c>
      <c r="Q29" s="387">
        <v>141</v>
      </c>
      <c r="R29" s="312">
        <v>22898.59</v>
      </c>
      <c r="S29" s="388">
        <v>45540</v>
      </c>
      <c r="T29" s="389">
        <f>ROUNDDOWN(IFERROR(tabItens[[#This Row],[ATA DT.VALID.]] - $D$1,0) / 30,0)</f>
        <v>43</v>
      </c>
      <c r="U29" s="302" t="s">
        <v>1283</v>
      </c>
      <c r="V29" s="318">
        <v>1</v>
      </c>
      <c r="W29" s="390" t="s">
        <v>2071</v>
      </c>
      <c r="X29" s="391">
        <v>51</v>
      </c>
      <c r="Y29" s="392">
        <v>28</v>
      </c>
      <c r="Z29" s="393"/>
      <c r="AA29" s="394"/>
      <c r="AB29" s="395"/>
      <c r="AC29" s="395"/>
      <c r="AD29" s="394"/>
      <c r="AE29" s="395"/>
      <c r="AF29" s="317"/>
      <c r="AG29" s="396" t="s">
        <v>2072</v>
      </c>
      <c r="AH29" s="397"/>
      <c r="AI29" s="317">
        <v>4</v>
      </c>
      <c r="AJ29" s="397">
        <v>45069</v>
      </c>
      <c r="AK29" s="326" t="s">
        <v>889</v>
      </c>
      <c r="AL29" s="326">
        <v>45034</v>
      </c>
      <c r="AM29" s="316"/>
      <c r="AN29" s="305"/>
      <c r="AO29" s="327" t="str">
        <f>_xlfn.IFNA(IF(VLOOKUP(tabItens[[#This Row],[CÓDIGO]],tabExcluirDoEstoque[#Data],1,FALSE),"sim",""),"")</f>
        <v/>
      </c>
      <c r="AP29" s="398">
        <f ca="1">IF(OR(ISBLANK(tabItens[[#This Row],[ATA DT.VALID.]]),tabItens[[#This Row],[ATA DT.VALID.]]="",tabItens[[#This Row],[ATA DT.VALID.]]=" "),"",IF(TYPE(tabItens[[#This Row],[ATA DT.VALID.]])=1,ROUNDUP((tabItens[[#This Row],[ATA DT.VALID.]]-TODAY())/7,0),""))</f>
        <v>40</v>
      </c>
      <c r="AQ29" s="399">
        <v>0</v>
      </c>
      <c r="AR29" s="400" t="str">
        <f>IF(ISBLANK(tabItens[[#This Row],[CÓDIGO]]),"",IFERROR(VLOOKUP(tabItens[[#This Row],[CÓDIGO]],Consumo!$C$2:$AC$862,26,FALSE),0))</f>
        <v>03.2023</v>
      </c>
      <c r="AS29" s="401">
        <f>SUMIF(Consumo!$C$3:$C$862,tabItens[[#This Row],[CÓDIGO]],Consumo!$N$3:$N$862) + SUMIF(Consumo!$C$3:$C$862,tabItens[[#This Row],[CÓDIGO]],Consumo!$O$3:$O$862) + SUMIF(Consumo!$C$3:$C$862,tabItens[[#This Row],[CÓDIGO]],Consumo!$P$3:$P$862) + SUMIF(Consumo!$C$3:$C$862,tabItens[[#This Row],[CÓDIGO]],Consumo!$Q$3:$Q$862)</f>
        <v>0</v>
      </c>
      <c r="AT29" s="401">
        <f>SUMIF(Consumo!$C$3:$C$862,tabItens[[#This Row],[CÓDIGO]],Consumo!$Z$3:$Z$862)</f>
        <v>12</v>
      </c>
      <c r="AU29" s="402">
        <f>SUMIF(Consumo!$C$3:$C$862,tabItens[[#This Row],[CÓDIGO]],Consumo!$AA$3:$AA$862)</f>
        <v>4</v>
      </c>
      <c r="AV29" s="403">
        <f>SUMIF(Consumo!$C$3:$C$862,tabItens[[#This Row],[CÓDIGO]],Consumo!$Y$3:$Y$862)</f>
        <v>0.91666666666666663</v>
      </c>
      <c r="AW29" s="380">
        <f>tabItens[[#This Row],[QTDE ATUAL]] + tabItens[[#This Row],[RC QTDE]] + tabItens[[#This Row],[AF SALDO]] + tabItens[[#This Row],[Recentes]]</f>
        <v>30</v>
      </c>
      <c r="AX29" s="404">
        <v>4</v>
      </c>
      <c r="AY29" s="404">
        <v>4</v>
      </c>
      <c r="AZ29" s="404">
        <f>IF(ISBLANK(tabItens[[#This Row],[CÓDIGO]]),"",tabItens[[#This Row],[PontoMês]] * (AZ$2+tabItens[[#This Row],[PontoQtM]]))</f>
        <v>16</v>
      </c>
      <c r="BA29" s="403">
        <f>tabItens[[#This Row],[PontoPed]] - tabItens[[#This Row],[Saldo]] + (1/10)</f>
        <v>-13.9</v>
      </c>
      <c r="BB29" s="403">
        <f xml:space="preserve"> tabItens[[#This Row],[PontoMês]] * BB$2 - tabItens[[#This Row],[QTDE ATUAL]] - (1/10)</f>
        <v>-26.1</v>
      </c>
      <c r="BC29" s="335">
        <f>IF( tabItens[[#This Row],[PontoPed]]&gt;0, IF(tabItens[[#This Row],[PontoPed]]&lt;1, 1, IF( tabItens[[#This Row],[Saldo]]&gt;tabItens[[#This Row],[PontoPed]], 0, (tabItens[[#This Row],[PontoPed]]-tabItens[[#This Row],[Saldo]])/tabItens[[#This Row],[PontoPed]] ) ), 0 )</f>
        <v>0</v>
      </c>
      <c r="BD29" s="405">
        <f>ROUNDDOWN(IF( OR( AND(tabItens[[#This Row],[PontoPed]]&lt;tabItens[[#This Row],[Saldo]],tabItens[[#This Row],[Saldo]]&gt;0), tabItens[[#This Row],[PontoPed]]=0), 99, IF(AND(tabItens[[#This Row],[Saldo]]=0,tabItens[[#This Row],[PontoPed]]&gt;0), 0, (1-tabItens[[#This Row],[PctAb]])*10 ) ),0)</f>
        <v>99</v>
      </c>
      <c r="BE29" s="406">
        <f>MAX(ROUNDDOWN( IF(tabItens[[#This Row],[Abaixo]] &gt; 0,   tabItens[[#This Row],[Abaixo]] + (tabItens[[#This Row],[PontoMês]] * IF( OR( ISBLANK(tabItens[[#This Row],[ATA Nº/ANO]]), tabItens[[#This Row],[ATA Nº/ANO]] = ""),BE$2,BE$1)),0),0),0)</f>
        <v>0</v>
      </c>
      <c r="BF29"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9" s="338">
        <f>SUMIF(Consumo!$C$3:$C$862,tabItens[[#This Row],[CÓDIGO]],Consumo!$E$3:$E$862)</f>
        <v>0</v>
      </c>
      <c r="BH29" s="339">
        <f>IF(AND(tabItens[[#This Row],[Pend]] &gt; 0,tabItens[[#This Row],[Consumo]] &lt;&gt; 0), tabItens[[#This Row],[Pend]] / tabItens[[#This Row],[Consumo]], 0 )</f>
        <v>0</v>
      </c>
      <c r="BI29" s="338"/>
      <c r="BJ29" s="407"/>
      <c r="BK29" s="408" t="s">
        <v>2086</v>
      </c>
    </row>
    <row r="30" spans="1:63" x14ac:dyDescent="0.3">
      <c r="A30" s="375">
        <v>50591</v>
      </c>
      <c r="B30" s="376" t="s">
        <v>1298</v>
      </c>
      <c r="C30" s="377" t="s">
        <v>263</v>
      </c>
      <c r="D30" s="378">
        <v>151.51</v>
      </c>
      <c r="E30" s="305" t="s">
        <v>1279</v>
      </c>
      <c r="F30" s="379" t="s">
        <v>1280</v>
      </c>
      <c r="G30" s="379" t="s">
        <v>1281</v>
      </c>
      <c r="H30" s="380">
        <v>30</v>
      </c>
      <c r="I30" s="307">
        <v>103003</v>
      </c>
      <c r="J30" s="308">
        <v>113.47</v>
      </c>
      <c r="K30" s="381">
        <v>12</v>
      </c>
      <c r="L30" s="382">
        <f>IF(tabItens[[#This Row],[Média]] &gt; 0, tabItens[[#This Row],[QTDE ATUAL]] / tabItens[[#This Row],[Média]],999.9)</f>
        <v>32.727272727272727</v>
      </c>
      <c r="M30" s="383">
        <v>0</v>
      </c>
      <c r="N30" s="384">
        <f>tabItens[[#This Row],[VALOR UNIT.]] * tabItens[[#This Row],[LC]]</f>
        <v>0</v>
      </c>
      <c r="O30" s="385" t="s">
        <v>1282</v>
      </c>
      <c r="P30" s="386">
        <v>0</v>
      </c>
      <c r="Q30" s="387">
        <v>64</v>
      </c>
      <c r="R30" s="312">
        <v>9999.66</v>
      </c>
      <c r="S30" s="388">
        <v>45540</v>
      </c>
      <c r="T30" s="389">
        <f>ROUNDDOWN(IFERROR(tabItens[[#This Row],[ATA DT.VALID.]] - $D$1,0) / 30,0)</f>
        <v>43</v>
      </c>
      <c r="U30" s="302" t="s">
        <v>1283</v>
      </c>
      <c r="V30" s="318">
        <v>1</v>
      </c>
      <c r="W30" s="390" t="s">
        <v>2071</v>
      </c>
      <c r="X30" s="391">
        <v>51</v>
      </c>
      <c r="Y30" s="392">
        <v>28</v>
      </c>
      <c r="Z30" s="393"/>
      <c r="AA30" s="394"/>
      <c r="AB30" s="395"/>
      <c r="AC30" s="395"/>
      <c r="AD30" s="394"/>
      <c r="AE30" s="395"/>
      <c r="AF30" s="317"/>
      <c r="AG30" s="396" t="s">
        <v>2072</v>
      </c>
      <c r="AH30" s="397"/>
      <c r="AI30" s="317">
        <v>4</v>
      </c>
      <c r="AJ30" s="397">
        <v>43818</v>
      </c>
      <c r="AK30" s="326" t="s">
        <v>889</v>
      </c>
      <c r="AL30" s="326">
        <v>44238</v>
      </c>
      <c r="AM30" s="316"/>
      <c r="AN30" s="305"/>
      <c r="AO30" s="327" t="str">
        <f>_xlfn.IFNA(IF(VLOOKUP(tabItens[[#This Row],[CÓDIGO]],tabExcluirDoEstoque[#Data],1,FALSE),"sim",""),"")</f>
        <v/>
      </c>
      <c r="AP30" s="398">
        <f ca="1">IF(OR(ISBLANK(tabItens[[#This Row],[ATA DT.VALID.]]),tabItens[[#This Row],[ATA DT.VALID.]]="",tabItens[[#This Row],[ATA DT.VALID.]]=" "),"",IF(TYPE(tabItens[[#This Row],[ATA DT.VALID.]])=1,ROUNDUP((tabItens[[#This Row],[ATA DT.VALID.]]-TODAY())/7,0),""))</f>
        <v>40</v>
      </c>
      <c r="AQ30" s="399">
        <v>0</v>
      </c>
      <c r="AR30" s="400" t="str">
        <f>IF(ISBLANK(tabItens[[#This Row],[CÓDIGO]]),"",IFERROR(VLOOKUP(tabItens[[#This Row],[CÓDIGO]],Consumo!$C$2:$AC$862,26,FALSE),0))</f>
        <v>03.2023</v>
      </c>
      <c r="AS30" s="401">
        <f>SUMIF(Consumo!$C$3:$C$862,tabItens[[#This Row],[CÓDIGO]],Consumo!$N$3:$N$862) + SUMIF(Consumo!$C$3:$C$862,tabItens[[#This Row],[CÓDIGO]],Consumo!$O$3:$O$862) + SUMIF(Consumo!$C$3:$C$862,tabItens[[#This Row],[CÓDIGO]],Consumo!$P$3:$P$862) + SUMIF(Consumo!$C$3:$C$862,tabItens[[#This Row],[CÓDIGO]],Consumo!$Q$3:$Q$862)</f>
        <v>0</v>
      </c>
      <c r="AT30" s="401">
        <f>SUMIF(Consumo!$C$3:$C$862,tabItens[[#This Row],[CÓDIGO]],Consumo!$Z$3:$Z$862)</f>
        <v>12</v>
      </c>
      <c r="AU30" s="402">
        <f>SUMIF(Consumo!$C$3:$C$862,tabItens[[#This Row],[CÓDIGO]],Consumo!$AA$3:$AA$862)</f>
        <v>4</v>
      </c>
      <c r="AV30" s="403">
        <f>SUMIF(Consumo!$C$3:$C$862,tabItens[[#This Row],[CÓDIGO]],Consumo!$Y$3:$Y$862)</f>
        <v>0.91666666666666663</v>
      </c>
      <c r="AW30" s="380">
        <f>tabItens[[#This Row],[QTDE ATUAL]] + tabItens[[#This Row],[RC QTDE]] + tabItens[[#This Row],[AF SALDO]] + tabItens[[#This Row],[Recentes]]</f>
        <v>30</v>
      </c>
      <c r="AX30" s="404">
        <v>5</v>
      </c>
      <c r="AY30" s="404">
        <v>4</v>
      </c>
      <c r="AZ30" s="404">
        <f>IF(ISBLANK(tabItens[[#This Row],[CÓDIGO]]),"",tabItens[[#This Row],[PontoMês]] * (AZ$2+tabItens[[#This Row],[PontoQtM]]))</f>
        <v>20</v>
      </c>
      <c r="BA30" s="403">
        <f>tabItens[[#This Row],[PontoPed]] - tabItens[[#This Row],[Saldo]] + (1/10)</f>
        <v>-9.9</v>
      </c>
      <c r="BB30" s="403">
        <f xml:space="preserve"> tabItens[[#This Row],[PontoMês]] * BB$2 - tabItens[[#This Row],[QTDE ATUAL]] - (1/10)</f>
        <v>-25.1</v>
      </c>
      <c r="BC30" s="335">
        <f>IF( tabItens[[#This Row],[PontoPed]]&gt;0, IF(tabItens[[#This Row],[PontoPed]]&lt;1, 1, IF( tabItens[[#This Row],[Saldo]]&gt;tabItens[[#This Row],[PontoPed]], 0, (tabItens[[#This Row],[PontoPed]]-tabItens[[#This Row],[Saldo]])/tabItens[[#This Row],[PontoPed]] ) ), 0 )</f>
        <v>0</v>
      </c>
      <c r="BD30" s="405">
        <f>ROUNDDOWN(IF( OR( AND(tabItens[[#This Row],[PontoPed]]&lt;tabItens[[#This Row],[Saldo]],tabItens[[#This Row],[Saldo]]&gt;0), tabItens[[#This Row],[PontoPed]]=0), 99, IF(AND(tabItens[[#This Row],[Saldo]]=0,tabItens[[#This Row],[PontoPed]]&gt;0), 0, (1-tabItens[[#This Row],[PctAb]])*10 ) ),0)</f>
        <v>99</v>
      </c>
      <c r="BE30" s="406">
        <f>MAX(ROUNDDOWN( IF(tabItens[[#This Row],[Abaixo]] &gt; 0,   tabItens[[#This Row],[Abaixo]] + (tabItens[[#This Row],[PontoMês]] * IF( OR( ISBLANK(tabItens[[#This Row],[ATA Nº/ANO]]), tabItens[[#This Row],[ATA Nº/ANO]] = ""),BE$2,BE$1)),0),0),0)</f>
        <v>0</v>
      </c>
      <c r="BF30"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0" s="338">
        <f>SUMIF(Consumo!$C$3:$C$862,tabItens[[#This Row],[CÓDIGO]],Consumo!$E$3:$E$862)</f>
        <v>0</v>
      </c>
      <c r="BH30" s="339">
        <f>IF(AND(tabItens[[#This Row],[Pend]] &gt; 0,tabItens[[#This Row],[Consumo]] &lt;&gt; 0), tabItens[[#This Row],[Pend]] / tabItens[[#This Row],[Consumo]], 0 )</f>
        <v>0</v>
      </c>
      <c r="BI30" s="338"/>
      <c r="BJ30" s="407"/>
      <c r="BK30" s="408" t="s">
        <v>2086</v>
      </c>
    </row>
    <row r="31" spans="1:63" x14ac:dyDescent="0.3">
      <c r="A31" s="375">
        <v>56520</v>
      </c>
      <c r="B31" s="376" t="s">
        <v>1332</v>
      </c>
      <c r="C31" s="377" t="s">
        <v>263</v>
      </c>
      <c r="D31" s="378">
        <v>671.14</v>
      </c>
      <c r="E31" s="305" t="s">
        <v>1279</v>
      </c>
      <c r="F31" s="379" t="s">
        <v>1280</v>
      </c>
      <c r="G31" s="379" t="s">
        <v>1281</v>
      </c>
      <c r="H31" s="380">
        <v>0</v>
      </c>
      <c r="I31" s="307">
        <v>103003</v>
      </c>
      <c r="J31" s="308">
        <v>671.14</v>
      </c>
      <c r="K31" s="381">
        <v>44</v>
      </c>
      <c r="L31" s="382">
        <f>IF(tabItens[[#This Row],[Média]] &gt; 0, tabItens[[#This Row],[QTDE ATUAL]] / tabItens[[#This Row],[Média]],999.9)</f>
        <v>0</v>
      </c>
      <c r="M31" s="383">
        <v>0</v>
      </c>
      <c r="N31" s="384">
        <f>tabItens[[#This Row],[VALOR UNIT.]] * tabItens[[#This Row],[LC]]</f>
        <v>0</v>
      </c>
      <c r="O31" s="385" t="s">
        <v>1282</v>
      </c>
      <c r="P31" s="386">
        <v>0</v>
      </c>
      <c r="Q31" s="387">
        <v>109</v>
      </c>
      <c r="R31" s="312">
        <v>73154.259999999995</v>
      </c>
      <c r="S31" s="388">
        <v>45540</v>
      </c>
      <c r="T31" s="389">
        <f>ROUNDDOWN(IFERROR(tabItens[[#This Row],[ATA DT.VALID.]] - $D$1,0) / 30,0)</f>
        <v>43</v>
      </c>
      <c r="U31" s="302" t="s">
        <v>1283</v>
      </c>
      <c r="V31" s="318">
        <v>1</v>
      </c>
      <c r="W31" s="390" t="s">
        <v>2071</v>
      </c>
      <c r="X31" s="391">
        <v>51</v>
      </c>
      <c r="Y31" s="392">
        <v>28</v>
      </c>
      <c r="Z31" s="393"/>
      <c r="AA31" s="394"/>
      <c r="AB31" s="395"/>
      <c r="AC31" s="395">
        <v>11685</v>
      </c>
      <c r="AD31" s="394">
        <v>2023</v>
      </c>
      <c r="AE31" s="395">
        <v>40</v>
      </c>
      <c r="AF31" s="317">
        <v>40</v>
      </c>
      <c r="AG31" s="396" t="s">
        <v>2062</v>
      </c>
      <c r="AH31" s="397">
        <v>45215</v>
      </c>
      <c r="AI31" s="317">
        <v>16</v>
      </c>
      <c r="AJ31" s="397">
        <v>45048</v>
      </c>
      <c r="AK31" s="326" t="s">
        <v>889</v>
      </c>
      <c r="AL31" s="326">
        <v>45182</v>
      </c>
      <c r="AM31" s="316"/>
      <c r="AN31" s="305"/>
      <c r="AO31" s="327" t="str">
        <f>_xlfn.IFNA(IF(VLOOKUP(tabItens[[#This Row],[CÓDIGO]],tabExcluirDoEstoque[#Data],1,FALSE),"sim",""),"")</f>
        <v/>
      </c>
      <c r="AP31" s="398">
        <f ca="1">IF(OR(ISBLANK(tabItens[[#This Row],[ATA DT.VALID.]]),tabItens[[#This Row],[ATA DT.VALID.]]="",tabItens[[#This Row],[ATA DT.VALID.]]=" "),"",IF(TYPE(tabItens[[#This Row],[ATA DT.VALID.]])=1,ROUNDUP((tabItens[[#This Row],[ATA DT.VALID.]]-TODAY())/7,0),""))</f>
        <v>40</v>
      </c>
      <c r="AQ31" s="399">
        <v>0</v>
      </c>
      <c r="AR31" s="400" t="str">
        <f>IF(ISBLANK(tabItens[[#This Row],[CÓDIGO]]),"",IFERROR(VLOOKUP(tabItens[[#This Row],[CÓDIGO]],Consumo!$C$2:$AC$862,26,FALSE),0))</f>
        <v>08.2023</v>
      </c>
      <c r="AS31" s="401">
        <f>SUMIF(Consumo!$C$3:$C$862,tabItens[[#This Row],[CÓDIGO]],Consumo!$N$3:$N$862) + SUMIF(Consumo!$C$3:$C$862,tabItens[[#This Row],[CÓDIGO]],Consumo!$O$3:$O$862) + SUMIF(Consumo!$C$3:$C$862,tabItens[[#This Row],[CÓDIGO]],Consumo!$P$3:$P$862) + SUMIF(Consumo!$C$3:$C$862,tabItens[[#This Row],[CÓDIGO]],Consumo!$Q$3:$Q$862)</f>
        <v>9</v>
      </c>
      <c r="AT31" s="401">
        <f>SUMIF(Consumo!$C$3:$C$862,tabItens[[#This Row],[CÓDIGO]],Consumo!$Z$3:$Z$862)</f>
        <v>68</v>
      </c>
      <c r="AU31" s="402">
        <f>SUMIF(Consumo!$C$3:$C$862,tabItens[[#This Row],[CÓDIGO]],Consumo!$AA$3:$AA$862)</f>
        <v>12</v>
      </c>
      <c r="AV31" s="403">
        <f>SUMIF(Consumo!$C$3:$C$862,tabItens[[#This Row],[CÓDIGO]],Consumo!$Y$3:$Y$862)</f>
        <v>5.666666666666667</v>
      </c>
      <c r="AW31" s="380">
        <f>tabItens[[#This Row],[QTDE ATUAL]] + tabItens[[#This Row],[RC QTDE]] + tabItens[[#This Row],[AF SALDO]] + tabItens[[#This Row],[Recentes]]</f>
        <v>40</v>
      </c>
      <c r="AX31" s="404">
        <v>5</v>
      </c>
      <c r="AY31" s="404">
        <v>4</v>
      </c>
      <c r="AZ31" s="404">
        <f>IF(ISBLANK(tabItens[[#This Row],[CÓDIGO]]),"",tabItens[[#This Row],[PontoMês]] * (AZ$2+tabItens[[#This Row],[PontoQtM]]))</f>
        <v>20</v>
      </c>
      <c r="BA31" s="403">
        <f>tabItens[[#This Row],[PontoPed]] - tabItens[[#This Row],[Saldo]] + (1/10)</f>
        <v>-19.899999999999999</v>
      </c>
      <c r="BB31" s="403">
        <f xml:space="preserve"> tabItens[[#This Row],[PontoMês]] * BB$2 - tabItens[[#This Row],[QTDE ATUAL]] - (1/10)</f>
        <v>4.9000000000000004</v>
      </c>
      <c r="BC31" s="335">
        <f>IF( tabItens[[#This Row],[PontoPed]]&gt;0, IF(tabItens[[#This Row],[PontoPed]]&lt;1, 1, IF( tabItens[[#This Row],[Saldo]]&gt;tabItens[[#This Row],[PontoPed]], 0, (tabItens[[#This Row],[PontoPed]]-tabItens[[#This Row],[Saldo]])/tabItens[[#This Row],[PontoPed]] ) ), 0 )</f>
        <v>0</v>
      </c>
      <c r="BD31" s="405">
        <f>ROUNDDOWN(IF( OR( AND(tabItens[[#This Row],[PontoPed]]&lt;tabItens[[#This Row],[Saldo]],tabItens[[#This Row],[Saldo]]&gt;0), tabItens[[#This Row],[PontoPed]]=0), 99, IF(AND(tabItens[[#This Row],[Saldo]]=0,tabItens[[#This Row],[PontoPed]]&gt;0), 0, (1-tabItens[[#This Row],[PctAb]])*10 ) ),0)</f>
        <v>99</v>
      </c>
      <c r="BE31" s="406">
        <f>MAX(ROUNDDOWN( IF(tabItens[[#This Row],[Abaixo]] &gt; 0,   tabItens[[#This Row],[Abaixo]] + (tabItens[[#This Row],[PontoMês]] * IF( OR( ISBLANK(tabItens[[#This Row],[ATA Nº/ANO]]), tabItens[[#This Row],[ATA Nº/ANO]] = ""),BE$2,BE$1)),0),0),0)</f>
        <v>0</v>
      </c>
      <c r="BF31"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1" s="338">
        <f>SUMIF(Consumo!$C$3:$C$862,tabItens[[#This Row],[CÓDIGO]],Consumo!$E$3:$E$862)</f>
        <v>22</v>
      </c>
      <c r="BH31" s="339">
        <f>IF(AND(tabItens[[#This Row],[Pend]] &gt; 0,tabItens[[#This Row],[Consumo]] &lt;&gt; 0), tabItens[[#This Row],[Pend]] / tabItens[[#This Row],[Consumo]], 0 )</f>
        <v>0.3235294117647059</v>
      </c>
      <c r="BI31" s="338"/>
      <c r="BJ31" s="407"/>
      <c r="BK31" s="408" t="s">
        <v>2086</v>
      </c>
    </row>
    <row r="32" spans="1:63" x14ac:dyDescent="0.3">
      <c r="A32" s="375">
        <v>134556</v>
      </c>
      <c r="B32" s="376" t="s">
        <v>1888</v>
      </c>
      <c r="C32" s="377" t="s">
        <v>260</v>
      </c>
      <c r="D32" s="378">
        <v>40.159999999999997</v>
      </c>
      <c r="E32" s="305" t="s">
        <v>1889</v>
      </c>
      <c r="F32" s="379" t="s">
        <v>1419</v>
      </c>
      <c r="G32" s="379" t="s">
        <v>1281</v>
      </c>
      <c r="H32" s="380">
        <v>580</v>
      </c>
      <c r="I32" s="307">
        <v>103003</v>
      </c>
      <c r="J32" s="308">
        <v>40.159999999999997</v>
      </c>
      <c r="K32" s="381">
        <v>93</v>
      </c>
      <c r="L32" s="382">
        <f>IF(tabItens[[#This Row],[Média]] &gt; 0, tabItens[[#This Row],[QTDE ATUAL]] / tabItens[[#This Row],[Média]],999.9)</f>
        <v>82.857142857142861</v>
      </c>
      <c r="M32" s="383">
        <v>0</v>
      </c>
      <c r="N32" s="384">
        <f>tabItens[[#This Row],[VALOR UNIT.]] * tabItens[[#This Row],[LC]]</f>
        <v>0</v>
      </c>
      <c r="O32" s="385" t="s">
        <v>1282</v>
      </c>
      <c r="P32" s="386">
        <v>0</v>
      </c>
      <c r="Q32" s="387">
        <v>322</v>
      </c>
      <c r="R32" s="312">
        <v>12931.52</v>
      </c>
      <c r="S32" s="388">
        <v>45540</v>
      </c>
      <c r="T32" s="389">
        <f>ROUNDDOWN(IFERROR(tabItens[[#This Row],[ATA DT.VALID.]] - $D$1,0) / 30,0)</f>
        <v>43</v>
      </c>
      <c r="U32" s="302" t="s">
        <v>1432</v>
      </c>
      <c r="V32" s="318">
        <v>1</v>
      </c>
      <c r="W32" s="390" t="s">
        <v>2071</v>
      </c>
      <c r="X32" s="391">
        <v>74</v>
      </c>
      <c r="Y32" s="392">
        <v>2</v>
      </c>
      <c r="Z32" s="393"/>
      <c r="AA32" s="394"/>
      <c r="AB32" s="395"/>
      <c r="AC32" s="395"/>
      <c r="AD32" s="394"/>
      <c r="AE32" s="395"/>
      <c r="AF32" s="317"/>
      <c r="AG32" s="396" t="s">
        <v>2072</v>
      </c>
      <c r="AH32" s="397"/>
      <c r="AI32" s="317">
        <v>32</v>
      </c>
      <c r="AJ32" s="397">
        <v>45201</v>
      </c>
      <c r="AK32" s="326">
        <v>43174</v>
      </c>
      <c r="AL32" s="326">
        <v>45203</v>
      </c>
      <c r="AM32" s="316"/>
      <c r="AN32" s="305"/>
      <c r="AO32" s="327" t="str">
        <f>_xlfn.IFNA(IF(VLOOKUP(tabItens[[#This Row],[CÓDIGO]],tabExcluirDoEstoque[#Data],1,FALSE),"sim",""),"")</f>
        <v/>
      </c>
      <c r="AP32" s="398">
        <f ca="1">IF(OR(ISBLANK(tabItens[[#This Row],[ATA DT.VALID.]]),tabItens[[#This Row],[ATA DT.VALID.]]="",tabItens[[#This Row],[ATA DT.VALID.]]=" "),"",IF(TYPE(tabItens[[#This Row],[ATA DT.VALID.]])=1,ROUNDUP((tabItens[[#This Row],[ATA DT.VALID.]]-TODAY())/7,0),""))</f>
        <v>40</v>
      </c>
      <c r="AQ32" s="399">
        <v>0</v>
      </c>
      <c r="AR32" s="400" t="str">
        <f>IF(ISBLANK(tabItens[[#This Row],[CÓDIGO]]),"",IFERROR(VLOOKUP(tabItens[[#This Row],[CÓDIGO]],Consumo!$C$2:$AC$862,26,FALSE),0))</f>
        <v>12.2022</v>
      </c>
      <c r="AS32" s="401">
        <f>SUMIF(Consumo!$C$3:$C$862,tabItens[[#This Row],[CÓDIGO]],Consumo!$N$3:$N$862) + SUMIF(Consumo!$C$3:$C$862,tabItens[[#This Row],[CÓDIGO]],Consumo!$O$3:$O$862) + SUMIF(Consumo!$C$3:$C$862,tabItens[[#This Row],[CÓDIGO]],Consumo!$P$3:$P$862) + SUMIF(Consumo!$C$3:$C$862,tabItens[[#This Row],[CÓDIGO]],Consumo!$Q$3:$Q$862)</f>
        <v>0</v>
      </c>
      <c r="AT32" s="401">
        <f>SUMIF(Consumo!$C$3:$C$862,tabItens[[#This Row],[CÓDIGO]],Consumo!$Z$3:$Z$862)</f>
        <v>102</v>
      </c>
      <c r="AU32" s="402">
        <f>SUMIF(Consumo!$C$3:$C$862,tabItens[[#This Row],[CÓDIGO]],Consumo!$AA$3:$AA$862)</f>
        <v>60</v>
      </c>
      <c r="AV32" s="403">
        <f>SUMIF(Consumo!$C$3:$C$862,tabItens[[#This Row],[CÓDIGO]],Consumo!$Y$3:$Y$862)</f>
        <v>7</v>
      </c>
      <c r="AW32" s="380">
        <f>tabItens[[#This Row],[QTDE ATUAL]] + tabItens[[#This Row],[RC QTDE]] + tabItens[[#This Row],[AF SALDO]] + tabItens[[#This Row],[Recentes]]</f>
        <v>580</v>
      </c>
      <c r="AX32" s="404">
        <v>7</v>
      </c>
      <c r="AY32" s="404">
        <v>4</v>
      </c>
      <c r="AZ32" s="404">
        <f>IF(ISBLANK(tabItens[[#This Row],[CÓDIGO]]),"",tabItens[[#This Row],[PontoMês]] * (AZ$2+tabItens[[#This Row],[PontoQtM]]))</f>
        <v>28</v>
      </c>
      <c r="BA32" s="403">
        <f>tabItens[[#This Row],[PontoPed]] - tabItens[[#This Row],[Saldo]] + (1/10)</f>
        <v>-551.9</v>
      </c>
      <c r="BB32" s="403">
        <f xml:space="preserve"> tabItens[[#This Row],[PontoMês]] * BB$2 - tabItens[[#This Row],[QTDE ATUAL]] - (1/10)</f>
        <v>-573.1</v>
      </c>
      <c r="BC32" s="335">
        <f>IF( tabItens[[#This Row],[PontoPed]]&gt;0, IF(tabItens[[#This Row],[PontoPed]]&lt;1, 1, IF( tabItens[[#This Row],[Saldo]]&gt;tabItens[[#This Row],[PontoPed]], 0, (tabItens[[#This Row],[PontoPed]]-tabItens[[#This Row],[Saldo]])/tabItens[[#This Row],[PontoPed]] ) ), 0 )</f>
        <v>0</v>
      </c>
      <c r="BD32" s="405">
        <f>ROUNDDOWN(IF( OR( AND(tabItens[[#This Row],[PontoPed]]&lt;tabItens[[#This Row],[Saldo]],tabItens[[#This Row],[Saldo]]&gt;0), tabItens[[#This Row],[PontoPed]]=0), 99, IF(AND(tabItens[[#This Row],[Saldo]]=0,tabItens[[#This Row],[PontoPed]]&gt;0), 0, (1-tabItens[[#This Row],[PctAb]])*10 ) ),0)</f>
        <v>99</v>
      </c>
      <c r="BE32" s="406">
        <f>MAX(ROUNDDOWN( IF(tabItens[[#This Row],[Abaixo]] &gt; 0,   tabItens[[#This Row],[Abaixo]] + (tabItens[[#This Row],[PontoMês]] * IF( OR( ISBLANK(tabItens[[#This Row],[ATA Nº/ANO]]), tabItens[[#This Row],[ATA Nº/ANO]] = ""),BE$2,BE$1)),0),0),0)</f>
        <v>0</v>
      </c>
      <c r="BF32"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2" s="338">
        <f>SUMIF(Consumo!$C$3:$C$862,tabItens[[#This Row],[CÓDIGO]],Consumo!$E$3:$E$862)</f>
        <v>9</v>
      </c>
      <c r="BH32" s="339">
        <f>IF(AND(tabItens[[#This Row],[Pend]] &gt; 0,tabItens[[#This Row],[Consumo]] &lt;&gt; 0), tabItens[[#This Row],[Pend]] / tabItens[[#This Row],[Consumo]], 0 )</f>
        <v>8.8235294117647065E-2</v>
      </c>
      <c r="BI32" s="338"/>
      <c r="BJ32" s="407"/>
      <c r="BK32" s="408" t="s">
        <v>2086</v>
      </c>
    </row>
    <row r="33" spans="1:63" x14ac:dyDescent="0.3">
      <c r="A33" s="375">
        <v>77562</v>
      </c>
      <c r="B33" s="376" t="s">
        <v>1431</v>
      </c>
      <c r="C33" s="377" t="s">
        <v>263</v>
      </c>
      <c r="D33" s="378">
        <v>49.49</v>
      </c>
      <c r="E33" s="305" t="s">
        <v>1409</v>
      </c>
      <c r="F33" s="379" t="s">
        <v>1410</v>
      </c>
      <c r="G33" s="379" t="s">
        <v>1281</v>
      </c>
      <c r="H33" s="380">
        <v>0</v>
      </c>
      <c r="I33" s="307">
        <v>103003</v>
      </c>
      <c r="J33" s="308">
        <v>49.49</v>
      </c>
      <c r="K33" s="381">
        <v>3468</v>
      </c>
      <c r="L33" s="382">
        <f>IF(tabItens[[#This Row],[Média]] &gt; 0, tabItens[[#This Row],[QTDE ATUAL]] / tabItens[[#This Row],[Média]],999.9)</f>
        <v>0</v>
      </c>
      <c r="M33" s="383">
        <v>0</v>
      </c>
      <c r="N33" s="384">
        <f>tabItens[[#This Row],[VALOR UNIT.]] * tabItens[[#This Row],[LC]]</f>
        <v>0</v>
      </c>
      <c r="O33" s="385" t="s">
        <v>1282</v>
      </c>
      <c r="P33" s="386">
        <v>0</v>
      </c>
      <c r="Q33" s="387">
        <v>9410</v>
      </c>
      <c r="R33" s="312">
        <v>465700.9</v>
      </c>
      <c r="S33" s="388">
        <v>45540</v>
      </c>
      <c r="T33" s="389">
        <f>ROUNDDOWN(IFERROR(tabItens[[#This Row],[ATA DT.VALID.]] - $D$1,0) / 30,0)</f>
        <v>43</v>
      </c>
      <c r="U33" s="302" t="s">
        <v>1432</v>
      </c>
      <c r="V33" s="318">
        <v>1</v>
      </c>
      <c r="W33" s="390" t="s">
        <v>2071</v>
      </c>
      <c r="X33" s="391">
        <v>74</v>
      </c>
      <c r="Y33" s="392">
        <v>2</v>
      </c>
      <c r="Z33" s="393"/>
      <c r="AA33" s="394"/>
      <c r="AB33" s="395"/>
      <c r="AC33" s="395">
        <v>11692</v>
      </c>
      <c r="AD33" s="394">
        <v>2023</v>
      </c>
      <c r="AE33" s="395">
        <v>2300</v>
      </c>
      <c r="AF33" s="317">
        <v>2300</v>
      </c>
      <c r="AG33" s="396" t="s">
        <v>2064</v>
      </c>
      <c r="AH33" s="397">
        <v>45215</v>
      </c>
      <c r="AI33" s="317">
        <v>2008</v>
      </c>
      <c r="AJ33" s="397">
        <v>44985</v>
      </c>
      <c r="AK33" s="326">
        <v>38056</v>
      </c>
      <c r="AL33" s="326">
        <v>45203</v>
      </c>
      <c r="AM33" s="316"/>
      <c r="AN33" s="305"/>
      <c r="AO33" s="327" t="str">
        <f>_xlfn.IFNA(IF(VLOOKUP(tabItens[[#This Row],[CÓDIGO]],tabExcluirDoEstoque[#Data],1,FALSE),"sim",""),"")</f>
        <v/>
      </c>
      <c r="AP33" s="398">
        <f ca="1">IF(OR(ISBLANK(tabItens[[#This Row],[ATA DT.VALID.]]),tabItens[[#This Row],[ATA DT.VALID.]]="",tabItens[[#This Row],[ATA DT.VALID.]]=" "),"",IF(TYPE(tabItens[[#This Row],[ATA DT.VALID.]])=1,ROUNDUP((tabItens[[#This Row],[ATA DT.VALID.]]-TODAY())/7,0),""))</f>
        <v>40</v>
      </c>
      <c r="AQ33" s="399">
        <v>0</v>
      </c>
      <c r="AR33" s="400" t="str">
        <f>IF(ISBLANK(tabItens[[#This Row],[CÓDIGO]]),"",IFERROR(VLOOKUP(tabItens[[#This Row],[CÓDIGO]],Consumo!$C$2:$AC$862,26,FALSE),0))</f>
        <v>08.2023</v>
      </c>
      <c r="AS33" s="401">
        <f>SUMIF(Consumo!$C$3:$C$862,tabItens[[#This Row],[CÓDIGO]],Consumo!$N$3:$N$862) + SUMIF(Consumo!$C$3:$C$862,tabItens[[#This Row],[CÓDIGO]],Consumo!$O$3:$O$862) + SUMIF(Consumo!$C$3:$C$862,tabItens[[#This Row],[CÓDIGO]],Consumo!$P$3:$P$862) + SUMIF(Consumo!$C$3:$C$862,tabItens[[#This Row],[CÓDIGO]],Consumo!$Q$3:$Q$862)</f>
        <v>891</v>
      </c>
      <c r="AT33" s="401">
        <f>SUMIF(Consumo!$C$3:$C$862,tabItens[[#This Row],[CÓDIGO]],Consumo!$Z$3:$Z$862)</f>
        <v>4712</v>
      </c>
      <c r="AU33" s="402">
        <f>SUMIF(Consumo!$C$3:$C$862,tabItens[[#This Row],[CÓDIGO]],Consumo!$AA$3:$AA$862)</f>
        <v>865</v>
      </c>
      <c r="AV33" s="403">
        <f>SUMIF(Consumo!$C$3:$C$862,tabItens[[#This Row],[CÓDIGO]],Consumo!$Y$3:$Y$862)</f>
        <v>392.66666666666669</v>
      </c>
      <c r="AW33" s="380">
        <f>tabItens[[#This Row],[QTDE ATUAL]] + tabItens[[#This Row],[RC QTDE]] + tabItens[[#This Row],[AF SALDO]] + tabItens[[#This Row],[Recentes]]</f>
        <v>2300</v>
      </c>
      <c r="AX33" s="404">
        <v>604</v>
      </c>
      <c r="AY33" s="404">
        <v>4</v>
      </c>
      <c r="AZ33" s="404">
        <f>IF(ISBLANK(tabItens[[#This Row],[CÓDIGO]]),"",tabItens[[#This Row],[PontoMês]] * (AZ$2+tabItens[[#This Row],[PontoQtM]]))</f>
        <v>2416</v>
      </c>
      <c r="BA33" s="403">
        <f>tabItens[[#This Row],[PontoPed]] - tabItens[[#This Row],[Saldo]] + (1/10)</f>
        <v>116.1</v>
      </c>
      <c r="BB33" s="403">
        <f xml:space="preserve"> tabItens[[#This Row],[PontoMês]] * BB$2 - tabItens[[#This Row],[QTDE ATUAL]] - (1/10)</f>
        <v>603.9</v>
      </c>
      <c r="BC33" s="335">
        <f>IF( tabItens[[#This Row],[PontoPed]]&gt;0, IF(tabItens[[#This Row],[PontoPed]]&lt;1, 1, IF( tabItens[[#This Row],[Saldo]]&gt;tabItens[[#This Row],[PontoPed]], 0, (tabItens[[#This Row],[PontoPed]]-tabItens[[#This Row],[Saldo]])/tabItens[[#This Row],[PontoPed]] ) ), 0 )</f>
        <v>4.8013245033112585E-2</v>
      </c>
      <c r="BD33" s="405">
        <f>ROUNDDOWN(IF( OR( AND(tabItens[[#This Row],[PontoPed]]&lt;tabItens[[#This Row],[Saldo]],tabItens[[#This Row],[Saldo]]&gt;0), tabItens[[#This Row],[PontoPed]]=0), 99, IF(AND(tabItens[[#This Row],[Saldo]]=0,tabItens[[#This Row],[PontoPed]]&gt;0), 0, (1-tabItens[[#This Row],[PctAb]])*10 ) ),0)</f>
        <v>9</v>
      </c>
      <c r="BE33" s="406">
        <f>MAX(ROUNDDOWN( IF(tabItens[[#This Row],[Abaixo]] &gt; 0,   tabItens[[#This Row],[Abaixo]] + (tabItens[[#This Row],[PontoMês]] * IF( OR( ISBLANK(tabItens[[#This Row],[ATA Nº/ANO]]), tabItens[[#This Row],[ATA Nº/ANO]] = ""),BE$2,BE$1)),0),0),0)</f>
        <v>1928</v>
      </c>
      <c r="BF33"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1928</v>
      </c>
      <c r="BG33" s="338">
        <f>SUMIF(Consumo!$C$3:$C$862,tabItens[[#This Row],[CÓDIGO]],Consumo!$E$3:$E$862)</f>
        <v>183</v>
      </c>
      <c r="BH33" s="339">
        <f>IF(AND(tabItens[[#This Row],[Pend]] &gt; 0,tabItens[[#This Row],[Consumo]] &lt;&gt; 0), tabItens[[#This Row],[Pend]] / tabItens[[#This Row],[Consumo]], 0 )</f>
        <v>3.8837011884550084E-2</v>
      </c>
      <c r="BI33" s="338"/>
      <c r="BJ33" s="407"/>
      <c r="BK33" s="408" t="s">
        <v>2086</v>
      </c>
    </row>
    <row r="34" spans="1:63" x14ac:dyDescent="0.3">
      <c r="A34" s="375">
        <v>118427</v>
      </c>
      <c r="B34" s="376" t="s">
        <v>1731</v>
      </c>
      <c r="C34" s="377" t="s">
        <v>272</v>
      </c>
      <c r="D34" s="378">
        <v>29.32</v>
      </c>
      <c r="E34" s="305" t="s">
        <v>1732</v>
      </c>
      <c r="F34" s="379" t="s">
        <v>1280</v>
      </c>
      <c r="G34" s="379" t="s">
        <v>1281</v>
      </c>
      <c r="H34" s="380">
        <v>0</v>
      </c>
      <c r="I34" s="307">
        <v>103003</v>
      </c>
      <c r="J34" s="308">
        <v>29.32</v>
      </c>
      <c r="K34" s="381">
        <v>4196</v>
      </c>
      <c r="L34" s="382">
        <f>IF(tabItens[[#This Row],[Média]] &gt; 0, tabItens[[#This Row],[QTDE ATUAL]] / tabItens[[#This Row],[Média]],999.9)</f>
        <v>0</v>
      </c>
      <c r="M34" s="383">
        <v>0</v>
      </c>
      <c r="N34" s="384">
        <f>tabItens[[#This Row],[VALOR UNIT.]] * tabItens[[#This Row],[LC]]</f>
        <v>0</v>
      </c>
      <c r="O34" s="385" t="s">
        <v>1282</v>
      </c>
      <c r="P34" s="386">
        <v>0</v>
      </c>
      <c r="Q34" s="387">
        <v>7115</v>
      </c>
      <c r="R34" s="312">
        <v>208611.8</v>
      </c>
      <c r="S34" s="388">
        <v>45540</v>
      </c>
      <c r="T34" s="389">
        <f>ROUNDDOWN(IFERROR(tabItens[[#This Row],[ATA DT.VALID.]] - $D$1,0) / 30,0)</f>
        <v>43</v>
      </c>
      <c r="U34" s="302" t="s">
        <v>1432</v>
      </c>
      <c r="V34" s="318">
        <v>1</v>
      </c>
      <c r="W34" s="390" t="s">
        <v>2071</v>
      </c>
      <c r="X34" s="391">
        <v>74</v>
      </c>
      <c r="Y34" s="392">
        <v>2</v>
      </c>
      <c r="Z34" s="393"/>
      <c r="AA34" s="394"/>
      <c r="AB34" s="395"/>
      <c r="AC34" s="395"/>
      <c r="AD34" s="394"/>
      <c r="AE34" s="395"/>
      <c r="AF34" s="317"/>
      <c r="AG34" s="396" t="s">
        <v>2072</v>
      </c>
      <c r="AH34" s="397"/>
      <c r="AI34" s="317">
        <v>1606</v>
      </c>
      <c r="AJ34" s="397">
        <v>44974</v>
      </c>
      <c r="AK34" s="326">
        <v>40490</v>
      </c>
      <c r="AL34" s="326">
        <v>45209</v>
      </c>
      <c r="AM34" s="316"/>
      <c r="AN34" s="305"/>
      <c r="AO34" s="327" t="str">
        <f>_xlfn.IFNA(IF(VLOOKUP(tabItens[[#This Row],[CÓDIGO]],tabExcluirDoEstoque[#Data],1,FALSE),"sim",""),"")</f>
        <v/>
      </c>
      <c r="AP34" s="398">
        <f ca="1">IF(OR(ISBLANK(tabItens[[#This Row],[ATA DT.VALID.]]),tabItens[[#This Row],[ATA DT.VALID.]]="",tabItens[[#This Row],[ATA DT.VALID.]]=" "),"",IF(TYPE(tabItens[[#This Row],[ATA DT.VALID.]])=1,ROUNDUP((tabItens[[#This Row],[ATA DT.VALID.]]-TODAY())/7,0),""))</f>
        <v>40</v>
      </c>
      <c r="AQ34" s="399">
        <v>0</v>
      </c>
      <c r="AR34" s="400" t="str">
        <f>IF(ISBLANK(tabItens[[#This Row],[CÓDIGO]]),"",IFERROR(VLOOKUP(tabItens[[#This Row],[CÓDIGO]],Consumo!$C$2:$AC$862,26,FALSE),0))</f>
        <v>08.2023</v>
      </c>
      <c r="AS34" s="401">
        <f>SUMIF(Consumo!$C$3:$C$862,tabItens[[#This Row],[CÓDIGO]],Consumo!$N$3:$N$862) + SUMIF(Consumo!$C$3:$C$862,tabItens[[#This Row],[CÓDIGO]],Consumo!$O$3:$O$862) + SUMIF(Consumo!$C$3:$C$862,tabItens[[#This Row],[CÓDIGO]],Consumo!$P$3:$P$862) + SUMIF(Consumo!$C$3:$C$862,tabItens[[#This Row],[CÓDIGO]],Consumo!$Q$3:$Q$862)</f>
        <v>106</v>
      </c>
      <c r="AT34" s="401">
        <f>SUMIF(Consumo!$C$3:$C$862,tabItens[[#This Row],[CÓDIGO]],Consumo!$Z$3:$Z$862)</f>
        <v>4817</v>
      </c>
      <c r="AU34" s="402">
        <f>SUMIF(Consumo!$C$3:$C$862,tabItens[[#This Row],[CÓDIGO]],Consumo!$AA$3:$AA$862)</f>
        <v>1252</v>
      </c>
      <c r="AV34" s="403">
        <f>SUMIF(Consumo!$C$3:$C$862,tabItens[[#This Row],[CÓDIGO]],Consumo!$Y$3:$Y$862)</f>
        <v>401.41666666666669</v>
      </c>
      <c r="AW34" s="380">
        <f>tabItens[[#This Row],[QTDE ATUAL]] + tabItens[[#This Row],[RC QTDE]] + tabItens[[#This Row],[AF SALDO]] + tabItens[[#This Row],[Recentes]]</f>
        <v>0</v>
      </c>
      <c r="AX34" s="404">
        <v>467</v>
      </c>
      <c r="AY34" s="404">
        <v>4</v>
      </c>
      <c r="AZ34" s="404">
        <f>IF(ISBLANK(tabItens[[#This Row],[CÓDIGO]]),"",tabItens[[#This Row],[PontoMês]] * (AZ$2+tabItens[[#This Row],[PontoQtM]]))</f>
        <v>1868</v>
      </c>
      <c r="BA34" s="403">
        <f>tabItens[[#This Row],[PontoPed]] - tabItens[[#This Row],[Saldo]] + (1/10)</f>
        <v>1868.1</v>
      </c>
      <c r="BB34" s="403">
        <f xml:space="preserve"> tabItens[[#This Row],[PontoMês]] * BB$2 - tabItens[[#This Row],[QTDE ATUAL]] - (1/10)</f>
        <v>466.9</v>
      </c>
      <c r="BC34" s="335">
        <f>IF( tabItens[[#This Row],[PontoPed]]&gt;0, IF(tabItens[[#This Row],[PontoPed]]&lt;1, 1, IF( tabItens[[#This Row],[Saldo]]&gt;tabItens[[#This Row],[PontoPed]], 0, (tabItens[[#This Row],[PontoPed]]-tabItens[[#This Row],[Saldo]])/tabItens[[#This Row],[PontoPed]] ) ), 0 )</f>
        <v>1</v>
      </c>
      <c r="BD34" s="405">
        <f>ROUNDDOWN(IF( OR( AND(tabItens[[#This Row],[PontoPed]]&lt;tabItens[[#This Row],[Saldo]],tabItens[[#This Row],[Saldo]]&gt;0), tabItens[[#This Row],[PontoPed]]=0), 99, IF(AND(tabItens[[#This Row],[Saldo]]=0,tabItens[[#This Row],[PontoPed]]&gt;0), 0, (1-tabItens[[#This Row],[PctAb]])*10 ) ),0)</f>
        <v>0</v>
      </c>
      <c r="BE34" s="406">
        <f>MAX(ROUNDDOWN( IF(tabItens[[#This Row],[Abaixo]] &gt; 0,   tabItens[[#This Row],[Abaixo]] + (tabItens[[#This Row],[PontoMês]] * IF( OR( ISBLANK(tabItens[[#This Row],[ATA Nº/ANO]]), tabItens[[#This Row],[ATA Nº/ANO]] = ""),BE$2,BE$1)),0),0),0)</f>
        <v>3269</v>
      </c>
      <c r="BF34"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3269</v>
      </c>
      <c r="BG34" s="338">
        <f>SUMIF(Consumo!$C$3:$C$862,tabItens[[#This Row],[CÓDIGO]],Consumo!$E$3:$E$862)</f>
        <v>0</v>
      </c>
      <c r="BH34" s="339">
        <f>IF(AND(tabItens[[#This Row],[Pend]] &gt; 0,tabItens[[#This Row],[Consumo]] &lt;&gt; 0), tabItens[[#This Row],[Pend]] / tabItens[[#This Row],[Consumo]], 0 )</f>
        <v>0</v>
      </c>
      <c r="BI34" s="338"/>
      <c r="BJ34" s="407"/>
      <c r="BK34" s="408" t="s">
        <v>2086</v>
      </c>
    </row>
    <row r="35" spans="1:63" x14ac:dyDescent="0.3">
      <c r="A35" s="375">
        <v>74907</v>
      </c>
      <c r="B35" s="376" t="s">
        <v>1408</v>
      </c>
      <c r="C35" s="377" t="s">
        <v>263</v>
      </c>
      <c r="D35" s="378">
        <v>200.47</v>
      </c>
      <c r="E35" s="305" t="s">
        <v>1409</v>
      </c>
      <c r="F35" s="379" t="s">
        <v>1410</v>
      </c>
      <c r="G35" s="379" t="s">
        <v>1281</v>
      </c>
      <c r="H35" s="380">
        <v>11</v>
      </c>
      <c r="I35" s="307">
        <v>103003</v>
      </c>
      <c r="J35" s="308">
        <v>200.47</v>
      </c>
      <c r="K35" s="381">
        <v>87</v>
      </c>
      <c r="L35" s="382">
        <f>IF(tabItens[[#This Row],[Média]] &gt; 0, tabItens[[#This Row],[QTDE ATUAL]] / tabItens[[#This Row],[Média]],999.9)</f>
        <v>1.7837837837837838</v>
      </c>
      <c r="M35" s="383">
        <v>0</v>
      </c>
      <c r="N35" s="384">
        <f>tabItens[[#This Row],[VALOR UNIT.]] * tabItens[[#This Row],[LC]]</f>
        <v>0</v>
      </c>
      <c r="O35" s="385" t="s">
        <v>1282</v>
      </c>
      <c r="P35" s="386">
        <v>0</v>
      </c>
      <c r="Q35" s="387">
        <v>199</v>
      </c>
      <c r="R35" s="312">
        <v>39893.53</v>
      </c>
      <c r="S35" s="388">
        <v>45540</v>
      </c>
      <c r="T35" s="389">
        <f>ROUNDDOWN(IFERROR(tabItens[[#This Row],[ATA DT.VALID.]] - $D$1,0) / 30,0)</f>
        <v>43</v>
      </c>
      <c r="U35" s="302" t="s">
        <v>1339</v>
      </c>
      <c r="V35" s="318">
        <v>1</v>
      </c>
      <c r="W35" s="390" t="s">
        <v>2071</v>
      </c>
      <c r="X35" s="391">
        <v>74</v>
      </c>
      <c r="Y35" s="392">
        <v>3</v>
      </c>
      <c r="Z35" s="393"/>
      <c r="AA35" s="394"/>
      <c r="AB35" s="395"/>
      <c r="AC35" s="395"/>
      <c r="AD35" s="394"/>
      <c r="AE35" s="395"/>
      <c r="AF35" s="317"/>
      <c r="AG35" s="396" t="s">
        <v>2072</v>
      </c>
      <c r="AH35" s="397"/>
      <c r="AI35" s="317">
        <v>30</v>
      </c>
      <c r="AJ35" s="397">
        <v>44158</v>
      </c>
      <c r="AK35" s="326">
        <v>37845</v>
      </c>
      <c r="AL35" s="326">
        <v>45209</v>
      </c>
      <c r="AM35" s="316"/>
      <c r="AN35" s="305"/>
      <c r="AO35" s="327" t="str">
        <f>_xlfn.IFNA(IF(VLOOKUP(tabItens[[#This Row],[CÓDIGO]],tabExcluirDoEstoque[#Data],1,FALSE),"sim",""),"")</f>
        <v/>
      </c>
      <c r="AP35" s="398">
        <f ca="1">IF(OR(ISBLANK(tabItens[[#This Row],[ATA DT.VALID.]]),tabItens[[#This Row],[ATA DT.VALID.]]="",tabItens[[#This Row],[ATA DT.VALID.]]=" "),"",IF(TYPE(tabItens[[#This Row],[ATA DT.VALID.]])=1,ROUNDUP((tabItens[[#This Row],[ATA DT.VALID.]]-TODAY())/7,0),""))</f>
        <v>40</v>
      </c>
      <c r="AQ35" s="399">
        <v>0</v>
      </c>
      <c r="AR35" s="400" t="str">
        <f>IF(ISBLANK(tabItens[[#This Row],[CÓDIGO]]),"",IFERROR(VLOOKUP(tabItens[[#This Row],[CÓDIGO]],Consumo!$C$2:$AC$862,26,FALSE),0))</f>
        <v>07.2023</v>
      </c>
      <c r="AS35" s="401">
        <f>SUMIF(Consumo!$C$3:$C$862,tabItens[[#This Row],[CÓDIGO]],Consumo!$N$3:$N$862) + SUMIF(Consumo!$C$3:$C$862,tabItens[[#This Row],[CÓDIGO]],Consumo!$O$3:$O$862) + SUMIF(Consumo!$C$3:$C$862,tabItens[[#This Row],[CÓDIGO]],Consumo!$P$3:$P$862) + SUMIF(Consumo!$C$3:$C$862,tabItens[[#This Row],[CÓDIGO]],Consumo!$Q$3:$Q$862)</f>
        <v>14</v>
      </c>
      <c r="AT35" s="401">
        <f>SUMIF(Consumo!$C$3:$C$862,tabItens[[#This Row],[CÓDIGO]],Consumo!$Z$3:$Z$862)</f>
        <v>87</v>
      </c>
      <c r="AU35" s="402">
        <f>SUMIF(Consumo!$C$3:$C$862,tabItens[[#This Row],[CÓDIGO]],Consumo!$AA$3:$AA$862)</f>
        <v>50</v>
      </c>
      <c r="AV35" s="403">
        <f>SUMIF(Consumo!$C$3:$C$862,tabItens[[#This Row],[CÓDIGO]],Consumo!$Y$3:$Y$862)</f>
        <v>6.166666666666667</v>
      </c>
      <c r="AW35" s="380">
        <f>tabItens[[#This Row],[QTDE ATUAL]] + tabItens[[#This Row],[RC QTDE]] + tabItens[[#This Row],[AF SALDO]] + tabItens[[#This Row],[Recentes]]</f>
        <v>11</v>
      </c>
      <c r="AX35" s="404">
        <v>5</v>
      </c>
      <c r="AY35" s="404">
        <v>4</v>
      </c>
      <c r="AZ35" s="404">
        <f>IF(ISBLANK(tabItens[[#This Row],[CÓDIGO]]),"",tabItens[[#This Row],[PontoMês]] * (AZ$2+tabItens[[#This Row],[PontoQtM]]))</f>
        <v>20</v>
      </c>
      <c r="BA35" s="403">
        <f>tabItens[[#This Row],[PontoPed]] - tabItens[[#This Row],[Saldo]] + (1/10)</f>
        <v>9.1</v>
      </c>
      <c r="BB35" s="403">
        <f xml:space="preserve"> tabItens[[#This Row],[PontoMês]] * BB$2 - tabItens[[#This Row],[QTDE ATUAL]] - (1/10)</f>
        <v>-6.1</v>
      </c>
      <c r="BC35" s="335">
        <f>IF( tabItens[[#This Row],[PontoPed]]&gt;0, IF(tabItens[[#This Row],[PontoPed]]&lt;1, 1, IF( tabItens[[#This Row],[Saldo]]&gt;tabItens[[#This Row],[PontoPed]], 0, (tabItens[[#This Row],[PontoPed]]-tabItens[[#This Row],[Saldo]])/tabItens[[#This Row],[PontoPed]] ) ), 0 )</f>
        <v>0.45</v>
      </c>
      <c r="BD35" s="405">
        <f>ROUNDDOWN(IF( OR( AND(tabItens[[#This Row],[PontoPed]]&lt;tabItens[[#This Row],[Saldo]],tabItens[[#This Row],[Saldo]]&gt;0), tabItens[[#This Row],[PontoPed]]=0), 99, IF(AND(tabItens[[#This Row],[Saldo]]=0,tabItens[[#This Row],[PontoPed]]&gt;0), 0, (1-tabItens[[#This Row],[PctAb]])*10 ) ),0)</f>
        <v>5</v>
      </c>
      <c r="BE35" s="406">
        <f>MAX(ROUNDDOWN( IF(tabItens[[#This Row],[Abaixo]] &gt; 0,   tabItens[[#This Row],[Abaixo]] + (tabItens[[#This Row],[PontoMês]] * IF( OR( ISBLANK(tabItens[[#This Row],[ATA Nº/ANO]]), tabItens[[#This Row],[ATA Nº/ANO]] = ""),BE$2,BE$1)),0),0),0)</f>
        <v>24</v>
      </c>
      <c r="BF35"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24</v>
      </c>
      <c r="BG35" s="338">
        <f>SUMIF(Consumo!$C$3:$C$862,tabItens[[#This Row],[CÓDIGO]],Consumo!$E$3:$E$862)</f>
        <v>0</v>
      </c>
      <c r="BH35" s="339">
        <f>IF(AND(tabItens[[#This Row],[Pend]] &gt; 0,tabItens[[#This Row],[Consumo]] &lt;&gt; 0), tabItens[[#This Row],[Pend]] / tabItens[[#This Row],[Consumo]], 0 )</f>
        <v>0</v>
      </c>
      <c r="BI35" s="338"/>
      <c r="BJ35" s="407"/>
      <c r="BK35" s="408" t="s">
        <v>2086</v>
      </c>
    </row>
    <row r="36" spans="1:63" x14ac:dyDescent="0.3">
      <c r="A36" s="375">
        <v>77556</v>
      </c>
      <c r="B36" s="376" t="s">
        <v>1429</v>
      </c>
      <c r="C36" s="377" t="s">
        <v>263</v>
      </c>
      <c r="D36" s="378">
        <v>153.84</v>
      </c>
      <c r="E36" s="305" t="s">
        <v>1409</v>
      </c>
      <c r="F36" s="379" t="s">
        <v>1410</v>
      </c>
      <c r="G36" s="379" t="s">
        <v>1281</v>
      </c>
      <c r="H36" s="380">
        <v>87</v>
      </c>
      <c r="I36" s="307">
        <v>103003</v>
      </c>
      <c r="J36" s="308">
        <v>253.2</v>
      </c>
      <c r="K36" s="381">
        <v>65</v>
      </c>
      <c r="L36" s="382">
        <f>IF(tabItens[[#This Row],[Média]] &gt; 0, tabItens[[#This Row],[QTDE ATUAL]] / tabItens[[#This Row],[Média]],999.9)</f>
        <v>21.306122448979593</v>
      </c>
      <c r="M36" s="383">
        <v>0</v>
      </c>
      <c r="N36" s="384">
        <f>tabItens[[#This Row],[VALOR UNIT.]] * tabItens[[#This Row],[LC]]</f>
        <v>0</v>
      </c>
      <c r="O36" s="385" t="s">
        <v>1282</v>
      </c>
      <c r="P36" s="386">
        <v>0</v>
      </c>
      <c r="Q36" s="387">
        <v>1001</v>
      </c>
      <c r="R36" s="312">
        <v>153993.84</v>
      </c>
      <c r="S36" s="388">
        <v>45540</v>
      </c>
      <c r="T36" s="389">
        <f>ROUNDDOWN(IFERROR(tabItens[[#This Row],[ATA DT.VALID.]] - $D$1,0) / 30,0)</f>
        <v>43</v>
      </c>
      <c r="U36" s="302" t="s">
        <v>1339</v>
      </c>
      <c r="V36" s="318">
        <v>1</v>
      </c>
      <c r="W36" s="390" t="s">
        <v>2071</v>
      </c>
      <c r="X36" s="391">
        <v>74</v>
      </c>
      <c r="Y36" s="392">
        <v>3</v>
      </c>
      <c r="Z36" s="393"/>
      <c r="AA36" s="394"/>
      <c r="AB36" s="395"/>
      <c r="AC36" s="395"/>
      <c r="AD36" s="394"/>
      <c r="AE36" s="395"/>
      <c r="AF36" s="317"/>
      <c r="AG36" s="396" t="s">
        <v>2072</v>
      </c>
      <c r="AH36" s="397"/>
      <c r="AI36" s="317">
        <v>22</v>
      </c>
      <c r="AJ36" s="397">
        <v>44158</v>
      </c>
      <c r="AK36" s="326">
        <v>38056</v>
      </c>
      <c r="AL36" s="326">
        <v>45084</v>
      </c>
      <c r="AM36" s="316"/>
      <c r="AN36" s="305"/>
      <c r="AO36" s="327" t="str">
        <f>_xlfn.IFNA(IF(VLOOKUP(tabItens[[#This Row],[CÓDIGO]],tabExcluirDoEstoque[#Data],1,FALSE),"sim",""),"")</f>
        <v/>
      </c>
      <c r="AP36" s="398">
        <f ca="1">IF(OR(ISBLANK(tabItens[[#This Row],[ATA DT.VALID.]]),tabItens[[#This Row],[ATA DT.VALID.]]="",tabItens[[#This Row],[ATA DT.VALID.]]=" "),"",IF(TYPE(tabItens[[#This Row],[ATA DT.VALID.]])=1,ROUNDUP((tabItens[[#This Row],[ATA DT.VALID.]]-TODAY())/7,0),""))</f>
        <v>40</v>
      </c>
      <c r="AQ36" s="399">
        <v>0</v>
      </c>
      <c r="AR36" s="400" t="str">
        <f>IF(ISBLANK(tabItens[[#This Row],[CÓDIGO]]),"",IFERROR(VLOOKUP(tabItens[[#This Row],[CÓDIGO]],Consumo!$C$2:$AC$862,26,FALSE),0))</f>
        <v>06.2023</v>
      </c>
      <c r="AS36" s="401">
        <f>SUMIF(Consumo!$C$3:$C$862,tabItens[[#This Row],[CÓDIGO]],Consumo!$N$3:$N$862) + SUMIF(Consumo!$C$3:$C$862,tabItens[[#This Row],[CÓDIGO]],Consumo!$O$3:$O$862) + SUMIF(Consumo!$C$3:$C$862,tabItens[[#This Row],[CÓDIGO]],Consumo!$P$3:$P$862) + SUMIF(Consumo!$C$3:$C$862,tabItens[[#This Row],[CÓDIGO]],Consumo!$Q$3:$Q$862)</f>
        <v>15</v>
      </c>
      <c r="AT36" s="401">
        <f>SUMIF(Consumo!$C$3:$C$862,tabItens[[#This Row],[CÓDIGO]],Consumo!$Z$3:$Z$862)</f>
        <v>65</v>
      </c>
      <c r="AU36" s="402">
        <f>SUMIF(Consumo!$C$3:$C$862,tabItens[[#This Row],[CÓDIGO]],Consumo!$AA$3:$AA$862)</f>
        <v>50</v>
      </c>
      <c r="AV36" s="403">
        <f>SUMIF(Consumo!$C$3:$C$862,tabItens[[#This Row],[CÓDIGO]],Consumo!$Y$3:$Y$862)</f>
        <v>4.083333333333333</v>
      </c>
      <c r="AW36" s="380">
        <f>tabItens[[#This Row],[QTDE ATUAL]] + tabItens[[#This Row],[RC QTDE]] + tabItens[[#This Row],[AF SALDO]] + tabItens[[#This Row],[Recentes]]</f>
        <v>87</v>
      </c>
      <c r="AX36" s="404">
        <v>11</v>
      </c>
      <c r="AY36" s="404">
        <v>4</v>
      </c>
      <c r="AZ36" s="404">
        <f>IF(ISBLANK(tabItens[[#This Row],[CÓDIGO]]),"",tabItens[[#This Row],[PontoMês]] * (AZ$2+tabItens[[#This Row],[PontoQtM]]))</f>
        <v>44</v>
      </c>
      <c r="BA36" s="403">
        <f>tabItens[[#This Row],[PontoPed]] - tabItens[[#This Row],[Saldo]] + (1/10)</f>
        <v>-42.9</v>
      </c>
      <c r="BB36" s="403">
        <f xml:space="preserve"> tabItens[[#This Row],[PontoMês]] * BB$2 - tabItens[[#This Row],[QTDE ATUAL]] - (1/10)</f>
        <v>-76.099999999999994</v>
      </c>
      <c r="BC36" s="335">
        <f>IF( tabItens[[#This Row],[PontoPed]]&gt;0, IF(tabItens[[#This Row],[PontoPed]]&lt;1, 1, IF( tabItens[[#This Row],[Saldo]]&gt;tabItens[[#This Row],[PontoPed]], 0, (tabItens[[#This Row],[PontoPed]]-tabItens[[#This Row],[Saldo]])/tabItens[[#This Row],[PontoPed]] ) ), 0 )</f>
        <v>0</v>
      </c>
      <c r="BD36" s="405">
        <f>ROUNDDOWN(IF( OR( AND(tabItens[[#This Row],[PontoPed]]&lt;tabItens[[#This Row],[Saldo]],tabItens[[#This Row],[Saldo]]&gt;0), tabItens[[#This Row],[PontoPed]]=0), 99, IF(AND(tabItens[[#This Row],[Saldo]]=0,tabItens[[#This Row],[PontoPed]]&gt;0), 0, (1-tabItens[[#This Row],[PctAb]])*10 ) ),0)</f>
        <v>99</v>
      </c>
      <c r="BE36" s="406">
        <f>MAX(ROUNDDOWN( IF(tabItens[[#This Row],[Abaixo]] &gt; 0,   tabItens[[#This Row],[Abaixo]] + (tabItens[[#This Row],[PontoMês]] * IF( OR( ISBLANK(tabItens[[#This Row],[ATA Nº/ANO]]), tabItens[[#This Row],[ATA Nº/ANO]] = ""),BE$2,BE$1)),0),0),0)</f>
        <v>0</v>
      </c>
      <c r="BF36"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6" s="338">
        <f>SUMIF(Consumo!$C$3:$C$862,tabItens[[#This Row],[CÓDIGO]],Consumo!$E$3:$E$862)</f>
        <v>0</v>
      </c>
      <c r="BH36" s="339">
        <f>IF(AND(tabItens[[#This Row],[Pend]] &gt; 0,tabItens[[#This Row],[Consumo]] &lt;&gt; 0), tabItens[[#This Row],[Pend]] / tabItens[[#This Row],[Consumo]], 0 )</f>
        <v>0</v>
      </c>
      <c r="BI36" s="338"/>
      <c r="BJ36" s="407"/>
      <c r="BK36" s="408" t="s">
        <v>2086</v>
      </c>
    </row>
    <row r="37" spans="1:63" x14ac:dyDescent="0.3">
      <c r="A37" s="375">
        <v>75334</v>
      </c>
      <c r="B37" s="376" t="s">
        <v>1417</v>
      </c>
      <c r="C37" s="377" t="s">
        <v>727</v>
      </c>
      <c r="D37" s="378">
        <v>260.72000000000003</v>
      </c>
      <c r="E37" s="305" t="s">
        <v>1418</v>
      </c>
      <c r="F37" s="379" t="s">
        <v>1419</v>
      </c>
      <c r="G37" s="379" t="s">
        <v>1281</v>
      </c>
      <c r="H37" s="380">
        <v>383</v>
      </c>
      <c r="I37" s="307">
        <v>103003</v>
      </c>
      <c r="J37" s="308">
        <v>260.72000000000003</v>
      </c>
      <c r="K37" s="381">
        <v>336</v>
      </c>
      <c r="L37" s="382">
        <f>IF(tabItens[[#This Row],[Média]] &gt; 0, tabItens[[#This Row],[QTDE ATUAL]] / tabItens[[#This Row],[Média]],999.9)</f>
        <v>11.518796992481203</v>
      </c>
      <c r="M37" s="383">
        <v>0</v>
      </c>
      <c r="N37" s="384">
        <f>tabItens[[#This Row],[VALOR UNIT.]] * tabItens[[#This Row],[LC]]</f>
        <v>0</v>
      </c>
      <c r="O37" s="385" t="s">
        <v>1282</v>
      </c>
      <c r="P37" s="386">
        <v>0</v>
      </c>
      <c r="Q37" s="387">
        <v>568</v>
      </c>
      <c r="R37" s="312">
        <v>148088.95999999999</v>
      </c>
      <c r="S37" s="388">
        <v>45540</v>
      </c>
      <c r="T37" s="389">
        <f>ROUNDDOWN(IFERROR(tabItens[[#This Row],[ATA DT.VALID.]] - $D$1,0) / 30,0)</f>
        <v>43</v>
      </c>
      <c r="U37" s="302" t="s">
        <v>1115</v>
      </c>
      <c r="V37" s="318">
        <v>1</v>
      </c>
      <c r="W37" s="390" t="s">
        <v>2079</v>
      </c>
      <c r="X37" s="391">
        <v>74</v>
      </c>
      <c r="Y37" s="392">
        <v>8</v>
      </c>
      <c r="Z37" s="393"/>
      <c r="AA37" s="394"/>
      <c r="AB37" s="395"/>
      <c r="AC37" s="395"/>
      <c r="AD37" s="394"/>
      <c r="AE37" s="395"/>
      <c r="AF37" s="317"/>
      <c r="AG37" s="396" t="s">
        <v>2072</v>
      </c>
      <c r="AH37" s="397"/>
      <c r="AI37" s="317">
        <v>140</v>
      </c>
      <c r="AJ37" s="397">
        <v>44844</v>
      </c>
      <c r="AK37" s="326">
        <v>37879</v>
      </c>
      <c r="AL37" s="326">
        <v>45203</v>
      </c>
      <c r="AM37" s="316"/>
      <c r="AN37" s="305"/>
      <c r="AO37" s="327" t="str">
        <f>_xlfn.IFNA(IF(VLOOKUP(tabItens[[#This Row],[CÓDIGO]],tabExcluirDoEstoque[#Data],1,FALSE),"sim",""),"")</f>
        <v/>
      </c>
      <c r="AP37" s="398">
        <f ca="1">IF(OR(ISBLANK(tabItens[[#This Row],[ATA DT.VALID.]]),tabItens[[#This Row],[ATA DT.VALID.]]="",tabItens[[#This Row],[ATA DT.VALID.]]=" "),"",IF(TYPE(tabItens[[#This Row],[ATA DT.VALID.]])=1,ROUNDUP((tabItens[[#This Row],[ATA DT.VALID.]]-TODAY())/7,0),""))</f>
        <v>40</v>
      </c>
      <c r="AQ37" s="399">
        <v>0</v>
      </c>
      <c r="AR37" s="400" t="str">
        <f>IF(ISBLANK(tabItens[[#This Row],[CÓDIGO]]),"",IFERROR(VLOOKUP(tabItens[[#This Row],[CÓDIGO]],Consumo!$C$2:$AC$862,26,FALSE),0))</f>
        <v>09.2023</v>
      </c>
      <c r="AS37" s="401">
        <f>SUMIF(Consumo!$C$3:$C$862,tabItens[[#This Row],[CÓDIGO]],Consumo!$N$3:$N$862) + SUMIF(Consumo!$C$3:$C$862,tabItens[[#This Row],[CÓDIGO]],Consumo!$O$3:$O$862) + SUMIF(Consumo!$C$3:$C$862,tabItens[[#This Row],[CÓDIGO]],Consumo!$P$3:$P$862) + SUMIF(Consumo!$C$3:$C$862,tabItens[[#This Row],[CÓDIGO]],Consumo!$Q$3:$Q$862)</f>
        <v>126</v>
      </c>
      <c r="AT37" s="401">
        <f>SUMIF(Consumo!$C$3:$C$862,tabItens[[#This Row],[CÓDIGO]],Consumo!$Z$3:$Z$862)</f>
        <v>420</v>
      </c>
      <c r="AU37" s="402">
        <f>SUMIF(Consumo!$C$3:$C$862,tabItens[[#This Row],[CÓDIGO]],Consumo!$AA$3:$AA$862)</f>
        <v>126</v>
      </c>
      <c r="AV37" s="403">
        <f>SUMIF(Consumo!$C$3:$C$862,tabItens[[#This Row],[CÓDIGO]],Consumo!$Y$3:$Y$862)</f>
        <v>33.25</v>
      </c>
      <c r="AW37" s="380">
        <f>tabItens[[#This Row],[QTDE ATUAL]] + tabItens[[#This Row],[RC QTDE]] + tabItens[[#This Row],[AF SALDO]] + tabItens[[#This Row],[Recentes]]</f>
        <v>383</v>
      </c>
      <c r="AX37" s="404">
        <v>100</v>
      </c>
      <c r="AY37" s="404">
        <v>4</v>
      </c>
      <c r="AZ37" s="404">
        <f>IF(ISBLANK(tabItens[[#This Row],[CÓDIGO]]),"",tabItens[[#This Row],[PontoMês]] * (AZ$2+tabItens[[#This Row],[PontoQtM]]))</f>
        <v>400</v>
      </c>
      <c r="BA37" s="403">
        <f>tabItens[[#This Row],[PontoPed]] - tabItens[[#This Row],[Saldo]] + (1/10)</f>
        <v>17.100000000000001</v>
      </c>
      <c r="BB37" s="403">
        <f xml:space="preserve"> tabItens[[#This Row],[PontoMês]] * BB$2 - tabItens[[#This Row],[QTDE ATUAL]] - (1/10)</f>
        <v>-283.10000000000002</v>
      </c>
      <c r="BC37" s="335">
        <f>IF( tabItens[[#This Row],[PontoPed]]&gt;0, IF(tabItens[[#This Row],[PontoPed]]&lt;1, 1, IF( tabItens[[#This Row],[Saldo]]&gt;tabItens[[#This Row],[PontoPed]], 0, (tabItens[[#This Row],[PontoPed]]-tabItens[[#This Row],[Saldo]])/tabItens[[#This Row],[PontoPed]] ) ), 0 )</f>
        <v>4.2500000000000003E-2</v>
      </c>
      <c r="BD37" s="405">
        <f>ROUNDDOWN(IF( OR( AND(tabItens[[#This Row],[PontoPed]]&lt;tabItens[[#This Row],[Saldo]],tabItens[[#This Row],[Saldo]]&gt;0), tabItens[[#This Row],[PontoPed]]=0), 99, IF(AND(tabItens[[#This Row],[Saldo]]=0,tabItens[[#This Row],[PontoPed]]&gt;0), 0, (1-tabItens[[#This Row],[PctAb]])*10 ) ),0)</f>
        <v>9</v>
      </c>
      <c r="BE37" s="406">
        <f>MAX(ROUNDDOWN( IF(tabItens[[#This Row],[Abaixo]] &gt; 0,   tabItens[[#This Row],[Abaixo]] + (tabItens[[#This Row],[PontoMês]] * IF( OR( ISBLANK(tabItens[[#This Row],[ATA Nº/ANO]]), tabItens[[#This Row],[ATA Nº/ANO]] = ""),BE$2,BE$1)),0),0),0)</f>
        <v>317</v>
      </c>
      <c r="BF37"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317</v>
      </c>
      <c r="BG37" s="338">
        <f>SUMIF(Consumo!$C$3:$C$862,tabItens[[#This Row],[CÓDIGO]],Consumo!$E$3:$E$862)</f>
        <v>0</v>
      </c>
      <c r="BH37" s="339">
        <f>IF(AND(tabItens[[#This Row],[Pend]] &gt; 0,tabItens[[#This Row],[Consumo]] &lt;&gt; 0), tabItens[[#This Row],[Pend]] / tabItens[[#This Row],[Consumo]], 0 )</f>
        <v>0</v>
      </c>
      <c r="BI37" s="338"/>
      <c r="BJ37" s="407"/>
      <c r="BK37" s="408" t="s">
        <v>2086</v>
      </c>
    </row>
    <row r="38" spans="1:63" x14ac:dyDescent="0.3">
      <c r="A38" s="375">
        <v>76583</v>
      </c>
      <c r="B38" s="376" t="s">
        <v>1422</v>
      </c>
      <c r="C38" s="377" t="s">
        <v>263</v>
      </c>
      <c r="D38" s="378">
        <v>207.87</v>
      </c>
      <c r="E38" s="305" t="s">
        <v>1423</v>
      </c>
      <c r="F38" s="379" t="s">
        <v>1419</v>
      </c>
      <c r="G38" s="379" t="s">
        <v>1281</v>
      </c>
      <c r="H38" s="380">
        <v>190</v>
      </c>
      <c r="I38" s="307">
        <v>103003</v>
      </c>
      <c r="J38" s="308">
        <v>207.87</v>
      </c>
      <c r="K38" s="381">
        <v>84</v>
      </c>
      <c r="L38" s="382">
        <f>IF(tabItens[[#This Row],[Média]] &gt; 0, tabItens[[#This Row],[QTDE ATUAL]] / tabItens[[#This Row],[Média]],999.9)</f>
        <v>30.4</v>
      </c>
      <c r="M38" s="383">
        <v>0</v>
      </c>
      <c r="N38" s="384">
        <f>tabItens[[#This Row],[VALOR UNIT.]] * tabItens[[#This Row],[LC]]</f>
        <v>0</v>
      </c>
      <c r="O38" s="385" t="s">
        <v>1282</v>
      </c>
      <c r="P38" s="386">
        <v>0</v>
      </c>
      <c r="Q38" s="387">
        <v>407</v>
      </c>
      <c r="R38" s="312">
        <v>84603.09</v>
      </c>
      <c r="S38" s="388">
        <v>45540</v>
      </c>
      <c r="T38" s="389">
        <f>ROUNDDOWN(IFERROR(tabItens[[#This Row],[ATA DT.VALID.]] - $D$1,0) / 30,0)</f>
        <v>43</v>
      </c>
      <c r="U38" s="302" t="s">
        <v>1210</v>
      </c>
      <c r="V38" s="318">
        <v>1</v>
      </c>
      <c r="W38" s="390" t="s">
        <v>2079</v>
      </c>
      <c r="X38" s="391">
        <v>74</v>
      </c>
      <c r="Y38" s="392">
        <v>9</v>
      </c>
      <c r="Z38" s="393"/>
      <c r="AA38" s="394"/>
      <c r="AB38" s="395"/>
      <c r="AC38" s="395"/>
      <c r="AD38" s="394"/>
      <c r="AE38" s="395"/>
      <c r="AF38" s="317"/>
      <c r="AG38" s="396" t="s">
        <v>2072</v>
      </c>
      <c r="AH38" s="397"/>
      <c r="AI38" s="317">
        <v>78</v>
      </c>
      <c r="AJ38" s="397">
        <v>45188</v>
      </c>
      <c r="AK38" s="326">
        <v>37995</v>
      </c>
      <c r="AL38" s="326">
        <v>45182</v>
      </c>
      <c r="AM38" s="316"/>
      <c r="AN38" s="305"/>
      <c r="AO38" s="327" t="str">
        <f>_xlfn.IFNA(IF(VLOOKUP(tabItens[[#This Row],[CÓDIGO]],tabExcluirDoEstoque[#Data],1,FALSE),"sim",""),"")</f>
        <v/>
      </c>
      <c r="AP38" s="398">
        <f ca="1">IF(OR(ISBLANK(tabItens[[#This Row],[ATA DT.VALID.]]),tabItens[[#This Row],[ATA DT.VALID.]]="",tabItens[[#This Row],[ATA DT.VALID.]]=" "),"",IF(TYPE(tabItens[[#This Row],[ATA DT.VALID.]])=1,ROUNDUP((tabItens[[#This Row],[ATA DT.VALID.]]-TODAY())/7,0),""))</f>
        <v>40</v>
      </c>
      <c r="AQ38" s="399">
        <v>66</v>
      </c>
      <c r="AR38" s="400" t="str">
        <f>IF(ISBLANK(tabItens[[#This Row],[CÓDIGO]]),"",IFERROR(VLOOKUP(tabItens[[#This Row],[CÓDIGO]],Consumo!$C$2:$AC$862,26,FALSE),0))</f>
        <v>08.2023</v>
      </c>
      <c r="AS38" s="401">
        <f>SUMIF(Consumo!$C$3:$C$862,tabItens[[#This Row],[CÓDIGO]],Consumo!$N$3:$N$862) + SUMIF(Consumo!$C$3:$C$862,tabItens[[#This Row],[CÓDIGO]],Consumo!$O$3:$O$862) + SUMIF(Consumo!$C$3:$C$862,tabItens[[#This Row],[CÓDIGO]],Consumo!$P$3:$P$862) + SUMIF(Consumo!$C$3:$C$862,tabItens[[#This Row],[CÓDIGO]],Consumo!$Q$3:$Q$862)</f>
        <v>15</v>
      </c>
      <c r="AT38" s="401">
        <f>SUMIF(Consumo!$C$3:$C$862,tabItens[[#This Row],[CÓDIGO]],Consumo!$Z$3:$Z$862)</f>
        <v>84</v>
      </c>
      <c r="AU38" s="402">
        <f>SUMIF(Consumo!$C$3:$C$862,tabItens[[#This Row],[CÓDIGO]],Consumo!$AA$3:$AA$862)</f>
        <v>37</v>
      </c>
      <c r="AV38" s="403">
        <f>SUMIF(Consumo!$C$3:$C$862,tabItens[[#This Row],[CÓDIGO]],Consumo!$Y$3:$Y$862)</f>
        <v>6.25</v>
      </c>
      <c r="AW38" s="380">
        <f>tabItens[[#This Row],[QTDE ATUAL]] + tabItens[[#This Row],[RC QTDE]] + tabItens[[#This Row],[AF SALDO]] + tabItens[[#This Row],[Recentes]]</f>
        <v>256</v>
      </c>
      <c r="AX38" s="404">
        <v>17</v>
      </c>
      <c r="AY38" s="404">
        <v>4</v>
      </c>
      <c r="AZ38" s="404">
        <f>IF(ISBLANK(tabItens[[#This Row],[CÓDIGO]]),"",tabItens[[#This Row],[PontoMês]] * (AZ$2+tabItens[[#This Row],[PontoQtM]]))</f>
        <v>68</v>
      </c>
      <c r="BA38" s="403">
        <f>tabItens[[#This Row],[PontoPed]] - tabItens[[#This Row],[Saldo]] + (1/10)</f>
        <v>-187.9</v>
      </c>
      <c r="BB38" s="403">
        <f xml:space="preserve"> tabItens[[#This Row],[PontoMês]] * BB$2 - tabItens[[#This Row],[QTDE ATUAL]] - (1/10)</f>
        <v>-173.1</v>
      </c>
      <c r="BC38" s="335">
        <f>IF( tabItens[[#This Row],[PontoPed]]&gt;0, IF(tabItens[[#This Row],[PontoPed]]&lt;1, 1, IF( tabItens[[#This Row],[Saldo]]&gt;tabItens[[#This Row],[PontoPed]], 0, (tabItens[[#This Row],[PontoPed]]-tabItens[[#This Row],[Saldo]])/tabItens[[#This Row],[PontoPed]] ) ), 0 )</f>
        <v>0</v>
      </c>
      <c r="BD38" s="405">
        <f>ROUNDDOWN(IF( OR( AND(tabItens[[#This Row],[PontoPed]]&lt;tabItens[[#This Row],[Saldo]],tabItens[[#This Row],[Saldo]]&gt;0), tabItens[[#This Row],[PontoPed]]=0), 99, IF(AND(tabItens[[#This Row],[Saldo]]=0,tabItens[[#This Row],[PontoPed]]&gt;0), 0, (1-tabItens[[#This Row],[PctAb]])*10 ) ),0)</f>
        <v>99</v>
      </c>
      <c r="BE38" s="406">
        <f>MAX(ROUNDDOWN( IF(tabItens[[#This Row],[Abaixo]] &gt; 0,   tabItens[[#This Row],[Abaixo]] + (tabItens[[#This Row],[PontoMês]] * IF( OR( ISBLANK(tabItens[[#This Row],[ATA Nº/ANO]]), tabItens[[#This Row],[ATA Nº/ANO]] = ""),BE$2,BE$1)),0),0),0)</f>
        <v>0</v>
      </c>
      <c r="BF38"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8" s="338">
        <f>SUMIF(Consumo!$C$3:$C$862,tabItens[[#This Row],[CÓDIGO]],Consumo!$E$3:$E$862)</f>
        <v>0</v>
      </c>
      <c r="BH38" s="339">
        <f>IF(AND(tabItens[[#This Row],[Pend]] &gt; 0,tabItens[[#This Row],[Consumo]] &lt;&gt; 0), tabItens[[#This Row],[Pend]] / tabItens[[#This Row],[Consumo]], 0 )</f>
        <v>0</v>
      </c>
      <c r="BI38" s="338"/>
      <c r="BJ38" s="407"/>
      <c r="BK38" s="408" t="s">
        <v>2086</v>
      </c>
    </row>
    <row r="39" spans="1:63" x14ac:dyDescent="0.3">
      <c r="A39" s="375">
        <v>139957</v>
      </c>
      <c r="B39" s="376" t="s">
        <v>1992</v>
      </c>
      <c r="C39" s="377" t="s">
        <v>560</v>
      </c>
      <c r="D39" s="378">
        <v>47.5</v>
      </c>
      <c r="E39" s="305" t="s">
        <v>1993</v>
      </c>
      <c r="F39" s="379" t="s">
        <v>1994</v>
      </c>
      <c r="G39" s="379" t="s">
        <v>1995</v>
      </c>
      <c r="H39" s="380">
        <v>0</v>
      </c>
      <c r="I39" s="307">
        <v>103003</v>
      </c>
      <c r="J39" s="308">
        <v>47.5</v>
      </c>
      <c r="K39" s="381">
        <v>2521</v>
      </c>
      <c r="L39" s="382">
        <f>IF(tabItens[[#This Row],[Média]] &gt; 0, tabItens[[#This Row],[QTDE ATUAL]] / tabItens[[#This Row],[Média]],999.9)</f>
        <v>0</v>
      </c>
      <c r="M39" s="383">
        <v>0</v>
      </c>
      <c r="N39" s="384">
        <f>tabItens[[#This Row],[VALOR UNIT.]] * tabItens[[#This Row],[LC]]</f>
        <v>0</v>
      </c>
      <c r="O39" s="385" t="s">
        <v>1996</v>
      </c>
      <c r="P39" s="386">
        <v>0</v>
      </c>
      <c r="Q39" s="387">
        <v>10691</v>
      </c>
      <c r="R39" s="312">
        <v>507822.5</v>
      </c>
      <c r="S39" s="388">
        <v>45561</v>
      </c>
      <c r="T39" s="389">
        <f>ROUNDDOWN(IFERROR(tabItens[[#This Row],[ATA DT.VALID.]] - $D$1,0) / 30,0)</f>
        <v>44</v>
      </c>
      <c r="U39" s="302" t="s">
        <v>1734</v>
      </c>
      <c r="V39" s="318">
        <v>1</v>
      </c>
      <c r="W39" s="390" t="s">
        <v>2071</v>
      </c>
      <c r="X39" s="391">
        <v>51</v>
      </c>
      <c r="Y39" s="392">
        <v>21</v>
      </c>
      <c r="Z39" s="393"/>
      <c r="AA39" s="394"/>
      <c r="AB39" s="395"/>
      <c r="AC39" s="395"/>
      <c r="AD39" s="394"/>
      <c r="AE39" s="395"/>
      <c r="AF39" s="317"/>
      <c r="AG39" s="396" t="s">
        <v>2072</v>
      </c>
      <c r="AH39" s="397"/>
      <c r="AI39" s="317">
        <v>2034</v>
      </c>
      <c r="AJ39" s="397">
        <v>44922</v>
      </c>
      <c r="AK39" s="326">
        <v>44075</v>
      </c>
      <c r="AL39" s="326">
        <v>45215</v>
      </c>
      <c r="AM39" s="316"/>
      <c r="AN39" s="305"/>
      <c r="AO39" s="327" t="str">
        <f>_xlfn.IFNA(IF(VLOOKUP(tabItens[[#This Row],[CÓDIGO]],tabExcluirDoEstoque[#Data],1,FALSE),"sim",""),"")</f>
        <v/>
      </c>
      <c r="AP39" s="398">
        <f ca="1">IF(OR(ISBLANK(tabItens[[#This Row],[ATA DT.VALID.]]),tabItens[[#This Row],[ATA DT.VALID.]]="",tabItens[[#This Row],[ATA DT.VALID.]]=" "),"",IF(TYPE(tabItens[[#This Row],[ATA DT.VALID.]])=1,ROUNDUP((tabItens[[#This Row],[ATA DT.VALID.]]-TODAY())/7,0),""))</f>
        <v>43</v>
      </c>
      <c r="AQ39" s="399">
        <v>0</v>
      </c>
      <c r="AR39" s="400" t="str">
        <f>IF(ISBLANK(tabItens[[#This Row],[CÓDIGO]]),"",IFERROR(VLOOKUP(tabItens[[#This Row],[CÓDIGO]],Consumo!$C$2:$AC$862,26,FALSE),0))</f>
        <v>09.2023</v>
      </c>
      <c r="AS39" s="401">
        <f>SUMIF(Consumo!$C$3:$C$862,tabItens[[#This Row],[CÓDIGO]],Consumo!$N$3:$N$862) + SUMIF(Consumo!$C$3:$C$862,tabItens[[#This Row],[CÓDIGO]],Consumo!$O$3:$O$862) + SUMIF(Consumo!$C$3:$C$862,tabItens[[#This Row],[CÓDIGO]],Consumo!$P$3:$P$862) + SUMIF(Consumo!$C$3:$C$862,tabItens[[#This Row],[CÓDIGO]],Consumo!$Q$3:$Q$862)</f>
        <v>997</v>
      </c>
      <c r="AT39" s="401">
        <f>SUMIF(Consumo!$C$3:$C$862,tabItens[[#This Row],[CÓDIGO]],Consumo!$Z$3:$Z$862)</f>
        <v>2640</v>
      </c>
      <c r="AU39" s="402">
        <f>SUMIF(Consumo!$C$3:$C$862,tabItens[[#This Row],[CÓDIGO]],Consumo!$AA$3:$AA$862)</f>
        <v>998</v>
      </c>
      <c r="AV39" s="403">
        <f>SUMIF(Consumo!$C$3:$C$862,tabItens[[#This Row],[CÓDIGO]],Consumo!$Y$3:$Y$862)</f>
        <v>210.33333333333334</v>
      </c>
      <c r="AW39" s="380">
        <f>tabItens[[#This Row],[QTDE ATUAL]] + tabItens[[#This Row],[RC QTDE]] + tabItens[[#This Row],[AF SALDO]] + tabItens[[#This Row],[Recentes]]</f>
        <v>0</v>
      </c>
      <c r="AX39" s="404">
        <v>266</v>
      </c>
      <c r="AY39" s="404">
        <v>4</v>
      </c>
      <c r="AZ39" s="404">
        <f>IF(ISBLANK(tabItens[[#This Row],[CÓDIGO]]),"",tabItens[[#This Row],[PontoMês]] * (AZ$2+tabItens[[#This Row],[PontoQtM]]))</f>
        <v>1064</v>
      </c>
      <c r="BA39" s="403">
        <f>tabItens[[#This Row],[PontoPed]] - tabItens[[#This Row],[Saldo]] + (1/10)</f>
        <v>1064.0999999999999</v>
      </c>
      <c r="BB39" s="403">
        <f xml:space="preserve"> tabItens[[#This Row],[PontoMês]] * BB$2 - tabItens[[#This Row],[QTDE ATUAL]] - (1/10)</f>
        <v>265.89999999999998</v>
      </c>
      <c r="BC39" s="335">
        <f>IF( tabItens[[#This Row],[PontoPed]]&gt;0, IF(tabItens[[#This Row],[PontoPed]]&lt;1, 1, IF( tabItens[[#This Row],[Saldo]]&gt;tabItens[[#This Row],[PontoPed]], 0, (tabItens[[#This Row],[PontoPed]]-tabItens[[#This Row],[Saldo]])/tabItens[[#This Row],[PontoPed]] ) ), 0 )</f>
        <v>1</v>
      </c>
      <c r="BD39" s="405">
        <f>ROUNDDOWN(IF( OR( AND(tabItens[[#This Row],[PontoPed]]&lt;tabItens[[#This Row],[Saldo]],tabItens[[#This Row],[Saldo]]&gt;0), tabItens[[#This Row],[PontoPed]]=0), 99, IF(AND(tabItens[[#This Row],[Saldo]]=0,tabItens[[#This Row],[PontoPed]]&gt;0), 0, (1-tabItens[[#This Row],[PctAb]])*10 ) ),0)</f>
        <v>0</v>
      </c>
      <c r="BE39" s="406">
        <f>MAX(ROUNDDOWN( IF(tabItens[[#This Row],[Abaixo]] &gt; 0,   tabItens[[#This Row],[Abaixo]] + (tabItens[[#This Row],[PontoMês]] * IF( OR( ISBLANK(tabItens[[#This Row],[ATA Nº/ANO]]), tabItens[[#This Row],[ATA Nº/ANO]] = ""),BE$2,BE$1)),0),0),0)</f>
        <v>1862</v>
      </c>
      <c r="BF39"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1862</v>
      </c>
      <c r="BG39" s="338">
        <f>SUMIF(Consumo!$C$3:$C$862,tabItens[[#This Row],[CÓDIGO]],Consumo!$E$3:$E$862)</f>
        <v>116</v>
      </c>
      <c r="BH39" s="339">
        <f>IF(AND(tabItens[[#This Row],[Pend]] &gt; 0,tabItens[[#This Row],[Consumo]] &lt;&gt; 0), tabItens[[#This Row],[Pend]] / tabItens[[#This Row],[Consumo]], 0 )</f>
        <v>4.3939393939393938E-2</v>
      </c>
      <c r="BI39" s="338"/>
      <c r="BJ39" s="407"/>
      <c r="BK39" s="408" t="s">
        <v>2086</v>
      </c>
    </row>
    <row r="40" spans="1:63" x14ac:dyDescent="0.3">
      <c r="A40" s="375">
        <v>139958</v>
      </c>
      <c r="B40" s="376" t="s">
        <v>1997</v>
      </c>
      <c r="C40" s="377" t="s">
        <v>560</v>
      </c>
      <c r="D40" s="378">
        <v>59.34</v>
      </c>
      <c r="E40" s="305" t="s">
        <v>1993</v>
      </c>
      <c r="F40" s="379" t="s">
        <v>1994</v>
      </c>
      <c r="G40" s="379" t="s">
        <v>1995</v>
      </c>
      <c r="H40" s="380">
        <v>0</v>
      </c>
      <c r="I40" s="307">
        <v>103003</v>
      </c>
      <c r="J40" s="308">
        <v>59.34</v>
      </c>
      <c r="K40" s="381">
        <v>1757.55</v>
      </c>
      <c r="L40" s="382">
        <f>IF(tabItens[[#This Row],[Média]] &gt; 0, tabItens[[#This Row],[QTDE ATUAL]] / tabItens[[#This Row],[Média]],999.9)</f>
        <v>0</v>
      </c>
      <c r="M40" s="383">
        <v>0</v>
      </c>
      <c r="N40" s="384">
        <f>tabItens[[#This Row],[VALOR UNIT.]] * tabItens[[#This Row],[LC]]</f>
        <v>0</v>
      </c>
      <c r="O40" s="385" t="s">
        <v>1996</v>
      </c>
      <c r="P40" s="386">
        <v>0</v>
      </c>
      <c r="Q40" s="387">
        <v>11495.9</v>
      </c>
      <c r="R40" s="312">
        <v>682166.71</v>
      </c>
      <c r="S40" s="388">
        <v>45561</v>
      </c>
      <c r="T40" s="389">
        <f>ROUNDDOWN(IFERROR(tabItens[[#This Row],[ATA DT.VALID.]] - $D$1,0) / 30,0)</f>
        <v>44</v>
      </c>
      <c r="U40" s="302" t="s">
        <v>1734</v>
      </c>
      <c r="V40" s="318">
        <v>1</v>
      </c>
      <c r="W40" s="390" t="s">
        <v>2071</v>
      </c>
      <c r="X40" s="391">
        <v>51</v>
      </c>
      <c r="Y40" s="392">
        <v>21</v>
      </c>
      <c r="Z40" s="393"/>
      <c r="AA40" s="394"/>
      <c r="AB40" s="395"/>
      <c r="AC40" s="395"/>
      <c r="AD40" s="394"/>
      <c r="AE40" s="395"/>
      <c r="AF40" s="317"/>
      <c r="AG40" s="396" t="s">
        <v>2072</v>
      </c>
      <c r="AH40" s="397"/>
      <c r="AI40" s="317">
        <v>586</v>
      </c>
      <c r="AJ40" s="397">
        <v>44550</v>
      </c>
      <c r="AK40" s="326">
        <v>44075</v>
      </c>
      <c r="AL40" s="326">
        <v>45215</v>
      </c>
      <c r="AM40" s="316"/>
      <c r="AN40" s="305"/>
      <c r="AO40" s="327" t="str">
        <f>_xlfn.IFNA(IF(VLOOKUP(tabItens[[#This Row],[CÓDIGO]],tabExcluirDoEstoque[#Data],1,FALSE),"sim",""),"")</f>
        <v/>
      </c>
      <c r="AP40" s="398">
        <f ca="1">IF(OR(ISBLANK(tabItens[[#This Row],[ATA DT.VALID.]]),tabItens[[#This Row],[ATA DT.VALID.]]="",tabItens[[#This Row],[ATA DT.VALID.]]=" "),"",IF(TYPE(tabItens[[#This Row],[ATA DT.VALID.]])=1,ROUNDUP((tabItens[[#This Row],[ATA DT.VALID.]]-TODAY())/7,0),""))</f>
        <v>43</v>
      </c>
      <c r="AQ40" s="399">
        <v>0</v>
      </c>
      <c r="AR40" s="400" t="str">
        <f>IF(ISBLANK(tabItens[[#This Row],[CÓDIGO]]),"",IFERROR(VLOOKUP(tabItens[[#This Row],[CÓDIGO]],Consumo!$C$2:$AC$862,26,FALSE),0))</f>
        <v>03.2023</v>
      </c>
      <c r="AS40" s="401">
        <f>SUMIF(Consumo!$C$3:$C$862,tabItens[[#This Row],[CÓDIGO]],Consumo!$N$3:$N$862) + SUMIF(Consumo!$C$3:$C$862,tabItens[[#This Row],[CÓDIGO]],Consumo!$O$3:$O$862) + SUMIF(Consumo!$C$3:$C$862,tabItens[[#This Row],[CÓDIGO]],Consumo!$P$3:$P$862) + SUMIF(Consumo!$C$3:$C$862,tabItens[[#This Row],[CÓDIGO]],Consumo!$Q$3:$Q$862)</f>
        <v>0</v>
      </c>
      <c r="AT40" s="401">
        <f>SUMIF(Consumo!$C$3:$C$862,tabItens[[#This Row],[CÓDIGO]],Consumo!$Z$3:$Z$862)</f>
        <v>1773</v>
      </c>
      <c r="AU40" s="402">
        <f>SUMIF(Consumo!$C$3:$C$862,tabItens[[#This Row],[CÓDIGO]],Consumo!$AA$3:$AA$862)</f>
        <v>1677.55</v>
      </c>
      <c r="AV40" s="403">
        <f>SUMIF(Consumo!$C$3:$C$862,tabItens[[#This Row],[CÓDIGO]],Consumo!$Y$3:$Y$862)</f>
        <v>97.454166666666666</v>
      </c>
      <c r="AW40" s="380">
        <f>tabItens[[#This Row],[QTDE ATUAL]] + tabItens[[#This Row],[RC QTDE]] + tabItens[[#This Row],[AF SALDO]] + tabItens[[#This Row],[Recentes]]</f>
        <v>0</v>
      </c>
      <c r="AX40" s="404">
        <v>214</v>
      </c>
      <c r="AY40" s="404">
        <v>4</v>
      </c>
      <c r="AZ40" s="404">
        <f>IF(ISBLANK(tabItens[[#This Row],[CÓDIGO]]),"",tabItens[[#This Row],[PontoMês]] * (AZ$2+tabItens[[#This Row],[PontoQtM]]))</f>
        <v>856</v>
      </c>
      <c r="BA40" s="403">
        <f>tabItens[[#This Row],[PontoPed]] - tabItens[[#This Row],[Saldo]] + (1/10)</f>
        <v>856.1</v>
      </c>
      <c r="BB40" s="403">
        <f xml:space="preserve"> tabItens[[#This Row],[PontoMês]] * BB$2 - tabItens[[#This Row],[QTDE ATUAL]] - (1/10)</f>
        <v>213.9</v>
      </c>
      <c r="BC40" s="335">
        <f>IF( tabItens[[#This Row],[PontoPed]]&gt;0, IF(tabItens[[#This Row],[PontoPed]]&lt;1, 1, IF( tabItens[[#This Row],[Saldo]]&gt;tabItens[[#This Row],[PontoPed]], 0, (tabItens[[#This Row],[PontoPed]]-tabItens[[#This Row],[Saldo]])/tabItens[[#This Row],[PontoPed]] ) ), 0 )</f>
        <v>1</v>
      </c>
      <c r="BD40" s="405">
        <f>ROUNDDOWN(IF( OR( AND(tabItens[[#This Row],[PontoPed]]&lt;tabItens[[#This Row],[Saldo]],tabItens[[#This Row],[Saldo]]&gt;0), tabItens[[#This Row],[PontoPed]]=0), 99, IF(AND(tabItens[[#This Row],[Saldo]]=0,tabItens[[#This Row],[PontoPed]]&gt;0), 0, (1-tabItens[[#This Row],[PctAb]])*10 ) ),0)</f>
        <v>0</v>
      </c>
      <c r="BE40" s="406">
        <f>MAX(ROUNDDOWN( IF(tabItens[[#This Row],[Abaixo]] &gt; 0,   tabItens[[#This Row],[Abaixo]] + (tabItens[[#This Row],[PontoMês]] * IF( OR( ISBLANK(tabItens[[#This Row],[ATA Nº/ANO]]), tabItens[[#This Row],[ATA Nº/ANO]] = ""),BE$2,BE$1)),0),0),0)</f>
        <v>1498</v>
      </c>
      <c r="BF40"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1498</v>
      </c>
      <c r="BG40" s="338">
        <f>SUMIF(Consumo!$C$3:$C$862,tabItens[[#This Row],[CÓDIGO]],Consumo!$E$3:$E$862)</f>
        <v>15.45</v>
      </c>
      <c r="BH40" s="339">
        <f>IF(AND(tabItens[[#This Row],[Pend]] &gt; 0,tabItens[[#This Row],[Consumo]] &lt;&gt; 0), tabItens[[#This Row],[Pend]] / tabItens[[#This Row],[Consumo]], 0 )</f>
        <v>8.7140439932318105E-3</v>
      </c>
      <c r="BI40" s="338"/>
      <c r="BJ40" s="407"/>
      <c r="BK40" s="408" t="s">
        <v>2086</v>
      </c>
    </row>
    <row r="41" spans="1:63" x14ac:dyDescent="0.3">
      <c r="A41" s="375">
        <v>134246</v>
      </c>
      <c r="B41" s="376" t="s">
        <v>1871</v>
      </c>
      <c r="C41" s="377" t="s">
        <v>1872</v>
      </c>
      <c r="D41" s="378">
        <v>111.29</v>
      </c>
      <c r="E41" s="305" t="s">
        <v>1873</v>
      </c>
      <c r="F41" s="379" t="s">
        <v>1874</v>
      </c>
      <c r="G41" s="379" t="s">
        <v>1875</v>
      </c>
      <c r="H41" s="380">
        <v>35.53</v>
      </c>
      <c r="I41" s="307">
        <v>103003</v>
      </c>
      <c r="J41" s="308">
        <v>123</v>
      </c>
      <c r="K41" s="381">
        <v>726.94</v>
      </c>
      <c r="L41" s="382">
        <f>IF(tabItens[[#This Row],[Média]] &gt; 0, tabItens[[#This Row],[QTDE ATUAL]] / tabItens[[#This Row],[Média]],999.9)</f>
        <v>0.34861815208503677</v>
      </c>
      <c r="M41" s="383">
        <v>0</v>
      </c>
      <c r="N41" s="384">
        <f>tabItens[[#This Row],[VALOR UNIT.]] * tabItens[[#This Row],[LC]]</f>
        <v>0</v>
      </c>
      <c r="O41" s="385" t="s">
        <v>1876</v>
      </c>
      <c r="P41" s="386">
        <v>0</v>
      </c>
      <c r="Q41" s="387">
        <v>4950</v>
      </c>
      <c r="R41" s="312">
        <v>579820.9</v>
      </c>
      <c r="S41" s="388">
        <v>45569</v>
      </c>
      <c r="T41" s="389">
        <f>ROUNDDOWN(IFERROR(tabItens[[#This Row],[ATA DT.VALID.]] - $D$1,0) / 30,0)</f>
        <v>44</v>
      </c>
      <c r="U41" s="302" t="s">
        <v>1877</v>
      </c>
      <c r="V41" s="318">
        <v>1</v>
      </c>
      <c r="W41" s="390" t="s">
        <v>2071</v>
      </c>
      <c r="X41" s="391">
        <v>51</v>
      </c>
      <c r="Y41" s="392">
        <v>2</v>
      </c>
      <c r="Z41" s="393"/>
      <c r="AA41" s="394"/>
      <c r="AB41" s="395"/>
      <c r="AC41" s="395"/>
      <c r="AD41" s="394"/>
      <c r="AE41" s="395"/>
      <c r="AF41" s="317"/>
      <c r="AG41" s="396" t="s">
        <v>2072</v>
      </c>
      <c r="AH41" s="397"/>
      <c r="AI41" s="317">
        <v>410</v>
      </c>
      <c r="AJ41" s="397">
        <v>45147</v>
      </c>
      <c r="AK41" s="326">
        <v>43138</v>
      </c>
      <c r="AL41" s="326">
        <v>45188</v>
      </c>
      <c r="AM41" s="316"/>
      <c r="AN41" s="305"/>
      <c r="AO41" s="327" t="str">
        <f>_xlfn.IFNA(IF(VLOOKUP(tabItens[[#This Row],[CÓDIGO]],tabExcluirDoEstoque[#Data],1,FALSE),"sim",""),"")</f>
        <v/>
      </c>
      <c r="AP41" s="398">
        <f ca="1">IF(OR(ISBLANK(tabItens[[#This Row],[ATA DT.VALID.]]),tabItens[[#This Row],[ATA DT.VALID.]]="",tabItens[[#This Row],[ATA DT.VALID.]]=" "),"",IF(TYPE(tabItens[[#This Row],[ATA DT.VALID.]])=1,ROUNDUP((tabItens[[#This Row],[ATA DT.VALID.]]-TODAY())/7,0),""))</f>
        <v>45</v>
      </c>
      <c r="AQ41" s="399">
        <v>0</v>
      </c>
      <c r="AR41" s="400" t="str">
        <f>IF(ISBLANK(tabItens[[#This Row],[CÓDIGO]]),"",IFERROR(VLOOKUP(tabItens[[#This Row],[CÓDIGO]],Consumo!$C$2:$AC$862,26,FALSE),0))</f>
        <v>09.2023</v>
      </c>
      <c r="AS41" s="401">
        <f>SUMIF(Consumo!$C$3:$C$862,tabItens[[#This Row],[CÓDIGO]],Consumo!$N$3:$N$862) + SUMIF(Consumo!$C$3:$C$862,tabItens[[#This Row],[CÓDIGO]],Consumo!$O$3:$O$862) + SUMIF(Consumo!$C$3:$C$862,tabItens[[#This Row],[CÓDIGO]],Consumo!$P$3:$P$862) + SUMIF(Consumo!$C$3:$C$862,tabItens[[#This Row],[CÓDIGO]],Consumo!$Q$3:$Q$862)</f>
        <v>321.06</v>
      </c>
      <c r="AT41" s="401">
        <f>SUMIF(Consumo!$C$3:$C$862,tabItens[[#This Row],[CÓDIGO]],Consumo!$Z$3:$Z$862)</f>
        <v>1223</v>
      </c>
      <c r="AU41" s="402">
        <f>SUMIF(Consumo!$C$3:$C$862,tabItens[[#This Row],[CÓDIGO]],Consumo!$AA$3:$AA$862)</f>
        <v>165.94</v>
      </c>
      <c r="AV41" s="403">
        <f>SUMIF(Consumo!$C$3:$C$862,tabItens[[#This Row],[CÓDIGO]],Consumo!$Y$3:$Y$862)</f>
        <v>101.91666666666667</v>
      </c>
      <c r="AW41" s="380">
        <f>tabItens[[#This Row],[QTDE ATUAL]] + tabItens[[#This Row],[RC QTDE]] + tabItens[[#This Row],[AF SALDO]] + tabItens[[#This Row],[Recentes]]</f>
        <v>35.53</v>
      </c>
      <c r="AX41" s="404">
        <v>111</v>
      </c>
      <c r="AY41" s="404">
        <v>3</v>
      </c>
      <c r="AZ41" s="404">
        <f>IF(ISBLANK(tabItens[[#This Row],[CÓDIGO]]),"",tabItens[[#This Row],[PontoMês]] * (AZ$2+tabItens[[#This Row],[PontoQtM]]))</f>
        <v>333</v>
      </c>
      <c r="BA41" s="403">
        <f>tabItens[[#This Row],[PontoPed]] - tabItens[[#This Row],[Saldo]] + (1/10)</f>
        <v>297.57000000000005</v>
      </c>
      <c r="BB41" s="403">
        <f xml:space="preserve"> tabItens[[#This Row],[PontoMês]] * BB$2 - tabItens[[#This Row],[QTDE ATUAL]] - (1/10)</f>
        <v>75.37</v>
      </c>
      <c r="BC41" s="335">
        <f>IF( tabItens[[#This Row],[PontoPed]]&gt;0, IF(tabItens[[#This Row],[PontoPed]]&lt;1, 1, IF( tabItens[[#This Row],[Saldo]]&gt;tabItens[[#This Row],[PontoPed]], 0, (tabItens[[#This Row],[PontoPed]]-tabItens[[#This Row],[Saldo]])/tabItens[[#This Row],[PontoPed]] ) ), 0 )</f>
        <v>0.89330330330330343</v>
      </c>
      <c r="BD41" s="405">
        <f>ROUNDDOWN(IF( OR( AND(tabItens[[#This Row],[PontoPed]]&lt;tabItens[[#This Row],[Saldo]],tabItens[[#This Row],[Saldo]]&gt;0), tabItens[[#This Row],[PontoPed]]=0), 99, IF(AND(tabItens[[#This Row],[Saldo]]=0,tabItens[[#This Row],[PontoPed]]&gt;0), 0, (1-tabItens[[#This Row],[PctAb]])*10 ) ),0)</f>
        <v>1</v>
      </c>
      <c r="BE41" s="406">
        <f>MAX(ROUNDDOWN( IF(tabItens[[#This Row],[Abaixo]] &gt; 0,   tabItens[[#This Row],[Abaixo]] + (tabItens[[#This Row],[PontoMês]] * IF( OR( ISBLANK(tabItens[[#This Row],[ATA Nº/ANO]]), tabItens[[#This Row],[ATA Nº/ANO]] = ""),BE$2,BE$1)),0),0),0)</f>
        <v>630</v>
      </c>
      <c r="BF41"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630</v>
      </c>
      <c r="BG41" s="338">
        <f>SUMIF(Consumo!$C$3:$C$862,tabItens[[#This Row],[CÓDIGO]],Consumo!$E$3:$E$862)</f>
        <v>18.75</v>
      </c>
      <c r="BH41" s="339">
        <f>IF(AND(tabItens[[#This Row],[Pend]] &gt; 0,tabItens[[#This Row],[Consumo]] &lt;&gt; 0), tabItens[[#This Row],[Pend]] / tabItens[[#This Row],[Consumo]], 0 )</f>
        <v>1.5331152902698283E-2</v>
      </c>
      <c r="BI41" s="338"/>
      <c r="BJ41" s="407"/>
      <c r="BK41" s="408" t="s">
        <v>2086</v>
      </c>
    </row>
    <row r="42" spans="1:63" x14ac:dyDescent="0.3">
      <c r="A42" s="375">
        <v>134247</v>
      </c>
      <c r="B42" s="376" t="s">
        <v>1878</v>
      </c>
      <c r="C42" s="377" t="s">
        <v>1872</v>
      </c>
      <c r="D42" s="378">
        <v>108</v>
      </c>
      <c r="E42" s="305" t="s">
        <v>1879</v>
      </c>
      <c r="F42" s="379" t="s">
        <v>1874</v>
      </c>
      <c r="G42" s="379" t="s">
        <v>1875</v>
      </c>
      <c r="H42" s="380">
        <v>75.39</v>
      </c>
      <c r="I42" s="307">
        <v>103003</v>
      </c>
      <c r="J42" s="308">
        <v>141.37022999999999</v>
      </c>
      <c r="K42" s="381">
        <v>338</v>
      </c>
      <c r="L42" s="382">
        <f>IF(tabItens[[#This Row],[Média]] &gt; 0, tabItens[[#This Row],[QTDE ATUAL]] / tabItens[[#This Row],[Média]],999.9)</f>
        <v>1.908607594936709</v>
      </c>
      <c r="M42" s="383">
        <v>0</v>
      </c>
      <c r="N42" s="384">
        <f>tabItens[[#This Row],[VALOR UNIT.]] * tabItens[[#This Row],[LC]]</f>
        <v>0</v>
      </c>
      <c r="O42" s="385" t="s">
        <v>1876</v>
      </c>
      <c r="P42" s="386">
        <v>0</v>
      </c>
      <c r="Q42" s="387">
        <v>3728</v>
      </c>
      <c r="R42" s="312">
        <v>402624</v>
      </c>
      <c r="S42" s="388">
        <v>45569</v>
      </c>
      <c r="T42" s="389">
        <f>ROUNDDOWN(IFERROR(tabItens[[#This Row],[ATA DT.VALID.]] - $D$1,0) / 30,0)</f>
        <v>44</v>
      </c>
      <c r="U42" s="302" t="s">
        <v>1877</v>
      </c>
      <c r="V42" s="318">
        <v>1</v>
      </c>
      <c r="W42" s="390" t="s">
        <v>2071</v>
      </c>
      <c r="X42" s="391">
        <v>51</v>
      </c>
      <c r="Y42" s="392">
        <v>2</v>
      </c>
      <c r="Z42" s="393"/>
      <c r="AA42" s="394"/>
      <c r="AB42" s="395"/>
      <c r="AC42" s="395">
        <v>4827</v>
      </c>
      <c r="AD42" s="394">
        <v>2023</v>
      </c>
      <c r="AE42" s="395">
        <v>61.679951701</v>
      </c>
      <c r="AF42" s="317">
        <v>200</v>
      </c>
      <c r="AG42" s="396" t="s">
        <v>2069</v>
      </c>
      <c r="AH42" s="397">
        <v>45072</v>
      </c>
      <c r="AI42" s="317">
        <v>160</v>
      </c>
      <c r="AJ42" s="397">
        <v>45098</v>
      </c>
      <c r="AK42" s="326">
        <v>43138</v>
      </c>
      <c r="AL42" s="326">
        <v>45072</v>
      </c>
      <c r="AM42" s="316"/>
      <c r="AN42" s="305"/>
      <c r="AO42" s="327" t="str">
        <f>_xlfn.IFNA(IF(VLOOKUP(tabItens[[#This Row],[CÓDIGO]],tabExcluirDoEstoque[#Data],1,FALSE),"sim",""),"")</f>
        <v/>
      </c>
      <c r="AP42" s="398">
        <f ca="1">IF(OR(ISBLANK(tabItens[[#This Row],[ATA DT.VALID.]]),tabItens[[#This Row],[ATA DT.VALID.]]="",tabItens[[#This Row],[ATA DT.VALID.]]=" "),"",IF(TYPE(tabItens[[#This Row],[ATA DT.VALID.]])=1,ROUNDUP((tabItens[[#This Row],[ATA DT.VALID.]]-TODAY())/7,0),""))</f>
        <v>45</v>
      </c>
      <c r="AQ42" s="399">
        <v>0</v>
      </c>
      <c r="AR42" s="400" t="str">
        <f>IF(ISBLANK(tabItens[[#This Row],[CÓDIGO]]),"",IFERROR(VLOOKUP(tabItens[[#This Row],[CÓDIGO]],Consumo!$C$2:$AC$862,26,FALSE),0))</f>
        <v>09.2023</v>
      </c>
      <c r="AS42" s="401">
        <f>SUMIF(Consumo!$C$3:$C$862,tabItens[[#This Row],[CÓDIGO]],Consumo!$N$3:$N$862) + SUMIF(Consumo!$C$3:$C$862,tabItens[[#This Row],[CÓDIGO]],Consumo!$O$3:$O$862) + SUMIF(Consumo!$C$3:$C$862,tabItens[[#This Row],[CÓDIGO]],Consumo!$P$3:$P$862) + SUMIF(Consumo!$C$3:$C$862,tabItens[[#This Row],[CÓDIGO]],Consumo!$Q$3:$Q$862)</f>
        <v>120</v>
      </c>
      <c r="AT42" s="401">
        <f>SUMIF(Consumo!$C$3:$C$862,tabItens[[#This Row],[CÓDIGO]],Consumo!$Z$3:$Z$862)</f>
        <v>478</v>
      </c>
      <c r="AU42" s="402">
        <f>SUMIF(Consumo!$C$3:$C$862,tabItens[[#This Row],[CÓDIGO]],Consumo!$AA$3:$AA$862)</f>
        <v>91</v>
      </c>
      <c r="AV42" s="403">
        <f>SUMIF(Consumo!$C$3:$C$862,tabItens[[#This Row],[CÓDIGO]],Consumo!$Y$3:$Y$862)</f>
        <v>39.5</v>
      </c>
      <c r="AW42" s="380">
        <f>tabItens[[#This Row],[QTDE ATUAL]] + tabItens[[#This Row],[RC QTDE]] + tabItens[[#This Row],[AF SALDO]] + tabItens[[#This Row],[Recentes]]</f>
        <v>137.06995170100001</v>
      </c>
      <c r="AX42" s="404">
        <v>42</v>
      </c>
      <c r="AY42" s="404">
        <v>3</v>
      </c>
      <c r="AZ42" s="404">
        <f>IF(ISBLANK(tabItens[[#This Row],[CÓDIGO]]),"",tabItens[[#This Row],[PontoMês]] * (AZ$2+tabItens[[#This Row],[PontoQtM]]))</f>
        <v>126</v>
      </c>
      <c r="BA42" s="403">
        <f>tabItens[[#This Row],[PontoPed]] - tabItens[[#This Row],[Saldo]] + (1/10)</f>
        <v>-10.969951701000008</v>
      </c>
      <c r="BB42" s="403">
        <f xml:space="preserve"> tabItens[[#This Row],[PontoMês]] * BB$2 - tabItens[[#This Row],[QTDE ATUAL]] - (1/10)</f>
        <v>-33.49</v>
      </c>
      <c r="BC42" s="335">
        <f>IF( tabItens[[#This Row],[PontoPed]]&gt;0, IF(tabItens[[#This Row],[PontoPed]]&lt;1, 1, IF( tabItens[[#This Row],[Saldo]]&gt;tabItens[[#This Row],[PontoPed]], 0, (tabItens[[#This Row],[PontoPed]]-tabItens[[#This Row],[Saldo]])/tabItens[[#This Row],[PontoPed]] ) ), 0 )</f>
        <v>0</v>
      </c>
      <c r="BD42" s="405">
        <f>ROUNDDOWN(IF( OR( AND(tabItens[[#This Row],[PontoPed]]&lt;tabItens[[#This Row],[Saldo]],tabItens[[#This Row],[Saldo]]&gt;0), tabItens[[#This Row],[PontoPed]]=0), 99, IF(AND(tabItens[[#This Row],[Saldo]]=0,tabItens[[#This Row],[PontoPed]]&gt;0), 0, (1-tabItens[[#This Row],[PctAb]])*10 ) ),0)</f>
        <v>99</v>
      </c>
      <c r="BE42" s="406">
        <f>MAX(ROUNDDOWN( IF(tabItens[[#This Row],[Abaixo]] &gt; 0,   tabItens[[#This Row],[Abaixo]] + (tabItens[[#This Row],[PontoMês]] * IF( OR( ISBLANK(tabItens[[#This Row],[ATA Nº/ANO]]), tabItens[[#This Row],[ATA Nº/ANO]] = ""),BE$2,BE$1)),0),0),0)</f>
        <v>0</v>
      </c>
      <c r="BF42"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2" s="338">
        <f>SUMIF(Consumo!$C$3:$C$862,tabItens[[#This Row],[CÓDIGO]],Consumo!$E$3:$E$862)</f>
        <v>36.04</v>
      </c>
      <c r="BH42" s="339">
        <f>IF(AND(tabItens[[#This Row],[Pend]] &gt; 0,tabItens[[#This Row],[Consumo]] &lt;&gt; 0), tabItens[[#This Row],[Pend]] / tabItens[[#This Row],[Consumo]], 0 )</f>
        <v>7.5397489539748952E-2</v>
      </c>
      <c r="BI42" s="338"/>
      <c r="BJ42" s="407"/>
      <c r="BK42" s="408" t="s">
        <v>2086</v>
      </c>
    </row>
    <row r="43" spans="1:63" x14ac:dyDescent="0.3">
      <c r="A43" s="375">
        <v>127664</v>
      </c>
      <c r="B43" s="376" t="s">
        <v>1784</v>
      </c>
      <c r="C43" s="377" t="s">
        <v>269</v>
      </c>
      <c r="D43" s="378">
        <v>6.52</v>
      </c>
      <c r="E43" s="305" t="s">
        <v>1785</v>
      </c>
      <c r="F43" s="379" t="s">
        <v>1786</v>
      </c>
      <c r="G43" s="379" t="s">
        <v>1787</v>
      </c>
      <c r="H43" s="380">
        <v>3053</v>
      </c>
      <c r="I43" s="307">
        <v>103003</v>
      </c>
      <c r="J43" s="308">
        <v>3.63</v>
      </c>
      <c r="K43" s="381">
        <v>3352</v>
      </c>
      <c r="L43" s="382">
        <f>IF(tabItens[[#This Row],[Média]] &gt; 0, tabItens[[#This Row],[QTDE ATUAL]] / tabItens[[#This Row],[Média]],999.9)</f>
        <v>6.2883625128733263</v>
      </c>
      <c r="M43" s="383">
        <v>0</v>
      </c>
      <c r="N43" s="384">
        <f>tabItens[[#This Row],[VALOR UNIT.]] * tabItens[[#This Row],[LC]]</f>
        <v>0</v>
      </c>
      <c r="O43" s="385" t="s">
        <v>1788</v>
      </c>
      <c r="P43" s="386">
        <v>0</v>
      </c>
      <c r="Q43" s="387">
        <v>7000</v>
      </c>
      <c r="R43" s="312">
        <v>45640</v>
      </c>
      <c r="S43" s="388">
        <v>45570</v>
      </c>
      <c r="T43" s="389">
        <f>ROUNDDOWN(IFERROR(tabItens[[#This Row],[ATA DT.VALID.]] - $D$1,0) / 30,0)</f>
        <v>44</v>
      </c>
      <c r="U43" s="302" t="s">
        <v>1789</v>
      </c>
      <c r="V43" s="318">
        <v>1</v>
      </c>
      <c r="W43" s="390" t="s">
        <v>2073</v>
      </c>
      <c r="X43" s="391">
        <v>71</v>
      </c>
      <c r="Y43" s="392">
        <v>34</v>
      </c>
      <c r="Z43" s="393"/>
      <c r="AA43" s="394"/>
      <c r="AB43" s="395"/>
      <c r="AC43" s="395"/>
      <c r="AD43" s="394"/>
      <c r="AE43" s="395"/>
      <c r="AF43" s="317"/>
      <c r="AG43" s="396" t="s">
        <v>2072</v>
      </c>
      <c r="AH43" s="397"/>
      <c r="AI43" s="317">
        <v>1934</v>
      </c>
      <c r="AJ43" s="397">
        <v>45090</v>
      </c>
      <c r="AK43" s="326">
        <v>41733</v>
      </c>
      <c r="AL43" s="326">
        <v>45072</v>
      </c>
      <c r="AM43" s="316"/>
      <c r="AN43" s="305"/>
      <c r="AO43" s="327" t="str">
        <f>_xlfn.IFNA(IF(VLOOKUP(tabItens[[#This Row],[CÓDIGO]],tabExcluirDoEstoque[#Data],1,FALSE),"sim",""),"")</f>
        <v/>
      </c>
      <c r="AP43" s="398">
        <f ca="1">IF(OR(ISBLANK(tabItens[[#This Row],[ATA DT.VALID.]]),tabItens[[#This Row],[ATA DT.VALID.]]="",tabItens[[#This Row],[ATA DT.VALID.]]=" "),"",IF(TYPE(tabItens[[#This Row],[ATA DT.VALID.]])=1,ROUNDUP((tabItens[[#This Row],[ATA DT.VALID.]]-TODAY())/7,0),""))</f>
        <v>45</v>
      </c>
      <c r="AQ43" s="399">
        <v>0</v>
      </c>
      <c r="AR43" s="400" t="str">
        <f>IF(ISBLANK(tabItens[[#This Row],[CÓDIGO]]),"",IFERROR(VLOOKUP(tabItens[[#This Row],[CÓDIGO]],Consumo!$C$2:$AC$862,26,FALSE),0))</f>
        <v>09.2023</v>
      </c>
      <c r="AS43" s="401">
        <f>SUMIF(Consumo!$C$3:$C$862,tabItens[[#This Row],[CÓDIGO]],Consumo!$N$3:$N$862) + SUMIF(Consumo!$C$3:$C$862,tabItens[[#This Row],[CÓDIGO]],Consumo!$O$3:$O$862) + SUMIF(Consumo!$C$3:$C$862,tabItens[[#This Row],[CÓDIGO]],Consumo!$P$3:$P$862) + SUMIF(Consumo!$C$3:$C$862,tabItens[[#This Row],[CÓDIGO]],Consumo!$Q$3:$Q$862)</f>
        <v>2241</v>
      </c>
      <c r="AT43" s="401">
        <f>SUMIF(Consumo!$C$3:$C$862,tabItens[[#This Row],[CÓDIGO]],Consumo!$Z$3:$Z$862)</f>
        <v>5826</v>
      </c>
      <c r="AU43" s="402">
        <f>SUMIF(Consumo!$C$3:$C$862,tabItens[[#This Row],[CÓDIGO]],Consumo!$AA$3:$AA$862)</f>
        <v>589</v>
      </c>
      <c r="AV43" s="403">
        <f>SUMIF(Consumo!$C$3:$C$862,tabItens[[#This Row],[CÓDIGO]],Consumo!$Y$3:$Y$862)</f>
        <v>485.5</v>
      </c>
      <c r="AW43" s="380">
        <f>tabItens[[#This Row],[QTDE ATUAL]] + tabItens[[#This Row],[RC QTDE]] + tabItens[[#This Row],[AF SALDO]] + tabItens[[#This Row],[Recentes]]</f>
        <v>3053</v>
      </c>
      <c r="AX43" s="404">
        <v>420</v>
      </c>
      <c r="AY43" s="404">
        <v>3</v>
      </c>
      <c r="AZ43" s="404">
        <f>IF(ISBLANK(tabItens[[#This Row],[CÓDIGO]]),"",tabItens[[#This Row],[PontoMês]] * (AZ$2+tabItens[[#This Row],[PontoQtM]]))</f>
        <v>1260</v>
      </c>
      <c r="BA43" s="403">
        <f>tabItens[[#This Row],[PontoPed]] - tabItens[[#This Row],[Saldo]] + (1/10)</f>
        <v>-1792.9</v>
      </c>
      <c r="BB43" s="403">
        <f xml:space="preserve"> tabItens[[#This Row],[PontoMês]] * BB$2 - tabItens[[#This Row],[QTDE ATUAL]] - (1/10)</f>
        <v>-2633.1</v>
      </c>
      <c r="BC43" s="335">
        <f>IF( tabItens[[#This Row],[PontoPed]]&gt;0, IF(tabItens[[#This Row],[PontoPed]]&lt;1, 1, IF( tabItens[[#This Row],[Saldo]]&gt;tabItens[[#This Row],[PontoPed]], 0, (tabItens[[#This Row],[PontoPed]]-tabItens[[#This Row],[Saldo]])/tabItens[[#This Row],[PontoPed]] ) ), 0 )</f>
        <v>0</v>
      </c>
      <c r="BD43" s="405">
        <f>ROUNDDOWN(IF( OR( AND(tabItens[[#This Row],[PontoPed]]&lt;tabItens[[#This Row],[Saldo]],tabItens[[#This Row],[Saldo]]&gt;0), tabItens[[#This Row],[PontoPed]]=0), 99, IF(AND(tabItens[[#This Row],[Saldo]]=0,tabItens[[#This Row],[PontoPed]]&gt;0), 0, (1-tabItens[[#This Row],[PctAb]])*10 ) ),0)</f>
        <v>99</v>
      </c>
      <c r="BE43" s="406">
        <f>MAX(ROUNDDOWN( IF(tabItens[[#This Row],[Abaixo]] &gt; 0,   tabItens[[#This Row],[Abaixo]] + (tabItens[[#This Row],[PontoMês]] * IF( OR( ISBLANK(tabItens[[#This Row],[ATA Nº/ANO]]), tabItens[[#This Row],[ATA Nº/ANO]] = ""),BE$2,BE$1)),0),0),0)</f>
        <v>0</v>
      </c>
      <c r="BF43" s="40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3" s="338">
        <f>SUMIF(Consumo!$C$3:$C$862,tabItens[[#This Row],[CÓDIGO]],Consumo!$E$3:$E$862)</f>
        <v>23</v>
      </c>
      <c r="BH43" s="339">
        <f>IF(AND(tabItens[[#This Row],[Pend]] &gt; 0,tabItens[[#This Row],[Consumo]] &lt;&gt; 0), tabItens[[#This Row],[Pend]] / tabItens[[#This Row],[Consumo]], 0 )</f>
        <v>3.9478201167181598E-3</v>
      </c>
      <c r="BI43" s="338"/>
      <c r="BJ43" s="407"/>
      <c r="BK43" s="408" t="s">
        <v>2086</v>
      </c>
    </row>
    <row r="44" spans="1:63" x14ac:dyDescent="0.3">
      <c r="A44" s="375">
        <v>39378</v>
      </c>
      <c r="B44" s="376" t="s">
        <v>1272</v>
      </c>
      <c r="C44" s="377" t="s">
        <v>263</v>
      </c>
      <c r="D44" s="378">
        <v>1.99</v>
      </c>
      <c r="E44" s="305"/>
      <c r="F44" s="379"/>
      <c r="G44" s="379" t="s">
        <v>889</v>
      </c>
      <c r="H44" s="380">
        <v>3962</v>
      </c>
      <c r="I44" s="307">
        <v>103003</v>
      </c>
      <c r="J44" s="308">
        <v>1.99</v>
      </c>
      <c r="K44" s="381"/>
      <c r="L44" s="382">
        <f>IF(tabItens[[#This Row],[Média]] &gt; 0, tabItens[[#This Row],[QTDE ATUAL]] / tabItens[[#This Row],[Média]],999.9)</f>
        <v>999.9</v>
      </c>
      <c r="M44" s="383">
        <v>0</v>
      </c>
      <c r="N44" s="384">
        <f>tabItens[[#This Row],[VALOR UNIT.]] * tabItens[[#This Row],[LC]]</f>
        <v>0</v>
      </c>
      <c r="O44" s="385" t="s">
        <v>2142</v>
      </c>
      <c r="P44" s="386"/>
      <c r="Q44" s="387"/>
      <c r="R44" s="312"/>
      <c r="S44" s="388"/>
      <c r="T44" s="389">
        <f>ROUNDDOWN(IFERROR(tabItens[[#This Row],[ATA DT.VALID.]] - $D$1,0) / 30,0)</f>
        <v>-1474</v>
      </c>
      <c r="U44" s="302" t="s">
        <v>1032</v>
      </c>
      <c r="V44" s="318">
        <v>1</v>
      </c>
      <c r="W44" s="390" t="s">
        <v>2071</v>
      </c>
      <c r="X44" s="391">
        <v>67</v>
      </c>
      <c r="Y44" s="392">
        <v>1</v>
      </c>
      <c r="Z44" s="393"/>
      <c r="AA44" s="394"/>
      <c r="AB44" s="395"/>
      <c r="AC44" s="395"/>
      <c r="AD44" s="394"/>
      <c r="AE44" s="395"/>
      <c r="AF44" s="317"/>
      <c r="AG44" s="396" t="s">
        <v>2072</v>
      </c>
      <c r="AH44" s="397"/>
      <c r="AI44" s="317">
        <v>0</v>
      </c>
      <c r="AJ44" s="397">
        <v>44600</v>
      </c>
      <c r="AK44" s="326" t="s">
        <v>889</v>
      </c>
      <c r="AL44" s="326">
        <v>44823</v>
      </c>
      <c r="AM44" s="316"/>
      <c r="AN44" s="305"/>
      <c r="AO44" s="327" t="str">
        <f>_xlfn.IFNA(IF(VLOOKUP(tabItens[[#This Row],[CÓDIGO]],tabExcluirDoEstoque[#Data],1,FALSE),"sim",""),"")</f>
        <v/>
      </c>
      <c r="AP44" s="398" t="str">
        <f ca="1">IF(OR(ISBLANK(tabItens[[#This Row],[ATA DT.VALID.]]),tabItens[[#This Row],[ATA DT.VALID.]]="",tabItens[[#This Row],[ATA DT.VALID.]]=" "),"",IF(TYPE(tabItens[[#This Row],[ATA DT.VALID.]])=1,ROUNDUP((tabItens[[#This Row],[ATA DT.VALID.]]-TODAY())/7,0),""))</f>
        <v/>
      </c>
      <c r="AQ44" s="399">
        <v>0</v>
      </c>
      <c r="AR44" s="400">
        <f>IF(ISBLANK(tabItens[[#This Row],[CÓDIGO]]),"",IFERROR(VLOOKUP(tabItens[[#This Row],[CÓDIGO]],Consumo!$C$2:$AC$862,26,FALSE),0))</f>
        <v>0</v>
      </c>
      <c r="AS44" s="401">
        <f>SUMIF(Consumo!$C$3:$C$862,tabItens[[#This Row],[CÓDIGO]],Consumo!$N$3:$N$862) + SUMIF(Consumo!$C$3:$C$862,tabItens[[#This Row],[CÓDIGO]],Consumo!$O$3:$O$862) + SUMIF(Consumo!$C$3:$C$862,tabItens[[#This Row],[CÓDIGO]],Consumo!$P$3:$P$862) + SUMIF(Consumo!$C$3:$C$862,tabItens[[#This Row],[CÓDIGO]],Consumo!$Q$3:$Q$862)</f>
        <v>0</v>
      </c>
      <c r="AT44" s="401">
        <f>SUMIF(Consumo!$C$3:$C$862,tabItens[[#This Row],[CÓDIGO]],Consumo!$Z$3:$Z$862)</f>
        <v>0</v>
      </c>
      <c r="AU44" s="402">
        <f>SUMIF(Consumo!$C$3:$C$862,tabItens[[#This Row],[CÓDIGO]],Consumo!$AA$3:$AA$862)</f>
        <v>0</v>
      </c>
      <c r="AV44" s="403">
        <f>SUMIF(Consumo!$C$3:$C$862,tabItens[[#This Row],[CÓDIGO]],Consumo!$Y$3:$Y$862)</f>
        <v>0</v>
      </c>
      <c r="AW44" s="380">
        <f>tabItens[[#This Row],[QTDE ATUAL]] + tabItens[[#This Row],[RC QTDE]] + tabItens[[#This Row],[AF SALDO]] + tabItens[[#This Row],[Recentes]]</f>
        <v>3962</v>
      </c>
      <c r="AX44" s="404">
        <v>119</v>
      </c>
      <c r="AY44" s="404">
        <v>4</v>
      </c>
      <c r="AZ44" s="404">
        <f>IF(ISBLANK(tabItens[[#This Row],[CÓDIGO]]),"",tabItens[[#This Row],[PontoMês]] * (AZ$2+tabItens[[#This Row],[PontoQtM]]))</f>
        <v>476</v>
      </c>
      <c r="BA44" s="403">
        <f>tabItens[[#This Row],[PontoPed]] - tabItens[[#This Row],[Saldo]] + (1/10)</f>
        <v>-3485.9</v>
      </c>
      <c r="BB44" s="403">
        <f xml:space="preserve"> tabItens[[#This Row],[PontoMês]] * BB$2 - tabItens[[#This Row],[QTDE ATUAL]] - (1/10)</f>
        <v>-3843.1</v>
      </c>
      <c r="BC44" s="335">
        <f>IF( tabItens[[#This Row],[PontoPed]]&gt;0, IF(tabItens[[#This Row],[PontoPed]]&lt;1, 1, IF( tabItens[[#This Row],[Saldo]]&gt;tabItens[[#This Row],[PontoPed]], 0, (tabItens[[#This Row],[PontoPed]]-tabItens[[#This Row],[Saldo]])/tabItens[[#This Row],[PontoPed]] ) ), 0 )</f>
        <v>0</v>
      </c>
      <c r="BD44" s="405">
        <f>ROUNDDOWN(IF( OR( AND(tabItens[[#This Row],[PontoPed]]&lt;tabItens[[#This Row],[Saldo]],tabItens[[#This Row],[Saldo]]&gt;0), tabItens[[#This Row],[PontoPed]]=0), 99, IF(AND(tabItens[[#This Row],[Saldo]]=0,tabItens[[#This Row],[PontoPed]]&gt;0), 0, (1-tabItens[[#This Row],[PctAb]])*10 ) ),0)</f>
        <v>99</v>
      </c>
      <c r="BE44" s="406">
        <f>MAX(ROUNDDOWN( IF(tabItens[[#This Row],[Abaixo]] &gt; 0,   tabItens[[#This Row],[Abaixo]] + (tabItens[[#This Row],[PontoMês]] * IF( OR( ISBLANK(tabItens[[#This Row],[ATA Nº/ANO]]), tabItens[[#This Row],[ATA Nº/ANO]] = ""),BE$2,BE$1)),0),0),0)</f>
        <v>0</v>
      </c>
      <c r="BF4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 s="338">
        <f>SUMIF(Consumo!$C$3:$C$862,tabItens[[#This Row],[CÓDIGO]],Consumo!$E$3:$E$862)</f>
        <v>0</v>
      </c>
      <c r="BH44" s="339">
        <f>IF(AND(tabItens[[#This Row],[Pend]] &gt; 0,tabItens[[#This Row],[Consumo]] &lt;&gt; 0), tabItens[[#This Row],[Pend]] / tabItens[[#This Row],[Consumo]], 0 )</f>
        <v>0</v>
      </c>
      <c r="BI44" s="338"/>
      <c r="BJ44" s="407"/>
      <c r="BK44" s="408" t="s">
        <v>2086</v>
      </c>
    </row>
    <row r="45" spans="1:63" x14ac:dyDescent="0.3">
      <c r="A45" s="375">
        <v>11116</v>
      </c>
      <c r="B45" s="376" t="s">
        <v>933</v>
      </c>
      <c r="C45" s="377" t="s">
        <v>269</v>
      </c>
      <c r="D45" s="378">
        <v>3.79</v>
      </c>
      <c r="E45" s="305"/>
      <c r="F45" s="379"/>
      <c r="G45" s="379" t="s">
        <v>889</v>
      </c>
      <c r="H45" s="380">
        <v>1315</v>
      </c>
      <c r="I45" s="307">
        <v>103003</v>
      </c>
      <c r="J45" s="308">
        <v>3.79</v>
      </c>
      <c r="K45" s="381">
        <v>405</v>
      </c>
      <c r="L45" s="382">
        <f>IF(tabItens[[#This Row],[Média]] &gt; 0, tabItens[[#This Row],[QTDE ATUAL]] / tabItens[[#This Row],[Média]],999.9)</f>
        <v>23.658170914542726</v>
      </c>
      <c r="M45" s="383">
        <v>0</v>
      </c>
      <c r="N45" s="384">
        <f>tabItens[[#This Row],[VALOR UNIT.]] * tabItens[[#This Row],[LC]]</f>
        <v>0</v>
      </c>
      <c r="O45" s="385" t="s">
        <v>2091</v>
      </c>
      <c r="P45" s="386"/>
      <c r="Q45" s="387"/>
      <c r="R45" s="312"/>
      <c r="S45" s="388"/>
      <c r="T45" s="389">
        <f>ROUNDDOWN(IFERROR(tabItens[[#This Row],[ATA DT.VALID.]] - $D$1,0) / 30,0)</f>
        <v>-1474</v>
      </c>
      <c r="U45" s="302" t="s">
        <v>931</v>
      </c>
      <c r="V45" s="318">
        <v>1</v>
      </c>
      <c r="W45" s="390" t="s">
        <v>2073</v>
      </c>
      <c r="X45" s="391">
        <v>45</v>
      </c>
      <c r="Y45" s="392">
        <v>12</v>
      </c>
      <c r="Z45" s="393"/>
      <c r="AA45" s="394"/>
      <c r="AB45" s="395"/>
      <c r="AC45" s="395"/>
      <c r="AD45" s="394"/>
      <c r="AE45" s="395"/>
      <c r="AF45" s="317"/>
      <c r="AG45" s="396" t="s">
        <v>2072</v>
      </c>
      <c r="AH45" s="397"/>
      <c r="AI45" s="317">
        <v>222</v>
      </c>
      <c r="AJ45" s="397">
        <v>43521</v>
      </c>
      <c r="AK45" s="326" t="s">
        <v>889</v>
      </c>
      <c r="AL45" s="326">
        <v>45107</v>
      </c>
      <c r="AM45" s="316"/>
      <c r="AN45" s="305"/>
      <c r="AO45" s="327" t="str">
        <f>_xlfn.IFNA(IF(VLOOKUP(tabItens[[#This Row],[CÓDIGO]],tabExcluirDoEstoque[#Data],1,FALSE),"sim",""),"")</f>
        <v/>
      </c>
      <c r="AP45" s="398" t="str">
        <f ca="1">IF(OR(ISBLANK(tabItens[[#This Row],[ATA DT.VALID.]]),tabItens[[#This Row],[ATA DT.VALID.]]="",tabItens[[#This Row],[ATA DT.VALID.]]=" "),"",IF(TYPE(tabItens[[#This Row],[ATA DT.VALID.]])=1,ROUNDUP((tabItens[[#This Row],[ATA DT.VALID.]]-TODAY())/7,0),""))</f>
        <v/>
      </c>
      <c r="AQ45" s="399">
        <v>0</v>
      </c>
      <c r="AR45" s="400" t="str">
        <f>IF(ISBLANK(tabItens[[#This Row],[CÓDIGO]]),"",IFERROR(VLOOKUP(tabItens[[#This Row],[CÓDIGO]],Consumo!$C$2:$AC$862,26,FALSE),0))</f>
        <v>09.2023</v>
      </c>
      <c r="AS45" s="401">
        <f>SUMIF(Consumo!$C$3:$C$862,tabItens[[#This Row],[CÓDIGO]],Consumo!$N$3:$N$862) + SUMIF(Consumo!$C$3:$C$862,tabItens[[#This Row],[CÓDIGO]],Consumo!$O$3:$O$862) + SUMIF(Consumo!$C$3:$C$862,tabItens[[#This Row],[CÓDIGO]],Consumo!$P$3:$P$862) + SUMIF(Consumo!$C$3:$C$862,tabItens[[#This Row],[CÓDIGO]],Consumo!$Q$3:$Q$862)</f>
        <v>247</v>
      </c>
      <c r="AT45" s="401">
        <f>SUMIF(Consumo!$C$3:$C$862,tabItens[[#This Row],[CÓDIGO]],Consumo!$Z$3:$Z$862)</f>
        <v>667</v>
      </c>
      <c r="AU45" s="402">
        <f>SUMIF(Consumo!$C$3:$C$862,tabItens[[#This Row],[CÓDIGO]],Consumo!$AA$3:$AA$862)</f>
        <v>78</v>
      </c>
      <c r="AV45" s="403">
        <f>SUMIF(Consumo!$C$3:$C$862,tabItens[[#This Row],[CÓDIGO]],Consumo!$Y$3:$Y$862)</f>
        <v>55.583333333333336</v>
      </c>
      <c r="AW45" s="380">
        <f>tabItens[[#This Row],[QTDE ATUAL]] + tabItens[[#This Row],[RC QTDE]] + tabItens[[#This Row],[AF SALDO]] + tabItens[[#This Row],[Recentes]]</f>
        <v>1315</v>
      </c>
      <c r="AX45" s="404">
        <v>41</v>
      </c>
      <c r="AY45" s="404">
        <v>4</v>
      </c>
      <c r="AZ45" s="404">
        <f>IF(ISBLANK(tabItens[[#This Row],[CÓDIGO]]),"",tabItens[[#This Row],[PontoMês]] * (AZ$2+tabItens[[#This Row],[PontoQtM]]))</f>
        <v>164</v>
      </c>
      <c r="BA45" s="403">
        <f>tabItens[[#This Row],[PontoPed]] - tabItens[[#This Row],[Saldo]] + (1/10)</f>
        <v>-1150.9000000000001</v>
      </c>
      <c r="BB45" s="403">
        <f xml:space="preserve"> tabItens[[#This Row],[PontoMês]] * BB$2 - tabItens[[#This Row],[QTDE ATUAL]] - (1/10)</f>
        <v>-1274.0999999999999</v>
      </c>
      <c r="BC45" s="335">
        <f>IF( tabItens[[#This Row],[PontoPed]]&gt;0, IF(tabItens[[#This Row],[PontoPed]]&lt;1, 1, IF( tabItens[[#This Row],[Saldo]]&gt;tabItens[[#This Row],[PontoPed]], 0, (tabItens[[#This Row],[PontoPed]]-tabItens[[#This Row],[Saldo]])/tabItens[[#This Row],[PontoPed]] ) ), 0 )</f>
        <v>0</v>
      </c>
      <c r="BD45" s="405">
        <f>ROUNDDOWN(IF( OR( AND(tabItens[[#This Row],[PontoPed]]&lt;tabItens[[#This Row],[Saldo]],tabItens[[#This Row],[Saldo]]&gt;0), tabItens[[#This Row],[PontoPed]]=0), 99, IF(AND(tabItens[[#This Row],[Saldo]]=0,tabItens[[#This Row],[PontoPed]]&gt;0), 0, (1-tabItens[[#This Row],[PctAb]])*10 ) ),0)</f>
        <v>99</v>
      </c>
      <c r="BE45" s="406">
        <f>MAX(ROUNDDOWN( IF(tabItens[[#This Row],[Abaixo]] &gt; 0,   tabItens[[#This Row],[Abaixo]] + (tabItens[[#This Row],[PontoMês]] * IF( OR( ISBLANK(tabItens[[#This Row],[ATA Nº/ANO]]), tabItens[[#This Row],[ATA Nº/ANO]] = ""),BE$2,BE$1)),0),0),0)</f>
        <v>0</v>
      </c>
      <c r="BF4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 s="338">
        <f>SUMIF(Consumo!$C$3:$C$862,tabItens[[#This Row],[CÓDIGO]],Consumo!$E$3:$E$862)</f>
        <v>0</v>
      </c>
      <c r="BH45" s="339">
        <f>IF(AND(tabItens[[#This Row],[Pend]] &gt; 0,tabItens[[#This Row],[Consumo]] &lt;&gt; 0), tabItens[[#This Row],[Pend]] / tabItens[[#This Row],[Consumo]], 0 )</f>
        <v>0</v>
      </c>
      <c r="BI45" s="338"/>
      <c r="BJ45" s="407"/>
      <c r="BK45" s="408" t="s">
        <v>2086</v>
      </c>
    </row>
    <row r="46" spans="1:63" x14ac:dyDescent="0.3">
      <c r="A46" s="375">
        <v>140283</v>
      </c>
      <c r="B46" s="376" t="s">
        <v>2027</v>
      </c>
      <c r="C46" s="377" t="s">
        <v>31</v>
      </c>
      <c r="D46" s="378">
        <v>155</v>
      </c>
      <c r="E46" s="305"/>
      <c r="F46" s="379"/>
      <c r="G46" s="379" t="s">
        <v>889</v>
      </c>
      <c r="H46" s="380">
        <v>0</v>
      </c>
      <c r="I46" s="307">
        <v>103003</v>
      </c>
      <c r="J46" s="308">
        <v>155</v>
      </c>
      <c r="K46" s="381">
        <v>37</v>
      </c>
      <c r="L46" s="382">
        <f>IF(tabItens[[#This Row],[Média]] &gt; 0, tabItens[[#This Row],[QTDE ATUAL]] / tabItens[[#This Row],[Média]],999.9)</f>
        <v>0</v>
      </c>
      <c r="M46" s="383">
        <v>0</v>
      </c>
      <c r="N46" s="384">
        <f>tabItens[[#This Row],[VALOR UNIT.]] * tabItens[[#This Row],[LC]]</f>
        <v>0</v>
      </c>
      <c r="O46" s="385" t="s">
        <v>2091</v>
      </c>
      <c r="P46" s="386"/>
      <c r="Q46" s="387"/>
      <c r="R46" s="312"/>
      <c r="S46" s="388"/>
      <c r="T46" s="389">
        <f>ROUNDDOWN(IFERROR(tabItens[[#This Row],[ATA DT.VALID.]] - $D$1,0) / 30,0)</f>
        <v>-1474</v>
      </c>
      <c r="U46" s="302" t="s">
        <v>1446</v>
      </c>
      <c r="V46" s="318">
        <v>1</v>
      </c>
      <c r="W46" s="390" t="s">
        <v>2071</v>
      </c>
      <c r="X46" s="391">
        <v>51</v>
      </c>
      <c r="Y46" s="392">
        <v>36</v>
      </c>
      <c r="Z46" s="393"/>
      <c r="AA46" s="394"/>
      <c r="AB46" s="395"/>
      <c r="AC46" s="395"/>
      <c r="AD46" s="394"/>
      <c r="AE46" s="395"/>
      <c r="AF46" s="317"/>
      <c r="AG46" s="396" t="s">
        <v>2072</v>
      </c>
      <c r="AH46" s="397"/>
      <c r="AI46" s="317">
        <v>14</v>
      </c>
      <c r="AJ46" s="397">
        <v>45184</v>
      </c>
      <c r="AK46" s="326">
        <v>44155</v>
      </c>
      <c r="AL46" s="326">
        <v>45160</v>
      </c>
      <c r="AM46" s="316"/>
      <c r="AN46" s="305"/>
      <c r="AO46" s="327" t="str">
        <f>_xlfn.IFNA(IF(VLOOKUP(tabItens[[#This Row],[CÓDIGO]],tabExcluirDoEstoque[#Data],1,FALSE),"sim",""),"")</f>
        <v/>
      </c>
      <c r="AP46" s="398" t="str">
        <f ca="1">IF(OR(ISBLANK(tabItens[[#This Row],[ATA DT.VALID.]]),tabItens[[#This Row],[ATA DT.VALID.]]="",tabItens[[#This Row],[ATA DT.VALID.]]=" "),"",IF(TYPE(tabItens[[#This Row],[ATA DT.VALID.]])=1,ROUNDUP((tabItens[[#This Row],[ATA DT.VALID.]]-TODAY())/7,0),""))</f>
        <v/>
      </c>
      <c r="AQ46" s="399">
        <v>0</v>
      </c>
      <c r="AR46" s="400" t="str">
        <f>IF(ISBLANK(tabItens[[#This Row],[CÓDIGO]]),"",IFERROR(VLOOKUP(tabItens[[#This Row],[CÓDIGO]],Consumo!$C$2:$AC$862,26,FALSE),0))</f>
        <v>05.2023</v>
      </c>
      <c r="AS46" s="401">
        <f>SUMIF(Consumo!$C$3:$C$862,tabItens[[#This Row],[CÓDIGO]],Consumo!$N$3:$N$862) + SUMIF(Consumo!$C$3:$C$862,tabItens[[#This Row],[CÓDIGO]],Consumo!$O$3:$O$862) + SUMIF(Consumo!$C$3:$C$862,tabItens[[#This Row],[CÓDIGO]],Consumo!$P$3:$P$862) + SUMIF(Consumo!$C$3:$C$862,tabItens[[#This Row],[CÓDIGO]],Consumo!$Q$3:$Q$862)</f>
        <v>0</v>
      </c>
      <c r="AT46" s="401">
        <f>SUMIF(Consumo!$C$3:$C$862,tabItens[[#This Row],[CÓDIGO]],Consumo!$Z$3:$Z$862)</f>
        <v>39</v>
      </c>
      <c r="AU46" s="402">
        <f>SUMIF(Consumo!$C$3:$C$862,tabItens[[#This Row],[CÓDIGO]],Consumo!$AA$3:$AA$862)</f>
        <v>13</v>
      </c>
      <c r="AV46" s="403">
        <f>SUMIF(Consumo!$C$3:$C$862,tabItens[[#This Row],[CÓDIGO]],Consumo!$Y$3:$Y$862)</f>
        <v>3.1666666666666665</v>
      </c>
      <c r="AW46" s="380">
        <f>tabItens[[#This Row],[QTDE ATUAL]] + tabItens[[#This Row],[RC QTDE]] + tabItens[[#This Row],[AF SALDO]] + tabItens[[#This Row],[Recentes]]</f>
        <v>0</v>
      </c>
      <c r="AX46" s="404">
        <v>5</v>
      </c>
      <c r="AY46" s="404">
        <v>4</v>
      </c>
      <c r="AZ46" s="404">
        <f>IF(ISBLANK(tabItens[[#This Row],[CÓDIGO]]),"",tabItens[[#This Row],[PontoMês]] * (AZ$2+tabItens[[#This Row],[PontoQtM]]))</f>
        <v>20</v>
      </c>
      <c r="BA46" s="403">
        <f>tabItens[[#This Row],[PontoPed]] - tabItens[[#This Row],[Saldo]] + (1/10)</f>
        <v>20.100000000000001</v>
      </c>
      <c r="BB46" s="403">
        <f xml:space="preserve"> tabItens[[#This Row],[PontoMês]] * BB$2 - tabItens[[#This Row],[QTDE ATUAL]] - (1/10)</f>
        <v>4.9000000000000004</v>
      </c>
      <c r="BC46" s="335">
        <f>IF( tabItens[[#This Row],[PontoPed]]&gt;0, IF(tabItens[[#This Row],[PontoPed]]&lt;1, 1, IF( tabItens[[#This Row],[Saldo]]&gt;tabItens[[#This Row],[PontoPed]], 0, (tabItens[[#This Row],[PontoPed]]-tabItens[[#This Row],[Saldo]])/tabItens[[#This Row],[PontoPed]] ) ), 0 )</f>
        <v>1</v>
      </c>
      <c r="BD46" s="405">
        <f>ROUNDDOWN(IF( OR( AND(tabItens[[#This Row],[PontoPed]]&lt;tabItens[[#This Row],[Saldo]],tabItens[[#This Row],[Saldo]]&gt;0), tabItens[[#This Row],[PontoPed]]=0), 99, IF(AND(tabItens[[#This Row],[Saldo]]=0,tabItens[[#This Row],[PontoPed]]&gt;0), 0, (1-tabItens[[#This Row],[PctAb]])*10 ) ),0)</f>
        <v>0</v>
      </c>
      <c r="BE46" s="406">
        <f>MAX(ROUNDDOWN( IF(tabItens[[#This Row],[Abaixo]] &gt; 0,   tabItens[[#This Row],[Abaixo]] + (tabItens[[#This Row],[PontoMês]] * IF( OR( ISBLANK(tabItens[[#This Row],[ATA Nº/ANO]]), tabItens[[#This Row],[ATA Nº/ANO]] = ""),BE$2,BE$1)),0),0),0)</f>
        <v>35</v>
      </c>
      <c r="BF4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 s="338">
        <f>SUMIF(Consumo!$C$3:$C$862,tabItens[[#This Row],[CÓDIGO]],Consumo!$E$3:$E$862)</f>
        <v>0</v>
      </c>
      <c r="BH46" s="339">
        <f>IF(AND(tabItens[[#This Row],[Pend]] &gt; 0,tabItens[[#This Row],[Consumo]] &lt;&gt; 0), tabItens[[#This Row],[Pend]] / tabItens[[#This Row],[Consumo]], 0 )</f>
        <v>0</v>
      </c>
      <c r="BI46" s="338"/>
      <c r="BJ46" s="407"/>
      <c r="BK46" s="408" t="s">
        <v>2086</v>
      </c>
    </row>
    <row r="47" spans="1:63" x14ac:dyDescent="0.3">
      <c r="A47" s="375">
        <v>105709</v>
      </c>
      <c r="B47" s="376" t="s">
        <v>1627</v>
      </c>
      <c r="C47" s="377" t="s">
        <v>263</v>
      </c>
      <c r="D47" s="378">
        <v>25</v>
      </c>
      <c r="E47" s="305"/>
      <c r="F47" s="379"/>
      <c r="G47" s="379" t="s">
        <v>889</v>
      </c>
      <c r="H47" s="380">
        <v>12</v>
      </c>
      <c r="I47" s="307">
        <v>103003</v>
      </c>
      <c r="J47" s="308">
        <v>25</v>
      </c>
      <c r="K47" s="381"/>
      <c r="L47" s="382">
        <f>IF(tabItens[[#This Row],[Média]] &gt; 0, tabItens[[#This Row],[QTDE ATUAL]] / tabItens[[#This Row],[Média]],999.9)</f>
        <v>999.9</v>
      </c>
      <c r="M47" s="383">
        <v>0</v>
      </c>
      <c r="N47" s="384">
        <f>tabItens[[#This Row],[VALOR UNIT.]] * tabItens[[#This Row],[LC]]</f>
        <v>0</v>
      </c>
      <c r="O47" s="385" t="s">
        <v>2091</v>
      </c>
      <c r="P47" s="386"/>
      <c r="Q47" s="387"/>
      <c r="R47" s="312"/>
      <c r="S47" s="388"/>
      <c r="T47" s="389">
        <f>ROUNDDOWN(IFERROR(tabItens[[#This Row],[ATA DT.VALID.]] - $D$1,0) / 30,0)</f>
        <v>-1474</v>
      </c>
      <c r="U47" s="302" t="s">
        <v>1561</v>
      </c>
      <c r="V47" s="318">
        <v>1</v>
      </c>
      <c r="W47" s="390" t="s">
        <v>2081</v>
      </c>
      <c r="X47" s="391">
        <v>54</v>
      </c>
      <c r="Y47" s="392">
        <v>19</v>
      </c>
      <c r="Z47" s="393"/>
      <c r="AA47" s="394"/>
      <c r="AB47" s="395"/>
      <c r="AC47" s="395"/>
      <c r="AD47" s="394"/>
      <c r="AE47" s="395"/>
      <c r="AF47" s="317"/>
      <c r="AG47" s="396" t="s">
        <v>2072</v>
      </c>
      <c r="AH47" s="397"/>
      <c r="AI47" s="317">
        <v>0</v>
      </c>
      <c r="AJ47" s="397">
        <v>43698</v>
      </c>
      <c r="AK47" s="326">
        <v>39538</v>
      </c>
      <c r="AL47" s="326">
        <v>43557</v>
      </c>
      <c r="AM47" s="316"/>
      <c r="AN47" s="305"/>
      <c r="AO47" s="327" t="str">
        <f>_xlfn.IFNA(IF(VLOOKUP(tabItens[[#This Row],[CÓDIGO]],tabExcluirDoEstoque[#Data],1,FALSE),"sim",""),"")</f>
        <v/>
      </c>
      <c r="AP47" s="398" t="str">
        <f ca="1">IF(OR(ISBLANK(tabItens[[#This Row],[ATA DT.VALID.]]),tabItens[[#This Row],[ATA DT.VALID.]]="",tabItens[[#This Row],[ATA DT.VALID.]]=" "),"",IF(TYPE(tabItens[[#This Row],[ATA DT.VALID.]])=1,ROUNDUP((tabItens[[#This Row],[ATA DT.VALID.]]-TODAY())/7,0),""))</f>
        <v/>
      </c>
      <c r="AQ47" s="399">
        <v>0</v>
      </c>
      <c r="AR47" s="400">
        <f>IF(ISBLANK(tabItens[[#This Row],[CÓDIGO]]),"",IFERROR(VLOOKUP(tabItens[[#This Row],[CÓDIGO]],Consumo!$C$2:$AC$862,26,FALSE),0))</f>
        <v>0</v>
      </c>
      <c r="AS47" s="401">
        <f>SUMIF(Consumo!$C$3:$C$862,tabItens[[#This Row],[CÓDIGO]],Consumo!$N$3:$N$862) + SUMIF(Consumo!$C$3:$C$862,tabItens[[#This Row],[CÓDIGO]],Consumo!$O$3:$O$862) + SUMIF(Consumo!$C$3:$C$862,tabItens[[#This Row],[CÓDIGO]],Consumo!$P$3:$P$862) + SUMIF(Consumo!$C$3:$C$862,tabItens[[#This Row],[CÓDIGO]],Consumo!$Q$3:$Q$862)</f>
        <v>0</v>
      </c>
      <c r="AT47" s="401">
        <f>SUMIF(Consumo!$C$3:$C$862,tabItens[[#This Row],[CÓDIGO]],Consumo!$Z$3:$Z$862)</f>
        <v>0</v>
      </c>
      <c r="AU47" s="402">
        <f>SUMIF(Consumo!$C$3:$C$862,tabItens[[#This Row],[CÓDIGO]],Consumo!$AA$3:$AA$862)</f>
        <v>0</v>
      </c>
      <c r="AV47" s="403">
        <f>SUMIF(Consumo!$C$3:$C$862,tabItens[[#This Row],[CÓDIGO]],Consumo!$Y$3:$Y$862)</f>
        <v>0</v>
      </c>
      <c r="AW47" s="380">
        <f>tabItens[[#This Row],[QTDE ATUAL]] + tabItens[[#This Row],[RC QTDE]] + tabItens[[#This Row],[AF SALDO]] + tabItens[[#This Row],[Recentes]]</f>
        <v>12</v>
      </c>
      <c r="AX47" s="404">
        <v>0</v>
      </c>
      <c r="AY47" s="404">
        <v>4</v>
      </c>
      <c r="AZ47" s="404">
        <f>IF(ISBLANK(tabItens[[#This Row],[CÓDIGO]]),"",tabItens[[#This Row],[PontoMês]] * (AZ$2+tabItens[[#This Row],[PontoQtM]]))</f>
        <v>0</v>
      </c>
      <c r="BA47" s="403">
        <f>tabItens[[#This Row],[PontoPed]] - tabItens[[#This Row],[Saldo]] + (1/10)</f>
        <v>-11.9</v>
      </c>
      <c r="BB47" s="403">
        <f xml:space="preserve"> tabItens[[#This Row],[PontoMês]] * BB$2 - tabItens[[#This Row],[QTDE ATUAL]] - (1/10)</f>
        <v>-12.1</v>
      </c>
      <c r="BC47" s="335">
        <f>IF( tabItens[[#This Row],[PontoPed]]&gt;0, IF(tabItens[[#This Row],[PontoPed]]&lt;1, 1, IF( tabItens[[#This Row],[Saldo]]&gt;tabItens[[#This Row],[PontoPed]], 0, (tabItens[[#This Row],[PontoPed]]-tabItens[[#This Row],[Saldo]])/tabItens[[#This Row],[PontoPed]] ) ), 0 )</f>
        <v>0</v>
      </c>
      <c r="BD47" s="405">
        <f>ROUNDDOWN(IF( OR( AND(tabItens[[#This Row],[PontoPed]]&lt;tabItens[[#This Row],[Saldo]],tabItens[[#This Row],[Saldo]]&gt;0), tabItens[[#This Row],[PontoPed]]=0), 99, IF(AND(tabItens[[#This Row],[Saldo]]=0,tabItens[[#This Row],[PontoPed]]&gt;0), 0, (1-tabItens[[#This Row],[PctAb]])*10 ) ),0)</f>
        <v>99</v>
      </c>
      <c r="BE47" s="406">
        <f>MAX(ROUNDDOWN( IF(tabItens[[#This Row],[Abaixo]] &gt; 0,   tabItens[[#This Row],[Abaixo]] + (tabItens[[#This Row],[PontoMês]] * IF( OR( ISBLANK(tabItens[[#This Row],[ATA Nº/ANO]]), tabItens[[#This Row],[ATA Nº/ANO]] = ""),BE$2,BE$1)),0),0),0)</f>
        <v>0</v>
      </c>
      <c r="BF4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 s="338">
        <f>SUMIF(Consumo!$C$3:$C$862,tabItens[[#This Row],[CÓDIGO]],Consumo!$E$3:$E$862)</f>
        <v>0</v>
      </c>
      <c r="BH47" s="339">
        <f>IF(AND(tabItens[[#This Row],[Pend]] &gt; 0,tabItens[[#This Row],[Consumo]] &lt;&gt; 0), tabItens[[#This Row],[Pend]] / tabItens[[#This Row],[Consumo]], 0 )</f>
        <v>0</v>
      </c>
      <c r="BI47" s="338"/>
      <c r="BJ47" s="407"/>
      <c r="BK47" s="408" t="s">
        <v>2086</v>
      </c>
    </row>
    <row r="48" spans="1:63" x14ac:dyDescent="0.3">
      <c r="A48" s="375">
        <v>45607</v>
      </c>
      <c r="B48" s="376" t="s">
        <v>1288</v>
      </c>
      <c r="C48" s="377" t="s">
        <v>263</v>
      </c>
      <c r="D48" s="378">
        <v>4.4800000000000004</v>
      </c>
      <c r="E48" s="305"/>
      <c r="F48" s="379"/>
      <c r="G48" s="379" t="s">
        <v>889</v>
      </c>
      <c r="H48" s="380">
        <v>692</v>
      </c>
      <c r="I48" s="307">
        <v>103003</v>
      </c>
      <c r="J48" s="308">
        <v>4.4800000000000004</v>
      </c>
      <c r="K48" s="381">
        <v>305</v>
      </c>
      <c r="L48" s="382">
        <f>IF(tabItens[[#This Row],[Média]] &gt; 0, tabItens[[#This Row],[QTDE ATUAL]] / tabItens[[#This Row],[Média]],999.9)</f>
        <v>20.352941176470587</v>
      </c>
      <c r="M48" s="383">
        <v>0</v>
      </c>
      <c r="N48" s="384">
        <f>tabItens[[#This Row],[VALOR UNIT.]] * tabItens[[#This Row],[LC]]</f>
        <v>0</v>
      </c>
      <c r="O48" s="385" t="s">
        <v>2091</v>
      </c>
      <c r="P48" s="386"/>
      <c r="Q48" s="387"/>
      <c r="R48" s="312"/>
      <c r="S48" s="388"/>
      <c r="T48" s="389">
        <f>ROUNDDOWN(IFERROR(tabItens[[#This Row],[ATA DT.VALID.]] - $D$1,0) / 30,0)</f>
        <v>-1474</v>
      </c>
      <c r="U48" s="302" t="s">
        <v>966</v>
      </c>
      <c r="V48" s="318">
        <v>1</v>
      </c>
      <c r="W48" s="390" t="s">
        <v>2076</v>
      </c>
      <c r="X48" s="391">
        <v>61</v>
      </c>
      <c r="Y48" s="392">
        <v>8</v>
      </c>
      <c r="Z48" s="393"/>
      <c r="AA48" s="394"/>
      <c r="AB48" s="395"/>
      <c r="AC48" s="395"/>
      <c r="AD48" s="394"/>
      <c r="AE48" s="395"/>
      <c r="AF48" s="317"/>
      <c r="AG48" s="396" t="s">
        <v>2072</v>
      </c>
      <c r="AH48" s="397"/>
      <c r="AI48" s="317">
        <v>138</v>
      </c>
      <c r="AJ48" s="397">
        <v>45180</v>
      </c>
      <c r="AK48" s="326" t="s">
        <v>889</v>
      </c>
      <c r="AL48" s="326">
        <v>45145</v>
      </c>
      <c r="AM48" s="316"/>
      <c r="AN48" s="305"/>
      <c r="AO48" s="327" t="str">
        <f>_xlfn.IFNA(IF(VLOOKUP(tabItens[[#This Row],[CÓDIGO]],tabExcluirDoEstoque[#Data],1,FALSE),"sim",""),"")</f>
        <v/>
      </c>
      <c r="AP48" s="398" t="str">
        <f ca="1">IF(OR(ISBLANK(tabItens[[#This Row],[ATA DT.VALID.]]),tabItens[[#This Row],[ATA DT.VALID.]]="",tabItens[[#This Row],[ATA DT.VALID.]]=" "),"",IF(TYPE(tabItens[[#This Row],[ATA DT.VALID.]])=1,ROUNDUP((tabItens[[#This Row],[ATA DT.VALID.]]-TODAY())/7,0),""))</f>
        <v/>
      </c>
      <c r="AQ48" s="399">
        <v>0</v>
      </c>
      <c r="AR48" s="400" t="str">
        <f>IF(ISBLANK(tabItens[[#This Row],[CÓDIGO]]),"",IFERROR(VLOOKUP(tabItens[[#This Row],[CÓDIGO]],Consumo!$C$2:$AC$862,26,FALSE),0))</f>
        <v>09.2023</v>
      </c>
      <c r="AS48" s="401">
        <f>SUMIF(Consumo!$C$3:$C$862,tabItens[[#This Row],[CÓDIGO]],Consumo!$N$3:$N$862) + SUMIF(Consumo!$C$3:$C$862,tabItens[[#This Row],[CÓDIGO]],Consumo!$O$3:$O$862) + SUMIF(Consumo!$C$3:$C$862,tabItens[[#This Row],[CÓDIGO]],Consumo!$P$3:$P$862) + SUMIF(Consumo!$C$3:$C$862,tabItens[[#This Row],[CÓDIGO]],Consumo!$Q$3:$Q$862)</f>
        <v>90</v>
      </c>
      <c r="AT48" s="401">
        <f>SUMIF(Consumo!$C$3:$C$862,tabItens[[#This Row],[CÓDIGO]],Consumo!$Z$3:$Z$862)</f>
        <v>415</v>
      </c>
      <c r="AU48" s="402">
        <f>SUMIF(Consumo!$C$3:$C$862,tabItens[[#This Row],[CÓDIGO]],Consumo!$AA$3:$AA$862)</f>
        <v>89</v>
      </c>
      <c r="AV48" s="403">
        <f>SUMIF(Consumo!$C$3:$C$862,tabItens[[#This Row],[CÓDIGO]],Consumo!$Y$3:$Y$862)</f>
        <v>34</v>
      </c>
      <c r="AW48" s="380">
        <f>tabItens[[#This Row],[QTDE ATUAL]] + tabItens[[#This Row],[RC QTDE]] + tabItens[[#This Row],[AF SALDO]] + tabItens[[#This Row],[Recentes]]</f>
        <v>692</v>
      </c>
      <c r="AX48" s="404">
        <v>57</v>
      </c>
      <c r="AY48" s="404">
        <v>4</v>
      </c>
      <c r="AZ48" s="404">
        <f>IF(ISBLANK(tabItens[[#This Row],[CÓDIGO]]),"",tabItens[[#This Row],[PontoMês]] * (AZ$2+tabItens[[#This Row],[PontoQtM]]))</f>
        <v>228</v>
      </c>
      <c r="BA48" s="403">
        <f>tabItens[[#This Row],[PontoPed]] - tabItens[[#This Row],[Saldo]] + (1/10)</f>
        <v>-463.9</v>
      </c>
      <c r="BB48" s="403">
        <f xml:space="preserve"> tabItens[[#This Row],[PontoMês]] * BB$2 - tabItens[[#This Row],[QTDE ATUAL]] - (1/10)</f>
        <v>-635.1</v>
      </c>
      <c r="BC48" s="335">
        <f>IF( tabItens[[#This Row],[PontoPed]]&gt;0, IF(tabItens[[#This Row],[PontoPed]]&lt;1, 1, IF( tabItens[[#This Row],[Saldo]]&gt;tabItens[[#This Row],[PontoPed]], 0, (tabItens[[#This Row],[PontoPed]]-tabItens[[#This Row],[Saldo]])/tabItens[[#This Row],[PontoPed]] ) ), 0 )</f>
        <v>0</v>
      </c>
      <c r="BD48" s="405">
        <f>ROUNDDOWN(IF( OR( AND(tabItens[[#This Row],[PontoPed]]&lt;tabItens[[#This Row],[Saldo]],tabItens[[#This Row],[Saldo]]&gt;0), tabItens[[#This Row],[PontoPed]]=0), 99, IF(AND(tabItens[[#This Row],[Saldo]]=0,tabItens[[#This Row],[PontoPed]]&gt;0), 0, (1-tabItens[[#This Row],[PctAb]])*10 ) ),0)</f>
        <v>99</v>
      </c>
      <c r="BE48" s="406">
        <f>MAX(ROUNDDOWN( IF(tabItens[[#This Row],[Abaixo]] &gt; 0,   tabItens[[#This Row],[Abaixo]] + (tabItens[[#This Row],[PontoMês]] * IF( OR( ISBLANK(tabItens[[#This Row],[ATA Nº/ANO]]), tabItens[[#This Row],[ATA Nº/ANO]] = ""),BE$2,BE$1)),0),0),0)</f>
        <v>0</v>
      </c>
      <c r="BF4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 s="338">
        <f>SUMIF(Consumo!$C$3:$C$862,tabItens[[#This Row],[CÓDIGO]],Consumo!$E$3:$E$862)</f>
        <v>0</v>
      </c>
      <c r="BH48" s="339">
        <f>IF(AND(tabItens[[#This Row],[Pend]] &gt; 0,tabItens[[#This Row],[Consumo]] &lt;&gt; 0), tabItens[[#This Row],[Pend]] / tabItens[[#This Row],[Consumo]], 0 )</f>
        <v>0</v>
      </c>
      <c r="BI48" s="338"/>
      <c r="BJ48" s="407"/>
      <c r="BK48" s="408" t="s">
        <v>2086</v>
      </c>
    </row>
    <row r="49" spans="1:63" x14ac:dyDescent="0.3">
      <c r="A49" s="375">
        <v>131138</v>
      </c>
      <c r="B49" s="376" t="s">
        <v>1815</v>
      </c>
      <c r="C49" s="377" t="s">
        <v>269</v>
      </c>
      <c r="D49" s="378">
        <v>133.46</v>
      </c>
      <c r="E49" s="305"/>
      <c r="F49" s="379"/>
      <c r="G49" s="379" t="s">
        <v>889</v>
      </c>
      <c r="H49" s="380">
        <v>396</v>
      </c>
      <c r="I49" s="307">
        <v>103003</v>
      </c>
      <c r="J49" s="308">
        <v>133.46</v>
      </c>
      <c r="K49" s="381">
        <v>5</v>
      </c>
      <c r="L49" s="382">
        <f>IF(tabItens[[#This Row],[Média]] &gt; 0, tabItens[[#This Row],[QTDE ATUAL]] / tabItens[[#This Row],[Média]],999.9)</f>
        <v>1188</v>
      </c>
      <c r="M49" s="383">
        <v>0</v>
      </c>
      <c r="N49" s="384">
        <f>tabItens[[#This Row],[VALOR UNIT.]] * tabItens[[#This Row],[LC]]</f>
        <v>0</v>
      </c>
      <c r="O49" s="385" t="s">
        <v>2091</v>
      </c>
      <c r="P49" s="386"/>
      <c r="Q49" s="387"/>
      <c r="R49" s="312"/>
      <c r="S49" s="388"/>
      <c r="T49" s="389">
        <f>ROUNDDOWN(IFERROR(tabItens[[#This Row],[ATA DT.VALID.]] - $D$1,0) / 30,0)</f>
        <v>-1474</v>
      </c>
      <c r="U49" s="302" t="s">
        <v>1453</v>
      </c>
      <c r="V49" s="318">
        <v>1</v>
      </c>
      <c r="W49" s="390" t="s">
        <v>2078</v>
      </c>
      <c r="X49" s="391">
        <v>67</v>
      </c>
      <c r="Y49" s="392">
        <v>16</v>
      </c>
      <c r="Z49" s="393"/>
      <c r="AA49" s="394"/>
      <c r="AB49" s="395"/>
      <c r="AC49" s="395"/>
      <c r="AD49" s="394"/>
      <c r="AE49" s="395"/>
      <c r="AF49" s="317"/>
      <c r="AG49" s="396" t="s">
        <v>2072</v>
      </c>
      <c r="AH49" s="397"/>
      <c r="AI49" s="317">
        <v>2</v>
      </c>
      <c r="AJ49" s="397">
        <v>44186</v>
      </c>
      <c r="AK49" s="326">
        <v>42342</v>
      </c>
      <c r="AL49" s="326">
        <v>44176</v>
      </c>
      <c r="AM49" s="316"/>
      <c r="AN49" s="305"/>
      <c r="AO49" s="327" t="str">
        <f>_xlfn.IFNA(IF(VLOOKUP(tabItens[[#This Row],[CÓDIGO]],tabExcluirDoEstoque[#Data],1,FALSE),"sim",""),"")</f>
        <v/>
      </c>
      <c r="AP49" s="398" t="str">
        <f ca="1">IF(OR(ISBLANK(tabItens[[#This Row],[ATA DT.VALID.]]),tabItens[[#This Row],[ATA DT.VALID.]]="",tabItens[[#This Row],[ATA DT.VALID.]]=" "),"",IF(TYPE(tabItens[[#This Row],[ATA DT.VALID.]])=1,ROUNDUP((tabItens[[#This Row],[ATA DT.VALID.]]-TODAY())/7,0),""))</f>
        <v/>
      </c>
      <c r="AQ49" s="399">
        <v>0</v>
      </c>
      <c r="AR49" s="400" t="str">
        <f>IF(ISBLANK(tabItens[[#This Row],[CÓDIGO]]),"",IFERROR(VLOOKUP(tabItens[[#This Row],[CÓDIGO]],Consumo!$C$2:$AC$862,26,FALSE),0))</f>
        <v>02.2023</v>
      </c>
      <c r="AS49" s="401">
        <f>SUMIF(Consumo!$C$3:$C$862,tabItens[[#This Row],[CÓDIGO]],Consumo!$N$3:$N$862) + SUMIF(Consumo!$C$3:$C$862,tabItens[[#This Row],[CÓDIGO]],Consumo!$O$3:$O$862) + SUMIF(Consumo!$C$3:$C$862,tabItens[[#This Row],[CÓDIGO]],Consumo!$P$3:$P$862) + SUMIF(Consumo!$C$3:$C$862,tabItens[[#This Row],[CÓDIGO]],Consumo!$Q$3:$Q$862)</f>
        <v>0</v>
      </c>
      <c r="AT49" s="401">
        <f>SUMIF(Consumo!$C$3:$C$862,tabItens[[#This Row],[CÓDIGO]],Consumo!$Z$3:$Z$862)</f>
        <v>5</v>
      </c>
      <c r="AU49" s="402">
        <f>SUMIF(Consumo!$C$3:$C$862,tabItens[[#This Row],[CÓDIGO]],Consumo!$AA$3:$AA$862)</f>
        <v>3</v>
      </c>
      <c r="AV49" s="403">
        <f>SUMIF(Consumo!$C$3:$C$862,tabItens[[#This Row],[CÓDIGO]],Consumo!$Y$3:$Y$862)</f>
        <v>0.33333333333333331</v>
      </c>
      <c r="AW49" s="380">
        <f>tabItens[[#This Row],[QTDE ATUAL]] + tabItens[[#This Row],[RC QTDE]] + tabItens[[#This Row],[AF SALDO]] + tabItens[[#This Row],[Recentes]]</f>
        <v>396</v>
      </c>
      <c r="AX49" s="404">
        <v>0</v>
      </c>
      <c r="AY49" s="404">
        <v>4</v>
      </c>
      <c r="AZ49" s="404">
        <f>IF(ISBLANK(tabItens[[#This Row],[CÓDIGO]]),"",tabItens[[#This Row],[PontoMês]] * (AZ$2+tabItens[[#This Row],[PontoQtM]]))</f>
        <v>0</v>
      </c>
      <c r="BA49" s="403">
        <f>tabItens[[#This Row],[PontoPed]] - tabItens[[#This Row],[Saldo]] + (1/10)</f>
        <v>-395.9</v>
      </c>
      <c r="BB49" s="403">
        <f xml:space="preserve"> tabItens[[#This Row],[PontoMês]] * BB$2 - tabItens[[#This Row],[QTDE ATUAL]] - (1/10)</f>
        <v>-396.1</v>
      </c>
      <c r="BC49" s="335">
        <f>IF( tabItens[[#This Row],[PontoPed]]&gt;0, IF(tabItens[[#This Row],[PontoPed]]&lt;1, 1, IF( tabItens[[#This Row],[Saldo]]&gt;tabItens[[#This Row],[PontoPed]], 0, (tabItens[[#This Row],[PontoPed]]-tabItens[[#This Row],[Saldo]])/tabItens[[#This Row],[PontoPed]] ) ), 0 )</f>
        <v>0</v>
      </c>
      <c r="BD49" s="405">
        <f>ROUNDDOWN(IF( OR( AND(tabItens[[#This Row],[PontoPed]]&lt;tabItens[[#This Row],[Saldo]],tabItens[[#This Row],[Saldo]]&gt;0), tabItens[[#This Row],[PontoPed]]=0), 99, IF(AND(tabItens[[#This Row],[Saldo]]=0,tabItens[[#This Row],[PontoPed]]&gt;0), 0, (1-tabItens[[#This Row],[PctAb]])*10 ) ),0)</f>
        <v>99</v>
      </c>
      <c r="BE49" s="406">
        <f>MAX(ROUNDDOWN( IF(tabItens[[#This Row],[Abaixo]] &gt; 0,   tabItens[[#This Row],[Abaixo]] + (tabItens[[#This Row],[PontoMês]] * IF( OR( ISBLANK(tabItens[[#This Row],[ATA Nº/ANO]]), tabItens[[#This Row],[ATA Nº/ANO]] = ""),BE$2,BE$1)),0),0),0)</f>
        <v>0</v>
      </c>
      <c r="BF4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 s="338">
        <f>SUMIF(Consumo!$C$3:$C$862,tabItens[[#This Row],[CÓDIGO]],Consumo!$E$3:$E$862)</f>
        <v>0</v>
      </c>
      <c r="BH49" s="339">
        <f>IF(AND(tabItens[[#This Row],[Pend]] &gt; 0,tabItens[[#This Row],[Consumo]] &lt;&gt; 0), tabItens[[#This Row],[Pend]] / tabItens[[#This Row],[Consumo]], 0 )</f>
        <v>0</v>
      </c>
      <c r="BI49" s="338"/>
      <c r="BJ49" s="407"/>
      <c r="BK49" s="408" t="s">
        <v>2086</v>
      </c>
    </row>
    <row r="50" spans="1:63" x14ac:dyDescent="0.3">
      <c r="A50" s="375">
        <v>138352</v>
      </c>
      <c r="B50" s="376" t="s">
        <v>1962</v>
      </c>
      <c r="C50" s="377" t="s">
        <v>653</v>
      </c>
      <c r="D50" s="378">
        <v>9.98</v>
      </c>
      <c r="E50" s="305"/>
      <c r="F50" s="379"/>
      <c r="G50" s="379" t="s">
        <v>889</v>
      </c>
      <c r="H50" s="380">
        <v>81</v>
      </c>
      <c r="I50" s="307">
        <v>103003</v>
      </c>
      <c r="J50" s="308">
        <v>9.98</v>
      </c>
      <c r="K50" s="381">
        <v>94</v>
      </c>
      <c r="L50" s="382">
        <f>IF(tabItens[[#This Row],[Média]] &gt; 0, tabItens[[#This Row],[QTDE ATUAL]] / tabItens[[#This Row],[Média]],999.9)</f>
        <v>7.0948905109489058</v>
      </c>
      <c r="M50" s="383">
        <v>0</v>
      </c>
      <c r="N50" s="384">
        <f>tabItens[[#This Row],[VALOR UNIT.]] * tabItens[[#This Row],[LC]]</f>
        <v>0</v>
      </c>
      <c r="O50" s="385" t="s">
        <v>2091</v>
      </c>
      <c r="P50" s="386"/>
      <c r="Q50" s="387"/>
      <c r="R50" s="312"/>
      <c r="S50" s="388"/>
      <c r="T50" s="389">
        <f>ROUNDDOWN(IFERROR(tabItens[[#This Row],[ATA DT.VALID.]] - $D$1,0) / 30,0)</f>
        <v>-1474</v>
      </c>
      <c r="U50" s="302" t="s">
        <v>1534</v>
      </c>
      <c r="V50" s="318">
        <v>1</v>
      </c>
      <c r="W50" s="390" t="s">
        <v>2073</v>
      </c>
      <c r="X50" s="391">
        <v>72</v>
      </c>
      <c r="Y50" s="392">
        <v>9</v>
      </c>
      <c r="Z50" s="393"/>
      <c r="AA50" s="394"/>
      <c r="AB50" s="395"/>
      <c r="AC50" s="395"/>
      <c r="AD50" s="394"/>
      <c r="AE50" s="395"/>
      <c r="AF50" s="317"/>
      <c r="AG50" s="396" t="s">
        <v>2072</v>
      </c>
      <c r="AH50" s="397"/>
      <c r="AI50" s="317">
        <v>46</v>
      </c>
      <c r="AJ50" s="397">
        <v>45180</v>
      </c>
      <c r="AK50" s="326">
        <v>43696</v>
      </c>
      <c r="AL50" s="326">
        <v>45173</v>
      </c>
      <c r="AM50" s="316"/>
      <c r="AN50" s="305"/>
      <c r="AO50" s="327" t="str">
        <f>_xlfn.IFNA(IF(VLOOKUP(tabItens[[#This Row],[CÓDIGO]],tabExcluirDoEstoque[#Data],1,FALSE),"sim",""),"")</f>
        <v/>
      </c>
      <c r="AP50" s="398" t="str">
        <f ca="1">IF(OR(ISBLANK(tabItens[[#This Row],[ATA DT.VALID.]]),tabItens[[#This Row],[ATA DT.VALID.]]="",tabItens[[#This Row],[ATA DT.VALID.]]=" "),"",IF(TYPE(tabItens[[#This Row],[ATA DT.VALID.]])=1,ROUNDUP((tabItens[[#This Row],[ATA DT.VALID.]]-TODAY())/7,0),""))</f>
        <v/>
      </c>
      <c r="AQ50" s="399">
        <v>0</v>
      </c>
      <c r="AR50" s="400" t="str">
        <f>IF(ISBLANK(tabItens[[#This Row],[CÓDIGO]]),"",IFERROR(VLOOKUP(tabItens[[#This Row],[CÓDIGO]],Consumo!$C$2:$AC$862,26,FALSE),0))</f>
        <v>09.2023</v>
      </c>
      <c r="AS50" s="401">
        <f>SUMIF(Consumo!$C$3:$C$862,tabItens[[#This Row],[CÓDIGO]],Consumo!$N$3:$N$862) + SUMIF(Consumo!$C$3:$C$862,tabItens[[#This Row],[CÓDIGO]],Consumo!$O$3:$O$862) + SUMIF(Consumo!$C$3:$C$862,tabItens[[#This Row],[CÓDIGO]],Consumo!$P$3:$P$862) + SUMIF(Consumo!$C$3:$C$862,tabItens[[#This Row],[CÓDIGO]],Consumo!$Q$3:$Q$862)</f>
        <v>52</v>
      </c>
      <c r="AT50" s="401">
        <f>SUMIF(Consumo!$C$3:$C$862,tabItens[[#This Row],[CÓDIGO]],Consumo!$Z$3:$Z$862)</f>
        <v>137</v>
      </c>
      <c r="AU50" s="402">
        <f>SUMIF(Consumo!$C$3:$C$862,tabItens[[#This Row],[CÓDIGO]],Consumo!$AA$3:$AA$862)</f>
        <v>21</v>
      </c>
      <c r="AV50" s="403">
        <f>SUMIF(Consumo!$C$3:$C$862,tabItens[[#This Row],[CÓDIGO]],Consumo!$Y$3:$Y$862)</f>
        <v>11.416666666666666</v>
      </c>
      <c r="AW50" s="380">
        <f>tabItens[[#This Row],[QTDE ATUAL]] + tabItens[[#This Row],[RC QTDE]] + tabItens[[#This Row],[AF SALDO]] + tabItens[[#This Row],[Recentes]]</f>
        <v>81</v>
      </c>
      <c r="AX50" s="404">
        <v>23</v>
      </c>
      <c r="AY50" s="404">
        <v>4</v>
      </c>
      <c r="AZ50" s="404">
        <f>IF(ISBLANK(tabItens[[#This Row],[CÓDIGO]]),"",tabItens[[#This Row],[PontoMês]] * (AZ$2+tabItens[[#This Row],[PontoQtM]]))</f>
        <v>92</v>
      </c>
      <c r="BA50" s="403">
        <f>tabItens[[#This Row],[PontoPed]] - tabItens[[#This Row],[Saldo]] + (1/10)</f>
        <v>11.1</v>
      </c>
      <c r="BB50" s="403">
        <f xml:space="preserve"> tabItens[[#This Row],[PontoMês]] * BB$2 - tabItens[[#This Row],[QTDE ATUAL]] - (1/10)</f>
        <v>-58.1</v>
      </c>
      <c r="BC50" s="335">
        <f>IF( tabItens[[#This Row],[PontoPed]]&gt;0, IF(tabItens[[#This Row],[PontoPed]]&lt;1, 1, IF( tabItens[[#This Row],[Saldo]]&gt;tabItens[[#This Row],[PontoPed]], 0, (tabItens[[#This Row],[PontoPed]]-tabItens[[#This Row],[Saldo]])/tabItens[[#This Row],[PontoPed]] ) ), 0 )</f>
        <v>0.11956521739130435</v>
      </c>
      <c r="BD50" s="405">
        <f>ROUNDDOWN(IF( OR( AND(tabItens[[#This Row],[PontoPed]]&lt;tabItens[[#This Row],[Saldo]],tabItens[[#This Row],[Saldo]]&gt;0), tabItens[[#This Row],[PontoPed]]=0), 99, IF(AND(tabItens[[#This Row],[Saldo]]=0,tabItens[[#This Row],[PontoPed]]&gt;0), 0, (1-tabItens[[#This Row],[PctAb]])*10 ) ),0)</f>
        <v>8</v>
      </c>
      <c r="BE50" s="406">
        <f>MAX(ROUNDDOWN( IF(tabItens[[#This Row],[Abaixo]] &gt; 0,   tabItens[[#This Row],[Abaixo]] + (tabItens[[#This Row],[PontoMês]] * IF( OR( ISBLANK(tabItens[[#This Row],[ATA Nº/ANO]]), tabItens[[#This Row],[ATA Nº/ANO]] = ""),BE$2,BE$1)),0),0),0)</f>
        <v>80</v>
      </c>
      <c r="BF5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 s="338">
        <f>SUMIF(Consumo!$C$3:$C$862,tabItens[[#This Row],[CÓDIGO]],Consumo!$E$3:$E$862)</f>
        <v>0</v>
      </c>
      <c r="BH50" s="339">
        <f>IF(AND(tabItens[[#This Row],[Pend]] &gt; 0,tabItens[[#This Row],[Consumo]] &lt;&gt; 0), tabItens[[#This Row],[Pend]] / tabItens[[#This Row],[Consumo]], 0 )</f>
        <v>0</v>
      </c>
      <c r="BI50" s="338"/>
      <c r="BJ50" s="407"/>
      <c r="BK50" s="408" t="s">
        <v>2086</v>
      </c>
    </row>
    <row r="51" spans="1:63" x14ac:dyDescent="0.3">
      <c r="A51" s="375">
        <v>136881</v>
      </c>
      <c r="B51" s="376" t="s">
        <v>1950</v>
      </c>
      <c r="C51" s="377" t="s">
        <v>269</v>
      </c>
      <c r="D51" s="378">
        <v>43.38</v>
      </c>
      <c r="E51" s="305"/>
      <c r="F51" s="379"/>
      <c r="G51" s="379" t="s">
        <v>889</v>
      </c>
      <c r="H51" s="380">
        <v>0</v>
      </c>
      <c r="I51" s="307">
        <v>103003</v>
      </c>
      <c r="J51" s="308">
        <v>43.38</v>
      </c>
      <c r="K51" s="381">
        <v>163</v>
      </c>
      <c r="L51" s="382">
        <f>IF(tabItens[[#This Row],[Média]] &gt; 0, tabItens[[#This Row],[QTDE ATUAL]] / tabItens[[#This Row],[Média]],999.9)</f>
        <v>0</v>
      </c>
      <c r="M51" s="383">
        <v>0</v>
      </c>
      <c r="N51" s="384">
        <f>tabItens[[#This Row],[VALOR UNIT.]] * tabItens[[#This Row],[LC]]</f>
        <v>0</v>
      </c>
      <c r="O51" s="385" t="s">
        <v>2207</v>
      </c>
      <c r="P51" s="386"/>
      <c r="Q51" s="387"/>
      <c r="R51" s="312"/>
      <c r="S51" s="388"/>
      <c r="T51" s="389">
        <f>ROUNDDOWN(IFERROR(tabItens[[#This Row],[ATA DT.VALID.]] - $D$1,0) / 30,0)</f>
        <v>-1474</v>
      </c>
      <c r="U51" s="302" t="s">
        <v>1492</v>
      </c>
      <c r="V51" s="318">
        <v>1</v>
      </c>
      <c r="W51" s="390" t="s">
        <v>2081</v>
      </c>
      <c r="X51" s="391">
        <v>54</v>
      </c>
      <c r="Y51" s="392">
        <v>4</v>
      </c>
      <c r="Z51" s="393">
        <v>2813</v>
      </c>
      <c r="AA51" s="394">
        <v>2023</v>
      </c>
      <c r="AB51" s="395">
        <v>200</v>
      </c>
      <c r="AC51" s="395"/>
      <c r="AD51" s="394"/>
      <c r="AE51" s="395"/>
      <c r="AF51" s="317"/>
      <c r="AG51" s="396" t="s">
        <v>2072</v>
      </c>
      <c r="AH51" s="397"/>
      <c r="AI51" s="317">
        <v>82</v>
      </c>
      <c r="AJ51" s="397">
        <v>44538</v>
      </c>
      <c r="AK51" s="326">
        <v>43580</v>
      </c>
      <c r="AL51" s="326">
        <v>44519</v>
      </c>
      <c r="AM51" s="316"/>
      <c r="AN51" s="305"/>
      <c r="AO51" s="327" t="str">
        <f>_xlfn.IFNA(IF(VLOOKUP(tabItens[[#This Row],[CÓDIGO]],tabExcluirDoEstoque[#Data],1,FALSE),"sim",""),"")</f>
        <v/>
      </c>
      <c r="AP51" s="398" t="str">
        <f ca="1">IF(OR(ISBLANK(tabItens[[#This Row],[ATA DT.VALID.]]),tabItens[[#This Row],[ATA DT.VALID.]]="",tabItens[[#This Row],[ATA DT.VALID.]]=" "),"",IF(TYPE(tabItens[[#This Row],[ATA DT.VALID.]])=1,ROUNDUP((tabItens[[#This Row],[ATA DT.VALID.]]-TODAY())/7,0),""))</f>
        <v/>
      </c>
      <c r="AQ51" s="399">
        <v>0</v>
      </c>
      <c r="AR51" s="400" t="str">
        <f>IF(ISBLANK(tabItens[[#This Row],[CÓDIGO]]),"",IFERROR(VLOOKUP(tabItens[[#This Row],[CÓDIGO]],Consumo!$C$2:$AC$862,26,FALSE),0))</f>
        <v>09.2023</v>
      </c>
      <c r="AS51" s="401">
        <f>SUMIF(Consumo!$C$3:$C$862,tabItens[[#This Row],[CÓDIGO]],Consumo!$N$3:$N$862) + SUMIF(Consumo!$C$3:$C$862,tabItens[[#This Row],[CÓDIGO]],Consumo!$O$3:$O$862) + SUMIF(Consumo!$C$3:$C$862,tabItens[[#This Row],[CÓDIGO]],Consumo!$P$3:$P$862) + SUMIF(Consumo!$C$3:$C$862,tabItens[[#This Row],[CÓDIGO]],Consumo!$Q$3:$Q$862)</f>
        <v>75</v>
      </c>
      <c r="AT51" s="401">
        <f>SUMIF(Consumo!$C$3:$C$862,tabItens[[#This Row],[CÓDIGO]],Consumo!$Z$3:$Z$862)</f>
        <v>264</v>
      </c>
      <c r="AU51" s="402">
        <f>SUMIF(Consumo!$C$3:$C$862,tabItens[[#This Row],[CÓDIGO]],Consumo!$AA$3:$AA$862)</f>
        <v>35</v>
      </c>
      <c r="AV51" s="403">
        <f>SUMIF(Consumo!$C$3:$C$862,tabItens[[#This Row],[CÓDIGO]],Consumo!$Y$3:$Y$862)</f>
        <v>22</v>
      </c>
      <c r="AW51" s="380">
        <f>tabItens[[#This Row],[QTDE ATUAL]] + tabItens[[#This Row],[RC QTDE]] + tabItens[[#This Row],[AF SALDO]] + tabItens[[#This Row],[Recentes]]</f>
        <v>200</v>
      </c>
      <c r="AX51" s="404">
        <v>0</v>
      </c>
      <c r="AY51" s="404">
        <v>4</v>
      </c>
      <c r="AZ51" s="404">
        <f>IF(ISBLANK(tabItens[[#This Row],[CÓDIGO]]),"",tabItens[[#This Row],[PontoMês]] * (AZ$2+tabItens[[#This Row],[PontoQtM]]))</f>
        <v>0</v>
      </c>
      <c r="BA51" s="403">
        <f>tabItens[[#This Row],[PontoPed]] - tabItens[[#This Row],[Saldo]] + (1/10)</f>
        <v>-199.9</v>
      </c>
      <c r="BB51" s="403">
        <f xml:space="preserve"> tabItens[[#This Row],[PontoMês]] * BB$2 - tabItens[[#This Row],[QTDE ATUAL]] - (1/10)</f>
        <v>-0.1</v>
      </c>
      <c r="BC51" s="335">
        <f>IF( tabItens[[#This Row],[PontoPed]]&gt;0, IF(tabItens[[#This Row],[PontoPed]]&lt;1, 1, IF( tabItens[[#This Row],[Saldo]]&gt;tabItens[[#This Row],[PontoPed]], 0, (tabItens[[#This Row],[PontoPed]]-tabItens[[#This Row],[Saldo]])/tabItens[[#This Row],[PontoPed]] ) ), 0 )</f>
        <v>0</v>
      </c>
      <c r="BD51" s="405">
        <f>ROUNDDOWN(IF( OR( AND(tabItens[[#This Row],[PontoPed]]&lt;tabItens[[#This Row],[Saldo]],tabItens[[#This Row],[Saldo]]&gt;0), tabItens[[#This Row],[PontoPed]]=0), 99, IF(AND(tabItens[[#This Row],[Saldo]]=0,tabItens[[#This Row],[PontoPed]]&gt;0), 0, (1-tabItens[[#This Row],[PctAb]])*10 ) ),0)</f>
        <v>99</v>
      </c>
      <c r="BE51" s="406">
        <f>MAX(ROUNDDOWN( IF(tabItens[[#This Row],[Abaixo]] &gt; 0,   tabItens[[#This Row],[Abaixo]] + (tabItens[[#This Row],[PontoMês]] * IF( OR( ISBLANK(tabItens[[#This Row],[ATA Nº/ANO]]), tabItens[[#This Row],[ATA Nº/ANO]] = ""),BE$2,BE$1)),0),0),0)</f>
        <v>0</v>
      </c>
      <c r="BF5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 s="338">
        <f>SUMIF(Consumo!$C$3:$C$862,tabItens[[#This Row],[CÓDIGO]],Consumo!$E$3:$E$862)</f>
        <v>20</v>
      </c>
      <c r="BH51" s="339">
        <f>IF(AND(tabItens[[#This Row],[Pend]] &gt; 0,tabItens[[#This Row],[Consumo]] &lt;&gt; 0), tabItens[[#This Row],[Pend]] / tabItens[[#This Row],[Consumo]], 0 )</f>
        <v>7.575757575757576E-2</v>
      </c>
      <c r="BI51" s="338"/>
      <c r="BJ51" s="407"/>
      <c r="BK51" s="408" t="s">
        <v>2086</v>
      </c>
    </row>
    <row r="52" spans="1:63" x14ac:dyDescent="0.3">
      <c r="A52" s="375">
        <v>106544</v>
      </c>
      <c r="B52" s="376" t="s">
        <v>1639</v>
      </c>
      <c r="C52" s="377" t="s">
        <v>263</v>
      </c>
      <c r="D52" s="378">
        <v>1.3</v>
      </c>
      <c r="E52" s="305"/>
      <c r="F52" s="379"/>
      <c r="G52" s="379" t="s">
        <v>889</v>
      </c>
      <c r="H52" s="380">
        <v>2000</v>
      </c>
      <c r="I52" s="307">
        <v>103003</v>
      </c>
      <c r="J52" s="308">
        <v>1.3</v>
      </c>
      <c r="K52" s="381">
        <v>2005</v>
      </c>
      <c r="L52" s="382">
        <f>IF(tabItens[[#This Row],[Média]] &gt; 0, tabItens[[#This Row],[QTDE ATUAL]] / tabItens[[#This Row],[Média]],999.9)</f>
        <v>9.8079280751941162</v>
      </c>
      <c r="M52" s="383">
        <v>0</v>
      </c>
      <c r="N52" s="384">
        <f>tabItens[[#This Row],[VALOR UNIT.]] * tabItens[[#This Row],[LC]]</f>
        <v>0</v>
      </c>
      <c r="O52" s="385" t="s">
        <v>2174</v>
      </c>
      <c r="P52" s="386"/>
      <c r="Q52" s="387"/>
      <c r="R52" s="312"/>
      <c r="S52" s="388"/>
      <c r="T52" s="389">
        <f>ROUNDDOWN(IFERROR(tabItens[[#This Row],[ATA DT.VALID.]] - $D$1,0) / 30,0)</f>
        <v>-1474</v>
      </c>
      <c r="U52" s="302" t="s">
        <v>1018</v>
      </c>
      <c r="V52" s="318">
        <v>1</v>
      </c>
      <c r="W52" s="390" t="s">
        <v>2071</v>
      </c>
      <c r="X52" s="391">
        <v>67</v>
      </c>
      <c r="Y52" s="392">
        <v>9</v>
      </c>
      <c r="Z52" s="393"/>
      <c r="AA52" s="394"/>
      <c r="AB52" s="395"/>
      <c r="AC52" s="395"/>
      <c r="AD52" s="394"/>
      <c r="AE52" s="395"/>
      <c r="AF52" s="317"/>
      <c r="AG52" s="396" t="s">
        <v>2072</v>
      </c>
      <c r="AH52" s="397"/>
      <c r="AI52" s="317">
        <v>696</v>
      </c>
      <c r="AJ52" s="397">
        <v>45201</v>
      </c>
      <c r="AK52" s="326">
        <v>39589</v>
      </c>
      <c r="AL52" s="326">
        <v>45189</v>
      </c>
      <c r="AM52" s="316"/>
      <c r="AN52" s="305"/>
      <c r="AO52" s="327" t="str">
        <f>_xlfn.IFNA(IF(VLOOKUP(tabItens[[#This Row],[CÓDIGO]],tabExcluirDoEstoque[#Data],1,FALSE),"sim",""),"")</f>
        <v/>
      </c>
      <c r="AP52" s="398" t="str">
        <f ca="1">IF(OR(ISBLANK(tabItens[[#This Row],[ATA DT.VALID.]]),tabItens[[#This Row],[ATA DT.VALID.]]="",tabItens[[#This Row],[ATA DT.VALID.]]=" "),"",IF(TYPE(tabItens[[#This Row],[ATA DT.VALID.]])=1,ROUNDUP((tabItens[[#This Row],[ATA DT.VALID.]]-TODAY())/7,0),""))</f>
        <v/>
      </c>
      <c r="AQ52" s="399">
        <v>0</v>
      </c>
      <c r="AR52" s="400" t="str">
        <f>IF(ISBLANK(tabItens[[#This Row],[CÓDIGO]]),"",IFERROR(VLOOKUP(tabItens[[#This Row],[CÓDIGO]],Consumo!$C$2:$AC$862,26,FALSE),0))</f>
        <v>05.2023</v>
      </c>
      <c r="AS52" s="401">
        <f>SUMIF(Consumo!$C$3:$C$862,tabItens[[#This Row],[CÓDIGO]],Consumo!$N$3:$N$862) + SUMIF(Consumo!$C$3:$C$862,tabItens[[#This Row],[CÓDIGO]],Consumo!$O$3:$O$862) + SUMIF(Consumo!$C$3:$C$862,tabItens[[#This Row],[CÓDIGO]],Consumo!$P$3:$P$862) + SUMIF(Consumo!$C$3:$C$862,tabItens[[#This Row],[CÓDIGO]],Consumo!$Q$3:$Q$862)</f>
        <v>0</v>
      </c>
      <c r="AT52" s="401">
        <f>SUMIF(Consumo!$C$3:$C$862,tabItens[[#This Row],[CÓDIGO]],Consumo!$Z$3:$Z$862)</f>
        <v>2447</v>
      </c>
      <c r="AU52" s="402">
        <f>SUMIF(Consumo!$C$3:$C$862,tabItens[[#This Row],[CÓDIGO]],Consumo!$AA$3:$AA$862)</f>
        <v>666</v>
      </c>
      <c r="AV52" s="403">
        <f>SUMIF(Consumo!$C$3:$C$862,tabItens[[#This Row],[CÓDIGO]],Consumo!$Y$3:$Y$862)</f>
        <v>203.91666666666666</v>
      </c>
      <c r="AW52" s="380">
        <f>tabItens[[#This Row],[QTDE ATUAL]] + tabItens[[#This Row],[RC QTDE]] + tabItens[[#This Row],[AF SALDO]] + tabItens[[#This Row],[Recentes]]</f>
        <v>2000</v>
      </c>
      <c r="AX52" s="404">
        <v>142</v>
      </c>
      <c r="AY52" s="404">
        <v>4</v>
      </c>
      <c r="AZ52" s="404">
        <f>IF(ISBLANK(tabItens[[#This Row],[CÓDIGO]]),"",tabItens[[#This Row],[PontoMês]] * (AZ$2+tabItens[[#This Row],[PontoQtM]]))</f>
        <v>568</v>
      </c>
      <c r="BA52" s="403">
        <f>tabItens[[#This Row],[PontoPed]] - tabItens[[#This Row],[Saldo]] + (1/10)</f>
        <v>-1431.9</v>
      </c>
      <c r="BB52" s="403">
        <f xml:space="preserve"> tabItens[[#This Row],[PontoMês]] * BB$2 - tabItens[[#This Row],[QTDE ATUAL]] - (1/10)</f>
        <v>-1858.1</v>
      </c>
      <c r="BC52" s="335">
        <f>IF( tabItens[[#This Row],[PontoPed]]&gt;0, IF(tabItens[[#This Row],[PontoPed]]&lt;1, 1, IF( tabItens[[#This Row],[Saldo]]&gt;tabItens[[#This Row],[PontoPed]], 0, (tabItens[[#This Row],[PontoPed]]-tabItens[[#This Row],[Saldo]])/tabItens[[#This Row],[PontoPed]] ) ), 0 )</f>
        <v>0</v>
      </c>
      <c r="BD52" s="405">
        <f>ROUNDDOWN(IF( OR( AND(tabItens[[#This Row],[PontoPed]]&lt;tabItens[[#This Row],[Saldo]],tabItens[[#This Row],[Saldo]]&gt;0), tabItens[[#This Row],[PontoPed]]=0), 99, IF(AND(tabItens[[#This Row],[Saldo]]=0,tabItens[[#This Row],[PontoPed]]&gt;0), 0, (1-tabItens[[#This Row],[PctAb]])*10 ) ),0)</f>
        <v>99</v>
      </c>
      <c r="BE52" s="406">
        <f>MAX(ROUNDDOWN( IF(tabItens[[#This Row],[Abaixo]] &gt; 0,   tabItens[[#This Row],[Abaixo]] + (tabItens[[#This Row],[PontoMês]] * IF( OR( ISBLANK(tabItens[[#This Row],[ATA Nº/ANO]]), tabItens[[#This Row],[ATA Nº/ANO]] = ""),BE$2,BE$1)),0),0),0)</f>
        <v>0</v>
      </c>
      <c r="BF5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 s="338">
        <f>SUMIF(Consumo!$C$3:$C$862,tabItens[[#This Row],[CÓDIGO]],Consumo!$E$3:$E$862)</f>
        <v>397</v>
      </c>
      <c r="BH52" s="339">
        <f>IF(AND(tabItens[[#This Row],[Pend]] &gt; 0,tabItens[[#This Row],[Consumo]] &lt;&gt; 0), tabItens[[#This Row],[Pend]] / tabItens[[#This Row],[Consumo]], 0 )</f>
        <v>0.16223947691050267</v>
      </c>
      <c r="BI52" s="338"/>
      <c r="BJ52" s="407"/>
      <c r="BK52" s="408" t="s">
        <v>2086</v>
      </c>
    </row>
    <row r="53" spans="1:63" x14ac:dyDescent="0.3">
      <c r="A53" s="375">
        <v>109986</v>
      </c>
      <c r="B53" s="376" t="s">
        <v>1669</v>
      </c>
      <c r="C53" s="377" t="s">
        <v>263</v>
      </c>
      <c r="D53" s="378">
        <v>14.5</v>
      </c>
      <c r="E53" s="305"/>
      <c r="F53" s="379"/>
      <c r="G53" s="379" t="s">
        <v>889</v>
      </c>
      <c r="H53" s="380">
        <v>98</v>
      </c>
      <c r="I53" s="307">
        <v>103003</v>
      </c>
      <c r="J53" s="308">
        <v>14.5</v>
      </c>
      <c r="K53" s="381"/>
      <c r="L53" s="382">
        <f>IF(tabItens[[#This Row],[Média]] &gt; 0, tabItens[[#This Row],[QTDE ATUAL]] / tabItens[[#This Row],[Média]],999.9)</f>
        <v>999.9</v>
      </c>
      <c r="M53" s="383">
        <v>0</v>
      </c>
      <c r="N53" s="384">
        <f>tabItens[[#This Row],[VALOR UNIT.]] * tabItens[[#This Row],[LC]]</f>
        <v>0</v>
      </c>
      <c r="O53" s="385" t="s">
        <v>2174</v>
      </c>
      <c r="P53" s="386"/>
      <c r="Q53" s="387"/>
      <c r="R53" s="312"/>
      <c r="S53" s="388"/>
      <c r="T53" s="389">
        <f>ROUNDDOWN(IFERROR(tabItens[[#This Row],[ATA DT.VALID.]] - $D$1,0) / 30,0)</f>
        <v>-1474</v>
      </c>
      <c r="U53" s="302" t="s">
        <v>1276</v>
      </c>
      <c r="V53" s="318">
        <v>1</v>
      </c>
      <c r="W53" s="390" t="s">
        <v>2078</v>
      </c>
      <c r="X53" s="391">
        <v>83</v>
      </c>
      <c r="Y53" s="392">
        <v>4</v>
      </c>
      <c r="Z53" s="393"/>
      <c r="AA53" s="394"/>
      <c r="AB53" s="395"/>
      <c r="AC53" s="395"/>
      <c r="AD53" s="394"/>
      <c r="AE53" s="395"/>
      <c r="AF53" s="317"/>
      <c r="AG53" s="396" t="s">
        <v>2072</v>
      </c>
      <c r="AH53" s="397"/>
      <c r="AI53" s="317">
        <v>0</v>
      </c>
      <c r="AJ53" s="397">
        <v>43614</v>
      </c>
      <c r="AK53" s="326">
        <v>39877</v>
      </c>
      <c r="AL53" s="326">
        <v>43588</v>
      </c>
      <c r="AM53" s="316"/>
      <c r="AN53" s="305"/>
      <c r="AO53" s="327" t="str">
        <f>_xlfn.IFNA(IF(VLOOKUP(tabItens[[#This Row],[CÓDIGO]],tabExcluirDoEstoque[#Data],1,FALSE),"sim",""),"")</f>
        <v/>
      </c>
      <c r="AP53" s="398" t="str">
        <f ca="1">IF(OR(ISBLANK(tabItens[[#This Row],[ATA DT.VALID.]]),tabItens[[#This Row],[ATA DT.VALID.]]="",tabItens[[#This Row],[ATA DT.VALID.]]=" "),"",IF(TYPE(tabItens[[#This Row],[ATA DT.VALID.]])=1,ROUNDUP((tabItens[[#This Row],[ATA DT.VALID.]]-TODAY())/7,0),""))</f>
        <v/>
      </c>
      <c r="AQ53" s="399">
        <v>0</v>
      </c>
      <c r="AR53" s="400">
        <f>IF(ISBLANK(tabItens[[#This Row],[CÓDIGO]]),"",IFERROR(VLOOKUP(tabItens[[#This Row],[CÓDIGO]],Consumo!$C$2:$AC$862,26,FALSE),0))</f>
        <v>0</v>
      </c>
      <c r="AS53" s="401">
        <f>SUMIF(Consumo!$C$3:$C$862,tabItens[[#This Row],[CÓDIGO]],Consumo!$N$3:$N$862) + SUMIF(Consumo!$C$3:$C$862,tabItens[[#This Row],[CÓDIGO]],Consumo!$O$3:$O$862) + SUMIF(Consumo!$C$3:$C$862,tabItens[[#This Row],[CÓDIGO]],Consumo!$P$3:$P$862) + SUMIF(Consumo!$C$3:$C$862,tabItens[[#This Row],[CÓDIGO]],Consumo!$Q$3:$Q$862)</f>
        <v>0</v>
      </c>
      <c r="AT53" s="401">
        <f>SUMIF(Consumo!$C$3:$C$862,tabItens[[#This Row],[CÓDIGO]],Consumo!$Z$3:$Z$862)</f>
        <v>0</v>
      </c>
      <c r="AU53" s="402">
        <f>SUMIF(Consumo!$C$3:$C$862,tabItens[[#This Row],[CÓDIGO]],Consumo!$AA$3:$AA$862)</f>
        <v>0</v>
      </c>
      <c r="AV53" s="403">
        <f>SUMIF(Consumo!$C$3:$C$862,tabItens[[#This Row],[CÓDIGO]],Consumo!$Y$3:$Y$862)</f>
        <v>0</v>
      </c>
      <c r="AW53" s="380">
        <f>tabItens[[#This Row],[QTDE ATUAL]] + tabItens[[#This Row],[RC QTDE]] + tabItens[[#This Row],[AF SALDO]] + tabItens[[#This Row],[Recentes]]</f>
        <v>98</v>
      </c>
      <c r="AX53" s="404">
        <v>10</v>
      </c>
      <c r="AY53" s="404">
        <v>4</v>
      </c>
      <c r="AZ53" s="404">
        <f>IF(ISBLANK(tabItens[[#This Row],[CÓDIGO]]),"",tabItens[[#This Row],[PontoMês]] * (AZ$2+tabItens[[#This Row],[PontoQtM]]))</f>
        <v>40</v>
      </c>
      <c r="BA53" s="403">
        <f>tabItens[[#This Row],[PontoPed]] - tabItens[[#This Row],[Saldo]] + (1/10)</f>
        <v>-57.9</v>
      </c>
      <c r="BB53" s="403">
        <f xml:space="preserve"> tabItens[[#This Row],[PontoMês]] * BB$2 - tabItens[[#This Row],[QTDE ATUAL]] - (1/10)</f>
        <v>-88.1</v>
      </c>
      <c r="BC53" s="335">
        <f>IF( tabItens[[#This Row],[PontoPed]]&gt;0, IF(tabItens[[#This Row],[PontoPed]]&lt;1, 1, IF( tabItens[[#This Row],[Saldo]]&gt;tabItens[[#This Row],[PontoPed]], 0, (tabItens[[#This Row],[PontoPed]]-tabItens[[#This Row],[Saldo]])/tabItens[[#This Row],[PontoPed]] ) ), 0 )</f>
        <v>0</v>
      </c>
      <c r="BD53" s="405">
        <f>ROUNDDOWN(IF( OR( AND(tabItens[[#This Row],[PontoPed]]&lt;tabItens[[#This Row],[Saldo]],tabItens[[#This Row],[Saldo]]&gt;0), tabItens[[#This Row],[PontoPed]]=0), 99, IF(AND(tabItens[[#This Row],[Saldo]]=0,tabItens[[#This Row],[PontoPed]]&gt;0), 0, (1-tabItens[[#This Row],[PctAb]])*10 ) ),0)</f>
        <v>99</v>
      </c>
      <c r="BE53" s="406">
        <f>MAX(ROUNDDOWN( IF(tabItens[[#This Row],[Abaixo]] &gt; 0,   tabItens[[#This Row],[Abaixo]] + (tabItens[[#This Row],[PontoMês]] * IF( OR( ISBLANK(tabItens[[#This Row],[ATA Nº/ANO]]), tabItens[[#This Row],[ATA Nº/ANO]] = ""),BE$2,BE$1)),0),0),0)</f>
        <v>0</v>
      </c>
      <c r="BF5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 s="338">
        <f>SUMIF(Consumo!$C$3:$C$862,tabItens[[#This Row],[CÓDIGO]],Consumo!$E$3:$E$862)</f>
        <v>0</v>
      </c>
      <c r="BH53" s="339">
        <f>IF(AND(tabItens[[#This Row],[Pend]] &gt; 0,tabItens[[#This Row],[Consumo]] &lt;&gt; 0), tabItens[[#This Row],[Pend]] / tabItens[[#This Row],[Consumo]], 0 )</f>
        <v>0</v>
      </c>
      <c r="BI53" s="338"/>
      <c r="BJ53" s="407"/>
      <c r="BK53" s="408" t="s">
        <v>2086</v>
      </c>
    </row>
    <row r="54" spans="1:63" x14ac:dyDescent="0.3">
      <c r="A54" s="375">
        <v>138475</v>
      </c>
      <c r="B54" s="376" t="s">
        <v>1979</v>
      </c>
      <c r="C54" s="377" t="s">
        <v>263</v>
      </c>
      <c r="D54" s="378">
        <v>13.05</v>
      </c>
      <c r="E54" s="305"/>
      <c r="F54" s="379"/>
      <c r="G54" s="379" t="s">
        <v>889</v>
      </c>
      <c r="H54" s="380">
        <v>155</v>
      </c>
      <c r="I54" s="307">
        <v>103003</v>
      </c>
      <c r="J54" s="308">
        <v>13.05</v>
      </c>
      <c r="K54" s="381">
        <v>21</v>
      </c>
      <c r="L54" s="382">
        <f>IF(tabItens[[#This Row],[Média]] &gt; 0, tabItens[[#This Row],[QTDE ATUAL]] / tabItens[[#This Row],[Média]],999.9)</f>
        <v>97.894736842105274</v>
      </c>
      <c r="M54" s="383">
        <v>0</v>
      </c>
      <c r="N54" s="384">
        <f>tabItens[[#This Row],[VALOR UNIT.]] * tabItens[[#This Row],[LC]]</f>
        <v>0</v>
      </c>
      <c r="O54" s="385" t="s">
        <v>2174</v>
      </c>
      <c r="P54" s="386"/>
      <c r="Q54" s="387"/>
      <c r="R54" s="312"/>
      <c r="S54" s="388"/>
      <c r="T54" s="389">
        <f>ROUNDDOWN(IFERROR(tabItens[[#This Row],[ATA DT.VALID.]] - $D$1,0) / 30,0)</f>
        <v>-1474</v>
      </c>
      <c r="U54" s="302" t="s">
        <v>1276</v>
      </c>
      <c r="V54" s="318">
        <v>1</v>
      </c>
      <c r="W54" s="390" t="s">
        <v>2078</v>
      </c>
      <c r="X54" s="391">
        <v>83</v>
      </c>
      <c r="Y54" s="392">
        <v>4</v>
      </c>
      <c r="Z54" s="393"/>
      <c r="AA54" s="394"/>
      <c r="AB54" s="395"/>
      <c r="AC54" s="395"/>
      <c r="AD54" s="394"/>
      <c r="AE54" s="395"/>
      <c r="AF54" s="317"/>
      <c r="AG54" s="396" t="s">
        <v>2072</v>
      </c>
      <c r="AH54" s="397"/>
      <c r="AI54" s="317">
        <v>8</v>
      </c>
      <c r="AJ54" s="397">
        <v>43878</v>
      </c>
      <c r="AK54" s="326">
        <v>43721</v>
      </c>
      <c r="AL54" s="326">
        <v>43826</v>
      </c>
      <c r="AM54" s="316"/>
      <c r="AN54" s="305"/>
      <c r="AO54" s="327" t="str">
        <f>_xlfn.IFNA(IF(VLOOKUP(tabItens[[#This Row],[CÓDIGO]],tabExcluirDoEstoque[#Data],1,FALSE),"sim",""),"")</f>
        <v/>
      </c>
      <c r="AP54" s="398" t="str">
        <f ca="1">IF(OR(ISBLANK(tabItens[[#This Row],[ATA DT.VALID.]]),tabItens[[#This Row],[ATA DT.VALID.]]="",tabItens[[#This Row],[ATA DT.VALID.]]=" "),"",IF(TYPE(tabItens[[#This Row],[ATA DT.VALID.]])=1,ROUNDUP((tabItens[[#This Row],[ATA DT.VALID.]]-TODAY())/7,0),""))</f>
        <v/>
      </c>
      <c r="AQ54" s="399">
        <v>0</v>
      </c>
      <c r="AR54" s="400" t="str">
        <f>IF(ISBLANK(tabItens[[#This Row],[CÓDIGO]]),"",IFERROR(VLOOKUP(tabItens[[#This Row],[CÓDIGO]],Consumo!$C$2:$AC$862,26,FALSE),0))</f>
        <v>03.2023</v>
      </c>
      <c r="AS54" s="401">
        <f>SUMIF(Consumo!$C$3:$C$862,tabItens[[#This Row],[CÓDIGO]],Consumo!$N$3:$N$862) + SUMIF(Consumo!$C$3:$C$862,tabItens[[#This Row],[CÓDIGO]],Consumo!$O$3:$O$862) + SUMIF(Consumo!$C$3:$C$862,tabItens[[#This Row],[CÓDIGO]],Consumo!$P$3:$P$862) + SUMIF(Consumo!$C$3:$C$862,tabItens[[#This Row],[CÓDIGO]],Consumo!$Q$3:$Q$862)</f>
        <v>0</v>
      </c>
      <c r="AT54" s="401">
        <f>SUMIF(Consumo!$C$3:$C$862,tabItens[[#This Row],[CÓDIGO]],Consumo!$Z$3:$Z$862)</f>
        <v>21</v>
      </c>
      <c r="AU54" s="402">
        <f>SUMIF(Consumo!$C$3:$C$862,tabItens[[#This Row],[CÓDIGO]],Consumo!$AA$3:$AA$862)</f>
        <v>10</v>
      </c>
      <c r="AV54" s="403">
        <f>SUMIF(Consumo!$C$3:$C$862,tabItens[[#This Row],[CÓDIGO]],Consumo!$Y$3:$Y$862)</f>
        <v>1.5833333333333333</v>
      </c>
      <c r="AW54" s="380">
        <f>tabItens[[#This Row],[QTDE ATUAL]] + tabItens[[#This Row],[RC QTDE]] + tabItens[[#This Row],[AF SALDO]] + tabItens[[#This Row],[Recentes]]</f>
        <v>155</v>
      </c>
      <c r="AX54" s="404">
        <v>17</v>
      </c>
      <c r="AY54" s="404">
        <v>4</v>
      </c>
      <c r="AZ54" s="404">
        <f>IF(ISBLANK(tabItens[[#This Row],[CÓDIGO]]),"",tabItens[[#This Row],[PontoMês]] * (AZ$2+tabItens[[#This Row],[PontoQtM]]))</f>
        <v>68</v>
      </c>
      <c r="BA54" s="403">
        <f>tabItens[[#This Row],[PontoPed]] - tabItens[[#This Row],[Saldo]] + (1/10)</f>
        <v>-86.9</v>
      </c>
      <c r="BB54" s="403">
        <f xml:space="preserve"> tabItens[[#This Row],[PontoMês]] * BB$2 - tabItens[[#This Row],[QTDE ATUAL]] - (1/10)</f>
        <v>-138.1</v>
      </c>
      <c r="BC54" s="335">
        <f>IF( tabItens[[#This Row],[PontoPed]]&gt;0, IF(tabItens[[#This Row],[PontoPed]]&lt;1, 1, IF( tabItens[[#This Row],[Saldo]]&gt;tabItens[[#This Row],[PontoPed]], 0, (tabItens[[#This Row],[PontoPed]]-tabItens[[#This Row],[Saldo]])/tabItens[[#This Row],[PontoPed]] ) ), 0 )</f>
        <v>0</v>
      </c>
      <c r="BD54" s="405">
        <f>ROUNDDOWN(IF( OR( AND(tabItens[[#This Row],[PontoPed]]&lt;tabItens[[#This Row],[Saldo]],tabItens[[#This Row],[Saldo]]&gt;0), tabItens[[#This Row],[PontoPed]]=0), 99, IF(AND(tabItens[[#This Row],[Saldo]]=0,tabItens[[#This Row],[PontoPed]]&gt;0), 0, (1-tabItens[[#This Row],[PctAb]])*10 ) ),0)</f>
        <v>99</v>
      </c>
      <c r="BE54" s="406">
        <f>MAX(ROUNDDOWN( IF(tabItens[[#This Row],[Abaixo]] &gt; 0,   tabItens[[#This Row],[Abaixo]] + (tabItens[[#This Row],[PontoMês]] * IF( OR( ISBLANK(tabItens[[#This Row],[ATA Nº/ANO]]), tabItens[[#This Row],[ATA Nº/ANO]] = ""),BE$2,BE$1)),0),0),0)</f>
        <v>0</v>
      </c>
      <c r="BF5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 s="338">
        <f>SUMIF(Consumo!$C$3:$C$862,tabItens[[#This Row],[CÓDIGO]],Consumo!$E$3:$E$862)</f>
        <v>0</v>
      </c>
      <c r="BH54" s="339">
        <f>IF(AND(tabItens[[#This Row],[Pend]] &gt; 0,tabItens[[#This Row],[Consumo]] &lt;&gt; 0), tabItens[[#This Row],[Pend]] / tabItens[[#This Row],[Consumo]], 0 )</f>
        <v>0</v>
      </c>
      <c r="BI54" s="338"/>
      <c r="BJ54" s="407"/>
      <c r="BK54" s="408" t="s">
        <v>2086</v>
      </c>
    </row>
    <row r="55" spans="1:63" x14ac:dyDescent="0.3">
      <c r="A55" s="375">
        <v>140326</v>
      </c>
      <c r="B55" s="376" t="s">
        <v>2028</v>
      </c>
      <c r="C55" s="377" t="s">
        <v>290</v>
      </c>
      <c r="D55" s="378">
        <v>12.34</v>
      </c>
      <c r="E55" s="305"/>
      <c r="F55" s="379"/>
      <c r="G55" s="379" t="s">
        <v>889</v>
      </c>
      <c r="H55" s="380">
        <v>1176</v>
      </c>
      <c r="I55" s="307">
        <v>103003</v>
      </c>
      <c r="J55" s="308">
        <v>12.34</v>
      </c>
      <c r="K55" s="381">
        <v>102</v>
      </c>
      <c r="L55" s="382">
        <f>IF(tabItens[[#This Row],[Média]] &gt; 0, tabItens[[#This Row],[QTDE ATUAL]] / tabItens[[#This Row],[Média]],999.9)</f>
        <v>170.02409638554215</v>
      </c>
      <c r="M55" s="383">
        <v>0</v>
      </c>
      <c r="N55" s="384">
        <f>tabItens[[#This Row],[VALOR UNIT.]] * tabItens[[#This Row],[LC]]</f>
        <v>0</v>
      </c>
      <c r="O55" s="385" t="s">
        <v>2149</v>
      </c>
      <c r="P55" s="386"/>
      <c r="Q55" s="387"/>
      <c r="R55" s="312"/>
      <c r="S55" s="388"/>
      <c r="T55" s="389">
        <f>ROUNDDOWN(IFERROR(tabItens[[#This Row],[ATA DT.VALID.]] - $D$1,0) / 30,0)</f>
        <v>-1474</v>
      </c>
      <c r="U55" s="302" t="s">
        <v>1113</v>
      </c>
      <c r="V55" s="318">
        <v>1</v>
      </c>
      <c r="W55" s="390" t="s">
        <v>2071</v>
      </c>
      <c r="X55" s="391">
        <v>51</v>
      </c>
      <c r="Y55" s="392">
        <v>33</v>
      </c>
      <c r="Z55" s="393"/>
      <c r="AA55" s="394"/>
      <c r="AB55" s="395"/>
      <c r="AC55" s="395"/>
      <c r="AD55" s="394"/>
      <c r="AE55" s="395"/>
      <c r="AF55" s="317"/>
      <c r="AG55" s="396" t="s">
        <v>2072</v>
      </c>
      <c r="AH55" s="397"/>
      <c r="AI55" s="317">
        <v>32</v>
      </c>
      <c r="AJ55" s="397">
        <v>45210</v>
      </c>
      <c r="AK55" s="326">
        <v>44180</v>
      </c>
      <c r="AL55" s="326">
        <v>45189</v>
      </c>
      <c r="AM55" s="316"/>
      <c r="AN55" s="305"/>
      <c r="AO55" s="327" t="str">
        <f>_xlfn.IFNA(IF(VLOOKUP(tabItens[[#This Row],[CÓDIGO]],tabExcluirDoEstoque[#Data],1,FALSE),"sim",""),"")</f>
        <v/>
      </c>
      <c r="AP55" s="398" t="str">
        <f ca="1">IF(OR(ISBLANK(tabItens[[#This Row],[ATA DT.VALID.]]),tabItens[[#This Row],[ATA DT.VALID.]]="",tabItens[[#This Row],[ATA DT.VALID.]]=" "),"",IF(TYPE(tabItens[[#This Row],[ATA DT.VALID.]])=1,ROUNDUP((tabItens[[#This Row],[ATA DT.VALID.]]-TODAY())/7,0),""))</f>
        <v/>
      </c>
      <c r="AQ55" s="399">
        <v>0</v>
      </c>
      <c r="AR55" s="400" t="str">
        <f>IF(ISBLANK(tabItens[[#This Row],[CÓDIGO]]),"",IFERROR(VLOOKUP(tabItens[[#This Row],[CÓDIGO]],Consumo!$C$2:$AC$862,26,FALSE),0))</f>
        <v>10.2022</v>
      </c>
      <c r="AS55" s="401">
        <f>SUMIF(Consumo!$C$3:$C$862,tabItens[[#This Row],[CÓDIGO]],Consumo!$N$3:$N$862) + SUMIF(Consumo!$C$3:$C$862,tabItens[[#This Row],[CÓDIGO]],Consumo!$O$3:$O$862) + SUMIF(Consumo!$C$3:$C$862,tabItens[[#This Row],[CÓDIGO]],Consumo!$P$3:$P$862) + SUMIF(Consumo!$C$3:$C$862,tabItens[[#This Row],[CÓDIGO]],Consumo!$Q$3:$Q$862)</f>
        <v>0</v>
      </c>
      <c r="AT55" s="401">
        <f>SUMIF(Consumo!$C$3:$C$862,tabItens[[#This Row],[CÓDIGO]],Consumo!$Z$3:$Z$862)</f>
        <v>116</v>
      </c>
      <c r="AU55" s="402">
        <f>SUMIF(Consumo!$C$3:$C$862,tabItens[[#This Row],[CÓDIGO]],Consumo!$AA$3:$AA$862)</f>
        <v>96</v>
      </c>
      <c r="AV55" s="403">
        <f>SUMIF(Consumo!$C$3:$C$862,tabItens[[#This Row],[CÓDIGO]],Consumo!$Y$3:$Y$862)</f>
        <v>6.916666666666667</v>
      </c>
      <c r="AW55" s="380">
        <f>tabItens[[#This Row],[QTDE ATUAL]] + tabItens[[#This Row],[RC QTDE]] + tabItens[[#This Row],[AF SALDO]] + tabItens[[#This Row],[Recentes]]</f>
        <v>1176</v>
      </c>
      <c r="AX55" s="404">
        <v>45</v>
      </c>
      <c r="AY55" s="404">
        <v>4</v>
      </c>
      <c r="AZ55" s="404">
        <f>IF(ISBLANK(tabItens[[#This Row],[CÓDIGO]]),"",tabItens[[#This Row],[PontoMês]] * (AZ$2+tabItens[[#This Row],[PontoQtM]]))</f>
        <v>180</v>
      </c>
      <c r="BA55" s="403">
        <f>tabItens[[#This Row],[PontoPed]] - tabItens[[#This Row],[Saldo]] + (1/10)</f>
        <v>-995.9</v>
      </c>
      <c r="BB55" s="403">
        <f xml:space="preserve"> tabItens[[#This Row],[PontoMês]] * BB$2 - tabItens[[#This Row],[QTDE ATUAL]] - (1/10)</f>
        <v>-1131.0999999999999</v>
      </c>
      <c r="BC55" s="335">
        <f>IF( tabItens[[#This Row],[PontoPed]]&gt;0, IF(tabItens[[#This Row],[PontoPed]]&lt;1, 1, IF( tabItens[[#This Row],[Saldo]]&gt;tabItens[[#This Row],[PontoPed]], 0, (tabItens[[#This Row],[PontoPed]]-tabItens[[#This Row],[Saldo]])/tabItens[[#This Row],[PontoPed]] ) ), 0 )</f>
        <v>0</v>
      </c>
      <c r="BD55" s="405">
        <f>ROUNDDOWN(IF( OR( AND(tabItens[[#This Row],[PontoPed]]&lt;tabItens[[#This Row],[Saldo]],tabItens[[#This Row],[Saldo]]&gt;0), tabItens[[#This Row],[PontoPed]]=0), 99, IF(AND(tabItens[[#This Row],[Saldo]]=0,tabItens[[#This Row],[PontoPed]]&gt;0), 0, (1-tabItens[[#This Row],[PctAb]])*10 ) ),0)</f>
        <v>99</v>
      </c>
      <c r="BE55" s="406">
        <f>MAX(ROUNDDOWN( IF(tabItens[[#This Row],[Abaixo]] &gt; 0,   tabItens[[#This Row],[Abaixo]] + (tabItens[[#This Row],[PontoMês]] * IF( OR( ISBLANK(tabItens[[#This Row],[ATA Nº/ANO]]), tabItens[[#This Row],[ATA Nº/ANO]] = ""),BE$2,BE$1)),0),0),0)</f>
        <v>0</v>
      </c>
      <c r="BF5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 s="338">
        <f>SUMIF(Consumo!$C$3:$C$862,tabItens[[#This Row],[CÓDIGO]],Consumo!$E$3:$E$862)</f>
        <v>20</v>
      </c>
      <c r="BH55" s="339">
        <f>IF(AND(tabItens[[#This Row],[Pend]] &gt; 0,tabItens[[#This Row],[Consumo]] &lt;&gt; 0), tabItens[[#This Row],[Pend]] / tabItens[[#This Row],[Consumo]], 0 )</f>
        <v>0.17241379310344829</v>
      </c>
      <c r="BI55" s="338"/>
      <c r="BJ55" s="407"/>
      <c r="BK55" s="408" t="s">
        <v>2086</v>
      </c>
    </row>
    <row r="56" spans="1:63" x14ac:dyDescent="0.3">
      <c r="A56" s="375">
        <v>58436</v>
      </c>
      <c r="B56" s="376" t="s">
        <v>1336</v>
      </c>
      <c r="C56" s="377" t="s">
        <v>263</v>
      </c>
      <c r="D56" s="378">
        <v>32</v>
      </c>
      <c r="E56" s="305"/>
      <c r="F56" s="379"/>
      <c r="G56" s="379" t="s">
        <v>889</v>
      </c>
      <c r="H56" s="380">
        <v>427</v>
      </c>
      <c r="I56" s="307">
        <v>103003</v>
      </c>
      <c r="J56" s="308">
        <v>32</v>
      </c>
      <c r="K56" s="381">
        <v>15</v>
      </c>
      <c r="L56" s="382">
        <f>IF(tabItens[[#This Row],[Média]] &gt; 0, tabItens[[#This Row],[QTDE ATUAL]] / tabItens[[#This Row],[Média]],999.9)</f>
        <v>512.4</v>
      </c>
      <c r="M56" s="383">
        <v>0</v>
      </c>
      <c r="N56" s="384">
        <f>tabItens[[#This Row],[VALOR UNIT.]] * tabItens[[#This Row],[LC]]</f>
        <v>0</v>
      </c>
      <c r="O56" s="385" t="s">
        <v>2149</v>
      </c>
      <c r="P56" s="386"/>
      <c r="Q56" s="387"/>
      <c r="R56" s="312"/>
      <c r="S56" s="388"/>
      <c r="T56" s="389">
        <f>ROUNDDOWN(IFERROR(tabItens[[#This Row],[ATA DT.VALID.]] - $D$1,0) / 30,0)</f>
        <v>-1474</v>
      </c>
      <c r="U56" s="302" t="s">
        <v>1337</v>
      </c>
      <c r="V56" s="318">
        <v>1</v>
      </c>
      <c r="W56" s="390" t="s">
        <v>2078</v>
      </c>
      <c r="X56" s="391">
        <v>69</v>
      </c>
      <c r="Y56" s="392">
        <v>2</v>
      </c>
      <c r="Z56" s="393"/>
      <c r="AA56" s="394"/>
      <c r="AB56" s="395"/>
      <c r="AC56" s="395"/>
      <c r="AD56" s="394"/>
      <c r="AE56" s="395"/>
      <c r="AF56" s="317"/>
      <c r="AG56" s="396" t="s">
        <v>2072</v>
      </c>
      <c r="AH56" s="397"/>
      <c r="AI56" s="317">
        <v>6</v>
      </c>
      <c r="AJ56" s="397">
        <v>44586</v>
      </c>
      <c r="AK56" s="326" t="s">
        <v>889</v>
      </c>
      <c r="AL56" s="326">
        <v>44547</v>
      </c>
      <c r="AM56" s="316"/>
      <c r="AN56" s="305"/>
      <c r="AO56" s="327" t="str">
        <f>_xlfn.IFNA(IF(VLOOKUP(tabItens[[#This Row],[CÓDIGO]],tabExcluirDoEstoque[#Data],1,FALSE),"sim",""),"")</f>
        <v/>
      </c>
      <c r="AP56" s="398" t="str">
        <f ca="1">IF(OR(ISBLANK(tabItens[[#This Row],[ATA DT.VALID.]]),tabItens[[#This Row],[ATA DT.VALID.]]="",tabItens[[#This Row],[ATA DT.VALID.]]=" "),"",IF(TYPE(tabItens[[#This Row],[ATA DT.VALID.]])=1,ROUNDUP((tabItens[[#This Row],[ATA DT.VALID.]]-TODAY())/7,0),""))</f>
        <v/>
      </c>
      <c r="AQ56" s="399">
        <v>0</v>
      </c>
      <c r="AR56" s="400" t="str">
        <f>IF(ISBLANK(tabItens[[#This Row],[CÓDIGO]]),"",IFERROR(VLOOKUP(tabItens[[#This Row],[CÓDIGO]],Consumo!$C$2:$AC$862,26,FALSE),0))</f>
        <v>03.2023</v>
      </c>
      <c r="AS56" s="401">
        <f>SUMIF(Consumo!$C$3:$C$862,tabItens[[#This Row],[CÓDIGO]],Consumo!$N$3:$N$862) + SUMIF(Consumo!$C$3:$C$862,tabItens[[#This Row],[CÓDIGO]],Consumo!$O$3:$O$862) + SUMIF(Consumo!$C$3:$C$862,tabItens[[#This Row],[CÓDIGO]],Consumo!$P$3:$P$862) + SUMIF(Consumo!$C$3:$C$862,tabItens[[#This Row],[CÓDIGO]],Consumo!$Q$3:$Q$862)</f>
        <v>0</v>
      </c>
      <c r="AT56" s="401">
        <f>SUMIF(Consumo!$C$3:$C$862,tabItens[[#This Row],[CÓDIGO]],Consumo!$Z$3:$Z$862)</f>
        <v>15</v>
      </c>
      <c r="AU56" s="402">
        <f>SUMIF(Consumo!$C$3:$C$862,tabItens[[#This Row],[CÓDIGO]],Consumo!$AA$3:$AA$862)</f>
        <v>14</v>
      </c>
      <c r="AV56" s="403">
        <f>SUMIF(Consumo!$C$3:$C$862,tabItens[[#This Row],[CÓDIGO]],Consumo!$Y$3:$Y$862)</f>
        <v>0.83333333333333337</v>
      </c>
      <c r="AW56" s="380">
        <f>tabItens[[#This Row],[QTDE ATUAL]] + tabItens[[#This Row],[RC QTDE]] + tabItens[[#This Row],[AF SALDO]] + tabItens[[#This Row],[Recentes]]</f>
        <v>427</v>
      </c>
      <c r="AX56" s="404">
        <v>15</v>
      </c>
      <c r="AY56" s="404">
        <v>4</v>
      </c>
      <c r="AZ56" s="404">
        <f>IF(ISBLANK(tabItens[[#This Row],[CÓDIGO]]),"",tabItens[[#This Row],[PontoMês]] * (AZ$2+tabItens[[#This Row],[PontoQtM]]))</f>
        <v>60</v>
      </c>
      <c r="BA56" s="403">
        <f>tabItens[[#This Row],[PontoPed]] - tabItens[[#This Row],[Saldo]] + (1/10)</f>
        <v>-366.9</v>
      </c>
      <c r="BB56" s="403">
        <f xml:space="preserve"> tabItens[[#This Row],[PontoMês]] * BB$2 - tabItens[[#This Row],[QTDE ATUAL]] - (1/10)</f>
        <v>-412.1</v>
      </c>
      <c r="BC56" s="335">
        <f>IF( tabItens[[#This Row],[PontoPed]]&gt;0, IF(tabItens[[#This Row],[PontoPed]]&lt;1, 1, IF( tabItens[[#This Row],[Saldo]]&gt;tabItens[[#This Row],[PontoPed]], 0, (tabItens[[#This Row],[PontoPed]]-tabItens[[#This Row],[Saldo]])/tabItens[[#This Row],[PontoPed]] ) ), 0 )</f>
        <v>0</v>
      </c>
      <c r="BD56" s="405">
        <f>ROUNDDOWN(IF( OR( AND(tabItens[[#This Row],[PontoPed]]&lt;tabItens[[#This Row],[Saldo]],tabItens[[#This Row],[Saldo]]&gt;0), tabItens[[#This Row],[PontoPed]]=0), 99, IF(AND(tabItens[[#This Row],[Saldo]]=0,tabItens[[#This Row],[PontoPed]]&gt;0), 0, (1-tabItens[[#This Row],[PctAb]])*10 ) ),0)</f>
        <v>99</v>
      </c>
      <c r="BE56" s="406">
        <f>MAX(ROUNDDOWN( IF(tabItens[[#This Row],[Abaixo]] &gt; 0,   tabItens[[#This Row],[Abaixo]] + (tabItens[[#This Row],[PontoMês]] * IF( OR( ISBLANK(tabItens[[#This Row],[ATA Nº/ANO]]), tabItens[[#This Row],[ATA Nº/ANO]] = ""),BE$2,BE$1)),0),0),0)</f>
        <v>0</v>
      </c>
      <c r="BF5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 s="338">
        <f>SUMIF(Consumo!$C$3:$C$862,tabItens[[#This Row],[CÓDIGO]],Consumo!$E$3:$E$862)</f>
        <v>0</v>
      </c>
      <c r="BH56" s="339">
        <f>IF(AND(tabItens[[#This Row],[Pend]] &gt; 0,tabItens[[#This Row],[Consumo]] &lt;&gt; 0), tabItens[[#This Row],[Pend]] / tabItens[[#This Row],[Consumo]], 0 )</f>
        <v>0</v>
      </c>
      <c r="BI56" s="338"/>
      <c r="BJ56" s="407"/>
      <c r="BK56" s="408" t="s">
        <v>2086</v>
      </c>
    </row>
    <row r="57" spans="1:63" x14ac:dyDescent="0.3">
      <c r="A57" s="375">
        <v>123618</v>
      </c>
      <c r="B57" s="376" t="s">
        <v>1761</v>
      </c>
      <c r="C57" s="377" t="s">
        <v>345</v>
      </c>
      <c r="D57" s="378">
        <v>29.45</v>
      </c>
      <c r="E57" s="305"/>
      <c r="F57" s="379"/>
      <c r="G57" s="379" t="s">
        <v>889</v>
      </c>
      <c r="H57" s="380">
        <v>999</v>
      </c>
      <c r="I57" s="307">
        <v>103003</v>
      </c>
      <c r="J57" s="308">
        <v>29.445920000000001</v>
      </c>
      <c r="K57" s="381"/>
      <c r="L57" s="382">
        <f>IF(tabItens[[#This Row],[Média]] &gt; 0, tabItens[[#This Row],[QTDE ATUAL]] / tabItens[[#This Row],[Média]],999.9)</f>
        <v>999.9</v>
      </c>
      <c r="M57" s="383">
        <v>0</v>
      </c>
      <c r="N57" s="384">
        <f>tabItens[[#This Row],[VALOR UNIT.]] * tabItens[[#This Row],[LC]]</f>
        <v>0</v>
      </c>
      <c r="O57" s="385" t="s">
        <v>2149</v>
      </c>
      <c r="P57" s="386"/>
      <c r="Q57" s="387"/>
      <c r="R57" s="312"/>
      <c r="S57" s="388"/>
      <c r="T57" s="389">
        <f>ROUNDDOWN(IFERROR(tabItens[[#This Row],[ATA DT.VALID.]] - $D$1,0) / 30,0)</f>
        <v>-1474</v>
      </c>
      <c r="U57" s="302" t="s">
        <v>1337</v>
      </c>
      <c r="V57" s="318">
        <v>1</v>
      </c>
      <c r="W57" s="390" t="s">
        <v>2078</v>
      </c>
      <c r="X57" s="391">
        <v>69</v>
      </c>
      <c r="Y57" s="392">
        <v>2</v>
      </c>
      <c r="Z57" s="393"/>
      <c r="AA57" s="394"/>
      <c r="AB57" s="395"/>
      <c r="AC57" s="395"/>
      <c r="AD57" s="394"/>
      <c r="AE57" s="395"/>
      <c r="AF57" s="317"/>
      <c r="AG57" s="396" t="s">
        <v>2072</v>
      </c>
      <c r="AH57" s="397"/>
      <c r="AI57" s="317">
        <v>0</v>
      </c>
      <c r="AJ57" s="397">
        <v>43658</v>
      </c>
      <c r="AK57" s="326">
        <v>41142</v>
      </c>
      <c r="AL57" s="326">
        <v>43614</v>
      </c>
      <c r="AM57" s="316"/>
      <c r="AN57" s="305"/>
      <c r="AO57" s="327" t="str">
        <f>_xlfn.IFNA(IF(VLOOKUP(tabItens[[#This Row],[CÓDIGO]],tabExcluirDoEstoque[#Data],1,FALSE),"sim",""),"")</f>
        <v/>
      </c>
      <c r="AP57" s="398" t="str">
        <f ca="1">IF(OR(ISBLANK(tabItens[[#This Row],[ATA DT.VALID.]]),tabItens[[#This Row],[ATA DT.VALID.]]="",tabItens[[#This Row],[ATA DT.VALID.]]=" "),"",IF(TYPE(tabItens[[#This Row],[ATA DT.VALID.]])=1,ROUNDUP((tabItens[[#This Row],[ATA DT.VALID.]]-TODAY())/7,0),""))</f>
        <v/>
      </c>
      <c r="AQ57" s="399">
        <v>0</v>
      </c>
      <c r="AR57" s="400">
        <f>IF(ISBLANK(tabItens[[#This Row],[CÓDIGO]]),"",IFERROR(VLOOKUP(tabItens[[#This Row],[CÓDIGO]],Consumo!$C$2:$AC$862,26,FALSE),0))</f>
        <v>0</v>
      </c>
      <c r="AS57" s="401">
        <f>SUMIF(Consumo!$C$3:$C$862,tabItens[[#This Row],[CÓDIGO]],Consumo!$N$3:$N$862) + SUMIF(Consumo!$C$3:$C$862,tabItens[[#This Row],[CÓDIGO]],Consumo!$O$3:$O$862) + SUMIF(Consumo!$C$3:$C$862,tabItens[[#This Row],[CÓDIGO]],Consumo!$P$3:$P$862) + SUMIF(Consumo!$C$3:$C$862,tabItens[[#This Row],[CÓDIGO]],Consumo!$Q$3:$Q$862)</f>
        <v>0</v>
      </c>
      <c r="AT57" s="401">
        <f>SUMIF(Consumo!$C$3:$C$862,tabItens[[#This Row],[CÓDIGO]],Consumo!$Z$3:$Z$862)</f>
        <v>0</v>
      </c>
      <c r="AU57" s="402">
        <f>SUMIF(Consumo!$C$3:$C$862,tabItens[[#This Row],[CÓDIGO]],Consumo!$AA$3:$AA$862)</f>
        <v>0</v>
      </c>
      <c r="AV57" s="403">
        <f>SUMIF(Consumo!$C$3:$C$862,tabItens[[#This Row],[CÓDIGO]],Consumo!$Y$3:$Y$862)</f>
        <v>0</v>
      </c>
      <c r="AW57" s="380">
        <f>tabItens[[#This Row],[QTDE ATUAL]] + tabItens[[#This Row],[RC QTDE]] + tabItens[[#This Row],[AF SALDO]] + tabItens[[#This Row],[Recentes]]</f>
        <v>999</v>
      </c>
      <c r="AX57" s="404">
        <v>10</v>
      </c>
      <c r="AY57" s="404">
        <v>4</v>
      </c>
      <c r="AZ57" s="404">
        <f>IF(ISBLANK(tabItens[[#This Row],[CÓDIGO]]),"",tabItens[[#This Row],[PontoMês]] * (AZ$2+tabItens[[#This Row],[PontoQtM]]))</f>
        <v>40</v>
      </c>
      <c r="BA57" s="403">
        <f>tabItens[[#This Row],[PontoPed]] - tabItens[[#This Row],[Saldo]] + (1/10)</f>
        <v>-958.9</v>
      </c>
      <c r="BB57" s="403">
        <f xml:space="preserve"> tabItens[[#This Row],[PontoMês]] * BB$2 - tabItens[[#This Row],[QTDE ATUAL]] - (1/10)</f>
        <v>-989.1</v>
      </c>
      <c r="BC57" s="335">
        <f>IF( tabItens[[#This Row],[PontoPed]]&gt;0, IF(tabItens[[#This Row],[PontoPed]]&lt;1, 1, IF( tabItens[[#This Row],[Saldo]]&gt;tabItens[[#This Row],[PontoPed]], 0, (tabItens[[#This Row],[PontoPed]]-tabItens[[#This Row],[Saldo]])/tabItens[[#This Row],[PontoPed]] ) ), 0 )</f>
        <v>0</v>
      </c>
      <c r="BD57" s="405">
        <f>ROUNDDOWN(IF( OR( AND(tabItens[[#This Row],[PontoPed]]&lt;tabItens[[#This Row],[Saldo]],tabItens[[#This Row],[Saldo]]&gt;0), tabItens[[#This Row],[PontoPed]]=0), 99, IF(AND(tabItens[[#This Row],[Saldo]]=0,tabItens[[#This Row],[PontoPed]]&gt;0), 0, (1-tabItens[[#This Row],[PctAb]])*10 ) ),0)</f>
        <v>99</v>
      </c>
      <c r="BE57" s="406">
        <f>MAX(ROUNDDOWN( IF(tabItens[[#This Row],[Abaixo]] &gt; 0,   tabItens[[#This Row],[Abaixo]] + (tabItens[[#This Row],[PontoMês]] * IF( OR( ISBLANK(tabItens[[#This Row],[ATA Nº/ANO]]), tabItens[[#This Row],[ATA Nº/ANO]] = ""),BE$2,BE$1)),0),0),0)</f>
        <v>0</v>
      </c>
      <c r="BF5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 s="338">
        <f>SUMIF(Consumo!$C$3:$C$862,tabItens[[#This Row],[CÓDIGO]],Consumo!$E$3:$E$862)</f>
        <v>0</v>
      </c>
      <c r="BH57" s="339">
        <f>IF(AND(tabItens[[#This Row],[Pend]] &gt; 0,tabItens[[#This Row],[Consumo]] &lt;&gt; 0), tabItens[[#This Row],[Pend]] / tabItens[[#This Row],[Consumo]], 0 )</f>
        <v>0</v>
      </c>
      <c r="BI57" s="338"/>
      <c r="BJ57" s="407"/>
      <c r="BK57" s="408" t="s">
        <v>2086</v>
      </c>
    </row>
    <row r="58" spans="1:63" x14ac:dyDescent="0.3">
      <c r="A58" s="375">
        <v>80387</v>
      </c>
      <c r="B58" s="376" t="s">
        <v>1466</v>
      </c>
      <c r="C58" s="377" t="s">
        <v>263</v>
      </c>
      <c r="D58" s="378">
        <v>5.51</v>
      </c>
      <c r="E58" s="305"/>
      <c r="F58" s="379"/>
      <c r="G58" s="379" t="s">
        <v>889</v>
      </c>
      <c r="H58" s="380">
        <v>130</v>
      </c>
      <c r="I58" s="307">
        <v>103003</v>
      </c>
      <c r="J58" s="308">
        <v>5.51</v>
      </c>
      <c r="K58" s="381">
        <v>710</v>
      </c>
      <c r="L58" s="382">
        <f>IF(tabItens[[#This Row],[Média]] &gt; 0, tabItens[[#This Row],[QTDE ATUAL]] / tabItens[[#This Row],[Média]],999.9)</f>
        <v>2.2840409956076138</v>
      </c>
      <c r="M58" s="383">
        <v>0</v>
      </c>
      <c r="N58" s="384">
        <f>tabItens[[#This Row],[VALOR UNIT.]] * tabItens[[#This Row],[LC]]</f>
        <v>0</v>
      </c>
      <c r="O58" s="385" t="s">
        <v>2149</v>
      </c>
      <c r="P58" s="386"/>
      <c r="Q58" s="387"/>
      <c r="R58" s="312"/>
      <c r="S58" s="388"/>
      <c r="T58" s="389">
        <f>ROUNDDOWN(IFERROR(tabItens[[#This Row],[ATA DT.VALID.]] - $D$1,0) / 30,0)</f>
        <v>-1474</v>
      </c>
      <c r="U58" s="302" t="s">
        <v>1276</v>
      </c>
      <c r="V58" s="318">
        <v>1</v>
      </c>
      <c r="W58" s="390" t="s">
        <v>2078</v>
      </c>
      <c r="X58" s="391">
        <v>83</v>
      </c>
      <c r="Y58" s="392">
        <v>4</v>
      </c>
      <c r="Z58" s="393"/>
      <c r="AA58" s="394"/>
      <c r="AB58" s="395"/>
      <c r="AC58" s="395"/>
      <c r="AD58" s="394"/>
      <c r="AE58" s="395"/>
      <c r="AF58" s="317"/>
      <c r="AG58" s="396" t="s">
        <v>2072</v>
      </c>
      <c r="AH58" s="397"/>
      <c r="AI58" s="317">
        <v>246</v>
      </c>
      <c r="AJ58" s="397">
        <v>43882</v>
      </c>
      <c r="AK58" s="326">
        <v>38169</v>
      </c>
      <c r="AL58" s="326">
        <v>43826</v>
      </c>
      <c r="AM58" s="316"/>
      <c r="AN58" s="305"/>
      <c r="AO58" s="327" t="str">
        <f>_xlfn.IFNA(IF(VLOOKUP(tabItens[[#This Row],[CÓDIGO]],tabExcluirDoEstoque[#Data],1,FALSE),"sim",""),"")</f>
        <v/>
      </c>
      <c r="AP58" s="398" t="str">
        <f ca="1">IF(OR(ISBLANK(tabItens[[#This Row],[ATA DT.VALID.]]),tabItens[[#This Row],[ATA DT.VALID.]]="",tabItens[[#This Row],[ATA DT.VALID.]]=" "),"",IF(TYPE(tabItens[[#This Row],[ATA DT.VALID.]])=1,ROUNDUP((tabItens[[#This Row],[ATA DT.VALID.]]-TODAY())/7,0),""))</f>
        <v/>
      </c>
      <c r="AQ58" s="399">
        <v>0</v>
      </c>
      <c r="AR58" s="400" t="str">
        <f>IF(ISBLANK(tabItens[[#This Row],[CÓDIGO]]),"",IFERROR(VLOOKUP(tabItens[[#This Row],[CÓDIGO]],Consumo!$C$2:$AC$862,26,FALSE),0))</f>
        <v>05.2023</v>
      </c>
      <c r="AS58" s="401">
        <f>SUMIF(Consumo!$C$3:$C$862,tabItens[[#This Row],[CÓDIGO]],Consumo!$N$3:$N$862) + SUMIF(Consumo!$C$3:$C$862,tabItens[[#This Row],[CÓDIGO]],Consumo!$O$3:$O$862) + SUMIF(Consumo!$C$3:$C$862,tabItens[[#This Row],[CÓDIGO]],Consumo!$P$3:$P$862) + SUMIF(Consumo!$C$3:$C$862,tabItens[[#This Row],[CÓDIGO]],Consumo!$Q$3:$Q$862)</f>
        <v>0</v>
      </c>
      <c r="AT58" s="401">
        <f>SUMIF(Consumo!$C$3:$C$862,tabItens[[#This Row],[CÓDIGO]],Consumo!$Z$3:$Z$862)</f>
        <v>740</v>
      </c>
      <c r="AU58" s="402">
        <f>SUMIF(Consumo!$C$3:$C$862,tabItens[[#This Row],[CÓDIGO]],Consumo!$AA$3:$AA$862)</f>
        <v>310</v>
      </c>
      <c r="AV58" s="403">
        <f>SUMIF(Consumo!$C$3:$C$862,tabItens[[#This Row],[CÓDIGO]],Consumo!$Y$3:$Y$862)</f>
        <v>56.916666666666664</v>
      </c>
      <c r="AW58" s="380">
        <f>tabItens[[#This Row],[QTDE ATUAL]] + tabItens[[#This Row],[RC QTDE]] + tabItens[[#This Row],[AF SALDO]] + tabItens[[#This Row],[Recentes]]</f>
        <v>130</v>
      </c>
      <c r="AX58" s="404">
        <v>55</v>
      </c>
      <c r="AY58" s="404">
        <v>4</v>
      </c>
      <c r="AZ58" s="404">
        <f>IF(ISBLANK(tabItens[[#This Row],[CÓDIGO]]),"",tabItens[[#This Row],[PontoMês]] * (AZ$2+tabItens[[#This Row],[PontoQtM]]))</f>
        <v>220</v>
      </c>
      <c r="BA58" s="403">
        <f>tabItens[[#This Row],[PontoPed]] - tabItens[[#This Row],[Saldo]] + (1/10)</f>
        <v>90.1</v>
      </c>
      <c r="BB58" s="403">
        <f xml:space="preserve"> tabItens[[#This Row],[PontoMês]] * BB$2 - tabItens[[#This Row],[QTDE ATUAL]] - (1/10)</f>
        <v>-75.099999999999994</v>
      </c>
      <c r="BC58" s="335">
        <f>IF( tabItens[[#This Row],[PontoPed]]&gt;0, IF(tabItens[[#This Row],[PontoPed]]&lt;1, 1, IF( tabItens[[#This Row],[Saldo]]&gt;tabItens[[#This Row],[PontoPed]], 0, (tabItens[[#This Row],[PontoPed]]-tabItens[[#This Row],[Saldo]])/tabItens[[#This Row],[PontoPed]] ) ), 0 )</f>
        <v>0.40909090909090912</v>
      </c>
      <c r="BD58" s="405">
        <f>ROUNDDOWN(IF( OR( AND(tabItens[[#This Row],[PontoPed]]&lt;tabItens[[#This Row],[Saldo]],tabItens[[#This Row],[Saldo]]&gt;0), tabItens[[#This Row],[PontoPed]]=0), 99, IF(AND(tabItens[[#This Row],[Saldo]]=0,tabItens[[#This Row],[PontoPed]]&gt;0), 0, (1-tabItens[[#This Row],[PctAb]])*10 ) ),0)</f>
        <v>5</v>
      </c>
      <c r="BE58" s="406">
        <f>MAX(ROUNDDOWN( IF(tabItens[[#This Row],[Abaixo]] &gt; 0,   tabItens[[#This Row],[Abaixo]] + (tabItens[[#This Row],[PontoMês]] * IF( OR( ISBLANK(tabItens[[#This Row],[ATA Nº/ANO]]), tabItens[[#This Row],[ATA Nº/ANO]] = ""),BE$2,BE$1)),0),0),0)</f>
        <v>255</v>
      </c>
      <c r="BF5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 s="338">
        <f>SUMIF(Consumo!$C$3:$C$862,tabItens[[#This Row],[CÓDIGO]],Consumo!$E$3:$E$862)</f>
        <v>0</v>
      </c>
      <c r="BH58" s="339">
        <f>IF(AND(tabItens[[#This Row],[Pend]] &gt; 0,tabItens[[#This Row],[Consumo]] &lt;&gt; 0), tabItens[[#This Row],[Pend]] / tabItens[[#This Row],[Consumo]], 0 )</f>
        <v>0</v>
      </c>
      <c r="BI58" s="338"/>
      <c r="BJ58" s="407"/>
      <c r="BK58" s="408" t="s">
        <v>2086</v>
      </c>
    </row>
    <row r="59" spans="1:63" x14ac:dyDescent="0.3">
      <c r="A59" s="375">
        <v>12989</v>
      </c>
      <c r="B59" s="376" t="s">
        <v>986</v>
      </c>
      <c r="C59" s="377" t="s">
        <v>263</v>
      </c>
      <c r="D59" s="378">
        <v>6.66</v>
      </c>
      <c r="E59" s="305"/>
      <c r="F59" s="379"/>
      <c r="G59" s="379" t="s">
        <v>889</v>
      </c>
      <c r="H59" s="380">
        <v>0</v>
      </c>
      <c r="I59" s="307">
        <v>103003</v>
      </c>
      <c r="J59" s="308">
        <v>6.66</v>
      </c>
      <c r="K59" s="381">
        <v>130</v>
      </c>
      <c r="L59" s="382">
        <f>IF(tabItens[[#This Row],[Média]] &gt; 0, tabItens[[#This Row],[QTDE ATUAL]] / tabItens[[#This Row],[Média]],999.9)</f>
        <v>0</v>
      </c>
      <c r="M59" s="383">
        <v>0</v>
      </c>
      <c r="N59" s="384">
        <f>tabItens[[#This Row],[VALOR UNIT.]] * tabItens[[#This Row],[LC]]</f>
        <v>0</v>
      </c>
      <c r="O59" s="385" t="s">
        <v>2106</v>
      </c>
      <c r="P59" s="386"/>
      <c r="Q59" s="387"/>
      <c r="R59" s="312"/>
      <c r="S59" s="388"/>
      <c r="T59" s="389">
        <f>ROUNDDOWN(IFERROR(tabItens[[#This Row],[ATA DT.VALID.]] - $D$1,0) / 30,0)</f>
        <v>-1474</v>
      </c>
      <c r="U59" s="302" t="s">
        <v>987</v>
      </c>
      <c r="V59" s="318">
        <v>1</v>
      </c>
      <c r="W59" s="390" t="s">
        <v>2077</v>
      </c>
      <c r="X59" s="391">
        <v>55</v>
      </c>
      <c r="Y59" s="392">
        <v>7</v>
      </c>
      <c r="Z59" s="393">
        <v>10083</v>
      </c>
      <c r="AA59" s="394">
        <v>2023</v>
      </c>
      <c r="AB59" s="395">
        <v>300</v>
      </c>
      <c r="AC59" s="395"/>
      <c r="AD59" s="394"/>
      <c r="AE59" s="395"/>
      <c r="AF59" s="317"/>
      <c r="AG59" s="396" t="s">
        <v>2072</v>
      </c>
      <c r="AH59" s="397"/>
      <c r="AI59" s="317">
        <v>44</v>
      </c>
      <c r="AJ59" s="397">
        <v>43656</v>
      </c>
      <c r="AK59" s="326" t="s">
        <v>889</v>
      </c>
      <c r="AL59" s="326">
        <v>44917</v>
      </c>
      <c r="AM59" s="316"/>
      <c r="AN59" s="305"/>
      <c r="AO59" s="327" t="str">
        <f>_xlfn.IFNA(IF(VLOOKUP(tabItens[[#This Row],[CÓDIGO]],tabExcluirDoEstoque[#Data],1,FALSE),"sim",""),"")</f>
        <v/>
      </c>
      <c r="AP59" s="398" t="str">
        <f ca="1">IF(OR(ISBLANK(tabItens[[#This Row],[ATA DT.VALID.]]),tabItens[[#This Row],[ATA DT.VALID.]]="",tabItens[[#This Row],[ATA DT.VALID.]]=" "),"",IF(TYPE(tabItens[[#This Row],[ATA DT.VALID.]])=1,ROUNDUP((tabItens[[#This Row],[ATA DT.VALID.]]-TODAY())/7,0),""))</f>
        <v/>
      </c>
      <c r="AQ59" s="399">
        <v>0</v>
      </c>
      <c r="AR59" s="400" t="str">
        <f>IF(ISBLANK(tabItens[[#This Row],[CÓDIGO]]),"",IFERROR(VLOOKUP(tabItens[[#This Row],[CÓDIGO]],Consumo!$C$2:$AC$862,26,FALSE),0))</f>
        <v>07.2023</v>
      </c>
      <c r="AS59" s="401">
        <f>SUMIF(Consumo!$C$3:$C$862,tabItens[[#This Row],[CÓDIGO]],Consumo!$N$3:$N$862) + SUMIF(Consumo!$C$3:$C$862,tabItens[[#This Row],[CÓDIGO]],Consumo!$O$3:$O$862) + SUMIF(Consumo!$C$3:$C$862,tabItens[[#This Row],[CÓDIGO]],Consumo!$P$3:$P$862) + SUMIF(Consumo!$C$3:$C$862,tabItens[[#This Row],[CÓDIGO]],Consumo!$Q$3:$Q$862)</f>
        <v>16</v>
      </c>
      <c r="AT59" s="401">
        <f>SUMIF(Consumo!$C$3:$C$862,tabItens[[#This Row],[CÓDIGO]],Consumo!$Z$3:$Z$862)</f>
        <v>231</v>
      </c>
      <c r="AU59" s="402">
        <f>SUMIF(Consumo!$C$3:$C$862,tabItens[[#This Row],[CÓDIGO]],Consumo!$AA$3:$AA$862)</f>
        <v>68</v>
      </c>
      <c r="AV59" s="403">
        <f>SUMIF(Consumo!$C$3:$C$862,tabItens[[#This Row],[CÓDIGO]],Consumo!$Y$3:$Y$862)</f>
        <v>19.25</v>
      </c>
      <c r="AW59" s="380">
        <f>tabItens[[#This Row],[QTDE ATUAL]] + tabItens[[#This Row],[RC QTDE]] + tabItens[[#This Row],[AF SALDO]] + tabItens[[#This Row],[Recentes]]</f>
        <v>300</v>
      </c>
      <c r="AX59" s="404">
        <v>19</v>
      </c>
      <c r="AY59" s="404">
        <v>4</v>
      </c>
      <c r="AZ59" s="404">
        <f>IF(ISBLANK(tabItens[[#This Row],[CÓDIGO]]),"",tabItens[[#This Row],[PontoMês]] * (AZ$2+tabItens[[#This Row],[PontoQtM]]))</f>
        <v>76</v>
      </c>
      <c r="BA59" s="403">
        <f>tabItens[[#This Row],[PontoPed]] - tabItens[[#This Row],[Saldo]] + (1/10)</f>
        <v>-223.9</v>
      </c>
      <c r="BB59" s="403">
        <f xml:space="preserve"> tabItens[[#This Row],[PontoMês]] * BB$2 - tabItens[[#This Row],[QTDE ATUAL]] - (1/10)</f>
        <v>18.899999999999999</v>
      </c>
      <c r="BC59" s="335">
        <f>IF( tabItens[[#This Row],[PontoPed]]&gt;0, IF(tabItens[[#This Row],[PontoPed]]&lt;1, 1, IF( tabItens[[#This Row],[Saldo]]&gt;tabItens[[#This Row],[PontoPed]], 0, (tabItens[[#This Row],[PontoPed]]-tabItens[[#This Row],[Saldo]])/tabItens[[#This Row],[PontoPed]] ) ), 0 )</f>
        <v>0</v>
      </c>
      <c r="BD59" s="405">
        <f>ROUNDDOWN(IF( OR( AND(tabItens[[#This Row],[PontoPed]]&lt;tabItens[[#This Row],[Saldo]],tabItens[[#This Row],[Saldo]]&gt;0), tabItens[[#This Row],[PontoPed]]=0), 99, IF(AND(tabItens[[#This Row],[Saldo]]=0,tabItens[[#This Row],[PontoPed]]&gt;0), 0, (1-tabItens[[#This Row],[PctAb]])*10 ) ),0)</f>
        <v>99</v>
      </c>
      <c r="BE59" s="406">
        <f>MAX(ROUNDDOWN( IF(tabItens[[#This Row],[Abaixo]] &gt; 0,   tabItens[[#This Row],[Abaixo]] + (tabItens[[#This Row],[PontoMês]] * IF( OR( ISBLANK(tabItens[[#This Row],[ATA Nº/ANO]]), tabItens[[#This Row],[ATA Nº/ANO]] = ""),BE$2,BE$1)),0),0),0)</f>
        <v>0</v>
      </c>
      <c r="BF5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 s="338">
        <f>SUMIF(Consumo!$C$3:$C$862,tabItens[[#This Row],[CÓDIGO]],Consumo!$E$3:$E$862)</f>
        <v>100</v>
      </c>
      <c r="BH59" s="339">
        <f>IF(AND(tabItens[[#This Row],[Pend]] &gt; 0,tabItens[[#This Row],[Consumo]] &lt;&gt; 0), tabItens[[#This Row],[Pend]] / tabItens[[#This Row],[Consumo]], 0 )</f>
        <v>0.4329004329004329</v>
      </c>
      <c r="BI59" s="338"/>
      <c r="BJ59" s="407"/>
      <c r="BK59" s="408" t="s">
        <v>2086</v>
      </c>
    </row>
    <row r="60" spans="1:63" x14ac:dyDescent="0.3">
      <c r="A60" s="375">
        <v>15271</v>
      </c>
      <c r="B60" s="376" t="s">
        <v>1089</v>
      </c>
      <c r="C60" s="377" t="s">
        <v>263</v>
      </c>
      <c r="D60" s="378">
        <v>17.16</v>
      </c>
      <c r="E60" s="305"/>
      <c r="F60" s="379"/>
      <c r="G60" s="379" t="s">
        <v>889</v>
      </c>
      <c r="H60" s="380">
        <v>263</v>
      </c>
      <c r="I60" s="307">
        <v>103003</v>
      </c>
      <c r="J60" s="308">
        <v>17.16</v>
      </c>
      <c r="K60" s="381"/>
      <c r="L60" s="382">
        <f>IF(tabItens[[#This Row],[Média]] &gt; 0, tabItens[[#This Row],[QTDE ATUAL]] / tabItens[[#This Row],[Média]],999.9)</f>
        <v>999.9</v>
      </c>
      <c r="M60" s="383">
        <v>0</v>
      </c>
      <c r="N60" s="384">
        <f>tabItens[[#This Row],[VALOR UNIT.]] * tabItens[[#This Row],[LC]]</f>
        <v>0</v>
      </c>
      <c r="O60" s="385" t="s">
        <v>2106</v>
      </c>
      <c r="P60" s="386"/>
      <c r="Q60" s="387"/>
      <c r="R60" s="312"/>
      <c r="S60" s="388"/>
      <c r="T60" s="389">
        <f>ROUNDDOWN(IFERROR(tabItens[[#This Row],[ATA DT.VALID.]] - $D$1,0) / 30,0)</f>
        <v>-1474</v>
      </c>
      <c r="U60" s="302" t="s">
        <v>1088</v>
      </c>
      <c r="V60" s="318">
        <v>1</v>
      </c>
      <c r="W60" s="390" t="s">
        <v>2077</v>
      </c>
      <c r="X60" s="391">
        <v>55</v>
      </c>
      <c r="Y60" s="392">
        <v>34</v>
      </c>
      <c r="Z60" s="393"/>
      <c r="AA60" s="394"/>
      <c r="AB60" s="395"/>
      <c r="AC60" s="395"/>
      <c r="AD60" s="394"/>
      <c r="AE60" s="395"/>
      <c r="AF60" s="317"/>
      <c r="AG60" s="396" t="s">
        <v>2072</v>
      </c>
      <c r="AH60" s="397"/>
      <c r="AI60" s="317">
        <v>0</v>
      </c>
      <c r="AJ60" s="397">
        <v>42086</v>
      </c>
      <c r="AK60" s="326" t="s">
        <v>889</v>
      </c>
      <c r="AL60" s="326">
        <v>43004</v>
      </c>
      <c r="AM60" s="316"/>
      <c r="AN60" s="305"/>
      <c r="AO60" s="327" t="str">
        <f>_xlfn.IFNA(IF(VLOOKUP(tabItens[[#This Row],[CÓDIGO]],tabExcluirDoEstoque[#Data],1,FALSE),"sim",""),"")</f>
        <v/>
      </c>
      <c r="AP60" s="398" t="str">
        <f ca="1">IF(OR(ISBLANK(tabItens[[#This Row],[ATA DT.VALID.]]),tabItens[[#This Row],[ATA DT.VALID.]]="",tabItens[[#This Row],[ATA DT.VALID.]]=" "),"",IF(TYPE(tabItens[[#This Row],[ATA DT.VALID.]])=1,ROUNDUP((tabItens[[#This Row],[ATA DT.VALID.]]-TODAY())/7,0),""))</f>
        <v/>
      </c>
      <c r="AQ60" s="399">
        <v>0</v>
      </c>
      <c r="AR60" s="400">
        <f>IF(ISBLANK(tabItens[[#This Row],[CÓDIGO]]),"",IFERROR(VLOOKUP(tabItens[[#This Row],[CÓDIGO]],Consumo!$C$2:$AC$862,26,FALSE),0))</f>
        <v>0</v>
      </c>
      <c r="AS60" s="401">
        <f>SUMIF(Consumo!$C$3:$C$862,tabItens[[#This Row],[CÓDIGO]],Consumo!$N$3:$N$862) + SUMIF(Consumo!$C$3:$C$862,tabItens[[#This Row],[CÓDIGO]],Consumo!$O$3:$O$862) + SUMIF(Consumo!$C$3:$C$862,tabItens[[#This Row],[CÓDIGO]],Consumo!$P$3:$P$862) + SUMIF(Consumo!$C$3:$C$862,tabItens[[#This Row],[CÓDIGO]],Consumo!$Q$3:$Q$862)</f>
        <v>0</v>
      </c>
      <c r="AT60" s="401">
        <f>SUMIF(Consumo!$C$3:$C$862,tabItens[[#This Row],[CÓDIGO]],Consumo!$Z$3:$Z$862)</f>
        <v>0</v>
      </c>
      <c r="AU60" s="402">
        <f>SUMIF(Consumo!$C$3:$C$862,tabItens[[#This Row],[CÓDIGO]],Consumo!$AA$3:$AA$862)</f>
        <v>0</v>
      </c>
      <c r="AV60" s="403">
        <f>SUMIF(Consumo!$C$3:$C$862,tabItens[[#This Row],[CÓDIGO]],Consumo!$Y$3:$Y$862)</f>
        <v>0</v>
      </c>
      <c r="AW60" s="380">
        <f>tabItens[[#This Row],[QTDE ATUAL]] + tabItens[[#This Row],[RC QTDE]] + tabItens[[#This Row],[AF SALDO]] + tabItens[[#This Row],[Recentes]]</f>
        <v>263</v>
      </c>
      <c r="AX60" s="404">
        <v>5</v>
      </c>
      <c r="AY60" s="404">
        <v>4</v>
      </c>
      <c r="AZ60" s="404">
        <f>IF(ISBLANK(tabItens[[#This Row],[CÓDIGO]]),"",tabItens[[#This Row],[PontoMês]] * (AZ$2+tabItens[[#This Row],[PontoQtM]]))</f>
        <v>20</v>
      </c>
      <c r="BA60" s="403">
        <f>tabItens[[#This Row],[PontoPed]] - tabItens[[#This Row],[Saldo]] + (1/10)</f>
        <v>-242.9</v>
      </c>
      <c r="BB60" s="403">
        <f xml:space="preserve"> tabItens[[#This Row],[PontoMês]] * BB$2 - tabItens[[#This Row],[QTDE ATUAL]] - (1/10)</f>
        <v>-258.10000000000002</v>
      </c>
      <c r="BC60" s="335">
        <f>IF( tabItens[[#This Row],[PontoPed]]&gt;0, IF(tabItens[[#This Row],[PontoPed]]&lt;1, 1, IF( tabItens[[#This Row],[Saldo]]&gt;tabItens[[#This Row],[PontoPed]], 0, (tabItens[[#This Row],[PontoPed]]-tabItens[[#This Row],[Saldo]])/tabItens[[#This Row],[PontoPed]] ) ), 0 )</f>
        <v>0</v>
      </c>
      <c r="BD60" s="405">
        <f>ROUNDDOWN(IF( OR( AND(tabItens[[#This Row],[PontoPed]]&lt;tabItens[[#This Row],[Saldo]],tabItens[[#This Row],[Saldo]]&gt;0), tabItens[[#This Row],[PontoPed]]=0), 99, IF(AND(tabItens[[#This Row],[Saldo]]=0,tabItens[[#This Row],[PontoPed]]&gt;0), 0, (1-tabItens[[#This Row],[PctAb]])*10 ) ),0)</f>
        <v>99</v>
      </c>
      <c r="BE60" s="406">
        <f>MAX(ROUNDDOWN( IF(tabItens[[#This Row],[Abaixo]] &gt; 0,   tabItens[[#This Row],[Abaixo]] + (tabItens[[#This Row],[PontoMês]] * IF( OR( ISBLANK(tabItens[[#This Row],[ATA Nº/ANO]]), tabItens[[#This Row],[ATA Nº/ANO]] = ""),BE$2,BE$1)),0),0),0)</f>
        <v>0</v>
      </c>
      <c r="BF6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 s="338">
        <f>SUMIF(Consumo!$C$3:$C$862,tabItens[[#This Row],[CÓDIGO]],Consumo!$E$3:$E$862)</f>
        <v>0</v>
      </c>
      <c r="BH60" s="339">
        <f>IF(AND(tabItens[[#This Row],[Pend]] &gt; 0,tabItens[[#This Row],[Consumo]] &lt;&gt; 0), tabItens[[#This Row],[Pend]] / tabItens[[#This Row],[Consumo]], 0 )</f>
        <v>0</v>
      </c>
      <c r="BI60" s="338"/>
      <c r="BJ60" s="407"/>
      <c r="BK60" s="408" t="s">
        <v>2086</v>
      </c>
    </row>
    <row r="61" spans="1:63" x14ac:dyDescent="0.3">
      <c r="A61" s="375">
        <v>15465</v>
      </c>
      <c r="B61" s="376" t="s">
        <v>1094</v>
      </c>
      <c r="C61" s="377" t="s">
        <v>263</v>
      </c>
      <c r="D61" s="378">
        <v>33.25</v>
      </c>
      <c r="E61" s="305"/>
      <c r="F61" s="379"/>
      <c r="G61" s="379" t="s">
        <v>889</v>
      </c>
      <c r="H61" s="380">
        <v>135</v>
      </c>
      <c r="I61" s="307">
        <v>103003</v>
      </c>
      <c r="J61" s="308">
        <v>33.25</v>
      </c>
      <c r="K61" s="381">
        <v>30</v>
      </c>
      <c r="L61" s="382">
        <f>IF(tabItens[[#This Row],[Média]] &gt; 0, tabItens[[#This Row],[QTDE ATUAL]] / tabItens[[#This Row],[Média]],999.9)</f>
        <v>67.5</v>
      </c>
      <c r="M61" s="383">
        <v>0</v>
      </c>
      <c r="N61" s="384">
        <f>tabItens[[#This Row],[VALOR UNIT.]] * tabItens[[#This Row],[LC]]</f>
        <v>0</v>
      </c>
      <c r="O61" s="385" t="s">
        <v>2106</v>
      </c>
      <c r="P61" s="386"/>
      <c r="Q61" s="387"/>
      <c r="R61" s="312"/>
      <c r="S61" s="388"/>
      <c r="T61" s="389">
        <f>ROUNDDOWN(IFERROR(tabItens[[#This Row],[ATA DT.VALID.]] - $D$1,0) / 30,0)</f>
        <v>-1474</v>
      </c>
      <c r="U61" s="302" t="s">
        <v>1088</v>
      </c>
      <c r="V61" s="318">
        <v>1</v>
      </c>
      <c r="W61" s="390" t="s">
        <v>2077</v>
      </c>
      <c r="X61" s="391">
        <v>55</v>
      </c>
      <c r="Y61" s="392">
        <v>34</v>
      </c>
      <c r="Z61" s="393"/>
      <c r="AA61" s="394"/>
      <c r="AB61" s="395"/>
      <c r="AC61" s="395"/>
      <c r="AD61" s="394"/>
      <c r="AE61" s="395"/>
      <c r="AF61" s="317"/>
      <c r="AG61" s="396" t="s">
        <v>2072</v>
      </c>
      <c r="AH61" s="397"/>
      <c r="AI61" s="317">
        <v>10</v>
      </c>
      <c r="AJ61" s="397">
        <v>42086</v>
      </c>
      <c r="AK61" s="326" t="s">
        <v>889</v>
      </c>
      <c r="AL61" s="326">
        <v>43584</v>
      </c>
      <c r="AM61" s="316"/>
      <c r="AN61" s="305"/>
      <c r="AO61" s="327" t="str">
        <f>_xlfn.IFNA(IF(VLOOKUP(tabItens[[#This Row],[CÓDIGO]],tabExcluirDoEstoque[#Data],1,FALSE),"sim",""),"")</f>
        <v/>
      </c>
      <c r="AP61" s="398" t="str">
        <f ca="1">IF(OR(ISBLANK(tabItens[[#This Row],[ATA DT.VALID.]]),tabItens[[#This Row],[ATA DT.VALID.]]="",tabItens[[#This Row],[ATA DT.VALID.]]=" "),"",IF(TYPE(tabItens[[#This Row],[ATA DT.VALID.]])=1,ROUNDUP((tabItens[[#This Row],[ATA DT.VALID.]]-TODAY())/7,0),""))</f>
        <v/>
      </c>
      <c r="AQ61" s="399">
        <v>0</v>
      </c>
      <c r="AR61" s="400" t="str">
        <f>IF(ISBLANK(tabItens[[#This Row],[CÓDIGO]]),"",IFERROR(VLOOKUP(tabItens[[#This Row],[CÓDIGO]],Consumo!$C$2:$AC$862,26,FALSE),0))</f>
        <v>06.2023</v>
      </c>
      <c r="AS61" s="401">
        <f>SUMIF(Consumo!$C$3:$C$862,tabItens[[#This Row],[CÓDIGO]],Consumo!$N$3:$N$862) + SUMIF(Consumo!$C$3:$C$862,tabItens[[#This Row],[CÓDIGO]],Consumo!$O$3:$O$862) + SUMIF(Consumo!$C$3:$C$862,tabItens[[#This Row],[CÓDIGO]],Consumo!$P$3:$P$862) + SUMIF(Consumo!$C$3:$C$862,tabItens[[#This Row],[CÓDIGO]],Consumo!$Q$3:$Q$862)</f>
        <v>20</v>
      </c>
      <c r="AT61" s="401">
        <f>SUMIF(Consumo!$C$3:$C$862,tabItens[[#This Row],[CÓDIGO]],Consumo!$Z$3:$Z$862)</f>
        <v>30</v>
      </c>
      <c r="AU61" s="402">
        <f>SUMIF(Consumo!$C$3:$C$862,tabItens[[#This Row],[CÓDIGO]],Consumo!$AA$3:$AA$862)</f>
        <v>20</v>
      </c>
      <c r="AV61" s="403">
        <f>SUMIF(Consumo!$C$3:$C$862,tabItens[[#This Row],[CÓDIGO]],Consumo!$Y$3:$Y$862)</f>
        <v>2</v>
      </c>
      <c r="AW61" s="380">
        <f>tabItens[[#This Row],[QTDE ATUAL]] + tabItens[[#This Row],[RC QTDE]] + tabItens[[#This Row],[AF SALDO]] + tabItens[[#This Row],[Recentes]]</f>
        <v>135</v>
      </c>
      <c r="AX61" s="404">
        <v>5</v>
      </c>
      <c r="AY61" s="404">
        <v>4</v>
      </c>
      <c r="AZ61" s="404">
        <f>IF(ISBLANK(tabItens[[#This Row],[CÓDIGO]]),"",tabItens[[#This Row],[PontoMês]] * (AZ$2+tabItens[[#This Row],[PontoQtM]]))</f>
        <v>20</v>
      </c>
      <c r="BA61" s="403">
        <f>tabItens[[#This Row],[PontoPed]] - tabItens[[#This Row],[Saldo]] + (1/10)</f>
        <v>-114.9</v>
      </c>
      <c r="BB61" s="403">
        <f xml:space="preserve"> tabItens[[#This Row],[PontoMês]] * BB$2 - tabItens[[#This Row],[QTDE ATUAL]] - (1/10)</f>
        <v>-130.1</v>
      </c>
      <c r="BC61" s="335">
        <f>IF( tabItens[[#This Row],[PontoPed]]&gt;0, IF(tabItens[[#This Row],[PontoPed]]&lt;1, 1, IF( tabItens[[#This Row],[Saldo]]&gt;tabItens[[#This Row],[PontoPed]], 0, (tabItens[[#This Row],[PontoPed]]-tabItens[[#This Row],[Saldo]])/tabItens[[#This Row],[PontoPed]] ) ), 0 )</f>
        <v>0</v>
      </c>
      <c r="BD61" s="405">
        <f>ROUNDDOWN(IF( OR( AND(tabItens[[#This Row],[PontoPed]]&lt;tabItens[[#This Row],[Saldo]],tabItens[[#This Row],[Saldo]]&gt;0), tabItens[[#This Row],[PontoPed]]=0), 99, IF(AND(tabItens[[#This Row],[Saldo]]=0,tabItens[[#This Row],[PontoPed]]&gt;0), 0, (1-tabItens[[#This Row],[PctAb]])*10 ) ),0)</f>
        <v>99</v>
      </c>
      <c r="BE61" s="406">
        <f>MAX(ROUNDDOWN( IF(tabItens[[#This Row],[Abaixo]] &gt; 0,   tabItens[[#This Row],[Abaixo]] + (tabItens[[#This Row],[PontoMês]] * IF( OR( ISBLANK(tabItens[[#This Row],[ATA Nº/ANO]]), tabItens[[#This Row],[ATA Nº/ANO]] = ""),BE$2,BE$1)),0),0),0)</f>
        <v>0</v>
      </c>
      <c r="BF6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 s="338">
        <f>SUMIF(Consumo!$C$3:$C$862,tabItens[[#This Row],[CÓDIGO]],Consumo!$E$3:$E$862)</f>
        <v>0</v>
      </c>
      <c r="BH61" s="339">
        <f>IF(AND(tabItens[[#This Row],[Pend]] &gt; 0,tabItens[[#This Row],[Consumo]] &lt;&gt; 0), tabItens[[#This Row],[Pend]] / tabItens[[#This Row],[Consumo]], 0 )</f>
        <v>0</v>
      </c>
      <c r="BI61" s="338"/>
      <c r="BJ61" s="407"/>
      <c r="BK61" s="408" t="s">
        <v>2086</v>
      </c>
    </row>
    <row r="62" spans="1:63" x14ac:dyDescent="0.3">
      <c r="A62" s="375">
        <v>15466</v>
      </c>
      <c r="B62" s="376" t="s">
        <v>1095</v>
      </c>
      <c r="C62" s="377" t="s">
        <v>263</v>
      </c>
      <c r="D62" s="378">
        <v>2.16</v>
      </c>
      <c r="E62" s="305"/>
      <c r="F62" s="379"/>
      <c r="G62" s="379" t="s">
        <v>889</v>
      </c>
      <c r="H62" s="380">
        <v>192</v>
      </c>
      <c r="I62" s="307">
        <v>103003</v>
      </c>
      <c r="J62" s="308">
        <v>2.16</v>
      </c>
      <c r="K62" s="381">
        <v>39</v>
      </c>
      <c r="L62" s="382">
        <f>IF(tabItens[[#This Row],[Média]] &gt; 0, tabItens[[#This Row],[QTDE ATUAL]] / tabItens[[#This Row],[Média]],999.9)</f>
        <v>65.828571428571436</v>
      </c>
      <c r="M62" s="383">
        <v>0</v>
      </c>
      <c r="N62" s="384">
        <f>tabItens[[#This Row],[VALOR UNIT.]] * tabItens[[#This Row],[LC]]</f>
        <v>0</v>
      </c>
      <c r="O62" s="385" t="s">
        <v>2106</v>
      </c>
      <c r="P62" s="386"/>
      <c r="Q62" s="387"/>
      <c r="R62" s="312"/>
      <c r="S62" s="388"/>
      <c r="T62" s="389">
        <f>ROUNDDOWN(IFERROR(tabItens[[#This Row],[ATA DT.VALID.]] - $D$1,0) / 30,0)</f>
        <v>-1474</v>
      </c>
      <c r="U62" s="302" t="s">
        <v>1088</v>
      </c>
      <c r="V62" s="318">
        <v>1</v>
      </c>
      <c r="W62" s="390" t="s">
        <v>2077</v>
      </c>
      <c r="X62" s="391">
        <v>55</v>
      </c>
      <c r="Y62" s="392">
        <v>34</v>
      </c>
      <c r="Z62" s="393"/>
      <c r="AA62" s="394"/>
      <c r="AB62" s="395"/>
      <c r="AC62" s="395"/>
      <c r="AD62" s="394"/>
      <c r="AE62" s="395"/>
      <c r="AF62" s="317"/>
      <c r="AG62" s="396" t="s">
        <v>2072</v>
      </c>
      <c r="AH62" s="397"/>
      <c r="AI62" s="317">
        <v>14</v>
      </c>
      <c r="AJ62" s="397">
        <v>42076</v>
      </c>
      <c r="AK62" s="326" t="s">
        <v>889</v>
      </c>
      <c r="AL62" s="326">
        <v>42111</v>
      </c>
      <c r="AM62" s="316"/>
      <c r="AN62" s="305"/>
      <c r="AO62" s="327" t="str">
        <f>_xlfn.IFNA(IF(VLOOKUP(tabItens[[#This Row],[CÓDIGO]],tabExcluirDoEstoque[#Data],1,FALSE),"sim",""),"")</f>
        <v/>
      </c>
      <c r="AP62" s="398" t="str">
        <f ca="1">IF(OR(ISBLANK(tabItens[[#This Row],[ATA DT.VALID.]]),tabItens[[#This Row],[ATA DT.VALID.]]="",tabItens[[#This Row],[ATA DT.VALID.]]=" "),"",IF(TYPE(tabItens[[#This Row],[ATA DT.VALID.]])=1,ROUNDUP((tabItens[[#This Row],[ATA DT.VALID.]]-TODAY())/7,0),""))</f>
        <v/>
      </c>
      <c r="AQ62" s="399">
        <v>0</v>
      </c>
      <c r="AR62" s="400" t="str">
        <f>IF(ISBLANK(tabItens[[#This Row],[CÓDIGO]]),"",IFERROR(VLOOKUP(tabItens[[#This Row],[CÓDIGO]],Consumo!$C$2:$AC$862,26,FALSE),0))</f>
        <v>06.2023</v>
      </c>
      <c r="AS62" s="401">
        <f>SUMIF(Consumo!$C$3:$C$862,tabItens[[#This Row],[CÓDIGO]],Consumo!$N$3:$N$862) + SUMIF(Consumo!$C$3:$C$862,tabItens[[#This Row],[CÓDIGO]],Consumo!$O$3:$O$862) + SUMIF(Consumo!$C$3:$C$862,tabItens[[#This Row],[CÓDIGO]],Consumo!$P$3:$P$862) + SUMIF(Consumo!$C$3:$C$862,tabItens[[#This Row],[CÓDIGO]],Consumo!$Q$3:$Q$862)</f>
        <v>20</v>
      </c>
      <c r="AT62" s="401">
        <f>SUMIF(Consumo!$C$3:$C$862,tabItens[[#This Row],[CÓDIGO]],Consumo!$Z$3:$Z$862)</f>
        <v>39</v>
      </c>
      <c r="AU62" s="402">
        <f>SUMIF(Consumo!$C$3:$C$862,tabItens[[#This Row],[CÓDIGO]],Consumo!$AA$3:$AA$862)</f>
        <v>20</v>
      </c>
      <c r="AV62" s="403">
        <f>SUMIF(Consumo!$C$3:$C$862,tabItens[[#This Row],[CÓDIGO]],Consumo!$Y$3:$Y$862)</f>
        <v>2.9166666666666665</v>
      </c>
      <c r="AW62" s="380">
        <f>tabItens[[#This Row],[QTDE ATUAL]] + tabItens[[#This Row],[RC QTDE]] + tabItens[[#This Row],[AF SALDO]] + tabItens[[#This Row],[Recentes]]</f>
        <v>192</v>
      </c>
      <c r="AX62" s="404">
        <v>15</v>
      </c>
      <c r="AY62" s="404">
        <v>4</v>
      </c>
      <c r="AZ62" s="404">
        <f>IF(ISBLANK(tabItens[[#This Row],[CÓDIGO]]),"",tabItens[[#This Row],[PontoMês]] * (AZ$2+tabItens[[#This Row],[PontoQtM]]))</f>
        <v>60</v>
      </c>
      <c r="BA62" s="403">
        <f>tabItens[[#This Row],[PontoPed]] - tabItens[[#This Row],[Saldo]] + (1/10)</f>
        <v>-131.9</v>
      </c>
      <c r="BB62" s="403">
        <f xml:space="preserve"> tabItens[[#This Row],[PontoMês]] * BB$2 - tabItens[[#This Row],[QTDE ATUAL]] - (1/10)</f>
        <v>-177.1</v>
      </c>
      <c r="BC62" s="335">
        <f>IF( tabItens[[#This Row],[PontoPed]]&gt;0, IF(tabItens[[#This Row],[PontoPed]]&lt;1, 1, IF( tabItens[[#This Row],[Saldo]]&gt;tabItens[[#This Row],[PontoPed]], 0, (tabItens[[#This Row],[PontoPed]]-tabItens[[#This Row],[Saldo]])/tabItens[[#This Row],[PontoPed]] ) ), 0 )</f>
        <v>0</v>
      </c>
      <c r="BD62" s="405">
        <f>ROUNDDOWN(IF( OR( AND(tabItens[[#This Row],[PontoPed]]&lt;tabItens[[#This Row],[Saldo]],tabItens[[#This Row],[Saldo]]&gt;0), tabItens[[#This Row],[PontoPed]]=0), 99, IF(AND(tabItens[[#This Row],[Saldo]]=0,tabItens[[#This Row],[PontoPed]]&gt;0), 0, (1-tabItens[[#This Row],[PctAb]])*10 ) ),0)</f>
        <v>99</v>
      </c>
      <c r="BE62" s="406">
        <f>MAX(ROUNDDOWN( IF(tabItens[[#This Row],[Abaixo]] &gt; 0,   tabItens[[#This Row],[Abaixo]] + (tabItens[[#This Row],[PontoMês]] * IF( OR( ISBLANK(tabItens[[#This Row],[ATA Nº/ANO]]), tabItens[[#This Row],[ATA Nº/ANO]] = ""),BE$2,BE$1)),0),0),0)</f>
        <v>0</v>
      </c>
      <c r="BF6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 s="338">
        <f>SUMIF(Consumo!$C$3:$C$862,tabItens[[#This Row],[CÓDIGO]],Consumo!$E$3:$E$862)</f>
        <v>0</v>
      </c>
      <c r="BH62" s="339">
        <f>IF(AND(tabItens[[#This Row],[Pend]] &gt; 0,tabItens[[#This Row],[Consumo]] &lt;&gt; 0), tabItens[[#This Row],[Pend]] / tabItens[[#This Row],[Consumo]], 0 )</f>
        <v>0</v>
      </c>
      <c r="BI62" s="338"/>
      <c r="BJ62" s="407"/>
      <c r="BK62" s="408" t="s">
        <v>2086</v>
      </c>
    </row>
    <row r="63" spans="1:63" x14ac:dyDescent="0.3">
      <c r="A63" s="375">
        <v>15467</v>
      </c>
      <c r="B63" s="376" t="s">
        <v>1096</v>
      </c>
      <c r="C63" s="377" t="s">
        <v>263</v>
      </c>
      <c r="D63" s="378">
        <v>3.8</v>
      </c>
      <c r="E63" s="305"/>
      <c r="F63" s="379"/>
      <c r="G63" s="379" t="s">
        <v>889</v>
      </c>
      <c r="H63" s="380">
        <v>37</v>
      </c>
      <c r="I63" s="307">
        <v>103003</v>
      </c>
      <c r="J63" s="308">
        <v>3.8</v>
      </c>
      <c r="K63" s="381">
        <v>26</v>
      </c>
      <c r="L63" s="382">
        <f>IF(tabItens[[#This Row],[Média]] &gt; 0, tabItens[[#This Row],[QTDE ATUAL]] / tabItens[[#This Row],[Média]],999.9)</f>
        <v>24.666666666666668</v>
      </c>
      <c r="M63" s="383">
        <v>0</v>
      </c>
      <c r="N63" s="384">
        <f>tabItens[[#This Row],[VALOR UNIT.]] * tabItens[[#This Row],[LC]]</f>
        <v>0</v>
      </c>
      <c r="O63" s="385" t="s">
        <v>2106</v>
      </c>
      <c r="P63" s="386"/>
      <c r="Q63" s="387"/>
      <c r="R63" s="312"/>
      <c r="S63" s="388"/>
      <c r="T63" s="389">
        <f>ROUNDDOWN(IFERROR(tabItens[[#This Row],[ATA DT.VALID.]] - $D$1,0) / 30,0)</f>
        <v>-1474</v>
      </c>
      <c r="U63" s="302" t="s">
        <v>1088</v>
      </c>
      <c r="V63" s="318">
        <v>1</v>
      </c>
      <c r="W63" s="390" t="s">
        <v>2077</v>
      </c>
      <c r="X63" s="391">
        <v>55</v>
      </c>
      <c r="Y63" s="392">
        <v>34</v>
      </c>
      <c r="Z63" s="393"/>
      <c r="AA63" s="394"/>
      <c r="AB63" s="395"/>
      <c r="AC63" s="395"/>
      <c r="AD63" s="394"/>
      <c r="AE63" s="395"/>
      <c r="AF63" s="317"/>
      <c r="AG63" s="396" t="s">
        <v>2072</v>
      </c>
      <c r="AH63" s="397"/>
      <c r="AI63" s="317">
        <v>8</v>
      </c>
      <c r="AJ63" s="397">
        <v>42076</v>
      </c>
      <c r="AK63" s="326" t="s">
        <v>889</v>
      </c>
      <c r="AL63" s="326">
        <v>43004</v>
      </c>
      <c r="AM63" s="316"/>
      <c r="AN63" s="305"/>
      <c r="AO63" s="327" t="str">
        <f>_xlfn.IFNA(IF(VLOOKUP(tabItens[[#This Row],[CÓDIGO]],tabExcluirDoEstoque[#Data],1,FALSE),"sim",""),"")</f>
        <v/>
      </c>
      <c r="AP63" s="398" t="str">
        <f ca="1">IF(OR(ISBLANK(tabItens[[#This Row],[ATA DT.VALID.]]),tabItens[[#This Row],[ATA DT.VALID.]]="",tabItens[[#This Row],[ATA DT.VALID.]]=" "),"",IF(TYPE(tabItens[[#This Row],[ATA DT.VALID.]])=1,ROUNDUP((tabItens[[#This Row],[ATA DT.VALID.]]-TODAY())/7,0),""))</f>
        <v/>
      </c>
      <c r="AQ63" s="399">
        <v>0</v>
      </c>
      <c r="AR63" s="400" t="str">
        <f>IF(ISBLANK(tabItens[[#This Row],[CÓDIGO]]),"",IFERROR(VLOOKUP(tabItens[[#This Row],[CÓDIGO]],Consumo!$C$2:$AC$862,26,FALSE),0))</f>
        <v>06.2023</v>
      </c>
      <c r="AS63" s="401">
        <f>SUMIF(Consumo!$C$3:$C$862,tabItens[[#This Row],[CÓDIGO]],Consumo!$N$3:$N$862) + SUMIF(Consumo!$C$3:$C$862,tabItens[[#This Row],[CÓDIGO]],Consumo!$O$3:$O$862) + SUMIF(Consumo!$C$3:$C$862,tabItens[[#This Row],[CÓDIGO]],Consumo!$P$3:$P$862) + SUMIF(Consumo!$C$3:$C$862,tabItens[[#This Row],[CÓDIGO]],Consumo!$Q$3:$Q$862)</f>
        <v>23</v>
      </c>
      <c r="AT63" s="401">
        <f>SUMIF(Consumo!$C$3:$C$862,tabItens[[#This Row],[CÓDIGO]],Consumo!$Z$3:$Z$862)</f>
        <v>26</v>
      </c>
      <c r="AU63" s="402">
        <f>SUMIF(Consumo!$C$3:$C$862,tabItens[[#This Row],[CÓDIGO]],Consumo!$AA$3:$AA$862)</f>
        <v>23</v>
      </c>
      <c r="AV63" s="403">
        <f>SUMIF(Consumo!$C$3:$C$862,tabItens[[#This Row],[CÓDIGO]],Consumo!$Y$3:$Y$862)</f>
        <v>1.5</v>
      </c>
      <c r="AW63" s="380">
        <f>tabItens[[#This Row],[QTDE ATUAL]] + tabItens[[#This Row],[RC QTDE]] + tabItens[[#This Row],[AF SALDO]] + tabItens[[#This Row],[Recentes]]</f>
        <v>37</v>
      </c>
      <c r="AX63" s="404">
        <v>10</v>
      </c>
      <c r="AY63" s="404">
        <v>4</v>
      </c>
      <c r="AZ63" s="404">
        <f>IF(ISBLANK(tabItens[[#This Row],[CÓDIGO]]),"",tabItens[[#This Row],[PontoMês]] * (AZ$2+tabItens[[#This Row],[PontoQtM]]))</f>
        <v>40</v>
      </c>
      <c r="BA63" s="403">
        <f>tabItens[[#This Row],[PontoPed]] - tabItens[[#This Row],[Saldo]] + (1/10)</f>
        <v>3.1</v>
      </c>
      <c r="BB63" s="403">
        <f xml:space="preserve"> tabItens[[#This Row],[PontoMês]] * BB$2 - tabItens[[#This Row],[QTDE ATUAL]] - (1/10)</f>
        <v>-27.1</v>
      </c>
      <c r="BC63" s="335">
        <f>IF( tabItens[[#This Row],[PontoPed]]&gt;0, IF(tabItens[[#This Row],[PontoPed]]&lt;1, 1, IF( tabItens[[#This Row],[Saldo]]&gt;tabItens[[#This Row],[PontoPed]], 0, (tabItens[[#This Row],[PontoPed]]-tabItens[[#This Row],[Saldo]])/tabItens[[#This Row],[PontoPed]] ) ), 0 )</f>
        <v>7.4999999999999997E-2</v>
      </c>
      <c r="BD63" s="405">
        <f>ROUNDDOWN(IF( OR( AND(tabItens[[#This Row],[PontoPed]]&lt;tabItens[[#This Row],[Saldo]],tabItens[[#This Row],[Saldo]]&gt;0), tabItens[[#This Row],[PontoPed]]=0), 99, IF(AND(tabItens[[#This Row],[Saldo]]=0,tabItens[[#This Row],[PontoPed]]&gt;0), 0, (1-tabItens[[#This Row],[PctAb]])*10 ) ),0)</f>
        <v>9</v>
      </c>
      <c r="BE63" s="406">
        <f>MAX(ROUNDDOWN( IF(tabItens[[#This Row],[Abaixo]] &gt; 0,   tabItens[[#This Row],[Abaixo]] + (tabItens[[#This Row],[PontoMês]] * IF( OR( ISBLANK(tabItens[[#This Row],[ATA Nº/ANO]]), tabItens[[#This Row],[ATA Nº/ANO]] = ""),BE$2,BE$1)),0),0),0)</f>
        <v>33</v>
      </c>
      <c r="BF6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 s="338">
        <f>SUMIF(Consumo!$C$3:$C$862,tabItens[[#This Row],[CÓDIGO]],Consumo!$E$3:$E$862)</f>
        <v>0</v>
      </c>
      <c r="BH63" s="339">
        <f>IF(AND(tabItens[[#This Row],[Pend]] &gt; 0,tabItens[[#This Row],[Consumo]] &lt;&gt; 0), tabItens[[#This Row],[Pend]] / tabItens[[#This Row],[Consumo]], 0 )</f>
        <v>0</v>
      </c>
      <c r="BI63" s="338"/>
      <c r="BJ63" s="407"/>
      <c r="BK63" s="408" t="s">
        <v>2086</v>
      </c>
    </row>
    <row r="64" spans="1:63" x14ac:dyDescent="0.3">
      <c r="A64" s="375">
        <v>15473</v>
      </c>
      <c r="B64" s="376" t="s">
        <v>1098</v>
      </c>
      <c r="C64" s="377" t="s">
        <v>263</v>
      </c>
      <c r="D64" s="378">
        <v>17</v>
      </c>
      <c r="E64" s="305"/>
      <c r="F64" s="379"/>
      <c r="G64" s="379" t="s">
        <v>889</v>
      </c>
      <c r="H64" s="380">
        <v>74</v>
      </c>
      <c r="I64" s="307">
        <v>103003</v>
      </c>
      <c r="J64" s="308">
        <v>17</v>
      </c>
      <c r="K64" s="381">
        <v>24</v>
      </c>
      <c r="L64" s="382">
        <f>IF(tabItens[[#This Row],[Média]] &gt; 0, tabItens[[#This Row],[QTDE ATUAL]] / tabItens[[#This Row],[Média]],999.9)</f>
        <v>59.2</v>
      </c>
      <c r="M64" s="383">
        <v>0</v>
      </c>
      <c r="N64" s="384">
        <f>tabItens[[#This Row],[VALOR UNIT.]] * tabItens[[#This Row],[LC]]</f>
        <v>0</v>
      </c>
      <c r="O64" s="385" t="s">
        <v>2106</v>
      </c>
      <c r="P64" s="386"/>
      <c r="Q64" s="387"/>
      <c r="R64" s="312"/>
      <c r="S64" s="388"/>
      <c r="T64" s="389">
        <f>ROUNDDOWN(IFERROR(tabItens[[#This Row],[ATA DT.VALID.]] - $D$1,0) / 30,0)</f>
        <v>-1474</v>
      </c>
      <c r="U64" s="302" t="s">
        <v>1088</v>
      </c>
      <c r="V64" s="318">
        <v>1</v>
      </c>
      <c r="W64" s="390" t="s">
        <v>2077</v>
      </c>
      <c r="X64" s="391">
        <v>55</v>
      </c>
      <c r="Y64" s="392">
        <v>34</v>
      </c>
      <c r="Z64" s="393"/>
      <c r="AA64" s="394"/>
      <c r="AB64" s="395"/>
      <c r="AC64" s="395"/>
      <c r="AD64" s="394"/>
      <c r="AE64" s="395"/>
      <c r="AF64" s="317"/>
      <c r="AG64" s="396" t="s">
        <v>2072</v>
      </c>
      <c r="AH64" s="397"/>
      <c r="AI64" s="317">
        <v>0</v>
      </c>
      <c r="AJ64" s="397">
        <v>42076</v>
      </c>
      <c r="AK64" s="326" t="s">
        <v>889</v>
      </c>
      <c r="AL64" s="326">
        <v>44146</v>
      </c>
      <c r="AM64" s="316"/>
      <c r="AN64" s="305"/>
      <c r="AO64" s="327" t="str">
        <f>_xlfn.IFNA(IF(VLOOKUP(tabItens[[#This Row],[CÓDIGO]],tabExcluirDoEstoque[#Data],1,FALSE),"sim",""),"")</f>
        <v/>
      </c>
      <c r="AP64" s="398" t="str">
        <f ca="1">IF(OR(ISBLANK(tabItens[[#This Row],[ATA DT.VALID.]]),tabItens[[#This Row],[ATA DT.VALID.]]="",tabItens[[#This Row],[ATA DT.VALID.]]=" "),"",IF(TYPE(tabItens[[#This Row],[ATA DT.VALID.]])=1,ROUNDUP((tabItens[[#This Row],[ATA DT.VALID.]]-TODAY())/7,0),""))</f>
        <v/>
      </c>
      <c r="AQ64" s="399">
        <v>0</v>
      </c>
      <c r="AR64" s="400" t="str">
        <f>IF(ISBLANK(tabItens[[#This Row],[CÓDIGO]]),"",IFERROR(VLOOKUP(tabItens[[#This Row],[CÓDIGO]],Consumo!$C$2:$AC$862,26,FALSE),0))</f>
        <v>06.2023</v>
      </c>
      <c r="AS64" s="401">
        <f>SUMIF(Consumo!$C$3:$C$862,tabItens[[#This Row],[CÓDIGO]],Consumo!$N$3:$N$862) + SUMIF(Consumo!$C$3:$C$862,tabItens[[#This Row],[CÓDIGO]],Consumo!$O$3:$O$862) + SUMIF(Consumo!$C$3:$C$862,tabItens[[#This Row],[CÓDIGO]],Consumo!$P$3:$P$862) + SUMIF(Consumo!$C$3:$C$862,tabItens[[#This Row],[CÓDIGO]],Consumo!$Q$3:$Q$862)</f>
        <v>24</v>
      </c>
      <c r="AT64" s="401">
        <f>SUMIF(Consumo!$C$3:$C$862,tabItens[[#This Row],[CÓDIGO]],Consumo!$Z$3:$Z$862)</f>
        <v>24</v>
      </c>
      <c r="AU64" s="402">
        <f>SUMIF(Consumo!$C$3:$C$862,tabItens[[#This Row],[CÓDIGO]],Consumo!$AA$3:$AA$862)</f>
        <v>24</v>
      </c>
      <c r="AV64" s="403">
        <f>SUMIF(Consumo!$C$3:$C$862,tabItens[[#This Row],[CÓDIGO]],Consumo!$Y$3:$Y$862)</f>
        <v>1.25</v>
      </c>
      <c r="AW64" s="380">
        <f>tabItens[[#This Row],[QTDE ATUAL]] + tabItens[[#This Row],[RC QTDE]] + tabItens[[#This Row],[AF SALDO]] + tabItens[[#This Row],[Recentes]]</f>
        <v>74</v>
      </c>
      <c r="AX64" s="404">
        <v>5</v>
      </c>
      <c r="AY64" s="404">
        <v>4</v>
      </c>
      <c r="AZ64" s="404">
        <f>IF(ISBLANK(tabItens[[#This Row],[CÓDIGO]]),"",tabItens[[#This Row],[PontoMês]] * (AZ$2+tabItens[[#This Row],[PontoQtM]]))</f>
        <v>20</v>
      </c>
      <c r="BA64" s="403">
        <f>tabItens[[#This Row],[PontoPed]] - tabItens[[#This Row],[Saldo]] + (1/10)</f>
        <v>-53.9</v>
      </c>
      <c r="BB64" s="403">
        <f xml:space="preserve"> tabItens[[#This Row],[PontoMês]] * BB$2 - tabItens[[#This Row],[QTDE ATUAL]] - (1/10)</f>
        <v>-69.099999999999994</v>
      </c>
      <c r="BC64" s="335">
        <f>IF( tabItens[[#This Row],[PontoPed]]&gt;0, IF(tabItens[[#This Row],[PontoPed]]&lt;1, 1, IF( tabItens[[#This Row],[Saldo]]&gt;tabItens[[#This Row],[PontoPed]], 0, (tabItens[[#This Row],[PontoPed]]-tabItens[[#This Row],[Saldo]])/tabItens[[#This Row],[PontoPed]] ) ), 0 )</f>
        <v>0</v>
      </c>
      <c r="BD64" s="405">
        <f>ROUNDDOWN(IF( OR( AND(tabItens[[#This Row],[PontoPed]]&lt;tabItens[[#This Row],[Saldo]],tabItens[[#This Row],[Saldo]]&gt;0), tabItens[[#This Row],[PontoPed]]=0), 99, IF(AND(tabItens[[#This Row],[Saldo]]=0,tabItens[[#This Row],[PontoPed]]&gt;0), 0, (1-tabItens[[#This Row],[PctAb]])*10 ) ),0)</f>
        <v>99</v>
      </c>
      <c r="BE64" s="406">
        <f>MAX(ROUNDDOWN( IF(tabItens[[#This Row],[Abaixo]] &gt; 0,   tabItens[[#This Row],[Abaixo]] + (tabItens[[#This Row],[PontoMês]] * IF( OR( ISBLANK(tabItens[[#This Row],[ATA Nº/ANO]]), tabItens[[#This Row],[ATA Nº/ANO]] = ""),BE$2,BE$1)),0),0),0)</f>
        <v>0</v>
      </c>
      <c r="BF6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 s="338">
        <f>SUMIF(Consumo!$C$3:$C$862,tabItens[[#This Row],[CÓDIGO]],Consumo!$E$3:$E$862)</f>
        <v>0</v>
      </c>
      <c r="BH64" s="339">
        <f>IF(AND(tabItens[[#This Row],[Pend]] &gt; 0,tabItens[[#This Row],[Consumo]] &lt;&gt; 0), tabItens[[#This Row],[Pend]] / tabItens[[#This Row],[Consumo]], 0 )</f>
        <v>0</v>
      </c>
      <c r="BI64" s="338"/>
      <c r="BJ64" s="407"/>
      <c r="BK64" s="408" t="s">
        <v>2086</v>
      </c>
    </row>
    <row r="65" spans="1:63" x14ac:dyDescent="0.3">
      <c r="A65" s="375">
        <v>77493</v>
      </c>
      <c r="B65" s="376" t="s">
        <v>1427</v>
      </c>
      <c r="C65" s="377" t="s">
        <v>263</v>
      </c>
      <c r="D65" s="378">
        <v>13.51</v>
      </c>
      <c r="E65" s="305"/>
      <c r="F65" s="379"/>
      <c r="G65" s="379" t="s">
        <v>889</v>
      </c>
      <c r="H65" s="380">
        <v>131</v>
      </c>
      <c r="I65" s="307">
        <v>103003</v>
      </c>
      <c r="J65" s="308">
        <v>13.51</v>
      </c>
      <c r="K65" s="381">
        <v>20</v>
      </c>
      <c r="L65" s="382">
        <f>IF(tabItens[[#This Row],[Média]] &gt; 0, tabItens[[#This Row],[QTDE ATUAL]] / tabItens[[#This Row],[Média]],999.9)</f>
        <v>120.92307692307693</v>
      </c>
      <c r="M65" s="383">
        <v>0</v>
      </c>
      <c r="N65" s="384">
        <f>tabItens[[#This Row],[VALOR UNIT.]] * tabItens[[#This Row],[LC]]</f>
        <v>0</v>
      </c>
      <c r="O65" s="385" t="s">
        <v>2106</v>
      </c>
      <c r="P65" s="386"/>
      <c r="Q65" s="387"/>
      <c r="R65" s="312"/>
      <c r="S65" s="388"/>
      <c r="T65" s="389">
        <f>ROUNDDOWN(IFERROR(tabItens[[#This Row],[ATA DT.VALID.]] - $D$1,0) / 30,0)</f>
        <v>-1474</v>
      </c>
      <c r="U65" s="302" t="s">
        <v>1088</v>
      </c>
      <c r="V65" s="318">
        <v>1</v>
      </c>
      <c r="W65" s="390" t="s">
        <v>2077</v>
      </c>
      <c r="X65" s="391">
        <v>55</v>
      </c>
      <c r="Y65" s="392">
        <v>34</v>
      </c>
      <c r="Z65" s="393"/>
      <c r="AA65" s="394"/>
      <c r="AB65" s="395"/>
      <c r="AC65" s="395"/>
      <c r="AD65" s="394"/>
      <c r="AE65" s="395"/>
      <c r="AF65" s="317"/>
      <c r="AG65" s="396" t="s">
        <v>2072</v>
      </c>
      <c r="AH65" s="397"/>
      <c r="AI65" s="317">
        <v>8</v>
      </c>
      <c r="AJ65" s="397">
        <v>42101</v>
      </c>
      <c r="AK65" s="326">
        <v>38054</v>
      </c>
      <c r="AL65" s="326">
        <v>42894</v>
      </c>
      <c r="AM65" s="316"/>
      <c r="AN65" s="305"/>
      <c r="AO65" s="327" t="str">
        <f>_xlfn.IFNA(IF(VLOOKUP(tabItens[[#This Row],[CÓDIGO]],tabExcluirDoEstoque[#Data],1,FALSE),"sim",""),"")</f>
        <v/>
      </c>
      <c r="AP65" s="398" t="str">
        <f ca="1">IF(OR(ISBLANK(tabItens[[#This Row],[ATA DT.VALID.]]),tabItens[[#This Row],[ATA DT.VALID.]]="",tabItens[[#This Row],[ATA DT.VALID.]]=" "),"",IF(TYPE(tabItens[[#This Row],[ATA DT.VALID.]])=1,ROUNDUP((tabItens[[#This Row],[ATA DT.VALID.]]-TODAY())/7,0),""))</f>
        <v/>
      </c>
      <c r="AQ65" s="399">
        <v>0</v>
      </c>
      <c r="AR65" s="400" t="str">
        <f>IF(ISBLANK(tabItens[[#This Row],[CÓDIGO]]),"",IFERROR(VLOOKUP(tabItens[[#This Row],[CÓDIGO]],Consumo!$C$2:$AC$862,26,FALSE),0))</f>
        <v>06.2023</v>
      </c>
      <c r="AS65" s="401">
        <f>SUMIF(Consumo!$C$3:$C$862,tabItens[[#This Row],[CÓDIGO]],Consumo!$N$3:$N$862) + SUMIF(Consumo!$C$3:$C$862,tabItens[[#This Row],[CÓDIGO]],Consumo!$O$3:$O$862) + SUMIF(Consumo!$C$3:$C$862,tabItens[[#This Row],[CÓDIGO]],Consumo!$P$3:$P$862) + SUMIF(Consumo!$C$3:$C$862,tabItens[[#This Row],[CÓDIGO]],Consumo!$Q$3:$Q$862)</f>
        <v>20</v>
      </c>
      <c r="AT65" s="401">
        <f>SUMIF(Consumo!$C$3:$C$862,tabItens[[#This Row],[CÓDIGO]],Consumo!$Z$3:$Z$862)</f>
        <v>20</v>
      </c>
      <c r="AU65" s="402">
        <f>SUMIF(Consumo!$C$3:$C$862,tabItens[[#This Row],[CÓDIGO]],Consumo!$AA$3:$AA$862)</f>
        <v>20</v>
      </c>
      <c r="AV65" s="403">
        <f>SUMIF(Consumo!$C$3:$C$862,tabItens[[#This Row],[CÓDIGO]],Consumo!$Y$3:$Y$862)</f>
        <v>1.0833333333333333</v>
      </c>
      <c r="AW65" s="380">
        <f>tabItens[[#This Row],[QTDE ATUAL]] + tabItens[[#This Row],[RC QTDE]] + tabItens[[#This Row],[AF SALDO]] + tabItens[[#This Row],[Recentes]]</f>
        <v>131</v>
      </c>
      <c r="AX65" s="404">
        <v>2</v>
      </c>
      <c r="AY65" s="404">
        <v>4</v>
      </c>
      <c r="AZ65" s="404">
        <f>IF(ISBLANK(tabItens[[#This Row],[CÓDIGO]]),"",tabItens[[#This Row],[PontoMês]] * (AZ$2+tabItens[[#This Row],[PontoQtM]]))</f>
        <v>8</v>
      </c>
      <c r="BA65" s="403">
        <f>tabItens[[#This Row],[PontoPed]] - tabItens[[#This Row],[Saldo]] + (1/10)</f>
        <v>-122.9</v>
      </c>
      <c r="BB65" s="403">
        <f xml:space="preserve"> tabItens[[#This Row],[PontoMês]] * BB$2 - tabItens[[#This Row],[QTDE ATUAL]] - (1/10)</f>
        <v>-129.1</v>
      </c>
      <c r="BC65" s="335">
        <f>IF( tabItens[[#This Row],[PontoPed]]&gt;0, IF(tabItens[[#This Row],[PontoPed]]&lt;1, 1, IF( tabItens[[#This Row],[Saldo]]&gt;tabItens[[#This Row],[PontoPed]], 0, (tabItens[[#This Row],[PontoPed]]-tabItens[[#This Row],[Saldo]])/tabItens[[#This Row],[PontoPed]] ) ), 0 )</f>
        <v>0</v>
      </c>
      <c r="BD65" s="405">
        <f>ROUNDDOWN(IF( OR( AND(tabItens[[#This Row],[PontoPed]]&lt;tabItens[[#This Row],[Saldo]],tabItens[[#This Row],[Saldo]]&gt;0), tabItens[[#This Row],[PontoPed]]=0), 99, IF(AND(tabItens[[#This Row],[Saldo]]=0,tabItens[[#This Row],[PontoPed]]&gt;0), 0, (1-tabItens[[#This Row],[PctAb]])*10 ) ),0)</f>
        <v>99</v>
      </c>
      <c r="BE65" s="406">
        <f>MAX(ROUNDDOWN( IF(tabItens[[#This Row],[Abaixo]] &gt; 0,   tabItens[[#This Row],[Abaixo]] + (tabItens[[#This Row],[PontoMês]] * IF( OR( ISBLANK(tabItens[[#This Row],[ATA Nº/ANO]]), tabItens[[#This Row],[ATA Nº/ANO]] = ""),BE$2,BE$1)),0),0),0)</f>
        <v>0</v>
      </c>
      <c r="BF6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 s="338">
        <f>SUMIF(Consumo!$C$3:$C$862,tabItens[[#This Row],[CÓDIGO]],Consumo!$E$3:$E$862)</f>
        <v>0</v>
      </c>
      <c r="BH65" s="339">
        <f>IF(AND(tabItens[[#This Row],[Pend]] &gt; 0,tabItens[[#This Row],[Consumo]] &lt;&gt; 0), tabItens[[#This Row],[Pend]] / tabItens[[#This Row],[Consumo]], 0 )</f>
        <v>0</v>
      </c>
      <c r="BI65" s="338"/>
      <c r="BJ65" s="407"/>
      <c r="BK65" s="408" t="s">
        <v>2086</v>
      </c>
    </row>
    <row r="66" spans="1:63" x14ac:dyDescent="0.3">
      <c r="A66" s="375">
        <v>15475</v>
      </c>
      <c r="B66" s="376" t="s">
        <v>1099</v>
      </c>
      <c r="C66" s="377" t="s">
        <v>263</v>
      </c>
      <c r="D66" s="378">
        <v>23.5</v>
      </c>
      <c r="E66" s="305"/>
      <c r="F66" s="379"/>
      <c r="G66" s="379" t="s">
        <v>889</v>
      </c>
      <c r="H66" s="380">
        <v>132</v>
      </c>
      <c r="I66" s="307">
        <v>103003</v>
      </c>
      <c r="J66" s="308">
        <v>23.5</v>
      </c>
      <c r="K66" s="381">
        <v>30</v>
      </c>
      <c r="L66" s="382">
        <f>IF(tabItens[[#This Row],[Média]] &gt; 0, tabItens[[#This Row],[QTDE ATUAL]] / tabItens[[#This Row],[Média]],999.9)</f>
        <v>66</v>
      </c>
      <c r="M66" s="383">
        <v>0</v>
      </c>
      <c r="N66" s="384">
        <f>tabItens[[#This Row],[VALOR UNIT.]] * tabItens[[#This Row],[LC]]</f>
        <v>0</v>
      </c>
      <c r="O66" s="385" t="s">
        <v>2125</v>
      </c>
      <c r="P66" s="386"/>
      <c r="Q66" s="387"/>
      <c r="R66" s="312"/>
      <c r="S66" s="388"/>
      <c r="T66" s="389">
        <f>ROUNDDOWN(IFERROR(tabItens[[#This Row],[ATA DT.VALID.]] - $D$1,0) / 30,0)</f>
        <v>-1474</v>
      </c>
      <c r="U66" s="302" t="s">
        <v>1088</v>
      </c>
      <c r="V66" s="318">
        <v>1</v>
      </c>
      <c r="W66" s="390" t="s">
        <v>2077</v>
      </c>
      <c r="X66" s="391">
        <v>55</v>
      </c>
      <c r="Y66" s="392">
        <v>34</v>
      </c>
      <c r="Z66" s="393"/>
      <c r="AA66" s="394"/>
      <c r="AB66" s="395"/>
      <c r="AC66" s="395"/>
      <c r="AD66" s="394"/>
      <c r="AE66" s="395"/>
      <c r="AF66" s="317"/>
      <c r="AG66" s="396" t="s">
        <v>2072</v>
      </c>
      <c r="AH66" s="397"/>
      <c r="AI66" s="317">
        <v>0</v>
      </c>
      <c r="AJ66" s="397">
        <v>42076</v>
      </c>
      <c r="AK66" s="326" t="s">
        <v>889</v>
      </c>
      <c r="AL66" s="326">
        <v>44155</v>
      </c>
      <c r="AM66" s="316"/>
      <c r="AN66" s="305"/>
      <c r="AO66" s="327" t="str">
        <f>_xlfn.IFNA(IF(VLOOKUP(tabItens[[#This Row],[CÓDIGO]],tabExcluirDoEstoque[#Data],1,FALSE),"sim",""),"")</f>
        <v/>
      </c>
      <c r="AP66" s="398" t="str">
        <f ca="1">IF(OR(ISBLANK(tabItens[[#This Row],[ATA DT.VALID.]]),tabItens[[#This Row],[ATA DT.VALID.]]="",tabItens[[#This Row],[ATA DT.VALID.]]=" "),"",IF(TYPE(tabItens[[#This Row],[ATA DT.VALID.]])=1,ROUNDUP((tabItens[[#This Row],[ATA DT.VALID.]]-TODAY())/7,0),""))</f>
        <v/>
      </c>
      <c r="AQ66" s="399">
        <v>0</v>
      </c>
      <c r="AR66" s="400" t="str">
        <f>IF(ISBLANK(tabItens[[#This Row],[CÓDIGO]]),"",IFERROR(VLOOKUP(tabItens[[#This Row],[CÓDIGO]],Consumo!$C$2:$AC$862,26,FALSE),0))</f>
        <v>07.2023</v>
      </c>
      <c r="AS66" s="401">
        <f>SUMIF(Consumo!$C$3:$C$862,tabItens[[#This Row],[CÓDIGO]],Consumo!$N$3:$N$862) + SUMIF(Consumo!$C$3:$C$862,tabItens[[#This Row],[CÓDIGO]],Consumo!$O$3:$O$862) + SUMIF(Consumo!$C$3:$C$862,tabItens[[#This Row],[CÓDIGO]],Consumo!$P$3:$P$862) + SUMIF(Consumo!$C$3:$C$862,tabItens[[#This Row],[CÓDIGO]],Consumo!$Q$3:$Q$862)</f>
        <v>30</v>
      </c>
      <c r="AT66" s="401">
        <f>SUMIF(Consumo!$C$3:$C$862,tabItens[[#This Row],[CÓDIGO]],Consumo!$Z$3:$Z$862)</f>
        <v>30</v>
      </c>
      <c r="AU66" s="402">
        <f>SUMIF(Consumo!$C$3:$C$862,tabItens[[#This Row],[CÓDIGO]],Consumo!$AA$3:$AA$862)</f>
        <v>20</v>
      </c>
      <c r="AV66" s="403">
        <f>SUMIF(Consumo!$C$3:$C$862,tabItens[[#This Row],[CÓDIGO]],Consumo!$Y$3:$Y$862)</f>
        <v>2</v>
      </c>
      <c r="AW66" s="380">
        <f>tabItens[[#This Row],[QTDE ATUAL]] + tabItens[[#This Row],[RC QTDE]] + tabItens[[#This Row],[AF SALDO]] + tabItens[[#This Row],[Recentes]]</f>
        <v>132</v>
      </c>
      <c r="AX66" s="404">
        <v>2</v>
      </c>
      <c r="AY66" s="404">
        <v>4</v>
      </c>
      <c r="AZ66" s="404">
        <f>IF(ISBLANK(tabItens[[#This Row],[CÓDIGO]]),"",tabItens[[#This Row],[PontoMês]] * (AZ$2+tabItens[[#This Row],[PontoQtM]]))</f>
        <v>8</v>
      </c>
      <c r="BA66" s="403">
        <f>tabItens[[#This Row],[PontoPed]] - tabItens[[#This Row],[Saldo]] + (1/10)</f>
        <v>-123.9</v>
      </c>
      <c r="BB66" s="403">
        <f xml:space="preserve"> tabItens[[#This Row],[PontoMês]] * BB$2 - tabItens[[#This Row],[QTDE ATUAL]] - (1/10)</f>
        <v>-130.1</v>
      </c>
      <c r="BC66" s="335">
        <f>IF( tabItens[[#This Row],[PontoPed]]&gt;0, IF(tabItens[[#This Row],[PontoPed]]&lt;1, 1, IF( tabItens[[#This Row],[Saldo]]&gt;tabItens[[#This Row],[PontoPed]], 0, (tabItens[[#This Row],[PontoPed]]-tabItens[[#This Row],[Saldo]])/tabItens[[#This Row],[PontoPed]] ) ), 0 )</f>
        <v>0</v>
      </c>
      <c r="BD66" s="405">
        <f>ROUNDDOWN(IF( OR( AND(tabItens[[#This Row],[PontoPed]]&lt;tabItens[[#This Row],[Saldo]],tabItens[[#This Row],[Saldo]]&gt;0), tabItens[[#This Row],[PontoPed]]=0), 99, IF(AND(tabItens[[#This Row],[Saldo]]=0,tabItens[[#This Row],[PontoPed]]&gt;0), 0, (1-tabItens[[#This Row],[PctAb]])*10 ) ),0)</f>
        <v>99</v>
      </c>
      <c r="BE66" s="406">
        <f>MAX(ROUNDDOWN( IF(tabItens[[#This Row],[Abaixo]] &gt; 0,   tabItens[[#This Row],[Abaixo]] + (tabItens[[#This Row],[PontoMês]] * IF( OR( ISBLANK(tabItens[[#This Row],[ATA Nº/ANO]]), tabItens[[#This Row],[ATA Nº/ANO]] = ""),BE$2,BE$1)),0),0),0)</f>
        <v>0</v>
      </c>
      <c r="BF6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6" s="338">
        <f>SUMIF(Consumo!$C$3:$C$862,tabItens[[#This Row],[CÓDIGO]],Consumo!$E$3:$E$862)</f>
        <v>0</v>
      </c>
      <c r="BH66" s="339">
        <f>IF(AND(tabItens[[#This Row],[Pend]] &gt; 0,tabItens[[#This Row],[Consumo]] &lt;&gt; 0), tabItens[[#This Row],[Pend]] / tabItens[[#This Row],[Consumo]], 0 )</f>
        <v>0</v>
      </c>
      <c r="BI66" s="338"/>
      <c r="BJ66" s="407"/>
      <c r="BK66" s="408" t="s">
        <v>2086</v>
      </c>
    </row>
    <row r="67" spans="1:63" x14ac:dyDescent="0.3">
      <c r="A67" s="375">
        <v>76806</v>
      </c>
      <c r="B67" s="376" t="s">
        <v>1424</v>
      </c>
      <c r="C67" s="377" t="s">
        <v>345</v>
      </c>
      <c r="D67" s="378">
        <v>63.5</v>
      </c>
      <c r="E67" s="305"/>
      <c r="F67" s="379"/>
      <c r="G67" s="379" t="s">
        <v>889</v>
      </c>
      <c r="H67" s="380">
        <v>103</v>
      </c>
      <c r="I67" s="307">
        <v>103003</v>
      </c>
      <c r="J67" s="308">
        <v>63.5</v>
      </c>
      <c r="K67" s="381">
        <v>314</v>
      </c>
      <c r="L67" s="382">
        <f>IF(tabItens[[#This Row],[Média]] &gt; 0, tabItens[[#This Row],[QTDE ATUAL]] / tabItens[[#This Row],[Média]],999.9)</f>
        <v>3.4428969359331476</v>
      </c>
      <c r="M67" s="383">
        <v>0</v>
      </c>
      <c r="N67" s="384">
        <f>tabItens[[#This Row],[VALOR UNIT.]] * tabItens[[#This Row],[LC]]</f>
        <v>0</v>
      </c>
      <c r="O67" s="385" t="s">
        <v>2159</v>
      </c>
      <c r="P67" s="386"/>
      <c r="Q67" s="387"/>
      <c r="R67" s="312"/>
      <c r="S67" s="388"/>
      <c r="T67" s="389">
        <f>ROUNDDOWN(IFERROR(tabItens[[#This Row],[ATA DT.VALID.]] - $D$1,0) / 30,0)</f>
        <v>-1474</v>
      </c>
      <c r="U67" s="302" t="s">
        <v>1337</v>
      </c>
      <c r="V67" s="318">
        <v>1</v>
      </c>
      <c r="W67" s="390" t="s">
        <v>2077</v>
      </c>
      <c r="X67" s="391">
        <v>69</v>
      </c>
      <c r="Y67" s="392">
        <v>2</v>
      </c>
      <c r="Z67" s="393">
        <v>2975</v>
      </c>
      <c r="AA67" s="394">
        <v>2023</v>
      </c>
      <c r="AB67" s="395">
        <v>50</v>
      </c>
      <c r="AC67" s="395"/>
      <c r="AD67" s="394"/>
      <c r="AE67" s="395"/>
      <c r="AF67" s="317"/>
      <c r="AG67" s="396" t="s">
        <v>2072</v>
      </c>
      <c r="AH67" s="397"/>
      <c r="AI67" s="317">
        <v>120</v>
      </c>
      <c r="AJ67" s="397">
        <v>44637</v>
      </c>
      <c r="AK67" s="326">
        <v>38014</v>
      </c>
      <c r="AL67" s="326">
        <v>44616</v>
      </c>
      <c r="AM67" s="316"/>
      <c r="AN67" s="305"/>
      <c r="AO67" s="327" t="str">
        <f>_xlfn.IFNA(IF(VLOOKUP(tabItens[[#This Row],[CÓDIGO]],tabExcluirDoEstoque[#Data],1,FALSE),"sim",""),"")</f>
        <v/>
      </c>
      <c r="AP67" s="398" t="str">
        <f ca="1">IF(OR(ISBLANK(tabItens[[#This Row],[ATA DT.VALID.]]),tabItens[[#This Row],[ATA DT.VALID.]]="",tabItens[[#This Row],[ATA DT.VALID.]]=" "),"",IF(TYPE(tabItens[[#This Row],[ATA DT.VALID.]])=1,ROUNDUP((tabItens[[#This Row],[ATA DT.VALID.]]-TODAY())/7,0),""))</f>
        <v/>
      </c>
      <c r="AQ67" s="399">
        <v>0</v>
      </c>
      <c r="AR67" s="400" t="str">
        <f>IF(ISBLANK(tabItens[[#This Row],[CÓDIGO]]),"",IFERROR(VLOOKUP(tabItens[[#This Row],[CÓDIGO]],Consumo!$C$2:$AC$862,26,FALSE),0))</f>
        <v>08.2023</v>
      </c>
      <c r="AS67" s="401">
        <f>SUMIF(Consumo!$C$3:$C$862,tabItens[[#This Row],[CÓDIGO]],Consumo!$N$3:$N$862) + SUMIF(Consumo!$C$3:$C$862,tabItens[[#This Row],[CÓDIGO]],Consumo!$O$3:$O$862) + SUMIF(Consumo!$C$3:$C$862,tabItens[[#This Row],[CÓDIGO]],Consumo!$P$3:$P$862) + SUMIF(Consumo!$C$3:$C$862,tabItens[[#This Row],[CÓDIGO]],Consumo!$Q$3:$Q$862)</f>
        <v>108</v>
      </c>
      <c r="AT67" s="401">
        <f>SUMIF(Consumo!$C$3:$C$862,tabItens[[#This Row],[CÓDIGO]],Consumo!$Z$3:$Z$862)</f>
        <v>359</v>
      </c>
      <c r="AU67" s="402">
        <f>SUMIF(Consumo!$C$3:$C$862,tabItens[[#This Row],[CÓDIGO]],Consumo!$AA$3:$AA$862)</f>
        <v>89</v>
      </c>
      <c r="AV67" s="403">
        <f>SUMIF(Consumo!$C$3:$C$862,tabItens[[#This Row],[CÓDIGO]],Consumo!$Y$3:$Y$862)</f>
        <v>29.916666666666668</v>
      </c>
      <c r="AW67" s="380">
        <f>tabItens[[#This Row],[QTDE ATUAL]] + tabItens[[#This Row],[RC QTDE]] + tabItens[[#This Row],[AF SALDO]] + tabItens[[#This Row],[Recentes]]</f>
        <v>153</v>
      </c>
      <c r="AX67" s="404">
        <v>20</v>
      </c>
      <c r="AY67" s="404">
        <v>4</v>
      </c>
      <c r="AZ67" s="404">
        <f>IF(ISBLANK(tabItens[[#This Row],[CÓDIGO]]),"",tabItens[[#This Row],[PontoMês]] * (AZ$2+tabItens[[#This Row],[PontoQtM]]))</f>
        <v>80</v>
      </c>
      <c r="BA67" s="403">
        <f>tabItens[[#This Row],[PontoPed]] - tabItens[[#This Row],[Saldo]] + (1/10)</f>
        <v>-72.900000000000006</v>
      </c>
      <c r="BB67" s="403">
        <f xml:space="preserve"> tabItens[[#This Row],[PontoMês]] * BB$2 - tabItens[[#This Row],[QTDE ATUAL]] - (1/10)</f>
        <v>-83.1</v>
      </c>
      <c r="BC67" s="335">
        <f>IF( tabItens[[#This Row],[PontoPed]]&gt;0, IF(tabItens[[#This Row],[PontoPed]]&lt;1, 1, IF( tabItens[[#This Row],[Saldo]]&gt;tabItens[[#This Row],[PontoPed]], 0, (tabItens[[#This Row],[PontoPed]]-tabItens[[#This Row],[Saldo]])/tabItens[[#This Row],[PontoPed]] ) ), 0 )</f>
        <v>0</v>
      </c>
      <c r="BD67" s="405">
        <f>ROUNDDOWN(IF( OR( AND(tabItens[[#This Row],[PontoPed]]&lt;tabItens[[#This Row],[Saldo]],tabItens[[#This Row],[Saldo]]&gt;0), tabItens[[#This Row],[PontoPed]]=0), 99, IF(AND(tabItens[[#This Row],[Saldo]]=0,tabItens[[#This Row],[PontoPed]]&gt;0), 0, (1-tabItens[[#This Row],[PctAb]])*10 ) ),0)</f>
        <v>99</v>
      </c>
      <c r="BE67" s="406">
        <f>MAX(ROUNDDOWN( IF(tabItens[[#This Row],[Abaixo]] &gt; 0,   tabItens[[#This Row],[Abaixo]] + (tabItens[[#This Row],[PontoMês]] * IF( OR( ISBLANK(tabItens[[#This Row],[ATA Nº/ANO]]), tabItens[[#This Row],[ATA Nº/ANO]] = ""),BE$2,BE$1)),0),0),0)</f>
        <v>0</v>
      </c>
      <c r="BF6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7" s="338">
        <f>SUMIF(Consumo!$C$3:$C$862,tabItens[[#This Row],[CÓDIGO]],Consumo!$E$3:$E$862)</f>
        <v>0</v>
      </c>
      <c r="BH67" s="339">
        <f>IF(AND(tabItens[[#This Row],[Pend]] &gt; 0,tabItens[[#This Row],[Consumo]] &lt;&gt; 0), tabItens[[#This Row],[Pend]] / tabItens[[#This Row],[Consumo]], 0 )</f>
        <v>0</v>
      </c>
      <c r="BI67" s="338"/>
      <c r="BJ67" s="407"/>
      <c r="BK67" s="408" t="s">
        <v>2086</v>
      </c>
    </row>
    <row r="68" spans="1:63" x14ac:dyDescent="0.3">
      <c r="A68" s="375">
        <v>15464</v>
      </c>
      <c r="B68" s="376" t="s">
        <v>1089</v>
      </c>
      <c r="C68" s="377" t="s">
        <v>263</v>
      </c>
      <c r="D68" s="378">
        <v>8.8000000000000007</v>
      </c>
      <c r="E68" s="305"/>
      <c r="F68" s="379"/>
      <c r="G68" s="379" t="s">
        <v>889</v>
      </c>
      <c r="H68" s="380">
        <v>185</v>
      </c>
      <c r="I68" s="307">
        <v>103003</v>
      </c>
      <c r="J68" s="308">
        <v>8.8000000000000007</v>
      </c>
      <c r="K68" s="381"/>
      <c r="L68" s="382">
        <f>IF(tabItens[[#This Row],[Média]] &gt; 0, tabItens[[#This Row],[QTDE ATUAL]] / tabItens[[#This Row],[Média]],999.9)</f>
        <v>999.9</v>
      </c>
      <c r="M68" s="383">
        <v>0</v>
      </c>
      <c r="N68" s="384">
        <f>tabItens[[#This Row],[VALOR UNIT.]] * tabItens[[#This Row],[LC]]</f>
        <v>0</v>
      </c>
      <c r="O68" s="385" t="s">
        <v>2124</v>
      </c>
      <c r="P68" s="386"/>
      <c r="Q68" s="387"/>
      <c r="R68" s="312"/>
      <c r="S68" s="388"/>
      <c r="T68" s="389">
        <f>ROUNDDOWN(IFERROR(tabItens[[#This Row],[ATA DT.VALID.]] - $D$1,0) / 30,0)</f>
        <v>-1474</v>
      </c>
      <c r="U68" s="302" t="s">
        <v>1088</v>
      </c>
      <c r="V68" s="318">
        <v>1</v>
      </c>
      <c r="W68" s="390" t="s">
        <v>2077</v>
      </c>
      <c r="X68" s="391">
        <v>55</v>
      </c>
      <c r="Y68" s="392">
        <v>34</v>
      </c>
      <c r="Z68" s="393"/>
      <c r="AA68" s="394"/>
      <c r="AB68" s="395"/>
      <c r="AC68" s="395"/>
      <c r="AD68" s="394"/>
      <c r="AE68" s="395"/>
      <c r="AF68" s="317"/>
      <c r="AG68" s="396" t="s">
        <v>2072</v>
      </c>
      <c r="AH68" s="397"/>
      <c r="AI68" s="317">
        <v>0</v>
      </c>
      <c r="AJ68" s="397">
        <v>42086</v>
      </c>
      <c r="AK68" s="326" t="s">
        <v>889</v>
      </c>
      <c r="AL68" s="326">
        <v>42031</v>
      </c>
      <c r="AM68" s="316"/>
      <c r="AN68" s="305"/>
      <c r="AO68" s="327" t="str">
        <f>_xlfn.IFNA(IF(VLOOKUP(tabItens[[#This Row],[CÓDIGO]],tabExcluirDoEstoque[#Data],1,FALSE),"sim",""),"")</f>
        <v/>
      </c>
      <c r="AP68" s="398" t="str">
        <f ca="1">IF(OR(ISBLANK(tabItens[[#This Row],[ATA DT.VALID.]]),tabItens[[#This Row],[ATA DT.VALID.]]="",tabItens[[#This Row],[ATA DT.VALID.]]=" "),"",IF(TYPE(tabItens[[#This Row],[ATA DT.VALID.]])=1,ROUNDUP((tabItens[[#This Row],[ATA DT.VALID.]]-TODAY())/7,0),""))</f>
        <v/>
      </c>
      <c r="AQ68" s="399">
        <v>0</v>
      </c>
      <c r="AR68" s="400">
        <f>IF(ISBLANK(tabItens[[#This Row],[CÓDIGO]]),"",IFERROR(VLOOKUP(tabItens[[#This Row],[CÓDIGO]],Consumo!$C$2:$AC$862,26,FALSE),0))</f>
        <v>0</v>
      </c>
      <c r="AS68" s="401">
        <f>SUMIF(Consumo!$C$3:$C$862,tabItens[[#This Row],[CÓDIGO]],Consumo!$N$3:$N$862) + SUMIF(Consumo!$C$3:$C$862,tabItens[[#This Row],[CÓDIGO]],Consumo!$O$3:$O$862) + SUMIF(Consumo!$C$3:$C$862,tabItens[[#This Row],[CÓDIGO]],Consumo!$P$3:$P$862) + SUMIF(Consumo!$C$3:$C$862,tabItens[[#This Row],[CÓDIGO]],Consumo!$Q$3:$Q$862)</f>
        <v>0</v>
      </c>
      <c r="AT68" s="401">
        <f>SUMIF(Consumo!$C$3:$C$862,tabItens[[#This Row],[CÓDIGO]],Consumo!$Z$3:$Z$862)</f>
        <v>0</v>
      </c>
      <c r="AU68" s="402">
        <f>SUMIF(Consumo!$C$3:$C$862,tabItens[[#This Row],[CÓDIGO]],Consumo!$AA$3:$AA$862)</f>
        <v>0</v>
      </c>
      <c r="AV68" s="403">
        <f>SUMIF(Consumo!$C$3:$C$862,tabItens[[#This Row],[CÓDIGO]],Consumo!$Y$3:$Y$862)</f>
        <v>0</v>
      </c>
      <c r="AW68" s="380">
        <f>tabItens[[#This Row],[QTDE ATUAL]] + tabItens[[#This Row],[RC QTDE]] + tabItens[[#This Row],[AF SALDO]] + tabItens[[#This Row],[Recentes]]</f>
        <v>185</v>
      </c>
      <c r="AX68" s="404">
        <v>5</v>
      </c>
      <c r="AY68" s="404">
        <v>4</v>
      </c>
      <c r="AZ68" s="404">
        <f>IF(ISBLANK(tabItens[[#This Row],[CÓDIGO]]),"",tabItens[[#This Row],[PontoMês]] * (AZ$2+tabItens[[#This Row],[PontoQtM]]))</f>
        <v>20</v>
      </c>
      <c r="BA68" s="403">
        <f>tabItens[[#This Row],[PontoPed]] - tabItens[[#This Row],[Saldo]] + (1/10)</f>
        <v>-164.9</v>
      </c>
      <c r="BB68" s="403">
        <f xml:space="preserve"> tabItens[[#This Row],[PontoMês]] * BB$2 - tabItens[[#This Row],[QTDE ATUAL]] - (1/10)</f>
        <v>-180.1</v>
      </c>
      <c r="BC68" s="335">
        <f>IF( tabItens[[#This Row],[PontoPed]]&gt;0, IF(tabItens[[#This Row],[PontoPed]]&lt;1, 1, IF( tabItens[[#This Row],[Saldo]]&gt;tabItens[[#This Row],[PontoPed]], 0, (tabItens[[#This Row],[PontoPed]]-tabItens[[#This Row],[Saldo]])/tabItens[[#This Row],[PontoPed]] ) ), 0 )</f>
        <v>0</v>
      </c>
      <c r="BD68" s="405">
        <f>ROUNDDOWN(IF( OR( AND(tabItens[[#This Row],[PontoPed]]&lt;tabItens[[#This Row],[Saldo]],tabItens[[#This Row],[Saldo]]&gt;0), tabItens[[#This Row],[PontoPed]]=0), 99, IF(AND(tabItens[[#This Row],[Saldo]]=0,tabItens[[#This Row],[PontoPed]]&gt;0), 0, (1-tabItens[[#This Row],[PctAb]])*10 ) ),0)</f>
        <v>99</v>
      </c>
      <c r="BE68" s="406">
        <f>MAX(ROUNDDOWN( IF(tabItens[[#This Row],[Abaixo]] &gt; 0,   tabItens[[#This Row],[Abaixo]] + (tabItens[[#This Row],[PontoMês]] * IF( OR( ISBLANK(tabItens[[#This Row],[ATA Nº/ANO]]), tabItens[[#This Row],[ATA Nº/ANO]] = ""),BE$2,BE$1)),0),0),0)</f>
        <v>0</v>
      </c>
      <c r="BF6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8" s="338">
        <f>SUMIF(Consumo!$C$3:$C$862,tabItens[[#This Row],[CÓDIGO]],Consumo!$E$3:$E$862)</f>
        <v>0</v>
      </c>
      <c r="BH68" s="339">
        <f>IF(AND(tabItens[[#This Row],[Pend]] &gt; 0,tabItens[[#This Row],[Consumo]] &lt;&gt; 0), tabItens[[#This Row],[Pend]] / tabItens[[#This Row],[Consumo]], 0 )</f>
        <v>0</v>
      </c>
      <c r="BI68" s="338"/>
      <c r="BJ68" s="407"/>
      <c r="BK68" s="408" t="s">
        <v>2086</v>
      </c>
    </row>
    <row r="69" spans="1:63" x14ac:dyDescent="0.3">
      <c r="A69" s="375">
        <v>12881</v>
      </c>
      <c r="B69" s="376" t="s">
        <v>975</v>
      </c>
      <c r="C69" s="377" t="s">
        <v>263</v>
      </c>
      <c r="D69" s="378">
        <v>2.6</v>
      </c>
      <c r="E69" s="305"/>
      <c r="F69" s="379"/>
      <c r="G69" s="379" t="s">
        <v>889</v>
      </c>
      <c r="H69" s="380">
        <v>466</v>
      </c>
      <c r="I69" s="307">
        <v>103003</v>
      </c>
      <c r="J69" s="308">
        <v>2.6</v>
      </c>
      <c r="K69" s="381">
        <v>126</v>
      </c>
      <c r="L69" s="382">
        <f>IF(tabItens[[#This Row],[Média]] &gt; 0, tabItens[[#This Row],[QTDE ATUAL]] / tabItens[[#This Row],[Média]],999.9)</f>
        <v>36.07741935483871</v>
      </c>
      <c r="M69" s="383">
        <v>0</v>
      </c>
      <c r="N69" s="384">
        <f>tabItens[[#This Row],[VALOR UNIT.]] * tabItens[[#This Row],[LC]]</f>
        <v>0</v>
      </c>
      <c r="O69" s="385" t="s">
        <v>2103</v>
      </c>
      <c r="P69" s="386"/>
      <c r="Q69" s="387"/>
      <c r="R69" s="312"/>
      <c r="S69" s="388"/>
      <c r="T69" s="389">
        <f>ROUNDDOWN(IFERROR(tabItens[[#This Row],[ATA DT.VALID.]] - $D$1,0) / 30,0)</f>
        <v>-1474</v>
      </c>
      <c r="U69" s="302" t="s">
        <v>966</v>
      </c>
      <c r="V69" s="318">
        <v>1</v>
      </c>
      <c r="W69" s="390" t="s">
        <v>2076</v>
      </c>
      <c r="X69" s="391">
        <v>61</v>
      </c>
      <c r="Y69" s="392">
        <v>8</v>
      </c>
      <c r="Z69" s="393"/>
      <c r="AA69" s="394"/>
      <c r="AB69" s="395"/>
      <c r="AC69" s="395"/>
      <c r="AD69" s="394"/>
      <c r="AE69" s="395"/>
      <c r="AF69" s="317"/>
      <c r="AG69" s="396" t="s">
        <v>2072</v>
      </c>
      <c r="AH69" s="397"/>
      <c r="AI69" s="317">
        <v>66</v>
      </c>
      <c r="AJ69" s="397">
        <v>44573</v>
      </c>
      <c r="AK69" s="326" t="s">
        <v>889</v>
      </c>
      <c r="AL69" s="326">
        <v>44813</v>
      </c>
      <c r="AM69" s="316"/>
      <c r="AN69" s="305"/>
      <c r="AO69" s="327" t="str">
        <f>_xlfn.IFNA(IF(VLOOKUP(tabItens[[#This Row],[CÓDIGO]],tabExcluirDoEstoque[#Data],1,FALSE),"sim",""),"")</f>
        <v/>
      </c>
      <c r="AP69" s="398" t="str">
        <f ca="1">IF(OR(ISBLANK(tabItens[[#This Row],[ATA DT.VALID.]]),tabItens[[#This Row],[ATA DT.VALID.]]="",tabItens[[#This Row],[ATA DT.VALID.]]=" "),"",IF(TYPE(tabItens[[#This Row],[ATA DT.VALID.]])=1,ROUNDUP((tabItens[[#This Row],[ATA DT.VALID.]]-TODAY())/7,0),""))</f>
        <v/>
      </c>
      <c r="AQ69" s="399">
        <v>0</v>
      </c>
      <c r="AR69" s="400" t="str">
        <f>IF(ISBLANK(tabItens[[#This Row],[CÓDIGO]]),"",IFERROR(VLOOKUP(tabItens[[#This Row],[CÓDIGO]],Consumo!$C$2:$AC$862,26,FALSE),0))</f>
        <v>09.2023</v>
      </c>
      <c r="AS69" s="401">
        <f>SUMIF(Consumo!$C$3:$C$862,tabItens[[#This Row],[CÓDIGO]],Consumo!$N$3:$N$862) + SUMIF(Consumo!$C$3:$C$862,tabItens[[#This Row],[CÓDIGO]],Consumo!$O$3:$O$862) + SUMIF(Consumo!$C$3:$C$862,tabItens[[#This Row],[CÓDIGO]],Consumo!$P$3:$P$862) + SUMIF(Consumo!$C$3:$C$862,tabItens[[#This Row],[CÓDIGO]],Consumo!$Q$3:$Q$862)</f>
        <v>67</v>
      </c>
      <c r="AT69" s="401">
        <f>SUMIF(Consumo!$C$3:$C$862,tabItens[[#This Row],[CÓDIGO]],Consumo!$Z$3:$Z$862)</f>
        <v>155</v>
      </c>
      <c r="AU69" s="402">
        <f>SUMIF(Consumo!$C$3:$C$862,tabItens[[#This Row],[CÓDIGO]],Consumo!$AA$3:$AA$862)</f>
        <v>32</v>
      </c>
      <c r="AV69" s="403">
        <f>SUMIF(Consumo!$C$3:$C$862,tabItens[[#This Row],[CÓDIGO]],Consumo!$Y$3:$Y$862)</f>
        <v>12.916666666666666</v>
      </c>
      <c r="AW69" s="380">
        <f>tabItens[[#This Row],[QTDE ATUAL]] + tabItens[[#This Row],[RC QTDE]] + tabItens[[#This Row],[AF SALDO]] + tabItens[[#This Row],[Recentes]]</f>
        <v>466</v>
      </c>
      <c r="AX69" s="404">
        <v>34</v>
      </c>
      <c r="AY69" s="404">
        <v>4</v>
      </c>
      <c r="AZ69" s="404">
        <f>IF(ISBLANK(tabItens[[#This Row],[CÓDIGO]]),"",tabItens[[#This Row],[PontoMês]] * (AZ$2+tabItens[[#This Row],[PontoQtM]]))</f>
        <v>136</v>
      </c>
      <c r="BA69" s="403">
        <f>tabItens[[#This Row],[PontoPed]] - tabItens[[#This Row],[Saldo]] + (1/10)</f>
        <v>-329.9</v>
      </c>
      <c r="BB69" s="403">
        <f xml:space="preserve"> tabItens[[#This Row],[PontoMês]] * BB$2 - tabItens[[#This Row],[QTDE ATUAL]] - (1/10)</f>
        <v>-432.1</v>
      </c>
      <c r="BC69" s="335">
        <f>IF( tabItens[[#This Row],[PontoPed]]&gt;0, IF(tabItens[[#This Row],[PontoPed]]&lt;1, 1, IF( tabItens[[#This Row],[Saldo]]&gt;tabItens[[#This Row],[PontoPed]], 0, (tabItens[[#This Row],[PontoPed]]-tabItens[[#This Row],[Saldo]])/tabItens[[#This Row],[PontoPed]] ) ), 0 )</f>
        <v>0</v>
      </c>
      <c r="BD69" s="405">
        <f>ROUNDDOWN(IF( OR( AND(tabItens[[#This Row],[PontoPed]]&lt;tabItens[[#This Row],[Saldo]],tabItens[[#This Row],[Saldo]]&gt;0), tabItens[[#This Row],[PontoPed]]=0), 99, IF(AND(tabItens[[#This Row],[Saldo]]=0,tabItens[[#This Row],[PontoPed]]&gt;0), 0, (1-tabItens[[#This Row],[PctAb]])*10 ) ),0)</f>
        <v>99</v>
      </c>
      <c r="BE69" s="406">
        <f>MAX(ROUNDDOWN( IF(tabItens[[#This Row],[Abaixo]] &gt; 0,   tabItens[[#This Row],[Abaixo]] + (tabItens[[#This Row],[PontoMês]] * IF( OR( ISBLANK(tabItens[[#This Row],[ATA Nº/ANO]]), tabItens[[#This Row],[ATA Nº/ANO]] = ""),BE$2,BE$1)),0),0),0)</f>
        <v>0</v>
      </c>
      <c r="BF6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9" s="338">
        <f>SUMIF(Consumo!$C$3:$C$862,tabItens[[#This Row],[CÓDIGO]],Consumo!$E$3:$E$862)</f>
        <v>0</v>
      </c>
      <c r="BH69" s="339">
        <f>IF(AND(tabItens[[#This Row],[Pend]] &gt; 0,tabItens[[#This Row],[Consumo]] &lt;&gt; 0), tabItens[[#This Row],[Pend]] / tabItens[[#This Row],[Consumo]], 0 )</f>
        <v>0</v>
      </c>
      <c r="BI69" s="338"/>
      <c r="BJ69" s="407"/>
      <c r="BK69" s="408" t="s">
        <v>2086</v>
      </c>
    </row>
    <row r="70" spans="1:63" x14ac:dyDescent="0.3">
      <c r="A70" s="375">
        <v>12886</v>
      </c>
      <c r="B70" s="376" t="s">
        <v>977</v>
      </c>
      <c r="C70" s="377" t="s">
        <v>263</v>
      </c>
      <c r="D70" s="378">
        <v>2.94</v>
      </c>
      <c r="E70" s="305"/>
      <c r="F70" s="379"/>
      <c r="G70" s="379" t="s">
        <v>889</v>
      </c>
      <c r="H70" s="380">
        <v>405</v>
      </c>
      <c r="I70" s="307">
        <v>103003</v>
      </c>
      <c r="J70" s="308">
        <v>2.94</v>
      </c>
      <c r="K70" s="381">
        <v>119</v>
      </c>
      <c r="L70" s="382">
        <f>IF(tabItens[[#This Row],[Média]] &gt; 0, tabItens[[#This Row],[QTDE ATUAL]] / tabItens[[#This Row],[Média]],999.9)</f>
        <v>33.517241379310342</v>
      </c>
      <c r="M70" s="383">
        <v>0</v>
      </c>
      <c r="N70" s="384">
        <f>tabItens[[#This Row],[VALOR UNIT.]] * tabItens[[#This Row],[LC]]</f>
        <v>0</v>
      </c>
      <c r="O70" s="385" t="s">
        <v>2103</v>
      </c>
      <c r="P70" s="386"/>
      <c r="Q70" s="387"/>
      <c r="R70" s="312"/>
      <c r="S70" s="388"/>
      <c r="T70" s="389">
        <f>ROUNDDOWN(IFERROR(tabItens[[#This Row],[ATA DT.VALID.]] - $D$1,0) / 30,0)</f>
        <v>-1474</v>
      </c>
      <c r="U70" s="302" t="s">
        <v>966</v>
      </c>
      <c r="V70" s="318">
        <v>1</v>
      </c>
      <c r="W70" s="390" t="s">
        <v>2076</v>
      </c>
      <c r="X70" s="391">
        <v>61</v>
      </c>
      <c r="Y70" s="392">
        <v>8</v>
      </c>
      <c r="Z70" s="393"/>
      <c r="AA70" s="394"/>
      <c r="AB70" s="395"/>
      <c r="AC70" s="395"/>
      <c r="AD70" s="394"/>
      <c r="AE70" s="395"/>
      <c r="AF70" s="317"/>
      <c r="AG70" s="396" t="s">
        <v>2072</v>
      </c>
      <c r="AH70" s="397"/>
      <c r="AI70" s="317">
        <v>48</v>
      </c>
      <c r="AJ70" s="397">
        <v>45180</v>
      </c>
      <c r="AK70" s="326" t="s">
        <v>889</v>
      </c>
      <c r="AL70" s="326">
        <v>45145</v>
      </c>
      <c r="AM70" s="316"/>
      <c r="AN70" s="305"/>
      <c r="AO70" s="327" t="str">
        <f>_xlfn.IFNA(IF(VLOOKUP(tabItens[[#This Row],[CÓDIGO]],tabExcluirDoEstoque[#Data],1,FALSE),"sim",""),"")</f>
        <v/>
      </c>
      <c r="AP70" s="398" t="str">
        <f ca="1">IF(OR(ISBLANK(tabItens[[#This Row],[ATA DT.VALID.]]),tabItens[[#This Row],[ATA DT.VALID.]]="",tabItens[[#This Row],[ATA DT.VALID.]]=" "),"",IF(TYPE(tabItens[[#This Row],[ATA DT.VALID.]])=1,ROUNDUP((tabItens[[#This Row],[ATA DT.VALID.]]-TODAY())/7,0),""))</f>
        <v/>
      </c>
      <c r="AQ70" s="399">
        <v>0</v>
      </c>
      <c r="AR70" s="400" t="str">
        <f>IF(ISBLANK(tabItens[[#This Row],[CÓDIGO]]),"",IFERROR(VLOOKUP(tabItens[[#This Row],[CÓDIGO]],Consumo!$C$2:$AC$862,26,FALSE),0))</f>
        <v>09.2023</v>
      </c>
      <c r="AS70" s="401">
        <f>SUMIF(Consumo!$C$3:$C$862,tabItens[[#This Row],[CÓDIGO]],Consumo!$N$3:$N$862) + SUMIF(Consumo!$C$3:$C$862,tabItens[[#This Row],[CÓDIGO]],Consumo!$O$3:$O$862) + SUMIF(Consumo!$C$3:$C$862,tabItens[[#This Row],[CÓDIGO]],Consumo!$P$3:$P$862) + SUMIF(Consumo!$C$3:$C$862,tabItens[[#This Row],[CÓDIGO]],Consumo!$Q$3:$Q$862)</f>
        <v>40</v>
      </c>
      <c r="AT70" s="401">
        <f>SUMIF(Consumo!$C$3:$C$862,tabItens[[#This Row],[CÓDIGO]],Consumo!$Z$3:$Z$862)</f>
        <v>145</v>
      </c>
      <c r="AU70" s="402">
        <f>SUMIF(Consumo!$C$3:$C$862,tabItens[[#This Row],[CÓDIGO]],Consumo!$AA$3:$AA$862)</f>
        <v>24</v>
      </c>
      <c r="AV70" s="403">
        <f>SUMIF(Consumo!$C$3:$C$862,tabItens[[#This Row],[CÓDIGO]],Consumo!$Y$3:$Y$862)</f>
        <v>12.083333333333334</v>
      </c>
      <c r="AW70" s="380">
        <f>tabItens[[#This Row],[QTDE ATUAL]] + tabItens[[#This Row],[RC QTDE]] + tabItens[[#This Row],[AF SALDO]] + tabItens[[#This Row],[Recentes]]</f>
        <v>405</v>
      </c>
      <c r="AX70" s="404">
        <v>42</v>
      </c>
      <c r="AY70" s="404">
        <v>4</v>
      </c>
      <c r="AZ70" s="404">
        <f>IF(ISBLANK(tabItens[[#This Row],[CÓDIGO]]),"",tabItens[[#This Row],[PontoMês]] * (AZ$2+tabItens[[#This Row],[PontoQtM]]))</f>
        <v>168</v>
      </c>
      <c r="BA70" s="403">
        <f>tabItens[[#This Row],[PontoPed]] - tabItens[[#This Row],[Saldo]] + (1/10)</f>
        <v>-236.9</v>
      </c>
      <c r="BB70" s="403">
        <f xml:space="preserve"> tabItens[[#This Row],[PontoMês]] * BB$2 - tabItens[[#This Row],[QTDE ATUAL]] - (1/10)</f>
        <v>-363.1</v>
      </c>
      <c r="BC70" s="335">
        <f>IF( tabItens[[#This Row],[PontoPed]]&gt;0, IF(tabItens[[#This Row],[PontoPed]]&lt;1, 1, IF( tabItens[[#This Row],[Saldo]]&gt;tabItens[[#This Row],[PontoPed]], 0, (tabItens[[#This Row],[PontoPed]]-tabItens[[#This Row],[Saldo]])/tabItens[[#This Row],[PontoPed]] ) ), 0 )</f>
        <v>0</v>
      </c>
      <c r="BD70" s="405">
        <f>ROUNDDOWN(IF( OR( AND(tabItens[[#This Row],[PontoPed]]&lt;tabItens[[#This Row],[Saldo]],tabItens[[#This Row],[Saldo]]&gt;0), tabItens[[#This Row],[PontoPed]]=0), 99, IF(AND(tabItens[[#This Row],[Saldo]]=0,tabItens[[#This Row],[PontoPed]]&gt;0), 0, (1-tabItens[[#This Row],[PctAb]])*10 ) ),0)</f>
        <v>99</v>
      </c>
      <c r="BE70" s="406">
        <f>MAX(ROUNDDOWN( IF(tabItens[[#This Row],[Abaixo]] &gt; 0,   tabItens[[#This Row],[Abaixo]] + (tabItens[[#This Row],[PontoMês]] * IF( OR( ISBLANK(tabItens[[#This Row],[ATA Nº/ANO]]), tabItens[[#This Row],[ATA Nº/ANO]] = ""),BE$2,BE$1)),0),0),0)</f>
        <v>0</v>
      </c>
      <c r="BF7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 s="338">
        <f>SUMIF(Consumo!$C$3:$C$862,tabItens[[#This Row],[CÓDIGO]],Consumo!$E$3:$E$862)</f>
        <v>0</v>
      </c>
      <c r="BH70" s="339">
        <f>IF(AND(tabItens[[#This Row],[Pend]] &gt; 0,tabItens[[#This Row],[Consumo]] &lt;&gt; 0), tabItens[[#This Row],[Pend]] / tabItens[[#This Row],[Consumo]], 0 )</f>
        <v>0</v>
      </c>
      <c r="BI70" s="338"/>
      <c r="BJ70" s="407"/>
      <c r="BK70" s="408" t="s">
        <v>2086</v>
      </c>
    </row>
    <row r="71" spans="1:63" x14ac:dyDescent="0.3">
      <c r="A71" s="375">
        <v>12894</v>
      </c>
      <c r="B71" s="376" t="s">
        <v>979</v>
      </c>
      <c r="C71" s="377" t="s">
        <v>263</v>
      </c>
      <c r="D71" s="378">
        <v>0.38</v>
      </c>
      <c r="E71" s="305"/>
      <c r="F71" s="379"/>
      <c r="G71" s="379" t="s">
        <v>889</v>
      </c>
      <c r="H71" s="380">
        <v>3801</v>
      </c>
      <c r="I71" s="307">
        <v>103003</v>
      </c>
      <c r="J71" s="308">
        <v>0.38</v>
      </c>
      <c r="K71" s="381">
        <v>1184</v>
      </c>
      <c r="L71" s="382">
        <f>IF(tabItens[[#This Row],[Média]] &gt; 0, tabItens[[#This Row],[QTDE ATUAL]] / tabItens[[#This Row],[Média]],999.9)</f>
        <v>28.996821360457723</v>
      </c>
      <c r="M71" s="383">
        <v>0</v>
      </c>
      <c r="N71" s="384">
        <f>tabItens[[#This Row],[VALOR UNIT.]] * tabItens[[#This Row],[LC]]</f>
        <v>0</v>
      </c>
      <c r="O71" s="385" t="s">
        <v>2103</v>
      </c>
      <c r="P71" s="386"/>
      <c r="Q71" s="387"/>
      <c r="R71" s="312"/>
      <c r="S71" s="388"/>
      <c r="T71" s="389">
        <f>ROUNDDOWN(IFERROR(tabItens[[#This Row],[ATA DT.VALID.]] - $D$1,0) / 30,0)</f>
        <v>-1474</v>
      </c>
      <c r="U71" s="302" t="s">
        <v>966</v>
      </c>
      <c r="V71" s="318">
        <v>1</v>
      </c>
      <c r="W71" s="390" t="s">
        <v>2076</v>
      </c>
      <c r="X71" s="391">
        <v>61</v>
      </c>
      <c r="Y71" s="392">
        <v>8</v>
      </c>
      <c r="Z71" s="393"/>
      <c r="AA71" s="394"/>
      <c r="AB71" s="395"/>
      <c r="AC71" s="395"/>
      <c r="AD71" s="394"/>
      <c r="AE71" s="395"/>
      <c r="AF71" s="317"/>
      <c r="AG71" s="396" t="s">
        <v>2072</v>
      </c>
      <c r="AH71" s="397"/>
      <c r="AI71" s="317">
        <v>524</v>
      </c>
      <c r="AJ71" s="397">
        <v>45208</v>
      </c>
      <c r="AK71" s="326" t="s">
        <v>889</v>
      </c>
      <c r="AL71" s="326">
        <v>45145</v>
      </c>
      <c r="AM71" s="316"/>
      <c r="AN71" s="305"/>
      <c r="AO71" s="327" t="str">
        <f>_xlfn.IFNA(IF(VLOOKUP(tabItens[[#This Row],[CÓDIGO]],tabExcluirDoEstoque[#Data],1,FALSE),"sim",""),"")</f>
        <v/>
      </c>
      <c r="AP71" s="398" t="str">
        <f ca="1">IF(OR(ISBLANK(tabItens[[#This Row],[ATA DT.VALID.]]),tabItens[[#This Row],[ATA DT.VALID.]]="",tabItens[[#This Row],[ATA DT.VALID.]]=" "),"",IF(TYPE(tabItens[[#This Row],[ATA DT.VALID.]])=1,ROUNDUP((tabItens[[#This Row],[ATA DT.VALID.]]-TODAY())/7,0),""))</f>
        <v/>
      </c>
      <c r="AQ71" s="399">
        <v>0</v>
      </c>
      <c r="AR71" s="400" t="str">
        <f>IF(ISBLANK(tabItens[[#This Row],[CÓDIGO]]),"",IFERROR(VLOOKUP(tabItens[[#This Row],[CÓDIGO]],Consumo!$C$2:$AC$862,26,FALSE),0))</f>
        <v>08.2023</v>
      </c>
      <c r="AS71" s="401">
        <f>SUMIF(Consumo!$C$3:$C$862,tabItens[[#This Row],[CÓDIGO]],Consumo!$N$3:$N$862) + SUMIF(Consumo!$C$3:$C$862,tabItens[[#This Row],[CÓDIGO]],Consumo!$O$3:$O$862) + SUMIF(Consumo!$C$3:$C$862,tabItens[[#This Row],[CÓDIGO]],Consumo!$P$3:$P$862) + SUMIF(Consumo!$C$3:$C$862,tabItens[[#This Row],[CÓDIGO]],Consumo!$Q$3:$Q$862)</f>
        <v>357</v>
      </c>
      <c r="AT71" s="401">
        <f>SUMIF(Consumo!$C$3:$C$862,tabItens[[#This Row],[CÓDIGO]],Consumo!$Z$3:$Z$862)</f>
        <v>1573</v>
      </c>
      <c r="AU71" s="402">
        <f>SUMIF(Consumo!$C$3:$C$862,tabItens[[#This Row],[CÓDIGO]],Consumo!$AA$3:$AA$862)</f>
        <v>295</v>
      </c>
      <c r="AV71" s="403">
        <f>SUMIF(Consumo!$C$3:$C$862,tabItens[[#This Row],[CÓDIGO]],Consumo!$Y$3:$Y$862)</f>
        <v>131.08333333333334</v>
      </c>
      <c r="AW71" s="380">
        <f>tabItens[[#This Row],[QTDE ATUAL]] + tabItens[[#This Row],[RC QTDE]] + tabItens[[#This Row],[AF SALDO]] + tabItens[[#This Row],[Recentes]]</f>
        <v>3801</v>
      </c>
      <c r="AX71" s="404">
        <v>334</v>
      </c>
      <c r="AY71" s="404">
        <v>4</v>
      </c>
      <c r="AZ71" s="404">
        <f>IF(ISBLANK(tabItens[[#This Row],[CÓDIGO]]),"",tabItens[[#This Row],[PontoMês]] * (AZ$2+tabItens[[#This Row],[PontoQtM]]))</f>
        <v>1336</v>
      </c>
      <c r="BA71" s="403">
        <f>tabItens[[#This Row],[PontoPed]] - tabItens[[#This Row],[Saldo]] + (1/10)</f>
        <v>-2464.9</v>
      </c>
      <c r="BB71" s="403">
        <f xml:space="preserve"> tabItens[[#This Row],[PontoMês]] * BB$2 - tabItens[[#This Row],[QTDE ATUAL]] - (1/10)</f>
        <v>-3467.1</v>
      </c>
      <c r="BC71" s="335">
        <f>IF( tabItens[[#This Row],[PontoPed]]&gt;0, IF(tabItens[[#This Row],[PontoPed]]&lt;1, 1, IF( tabItens[[#This Row],[Saldo]]&gt;tabItens[[#This Row],[PontoPed]], 0, (tabItens[[#This Row],[PontoPed]]-tabItens[[#This Row],[Saldo]])/tabItens[[#This Row],[PontoPed]] ) ), 0 )</f>
        <v>0</v>
      </c>
      <c r="BD71" s="405">
        <f>ROUNDDOWN(IF( OR( AND(tabItens[[#This Row],[PontoPed]]&lt;tabItens[[#This Row],[Saldo]],tabItens[[#This Row],[Saldo]]&gt;0), tabItens[[#This Row],[PontoPed]]=0), 99, IF(AND(tabItens[[#This Row],[Saldo]]=0,tabItens[[#This Row],[PontoPed]]&gt;0), 0, (1-tabItens[[#This Row],[PctAb]])*10 ) ),0)</f>
        <v>99</v>
      </c>
      <c r="BE71" s="406">
        <f>MAX(ROUNDDOWN( IF(tabItens[[#This Row],[Abaixo]] &gt; 0,   tabItens[[#This Row],[Abaixo]] + (tabItens[[#This Row],[PontoMês]] * IF( OR( ISBLANK(tabItens[[#This Row],[ATA Nº/ANO]]), tabItens[[#This Row],[ATA Nº/ANO]] = ""),BE$2,BE$1)),0),0),0)</f>
        <v>0</v>
      </c>
      <c r="BF7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 s="338">
        <f>SUMIF(Consumo!$C$3:$C$862,tabItens[[#This Row],[CÓDIGO]],Consumo!$E$3:$E$862)</f>
        <v>0</v>
      </c>
      <c r="BH71" s="339">
        <f>IF(AND(tabItens[[#This Row],[Pend]] &gt; 0,tabItens[[#This Row],[Consumo]] &lt;&gt; 0), tabItens[[#This Row],[Pend]] / tabItens[[#This Row],[Consumo]], 0 )</f>
        <v>0</v>
      </c>
      <c r="BI71" s="338"/>
      <c r="BJ71" s="407"/>
      <c r="BK71" s="408" t="s">
        <v>2086</v>
      </c>
    </row>
    <row r="72" spans="1:63" x14ac:dyDescent="0.3">
      <c r="A72" s="375">
        <v>12948</v>
      </c>
      <c r="B72" s="376" t="s">
        <v>981</v>
      </c>
      <c r="C72" s="377" t="s">
        <v>263</v>
      </c>
      <c r="D72" s="378">
        <v>6</v>
      </c>
      <c r="E72" s="305"/>
      <c r="F72" s="379"/>
      <c r="G72" s="379" t="s">
        <v>889</v>
      </c>
      <c r="H72" s="380">
        <v>40</v>
      </c>
      <c r="I72" s="307">
        <v>103003</v>
      </c>
      <c r="J72" s="308">
        <v>6</v>
      </c>
      <c r="K72" s="381">
        <v>17</v>
      </c>
      <c r="L72" s="382">
        <f>IF(tabItens[[#This Row],[Média]] &gt; 0, tabItens[[#This Row],[QTDE ATUAL]] / tabItens[[#This Row],[Média]],999.9)</f>
        <v>32</v>
      </c>
      <c r="M72" s="383">
        <v>0</v>
      </c>
      <c r="N72" s="384">
        <f>tabItens[[#This Row],[VALOR UNIT.]] * tabItens[[#This Row],[LC]]</f>
        <v>0</v>
      </c>
      <c r="O72" s="385" t="s">
        <v>2103</v>
      </c>
      <c r="P72" s="386"/>
      <c r="Q72" s="387"/>
      <c r="R72" s="312"/>
      <c r="S72" s="388"/>
      <c r="T72" s="389">
        <f>ROUNDDOWN(IFERROR(tabItens[[#This Row],[ATA DT.VALID.]] - $D$1,0) / 30,0)</f>
        <v>-1474</v>
      </c>
      <c r="U72" s="302" t="s">
        <v>966</v>
      </c>
      <c r="V72" s="318">
        <v>1</v>
      </c>
      <c r="W72" s="390" t="s">
        <v>2076</v>
      </c>
      <c r="X72" s="391">
        <v>61</v>
      </c>
      <c r="Y72" s="392">
        <v>8</v>
      </c>
      <c r="Z72" s="393"/>
      <c r="AA72" s="394"/>
      <c r="AB72" s="395"/>
      <c r="AC72" s="395"/>
      <c r="AD72" s="394"/>
      <c r="AE72" s="395"/>
      <c r="AF72" s="317"/>
      <c r="AG72" s="396" t="s">
        <v>2072</v>
      </c>
      <c r="AH72" s="397"/>
      <c r="AI72" s="317">
        <v>6</v>
      </c>
      <c r="AJ72" s="397">
        <v>45160</v>
      </c>
      <c r="AK72" s="326" t="s">
        <v>889</v>
      </c>
      <c r="AL72" s="326">
        <v>45145</v>
      </c>
      <c r="AM72" s="316"/>
      <c r="AN72" s="305"/>
      <c r="AO72" s="327" t="str">
        <f>_xlfn.IFNA(IF(VLOOKUP(tabItens[[#This Row],[CÓDIGO]],tabExcluirDoEstoque[#Data],1,FALSE),"sim",""),"")</f>
        <v/>
      </c>
      <c r="AP72" s="398" t="str">
        <f ca="1">IF(OR(ISBLANK(tabItens[[#This Row],[ATA DT.VALID.]]),tabItens[[#This Row],[ATA DT.VALID.]]="",tabItens[[#This Row],[ATA DT.VALID.]]=" "),"",IF(TYPE(tabItens[[#This Row],[ATA DT.VALID.]])=1,ROUNDUP((tabItens[[#This Row],[ATA DT.VALID.]]-TODAY())/7,0),""))</f>
        <v/>
      </c>
      <c r="AQ72" s="399">
        <v>0</v>
      </c>
      <c r="AR72" s="400" t="str">
        <f>IF(ISBLANK(tabItens[[#This Row],[CÓDIGO]]),"",IFERROR(VLOOKUP(tabItens[[#This Row],[CÓDIGO]],Consumo!$C$2:$AC$862,26,FALSE),0))</f>
        <v>04.2023</v>
      </c>
      <c r="AS72" s="401">
        <f>SUMIF(Consumo!$C$3:$C$862,tabItens[[#This Row],[CÓDIGO]],Consumo!$N$3:$N$862) + SUMIF(Consumo!$C$3:$C$862,tabItens[[#This Row],[CÓDIGO]],Consumo!$O$3:$O$862) + SUMIF(Consumo!$C$3:$C$862,tabItens[[#This Row],[CÓDIGO]],Consumo!$P$3:$P$862) + SUMIF(Consumo!$C$3:$C$862,tabItens[[#This Row],[CÓDIGO]],Consumo!$Q$3:$Q$862)</f>
        <v>0</v>
      </c>
      <c r="AT72" s="401">
        <f>SUMIF(Consumo!$C$3:$C$862,tabItens[[#This Row],[CÓDIGO]],Consumo!$Z$3:$Z$862)</f>
        <v>17</v>
      </c>
      <c r="AU72" s="402">
        <f>SUMIF(Consumo!$C$3:$C$862,tabItens[[#This Row],[CÓDIGO]],Consumo!$AA$3:$AA$862)</f>
        <v>10</v>
      </c>
      <c r="AV72" s="403">
        <f>SUMIF(Consumo!$C$3:$C$862,tabItens[[#This Row],[CÓDIGO]],Consumo!$Y$3:$Y$862)</f>
        <v>1.25</v>
      </c>
      <c r="AW72" s="380">
        <f>tabItens[[#This Row],[QTDE ATUAL]] + tabItens[[#This Row],[RC QTDE]] + tabItens[[#This Row],[AF SALDO]] + tabItens[[#This Row],[Recentes]]</f>
        <v>40</v>
      </c>
      <c r="AX72" s="404">
        <v>5</v>
      </c>
      <c r="AY72" s="404">
        <v>4</v>
      </c>
      <c r="AZ72" s="404">
        <f>IF(ISBLANK(tabItens[[#This Row],[CÓDIGO]]),"",tabItens[[#This Row],[PontoMês]] * (AZ$2+tabItens[[#This Row],[PontoQtM]]))</f>
        <v>20</v>
      </c>
      <c r="BA72" s="403">
        <f>tabItens[[#This Row],[PontoPed]] - tabItens[[#This Row],[Saldo]] + (1/10)</f>
        <v>-19.899999999999999</v>
      </c>
      <c r="BB72" s="403">
        <f xml:space="preserve"> tabItens[[#This Row],[PontoMês]] * BB$2 - tabItens[[#This Row],[QTDE ATUAL]] - (1/10)</f>
        <v>-35.1</v>
      </c>
      <c r="BC72" s="335">
        <f>IF( tabItens[[#This Row],[PontoPed]]&gt;0, IF(tabItens[[#This Row],[PontoPed]]&lt;1, 1, IF( tabItens[[#This Row],[Saldo]]&gt;tabItens[[#This Row],[PontoPed]], 0, (tabItens[[#This Row],[PontoPed]]-tabItens[[#This Row],[Saldo]])/tabItens[[#This Row],[PontoPed]] ) ), 0 )</f>
        <v>0</v>
      </c>
      <c r="BD72" s="405">
        <f>ROUNDDOWN(IF( OR( AND(tabItens[[#This Row],[PontoPed]]&lt;tabItens[[#This Row],[Saldo]],tabItens[[#This Row],[Saldo]]&gt;0), tabItens[[#This Row],[PontoPed]]=0), 99, IF(AND(tabItens[[#This Row],[Saldo]]=0,tabItens[[#This Row],[PontoPed]]&gt;0), 0, (1-tabItens[[#This Row],[PctAb]])*10 ) ),0)</f>
        <v>99</v>
      </c>
      <c r="BE72" s="406">
        <f>MAX(ROUNDDOWN( IF(tabItens[[#This Row],[Abaixo]] &gt; 0,   tabItens[[#This Row],[Abaixo]] + (tabItens[[#This Row],[PontoMês]] * IF( OR( ISBLANK(tabItens[[#This Row],[ATA Nº/ANO]]), tabItens[[#This Row],[ATA Nº/ANO]] = ""),BE$2,BE$1)),0),0),0)</f>
        <v>0</v>
      </c>
      <c r="BF7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 s="338">
        <f>SUMIF(Consumo!$C$3:$C$862,tabItens[[#This Row],[CÓDIGO]],Consumo!$E$3:$E$862)</f>
        <v>0</v>
      </c>
      <c r="BH72" s="339">
        <f>IF(AND(tabItens[[#This Row],[Pend]] &gt; 0,tabItens[[#This Row],[Consumo]] &lt;&gt; 0), tabItens[[#This Row],[Pend]] / tabItens[[#This Row],[Consumo]], 0 )</f>
        <v>0</v>
      </c>
      <c r="BI72" s="338"/>
      <c r="BJ72" s="407"/>
      <c r="BK72" s="408" t="s">
        <v>2086</v>
      </c>
    </row>
    <row r="73" spans="1:63" x14ac:dyDescent="0.3">
      <c r="A73" s="375">
        <v>12950</v>
      </c>
      <c r="B73" s="376" t="s">
        <v>982</v>
      </c>
      <c r="C73" s="377" t="s">
        <v>263</v>
      </c>
      <c r="D73" s="378">
        <v>2.2999999999999998</v>
      </c>
      <c r="E73" s="305"/>
      <c r="F73" s="379"/>
      <c r="G73" s="379" t="s">
        <v>889</v>
      </c>
      <c r="H73" s="380">
        <v>221</v>
      </c>
      <c r="I73" s="307">
        <v>103003</v>
      </c>
      <c r="J73" s="308">
        <v>2.2999999999999998</v>
      </c>
      <c r="K73" s="381">
        <v>141</v>
      </c>
      <c r="L73" s="382">
        <f>IF(tabItens[[#This Row],[Média]] &gt; 0, tabItens[[#This Row],[QTDE ATUAL]] / tabItens[[#This Row],[Média]],999.9)</f>
        <v>17.447368421052634</v>
      </c>
      <c r="M73" s="383">
        <v>0</v>
      </c>
      <c r="N73" s="384">
        <f>tabItens[[#This Row],[VALOR UNIT.]] * tabItens[[#This Row],[LC]]</f>
        <v>0</v>
      </c>
      <c r="O73" s="385" t="s">
        <v>2103</v>
      </c>
      <c r="P73" s="386"/>
      <c r="Q73" s="387"/>
      <c r="R73" s="312"/>
      <c r="S73" s="388"/>
      <c r="T73" s="389">
        <f>ROUNDDOWN(IFERROR(tabItens[[#This Row],[ATA DT.VALID.]] - $D$1,0) / 30,0)</f>
        <v>-1474</v>
      </c>
      <c r="U73" s="302" t="s">
        <v>966</v>
      </c>
      <c r="V73" s="318">
        <v>1</v>
      </c>
      <c r="W73" s="390" t="s">
        <v>2076</v>
      </c>
      <c r="X73" s="391">
        <v>61</v>
      </c>
      <c r="Y73" s="392">
        <v>8</v>
      </c>
      <c r="Z73" s="393"/>
      <c r="AA73" s="394"/>
      <c r="AB73" s="395"/>
      <c r="AC73" s="395"/>
      <c r="AD73" s="394"/>
      <c r="AE73" s="395"/>
      <c r="AF73" s="317"/>
      <c r="AG73" s="396" t="s">
        <v>2072</v>
      </c>
      <c r="AH73" s="397"/>
      <c r="AI73" s="317">
        <v>50</v>
      </c>
      <c r="AJ73" s="397">
        <v>45160</v>
      </c>
      <c r="AK73" s="326" t="s">
        <v>889</v>
      </c>
      <c r="AL73" s="326">
        <v>45145</v>
      </c>
      <c r="AM73" s="316"/>
      <c r="AN73" s="305"/>
      <c r="AO73" s="327" t="str">
        <f>_xlfn.IFNA(IF(VLOOKUP(tabItens[[#This Row],[CÓDIGO]],tabExcluirDoEstoque[#Data],1,FALSE),"sim",""),"")</f>
        <v/>
      </c>
      <c r="AP73" s="398" t="str">
        <f ca="1">IF(OR(ISBLANK(tabItens[[#This Row],[ATA DT.VALID.]]),tabItens[[#This Row],[ATA DT.VALID.]]="",tabItens[[#This Row],[ATA DT.VALID.]]=" "),"",IF(TYPE(tabItens[[#This Row],[ATA DT.VALID.]])=1,ROUNDUP((tabItens[[#This Row],[ATA DT.VALID.]]-TODAY())/7,0),""))</f>
        <v/>
      </c>
      <c r="AQ73" s="399">
        <v>0</v>
      </c>
      <c r="AR73" s="400" t="str">
        <f>IF(ISBLANK(tabItens[[#This Row],[CÓDIGO]]),"",IFERROR(VLOOKUP(tabItens[[#This Row],[CÓDIGO]],Consumo!$C$2:$AC$862,26,FALSE),0))</f>
        <v>09.2023</v>
      </c>
      <c r="AS73" s="401">
        <f>SUMIF(Consumo!$C$3:$C$862,tabItens[[#This Row],[CÓDIGO]],Consumo!$N$3:$N$862) + SUMIF(Consumo!$C$3:$C$862,tabItens[[#This Row],[CÓDIGO]],Consumo!$O$3:$O$862) + SUMIF(Consumo!$C$3:$C$862,tabItens[[#This Row],[CÓDIGO]],Consumo!$P$3:$P$862) + SUMIF(Consumo!$C$3:$C$862,tabItens[[#This Row],[CÓDIGO]],Consumo!$Q$3:$Q$862)</f>
        <v>30</v>
      </c>
      <c r="AT73" s="401">
        <f>SUMIF(Consumo!$C$3:$C$862,tabItens[[#This Row],[CÓDIGO]],Consumo!$Z$3:$Z$862)</f>
        <v>152</v>
      </c>
      <c r="AU73" s="402">
        <f>SUMIF(Consumo!$C$3:$C$862,tabItens[[#This Row],[CÓDIGO]],Consumo!$AA$3:$AA$862)</f>
        <v>36</v>
      </c>
      <c r="AV73" s="403">
        <f>SUMIF(Consumo!$C$3:$C$862,tabItens[[#This Row],[CÓDIGO]],Consumo!$Y$3:$Y$862)</f>
        <v>12.666666666666666</v>
      </c>
      <c r="AW73" s="380">
        <f>tabItens[[#This Row],[QTDE ATUAL]] + tabItens[[#This Row],[RC QTDE]] + tabItens[[#This Row],[AF SALDO]] + tabItens[[#This Row],[Recentes]]</f>
        <v>221</v>
      </c>
      <c r="AX73" s="404">
        <v>17</v>
      </c>
      <c r="AY73" s="404">
        <v>4</v>
      </c>
      <c r="AZ73" s="404">
        <f>IF(ISBLANK(tabItens[[#This Row],[CÓDIGO]]),"",tabItens[[#This Row],[PontoMês]] * (AZ$2+tabItens[[#This Row],[PontoQtM]]))</f>
        <v>68</v>
      </c>
      <c r="BA73" s="403">
        <f>tabItens[[#This Row],[PontoPed]] - tabItens[[#This Row],[Saldo]] + (1/10)</f>
        <v>-152.9</v>
      </c>
      <c r="BB73" s="403">
        <f xml:space="preserve"> tabItens[[#This Row],[PontoMês]] * BB$2 - tabItens[[#This Row],[QTDE ATUAL]] - (1/10)</f>
        <v>-204.1</v>
      </c>
      <c r="BC73" s="335">
        <f>IF( tabItens[[#This Row],[PontoPed]]&gt;0, IF(tabItens[[#This Row],[PontoPed]]&lt;1, 1, IF( tabItens[[#This Row],[Saldo]]&gt;tabItens[[#This Row],[PontoPed]], 0, (tabItens[[#This Row],[PontoPed]]-tabItens[[#This Row],[Saldo]])/tabItens[[#This Row],[PontoPed]] ) ), 0 )</f>
        <v>0</v>
      </c>
      <c r="BD73" s="405">
        <f>ROUNDDOWN(IF( OR( AND(tabItens[[#This Row],[PontoPed]]&lt;tabItens[[#This Row],[Saldo]],tabItens[[#This Row],[Saldo]]&gt;0), tabItens[[#This Row],[PontoPed]]=0), 99, IF(AND(tabItens[[#This Row],[Saldo]]=0,tabItens[[#This Row],[PontoPed]]&gt;0), 0, (1-tabItens[[#This Row],[PctAb]])*10 ) ),0)</f>
        <v>99</v>
      </c>
      <c r="BE73" s="406">
        <f>MAX(ROUNDDOWN( IF(tabItens[[#This Row],[Abaixo]] &gt; 0,   tabItens[[#This Row],[Abaixo]] + (tabItens[[#This Row],[PontoMês]] * IF( OR( ISBLANK(tabItens[[#This Row],[ATA Nº/ANO]]), tabItens[[#This Row],[ATA Nº/ANO]] = ""),BE$2,BE$1)),0),0),0)</f>
        <v>0</v>
      </c>
      <c r="BF7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3" s="338">
        <f>SUMIF(Consumo!$C$3:$C$862,tabItens[[#This Row],[CÓDIGO]],Consumo!$E$3:$E$862)</f>
        <v>0</v>
      </c>
      <c r="BH73" s="339">
        <f>IF(AND(tabItens[[#This Row],[Pend]] &gt; 0,tabItens[[#This Row],[Consumo]] &lt;&gt; 0), tabItens[[#This Row],[Pend]] / tabItens[[#This Row],[Consumo]], 0 )</f>
        <v>0</v>
      </c>
      <c r="BI73" s="338"/>
      <c r="BJ73" s="407"/>
      <c r="BK73" s="408" t="s">
        <v>2086</v>
      </c>
    </row>
    <row r="74" spans="1:63" x14ac:dyDescent="0.3">
      <c r="A74" s="375">
        <v>12956</v>
      </c>
      <c r="B74" s="376" t="s">
        <v>983</v>
      </c>
      <c r="C74" s="377" t="s">
        <v>263</v>
      </c>
      <c r="D74" s="378">
        <v>0.41</v>
      </c>
      <c r="E74" s="305"/>
      <c r="F74" s="379"/>
      <c r="G74" s="379" t="s">
        <v>889</v>
      </c>
      <c r="H74" s="380">
        <v>868</v>
      </c>
      <c r="I74" s="307">
        <v>103003</v>
      </c>
      <c r="J74" s="308">
        <v>0.41</v>
      </c>
      <c r="K74" s="381">
        <v>423</v>
      </c>
      <c r="L74" s="382">
        <f>IF(tabItens[[#This Row],[Média]] &gt; 0, tabItens[[#This Row],[QTDE ATUAL]] / tabItens[[#This Row],[Média]],999.9)</f>
        <v>19.042047531992687</v>
      </c>
      <c r="M74" s="383">
        <v>0</v>
      </c>
      <c r="N74" s="384">
        <f>tabItens[[#This Row],[VALOR UNIT.]] * tabItens[[#This Row],[LC]]</f>
        <v>0</v>
      </c>
      <c r="O74" s="385" t="s">
        <v>2103</v>
      </c>
      <c r="P74" s="386"/>
      <c r="Q74" s="387"/>
      <c r="R74" s="312"/>
      <c r="S74" s="388"/>
      <c r="T74" s="389">
        <f>ROUNDDOWN(IFERROR(tabItens[[#This Row],[ATA DT.VALID.]] - $D$1,0) / 30,0)</f>
        <v>-1474</v>
      </c>
      <c r="U74" s="302" t="s">
        <v>966</v>
      </c>
      <c r="V74" s="318">
        <v>1</v>
      </c>
      <c r="W74" s="390" t="s">
        <v>2076</v>
      </c>
      <c r="X74" s="391">
        <v>61</v>
      </c>
      <c r="Y74" s="392">
        <v>8</v>
      </c>
      <c r="Z74" s="393"/>
      <c r="AA74" s="394"/>
      <c r="AB74" s="395"/>
      <c r="AC74" s="395"/>
      <c r="AD74" s="394"/>
      <c r="AE74" s="395"/>
      <c r="AF74" s="317"/>
      <c r="AG74" s="396" t="s">
        <v>2072</v>
      </c>
      <c r="AH74" s="397"/>
      <c r="AI74" s="317">
        <v>182</v>
      </c>
      <c r="AJ74" s="397">
        <v>45208</v>
      </c>
      <c r="AK74" s="326" t="s">
        <v>889</v>
      </c>
      <c r="AL74" s="326">
        <v>45145</v>
      </c>
      <c r="AM74" s="316"/>
      <c r="AN74" s="305"/>
      <c r="AO74" s="327" t="str">
        <f>_xlfn.IFNA(IF(VLOOKUP(tabItens[[#This Row],[CÓDIGO]],tabExcluirDoEstoque[#Data],1,FALSE),"sim",""),"")</f>
        <v/>
      </c>
      <c r="AP74" s="398" t="str">
        <f ca="1">IF(OR(ISBLANK(tabItens[[#This Row],[ATA DT.VALID.]]),tabItens[[#This Row],[ATA DT.VALID.]]="",tabItens[[#This Row],[ATA DT.VALID.]]=" "),"",IF(TYPE(tabItens[[#This Row],[ATA DT.VALID.]])=1,ROUNDUP((tabItens[[#This Row],[ATA DT.VALID.]]-TODAY())/7,0),""))</f>
        <v/>
      </c>
      <c r="AQ74" s="399">
        <v>0</v>
      </c>
      <c r="AR74" s="400" t="str">
        <f>IF(ISBLANK(tabItens[[#This Row],[CÓDIGO]]),"",IFERROR(VLOOKUP(tabItens[[#This Row],[CÓDIGO]],Consumo!$C$2:$AC$862,26,FALSE),0))</f>
        <v>09.2023</v>
      </c>
      <c r="AS74" s="401">
        <f>SUMIF(Consumo!$C$3:$C$862,tabItens[[#This Row],[CÓDIGO]],Consumo!$N$3:$N$862) + SUMIF(Consumo!$C$3:$C$862,tabItens[[#This Row],[CÓDIGO]],Consumo!$O$3:$O$862) + SUMIF(Consumo!$C$3:$C$862,tabItens[[#This Row],[CÓDIGO]],Consumo!$P$3:$P$862) + SUMIF(Consumo!$C$3:$C$862,tabItens[[#This Row],[CÓDIGO]],Consumo!$Q$3:$Q$862)</f>
        <v>150</v>
      </c>
      <c r="AT74" s="401">
        <f>SUMIF(Consumo!$C$3:$C$862,tabItens[[#This Row],[CÓDIGO]],Consumo!$Z$3:$Z$862)</f>
        <v>547</v>
      </c>
      <c r="AU74" s="402">
        <f>SUMIF(Consumo!$C$3:$C$862,tabItens[[#This Row],[CÓDIGO]],Consumo!$AA$3:$AA$862)</f>
        <v>100</v>
      </c>
      <c r="AV74" s="403">
        <f>SUMIF(Consumo!$C$3:$C$862,tabItens[[#This Row],[CÓDIGO]],Consumo!$Y$3:$Y$862)</f>
        <v>45.583333333333336</v>
      </c>
      <c r="AW74" s="380">
        <f>tabItens[[#This Row],[QTDE ATUAL]] + tabItens[[#This Row],[RC QTDE]] + tabItens[[#This Row],[AF SALDO]] + tabItens[[#This Row],[Recentes]]</f>
        <v>868</v>
      </c>
      <c r="AX74" s="404">
        <v>100</v>
      </c>
      <c r="AY74" s="404">
        <v>4</v>
      </c>
      <c r="AZ74" s="404">
        <f>IF(ISBLANK(tabItens[[#This Row],[CÓDIGO]]),"",tabItens[[#This Row],[PontoMês]] * (AZ$2+tabItens[[#This Row],[PontoQtM]]))</f>
        <v>400</v>
      </c>
      <c r="BA74" s="403">
        <f>tabItens[[#This Row],[PontoPed]] - tabItens[[#This Row],[Saldo]] + (1/10)</f>
        <v>-467.9</v>
      </c>
      <c r="BB74" s="403">
        <f xml:space="preserve"> tabItens[[#This Row],[PontoMês]] * BB$2 - tabItens[[#This Row],[QTDE ATUAL]] - (1/10)</f>
        <v>-768.1</v>
      </c>
      <c r="BC74" s="335">
        <f>IF( tabItens[[#This Row],[PontoPed]]&gt;0, IF(tabItens[[#This Row],[PontoPed]]&lt;1, 1, IF( tabItens[[#This Row],[Saldo]]&gt;tabItens[[#This Row],[PontoPed]], 0, (tabItens[[#This Row],[PontoPed]]-tabItens[[#This Row],[Saldo]])/tabItens[[#This Row],[PontoPed]] ) ), 0 )</f>
        <v>0</v>
      </c>
      <c r="BD74" s="405">
        <f>ROUNDDOWN(IF( OR( AND(tabItens[[#This Row],[PontoPed]]&lt;tabItens[[#This Row],[Saldo]],tabItens[[#This Row],[Saldo]]&gt;0), tabItens[[#This Row],[PontoPed]]=0), 99, IF(AND(tabItens[[#This Row],[Saldo]]=0,tabItens[[#This Row],[PontoPed]]&gt;0), 0, (1-tabItens[[#This Row],[PctAb]])*10 ) ),0)</f>
        <v>99</v>
      </c>
      <c r="BE74" s="406">
        <f>MAX(ROUNDDOWN( IF(tabItens[[#This Row],[Abaixo]] &gt; 0,   tabItens[[#This Row],[Abaixo]] + (tabItens[[#This Row],[PontoMês]] * IF( OR( ISBLANK(tabItens[[#This Row],[ATA Nº/ANO]]), tabItens[[#This Row],[ATA Nº/ANO]] = ""),BE$2,BE$1)),0),0),0)</f>
        <v>0</v>
      </c>
      <c r="BF7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4" s="338">
        <f>SUMIF(Consumo!$C$3:$C$862,tabItens[[#This Row],[CÓDIGO]],Consumo!$E$3:$E$862)</f>
        <v>0</v>
      </c>
      <c r="BH74" s="339">
        <f>IF(AND(tabItens[[#This Row],[Pend]] &gt; 0,tabItens[[#This Row],[Consumo]] &lt;&gt; 0), tabItens[[#This Row],[Pend]] / tabItens[[#This Row],[Consumo]], 0 )</f>
        <v>0</v>
      </c>
      <c r="BI74" s="338"/>
      <c r="BJ74" s="407"/>
      <c r="BK74" s="408" t="s">
        <v>2086</v>
      </c>
    </row>
    <row r="75" spans="1:63" x14ac:dyDescent="0.3">
      <c r="A75" s="375">
        <v>13072</v>
      </c>
      <c r="B75" s="376" t="s">
        <v>998</v>
      </c>
      <c r="C75" s="377" t="s">
        <v>263</v>
      </c>
      <c r="D75" s="378">
        <v>0.72</v>
      </c>
      <c r="E75" s="305"/>
      <c r="F75" s="379"/>
      <c r="G75" s="379" t="s">
        <v>889</v>
      </c>
      <c r="H75" s="380">
        <v>275</v>
      </c>
      <c r="I75" s="307">
        <v>103003</v>
      </c>
      <c r="J75" s="308">
        <v>0.72</v>
      </c>
      <c r="K75" s="381">
        <v>227</v>
      </c>
      <c r="L75" s="382">
        <f>IF(tabItens[[#This Row],[Média]] &gt; 0, tabItens[[#This Row],[QTDE ATUAL]] / tabItens[[#This Row],[Média]],999.9)</f>
        <v>11.702127659574469</v>
      </c>
      <c r="M75" s="383">
        <v>0</v>
      </c>
      <c r="N75" s="384">
        <f>tabItens[[#This Row],[VALOR UNIT.]] * tabItens[[#This Row],[LC]]</f>
        <v>0</v>
      </c>
      <c r="O75" s="385" t="s">
        <v>2103</v>
      </c>
      <c r="P75" s="386"/>
      <c r="Q75" s="387"/>
      <c r="R75" s="312"/>
      <c r="S75" s="388"/>
      <c r="T75" s="389">
        <f>ROUNDDOWN(IFERROR(tabItens[[#This Row],[ATA DT.VALID.]] - $D$1,0) / 30,0)</f>
        <v>-1474</v>
      </c>
      <c r="U75" s="302" t="s">
        <v>966</v>
      </c>
      <c r="V75" s="318">
        <v>1</v>
      </c>
      <c r="W75" s="390" t="s">
        <v>2076</v>
      </c>
      <c r="X75" s="391">
        <v>61</v>
      </c>
      <c r="Y75" s="392">
        <v>8</v>
      </c>
      <c r="Z75" s="393"/>
      <c r="AA75" s="394"/>
      <c r="AB75" s="395"/>
      <c r="AC75" s="395"/>
      <c r="AD75" s="394"/>
      <c r="AE75" s="395"/>
      <c r="AF75" s="317"/>
      <c r="AG75" s="396" t="s">
        <v>2072</v>
      </c>
      <c r="AH75" s="397"/>
      <c r="AI75" s="317">
        <v>94</v>
      </c>
      <c r="AJ75" s="397">
        <v>45180</v>
      </c>
      <c r="AK75" s="326" t="s">
        <v>889</v>
      </c>
      <c r="AL75" s="326">
        <v>45145</v>
      </c>
      <c r="AM75" s="316"/>
      <c r="AN75" s="305"/>
      <c r="AO75" s="327" t="str">
        <f>_xlfn.IFNA(IF(VLOOKUP(tabItens[[#This Row],[CÓDIGO]],tabExcluirDoEstoque[#Data],1,FALSE),"sim",""),"")</f>
        <v/>
      </c>
      <c r="AP75" s="398" t="str">
        <f ca="1">IF(OR(ISBLANK(tabItens[[#This Row],[ATA DT.VALID.]]),tabItens[[#This Row],[ATA DT.VALID.]]="",tabItens[[#This Row],[ATA DT.VALID.]]=" "),"",IF(TYPE(tabItens[[#This Row],[ATA DT.VALID.]])=1,ROUNDUP((tabItens[[#This Row],[ATA DT.VALID.]]-TODAY())/7,0),""))</f>
        <v/>
      </c>
      <c r="AQ75" s="399">
        <v>0</v>
      </c>
      <c r="AR75" s="400" t="str">
        <f>IF(ISBLANK(tabItens[[#This Row],[CÓDIGO]]),"",IFERROR(VLOOKUP(tabItens[[#This Row],[CÓDIGO]],Consumo!$C$2:$AC$862,26,FALSE),0))</f>
        <v>09.2023</v>
      </c>
      <c r="AS75" s="401">
        <f>SUMIF(Consumo!$C$3:$C$862,tabItens[[#This Row],[CÓDIGO]],Consumo!$N$3:$N$862) + SUMIF(Consumo!$C$3:$C$862,tabItens[[#This Row],[CÓDIGO]],Consumo!$O$3:$O$862) + SUMIF(Consumo!$C$3:$C$862,tabItens[[#This Row],[CÓDIGO]],Consumo!$P$3:$P$862) + SUMIF(Consumo!$C$3:$C$862,tabItens[[#This Row],[CÓDIGO]],Consumo!$Q$3:$Q$862)</f>
        <v>50</v>
      </c>
      <c r="AT75" s="401">
        <f>SUMIF(Consumo!$C$3:$C$862,tabItens[[#This Row],[CÓDIGO]],Consumo!$Z$3:$Z$862)</f>
        <v>282</v>
      </c>
      <c r="AU75" s="402">
        <f>SUMIF(Consumo!$C$3:$C$862,tabItens[[#This Row],[CÓDIGO]],Consumo!$AA$3:$AA$862)</f>
        <v>45</v>
      </c>
      <c r="AV75" s="403">
        <f>SUMIF(Consumo!$C$3:$C$862,tabItens[[#This Row],[CÓDIGO]],Consumo!$Y$3:$Y$862)</f>
        <v>23.5</v>
      </c>
      <c r="AW75" s="380">
        <f>tabItens[[#This Row],[QTDE ATUAL]] + tabItens[[#This Row],[RC QTDE]] + tabItens[[#This Row],[AF SALDO]] + tabItens[[#This Row],[Recentes]]</f>
        <v>275</v>
      </c>
      <c r="AX75" s="404">
        <v>95</v>
      </c>
      <c r="AY75" s="404">
        <v>4</v>
      </c>
      <c r="AZ75" s="404">
        <f>IF(ISBLANK(tabItens[[#This Row],[CÓDIGO]]),"",tabItens[[#This Row],[PontoMês]] * (AZ$2+tabItens[[#This Row],[PontoQtM]]))</f>
        <v>380</v>
      </c>
      <c r="BA75" s="403">
        <f>tabItens[[#This Row],[PontoPed]] - tabItens[[#This Row],[Saldo]] + (1/10)</f>
        <v>105.1</v>
      </c>
      <c r="BB75" s="403">
        <f xml:space="preserve"> tabItens[[#This Row],[PontoMês]] * BB$2 - tabItens[[#This Row],[QTDE ATUAL]] - (1/10)</f>
        <v>-180.1</v>
      </c>
      <c r="BC75" s="335">
        <f>IF( tabItens[[#This Row],[PontoPed]]&gt;0, IF(tabItens[[#This Row],[PontoPed]]&lt;1, 1, IF( tabItens[[#This Row],[Saldo]]&gt;tabItens[[#This Row],[PontoPed]], 0, (tabItens[[#This Row],[PontoPed]]-tabItens[[#This Row],[Saldo]])/tabItens[[#This Row],[PontoPed]] ) ), 0 )</f>
        <v>0.27631578947368424</v>
      </c>
      <c r="BD75" s="405">
        <f>ROUNDDOWN(IF( OR( AND(tabItens[[#This Row],[PontoPed]]&lt;tabItens[[#This Row],[Saldo]],tabItens[[#This Row],[Saldo]]&gt;0), tabItens[[#This Row],[PontoPed]]=0), 99, IF(AND(tabItens[[#This Row],[Saldo]]=0,tabItens[[#This Row],[PontoPed]]&gt;0), 0, (1-tabItens[[#This Row],[PctAb]])*10 ) ),0)</f>
        <v>7</v>
      </c>
      <c r="BE75" s="406">
        <f>MAX(ROUNDDOWN( IF(tabItens[[#This Row],[Abaixo]] &gt; 0,   tabItens[[#This Row],[Abaixo]] + (tabItens[[#This Row],[PontoMês]] * IF( OR( ISBLANK(tabItens[[#This Row],[ATA Nº/ANO]]), tabItens[[#This Row],[ATA Nº/ANO]] = ""),BE$2,BE$1)),0),0),0)</f>
        <v>390</v>
      </c>
      <c r="BF7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 s="338">
        <f>SUMIF(Consumo!$C$3:$C$862,tabItens[[#This Row],[CÓDIGO]],Consumo!$E$3:$E$862)</f>
        <v>0</v>
      </c>
      <c r="BH75" s="339">
        <f>IF(AND(tabItens[[#This Row],[Pend]] &gt; 0,tabItens[[#This Row],[Consumo]] &lt;&gt; 0), tabItens[[#This Row],[Pend]] / tabItens[[#This Row],[Consumo]], 0 )</f>
        <v>0</v>
      </c>
      <c r="BI75" s="338"/>
      <c r="BJ75" s="407"/>
      <c r="BK75" s="408" t="s">
        <v>2086</v>
      </c>
    </row>
    <row r="76" spans="1:63" x14ac:dyDescent="0.3">
      <c r="A76" s="375">
        <v>13095</v>
      </c>
      <c r="B76" s="376" t="s">
        <v>1006</v>
      </c>
      <c r="C76" s="377" t="s">
        <v>263</v>
      </c>
      <c r="D76" s="378">
        <v>4.43</v>
      </c>
      <c r="E76" s="305"/>
      <c r="F76" s="379"/>
      <c r="G76" s="379" t="s">
        <v>889</v>
      </c>
      <c r="H76" s="380">
        <v>232</v>
      </c>
      <c r="I76" s="307">
        <v>103003</v>
      </c>
      <c r="J76" s="308">
        <v>4.43</v>
      </c>
      <c r="K76" s="381">
        <v>88</v>
      </c>
      <c r="L76" s="382">
        <f>IF(tabItens[[#This Row],[Média]] &gt; 0, tabItens[[#This Row],[QTDE ATUAL]] / tabItens[[#This Row],[Média]],999.9)</f>
        <v>29.617021276595747</v>
      </c>
      <c r="M76" s="383">
        <v>0</v>
      </c>
      <c r="N76" s="384">
        <f>tabItens[[#This Row],[VALOR UNIT.]] * tabItens[[#This Row],[LC]]</f>
        <v>0</v>
      </c>
      <c r="O76" s="385" t="s">
        <v>2103</v>
      </c>
      <c r="P76" s="386"/>
      <c r="Q76" s="387"/>
      <c r="R76" s="312"/>
      <c r="S76" s="388"/>
      <c r="T76" s="389">
        <f>ROUNDDOWN(IFERROR(tabItens[[#This Row],[ATA DT.VALID.]] - $D$1,0) / 30,0)</f>
        <v>-1474</v>
      </c>
      <c r="U76" s="302" t="s">
        <v>966</v>
      </c>
      <c r="V76" s="318">
        <v>1</v>
      </c>
      <c r="W76" s="390" t="s">
        <v>2076</v>
      </c>
      <c r="X76" s="391">
        <v>61</v>
      </c>
      <c r="Y76" s="392">
        <v>8</v>
      </c>
      <c r="Z76" s="393"/>
      <c r="AA76" s="394"/>
      <c r="AB76" s="395"/>
      <c r="AC76" s="395"/>
      <c r="AD76" s="394"/>
      <c r="AE76" s="395"/>
      <c r="AF76" s="317"/>
      <c r="AG76" s="396" t="s">
        <v>2072</v>
      </c>
      <c r="AH76" s="397"/>
      <c r="AI76" s="317">
        <v>32</v>
      </c>
      <c r="AJ76" s="397">
        <v>45184</v>
      </c>
      <c r="AK76" s="326" t="s">
        <v>889</v>
      </c>
      <c r="AL76" s="326">
        <v>45145</v>
      </c>
      <c r="AM76" s="316"/>
      <c r="AN76" s="305"/>
      <c r="AO76" s="327" t="str">
        <f>_xlfn.IFNA(IF(VLOOKUP(tabItens[[#This Row],[CÓDIGO]],tabExcluirDoEstoque[#Data],1,FALSE),"sim",""),"")</f>
        <v/>
      </c>
      <c r="AP76" s="398" t="str">
        <f ca="1">IF(OR(ISBLANK(tabItens[[#This Row],[ATA DT.VALID.]]),tabItens[[#This Row],[ATA DT.VALID.]]="",tabItens[[#This Row],[ATA DT.VALID.]]=" "),"",IF(TYPE(tabItens[[#This Row],[ATA DT.VALID.]])=1,ROUNDUP((tabItens[[#This Row],[ATA DT.VALID.]]-TODAY())/7,0),""))</f>
        <v/>
      </c>
      <c r="AQ76" s="399">
        <v>0</v>
      </c>
      <c r="AR76" s="400" t="str">
        <f>IF(ISBLANK(tabItens[[#This Row],[CÓDIGO]]),"",IFERROR(VLOOKUP(tabItens[[#This Row],[CÓDIGO]],Consumo!$C$2:$AC$862,26,FALSE),0))</f>
        <v>09.2023</v>
      </c>
      <c r="AS76" s="401">
        <f>SUMIF(Consumo!$C$3:$C$862,tabItens[[#This Row],[CÓDIGO]],Consumo!$N$3:$N$862) + SUMIF(Consumo!$C$3:$C$862,tabItens[[#This Row],[CÓDIGO]],Consumo!$O$3:$O$862) + SUMIF(Consumo!$C$3:$C$862,tabItens[[#This Row],[CÓDIGO]],Consumo!$P$3:$P$862) + SUMIF(Consumo!$C$3:$C$862,tabItens[[#This Row],[CÓDIGO]],Consumo!$Q$3:$Q$862)</f>
        <v>20</v>
      </c>
      <c r="AT76" s="401">
        <f>SUMIF(Consumo!$C$3:$C$862,tabItens[[#This Row],[CÓDIGO]],Consumo!$Z$3:$Z$862)</f>
        <v>94</v>
      </c>
      <c r="AU76" s="402">
        <f>SUMIF(Consumo!$C$3:$C$862,tabItens[[#This Row],[CÓDIGO]],Consumo!$AA$3:$AA$862)</f>
        <v>21</v>
      </c>
      <c r="AV76" s="403">
        <f>SUMIF(Consumo!$C$3:$C$862,tabItens[[#This Row],[CÓDIGO]],Consumo!$Y$3:$Y$862)</f>
        <v>7.833333333333333</v>
      </c>
      <c r="AW76" s="380">
        <f>tabItens[[#This Row],[QTDE ATUAL]] + tabItens[[#This Row],[RC QTDE]] + tabItens[[#This Row],[AF SALDO]] + tabItens[[#This Row],[Recentes]]</f>
        <v>232</v>
      </c>
      <c r="AX76" s="404">
        <v>20</v>
      </c>
      <c r="AY76" s="404">
        <v>4</v>
      </c>
      <c r="AZ76" s="404">
        <f>IF(ISBLANK(tabItens[[#This Row],[CÓDIGO]]),"",tabItens[[#This Row],[PontoMês]] * (AZ$2+tabItens[[#This Row],[PontoQtM]]))</f>
        <v>80</v>
      </c>
      <c r="BA76" s="403">
        <f>tabItens[[#This Row],[PontoPed]] - tabItens[[#This Row],[Saldo]] + (1/10)</f>
        <v>-151.9</v>
      </c>
      <c r="BB76" s="403">
        <f xml:space="preserve"> tabItens[[#This Row],[PontoMês]] * BB$2 - tabItens[[#This Row],[QTDE ATUAL]] - (1/10)</f>
        <v>-212.1</v>
      </c>
      <c r="BC76" s="335">
        <f>IF( tabItens[[#This Row],[PontoPed]]&gt;0, IF(tabItens[[#This Row],[PontoPed]]&lt;1, 1, IF( tabItens[[#This Row],[Saldo]]&gt;tabItens[[#This Row],[PontoPed]], 0, (tabItens[[#This Row],[PontoPed]]-tabItens[[#This Row],[Saldo]])/tabItens[[#This Row],[PontoPed]] ) ), 0 )</f>
        <v>0</v>
      </c>
      <c r="BD76" s="405">
        <f>ROUNDDOWN(IF( OR( AND(tabItens[[#This Row],[PontoPed]]&lt;tabItens[[#This Row],[Saldo]],tabItens[[#This Row],[Saldo]]&gt;0), tabItens[[#This Row],[PontoPed]]=0), 99, IF(AND(tabItens[[#This Row],[Saldo]]=0,tabItens[[#This Row],[PontoPed]]&gt;0), 0, (1-tabItens[[#This Row],[PctAb]])*10 ) ),0)</f>
        <v>99</v>
      </c>
      <c r="BE76" s="406">
        <f>MAX(ROUNDDOWN( IF(tabItens[[#This Row],[Abaixo]] &gt; 0,   tabItens[[#This Row],[Abaixo]] + (tabItens[[#This Row],[PontoMês]] * IF( OR( ISBLANK(tabItens[[#This Row],[ATA Nº/ANO]]), tabItens[[#This Row],[ATA Nº/ANO]] = ""),BE$2,BE$1)),0),0),0)</f>
        <v>0</v>
      </c>
      <c r="BF7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 s="338">
        <f>SUMIF(Consumo!$C$3:$C$862,tabItens[[#This Row],[CÓDIGO]],Consumo!$E$3:$E$862)</f>
        <v>0</v>
      </c>
      <c r="BH76" s="339">
        <f>IF(AND(tabItens[[#This Row],[Pend]] &gt; 0,tabItens[[#This Row],[Consumo]] &lt;&gt; 0), tabItens[[#This Row],[Pend]] / tabItens[[#This Row],[Consumo]], 0 )</f>
        <v>0</v>
      </c>
      <c r="BI76" s="338"/>
      <c r="BJ76" s="407"/>
      <c r="BK76" s="408" t="s">
        <v>2086</v>
      </c>
    </row>
    <row r="77" spans="1:63" x14ac:dyDescent="0.3">
      <c r="A77" s="375">
        <v>13517</v>
      </c>
      <c r="B77" s="376" t="s">
        <v>1034</v>
      </c>
      <c r="C77" s="377" t="s">
        <v>263</v>
      </c>
      <c r="D77" s="378">
        <v>5.15</v>
      </c>
      <c r="E77" s="305"/>
      <c r="F77" s="379"/>
      <c r="G77" s="379" t="s">
        <v>889</v>
      </c>
      <c r="H77" s="380">
        <v>362</v>
      </c>
      <c r="I77" s="307">
        <v>103003</v>
      </c>
      <c r="J77" s="308">
        <v>5.15</v>
      </c>
      <c r="K77" s="381">
        <v>43</v>
      </c>
      <c r="L77" s="382">
        <f>IF(tabItens[[#This Row],[Média]] &gt; 0, tabItens[[#This Row],[QTDE ATUAL]] / tabItens[[#This Row],[Média]],999.9)</f>
        <v>101.02325581395348</v>
      </c>
      <c r="M77" s="383">
        <v>0</v>
      </c>
      <c r="N77" s="384">
        <f>tabItens[[#This Row],[VALOR UNIT.]] * tabItens[[#This Row],[LC]]</f>
        <v>0</v>
      </c>
      <c r="O77" s="385" t="s">
        <v>2103</v>
      </c>
      <c r="P77" s="386"/>
      <c r="Q77" s="387"/>
      <c r="R77" s="312"/>
      <c r="S77" s="388"/>
      <c r="T77" s="389">
        <f>ROUNDDOWN(IFERROR(tabItens[[#This Row],[ATA DT.VALID.]] - $D$1,0) / 30,0)</f>
        <v>-1474</v>
      </c>
      <c r="U77" s="302" t="s">
        <v>966</v>
      </c>
      <c r="V77" s="318">
        <v>1</v>
      </c>
      <c r="W77" s="390" t="s">
        <v>2076</v>
      </c>
      <c r="X77" s="391">
        <v>61</v>
      </c>
      <c r="Y77" s="392">
        <v>8</v>
      </c>
      <c r="Z77" s="393"/>
      <c r="AA77" s="394"/>
      <c r="AB77" s="395"/>
      <c r="AC77" s="395"/>
      <c r="AD77" s="394"/>
      <c r="AE77" s="395"/>
      <c r="AF77" s="317"/>
      <c r="AG77" s="396" t="s">
        <v>2072</v>
      </c>
      <c r="AH77" s="397"/>
      <c r="AI77" s="317">
        <v>14</v>
      </c>
      <c r="AJ77" s="397">
        <v>44533</v>
      </c>
      <c r="AK77" s="326" t="s">
        <v>889</v>
      </c>
      <c r="AL77" s="326">
        <v>45096</v>
      </c>
      <c r="AM77" s="316"/>
      <c r="AN77" s="305"/>
      <c r="AO77" s="327" t="str">
        <f>_xlfn.IFNA(IF(VLOOKUP(tabItens[[#This Row],[CÓDIGO]],tabExcluirDoEstoque[#Data],1,FALSE),"sim",""),"")</f>
        <v/>
      </c>
      <c r="AP77" s="398" t="str">
        <f ca="1">IF(OR(ISBLANK(tabItens[[#This Row],[ATA DT.VALID.]]),tabItens[[#This Row],[ATA DT.VALID.]]="",tabItens[[#This Row],[ATA DT.VALID.]]=" "),"",IF(TYPE(tabItens[[#This Row],[ATA DT.VALID.]])=1,ROUNDUP((tabItens[[#This Row],[ATA DT.VALID.]]-TODAY())/7,0),""))</f>
        <v/>
      </c>
      <c r="AQ77" s="399">
        <v>0</v>
      </c>
      <c r="AR77" s="400" t="str">
        <f>IF(ISBLANK(tabItens[[#This Row],[CÓDIGO]]),"",IFERROR(VLOOKUP(tabItens[[#This Row],[CÓDIGO]],Consumo!$C$2:$AC$862,26,FALSE),0))</f>
        <v>07.2023</v>
      </c>
      <c r="AS77" s="401">
        <f>SUMIF(Consumo!$C$3:$C$862,tabItens[[#This Row],[CÓDIGO]],Consumo!$N$3:$N$862) + SUMIF(Consumo!$C$3:$C$862,tabItens[[#This Row],[CÓDIGO]],Consumo!$O$3:$O$862) + SUMIF(Consumo!$C$3:$C$862,tabItens[[#This Row],[CÓDIGO]],Consumo!$P$3:$P$862) + SUMIF(Consumo!$C$3:$C$862,tabItens[[#This Row],[CÓDIGO]],Consumo!$Q$3:$Q$862)</f>
        <v>10</v>
      </c>
      <c r="AT77" s="401">
        <f>SUMIF(Consumo!$C$3:$C$862,tabItens[[#This Row],[CÓDIGO]],Consumo!$Z$3:$Z$862)</f>
        <v>43</v>
      </c>
      <c r="AU77" s="402">
        <f>SUMIF(Consumo!$C$3:$C$862,tabItens[[#This Row],[CÓDIGO]],Consumo!$AA$3:$AA$862)</f>
        <v>11</v>
      </c>
      <c r="AV77" s="403">
        <f>SUMIF(Consumo!$C$3:$C$862,tabItens[[#This Row],[CÓDIGO]],Consumo!$Y$3:$Y$862)</f>
        <v>3.5833333333333335</v>
      </c>
      <c r="AW77" s="380">
        <f>tabItens[[#This Row],[QTDE ATUAL]] + tabItens[[#This Row],[RC QTDE]] + tabItens[[#This Row],[AF SALDO]] + tabItens[[#This Row],[Recentes]]</f>
        <v>362</v>
      </c>
      <c r="AX77" s="404">
        <v>9</v>
      </c>
      <c r="AY77" s="404">
        <v>4</v>
      </c>
      <c r="AZ77" s="404">
        <f>IF(ISBLANK(tabItens[[#This Row],[CÓDIGO]]),"",tabItens[[#This Row],[PontoMês]] * (AZ$2+tabItens[[#This Row],[PontoQtM]]))</f>
        <v>36</v>
      </c>
      <c r="BA77" s="403">
        <f>tabItens[[#This Row],[PontoPed]] - tabItens[[#This Row],[Saldo]] + (1/10)</f>
        <v>-325.89999999999998</v>
      </c>
      <c r="BB77" s="403">
        <f xml:space="preserve"> tabItens[[#This Row],[PontoMês]] * BB$2 - tabItens[[#This Row],[QTDE ATUAL]] - (1/10)</f>
        <v>-353.1</v>
      </c>
      <c r="BC77" s="335">
        <f>IF( tabItens[[#This Row],[PontoPed]]&gt;0, IF(tabItens[[#This Row],[PontoPed]]&lt;1, 1, IF( tabItens[[#This Row],[Saldo]]&gt;tabItens[[#This Row],[PontoPed]], 0, (tabItens[[#This Row],[PontoPed]]-tabItens[[#This Row],[Saldo]])/tabItens[[#This Row],[PontoPed]] ) ), 0 )</f>
        <v>0</v>
      </c>
      <c r="BD77" s="405">
        <f>ROUNDDOWN(IF( OR( AND(tabItens[[#This Row],[PontoPed]]&lt;tabItens[[#This Row],[Saldo]],tabItens[[#This Row],[Saldo]]&gt;0), tabItens[[#This Row],[PontoPed]]=0), 99, IF(AND(tabItens[[#This Row],[Saldo]]=0,tabItens[[#This Row],[PontoPed]]&gt;0), 0, (1-tabItens[[#This Row],[PctAb]])*10 ) ),0)</f>
        <v>99</v>
      </c>
      <c r="BE77" s="406">
        <f>MAX(ROUNDDOWN( IF(tabItens[[#This Row],[Abaixo]] &gt; 0,   tabItens[[#This Row],[Abaixo]] + (tabItens[[#This Row],[PontoMês]] * IF( OR( ISBLANK(tabItens[[#This Row],[ATA Nº/ANO]]), tabItens[[#This Row],[ATA Nº/ANO]] = ""),BE$2,BE$1)),0),0),0)</f>
        <v>0</v>
      </c>
      <c r="BF7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 s="338">
        <f>SUMIF(Consumo!$C$3:$C$862,tabItens[[#This Row],[CÓDIGO]],Consumo!$E$3:$E$862)</f>
        <v>0</v>
      </c>
      <c r="BH77" s="339">
        <f>IF(AND(tabItens[[#This Row],[Pend]] &gt; 0,tabItens[[#This Row],[Consumo]] &lt;&gt; 0), tabItens[[#This Row],[Pend]] / tabItens[[#This Row],[Consumo]], 0 )</f>
        <v>0</v>
      </c>
      <c r="BI77" s="338"/>
      <c r="BJ77" s="407"/>
      <c r="BK77" s="408" t="s">
        <v>2086</v>
      </c>
    </row>
    <row r="78" spans="1:63" x14ac:dyDescent="0.3">
      <c r="A78" s="375">
        <v>13518</v>
      </c>
      <c r="B78" s="376" t="s">
        <v>1035</v>
      </c>
      <c r="C78" s="377" t="s">
        <v>263</v>
      </c>
      <c r="D78" s="378">
        <v>8.5500000000000007</v>
      </c>
      <c r="E78" s="305"/>
      <c r="F78" s="379"/>
      <c r="G78" s="379" t="s">
        <v>889</v>
      </c>
      <c r="H78" s="380">
        <v>175</v>
      </c>
      <c r="I78" s="307">
        <v>103003</v>
      </c>
      <c r="J78" s="308">
        <v>8.5500000000000007</v>
      </c>
      <c r="K78" s="381">
        <v>39</v>
      </c>
      <c r="L78" s="382">
        <f>IF(tabItens[[#This Row],[Média]] &gt; 0, tabItens[[#This Row],[QTDE ATUAL]] / tabItens[[#This Row],[Média]],999.9)</f>
        <v>56.756756756756751</v>
      </c>
      <c r="M78" s="383">
        <v>0</v>
      </c>
      <c r="N78" s="384">
        <f>tabItens[[#This Row],[VALOR UNIT.]] * tabItens[[#This Row],[LC]]</f>
        <v>0</v>
      </c>
      <c r="O78" s="385" t="s">
        <v>2103</v>
      </c>
      <c r="P78" s="386"/>
      <c r="Q78" s="387"/>
      <c r="R78" s="312"/>
      <c r="S78" s="388"/>
      <c r="T78" s="389">
        <f>ROUNDDOWN(IFERROR(tabItens[[#This Row],[ATA DT.VALID.]] - $D$1,0) / 30,0)</f>
        <v>-1474</v>
      </c>
      <c r="U78" s="302" t="s">
        <v>966</v>
      </c>
      <c r="V78" s="318">
        <v>1</v>
      </c>
      <c r="W78" s="390" t="s">
        <v>2076</v>
      </c>
      <c r="X78" s="391">
        <v>61</v>
      </c>
      <c r="Y78" s="392">
        <v>8</v>
      </c>
      <c r="Z78" s="393"/>
      <c r="AA78" s="394"/>
      <c r="AB78" s="395"/>
      <c r="AC78" s="395"/>
      <c r="AD78" s="394"/>
      <c r="AE78" s="395"/>
      <c r="AF78" s="317"/>
      <c r="AG78" s="396" t="s">
        <v>2072</v>
      </c>
      <c r="AH78" s="397"/>
      <c r="AI78" s="317">
        <v>14</v>
      </c>
      <c r="AJ78" s="397">
        <v>45184</v>
      </c>
      <c r="AK78" s="326" t="s">
        <v>889</v>
      </c>
      <c r="AL78" s="326">
        <v>45145</v>
      </c>
      <c r="AM78" s="316"/>
      <c r="AN78" s="305"/>
      <c r="AO78" s="327" t="str">
        <f>_xlfn.IFNA(IF(VLOOKUP(tabItens[[#This Row],[CÓDIGO]],tabExcluirDoEstoque[#Data],1,FALSE),"sim",""),"")</f>
        <v/>
      </c>
      <c r="AP78" s="398" t="str">
        <f ca="1">IF(OR(ISBLANK(tabItens[[#This Row],[ATA DT.VALID.]]),tabItens[[#This Row],[ATA DT.VALID.]]="",tabItens[[#This Row],[ATA DT.VALID.]]=" "),"",IF(TYPE(tabItens[[#This Row],[ATA DT.VALID.]])=1,ROUNDUP((tabItens[[#This Row],[ATA DT.VALID.]]-TODAY())/7,0),""))</f>
        <v/>
      </c>
      <c r="AQ78" s="399">
        <v>0</v>
      </c>
      <c r="AR78" s="400" t="str">
        <f>IF(ISBLANK(tabItens[[#This Row],[CÓDIGO]]),"",IFERROR(VLOOKUP(tabItens[[#This Row],[CÓDIGO]],Consumo!$C$2:$AC$862,26,FALSE),0))</f>
        <v>04.2023</v>
      </c>
      <c r="AS78" s="401">
        <f>SUMIF(Consumo!$C$3:$C$862,tabItens[[#This Row],[CÓDIGO]],Consumo!$N$3:$N$862) + SUMIF(Consumo!$C$3:$C$862,tabItens[[#This Row],[CÓDIGO]],Consumo!$O$3:$O$862) + SUMIF(Consumo!$C$3:$C$862,tabItens[[#This Row],[CÓDIGO]],Consumo!$P$3:$P$862) + SUMIF(Consumo!$C$3:$C$862,tabItens[[#This Row],[CÓDIGO]],Consumo!$Q$3:$Q$862)</f>
        <v>0</v>
      </c>
      <c r="AT78" s="401">
        <f>SUMIF(Consumo!$C$3:$C$862,tabItens[[#This Row],[CÓDIGO]],Consumo!$Z$3:$Z$862)</f>
        <v>39</v>
      </c>
      <c r="AU78" s="402">
        <f>SUMIF(Consumo!$C$3:$C$862,tabItens[[#This Row],[CÓDIGO]],Consumo!$AA$3:$AA$862)</f>
        <v>15</v>
      </c>
      <c r="AV78" s="403">
        <f>SUMIF(Consumo!$C$3:$C$862,tabItens[[#This Row],[CÓDIGO]],Consumo!$Y$3:$Y$862)</f>
        <v>3.0833333333333335</v>
      </c>
      <c r="AW78" s="380">
        <f>tabItens[[#This Row],[QTDE ATUAL]] + tabItens[[#This Row],[RC QTDE]] + tabItens[[#This Row],[AF SALDO]] + tabItens[[#This Row],[Recentes]]</f>
        <v>175</v>
      </c>
      <c r="AX78" s="404">
        <v>10</v>
      </c>
      <c r="AY78" s="404">
        <v>4</v>
      </c>
      <c r="AZ78" s="404">
        <f>IF(ISBLANK(tabItens[[#This Row],[CÓDIGO]]),"",tabItens[[#This Row],[PontoMês]] * (AZ$2+tabItens[[#This Row],[PontoQtM]]))</f>
        <v>40</v>
      </c>
      <c r="BA78" s="403">
        <f>tabItens[[#This Row],[PontoPed]] - tabItens[[#This Row],[Saldo]] + (1/10)</f>
        <v>-134.9</v>
      </c>
      <c r="BB78" s="403">
        <f xml:space="preserve"> tabItens[[#This Row],[PontoMês]] * BB$2 - tabItens[[#This Row],[QTDE ATUAL]] - (1/10)</f>
        <v>-165.1</v>
      </c>
      <c r="BC78" s="335">
        <f>IF( tabItens[[#This Row],[PontoPed]]&gt;0, IF(tabItens[[#This Row],[PontoPed]]&lt;1, 1, IF( tabItens[[#This Row],[Saldo]]&gt;tabItens[[#This Row],[PontoPed]], 0, (tabItens[[#This Row],[PontoPed]]-tabItens[[#This Row],[Saldo]])/tabItens[[#This Row],[PontoPed]] ) ), 0 )</f>
        <v>0</v>
      </c>
      <c r="BD78" s="405">
        <f>ROUNDDOWN(IF( OR( AND(tabItens[[#This Row],[PontoPed]]&lt;tabItens[[#This Row],[Saldo]],tabItens[[#This Row],[Saldo]]&gt;0), tabItens[[#This Row],[PontoPed]]=0), 99, IF(AND(tabItens[[#This Row],[Saldo]]=0,tabItens[[#This Row],[PontoPed]]&gt;0), 0, (1-tabItens[[#This Row],[PctAb]])*10 ) ),0)</f>
        <v>99</v>
      </c>
      <c r="BE78" s="406">
        <f>MAX(ROUNDDOWN( IF(tabItens[[#This Row],[Abaixo]] &gt; 0,   tabItens[[#This Row],[Abaixo]] + (tabItens[[#This Row],[PontoMês]] * IF( OR( ISBLANK(tabItens[[#This Row],[ATA Nº/ANO]]), tabItens[[#This Row],[ATA Nº/ANO]] = ""),BE$2,BE$1)),0),0),0)</f>
        <v>0</v>
      </c>
      <c r="BF7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 s="338">
        <f>SUMIF(Consumo!$C$3:$C$862,tabItens[[#This Row],[CÓDIGO]],Consumo!$E$3:$E$862)</f>
        <v>0</v>
      </c>
      <c r="BH78" s="339">
        <f>IF(AND(tabItens[[#This Row],[Pend]] &gt; 0,tabItens[[#This Row],[Consumo]] &lt;&gt; 0), tabItens[[#This Row],[Pend]] / tabItens[[#This Row],[Consumo]], 0 )</f>
        <v>0</v>
      </c>
      <c r="BI78" s="338"/>
      <c r="BJ78" s="407"/>
      <c r="BK78" s="408" t="s">
        <v>2086</v>
      </c>
    </row>
    <row r="79" spans="1:63" x14ac:dyDescent="0.3">
      <c r="A79" s="375">
        <v>16956</v>
      </c>
      <c r="B79" s="376" t="s">
        <v>1120</v>
      </c>
      <c r="C79" s="377" t="s">
        <v>263</v>
      </c>
      <c r="D79" s="378">
        <v>0.93</v>
      </c>
      <c r="E79" s="305"/>
      <c r="F79" s="379"/>
      <c r="G79" s="379" t="s">
        <v>889</v>
      </c>
      <c r="H79" s="380">
        <v>143</v>
      </c>
      <c r="I79" s="307">
        <v>103003</v>
      </c>
      <c r="J79" s="308">
        <v>0.93</v>
      </c>
      <c r="K79" s="381">
        <v>70</v>
      </c>
      <c r="L79" s="382">
        <f>IF(tabItens[[#This Row],[Média]] &gt; 0, tabItens[[#This Row],[QTDE ATUAL]] / tabItens[[#This Row],[Média]],999.9)</f>
        <v>25.235294117647058</v>
      </c>
      <c r="M79" s="383">
        <v>0</v>
      </c>
      <c r="N79" s="384">
        <f>tabItens[[#This Row],[VALOR UNIT.]] * tabItens[[#This Row],[LC]]</f>
        <v>0</v>
      </c>
      <c r="O79" s="385" t="s">
        <v>2103</v>
      </c>
      <c r="P79" s="386"/>
      <c r="Q79" s="387"/>
      <c r="R79" s="312"/>
      <c r="S79" s="388"/>
      <c r="T79" s="389">
        <f>ROUNDDOWN(IFERROR(tabItens[[#This Row],[ATA DT.VALID.]] - $D$1,0) / 30,0)</f>
        <v>-1474</v>
      </c>
      <c r="U79" s="302" t="s">
        <v>966</v>
      </c>
      <c r="V79" s="318">
        <v>1</v>
      </c>
      <c r="W79" s="390" t="s">
        <v>2076</v>
      </c>
      <c r="X79" s="391">
        <v>61</v>
      </c>
      <c r="Y79" s="392">
        <v>8</v>
      </c>
      <c r="Z79" s="393"/>
      <c r="AA79" s="394"/>
      <c r="AB79" s="395"/>
      <c r="AC79" s="395"/>
      <c r="AD79" s="394"/>
      <c r="AE79" s="395"/>
      <c r="AF79" s="317"/>
      <c r="AG79" s="396" t="s">
        <v>2072</v>
      </c>
      <c r="AH79" s="397"/>
      <c r="AI79" s="317">
        <v>24</v>
      </c>
      <c r="AJ79" s="397">
        <v>44573</v>
      </c>
      <c r="AK79" s="326" t="s">
        <v>889</v>
      </c>
      <c r="AL79" s="326">
        <v>44985</v>
      </c>
      <c r="AM79" s="316"/>
      <c r="AN79" s="305"/>
      <c r="AO79" s="327" t="str">
        <f>_xlfn.IFNA(IF(VLOOKUP(tabItens[[#This Row],[CÓDIGO]],tabExcluirDoEstoque[#Data],1,FALSE),"sim",""),"")</f>
        <v/>
      </c>
      <c r="AP79" s="398" t="str">
        <f ca="1">IF(OR(ISBLANK(tabItens[[#This Row],[ATA DT.VALID.]]),tabItens[[#This Row],[ATA DT.VALID.]]="",tabItens[[#This Row],[ATA DT.VALID.]]=" "),"",IF(TYPE(tabItens[[#This Row],[ATA DT.VALID.]])=1,ROUNDUP((tabItens[[#This Row],[ATA DT.VALID.]]-TODAY())/7,0),""))</f>
        <v/>
      </c>
      <c r="AQ79" s="399">
        <v>0</v>
      </c>
      <c r="AR79" s="400" t="str">
        <f>IF(ISBLANK(tabItens[[#This Row],[CÓDIGO]]),"",IFERROR(VLOOKUP(tabItens[[#This Row],[CÓDIGO]],Consumo!$C$2:$AC$862,26,FALSE),0))</f>
        <v>07.2023</v>
      </c>
      <c r="AS79" s="401">
        <f>SUMIF(Consumo!$C$3:$C$862,tabItens[[#This Row],[CÓDIGO]],Consumo!$N$3:$N$862) + SUMIF(Consumo!$C$3:$C$862,tabItens[[#This Row],[CÓDIGO]],Consumo!$O$3:$O$862) + SUMIF(Consumo!$C$3:$C$862,tabItens[[#This Row],[CÓDIGO]],Consumo!$P$3:$P$862) + SUMIF(Consumo!$C$3:$C$862,tabItens[[#This Row],[CÓDIGO]],Consumo!$Q$3:$Q$862)</f>
        <v>60</v>
      </c>
      <c r="AT79" s="401">
        <f>SUMIF(Consumo!$C$3:$C$862,tabItens[[#This Row],[CÓDIGO]],Consumo!$Z$3:$Z$862)</f>
        <v>70</v>
      </c>
      <c r="AU79" s="402">
        <f>SUMIF(Consumo!$C$3:$C$862,tabItens[[#This Row],[CÓDIGO]],Consumo!$AA$3:$AA$862)</f>
        <v>30</v>
      </c>
      <c r="AV79" s="403">
        <f>SUMIF(Consumo!$C$3:$C$862,tabItens[[#This Row],[CÓDIGO]],Consumo!$Y$3:$Y$862)</f>
        <v>5.666666666666667</v>
      </c>
      <c r="AW79" s="380">
        <f>tabItens[[#This Row],[QTDE ATUAL]] + tabItens[[#This Row],[RC QTDE]] + tabItens[[#This Row],[AF SALDO]] + tabItens[[#This Row],[Recentes]]</f>
        <v>143</v>
      </c>
      <c r="AX79" s="404">
        <v>17</v>
      </c>
      <c r="AY79" s="404">
        <v>4</v>
      </c>
      <c r="AZ79" s="404">
        <f>IF(ISBLANK(tabItens[[#This Row],[CÓDIGO]]),"",tabItens[[#This Row],[PontoMês]] * (AZ$2+tabItens[[#This Row],[PontoQtM]]))</f>
        <v>68</v>
      </c>
      <c r="BA79" s="403">
        <f>tabItens[[#This Row],[PontoPed]] - tabItens[[#This Row],[Saldo]] + (1/10)</f>
        <v>-74.900000000000006</v>
      </c>
      <c r="BB79" s="403">
        <f xml:space="preserve"> tabItens[[#This Row],[PontoMês]] * BB$2 - tabItens[[#This Row],[QTDE ATUAL]] - (1/10)</f>
        <v>-126.1</v>
      </c>
      <c r="BC79" s="335">
        <f>IF( tabItens[[#This Row],[PontoPed]]&gt;0, IF(tabItens[[#This Row],[PontoPed]]&lt;1, 1, IF( tabItens[[#This Row],[Saldo]]&gt;tabItens[[#This Row],[PontoPed]], 0, (tabItens[[#This Row],[PontoPed]]-tabItens[[#This Row],[Saldo]])/tabItens[[#This Row],[PontoPed]] ) ), 0 )</f>
        <v>0</v>
      </c>
      <c r="BD79" s="405">
        <f>ROUNDDOWN(IF( OR( AND(tabItens[[#This Row],[PontoPed]]&lt;tabItens[[#This Row],[Saldo]],tabItens[[#This Row],[Saldo]]&gt;0), tabItens[[#This Row],[PontoPed]]=0), 99, IF(AND(tabItens[[#This Row],[Saldo]]=0,tabItens[[#This Row],[PontoPed]]&gt;0), 0, (1-tabItens[[#This Row],[PctAb]])*10 ) ),0)</f>
        <v>99</v>
      </c>
      <c r="BE79" s="406">
        <f>MAX(ROUNDDOWN( IF(tabItens[[#This Row],[Abaixo]] &gt; 0,   tabItens[[#This Row],[Abaixo]] + (tabItens[[#This Row],[PontoMês]] * IF( OR( ISBLANK(tabItens[[#This Row],[ATA Nº/ANO]]), tabItens[[#This Row],[ATA Nº/ANO]] = ""),BE$2,BE$1)),0),0),0)</f>
        <v>0</v>
      </c>
      <c r="BF7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9" s="338">
        <f>SUMIF(Consumo!$C$3:$C$862,tabItens[[#This Row],[CÓDIGO]],Consumo!$E$3:$E$862)</f>
        <v>0</v>
      </c>
      <c r="BH79" s="339">
        <f>IF(AND(tabItens[[#This Row],[Pend]] &gt; 0,tabItens[[#This Row],[Consumo]] &lt;&gt; 0), tabItens[[#This Row],[Pend]] / tabItens[[#This Row],[Consumo]], 0 )</f>
        <v>0</v>
      </c>
      <c r="BI79" s="338"/>
      <c r="BJ79" s="407"/>
      <c r="BK79" s="408" t="s">
        <v>2086</v>
      </c>
    </row>
    <row r="80" spans="1:63" x14ac:dyDescent="0.3">
      <c r="A80" s="375">
        <v>16978</v>
      </c>
      <c r="B80" s="376" t="s">
        <v>1121</v>
      </c>
      <c r="C80" s="377" t="s">
        <v>263</v>
      </c>
      <c r="D80" s="378">
        <v>0.55000000000000004</v>
      </c>
      <c r="E80" s="305"/>
      <c r="F80" s="379"/>
      <c r="G80" s="379" t="s">
        <v>889</v>
      </c>
      <c r="H80" s="380">
        <v>868</v>
      </c>
      <c r="I80" s="307">
        <v>103003</v>
      </c>
      <c r="J80" s="308">
        <v>0.55000000000000004</v>
      </c>
      <c r="K80" s="381">
        <v>100</v>
      </c>
      <c r="L80" s="382">
        <f>IF(tabItens[[#This Row],[Média]] &gt; 0, tabItens[[#This Row],[QTDE ATUAL]] / tabItens[[#This Row],[Média]],999.9)</f>
        <v>133.53846153846155</v>
      </c>
      <c r="M80" s="383">
        <v>0</v>
      </c>
      <c r="N80" s="384">
        <f>tabItens[[#This Row],[VALOR UNIT.]] * tabItens[[#This Row],[LC]]</f>
        <v>0</v>
      </c>
      <c r="O80" s="385" t="s">
        <v>2103</v>
      </c>
      <c r="P80" s="386"/>
      <c r="Q80" s="387"/>
      <c r="R80" s="312"/>
      <c r="S80" s="388"/>
      <c r="T80" s="389">
        <f>ROUNDDOWN(IFERROR(tabItens[[#This Row],[ATA DT.VALID.]] - $D$1,0) / 30,0)</f>
        <v>-1474</v>
      </c>
      <c r="U80" s="302" t="s">
        <v>966</v>
      </c>
      <c r="V80" s="318">
        <v>1</v>
      </c>
      <c r="W80" s="390" t="s">
        <v>2076</v>
      </c>
      <c r="X80" s="391">
        <v>61</v>
      </c>
      <c r="Y80" s="392">
        <v>8</v>
      </c>
      <c r="Z80" s="393"/>
      <c r="AA80" s="394"/>
      <c r="AB80" s="395"/>
      <c r="AC80" s="395"/>
      <c r="AD80" s="394"/>
      <c r="AE80" s="395"/>
      <c r="AF80" s="317"/>
      <c r="AG80" s="396" t="s">
        <v>2072</v>
      </c>
      <c r="AH80" s="397"/>
      <c r="AI80" s="317">
        <v>26</v>
      </c>
      <c r="AJ80" s="397">
        <v>44533</v>
      </c>
      <c r="AK80" s="326" t="s">
        <v>889</v>
      </c>
      <c r="AL80" s="326">
        <v>44985</v>
      </c>
      <c r="AM80" s="316"/>
      <c r="AN80" s="305"/>
      <c r="AO80" s="327" t="str">
        <f>_xlfn.IFNA(IF(VLOOKUP(tabItens[[#This Row],[CÓDIGO]],tabExcluirDoEstoque[#Data],1,FALSE),"sim",""),"")</f>
        <v/>
      </c>
      <c r="AP80" s="398" t="str">
        <f ca="1">IF(OR(ISBLANK(tabItens[[#This Row],[ATA DT.VALID.]]),tabItens[[#This Row],[ATA DT.VALID.]]="",tabItens[[#This Row],[ATA DT.VALID.]]=" "),"",IF(TYPE(tabItens[[#This Row],[ATA DT.VALID.]])=1,ROUNDUP((tabItens[[#This Row],[ATA DT.VALID.]]-TODAY())/7,0),""))</f>
        <v/>
      </c>
      <c r="AQ80" s="399">
        <v>0</v>
      </c>
      <c r="AR80" s="400" t="str">
        <f>IF(ISBLANK(tabItens[[#This Row],[CÓDIGO]]),"",IFERROR(VLOOKUP(tabItens[[#This Row],[CÓDIGO]],Consumo!$C$2:$AC$862,26,FALSE),0))</f>
        <v>07.2023</v>
      </c>
      <c r="AS80" s="401">
        <f>SUMIF(Consumo!$C$3:$C$862,tabItens[[#This Row],[CÓDIGO]],Consumo!$N$3:$N$862) + SUMIF(Consumo!$C$3:$C$862,tabItens[[#This Row],[CÓDIGO]],Consumo!$O$3:$O$862) + SUMIF(Consumo!$C$3:$C$862,tabItens[[#This Row],[CÓDIGO]],Consumo!$P$3:$P$862) + SUMIF(Consumo!$C$3:$C$862,tabItens[[#This Row],[CÓDIGO]],Consumo!$Q$3:$Q$862)</f>
        <v>60</v>
      </c>
      <c r="AT80" s="401">
        <f>SUMIF(Consumo!$C$3:$C$862,tabItens[[#This Row],[CÓDIGO]],Consumo!$Z$3:$Z$862)</f>
        <v>80</v>
      </c>
      <c r="AU80" s="402">
        <f>SUMIF(Consumo!$C$3:$C$862,tabItens[[#This Row],[CÓDIGO]],Consumo!$AA$3:$AA$862)</f>
        <v>30</v>
      </c>
      <c r="AV80" s="403">
        <f>SUMIF(Consumo!$C$3:$C$862,tabItens[[#This Row],[CÓDIGO]],Consumo!$Y$3:$Y$862)</f>
        <v>6.5</v>
      </c>
      <c r="AW80" s="380">
        <f>tabItens[[#This Row],[QTDE ATUAL]] + tabItens[[#This Row],[RC QTDE]] + tabItens[[#This Row],[AF SALDO]] + tabItens[[#This Row],[Recentes]]</f>
        <v>868</v>
      </c>
      <c r="AX80" s="404">
        <v>34</v>
      </c>
      <c r="AY80" s="404">
        <v>4</v>
      </c>
      <c r="AZ80" s="404">
        <f>IF(ISBLANK(tabItens[[#This Row],[CÓDIGO]]),"",tabItens[[#This Row],[PontoMês]] * (AZ$2+tabItens[[#This Row],[PontoQtM]]))</f>
        <v>136</v>
      </c>
      <c r="BA80" s="403">
        <f>tabItens[[#This Row],[PontoPed]] - tabItens[[#This Row],[Saldo]] + (1/10)</f>
        <v>-731.9</v>
      </c>
      <c r="BB80" s="403">
        <f xml:space="preserve"> tabItens[[#This Row],[PontoMês]] * BB$2 - tabItens[[#This Row],[QTDE ATUAL]] - (1/10)</f>
        <v>-834.1</v>
      </c>
      <c r="BC80" s="335">
        <f>IF( tabItens[[#This Row],[PontoPed]]&gt;0, IF(tabItens[[#This Row],[PontoPed]]&lt;1, 1, IF( tabItens[[#This Row],[Saldo]]&gt;tabItens[[#This Row],[PontoPed]], 0, (tabItens[[#This Row],[PontoPed]]-tabItens[[#This Row],[Saldo]])/tabItens[[#This Row],[PontoPed]] ) ), 0 )</f>
        <v>0</v>
      </c>
      <c r="BD80" s="405">
        <f>ROUNDDOWN(IF( OR( AND(tabItens[[#This Row],[PontoPed]]&lt;tabItens[[#This Row],[Saldo]],tabItens[[#This Row],[Saldo]]&gt;0), tabItens[[#This Row],[PontoPed]]=0), 99, IF(AND(tabItens[[#This Row],[Saldo]]=0,tabItens[[#This Row],[PontoPed]]&gt;0), 0, (1-tabItens[[#This Row],[PctAb]])*10 ) ),0)</f>
        <v>99</v>
      </c>
      <c r="BE80" s="406">
        <f>MAX(ROUNDDOWN( IF(tabItens[[#This Row],[Abaixo]] &gt; 0,   tabItens[[#This Row],[Abaixo]] + (tabItens[[#This Row],[PontoMês]] * IF( OR( ISBLANK(tabItens[[#This Row],[ATA Nº/ANO]]), tabItens[[#This Row],[ATA Nº/ANO]] = ""),BE$2,BE$1)),0),0),0)</f>
        <v>0</v>
      </c>
      <c r="BF8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 s="338">
        <f>SUMIF(Consumo!$C$3:$C$862,tabItens[[#This Row],[CÓDIGO]],Consumo!$E$3:$E$862)</f>
        <v>0</v>
      </c>
      <c r="BH80" s="339">
        <f>IF(AND(tabItens[[#This Row],[Pend]] &gt; 0,tabItens[[#This Row],[Consumo]] &lt;&gt; 0), tabItens[[#This Row],[Pend]] / tabItens[[#This Row],[Consumo]], 0 )</f>
        <v>0</v>
      </c>
      <c r="BI80" s="338"/>
      <c r="BJ80" s="407"/>
      <c r="BK80" s="408" t="s">
        <v>2086</v>
      </c>
    </row>
    <row r="81" spans="1:63" x14ac:dyDescent="0.3">
      <c r="A81" s="375">
        <v>28306</v>
      </c>
      <c r="B81" s="376" t="s">
        <v>1233</v>
      </c>
      <c r="C81" s="377" t="s">
        <v>263</v>
      </c>
      <c r="D81" s="378">
        <v>29.08</v>
      </c>
      <c r="E81" s="305"/>
      <c r="F81" s="379"/>
      <c r="G81" s="379" t="s">
        <v>889</v>
      </c>
      <c r="H81" s="380">
        <v>133</v>
      </c>
      <c r="I81" s="307">
        <v>103003</v>
      </c>
      <c r="J81" s="308">
        <v>29.08</v>
      </c>
      <c r="K81" s="381">
        <v>21</v>
      </c>
      <c r="L81" s="382">
        <f>IF(tabItens[[#This Row],[Média]] &gt; 0, tabItens[[#This Row],[QTDE ATUAL]] / tabItens[[#This Row],[Média]],999.9)</f>
        <v>79.8</v>
      </c>
      <c r="M81" s="383">
        <v>0</v>
      </c>
      <c r="N81" s="384">
        <f>tabItens[[#This Row],[VALOR UNIT.]] * tabItens[[#This Row],[LC]]</f>
        <v>0</v>
      </c>
      <c r="O81" s="385" t="s">
        <v>2103</v>
      </c>
      <c r="P81" s="386"/>
      <c r="Q81" s="387"/>
      <c r="R81" s="312"/>
      <c r="S81" s="388"/>
      <c r="T81" s="389">
        <f>ROUNDDOWN(IFERROR(tabItens[[#This Row],[ATA DT.VALID.]] - $D$1,0) / 30,0)</f>
        <v>-1474</v>
      </c>
      <c r="U81" s="302" t="s">
        <v>966</v>
      </c>
      <c r="V81" s="318">
        <v>1</v>
      </c>
      <c r="W81" s="390" t="s">
        <v>2076</v>
      </c>
      <c r="X81" s="391">
        <v>61</v>
      </c>
      <c r="Y81" s="392">
        <v>8</v>
      </c>
      <c r="Z81" s="393"/>
      <c r="AA81" s="394"/>
      <c r="AB81" s="395"/>
      <c r="AC81" s="395"/>
      <c r="AD81" s="394"/>
      <c r="AE81" s="395"/>
      <c r="AF81" s="317"/>
      <c r="AG81" s="396" t="s">
        <v>2072</v>
      </c>
      <c r="AH81" s="397"/>
      <c r="AI81" s="317">
        <v>6</v>
      </c>
      <c r="AJ81" s="397">
        <v>44573</v>
      </c>
      <c r="AK81" s="326" t="s">
        <v>889</v>
      </c>
      <c r="AL81" s="326">
        <v>44522</v>
      </c>
      <c r="AM81" s="316"/>
      <c r="AN81" s="305"/>
      <c r="AO81" s="327" t="str">
        <f>_xlfn.IFNA(IF(VLOOKUP(tabItens[[#This Row],[CÓDIGO]],tabExcluirDoEstoque[#Data],1,FALSE),"sim",""),"")</f>
        <v/>
      </c>
      <c r="AP81" s="398" t="str">
        <f ca="1">IF(OR(ISBLANK(tabItens[[#This Row],[ATA DT.VALID.]]),tabItens[[#This Row],[ATA DT.VALID.]]="",tabItens[[#This Row],[ATA DT.VALID.]]=" "),"",IF(TYPE(tabItens[[#This Row],[ATA DT.VALID.]])=1,ROUNDUP((tabItens[[#This Row],[ATA DT.VALID.]]-TODAY())/7,0),""))</f>
        <v/>
      </c>
      <c r="AQ81" s="399">
        <v>0</v>
      </c>
      <c r="AR81" s="400" t="str">
        <f>IF(ISBLANK(tabItens[[#This Row],[CÓDIGO]]),"",IFERROR(VLOOKUP(tabItens[[#This Row],[CÓDIGO]],Consumo!$C$2:$AC$862,26,FALSE),0))</f>
        <v>04.2023</v>
      </c>
      <c r="AS81" s="401">
        <f>SUMIF(Consumo!$C$3:$C$862,tabItens[[#This Row],[CÓDIGO]],Consumo!$N$3:$N$862) + SUMIF(Consumo!$C$3:$C$862,tabItens[[#This Row],[CÓDIGO]],Consumo!$O$3:$O$862) + SUMIF(Consumo!$C$3:$C$862,tabItens[[#This Row],[CÓDIGO]],Consumo!$P$3:$P$862) + SUMIF(Consumo!$C$3:$C$862,tabItens[[#This Row],[CÓDIGO]],Consumo!$Q$3:$Q$862)</f>
        <v>0</v>
      </c>
      <c r="AT81" s="401">
        <f>SUMIF(Consumo!$C$3:$C$862,tabItens[[#This Row],[CÓDIGO]],Consumo!$Z$3:$Z$862)</f>
        <v>20</v>
      </c>
      <c r="AU81" s="402">
        <f>SUMIF(Consumo!$C$3:$C$862,tabItens[[#This Row],[CÓDIGO]],Consumo!$AA$3:$AA$862)</f>
        <v>5</v>
      </c>
      <c r="AV81" s="403">
        <f>SUMIF(Consumo!$C$3:$C$862,tabItens[[#This Row],[CÓDIGO]],Consumo!$Y$3:$Y$862)</f>
        <v>1.6666666666666667</v>
      </c>
      <c r="AW81" s="380">
        <f>tabItens[[#This Row],[QTDE ATUAL]] + tabItens[[#This Row],[RC QTDE]] + tabItens[[#This Row],[AF SALDO]] + tabItens[[#This Row],[Recentes]]</f>
        <v>133</v>
      </c>
      <c r="AX81" s="404">
        <v>7</v>
      </c>
      <c r="AY81" s="404">
        <v>4</v>
      </c>
      <c r="AZ81" s="404">
        <f>IF(ISBLANK(tabItens[[#This Row],[CÓDIGO]]),"",tabItens[[#This Row],[PontoMês]] * (AZ$2+tabItens[[#This Row],[PontoQtM]]))</f>
        <v>28</v>
      </c>
      <c r="BA81" s="403">
        <f>tabItens[[#This Row],[PontoPed]] - tabItens[[#This Row],[Saldo]] + (1/10)</f>
        <v>-104.9</v>
      </c>
      <c r="BB81" s="403">
        <f xml:space="preserve"> tabItens[[#This Row],[PontoMês]] * BB$2 - tabItens[[#This Row],[QTDE ATUAL]] - (1/10)</f>
        <v>-126.1</v>
      </c>
      <c r="BC81" s="335">
        <f>IF( tabItens[[#This Row],[PontoPed]]&gt;0, IF(tabItens[[#This Row],[PontoPed]]&lt;1, 1, IF( tabItens[[#This Row],[Saldo]]&gt;tabItens[[#This Row],[PontoPed]], 0, (tabItens[[#This Row],[PontoPed]]-tabItens[[#This Row],[Saldo]])/tabItens[[#This Row],[PontoPed]] ) ), 0 )</f>
        <v>0</v>
      </c>
      <c r="BD81" s="405">
        <f>ROUNDDOWN(IF( OR( AND(tabItens[[#This Row],[PontoPed]]&lt;tabItens[[#This Row],[Saldo]],tabItens[[#This Row],[Saldo]]&gt;0), tabItens[[#This Row],[PontoPed]]=0), 99, IF(AND(tabItens[[#This Row],[Saldo]]=0,tabItens[[#This Row],[PontoPed]]&gt;0), 0, (1-tabItens[[#This Row],[PctAb]])*10 ) ),0)</f>
        <v>99</v>
      </c>
      <c r="BE81" s="406">
        <f>MAX(ROUNDDOWN( IF(tabItens[[#This Row],[Abaixo]] &gt; 0,   tabItens[[#This Row],[Abaixo]] + (tabItens[[#This Row],[PontoMês]] * IF( OR( ISBLANK(tabItens[[#This Row],[ATA Nº/ANO]]), tabItens[[#This Row],[ATA Nº/ANO]] = ""),BE$2,BE$1)),0),0),0)</f>
        <v>0</v>
      </c>
      <c r="BF8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1" s="338">
        <f>SUMIF(Consumo!$C$3:$C$862,tabItens[[#This Row],[CÓDIGO]],Consumo!$E$3:$E$862)</f>
        <v>0</v>
      </c>
      <c r="BH81" s="339">
        <f>IF(AND(tabItens[[#This Row],[Pend]] &gt; 0,tabItens[[#This Row],[Consumo]] &lt;&gt; 0), tabItens[[#This Row],[Pend]] / tabItens[[#This Row],[Consumo]], 0 )</f>
        <v>0</v>
      </c>
      <c r="BI81" s="338"/>
      <c r="BJ81" s="407"/>
      <c r="BK81" s="408" t="s">
        <v>2086</v>
      </c>
    </row>
    <row r="82" spans="1:63" x14ac:dyDescent="0.3">
      <c r="A82" s="375">
        <v>28308</v>
      </c>
      <c r="B82" s="376" t="s">
        <v>1235</v>
      </c>
      <c r="C82" s="377" t="s">
        <v>263</v>
      </c>
      <c r="D82" s="378">
        <v>13.09</v>
      </c>
      <c r="E82" s="305"/>
      <c r="F82" s="379"/>
      <c r="G82" s="379" t="s">
        <v>889</v>
      </c>
      <c r="H82" s="380">
        <v>74</v>
      </c>
      <c r="I82" s="307">
        <v>103003</v>
      </c>
      <c r="J82" s="308">
        <v>13.09</v>
      </c>
      <c r="K82" s="381">
        <v>59</v>
      </c>
      <c r="L82" s="382">
        <f>IF(tabItens[[#This Row],[Média]] &gt; 0, tabItens[[#This Row],[QTDE ATUAL]] / tabItens[[#This Row],[Média]],999.9)</f>
        <v>18.122448979591837</v>
      </c>
      <c r="M82" s="383">
        <v>0</v>
      </c>
      <c r="N82" s="384">
        <f>tabItens[[#This Row],[VALOR UNIT.]] * tabItens[[#This Row],[LC]]</f>
        <v>0</v>
      </c>
      <c r="O82" s="385" t="s">
        <v>2103</v>
      </c>
      <c r="P82" s="386"/>
      <c r="Q82" s="387"/>
      <c r="R82" s="312"/>
      <c r="S82" s="388"/>
      <c r="T82" s="389">
        <f>ROUNDDOWN(IFERROR(tabItens[[#This Row],[ATA DT.VALID.]] - $D$1,0) / 30,0)</f>
        <v>-1474</v>
      </c>
      <c r="U82" s="302" t="s">
        <v>966</v>
      </c>
      <c r="V82" s="318">
        <v>1</v>
      </c>
      <c r="W82" s="390" t="s">
        <v>2076</v>
      </c>
      <c r="X82" s="391">
        <v>61</v>
      </c>
      <c r="Y82" s="392">
        <v>8</v>
      </c>
      <c r="Z82" s="393"/>
      <c r="AA82" s="394"/>
      <c r="AB82" s="395"/>
      <c r="AC82" s="395"/>
      <c r="AD82" s="394"/>
      <c r="AE82" s="395"/>
      <c r="AF82" s="317"/>
      <c r="AG82" s="396" t="s">
        <v>2072</v>
      </c>
      <c r="AH82" s="397"/>
      <c r="AI82" s="317">
        <v>22</v>
      </c>
      <c r="AJ82" s="397">
        <v>44573</v>
      </c>
      <c r="AK82" s="326" t="s">
        <v>889</v>
      </c>
      <c r="AL82" s="326">
        <v>44522</v>
      </c>
      <c r="AM82" s="316"/>
      <c r="AN82" s="305"/>
      <c r="AO82" s="327" t="str">
        <f>_xlfn.IFNA(IF(VLOOKUP(tabItens[[#This Row],[CÓDIGO]],tabExcluirDoEstoque[#Data],1,FALSE),"sim",""),"")</f>
        <v/>
      </c>
      <c r="AP82" s="398" t="str">
        <f ca="1">IF(OR(ISBLANK(tabItens[[#This Row],[ATA DT.VALID.]]),tabItens[[#This Row],[ATA DT.VALID.]]="",tabItens[[#This Row],[ATA DT.VALID.]]=" "),"",IF(TYPE(tabItens[[#This Row],[ATA DT.VALID.]])=1,ROUNDUP((tabItens[[#This Row],[ATA DT.VALID.]]-TODAY())/7,0),""))</f>
        <v/>
      </c>
      <c r="AQ82" s="399">
        <v>0</v>
      </c>
      <c r="AR82" s="400" t="str">
        <f>IF(ISBLANK(tabItens[[#This Row],[CÓDIGO]]),"",IFERROR(VLOOKUP(tabItens[[#This Row],[CÓDIGO]],Consumo!$C$2:$AC$862,26,FALSE),0))</f>
        <v>04.2023</v>
      </c>
      <c r="AS82" s="401">
        <f>SUMIF(Consumo!$C$3:$C$862,tabItens[[#This Row],[CÓDIGO]],Consumo!$N$3:$N$862) + SUMIF(Consumo!$C$3:$C$862,tabItens[[#This Row],[CÓDIGO]],Consumo!$O$3:$O$862) + SUMIF(Consumo!$C$3:$C$862,tabItens[[#This Row],[CÓDIGO]],Consumo!$P$3:$P$862) + SUMIF(Consumo!$C$3:$C$862,tabItens[[#This Row],[CÓDIGO]],Consumo!$Q$3:$Q$862)</f>
        <v>0</v>
      </c>
      <c r="AT82" s="401">
        <f>SUMIF(Consumo!$C$3:$C$862,tabItens[[#This Row],[CÓDIGO]],Consumo!$Z$3:$Z$862)</f>
        <v>59</v>
      </c>
      <c r="AU82" s="402">
        <f>SUMIF(Consumo!$C$3:$C$862,tabItens[[#This Row],[CÓDIGO]],Consumo!$AA$3:$AA$862)</f>
        <v>34</v>
      </c>
      <c r="AV82" s="403">
        <f>SUMIF(Consumo!$C$3:$C$862,tabItens[[#This Row],[CÓDIGO]],Consumo!$Y$3:$Y$862)</f>
        <v>4.083333333333333</v>
      </c>
      <c r="AW82" s="380">
        <f>tabItens[[#This Row],[QTDE ATUAL]] + tabItens[[#This Row],[RC QTDE]] + tabItens[[#This Row],[AF SALDO]] + tabItens[[#This Row],[Recentes]]</f>
        <v>74</v>
      </c>
      <c r="AX82" s="404">
        <v>9</v>
      </c>
      <c r="AY82" s="404">
        <v>4</v>
      </c>
      <c r="AZ82" s="404">
        <f>IF(ISBLANK(tabItens[[#This Row],[CÓDIGO]]),"",tabItens[[#This Row],[PontoMês]] * (AZ$2+tabItens[[#This Row],[PontoQtM]]))</f>
        <v>36</v>
      </c>
      <c r="BA82" s="403">
        <f>tabItens[[#This Row],[PontoPed]] - tabItens[[#This Row],[Saldo]] + (1/10)</f>
        <v>-37.9</v>
      </c>
      <c r="BB82" s="403">
        <f xml:space="preserve"> tabItens[[#This Row],[PontoMês]] * BB$2 - tabItens[[#This Row],[QTDE ATUAL]] - (1/10)</f>
        <v>-65.099999999999994</v>
      </c>
      <c r="BC82" s="335">
        <f>IF( tabItens[[#This Row],[PontoPed]]&gt;0, IF(tabItens[[#This Row],[PontoPed]]&lt;1, 1, IF( tabItens[[#This Row],[Saldo]]&gt;tabItens[[#This Row],[PontoPed]], 0, (tabItens[[#This Row],[PontoPed]]-tabItens[[#This Row],[Saldo]])/tabItens[[#This Row],[PontoPed]] ) ), 0 )</f>
        <v>0</v>
      </c>
      <c r="BD82" s="405">
        <f>ROUNDDOWN(IF( OR( AND(tabItens[[#This Row],[PontoPed]]&lt;tabItens[[#This Row],[Saldo]],tabItens[[#This Row],[Saldo]]&gt;0), tabItens[[#This Row],[PontoPed]]=0), 99, IF(AND(tabItens[[#This Row],[Saldo]]=0,tabItens[[#This Row],[PontoPed]]&gt;0), 0, (1-tabItens[[#This Row],[PctAb]])*10 ) ),0)</f>
        <v>99</v>
      </c>
      <c r="BE82" s="406">
        <f>MAX(ROUNDDOWN( IF(tabItens[[#This Row],[Abaixo]] &gt; 0,   tabItens[[#This Row],[Abaixo]] + (tabItens[[#This Row],[PontoMês]] * IF( OR( ISBLANK(tabItens[[#This Row],[ATA Nº/ANO]]), tabItens[[#This Row],[ATA Nº/ANO]] = ""),BE$2,BE$1)),0),0),0)</f>
        <v>0</v>
      </c>
      <c r="BF8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2" s="338">
        <f>SUMIF(Consumo!$C$3:$C$862,tabItens[[#This Row],[CÓDIGO]],Consumo!$E$3:$E$862)</f>
        <v>0</v>
      </c>
      <c r="BH82" s="339">
        <f>IF(AND(tabItens[[#This Row],[Pend]] &gt; 0,tabItens[[#This Row],[Consumo]] &lt;&gt; 0), tabItens[[#This Row],[Pend]] / tabItens[[#This Row],[Consumo]], 0 )</f>
        <v>0</v>
      </c>
      <c r="BI82" s="338"/>
      <c r="BJ82" s="407"/>
      <c r="BK82" s="408" t="s">
        <v>2086</v>
      </c>
    </row>
    <row r="83" spans="1:63" x14ac:dyDescent="0.3">
      <c r="A83" s="375">
        <v>52994</v>
      </c>
      <c r="B83" s="376" t="s">
        <v>1306</v>
      </c>
      <c r="C83" s="377" t="s">
        <v>263</v>
      </c>
      <c r="D83" s="378">
        <v>10.130000000000001</v>
      </c>
      <c r="E83" s="305"/>
      <c r="F83" s="379"/>
      <c r="G83" s="379" t="s">
        <v>889</v>
      </c>
      <c r="H83" s="380">
        <v>164</v>
      </c>
      <c r="I83" s="307">
        <v>103003</v>
      </c>
      <c r="J83" s="308">
        <v>10.130000000000001</v>
      </c>
      <c r="K83" s="381">
        <v>25</v>
      </c>
      <c r="L83" s="382">
        <f>IF(tabItens[[#This Row],[Média]] &gt; 0, tabItens[[#This Row],[QTDE ATUAL]] / tabItens[[#This Row],[Média]],999.9)</f>
        <v>109.33333333333333</v>
      </c>
      <c r="M83" s="383">
        <v>0</v>
      </c>
      <c r="N83" s="384">
        <f>tabItens[[#This Row],[VALOR UNIT.]] * tabItens[[#This Row],[LC]]</f>
        <v>0</v>
      </c>
      <c r="O83" s="385" t="s">
        <v>2103</v>
      </c>
      <c r="P83" s="386"/>
      <c r="Q83" s="387"/>
      <c r="R83" s="312"/>
      <c r="S83" s="388"/>
      <c r="T83" s="389">
        <f>ROUNDDOWN(IFERROR(tabItens[[#This Row],[ATA DT.VALID.]] - $D$1,0) / 30,0)</f>
        <v>-1474</v>
      </c>
      <c r="U83" s="302" t="s">
        <v>966</v>
      </c>
      <c r="V83" s="318">
        <v>1</v>
      </c>
      <c r="W83" s="390" t="s">
        <v>2076</v>
      </c>
      <c r="X83" s="391">
        <v>61</v>
      </c>
      <c r="Y83" s="392">
        <v>8</v>
      </c>
      <c r="Z83" s="393"/>
      <c r="AA83" s="394"/>
      <c r="AB83" s="395"/>
      <c r="AC83" s="395"/>
      <c r="AD83" s="394"/>
      <c r="AE83" s="395"/>
      <c r="AF83" s="317"/>
      <c r="AG83" s="396" t="s">
        <v>2072</v>
      </c>
      <c r="AH83" s="397"/>
      <c r="AI83" s="317">
        <v>8</v>
      </c>
      <c r="AJ83" s="397">
        <v>44573</v>
      </c>
      <c r="AK83" s="326" t="s">
        <v>889</v>
      </c>
      <c r="AL83" s="326">
        <v>44522</v>
      </c>
      <c r="AM83" s="316"/>
      <c r="AN83" s="305"/>
      <c r="AO83" s="327" t="str">
        <f>_xlfn.IFNA(IF(VLOOKUP(tabItens[[#This Row],[CÓDIGO]],tabExcluirDoEstoque[#Data],1,FALSE),"sim",""),"")</f>
        <v/>
      </c>
      <c r="AP83" s="398" t="str">
        <f ca="1">IF(OR(ISBLANK(tabItens[[#This Row],[ATA DT.VALID.]]),tabItens[[#This Row],[ATA DT.VALID.]]="",tabItens[[#This Row],[ATA DT.VALID.]]=" "),"",IF(TYPE(tabItens[[#This Row],[ATA DT.VALID.]])=1,ROUNDUP((tabItens[[#This Row],[ATA DT.VALID.]]-TODAY())/7,0),""))</f>
        <v/>
      </c>
      <c r="AQ83" s="399">
        <v>0</v>
      </c>
      <c r="AR83" s="400" t="str">
        <f>IF(ISBLANK(tabItens[[#This Row],[CÓDIGO]]),"",IFERROR(VLOOKUP(tabItens[[#This Row],[CÓDIGO]],Consumo!$C$2:$AC$862,26,FALSE),0))</f>
        <v>04.2023</v>
      </c>
      <c r="AS83" s="401">
        <f>SUMIF(Consumo!$C$3:$C$862,tabItens[[#This Row],[CÓDIGO]],Consumo!$N$3:$N$862) + SUMIF(Consumo!$C$3:$C$862,tabItens[[#This Row],[CÓDIGO]],Consumo!$O$3:$O$862) + SUMIF(Consumo!$C$3:$C$862,tabItens[[#This Row],[CÓDIGO]],Consumo!$P$3:$P$862) + SUMIF(Consumo!$C$3:$C$862,tabItens[[#This Row],[CÓDIGO]],Consumo!$Q$3:$Q$862)</f>
        <v>0</v>
      </c>
      <c r="AT83" s="401">
        <f>SUMIF(Consumo!$C$3:$C$862,tabItens[[#This Row],[CÓDIGO]],Consumo!$Z$3:$Z$862)</f>
        <v>25</v>
      </c>
      <c r="AU83" s="402">
        <f>SUMIF(Consumo!$C$3:$C$862,tabItens[[#This Row],[CÓDIGO]],Consumo!$AA$3:$AA$862)</f>
        <v>20</v>
      </c>
      <c r="AV83" s="403">
        <f>SUMIF(Consumo!$C$3:$C$862,tabItens[[#This Row],[CÓDIGO]],Consumo!$Y$3:$Y$862)</f>
        <v>1.5</v>
      </c>
      <c r="AW83" s="380">
        <f>tabItens[[#This Row],[QTDE ATUAL]] + tabItens[[#This Row],[RC QTDE]] + tabItens[[#This Row],[AF SALDO]] + tabItens[[#This Row],[Recentes]]</f>
        <v>164</v>
      </c>
      <c r="AX83" s="404">
        <v>5</v>
      </c>
      <c r="AY83" s="404">
        <v>4</v>
      </c>
      <c r="AZ83" s="404">
        <f>IF(ISBLANK(tabItens[[#This Row],[CÓDIGO]]),"",tabItens[[#This Row],[PontoMês]] * (AZ$2+tabItens[[#This Row],[PontoQtM]]))</f>
        <v>20</v>
      </c>
      <c r="BA83" s="403">
        <f>tabItens[[#This Row],[PontoPed]] - tabItens[[#This Row],[Saldo]] + (1/10)</f>
        <v>-143.9</v>
      </c>
      <c r="BB83" s="403">
        <f xml:space="preserve"> tabItens[[#This Row],[PontoMês]] * BB$2 - tabItens[[#This Row],[QTDE ATUAL]] - (1/10)</f>
        <v>-159.1</v>
      </c>
      <c r="BC83" s="335">
        <f>IF( tabItens[[#This Row],[PontoPed]]&gt;0, IF(tabItens[[#This Row],[PontoPed]]&lt;1, 1, IF( tabItens[[#This Row],[Saldo]]&gt;tabItens[[#This Row],[PontoPed]], 0, (tabItens[[#This Row],[PontoPed]]-tabItens[[#This Row],[Saldo]])/tabItens[[#This Row],[PontoPed]] ) ), 0 )</f>
        <v>0</v>
      </c>
      <c r="BD83" s="405">
        <f>ROUNDDOWN(IF( OR( AND(tabItens[[#This Row],[PontoPed]]&lt;tabItens[[#This Row],[Saldo]],tabItens[[#This Row],[Saldo]]&gt;0), tabItens[[#This Row],[PontoPed]]=0), 99, IF(AND(tabItens[[#This Row],[Saldo]]=0,tabItens[[#This Row],[PontoPed]]&gt;0), 0, (1-tabItens[[#This Row],[PctAb]])*10 ) ),0)</f>
        <v>99</v>
      </c>
      <c r="BE83" s="406">
        <f>MAX(ROUNDDOWN( IF(tabItens[[#This Row],[Abaixo]] &gt; 0,   tabItens[[#This Row],[Abaixo]] + (tabItens[[#This Row],[PontoMês]] * IF( OR( ISBLANK(tabItens[[#This Row],[ATA Nº/ANO]]), tabItens[[#This Row],[ATA Nº/ANO]] = ""),BE$2,BE$1)),0),0),0)</f>
        <v>0</v>
      </c>
      <c r="BF8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 s="338">
        <f>SUMIF(Consumo!$C$3:$C$862,tabItens[[#This Row],[CÓDIGO]],Consumo!$E$3:$E$862)</f>
        <v>0</v>
      </c>
      <c r="BH83" s="339">
        <f>IF(AND(tabItens[[#This Row],[Pend]] &gt; 0,tabItens[[#This Row],[Consumo]] &lt;&gt; 0), tabItens[[#This Row],[Pend]] / tabItens[[#This Row],[Consumo]], 0 )</f>
        <v>0</v>
      </c>
      <c r="BI83" s="338"/>
      <c r="BJ83" s="407"/>
      <c r="BK83" s="408" t="s">
        <v>2086</v>
      </c>
    </row>
    <row r="84" spans="1:63" x14ac:dyDescent="0.3">
      <c r="A84" s="375">
        <v>61201</v>
      </c>
      <c r="B84" s="376" t="s">
        <v>1357</v>
      </c>
      <c r="C84" s="377" t="s">
        <v>263</v>
      </c>
      <c r="D84" s="378">
        <v>5.29</v>
      </c>
      <c r="E84" s="305"/>
      <c r="F84" s="379"/>
      <c r="G84" s="379" t="s">
        <v>889</v>
      </c>
      <c r="H84" s="380">
        <v>1240</v>
      </c>
      <c r="I84" s="307">
        <v>103003</v>
      </c>
      <c r="J84" s="308">
        <v>5.29</v>
      </c>
      <c r="K84" s="381">
        <v>295</v>
      </c>
      <c r="L84" s="382">
        <f>IF(tabItens[[#This Row],[Média]] &gt; 0, tabItens[[#This Row],[QTDE ATUAL]] / tabItens[[#This Row],[Média]],999.9)</f>
        <v>54.705882352941174</v>
      </c>
      <c r="M84" s="383">
        <v>0</v>
      </c>
      <c r="N84" s="384">
        <f>tabItens[[#This Row],[VALOR UNIT.]] * tabItens[[#This Row],[LC]]</f>
        <v>0</v>
      </c>
      <c r="O84" s="385" t="s">
        <v>2103</v>
      </c>
      <c r="P84" s="386"/>
      <c r="Q84" s="387"/>
      <c r="R84" s="312"/>
      <c r="S84" s="388"/>
      <c r="T84" s="389">
        <f>ROUNDDOWN(IFERROR(tabItens[[#This Row],[ATA DT.VALID.]] - $D$1,0) / 30,0)</f>
        <v>-1474</v>
      </c>
      <c r="U84" s="302" t="s">
        <v>966</v>
      </c>
      <c r="V84" s="318">
        <v>1</v>
      </c>
      <c r="W84" s="390" t="s">
        <v>2076</v>
      </c>
      <c r="X84" s="391">
        <v>61</v>
      </c>
      <c r="Y84" s="392">
        <v>8</v>
      </c>
      <c r="Z84" s="393"/>
      <c r="AA84" s="394"/>
      <c r="AB84" s="395"/>
      <c r="AC84" s="395"/>
      <c r="AD84" s="394"/>
      <c r="AE84" s="395"/>
      <c r="AF84" s="317"/>
      <c r="AG84" s="396" t="s">
        <v>2072</v>
      </c>
      <c r="AH84" s="397"/>
      <c r="AI84" s="317">
        <v>104</v>
      </c>
      <c r="AJ84" s="397">
        <v>43796</v>
      </c>
      <c r="AK84" s="326" t="s">
        <v>889</v>
      </c>
      <c r="AL84" s="326">
        <v>45096</v>
      </c>
      <c r="AM84" s="316"/>
      <c r="AN84" s="305"/>
      <c r="AO84" s="327" t="str">
        <f>_xlfn.IFNA(IF(VLOOKUP(tabItens[[#This Row],[CÓDIGO]],tabExcluirDoEstoque[#Data],1,FALSE),"sim",""),"")</f>
        <v/>
      </c>
      <c r="AP84" s="398" t="str">
        <f ca="1">IF(OR(ISBLANK(tabItens[[#This Row],[ATA DT.VALID.]]),tabItens[[#This Row],[ATA DT.VALID.]]="",tabItens[[#This Row],[ATA DT.VALID.]]=" "),"",IF(TYPE(tabItens[[#This Row],[ATA DT.VALID.]])=1,ROUNDUP((tabItens[[#This Row],[ATA DT.VALID.]]-TODAY())/7,0),""))</f>
        <v/>
      </c>
      <c r="AQ84" s="399">
        <v>0</v>
      </c>
      <c r="AR84" s="400" t="str">
        <f>IF(ISBLANK(tabItens[[#This Row],[CÓDIGO]]),"",IFERROR(VLOOKUP(tabItens[[#This Row],[CÓDIGO]],Consumo!$C$2:$AC$862,26,FALSE),0))</f>
        <v>09.2023</v>
      </c>
      <c r="AS84" s="401">
        <f>SUMIF(Consumo!$C$3:$C$862,tabItens[[#This Row],[CÓDIGO]],Consumo!$N$3:$N$862) + SUMIF(Consumo!$C$3:$C$862,tabItens[[#This Row],[CÓDIGO]],Consumo!$O$3:$O$862) + SUMIF(Consumo!$C$3:$C$862,tabItens[[#This Row],[CÓDIGO]],Consumo!$P$3:$P$862) + SUMIF(Consumo!$C$3:$C$862,tabItens[[#This Row],[CÓDIGO]],Consumo!$Q$3:$Q$862)</f>
        <v>20</v>
      </c>
      <c r="AT84" s="401">
        <f>SUMIF(Consumo!$C$3:$C$862,tabItens[[#This Row],[CÓDIGO]],Consumo!$Z$3:$Z$862)</f>
        <v>314</v>
      </c>
      <c r="AU84" s="402">
        <f>SUMIF(Consumo!$C$3:$C$862,tabItens[[#This Row],[CÓDIGO]],Consumo!$AA$3:$AA$862)</f>
        <v>152</v>
      </c>
      <c r="AV84" s="403">
        <f>SUMIF(Consumo!$C$3:$C$862,tabItens[[#This Row],[CÓDIGO]],Consumo!$Y$3:$Y$862)</f>
        <v>22.666666666666668</v>
      </c>
      <c r="AW84" s="380">
        <f>tabItens[[#This Row],[QTDE ATUAL]] + tabItens[[#This Row],[RC QTDE]] + tabItens[[#This Row],[AF SALDO]] + tabItens[[#This Row],[Recentes]]</f>
        <v>1240</v>
      </c>
      <c r="AX84" s="404">
        <v>100</v>
      </c>
      <c r="AY84" s="404">
        <v>4</v>
      </c>
      <c r="AZ84" s="404">
        <f>IF(ISBLANK(tabItens[[#This Row],[CÓDIGO]]),"",tabItens[[#This Row],[PontoMês]] * (AZ$2+tabItens[[#This Row],[PontoQtM]]))</f>
        <v>400</v>
      </c>
      <c r="BA84" s="403">
        <f>tabItens[[#This Row],[PontoPed]] - tabItens[[#This Row],[Saldo]] + (1/10)</f>
        <v>-839.9</v>
      </c>
      <c r="BB84" s="403">
        <f xml:space="preserve"> tabItens[[#This Row],[PontoMês]] * BB$2 - tabItens[[#This Row],[QTDE ATUAL]] - (1/10)</f>
        <v>-1140.0999999999999</v>
      </c>
      <c r="BC84" s="335">
        <f>IF( tabItens[[#This Row],[PontoPed]]&gt;0, IF(tabItens[[#This Row],[PontoPed]]&lt;1, 1, IF( tabItens[[#This Row],[Saldo]]&gt;tabItens[[#This Row],[PontoPed]], 0, (tabItens[[#This Row],[PontoPed]]-tabItens[[#This Row],[Saldo]])/tabItens[[#This Row],[PontoPed]] ) ), 0 )</f>
        <v>0</v>
      </c>
      <c r="BD84" s="405">
        <f>ROUNDDOWN(IF( OR( AND(tabItens[[#This Row],[PontoPed]]&lt;tabItens[[#This Row],[Saldo]],tabItens[[#This Row],[Saldo]]&gt;0), tabItens[[#This Row],[PontoPed]]=0), 99, IF(AND(tabItens[[#This Row],[Saldo]]=0,tabItens[[#This Row],[PontoPed]]&gt;0), 0, (1-tabItens[[#This Row],[PctAb]])*10 ) ),0)</f>
        <v>99</v>
      </c>
      <c r="BE84" s="406">
        <f>MAX(ROUNDDOWN( IF(tabItens[[#This Row],[Abaixo]] &gt; 0,   tabItens[[#This Row],[Abaixo]] + (tabItens[[#This Row],[PontoMês]] * IF( OR( ISBLANK(tabItens[[#This Row],[ATA Nº/ANO]]), tabItens[[#This Row],[ATA Nº/ANO]] = ""),BE$2,BE$1)),0),0),0)</f>
        <v>0</v>
      </c>
      <c r="BF8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 s="338">
        <f>SUMIF(Consumo!$C$3:$C$862,tabItens[[#This Row],[CÓDIGO]],Consumo!$E$3:$E$862)</f>
        <v>0</v>
      </c>
      <c r="BH84" s="339">
        <f>IF(AND(tabItens[[#This Row],[Pend]] &gt; 0,tabItens[[#This Row],[Consumo]] &lt;&gt; 0), tabItens[[#This Row],[Pend]] / tabItens[[#This Row],[Consumo]], 0 )</f>
        <v>0</v>
      </c>
      <c r="BI84" s="338"/>
      <c r="BJ84" s="407"/>
      <c r="BK84" s="408" t="s">
        <v>2086</v>
      </c>
    </row>
    <row r="85" spans="1:63" x14ac:dyDescent="0.3">
      <c r="A85" s="375">
        <v>77109</v>
      </c>
      <c r="B85" s="376" t="s">
        <v>1425</v>
      </c>
      <c r="C85" s="377" t="s">
        <v>263</v>
      </c>
      <c r="D85" s="378">
        <v>1.05</v>
      </c>
      <c r="E85" s="305"/>
      <c r="F85" s="379"/>
      <c r="G85" s="379" t="s">
        <v>889</v>
      </c>
      <c r="H85" s="380">
        <v>181</v>
      </c>
      <c r="I85" s="307">
        <v>103003</v>
      </c>
      <c r="J85" s="308">
        <v>1.05</v>
      </c>
      <c r="K85" s="381">
        <v>117</v>
      </c>
      <c r="L85" s="382">
        <f>IF(tabItens[[#This Row],[Média]] &gt; 0, tabItens[[#This Row],[QTDE ATUAL]] / tabItens[[#This Row],[Média]],999.9)</f>
        <v>18.724137931034484</v>
      </c>
      <c r="M85" s="383">
        <v>0</v>
      </c>
      <c r="N85" s="384">
        <f>tabItens[[#This Row],[VALOR UNIT.]] * tabItens[[#This Row],[LC]]</f>
        <v>0</v>
      </c>
      <c r="O85" s="385" t="s">
        <v>2103</v>
      </c>
      <c r="P85" s="386"/>
      <c r="Q85" s="387"/>
      <c r="R85" s="312"/>
      <c r="S85" s="388"/>
      <c r="T85" s="389">
        <f>ROUNDDOWN(IFERROR(tabItens[[#This Row],[ATA DT.VALID.]] - $D$1,0) / 30,0)</f>
        <v>-1474</v>
      </c>
      <c r="U85" s="302" t="s">
        <v>966</v>
      </c>
      <c r="V85" s="318">
        <v>1</v>
      </c>
      <c r="W85" s="390" t="s">
        <v>2076</v>
      </c>
      <c r="X85" s="391">
        <v>61</v>
      </c>
      <c r="Y85" s="392">
        <v>8</v>
      </c>
      <c r="Z85" s="393"/>
      <c r="AA85" s="394"/>
      <c r="AB85" s="395"/>
      <c r="AC85" s="395"/>
      <c r="AD85" s="394"/>
      <c r="AE85" s="395"/>
      <c r="AF85" s="317"/>
      <c r="AG85" s="396" t="s">
        <v>2072</v>
      </c>
      <c r="AH85" s="397"/>
      <c r="AI85" s="317">
        <v>42</v>
      </c>
      <c r="AJ85" s="397">
        <v>45160</v>
      </c>
      <c r="AK85" s="326">
        <v>38028</v>
      </c>
      <c r="AL85" s="326">
        <v>45180</v>
      </c>
      <c r="AM85" s="316"/>
      <c r="AN85" s="305"/>
      <c r="AO85" s="327" t="str">
        <f>_xlfn.IFNA(IF(VLOOKUP(tabItens[[#This Row],[CÓDIGO]],tabExcluirDoEstoque[#Data],1,FALSE),"sim",""),"")</f>
        <v/>
      </c>
      <c r="AP85" s="398" t="str">
        <f ca="1">IF(OR(ISBLANK(tabItens[[#This Row],[ATA DT.VALID.]]),tabItens[[#This Row],[ATA DT.VALID.]]="",tabItens[[#This Row],[ATA DT.VALID.]]=" "),"",IF(TYPE(tabItens[[#This Row],[ATA DT.VALID.]])=1,ROUNDUP((tabItens[[#This Row],[ATA DT.VALID.]]-TODAY())/7,0),""))</f>
        <v/>
      </c>
      <c r="AQ85" s="399">
        <v>0</v>
      </c>
      <c r="AR85" s="400" t="str">
        <f>IF(ISBLANK(tabItens[[#This Row],[CÓDIGO]]),"",IFERROR(VLOOKUP(tabItens[[#This Row],[CÓDIGO]],Consumo!$C$2:$AC$862,26,FALSE),0))</f>
        <v>07.2023</v>
      </c>
      <c r="AS85" s="401">
        <f>SUMIF(Consumo!$C$3:$C$862,tabItens[[#This Row],[CÓDIGO]],Consumo!$N$3:$N$862) + SUMIF(Consumo!$C$3:$C$862,tabItens[[#This Row],[CÓDIGO]],Consumo!$O$3:$O$862) + SUMIF(Consumo!$C$3:$C$862,tabItens[[#This Row],[CÓDIGO]],Consumo!$P$3:$P$862) + SUMIF(Consumo!$C$3:$C$862,tabItens[[#This Row],[CÓDIGO]],Consumo!$Q$3:$Q$862)</f>
        <v>50</v>
      </c>
      <c r="AT85" s="401">
        <f>SUMIF(Consumo!$C$3:$C$862,tabItens[[#This Row],[CÓDIGO]],Consumo!$Z$3:$Z$862)</f>
        <v>127</v>
      </c>
      <c r="AU85" s="402">
        <f>SUMIF(Consumo!$C$3:$C$862,tabItens[[#This Row],[CÓDIGO]],Consumo!$AA$3:$AA$862)</f>
        <v>50</v>
      </c>
      <c r="AV85" s="403">
        <f>SUMIF(Consumo!$C$3:$C$862,tabItens[[#This Row],[CÓDIGO]],Consumo!$Y$3:$Y$862)</f>
        <v>9.6666666666666661</v>
      </c>
      <c r="AW85" s="380">
        <f>tabItens[[#This Row],[QTDE ATUAL]] + tabItens[[#This Row],[RC QTDE]] + tabItens[[#This Row],[AF SALDO]] + tabItens[[#This Row],[Recentes]]</f>
        <v>181</v>
      </c>
      <c r="AX85" s="404">
        <v>5</v>
      </c>
      <c r="AY85" s="404">
        <v>4</v>
      </c>
      <c r="AZ85" s="404">
        <f>IF(ISBLANK(tabItens[[#This Row],[CÓDIGO]]),"",tabItens[[#This Row],[PontoMês]] * (AZ$2+tabItens[[#This Row],[PontoQtM]]))</f>
        <v>20</v>
      </c>
      <c r="BA85" s="403">
        <f>tabItens[[#This Row],[PontoPed]] - tabItens[[#This Row],[Saldo]] + (1/10)</f>
        <v>-160.9</v>
      </c>
      <c r="BB85" s="403">
        <f xml:space="preserve"> tabItens[[#This Row],[PontoMês]] * BB$2 - tabItens[[#This Row],[QTDE ATUAL]] - (1/10)</f>
        <v>-176.1</v>
      </c>
      <c r="BC85" s="335">
        <f>IF( tabItens[[#This Row],[PontoPed]]&gt;0, IF(tabItens[[#This Row],[PontoPed]]&lt;1, 1, IF( tabItens[[#This Row],[Saldo]]&gt;tabItens[[#This Row],[PontoPed]], 0, (tabItens[[#This Row],[PontoPed]]-tabItens[[#This Row],[Saldo]])/tabItens[[#This Row],[PontoPed]] ) ), 0 )</f>
        <v>0</v>
      </c>
      <c r="BD85" s="405">
        <f>ROUNDDOWN(IF( OR( AND(tabItens[[#This Row],[PontoPed]]&lt;tabItens[[#This Row],[Saldo]],tabItens[[#This Row],[Saldo]]&gt;0), tabItens[[#This Row],[PontoPed]]=0), 99, IF(AND(tabItens[[#This Row],[Saldo]]=0,tabItens[[#This Row],[PontoPed]]&gt;0), 0, (1-tabItens[[#This Row],[PctAb]])*10 ) ),0)</f>
        <v>99</v>
      </c>
      <c r="BE85" s="406">
        <f>MAX(ROUNDDOWN( IF(tabItens[[#This Row],[Abaixo]] &gt; 0,   tabItens[[#This Row],[Abaixo]] + (tabItens[[#This Row],[PontoMês]] * IF( OR( ISBLANK(tabItens[[#This Row],[ATA Nº/ANO]]), tabItens[[#This Row],[ATA Nº/ANO]] = ""),BE$2,BE$1)),0),0),0)</f>
        <v>0</v>
      </c>
      <c r="BF8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 s="338">
        <f>SUMIF(Consumo!$C$3:$C$862,tabItens[[#This Row],[CÓDIGO]],Consumo!$E$3:$E$862)</f>
        <v>0</v>
      </c>
      <c r="BH85" s="339">
        <f>IF(AND(tabItens[[#This Row],[Pend]] &gt; 0,tabItens[[#This Row],[Consumo]] &lt;&gt; 0), tabItens[[#This Row],[Pend]] / tabItens[[#This Row],[Consumo]], 0 )</f>
        <v>0</v>
      </c>
      <c r="BI85" s="338"/>
      <c r="BJ85" s="407"/>
      <c r="BK85" s="408" t="s">
        <v>2086</v>
      </c>
    </row>
    <row r="86" spans="1:63" x14ac:dyDescent="0.3">
      <c r="A86" s="375">
        <v>82452</v>
      </c>
      <c r="B86" s="376" t="s">
        <v>1487</v>
      </c>
      <c r="C86" s="377" t="s">
        <v>263</v>
      </c>
      <c r="D86" s="378">
        <v>6.8</v>
      </c>
      <c r="E86" s="305"/>
      <c r="F86" s="379"/>
      <c r="G86" s="379" t="s">
        <v>889</v>
      </c>
      <c r="H86" s="380">
        <v>10</v>
      </c>
      <c r="I86" s="307">
        <v>103003</v>
      </c>
      <c r="J86" s="308">
        <v>6.8</v>
      </c>
      <c r="K86" s="381">
        <v>116</v>
      </c>
      <c r="L86" s="382">
        <f>IF(tabItens[[#This Row],[Média]] &gt; 0, tabItens[[#This Row],[QTDE ATUAL]] / tabItens[[#This Row],[Média]],999.9)</f>
        <v>0.73619631901840488</v>
      </c>
      <c r="M86" s="383">
        <v>0</v>
      </c>
      <c r="N86" s="384">
        <f>tabItens[[#This Row],[VALOR UNIT.]] * tabItens[[#This Row],[LC]]</f>
        <v>0</v>
      </c>
      <c r="O86" s="385" t="s">
        <v>2103</v>
      </c>
      <c r="P86" s="386"/>
      <c r="Q86" s="387"/>
      <c r="R86" s="312"/>
      <c r="S86" s="388"/>
      <c r="T86" s="389">
        <f>ROUNDDOWN(IFERROR(tabItens[[#This Row],[ATA DT.VALID.]] - $D$1,0) / 30,0)</f>
        <v>-1474</v>
      </c>
      <c r="U86" s="302" t="s">
        <v>966</v>
      </c>
      <c r="V86" s="318">
        <v>1</v>
      </c>
      <c r="W86" s="390" t="s">
        <v>2076</v>
      </c>
      <c r="X86" s="391">
        <v>61</v>
      </c>
      <c r="Y86" s="392">
        <v>8</v>
      </c>
      <c r="Z86" s="393"/>
      <c r="AA86" s="394"/>
      <c r="AB86" s="395"/>
      <c r="AC86" s="395"/>
      <c r="AD86" s="394"/>
      <c r="AE86" s="395"/>
      <c r="AF86" s="317"/>
      <c r="AG86" s="396" t="s">
        <v>2072</v>
      </c>
      <c r="AH86" s="397"/>
      <c r="AI86" s="317">
        <v>38</v>
      </c>
      <c r="AJ86" s="397">
        <v>45170</v>
      </c>
      <c r="AK86" s="326">
        <v>38296</v>
      </c>
      <c r="AL86" s="326">
        <v>45145</v>
      </c>
      <c r="AM86" s="316"/>
      <c r="AN86" s="305"/>
      <c r="AO86" s="327" t="str">
        <f>_xlfn.IFNA(IF(VLOOKUP(tabItens[[#This Row],[CÓDIGO]],tabExcluirDoEstoque[#Data],1,FALSE),"sim",""),"")</f>
        <v/>
      </c>
      <c r="AP86" s="398" t="str">
        <f ca="1">IF(OR(ISBLANK(tabItens[[#This Row],[ATA DT.VALID.]]),tabItens[[#This Row],[ATA DT.VALID.]]="",tabItens[[#This Row],[ATA DT.VALID.]]=" "),"",IF(TYPE(tabItens[[#This Row],[ATA DT.VALID.]])=1,ROUNDUP((tabItens[[#This Row],[ATA DT.VALID.]]-TODAY())/7,0),""))</f>
        <v/>
      </c>
      <c r="AQ86" s="399">
        <v>0</v>
      </c>
      <c r="AR86" s="400" t="str">
        <f>IF(ISBLANK(tabItens[[#This Row],[CÓDIGO]]),"",IFERROR(VLOOKUP(tabItens[[#This Row],[CÓDIGO]],Consumo!$C$2:$AC$862,26,FALSE),0))</f>
        <v>08.2023</v>
      </c>
      <c r="AS86" s="401">
        <f>SUMIF(Consumo!$C$3:$C$862,tabItens[[#This Row],[CÓDIGO]],Consumo!$N$3:$N$862) + SUMIF(Consumo!$C$3:$C$862,tabItens[[#This Row],[CÓDIGO]],Consumo!$O$3:$O$862) + SUMIF(Consumo!$C$3:$C$862,tabItens[[#This Row],[CÓDIGO]],Consumo!$P$3:$P$862) + SUMIF(Consumo!$C$3:$C$862,tabItens[[#This Row],[CÓDIGO]],Consumo!$Q$3:$Q$862)</f>
        <v>2</v>
      </c>
      <c r="AT86" s="401">
        <f>SUMIF(Consumo!$C$3:$C$862,tabItens[[#This Row],[CÓDIGO]],Consumo!$Z$3:$Z$862)</f>
        <v>164</v>
      </c>
      <c r="AU86" s="402">
        <f>SUMIF(Consumo!$C$3:$C$862,tabItens[[#This Row],[CÓDIGO]],Consumo!$AA$3:$AA$862)</f>
        <v>50</v>
      </c>
      <c r="AV86" s="403">
        <f>SUMIF(Consumo!$C$3:$C$862,tabItens[[#This Row],[CÓDIGO]],Consumo!$Y$3:$Y$862)</f>
        <v>13.583333333333334</v>
      </c>
      <c r="AW86" s="380">
        <f>tabItens[[#This Row],[QTDE ATUAL]] + tabItens[[#This Row],[RC QTDE]] + tabItens[[#This Row],[AF SALDO]] + tabItens[[#This Row],[Recentes]]</f>
        <v>10</v>
      </c>
      <c r="AX86" s="404">
        <v>13</v>
      </c>
      <c r="AY86" s="404">
        <v>4</v>
      </c>
      <c r="AZ86" s="404">
        <f>IF(ISBLANK(tabItens[[#This Row],[CÓDIGO]]),"",tabItens[[#This Row],[PontoMês]] * (AZ$2+tabItens[[#This Row],[PontoQtM]]))</f>
        <v>52</v>
      </c>
      <c r="BA86" s="403">
        <f>tabItens[[#This Row],[PontoPed]] - tabItens[[#This Row],[Saldo]] + (1/10)</f>
        <v>42.1</v>
      </c>
      <c r="BB86" s="403">
        <f xml:space="preserve"> tabItens[[#This Row],[PontoMês]] * BB$2 - tabItens[[#This Row],[QTDE ATUAL]] - (1/10)</f>
        <v>2.9</v>
      </c>
      <c r="BC86" s="335">
        <f>IF( tabItens[[#This Row],[PontoPed]]&gt;0, IF(tabItens[[#This Row],[PontoPed]]&lt;1, 1, IF( tabItens[[#This Row],[Saldo]]&gt;tabItens[[#This Row],[PontoPed]], 0, (tabItens[[#This Row],[PontoPed]]-tabItens[[#This Row],[Saldo]])/tabItens[[#This Row],[PontoPed]] ) ), 0 )</f>
        <v>0.80769230769230771</v>
      </c>
      <c r="BD86" s="405">
        <f>ROUNDDOWN(IF( OR( AND(tabItens[[#This Row],[PontoPed]]&lt;tabItens[[#This Row],[Saldo]],tabItens[[#This Row],[Saldo]]&gt;0), tabItens[[#This Row],[PontoPed]]=0), 99, IF(AND(tabItens[[#This Row],[Saldo]]=0,tabItens[[#This Row],[PontoPed]]&gt;0), 0, (1-tabItens[[#This Row],[PctAb]])*10 ) ),0)</f>
        <v>1</v>
      </c>
      <c r="BE86" s="406">
        <f>MAX(ROUNDDOWN( IF(tabItens[[#This Row],[Abaixo]] &gt; 0,   tabItens[[#This Row],[Abaixo]] + (tabItens[[#This Row],[PontoMês]] * IF( OR( ISBLANK(tabItens[[#This Row],[ATA Nº/ANO]]), tabItens[[#This Row],[ATA Nº/ANO]] = ""),BE$2,BE$1)),0),0),0)</f>
        <v>81</v>
      </c>
      <c r="BF8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 s="338">
        <f>SUMIF(Consumo!$C$3:$C$862,tabItens[[#This Row],[CÓDIGO]],Consumo!$E$3:$E$862)</f>
        <v>48</v>
      </c>
      <c r="BH86" s="339">
        <f>IF(AND(tabItens[[#This Row],[Pend]] &gt; 0,tabItens[[#This Row],[Consumo]] &lt;&gt; 0), tabItens[[#This Row],[Pend]] / tabItens[[#This Row],[Consumo]], 0 )</f>
        <v>0.29268292682926828</v>
      </c>
      <c r="BI86" s="338"/>
      <c r="BJ86" s="407"/>
      <c r="BK86" s="408" t="s">
        <v>2086</v>
      </c>
    </row>
    <row r="87" spans="1:63" x14ac:dyDescent="0.3">
      <c r="A87" s="375">
        <v>95121</v>
      </c>
      <c r="B87" s="376" t="s">
        <v>1553</v>
      </c>
      <c r="C87" s="377" t="s">
        <v>263</v>
      </c>
      <c r="D87" s="378">
        <v>0.7</v>
      </c>
      <c r="E87" s="305"/>
      <c r="F87" s="379"/>
      <c r="G87" s="379" t="s">
        <v>889</v>
      </c>
      <c r="H87" s="380">
        <v>0</v>
      </c>
      <c r="I87" s="307">
        <v>103003</v>
      </c>
      <c r="J87" s="308">
        <v>0.7</v>
      </c>
      <c r="K87" s="381">
        <v>274</v>
      </c>
      <c r="L87" s="382">
        <f>IF(tabItens[[#This Row],[Média]] &gt; 0, tabItens[[#This Row],[QTDE ATUAL]] / tabItens[[#This Row],[Média]],999.9)</f>
        <v>0</v>
      </c>
      <c r="M87" s="383">
        <v>0</v>
      </c>
      <c r="N87" s="384">
        <f>tabItens[[#This Row],[VALOR UNIT.]] * tabItens[[#This Row],[LC]]</f>
        <v>0</v>
      </c>
      <c r="O87" s="385" t="s">
        <v>2103</v>
      </c>
      <c r="P87" s="386"/>
      <c r="Q87" s="387"/>
      <c r="R87" s="312"/>
      <c r="S87" s="388"/>
      <c r="T87" s="389">
        <f>ROUNDDOWN(IFERROR(tabItens[[#This Row],[ATA DT.VALID.]] - $D$1,0) / 30,0)</f>
        <v>-1474</v>
      </c>
      <c r="U87" s="302" t="s">
        <v>966</v>
      </c>
      <c r="V87" s="318">
        <v>1</v>
      </c>
      <c r="W87" s="390" t="s">
        <v>2076</v>
      </c>
      <c r="X87" s="391">
        <v>61</v>
      </c>
      <c r="Y87" s="392">
        <v>8</v>
      </c>
      <c r="Z87" s="393"/>
      <c r="AA87" s="394"/>
      <c r="AB87" s="395"/>
      <c r="AC87" s="395"/>
      <c r="AD87" s="394"/>
      <c r="AE87" s="395"/>
      <c r="AF87" s="317"/>
      <c r="AG87" s="396" t="s">
        <v>2072</v>
      </c>
      <c r="AH87" s="397"/>
      <c r="AI87" s="317">
        <v>116</v>
      </c>
      <c r="AJ87" s="397">
        <v>45160</v>
      </c>
      <c r="AK87" s="326">
        <v>39001</v>
      </c>
      <c r="AL87" s="326">
        <v>45145</v>
      </c>
      <c r="AM87" s="316"/>
      <c r="AN87" s="305"/>
      <c r="AO87" s="327" t="str">
        <f>_xlfn.IFNA(IF(VLOOKUP(tabItens[[#This Row],[CÓDIGO]],tabExcluirDoEstoque[#Data],1,FALSE),"sim",""),"")</f>
        <v/>
      </c>
      <c r="AP87" s="398" t="str">
        <f ca="1">IF(OR(ISBLANK(tabItens[[#This Row],[ATA DT.VALID.]]),tabItens[[#This Row],[ATA DT.VALID.]]="",tabItens[[#This Row],[ATA DT.VALID.]]=" "),"",IF(TYPE(tabItens[[#This Row],[ATA DT.VALID.]])=1,ROUNDUP((tabItens[[#This Row],[ATA DT.VALID.]]-TODAY())/7,0),""))</f>
        <v/>
      </c>
      <c r="AQ87" s="399">
        <v>150</v>
      </c>
      <c r="AR87" s="400" t="str">
        <f>IF(ISBLANK(tabItens[[#This Row],[CÓDIGO]]),"",IFERROR(VLOOKUP(tabItens[[#This Row],[CÓDIGO]],Consumo!$C$2:$AC$862,26,FALSE),0))</f>
        <v>08.2023</v>
      </c>
      <c r="AS87" s="401">
        <f>SUMIF(Consumo!$C$3:$C$862,tabItens[[#This Row],[CÓDIGO]],Consumo!$N$3:$N$862) + SUMIF(Consumo!$C$3:$C$862,tabItens[[#This Row],[CÓDIGO]],Consumo!$O$3:$O$862) + SUMIF(Consumo!$C$3:$C$862,tabItens[[#This Row],[CÓDIGO]],Consumo!$P$3:$P$862) + SUMIF(Consumo!$C$3:$C$862,tabItens[[#This Row],[CÓDIGO]],Consumo!$Q$3:$Q$862)</f>
        <v>71</v>
      </c>
      <c r="AT87" s="401">
        <f>SUMIF(Consumo!$C$3:$C$862,tabItens[[#This Row],[CÓDIGO]],Consumo!$Z$3:$Z$862)</f>
        <v>445</v>
      </c>
      <c r="AU87" s="402">
        <f>SUMIF(Consumo!$C$3:$C$862,tabItens[[#This Row],[CÓDIGO]],Consumo!$AA$3:$AA$862)</f>
        <v>65</v>
      </c>
      <c r="AV87" s="403">
        <f>SUMIF(Consumo!$C$3:$C$862,tabItens[[#This Row],[CÓDIGO]],Consumo!$Y$3:$Y$862)</f>
        <v>37.083333333333336</v>
      </c>
      <c r="AW87" s="380">
        <f>tabItens[[#This Row],[QTDE ATUAL]] + tabItens[[#This Row],[RC QTDE]] + tabItens[[#This Row],[AF SALDO]] + tabItens[[#This Row],[Recentes]]</f>
        <v>150</v>
      </c>
      <c r="AX87" s="404">
        <v>25</v>
      </c>
      <c r="AY87" s="404">
        <v>4</v>
      </c>
      <c r="AZ87" s="404">
        <f>IF(ISBLANK(tabItens[[#This Row],[CÓDIGO]]),"",tabItens[[#This Row],[PontoMês]] * (AZ$2+tabItens[[#This Row],[PontoQtM]]))</f>
        <v>100</v>
      </c>
      <c r="BA87" s="403">
        <f>tabItens[[#This Row],[PontoPed]] - tabItens[[#This Row],[Saldo]] + (1/10)</f>
        <v>-49.9</v>
      </c>
      <c r="BB87" s="403">
        <f xml:space="preserve"> tabItens[[#This Row],[PontoMês]] * BB$2 - tabItens[[#This Row],[QTDE ATUAL]] - (1/10)</f>
        <v>24.9</v>
      </c>
      <c r="BC87" s="335">
        <f>IF( tabItens[[#This Row],[PontoPed]]&gt;0, IF(tabItens[[#This Row],[PontoPed]]&lt;1, 1, IF( tabItens[[#This Row],[Saldo]]&gt;tabItens[[#This Row],[PontoPed]], 0, (tabItens[[#This Row],[PontoPed]]-tabItens[[#This Row],[Saldo]])/tabItens[[#This Row],[PontoPed]] ) ), 0 )</f>
        <v>0</v>
      </c>
      <c r="BD87" s="405">
        <f>ROUNDDOWN(IF( OR( AND(tabItens[[#This Row],[PontoPed]]&lt;tabItens[[#This Row],[Saldo]],tabItens[[#This Row],[Saldo]]&gt;0), tabItens[[#This Row],[PontoPed]]=0), 99, IF(AND(tabItens[[#This Row],[Saldo]]=0,tabItens[[#This Row],[PontoPed]]&gt;0), 0, (1-tabItens[[#This Row],[PctAb]])*10 ) ),0)</f>
        <v>99</v>
      </c>
      <c r="BE87" s="406">
        <f>MAX(ROUNDDOWN( IF(tabItens[[#This Row],[Abaixo]] &gt; 0,   tabItens[[#This Row],[Abaixo]] + (tabItens[[#This Row],[PontoMês]] * IF( OR( ISBLANK(tabItens[[#This Row],[ATA Nº/ANO]]), tabItens[[#This Row],[ATA Nº/ANO]] = ""),BE$2,BE$1)),0),0),0)</f>
        <v>0</v>
      </c>
      <c r="BF8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 s="338">
        <f>SUMIF(Consumo!$C$3:$C$862,tabItens[[#This Row],[CÓDIGO]],Consumo!$E$3:$E$862)</f>
        <v>100</v>
      </c>
      <c r="BH87" s="339">
        <f>IF(AND(tabItens[[#This Row],[Pend]] &gt; 0,tabItens[[#This Row],[Consumo]] &lt;&gt; 0), tabItens[[#This Row],[Pend]] / tabItens[[#This Row],[Consumo]], 0 )</f>
        <v>0.2247191011235955</v>
      </c>
      <c r="BI87" s="338"/>
      <c r="BJ87" s="407"/>
      <c r="BK87" s="408" t="s">
        <v>2086</v>
      </c>
    </row>
    <row r="88" spans="1:63" x14ac:dyDescent="0.3">
      <c r="A88" s="375">
        <v>15051</v>
      </c>
      <c r="B88" s="376" t="s">
        <v>1082</v>
      </c>
      <c r="C88" s="377" t="s">
        <v>263</v>
      </c>
      <c r="D88" s="378">
        <v>9.8000000000000007</v>
      </c>
      <c r="E88" s="305"/>
      <c r="F88" s="379"/>
      <c r="G88" s="379" t="s">
        <v>889</v>
      </c>
      <c r="H88" s="380">
        <v>47</v>
      </c>
      <c r="I88" s="307">
        <v>103003</v>
      </c>
      <c r="J88" s="308">
        <v>9.8000000000000007</v>
      </c>
      <c r="K88" s="381">
        <v>4</v>
      </c>
      <c r="L88" s="382">
        <f>IF(tabItens[[#This Row],[Média]] &gt; 0, tabItens[[#This Row],[QTDE ATUAL]] / tabItens[[#This Row],[Média]],999.9)</f>
        <v>282</v>
      </c>
      <c r="M88" s="383">
        <v>0</v>
      </c>
      <c r="N88" s="384">
        <f>tabItens[[#This Row],[VALOR UNIT.]] * tabItens[[#This Row],[LC]]</f>
        <v>0</v>
      </c>
      <c r="O88" s="385" t="s">
        <v>2103</v>
      </c>
      <c r="P88" s="386"/>
      <c r="Q88" s="387"/>
      <c r="R88" s="312"/>
      <c r="S88" s="388"/>
      <c r="T88" s="389">
        <f>ROUNDDOWN(IFERROR(tabItens[[#This Row],[ATA DT.VALID.]] - $D$1,0) / 30,0)</f>
        <v>-1474</v>
      </c>
      <c r="U88" s="302" t="s">
        <v>1003</v>
      </c>
      <c r="V88" s="318">
        <v>1</v>
      </c>
      <c r="W88" s="390" t="s">
        <v>2076</v>
      </c>
      <c r="X88" s="391">
        <v>61</v>
      </c>
      <c r="Y88" s="392">
        <v>11</v>
      </c>
      <c r="Z88" s="393"/>
      <c r="AA88" s="394"/>
      <c r="AB88" s="395"/>
      <c r="AC88" s="395"/>
      <c r="AD88" s="394"/>
      <c r="AE88" s="395"/>
      <c r="AF88" s="317"/>
      <c r="AG88" s="396" t="s">
        <v>2072</v>
      </c>
      <c r="AH88" s="397"/>
      <c r="AI88" s="317">
        <v>0</v>
      </c>
      <c r="AJ88" s="397">
        <v>44312</v>
      </c>
      <c r="AK88" s="326" t="s">
        <v>889</v>
      </c>
      <c r="AL88" s="326">
        <v>44579</v>
      </c>
      <c r="AM88" s="316"/>
      <c r="AN88" s="305"/>
      <c r="AO88" s="327" t="str">
        <f>_xlfn.IFNA(IF(VLOOKUP(tabItens[[#This Row],[CÓDIGO]],tabExcluirDoEstoque[#Data],1,FALSE),"sim",""),"")</f>
        <v/>
      </c>
      <c r="AP88" s="398" t="str">
        <f ca="1">IF(OR(ISBLANK(tabItens[[#This Row],[ATA DT.VALID.]]),tabItens[[#This Row],[ATA DT.VALID.]]="",tabItens[[#This Row],[ATA DT.VALID.]]=" "),"",IF(TYPE(tabItens[[#This Row],[ATA DT.VALID.]])=1,ROUNDUP((tabItens[[#This Row],[ATA DT.VALID.]]-TODAY())/7,0),""))</f>
        <v/>
      </c>
      <c r="AQ88" s="399">
        <v>0</v>
      </c>
      <c r="AR88" s="400" t="str">
        <f>IF(ISBLANK(tabItens[[#This Row],[CÓDIGO]]),"",IFERROR(VLOOKUP(tabItens[[#This Row],[CÓDIGO]],Consumo!$C$2:$AC$862,26,FALSE),0))</f>
        <v>09.2023</v>
      </c>
      <c r="AS88" s="401">
        <f>SUMIF(Consumo!$C$3:$C$862,tabItens[[#This Row],[CÓDIGO]],Consumo!$N$3:$N$862) + SUMIF(Consumo!$C$3:$C$862,tabItens[[#This Row],[CÓDIGO]],Consumo!$O$3:$O$862) + SUMIF(Consumo!$C$3:$C$862,tabItens[[#This Row],[CÓDIGO]],Consumo!$P$3:$P$862) + SUMIF(Consumo!$C$3:$C$862,tabItens[[#This Row],[CÓDIGO]],Consumo!$Q$3:$Q$862)</f>
        <v>4</v>
      </c>
      <c r="AT88" s="401">
        <f>SUMIF(Consumo!$C$3:$C$862,tabItens[[#This Row],[CÓDIGO]],Consumo!$Z$3:$Z$862)</f>
        <v>4</v>
      </c>
      <c r="AU88" s="402">
        <f>SUMIF(Consumo!$C$3:$C$862,tabItens[[#This Row],[CÓDIGO]],Consumo!$AA$3:$AA$862)</f>
        <v>4</v>
      </c>
      <c r="AV88" s="403">
        <f>SUMIF(Consumo!$C$3:$C$862,tabItens[[#This Row],[CÓDIGO]],Consumo!$Y$3:$Y$862)</f>
        <v>0.16666666666666666</v>
      </c>
      <c r="AW88" s="380">
        <f>tabItens[[#This Row],[QTDE ATUAL]] + tabItens[[#This Row],[RC QTDE]] + tabItens[[#This Row],[AF SALDO]] + tabItens[[#This Row],[Recentes]]</f>
        <v>47</v>
      </c>
      <c r="AX88" s="404">
        <v>2</v>
      </c>
      <c r="AY88" s="404">
        <v>4</v>
      </c>
      <c r="AZ88" s="404">
        <f>IF(ISBLANK(tabItens[[#This Row],[CÓDIGO]]),"",tabItens[[#This Row],[PontoMês]] * (AZ$2+tabItens[[#This Row],[PontoQtM]]))</f>
        <v>8</v>
      </c>
      <c r="BA88" s="403">
        <f>tabItens[[#This Row],[PontoPed]] - tabItens[[#This Row],[Saldo]] + (1/10)</f>
        <v>-38.9</v>
      </c>
      <c r="BB88" s="403">
        <f xml:space="preserve"> tabItens[[#This Row],[PontoMês]] * BB$2 - tabItens[[#This Row],[QTDE ATUAL]] - (1/10)</f>
        <v>-45.1</v>
      </c>
      <c r="BC88" s="335">
        <f>IF( tabItens[[#This Row],[PontoPed]]&gt;0, IF(tabItens[[#This Row],[PontoPed]]&lt;1, 1, IF( tabItens[[#This Row],[Saldo]]&gt;tabItens[[#This Row],[PontoPed]], 0, (tabItens[[#This Row],[PontoPed]]-tabItens[[#This Row],[Saldo]])/tabItens[[#This Row],[PontoPed]] ) ), 0 )</f>
        <v>0</v>
      </c>
      <c r="BD88" s="405">
        <f>ROUNDDOWN(IF( OR( AND(tabItens[[#This Row],[PontoPed]]&lt;tabItens[[#This Row],[Saldo]],tabItens[[#This Row],[Saldo]]&gt;0), tabItens[[#This Row],[PontoPed]]=0), 99, IF(AND(tabItens[[#This Row],[Saldo]]=0,tabItens[[#This Row],[PontoPed]]&gt;0), 0, (1-tabItens[[#This Row],[PctAb]])*10 ) ),0)</f>
        <v>99</v>
      </c>
      <c r="BE88" s="406">
        <f>MAX(ROUNDDOWN( IF(tabItens[[#This Row],[Abaixo]] &gt; 0,   tabItens[[#This Row],[Abaixo]] + (tabItens[[#This Row],[PontoMês]] * IF( OR( ISBLANK(tabItens[[#This Row],[ATA Nº/ANO]]), tabItens[[#This Row],[ATA Nº/ANO]] = ""),BE$2,BE$1)),0),0),0)</f>
        <v>0</v>
      </c>
      <c r="BF8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 s="338">
        <f>SUMIF(Consumo!$C$3:$C$862,tabItens[[#This Row],[CÓDIGO]],Consumo!$E$3:$E$862)</f>
        <v>0</v>
      </c>
      <c r="BH88" s="339">
        <f>IF(AND(tabItens[[#This Row],[Pend]] &gt; 0,tabItens[[#This Row],[Consumo]] &lt;&gt; 0), tabItens[[#This Row],[Pend]] / tabItens[[#This Row],[Consumo]], 0 )</f>
        <v>0</v>
      </c>
      <c r="BI88" s="338"/>
      <c r="BJ88" s="407"/>
      <c r="BK88" s="408" t="s">
        <v>2086</v>
      </c>
    </row>
    <row r="89" spans="1:63" x14ac:dyDescent="0.3">
      <c r="A89" s="375">
        <v>63031</v>
      </c>
      <c r="B89" s="376" t="s">
        <v>1358</v>
      </c>
      <c r="C89" s="377" t="s">
        <v>263</v>
      </c>
      <c r="D89" s="378">
        <v>3.2</v>
      </c>
      <c r="E89" s="305"/>
      <c r="F89" s="379"/>
      <c r="G89" s="379" t="s">
        <v>889</v>
      </c>
      <c r="H89" s="380">
        <v>0</v>
      </c>
      <c r="I89" s="307">
        <v>103003</v>
      </c>
      <c r="J89" s="308">
        <v>3.2</v>
      </c>
      <c r="K89" s="381">
        <v>1125</v>
      </c>
      <c r="L89" s="382">
        <f>IF(tabItens[[#This Row],[Média]] &gt; 0, tabItens[[#This Row],[QTDE ATUAL]] / tabItens[[#This Row],[Média]],999.9)</f>
        <v>0</v>
      </c>
      <c r="M89" s="383">
        <v>0</v>
      </c>
      <c r="N89" s="384">
        <f>tabItens[[#This Row],[VALOR UNIT.]] * tabItens[[#This Row],[LC]]</f>
        <v>0</v>
      </c>
      <c r="O89" s="385" t="s">
        <v>2103</v>
      </c>
      <c r="P89" s="386"/>
      <c r="Q89" s="387"/>
      <c r="R89" s="312"/>
      <c r="S89" s="388"/>
      <c r="T89" s="389">
        <f>ROUNDDOWN(IFERROR(tabItens[[#This Row],[ATA DT.VALID.]] - $D$1,0) / 30,0)</f>
        <v>-1474</v>
      </c>
      <c r="U89" s="302" t="s">
        <v>1003</v>
      </c>
      <c r="V89" s="318">
        <v>1</v>
      </c>
      <c r="W89" s="390" t="s">
        <v>2076</v>
      </c>
      <c r="X89" s="391">
        <v>61</v>
      </c>
      <c r="Y89" s="392">
        <v>11</v>
      </c>
      <c r="Z89" s="393"/>
      <c r="AA89" s="394"/>
      <c r="AB89" s="395"/>
      <c r="AC89" s="395"/>
      <c r="AD89" s="394"/>
      <c r="AE89" s="395"/>
      <c r="AF89" s="317"/>
      <c r="AG89" s="396" t="s">
        <v>2072</v>
      </c>
      <c r="AH89" s="397"/>
      <c r="AI89" s="317">
        <v>476</v>
      </c>
      <c r="AJ89" s="397">
        <v>45166</v>
      </c>
      <c r="AK89" s="326" t="s">
        <v>889</v>
      </c>
      <c r="AL89" s="326">
        <v>45145</v>
      </c>
      <c r="AM89" s="316"/>
      <c r="AN89" s="305"/>
      <c r="AO89" s="327" t="str">
        <f>_xlfn.IFNA(IF(VLOOKUP(tabItens[[#This Row],[CÓDIGO]],tabExcluirDoEstoque[#Data],1,FALSE),"sim",""),"")</f>
        <v/>
      </c>
      <c r="AP89" s="398" t="str">
        <f ca="1">IF(OR(ISBLANK(tabItens[[#This Row],[ATA DT.VALID.]]),tabItens[[#This Row],[ATA DT.VALID.]]="",tabItens[[#This Row],[ATA DT.VALID.]]=" "),"",IF(TYPE(tabItens[[#This Row],[ATA DT.VALID.]])=1,ROUNDUP((tabItens[[#This Row],[ATA DT.VALID.]]-TODAY())/7,0),""))</f>
        <v/>
      </c>
      <c r="AQ89" s="399">
        <v>0</v>
      </c>
      <c r="AR89" s="400" t="str">
        <f>IF(ISBLANK(tabItens[[#This Row],[CÓDIGO]]),"",IFERROR(VLOOKUP(tabItens[[#This Row],[CÓDIGO]],Consumo!$C$2:$AC$862,26,FALSE),0))</f>
        <v>09.2023</v>
      </c>
      <c r="AS89" s="401">
        <f>SUMIF(Consumo!$C$3:$C$862,tabItens[[#This Row],[CÓDIGO]],Consumo!$N$3:$N$862) + SUMIF(Consumo!$C$3:$C$862,tabItens[[#This Row],[CÓDIGO]],Consumo!$O$3:$O$862) + SUMIF(Consumo!$C$3:$C$862,tabItens[[#This Row],[CÓDIGO]],Consumo!$P$3:$P$862) + SUMIF(Consumo!$C$3:$C$862,tabItens[[#This Row],[CÓDIGO]],Consumo!$Q$3:$Q$862)</f>
        <v>794</v>
      </c>
      <c r="AT89" s="401">
        <f>SUMIF(Consumo!$C$3:$C$862,tabItens[[#This Row],[CÓDIGO]],Consumo!$Z$3:$Z$862)</f>
        <v>1425</v>
      </c>
      <c r="AU89" s="402">
        <f>SUMIF(Consumo!$C$3:$C$862,tabItens[[#This Row],[CÓDIGO]],Consumo!$AA$3:$AA$862)</f>
        <v>542</v>
      </c>
      <c r="AV89" s="403">
        <f>SUMIF(Consumo!$C$3:$C$862,tabItens[[#This Row],[CÓDIGO]],Consumo!$Y$3:$Y$862)</f>
        <v>106.75</v>
      </c>
      <c r="AW89" s="380">
        <f>tabItens[[#This Row],[QTDE ATUAL]] + tabItens[[#This Row],[RC QTDE]] + tabItens[[#This Row],[AF SALDO]] + tabItens[[#This Row],[Recentes]]</f>
        <v>0</v>
      </c>
      <c r="AX89" s="404">
        <v>66</v>
      </c>
      <c r="AY89" s="404">
        <v>4</v>
      </c>
      <c r="AZ89" s="404">
        <f>IF(ISBLANK(tabItens[[#This Row],[CÓDIGO]]),"",tabItens[[#This Row],[PontoMês]] * (AZ$2+tabItens[[#This Row],[PontoQtM]]))</f>
        <v>264</v>
      </c>
      <c r="BA89" s="403">
        <f>tabItens[[#This Row],[PontoPed]] - tabItens[[#This Row],[Saldo]] + (1/10)</f>
        <v>264.10000000000002</v>
      </c>
      <c r="BB89" s="403">
        <f xml:space="preserve"> tabItens[[#This Row],[PontoMês]] * BB$2 - tabItens[[#This Row],[QTDE ATUAL]] - (1/10)</f>
        <v>65.900000000000006</v>
      </c>
      <c r="BC89" s="335">
        <f>IF( tabItens[[#This Row],[PontoPed]]&gt;0, IF(tabItens[[#This Row],[PontoPed]]&lt;1, 1, IF( tabItens[[#This Row],[Saldo]]&gt;tabItens[[#This Row],[PontoPed]], 0, (tabItens[[#This Row],[PontoPed]]-tabItens[[#This Row],[Saldo]])/tabItens[[#This Row],[PontoPed]] ) ), 0 )</f>
        <v>1</v>
      </c>
      <c r="BD89" s="405">
        <f>ROUNDDOWN(IF( OR( AND(tabItens[[#This Row],[PontoPed]]&lt;tabItens[[#This Row],[Saldo]],tabItens[[#This Row],[Saldo]]&gt;0), tabItens[[#This Row],[PontoPed]]=0), 99, IF(AND(tabItens[[#This Row],[Saldo]]=0,tabItens[[#This Row],[PontoPed]]&gt;0), 0, (1-tabItens[[#This Row],[PctAb]])*10 ) ),0)</f>
        <v>0</v>
      </c>
      <c r="BE89" s="406">
        <f>MAX(ROUNDDOWN( IF(tabItens[[#This Row],[Abaixo]] &gt; 0,   tabItens[[#This Row],[Abaixo]] + (tabItens[[#This Row],[PontoMês]] * IF( OR( ISBLANK(tabItens[[#This Row],[ATA Nº/ANO]]), tabItens[[#This Row],[ATA Nº/ANO]] = ""),BE$2,BE$1)),0),0),0)</f>
        <v>462</v>
      </c>
      <c r="BF8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 s="338">
        <f>SUMIF(Consumo!$C$3:$C$862,tabItens[[#This Row],[CÓDIGO]],Consumo!$E$3:$E$862)</f>
        <v>0</v>
      </c>
      <c r="BH89" s="339">
        <f>IF(AND(tabItens[[#This Row],[Pend]] &gt; 0,tabItens[[#This Row],[Consumo]] &lt;&gt; 0), tabItens[[#This Row],[Pend]] / tabItens[[#This Row],[Consumo]], 0 )</f>
        <v>0</v>
      </c>
      <c r="BI89" s="338"/>
      <c r="BJ89" s="407"/>
      <c r="BK89" s="408" t="s">
        <v>2086</v>
      </c>
    </row>
    <row r="90" spans="1:63" x14ac:dyDescent="0.3">
      <c r="A90" s="375">
        <v>13161</v>
      </c>
      <c r="B90" s="376" t="s">
        <v>1014</v>
      </c>
      <c r="C90" s="377" t="s">
        <v>263</v>
      </c>
      <c r="D90" s="378">
        <v>34.799999999999997</v>
      </c>
      <c r="E90" s="305"/>
      <c r="F90" s="379"/>
      <c r="G90" s="379" t="s">
        <v>889</v>
      </c>
      <c r="H90" s="380">
        <v>0</v>
      </c>
      <c r="I90" s="307">
        <v>103003</v>
      </c>
      <c r="J90" s="308">
        <v>34.799999999999997</v>
      </c>
      <c r="K90" s="381">
        <v>320</v>
      </c>
      <c r="L90" s="382">
        <f>IF(tabItens[[#This Row],[Média]] &gt; 0, tabItens[[#This Row],[QTDE ATUAL]] / tabItens[[#This Row],[Média]],999.9)</f>
        <v>0</v>
      </c>
      <c r="M90" s="383">
        <v>0</v>
      </c>
      <c r="N90" s="384">
        <f>tabItens[[#This Row],[VALOR UNIT.]] * tabItens[[#This Row],[LC]]</f>
        <v>0</v>
      </c>
      <c r="O90" s="385" t="s">
        <v>2103</v>
      </c>
      <c r="P90" s="386"/>
      <c r="Q90" s="387"/>
      <c r="R90" s="312"/>
      <c r="S90" s="388"/>
      <c r="T90" s="389">
        <f>ROUNDDOWN(IFERROR(tabItens[[#This Row],[ATA DT.VALID.]] - $D$1,0) / 30,0)</f>
        <v>-1474</v>
      </c>
      <c r="U90" s="302" t="s">
        <v>1015</v>
      </c>
      <c r="V90" s="318">
        <v>1</v>
      </c>
      <c r="W90" s="390" t="s">
        <v>2076</v>
      </c>
      <c r="X90" s="391">
        <v>61</v>
      </c>
      <c r="Y90" s="392">
        <v>14</v>
      </c>
      <c r="Z90" s="393"/>
      <c r="AA90" s="394"/>
      <c r="AB90" s="395"/>
      <c r="AC90" s="395"/>
      <c r="AD90" s="394"/>
      <c r="AE90" s="395"/>
      <c r="AF90" s="317"/>
      <c r="AG90" s="396" t="s">
        <v>2072</v>
      </c>
      <c r="AH90" s="397"/>
      <c r="AI90" s="317">
        <v>132</v>
      </c>
      <c r="AJ90" s="397">
        <v>45159</v>
      </c>
      <c r="AK90" s="326" t="s">
        <v>889</v>
      </c>
      <c r="AL90" s="326">
        <v>45145</v>
      </c>
      <c r="AM90" s="316"/>
      <c r="AN90" s="305"/>
      <c r="AO90" s="327" t="str">
        <f>_xlfn.IFNA(IF(VLOOKUP(tabItens[[#This Row],[CÓDIGO]],tabExcluirDoEstoque[#Data],1,FALSE),"sim",""),"")</f>
        <v/>
      </c>
      <c r="AP90" s="398" t="str">
        <f ca="1">IF(OR(ISBLANK(tabItens[[#This Row],[ATA DT.VALID.]]),tabItens[[#This Row],[ATA DT.VALID.]]="",tabItens[[#This Row],[ATA DT.VALID.]]=" "),"",IF(TYPE(tabItens[[#This Row],[ATA DT.VALID.]])=1,ROUNDUP((tabItens[[#This Row],[ATA DT.VALID.]]-TODAY())/7,0),""))</f>
        <v/>
      </c>
      <c r="AQ90" s="399">
        <v>0</v>
      </c>
      <c r="AR90" s="400" t="str">
        <f>IF(ISBLANK(tabItens[[#This Row],[CÓDIGO]]),"",IFERROR(VLOOKUP(tabItens[[#This Row],[CÓDIGO]],Consumo!$C$2:$AC$862,26,FALSE),0))</f>
        <v>09.2023</v>
      </c>
      <c r="AS90" s="401">
        <f>SUMIF(Consumo!$C$3:$C$862,tabItens[[#This Row],[CÓDIGO]],Consumo!$N$3:$N$862) + SUMIF(Consumo!$C$3:$C$862,tabItens[[#This Row],[CÓDIGO]],Consumo!$O$3:$O$862) + SUMIF(Consumo!$C$3:$C$862,tabItens[[#This Row],[CÓDIGO]],Consumo!$P$3:$P$862) + SUMIF(Consumo!$C$3:$C$862,tabItens[[#This Row],[CÓDIGO]],Consumo!$Q$3:$Q$862)</f>
        <v>186</v>
      </c>
      <c r="AT90" s="401">
        <f>SUMIF(Consumo!$C$3:$C$862,tabItens[[#This Row],[CÓDIGO]],Consumo!$Z$3:$Z$862)</f>
        <v>393</v>
      </c>
      <c r="AU90" s="402">
        <f>SUMIF(Consumo!$C$3:$C$862,tabItens[[#This Row],[CÓDIGO]],Consumo!$AA$3:$AA$862)</f>
        <v>124</v>
      </c>
      <c r="AV90" s="403">
        <f>SUMIF(Consumo!$C$3:$C$862,tabItens[[#This Row],[CÓDIGO]],Consumo!$Y$3:$Y$862)</f>
        <v>30.583333333333332</v>
      </c>
      <c r="AW90" s="380">
        <f>tabItens[[#This Row],[QTDE ATUAL]] + tabItens[[#This Row],[RC QTDE]] + tabItens[[#This Row],[AF SALDO]] + tabItens[[#This Row],[Recentes]]</f>
        <v>0</v>
      </c>
      <c r="AX90" s="404">
        <v>24</v>
      </c>
      <c r="AY90" s="404">
        <v>4</v>
      </c>
      <c r="AZ90" s="404">
        <f>IF(ISBLANK(tabItens[[#This Row],[CÓDIGO]]),"",tabItens[[#This Row],[PontoMês]] * (AZ$2+tabItens[[#This Row],[PontoQtM]]))</f>
        <v>96</v>
      </c>
      <c r="BA90" s="403">
        <f>tabItens[[#This Row],[PontoPed]] - tabItens[[#This Row],[Saldo]] + (1/10)</f>
        <v>96.1</v>
      </c>
      <c r="BB90" s="403">
        <f xml:space="preserve"> tabItens[[#This Row],[PontoMês]] * BB$2 - tabItens[[#This Row],[QTDE ATUAL]] - (1/10)</f>
        <v>23.9</v>
      </c>
      <c r="BC90" s="335">
        <f>IF( tabItens[[#This Row],[PontoPed]]&gt;0, IF(tabItens[[#This Row],[PontoPed]]&lt;1, 1, IF( tabItens[[#This Row],[Saldo]]&gt;tabItens[[#This Row],[PontoPed]], 0, (tabItens[[#This Row],[PontoPed]]-tabItens[[#This Row],[Saldo]])/tabItens[[#This Row],[PontoPed]] ) ), 0 )</f>
        <v>1</v>
      </c>
      <c r="BD90" s="405">
        <f>ROUNDDOWN(IF( OR( AND(tabItens[[#This Row],[PontoPed]]&lt;tabItens[[#This Row],[Saldo]],tabItens[[#This Row],[Saldo]]&gt;0), tabItens[[#This Row],[PontoPed]]=0), 99, IF(AND(tabItens[[#This Row],[Saldo]]=0,tabItens[[#This Row],[PontoPed]]&gt;0), 0, (1-tabItens[[#This Row],[PctAb]])*10 ) ),0)</f>
        <v>0</v>
      </c>
      <c r="BE90" s="406">
        <f>MAX(ROUNDDOWN( IF(tabItens[[#This Row],[Abaixo]] &gt; 0,   tabItens[[#This Row],[Abaixo]] + (tabItens[[#This Row],[PontoMês]] * IF( OR( ISBLANK(tabItens[[#This Row],[ATA Nº/ANO]]), tabItens[[#This Row],[ATA Nº/ANO]] = ""),BE$2,BE$1)),0),0),0)</f>
        <v>168</v>
      </c>
      <c r="BF9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 s="338">
        <f>SUMIF(Consumo!$C$3:$C$862,tabItens[[#This Row],[CÓDIGO]],Consumo!$E$3:$E$862)</f>
        <v>0</v>
      </c>
      <c r="BH90" s="339">
        <f>IF(AND(tabItens[[#This Row],[Pend]] &gt; 0,tabItens[[#This Row],[Consumo]] &lt;&gt; 0), tabItens[[#This Row],[Pend]] / tabItens[[#This Row],[Consumo]], 0 )</f>
        <v>0</v>
      </c>
      <c r="BI90" s="338"/>
      <c r="BJ90" s="407"/>
      <c r="BK90" s="408" t="s">
        <v>2086</v>
      </c>
    </row>
    <row r="91" spans="1:63" x14ac:dyDescent="0.3">
      <c r="A91" s="375">
        <v>88856</v>
      </c>
      <c r="B91" s="376" t="s">
        <v>1522</v>
      </c>
      <c r="C91" s="377" t="s">
        <v>345</v>
      </c>
      <c r="D91" s="378">
        <v>104.74</v>
      </c>
      <c r="E91" s="305"/>
      <c r="F91" s="379"/>
      <c r="G91" s="379" t="s">
        <v>889</v>
      </c>
      <c r="H91" s="380">
        <v>450</v>
      </c>
      <c r="I91" s="307">
        <v>103003</v>
      </c>
      <c r="J91" s="308">
        <v>104.74</v>
      </c>
      <c r="K91" s="381">
        <v>225</v>
      </c>
      <c r="L91" s="382">
        <f>IF(tabItens[[#This Row],[Média]] &gt; 0, tabItens[[#This Row],[QTDE ATUAL]] / tabItens[[#This Row],[Média]],999.9)</f>
        <v>24.884792626728114</v>
      </c>
      <c r="M91" s="383">
        <v>0</v>
      </c>
      <c r="N91" s="384">
        <f>tabItens[[#This Row],[VALOR UNIT.]] * tabItens[[#This Row],[LC]]</f>
        <v>0</v>
      </c>
      <c r="O91" s="385" t="s">
        <v>2156</v>
      </c>
      <c r="P91" s="386"/>
      <c r="Q91" s="387"/>
      <c r="R91" s="312"/>
      <c r="S91" s="388"/>
      <c r="T91" s="389">
        <f>ROUNDDOWN(IFERROR(tabItens[[#This Row],[ATA DT.VALID.]] - $D$1,0) / 30,0)</f>
        <v>-1474</v>
      </c>
      <c r="U91" s="302" t="s">
        <v>1337</v>
      </c>
      <c r="V91" s="318">
        <v>1</v>
      </c>
      <c r="W91" s="390" t="s">
        <v>2078</v>
      </c>
      <c r="X91" s="391">
        <v>69</v>
      </c>
      <c r="Y91" s="392">
        <v>2</v>
      </c>
      <c r="Z91" s="393"/>
      <c r="AA91" s="394"/>
      <c r="AB91" s="395"/>
      <c r="AC91" s="395"/>
      <c r="AD91" s="394"/>
      <c r="AE91" s="395"/>
      <c r="AF91" s="317"/>
      <c r="AG91" s="396" t="s">
        <v>2072</v>
      </c>
      <c r="AH91" s="397"/>
      <c r="AI91" s="317">
        <v>76</v>
      </c>
      <c r="AJ91" s="397">
        <v>44592</v>
      </c>
      <c r="AK91" s="326">
        <v>38664</v>
      </c>
      <c r="AL91" s="326">
        <v>44578</v>
      </c>
      <c r="AM91" s="316"/>
      <c r="AN91" s="305"/>
      <c r="AO91" s="327" t="str">
        <f>_xlfn.IFNA(IF(VLOOKUP(tabItens[[#This Row],[CÓDIGO]],tabExcluirDoEstoque[#Data],1,FALSE),"sim",""),"")</f>
        <v/>
      </c>
      <c r="AP91" s="398" t="str">
        <f ca="1">IF(OR(ISBLANK(tabItens[[#This Row],[ATA DT.VALID.]]),tabItens[[#This Row],[ATA DT.VALID.]]="",tabItens[[#This Row],[ATA DT.VALID.]]=" "),"",IF(TYPE(tabItens[[#This Row],[ATA DT.VALID.]])=1,ROUNDUP((tabItens[[#This Row],[ATA DT.VALID.]]-TODAY())/7,0),""))</f>
        <v/>
      </c>
      <c r="AQ91" s="399">
        <v>0</v>
      </c>
      <c r="AR91" s="400" t="str">
        <f>IF(ISBLANK(tabItens[[#This Row],[CÓDIGO]]),"",IFERROR(VLOOKUP(tabItens[[#This Row],[CÓDIGO]],Consumo!$C$2:$AC$862,26,FALSE),0))</f>
        <v>06.2023</v>
      </c>
      <c r="AS91" s="401">
        <f>SUMIF(Consumo!$C$3:$C$862,tabItens[[#This Row],[CÓDIGO]],Consumo!$N$3:$N$862) + SUMIF(Consumo!$C$3:$C$862,tabItens[[#This Row],[CÓDIGO]],Consumo!$O$3:$O$862) + SUMIF(Consumo!$C$3:$C$862,tabItens[[#This Row],[CÓDIGO]],Consumo!$P$3:$P$862) + SUMIF(Consumo!$C$3:$C$862,tabItens[[#This Row],[CÓDIGO]],Consumo!$Q$3:$Q$862)</f>
        <v>50</v>
      </c>
      <c r="AT91" s="401">
        <f>SUMIF(Consumo!$C$3:$C$862,tabItens[[#This Row],[CÓDIGO]],Consumo!$Z$3:$Z$862)</f>
        <v>230</v>
      </c>
      <c r="AU91" s="402">
        <f>SUMIF(Consumo!$C$3:$C$862,tabItens[[#This Row],[CÓDIGO]],Consumo!$AA$3:$AA$862)</f>
        <v>85</v>
      </c>
      <c r="AV91" s="403">
        <f>SUMIF(Consumo!$C$3:$C$862,tabItens[[#This Row],[CÓDIGO]],Consumo!$Y$3:$Y$862)</f>
        <v>18.083333333333332</v>
      </c>
      <c r="AW91" s="380">
        <f>tabItens[[#This Row],[QTDE ATUAL]] + tabItens[[#This Row],[RC QTDE]] + tabItens[[#This Row],[AF SALDO]] + tabItens[[#This Row],[Recentes]]</f>
        <v>450</v>
      </c>
      <c r="AX91" s="404">
        <v>20</v>
      </c>
      <c r="AY91" s="404">
        <v>4</v>
      </c>
      <c r="AZ91" s="404">
        <f>IF(ISBLANK(tabItens[[#This Row],[CÓDIGO]]),"",tabItens[[#This Row],[PontoMês]] * (AZ$2+tabItens[[#This Row],[PontoQtM]]))</f>
        <v>80</v>
      </c>
      <c r="BA91" s="403">
        <f>tabItens[[#This Row],[PontoPed]] - tabItens[[#This Row],[Saldo]] + (1/10)</f>
        <v>-369.9</v>
      </c>
      <c r="BB91" s="403">
        <f xml:space="preserve"> tabItens[[#This Row],[PontoMês]] * BB$2 - tabItens[[#This Row],[QTDE ATUAL]] - (1/10)</f>
        <v>-430.1</v>
      </c>
      <c r="BC91" s="335">
        <f>IF( tabItens[[#This Row],[PontoPed]]&gt;0, IF(tabItens[[#This Row],[PontoPed]]&lt;1, 1, IF( tabItens[[#This Row],[Saldo]]&gt;tabItens[[#This Row],[PontoPed]], 0, (tabItens[[#This Row],[PontoPed]]-tabItens[[#This Row],[Saldo]])/tabItens[[#This Row],[PontoPed]] ) ), 0 )</f>
        <v>0</v>
      </c>
      <c r="BD91" s="405">
        <f>ROUNDDOWN(IF( OR( AND(tabItens[[#This Row],[PontoPed]]&lt;tabItens[[#This Row],[Saldo]],tabItens[[#This Row],[Saldo]]&gt;0), tabItens[[#This Row],[PontoPed]]=0), 99, IF(AND(tabItens[[#This Row],[Saldo]]=0,tabItens[[#This Row],[PontoPed]]&gt;0), 0, (1-tabItens[[#This Row],[PctAb]])*10 ) ),0)</f>
        <v>99</v>
      </c>
      <c r="BE91" s="406">
        <f>MAX(ROUNDDOWN( IF(tabItens[[#This Row],[Abaixo]] &gt; 0,   tabItens[[#This Row],[Abaixo]] + (tabItens[[#This Row],[PontoMês]] * IF( OR( ISBLANK(tabItens[[#This Row],[ATA Nº/ANO]]), tabItens[[#This Row],[ATA Nº/ANO]] = ""),BE$2,BE$1)),0),0),0)</f>
        <v>0</v>
      </c>
      <c r="BF9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 s="338">
        <f>SUMIF(Consumo!$C$3:$C$862,tabItens[[#This Row],[CÓDIGO]],Consumo!$E$3:$E$862)</f>
        <v>0</v>
      </c>
      <c r="BH91" s="339">
        <f>IF(AND(tabItens[[#This Row],[Pend]] &gt; 0,tabItens[[#This Row],[Consumo]] &lt;&gt; 0), tabItens[[#This Row],[Pend]] / tabItens[[#This Row],[Consumo]], 0 )</f>
        <v>0</v>
      </c>
      <c r="BI91" s="338"/>
      <c r="BJ91" s="407"/>
      <c r="BK91" s="408" t="s">
        <v>2086</v>
      </c>
    </row>
    <row r="92" spans="1:63" x14ac:dyDescent="0.3">
      <c r="A92" s="375">
        <v>66168</v>
      </c>
      <c r="B92" s="376" t="s">
        <v>1395</v>
      </c>
      <c r="C92" s="377" t="s">
        <v>345</v>
      </c>
      <c r="D92" s="378">
        <v>42</v>
      </c>
      <c r="E92" s="305"/>
      <c r="F92" s="379"/>
      <c r="G92" s="379" t="s">
        <v>889</v>
      </c>
      <c r="H92" s="380">
        <v>139</v>
      </c>
      <c r="I92" s="307">
        <v>103003</v>
      </c>
      <c r="J92" s="308">
        <v>42</v>
      </c>
      <c r="K92" s="381">
        <v>687</v>
      </c>
      <c r="L92" s="382">
        <f>IF(tabItens[[#This Row],[Média]] &gt; 0, tabItens[[#This Row],[QTDE ATUAL]] / tabItens[[#This Row],[Média]],999.9)</f>
        <v>2.4421669106881407</v>
      </c>
      <c r="M92" s="383">
        <v>0</v>
      </c>
      <c r="N92" s="384">
        <f>tabItens[[#This Row],[VALOR UNIT.]] * tabItens[[#This Row],[LC]]</f>
        <v>0</v>
      </c>
      <c r="O92" s="385" t="s">
        <v>2156</v>
      </c>
      <c r="P92" s="386"/>
      <c r="Q92" s="387"/>
      <c r="R92" s="312"/>
      <c r="S92" s="388"/>
      <c r="T92" s="389">
        <f>ROUNDDOWN(IFERROR(tabItens[[#This Row],[ATA DT.VALID.]] - $D$1,0) / 30,0)</f>
        <v>-1474</v>
      </c>
      <c r="U92" s="302" t="s">
        <v>1371</v>
      </c>
      <c r="V92" s="318">
        <v>1</v>
      </c>
      <c r="W92" s="390" t="s">
        <v>2078</v>
      </c>
      <c r="X92" s="391">
        <v>69</v>
      </c>
      <c r="Y92" s="392">
        <v>17</v>
      </c>
      <c r="Z92" s="393"/>
      <c r="AA92" s="394"/>
      <c r="AB92" s="395"/>
      <c r="AC92" s="395"/>
      <c r="AD92" s="394"/>
      <c r="AE92" s="395"/>
      <c r="AF92" s="317"/>
      <c r="AG92" s="396" t="s">
        <v>2072</v>
      </c>
      <c r="AH92" s="397"/>
      <c r="AI92" s="317">
        <v>258</v>
      </c>
      <c r="AJ92" s="397">
        <v>45148</v>
      </c>
      <c r="AK92" s="326" t="s">
        <v>889</v>
      </c>
      <c r="AL92" s="326">
        <v>45128</v>
      </c>
      <c r="AM92" s="316"/>
      <c r="AN92" s="305"/>
      <c r="AO92" s="327" t="str">
        <f>_xlfn.IFNA(IF(VLOOKUP(tabItens[[#This Row],[CÓDIGO]],tabExcluirDoEstoque[#Data],1,FALSE),"sim",""),"")</f>
        <v/>
      </c>
      <c r="AP92" s="398" t="str">
        <f ca="1">IF(OR(ISBLANK(tabItens[[#This Row],[ATA DT.VALID.]]),tabItens[[#This Row],[ATA DT.VALID.]]="",tabItens[[#This Row],[ATA DT.VALID.]]=" "),"",IF(TYPE(tabItens[[#This Row],[ATA DT.VALID.]])=1,ROUNDUP((tabItens[[#This Row],[ATA DT.VALID.]]-TODAY())/7,0),""))</f>
        <v/>
      </c>
      <c r="AQ92" s="399">
        <v>0</v>
      </c>
      <c r="AR92" s="400" t="str">
        <f>IF(ISBLANK(tabItens[[#This Row],[CÓDIGO]]),"",IFERROR(VLOOKUP(tabItens[[#This Row],[CÓDIGO]],Consumo!$C$2:$AC$862,26,FALSE),0))</f>
        <v>08.2023</v>
      </c>
      <c r="AS92" s="401">
        <f>SUMIF(Consumo!$C$3:$C$862,tabItens[[#This Row],[CÓDIGO]],Consumo!$N$3:$N$862) + SUMIF(Consumo!$C$3:$C$862,tabItens[[#This Row],[CÓDIGO]],Consumo!$O$3:$O$862) + SUMIF(Consumo!$C$3:$C$862,tabItens[[#This Row],[CÓDIGO]],Consumo!$P$3:$P$862) + SUMIF(Consumo!$C$3:$C$862,tabItens[[#This Row],[CÓDIGO]],Consumo!$Q$3:$Q$862)</f>
        <v>253</v>
      </c>
      <c r="AT92" s="401">
        <f>SUMIF(Consumo!$C$3:$C$862,tabItens[[#This Row],[CÓDIGO]],Consumo!$Z$3:$Z$862)</f>
        <v>687</v>
      </c>
      <c r="AU92" s="402">
        <f>SUMIF(Consumo!$C$3:$C$862,tabItens[[#This Row],[CÓDIGO]],Consumo!$AA$3:$AA$862)</f>
        <v>253</v>
      </c>
      <c r="AV92" s="403">
        <f>SUMIF(Consumo!$C$3:$C$862,tabItens[[#This Row],[CÓDIGO]],Consumo!$Y$3:$Y$862)</f>
        <v>56.916666666666664</v>
      </c>
      <c r="AW92" s="380">
        <f>tabItens[[#This Row],[QTDE ATUAL]] + tabItens[[#This Row],[RC QTDE]] + tabItens[[#This Row],[AF SALDO]] + tabItens[[#This Row],[Recentes]]</f>
        <v>139</v>
      </c>
      <c r="AX92" s="404">
        <v>74</v>
      </c>
      <c r="AY92" s="404">
        <v>4</v>
      </c>
      <c r="AZ92" s="404">
        <f>IF(ISBLANK(tabItens[[#This Row],[CÓDIGO]]),"",tabItens[[#This Row],[PontoMês]] * (AZ$2+tabItens[[#This Row],[PontoQtM]]))</f>
        <v>296</v>
      </c>
      <c r="BA92" s="403">
        <f>tabItens[[#This Row],[PontoPed]] - tabItens[[#This Row],[Saldo]] + (1/10)</f>
        <v>157.1</v>
      </c>
      <c r="BB92" s="403">
        <f xml:space="preserve"> tabItens[[#This Row],[PontoMês]] * BB$2 - tabItens[[#This Row],[QTDE ATUAL]] - (1/10)</f>
        <v>-65.099999999999994</v>
      </c>
      <c r="BC92" s="335">
        <f>IF( tabItens[[#This Row],[PontoPed]]&gt;0, IF(tabItens[[#This Row],[PontoPed]]&lt;1, 1, IF( tabItens[[#This Row],[Saldo]]&gt;tabItens[[#This Row],[PontoPed]], 0, (tabItens[[#This Row],[PontoPed]]-tabItens[[#This Row],[Saldo]])/tabItens[[#This Row],[PontoPed]] ) ), 0 )</f>
        <v>0.53040540540540537</v>
      </c>
      <c r="BD92" s="405">
        <f>ROUNDDOWN(IF( OR( AND(tabItens[[#This Row],[PontoPed]]&lt;tabItens[[#This Row],[Saldo]],tabItens[[#This Row],[Saldo]]&gt;0), tabItens[[#This Row],[PontoPed]]=0), 99, IF(AND(tabItens[[#This Row],[Saldo]]=0,tabItens[[#This Row],[PontoPed]]&gt;0), 0, (1-tabItens[[#This Row],[PctAb]])*10 ) ),0)</f>
        <v>4</v>
      </c>
      <c r="BE92" s="406">
        <f>MAX(ROUNDDOWN( IF(tabItens[[#This Row],[Abaixo]] &gt; 0,   tabItens[[#This Row],[Abaixo]] + (tabItens[[#This Row],[PontoMês]] * IF( OR( ISBLANK(tabItens[[#This Row],[ATA Nº/ANO]]), tabItens[[#This Row],[ATA Nº/ANO]] = ""),BE$2,BE$1)),0),0),0)</f>
        <v>379</v>
      </c>
      <c r="BF9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 s="338">
        <f>SUMIF(Consumo!$C$3:$C$862,tabItens[[#This Row],[CÓDIGO]],Consumo!$E$3:$E$862)</f>
        <v>0</v>
      </c>
      <c r="BH92" s="339">
        <f>IF(AND(tabItens[[#This Row],[Pend]] &gt; 0,tabItens[[#This Row],[Consumo]] &lt;&gt; 0), tabItens[[#This Row],[Pend]] / tabItens[[#This Row],[Consumo]], 0 )</f>
        <v>0</v>
      </c>
      <c r="BI92" s="338"/>
      <c r="BJ92" s="407"/>
      <c r="BK92" s="408" t="s">
        <v>2086</v>
      </c>
    </row>
    <row r="93" spans="1:63" x14ac:dyDescent="0.3">
      <c r="A93" s="375">
        <v>60517</v>
      </c>
      <c r="B93" s="376" t="s">
        <v>1351</v>
      </c>
      <c r="C93" s="377" t="s">
        <v>345</v>
      </c>
      <c r="D93" s="378">
        <v>75.56</v>
      </c>
      <c r="E93" s="305"/>
      <c r="F93" s="379"/>
      <c r="G93" s="379" t="s">
        <v>889</v>
      </c>
      <c r="H93" s="380">
        <v>1781</v>
      </c>
      <c r="I93" s="307">
        <v>103003</v>
      </c>
      <c r="J93" s="308">
        <v>75.56</v>
      </c>
      <c r="K93" s="381">
        <v>12</v>
      </c>
      <c r="L93" s="382">
        <f>IF(tabItens[[#This Row],[Média]] &gt; 0, tabItens[[#This Row],[QTDE ATUAL]] / tabItens[[#This Row],[Média]],999.9)</f>
        <v>2671.5</v>
      </c>
      <c r="M93" s="383">
        <v>0</v>
      </c>
      <c r="N93" s="384">
        <f>tabItens[[#This Row],[VALOR UNIT.]] * tabItens[[#This Row],[LC]]</f>
        <v>0</v>
      </c>
      <c r="O93" s="385" t="s">
        <v>2112</v>
      </c>
      <c r="P93" s="386"/>
      <c r="Q93" s="387"/>
      <c r="R93" s="312"/>
      <c r="S93" s="388"/>
      <c r="T93" s="389">
        <f>ROUNDDOWN(IFERROR(tabItens[[#This Row],[ATA DT.VALID.]] - $D$1,0) / 30,0)</f>
        <v>-1474</v>
      </c>
      <c r="U93" s="302" t="s">
        <v>1225</v>
      </c>
      <c r="V93" s="318">
        <v>1</v>
      </c>
      <c r="W93" s="390" t="s">
        <v>2071</v>
      </c>
      <c r="X93" s="391">
        <v>51</v>
      </c>
      <c r="Y93" s="392">
        <v>13</v>
      </c>
      <c r="Z93" s="393"/>
      <c r="AA93" s="394"/>
      <c r="AB93" s="395"/>
      <c r="AC93" s="395"/>
      <c r="AD93" s="394"/>
      <c r="AE93" s="395"/>
      <c r="AF93" s="317"/>
      <c r="AG93" s="396" t="s">
        <v>2072</v>
      </c>
      <c r="AH93" s="397"/>
      <c r="AI93" s="317">
        <v>72</v>
      </c>
      <c r="AJ93" s="397">
        <v>44505</v>
      </c>
      <c r="AK93" s="326" t="s">
        <v>889</v>
      </c>
      <c r="AL93" s="326">
        <v>44882</v>
      </c>
      <c r="AM93" s="316"/>
      <c r="AN93" s="305"/>
      <c r="AO93" s="327" t="str">
        <f>_xlfn.IFNA(IF(VLOOKUP(tabItens[[#This Row],[CÓDIGO]],tabExcluirDoEstoque[#Data],1,FALSE),"sim",""),"")</f>
        <v/>
      </c>
      <c r="AP93" s="398" t="str">
        <f ca="1">IF(OR(ISBLANK(tabItens[[#This Row],[ATA DT.VALID.]]),tabItens[[#This Row],[ATA DT.VALID.]]="",tabItens[[#This Row],[ATA DT.VALID.]]=" "),"",IF(TYPE(tabItens[[#This Row],[ATA DT.VALID.]])=1,ROUNDUP((tabItens[[#This Row],[ATA DT.VALID.]]-TODAY())/7,0),""))</f>
        <v/>
      </c>
      <c r="AQ93" s="399">
        <v>0</v>
      </c>
      <c r="AR93" s="400" t="str">
        <f>IF(ISBLANK(tabItens[[#This Row],[CÓDIGO]]),"",IFERROR(VLOOKUP(tabItens[[#This Row],[CÓDIGO]],Consumo!$C$2:$AC$862,26,FALSE),0))</f>
        <v>05.2023</v>
      </c>
      <c r="AS93" s="401">
        <f>SUMIF(Consumo!$C$3:$C$862,tabItens[[#This Row],[CÓDIGO]],Consumo!$N$3:$N$862) + SUMIF(Consumo!$C$3:$C$862,tabItens[[#This Row],[CÓDIGO]],Consumo!$O$3:$O$862) + SUMIF(Consumo!$C$3:$C$862,tabItens[[#This Row],[CÓDIGO]],Consumo!$P$3:$P$862) + SUMIF(Consumo!$C$3:$C$862,tabItens[[#This Row],[CÓDIGO]],Consumo!$Q$3:$Q$862)</f>
        <v>0</v>
      </c>
      <c r="AT93" s="401">
        <f>SUMIF(Consumo!$C$3:$C$862,tabItens[[#This Row],[CÓDIGO]],Consumo!$Z$3:$Z$862)</f>
        <v>12</v>
      </c>
      <c r="AU93" s="402">
        <f>SUMIF(Consumo!$C$3:$C$862,tabItens[[#This Row],[CÓDIGO]],Consumo!$AA$3:$AA$862)</f>
        <v>10</v>
      </c>
      <c r="AV93" s="403">
        <f>SUMIF(Consumo!$C$3:$C$862,tabItens[[#This Row],[CÓDIGO]],Consumo!$Y$3:$Y$862)</f>
        <v>0.66666666666666663</v>
      </c>
      <c r="AW93" s="380">
        <f>tabItens[[#This Row],[QTDE ATUAL]] + tabItens[[#This Row],[RC QTDE]] + tabItens[[#This Row],[AF SALDO]] + tabItens[[#This Row],[Recentes]]</f>
        <v>1781</v>
      </c>
      <c r="AX93" s="404">
        <v>30</v>
      </c>
      <c r="AY93" s="404">
        <v>4</v>
      </c>
      <c r="AZ93" s="404">
        <f>IF(ISBLANK(tabItens[[#This Row],[CÓDIGO]]),"",tabItens[[#This Row],[PontoMês]] * (AZ$2+tabItens[[#This Row],[PontoQtM]]))</f>
        <v>120</v>
      </c>
      <c r="BA93" s="403">
        <f>tabItens[[#This Row],[PontoPed]] - tabItens[[#This Row],[Saldo]] + (1/10)</f>
        <v>-1660.9</v>
      </c>
      <c r="BB93" s="403">
        <f xml:space="preserve"> tabItens[[#This Row],[PontoMês]] * BB$2 - tabItens[[#This Row],[QTDE ATUAL]] - (1/10)</f>
        <v>-1751.1</v>
      </c>
      <c r="BC93" s="335">
        <f>IF( tabItens[[#This Row],[PontoPed]]&gt;0, IF(tabItens[[#This Row],[PontoPed]]&lt;1, 1, IF( tabItens[[#This Row],[Saldo]]&gt;tabItens[[#This Row],[PontoPed]], 0, (tabItens[[#This Row],[PontoPed]]-tabItens[[#This Row],[Saldo]])/tabItens[[#This Row],[PontoPed]] ) ), 0 )</f>
        <v>0</v>
      </c>
      <c r="BD93" s="405">
        <f>ROUNDDOWN(IF( OR( AND(tabItens[[#This Row],[PontoPed]]&lt;tabItens[[#This Row],[Saldo]],tabItens[[#This Row],[Saldo]]&gt;0), tabItens[[#This Row],[PontoPed]]=0), 99, IF(AND(tabItens[[#This Row],[Saldo]]=0,tabItens[[#This Row],[PontoPed]]&gt;0), 0, (1-tabItens[[#This Row],[PctAb]])*10 ) ),0)</f>
        <v>99</v>
      </c>
      <c r="BE93" s="406">
        <f>MAX(ROUNDDOWN( IF(tabItens[[#This Row],[Abaixo]] &gt; 0,   tabItens[[#This Row],[Abaixo]] + (tabItens[[#This Row],[PontoMês]] * IF( OR( ISBLANK(tabItens[[#This Row],[ATA Nº/ANO]]), tabItens[[#This Row],[ATA Nº/ANO]] = ""),BE$2,BE$1)),0),0),0)</f>
        <v>0</v>
      </c>
      <c r="BF9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3" s="338">
        <f>SUMIF(Consumo!$C$3:$C$862,tabItens[[#This Row],[CÓDIGO]],Consumo!$E$3:$E$862)</f>
        <v>0</v>
      </c>
      <c r="BH93" s="339">
        <f>IF(AND(tabItens[[#This Row],[Pend]] &gt; 0,tabItens[[#This Row],[Consumo]] &lt;&gt; 0), tabItens[[#This Row],[Pend]] / tabItens[[#This Row],[Consumo]], 0 )</f>
        <v>0</v>
      </c>
      <c r="BI93" s="338"/>
      <c r="BJ93" s="407"/>
      <c r="BK93" s="408" t="s">
        <v>2086</v>
      </c>
    </row>
    <row r="94" spans="1:63" x14ac:dyDescent="0.3">
      <c r="A94" s="375">
        <v>87348</v>
      </c>
      <c r="B94" s="376" t="s">
        <v>1496</v>
      </c>
      <c r="C94" s="377" t="s">
        <v>345</v>
      </c>
      <c r="D94" s="378">
        <v>16.32</v>
      </c>
      <c r="E94" s="305"/>
      <c r="F94" s="379"/>
      <c r="G94" s="379" t="s">
        <v>889</v>
      </c>
      <c r="H94" s="380">
        <v>832</v>
      </c>
      <c r="I94" s="307">
        <v>103003</v>
      </c>
      <c r="J94" s="308">
        <v>16.32</v>
      </c>
      <c r="K94" s="381">
        <v>35</v>
      </c>
      <c r="L94" s="382">
        <f>IF(tabItens[[#This Row],[Média]] &gt; 0, tabItens[[#This Row],[QTDE ATUAL]] / tabItens[[#This Row],[Média]],999.9)</f>
        <v>332.8</v>
      </c>
      <c r="M94" s="383">
        <v>0</v>
      </c>
      <c r="N94" s="384">
        <f>tabItens[[#This Row],[VALOR UNIT.]] * tabItens[[#This Row],[LC]]</f>
        <v>0</v>
      </c>
      <c r="O94" s="385" t="s">
        <v>2112</v>
      </c>
      <c r="P94" s="386"/>
      <c r="Q94" s="387"/>
      <c r="R94" s="312"/>
      <c r="S94" s="388"/>
      <c r="T94" s="389">
        <f>ROUNDDOWN(IFERROR(tabItens[[#This Row],[ATA DT.VALID.]] - $D$1,0) / 30,0)</f>
        <v>-1474</v>
      </c>
      <c r="U94" s="302" t="s">
        <v>1225</v>
      </c>
      <c r="V94" s="318">
        <v>1</v>
      </c>
      <c r="W94" s="390" t="s">
        <v>2071</v>
      </c>
      <c r="X94" s="391">
        <v>51</v>
      </c>
      <c r="Y94" s="392">
        <v>13</v>
      </c>
      <c r="Z94" s="393"/>
      <c r="AA94" s="394"/>
      <c r="AB94" s="395"/>
      <c r="AC94" s="395"/>
      <c r="AD94" s="394"/>
      <c r="AE94" s="395"/>
      <c r="AF94" s="317"/>
      <c r="AG94" s="396" t="s">
        <v>2072</v>
      </c>
      <c r="AH94" s="397"/>
      <c r="AI94" s="317">
        <v>12</v>
      </c>
      <c r="AJ94" s="397">
        <v>43852</v>
      </c>
      <c r="AK94" s="326">
        <v>38583</v>
      </c>
      <c r="AL94" s="326">
        <v>44005</v>
      </c>
      <c r="AM94" s="316"/>
      <c r="AN94" s="305"/>
      <c r="AO94" s="327" t="str">
        <f>_xlfn.IFNA(IF(VLOOKUP(tabItens[[#This Row],[CÓDIGO]],tabExcluirDoEstoque[#Data],1,FALSE),"sim",""),"")</f>
        <v/>
      </c>
      <c r="AP94" s="398" t="str">
        <f ca="1">IF(OR(ISBLANK(tabItens[[#This Row],[ATA DT.VALID.]]),tabItens[[#This Row],[ATA DT.VALID.]]="",tabItens[[#This Row],[ATA DT.VALID.]]=" "),"",IF(TYPE(tabItens[[#This Row],[ATA DT.VALID.]])=1,ROUNDUP((tabItens[[#This Row],[ATA DT.VALID.]]-TODAY())/7,0),""))</f>
        <v/>
      </c>
      <c r="AQ94" s="399">
        <v>0</v>
      </c>
      <c r="AR94" s="400" t="str">
        <f>IF(ISBLANK(tabItens[[#This Row],[CÓDIGO]]),"",IFERROR(VLOOKUP(tabItens[[#This Row],[CÓDIGO]],Consumo!$C$2:$AC$862,26,FALSE),0))</f>
        <v>03.2023</v>
      </c>
      <c r="AS94" s="401">
        <f>SUMIF(Consumo!$C$3:$C$862,tabItens[[#This Row],[CÓDIGO]],Consumo!$N$3:$N$862) + SUMIF(Consumo!$C$3:$C$862,tabItens[[#This Row],[CÓDIGO]],Consumo!$O$3:$O$862) + SUMIF(Consumo!$C$3:$C$862,tabItens[[#This Row],[CÓDIGO]],Consumo!$P$3:$P$862) + SUMIF(Consumo!$C$3:$C$862,tabItens[[#This Row],[CÓDIGO]],Consumo!$Q$3:$Q$862)</f>
        <v>0</v>
      </c>
      <c r="AT94" s="401">
        <f>SUMIF(Consumo!$C$3:$C$862,tabItens[[#This Row],[CÓDIGO]],Consumo!$Z$3:$Z$862)</f>
        <v>35</v>
      </c>
      <c r="AU94" s="402">
        <f>SUMIF(Consumo!$C$3:$C$862,tabItens[[#This Row],[CÓDIGO]],Consumo!$AA$3:$AA$862)</f>
        <v>20</v>
      </c>
      <c r="AV94" s="403">
        <f>SUMIF(Consumo!$C$3:$C$862,tabItens[[#This Row],[CÓDIGO]],Consumo!$Y$3:$Y$862)</f>
        <v>2.5</v>
      </c>
      <c r="AW94" s="380">
        <f>tabItens[[#This Row],[QTDE ATUAL]] + tabItens[[#This Row],[RC QTDE]] + tabItens[[#This Row],[AF SALDO]] + tabItens[[#This Row],[Recentes]]</f>
        <v>832</v>
      </c>
      <c r="AX94" s="404">
        <v>42</v>
      </c>
      <c r="AY94" s="404">
        <v>4</v>
      </c>
      <c r="AZ94" s="404">
        <f>IF(ISBLANK(tabItens[[#This Row],[CÓDIGO]]),"",tabItens[[#This Row],[PontoMês]] * (AZ$2+tabItens[[#This Row],[PontoQtM]]))</f>
        <v>168</v>
      </c>
      <c r="BA94" s="403">
        <f>tabItens[[#This Row],[PontoPed]] - tabItens[[#This Row],[Saldo]] + (1/10)</f>
        <v>-663.9</v>
      </c>
      <c r="BB94" s="403">
        <f xml:space="preserve"> tabItens[[#This Row],[PontoMês]] * BB$2 - tabItens[[#This Row],[QTDE ATUAL]] - (1/10)</f>
        <v>-790.1</v>
      </c>
      <c r="BC94" s="335">
        <f>IF( tabItens[[#This Row],[PontoPed]]&gt;0, IF(tabItens[[#This Row],[PontoPed]]&lt;1, 1, IF( tabItens[[#This Row],[Saldo]]&gt;tabItens[[#This Row],[PontoPed]], 0, (tabItens[[#This Row],[PontoPed]]-tabItens[[#This Row],[Saldo]])/tabItens[[#This Row],[PontoPed]] ) ), 0 )</f>
        <v>0</v>
      </c>
      <c r="BD94" s="405">
        <f>ROUNDDOWN(IF( OR( AND(tabItens[[#This Row],[PontoPed]]&lt;tabItens[[#This Row],[Saldo]],tabItens[[#This Row],[Saldo]]&gt;0), tabItens[[#This Row],[PontoPed]]=0), 99, IF(AND(tabItens[[#This Row],[Saldo]]=0,tabItens[[#This Row],[PontoPed]]&gt;0), 0, (1-tabItens[[#This Row],[PctAb]])*10 ) ),0)</f>
        <v>99</v>
      </c>
      <c r="BE94" s="406">
        <f>MAX(ROUNDDOWN( IF(tabItens[[#This Row],[Abaixo]] &gt; 0,   tabItens[[#This Row],[Abaixo]] + (tabItens[[#This Row],[PontoMês]] * IF( OR( ISBLANK(tabItens[[#This Row],[ATA Nº/ANO]]), tabItens[[#This Row],[ATA Nº/ANO]] = ""),BE$2,BE$1)),0),0),0)</f>
        <v>0</v>
      </c>
      <c r="BF9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4" s="338">
        <f>SUMIF(Consumo!$C$3:$C$862,tabItens[[#This Row],[CÓDIGO]],Consumo!$E$3:$E$862)</f>
        <v>0</v>
      </c>
      <c r="BH94" s="339">
        <f>IF(AND(tabItens[[#This Row],[Pend]] &gt; 0,tabItens[[#This Row],[Consumo]] &lt;&gt; 0), tabItens[[#This Row],[Pend]] / tabItens[[#This Row],[Consumo]], 0 )</f>
        <v>0</v>
      </c>
      <c r="BI94" s="338"/>
      <c r="BJ94" s="407"/>
      <c r="BK94" s="408" t="s">
        <v>2086</v>
      </c>
    </row>
    <row r="95" spans="1:63" x14ac:dyDescent="0.3">
      <c r="A95" s="375">
        <v>13221</v>
      </c>
      <c r="B95" s="376" t="s">
        <v>1031</v>
      </c>
      <c r="C95" s="377" t="s">
        <v>263</v>
      </c>
      <c r="D95" s="378">
        <v>0.34</v>
      </c>
      <c r="E95" s="305"/>
      <c r="F95" s="379"/>
      <c r="G95" s="379" t="s">
        <v>889</v>
      </c>
      <c r="H95" s="380">
        <v>1794</v>
      </c>
      <c r="I95" s="307">
        <v>103003</v>
      </c>
      <c r="J95" s="308">
        <v>0.34</v>
      </c>
      <c r="K95" s="381">
        <v>2854</v>
      </c>
      <c r="L95" s="382">
        <f>IF(tabItens[[#This Row],[Média]] &gt; 0, tabItens[[#This Row],[QTDE ATUAL]] / tabItens[[#This Row],[Média]],999.9)</f>
        <v>6.7422486689633576</v>
      </c>
      <c r="M95" s="383">
        <v>0</v>
      </c>
      <c r="N95" s="384">
        <f>tabItens[[#This Row],[VALOR UNIT.]] * tabItens[[#This Row],[LC]]</f>
        <v>0</v>
      </c>
      <c r="O95" s="385" t="s">
        <v>2112</v>
      </c>
      <c r="P95" s="386"/>
      <c r="Q95" s="387"/>
      <c r="R95" s="312"/>
      <c r="S95" s="388"/>
      <c r="T95" s="389">
        <f>ROUNDDOWN(IFERROR(tabItens[[#This Row],[ATA DT.VALID.]] - $D$1,0) / 30,0)</f>
        <v>-1474</v>
      </c>
      <c r="U95" s="302" t="s">
        <v>1032</v>
      </c>
      <c r="V95" s="318">
        <v>1</v>
      </c>
      <c r="W95" s="390" t="s">
        <v>2071</v>
      </c>
      <c r="X95" s="391">
        <v>67</v>
      </c>
      <c r="Y95" s="392">
        <v>1</v>
      </c>
      <c r="Z95" s="393"/>
      <c r="AA95" s="394"/>
      <c r="AB95" s="395"/>
      <c r="AC95" s="395"/>
      <c r="AD95" s="394"/>
      <c r="AE95" s="395"/>
      <c r="AF95" s="317"/>
      <c r="AG95" s="396" t="s">
        <v>2072</v>
      </c>
      <c r="AH95" s="397"/>
      <c r="AI95" s="317">
        <v>1152</v>
      </c>
      <c r="AJ95" s="397">
        <v>43857</v>
      </c>
      <c r="AK95" s="326" t="s">
        <v>889</v>
      </c>
      <c r="AL95" s="326">
        <v>43826</v>
      </c>
      <c r="AM95" s="316"/>
      <c r="AN95" s="305"/>
      <c r="AO95" s="327" t="str">
        <f>_xlfn.IFNA(IF(VLOOKUP(tabItens[[#This Row],[CÓDIGO]],tabExcluirDoEstoque[#Data],1,FALSE),"sim",""),"")</f>
        <v/>
      </c>
      <c r="AP95" s="398" t="str">
        <f ca="1">IF(OR(ISBLANK(tabItens[[#This Row],[ATA DT.VALID.]]),tabItens[[#This Row],[ATA DT.VALID.]]="",tabItens[[#This Row],[ATA DT.VALID.]]=" "),"",IF(TYPE(tabItens[[#This Row],[ATA DT.VALID.]])=1,ROUNDUP((tabItens[[#This Row],[ATA DT.VALID.]]-TODAY())/7,0),""))</f>
        <v/>
      </c>
      <c r="AQ95" s="399">
        <v>0</v>
      </c>
      <c r="AR95" s="400" t="str">
        <f>IF(ISBLANK(tabItens[[#This Row],[CÓDIGO]]),"",IFERROR(VLOOKUP(tabItens[[#This Row],[CÓDIGO]],Consumo!$C$2:$AC$862,26,FALSE),0))</f>
        <v>08.2023</v>
      </c>
      <c r="AS95" s="401">
        <f>SUMIF(Consumo!$C$3:$C$862,tabItens[[#This Row],[CÓDIGO]],Consumo!$N$3:$N$862) + SUMIF(Consumo!$C$3:$C$862,tabItens[[#This Row],[CÓDIGO]],Consumo!$O$3:$O$862) + SUMIF(Consumo!$C$3:$C$862,tabItens[[#This Row],[CÓDIGO]],Consumo!$P$3:$P$862) + SUMIF(Consumo!$C$3:$C$862,tabItens[[#This Row],[CÓDIGO]],Consumo!$Q$3:$Q$862)</f>
        <v>1570</v>
      </c>
      <c r="AT95" s="401">
        <f>SUMIF(Consumo!$C$3:$C$862,tabItens[[#This Row],[CÓDIGO]],Consumo!$Z$3:$Z$862)</f>
        <v>3454</v>
      </c>
      <c r="AU95" s="402">
        <f>SUMIF(Consumo!$C$3:$C$862,tabItens[[#This Row],[CÓDIGO]],Consumo!$AA$3:$AA$862)</f>
        <v>1220</v>
      </c>
      <c r="AV95" s="403">
        <f>SUMIF(Consumo!$C$3:$C$862,tabItens[[#This Row],[CÓDIGO]],Consumo!$Y$3:$Y$862)</f>
        <v>266.08333333333331</v>
      </c>
      <c r="AW95" s="380">
        <f>tabItens[[#This Row],[QTDE ATUAL]] + tabItens[[#This Row],[RC QTDE]] + tabItens[[#This Row],[AF SALDO]] + tabItens[[#This Row],[Recentes]]</f>
        <v>1794</v>
      </c>
      <c r="AX95" s="404">
        <v>316</v>
      </c>
      <c r="AY95" s="404">
        <v>4</v>
      </c>
      <c r="AZ95" s="404">
        <f>IF(ISBLANK(tabItens[[#This Row],[CÓDIGO]]),"",tabItens[[#This Row],[PontoMês]] * (AZ$2+tabItens[[#This Row],[PontoQtM]]))</f>
        <v>1264</v>
      </c>
      <c r="BA95" s="403">
        <f>tabItens[[#This Row],[PontoPed]] - tabItens[[#This Row],[Saldo]] + (1/10)</f>
        <v>-529.9</v>
      </c>
      <c r="BB95" s="403">
        <f xml:space="preserve"> tabItens[[#This Row],[PontoMês]] * BB$2 - tabItens[[#This Row],[QTDE ATUAL]] - (1/10)</f>
        <v>-1478.1</v>
      </c>
      <c r="BC95" s="335">
        <f>IF( tabItens[[#This Row],[PontoPed]]&gt;0, IF(tabItens[[#This Row],[PontoPed]]&lt;1, 1, IF( tabItens[[#This Row],[Saldo]]&gt;tabItens[[#This Row],[PontoPed]], 0, (tabItens[[#This Row],[PontoPed]]-tabItens[[#This Row],[Saldo]])/tabItens[[#This Row],[PontoPed]] ) ), 0 )</f>
        <v>0</v>
      </c>
      <c r="BD95" s="405">
        <f>ROUNDDOWN(IF( OR( AND(tabItens[[#This Row],[PontoPed]]&lt;tabItens[[#This Row],[Saldo]],tabItens[[#This Row],[Saldo]]&gt;0), tabItens[[#This Row],[PontoPed]]=0), 99, IF(AND(tabItens[[#This Row],[Saldo]]=0,tabItens[[#This Row],[PontoPed]]&gt;0), 0, (1-tabItens[[#This Row],[PctAb]])*10 ) ),0)</f>
        <v>99</v>
      </c>
      <c r="BE95" s="406">
        <f>MAX(ROUNDDOWN( IF(tabItens[[#This Row],[Abaixo]] &gt; 0,   tabItens[[#This Row],[Abaixo]] + (tabItens[[#This Row],[PontoMês]] * IF( OR( ISBLANK(tabItens[[#This Row],[ATA Nº/ANO]]), tabItens[[#This Row],[ATA Nº/ANO]] = ""),BE$2,BE$1)),0),0),0)</f>
        <v>0</v>
      </c>
      <c r="BF9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5" s="338">
        <f>SUMIF(Consumo!$C$3:$C$862,tabItens[[#This Row],[CÓDIGO]],Consumo!$E$3:$E$862)</f>
        <v>0</v>
      </c>
      <c r="BH95" s="339">
        <f>IF(AND(tabItens[[#This Row],[Pend]] &gt; 0,tabItens[[#This Row],[Consumo]] &lt;&gt; 0), tabItens[[#This Row],[Pend]] / tabItens[[#This Row],[Consumo]], 0 )</f>
        <v>0</v>
      </c>
      <c r="BI95" s="338"/>
      <c r="BJ95" s="407"/>
      <c r="BK95" s="408" t="s">
        <v>2086</v>
      </c>
    </row>
    <row r="96" spans="1:63" x14ac:dyDescent="0.3">
      <c r="A96" s="375">
        <v>13222</v>
      </c>
      <c r="B96" s="376" t="s">
        <v>1033</v>
      </c>
      <c r="C96" s="377" t="s">
        <v>263</v>
      </c>
      <c r="D96" s="378">
        <v>0.92</v>
      </c>
      <c r="E96" s="305"/>
      <c r="F96" s="379"/>
      <c r="G96" s="379" t="s">
        <v>889</v>
      </c>
      <c r="H96" s="380">
        <v>1141</v>
      </c>
      <c r="I96" s="307">
        <v>103003</v>
      </c>
      <c r="J96" s="308">
        <v>0.92</v>
      </c>
      <c r="K96" s="381">
        <v>95</v>
      </c>
      <c r="L96" s="382">
        <f>IF(tabItens[[#This Row],[Média]] &gt; 0, tabItens[[#This Row],[QTDE ATUAL]] / tabItens[[#This Row],[Média]],999.9)</f>
        <v>166.97560975609755</v>
      </c>
      <c r="M96" s="383">
        <v>0</v>
      </c>
      <c r="N96" s="384">
        <f>tabItens[[#This Row],[VALOR UNIT.]] * tabItens[[#This Row],[LC]]</f>
        <v>0</v>
      </c>
      <c r="O96" s="385" t="s">
        <v>2112</v>
      </c>
      <c r="P96" s="386"/>
      <c r="Q96" s="387"/>
      <c r="R96" s="312"/>
      <c r="S96" s="388"/>
      <c r="T96" s="389">
        <f>ROUNDDOWN(IFERROR(tabItens[[#This Row],[ATA DT.VALID.]] - $D$1,0) / 30,0)</f>
        <v>-1474</v>
      </c>
      <c r="U96" s="302" t="s">
        <v>1032</v>
      </c>
      <c r="V96" s="318">
        <v>1</v>
      </c>
      <c r="W96" s="390" t="s">
        <v>2071</v>
      </c>
      <c r="X96" s="391">
        <v>67</v>
      </c>
      <c r="Y96" s="392">
        <v>1</v>
      </c>
      <c r="Z96" s="393"/>
      <c r="AA96" s="394"/>
      <c r="AB96" s="395"/>
      <c r="AC96" s="395"/>
      <c r="AD96" s="394"/>
      <c r="AE96" s="395"/>
      <c r="AF96" s="317"/>
      <c r="AG96" s="396" t="s">
        <v>2072</v>
      </c>
      <c r="AH96" s="397"/>
      <c r="AI96" s="317">
        <v>32</v>
      </c>
      <c r="AJ96" s="397">
        <v>44071</v>
      </c>
      <c r="AK96" s="326" t="s">
        <v>889</v>
      </c>
      <c r="AL96" s="326">
        <v>44040</v>
      </c>
      <c r="AM96" s="316"/>
      <c r="AN96" s="305"/>
      <c r="AO96" s="327" t="str">
        <f>_xlfn.IFNA(IF(VLOOKUP(tabItens[[#This Row],[CÓDIGO]],tabExcluirDoEstoque[#Data],1,FALSE),"sim",""),"")</f>
        <v/>
      </c>
      <c r="AP96" s="398" t="str">
        <f ca="1">IF(OR(ISBLANK(tabItens[[#This Row],[ATA DT.VALID.]]),tabItens[[#This Row],[ATA DT.VALID.]]="",tabItens[[#This Row],[ATA DT.VALID.]]=" "),"",IF(TYPE(tabItens[[#This Row],[ATA DT.VALID.]])=1,ROUNDUP((tabItens[[#This Row],[ATA DT.VALID.]]-TODAY())/7,0),""))</f>
        <v/>
      </c>
      <c r="AQ96" s="399">
        <v>0</v>
      </c>
      <c r="AR96" s="400" t="str">
        <f>IF(ISBLANK(tabItens[[#This Row],[CÓDIGO]]),"",IFERROR(VLOOKUP(tabItens[[#This Row],[CÓDIGO]],Consumo!$C$2:$AC$862,26,FALSE),0))</f>
        <v>04.2023</v>
      </c>
      <c r="AS96" s="401">
        <f>SUMIF(Consumo!$C$3:$C$862,tabItens[[#This Row],[CÓDIGO]],Consumo!$N$3:$N$862) + SUMIF(Consumo!$C$3:$C$862,tabItens[[#This Row],[CÓDIGO]],Consumo!$O$3:$O$862) + SUMIF(Consumo!$C$3:$C$862,tabItens[[#This Row],[CÓDIGO]],Consumo!$P$3:$P$862) + SUMIF(Consumo!$C$3:$C$862,tabItens[[#This Row],[CÓDIGO]],Consumo!$Q$3:$Q$862)</f>
        <v>0</v>
      </c>
      <c r="AT96" s="401">
        <f>SUMIF(Consumo!$C$3:$C$862,tabItens[[#This Row],[CÓDIGO]],Consumo!$Z$3:$Z$862)</f>
        <v>95</v>
      </c>
      <c r="AU96" s="402">
        <f>SUMIF(Consumo!$C$3:$C$862,tabItens[[#This Row],[CÓDIGO]],Consumo!$AA$3:$AA$862)</f>
        <v>50</v>
      </c>
      <c r="AV96" s="403">
        <f>SUMIF(Consumo!$C$3:$C$862,tabItens[[#This Row],[CÓDIGO]],Consumo!$Y$3:$Y$862)</f>
        <v>6.833333333333333</v>
      </c>
      <c r="AW96" s="380">
        <f>tabItens[[#This Row],[QTDE ATUAL]] + tabItens[[#This Row],[RC QTDE]] + tabItens[[#This Row],[AF SALDO]] + tabItens[[#This Row],[Recentes]]</f>
        <v>1141</v>
      </c>
      <c r="AX96" s="404">
        <v>27</v>
      </c>
      <c r="AY96" s="404">
        <v>4</v>
      </c>
      <c r="AZ96" s="404">
        <f>IF(ISBLANK(tabItens[[#This Row],[CÓDIGO]]),"",tabItens[[#This Row],[PontoMês]] * (AZ$2+tabItens[[#This Row],[PontoQtM]]))</f>
        <v>108</v>
      </c>
      <c r="BA96" s="403">
        <f>tabItens[[#This Row],[PontoPed]] - tabItens[[#This Row],[Saldo]] + (1/10)</f>
        <v>-1032.9000000000001</v>
      </c>
      <c r="BB96" s="403">
        <f xml:space="preserve"> tabItens[[#This Row],[PontoMês]] * BB$2 - tabItens[[#This Row],[QTDE ATUAL]] - (1/10)</f>
        <v>-1114.0999999999999</v>
      </c>
      <c r="BC96" s="335">
        <f>IF( tabItens[[#This Row],[PontoPed]]&gt;0, IF(tabItens[[#This Row],[PontoPed]]&lt;1, 1, IF( tabItens[[#This Row],[Saldo]]&gt;tabItens[[#This Row],[PontoPed]], 0, (tabItens[[#This Row],[PontoPed]]-tabItens[[#This Row],[Saldo]])/tabItens[[#This Row],[PontoPed]] ) ), 0 )</f>
        <v>0</v>
      </c>
      <c r="BD96" s="405">
        <f>ROUNDDOWN(IF( OR( AND(tabItens[[#This Row],[PontoPed]]&lt;tabItens[[#This Row],[Saldo]],tabItens[[#This Row],[Saldo]]&gt;0), tabItens[[#This Row],[PontoPed]]=0), 99, IF(AND(tabItens[[#This Row],[Saldo]]=0,tabItens[[#This Row],[PontoPed]]&gt;0), 0, (1-tabItens[[#This Row],[PctAb]])*10 ) ),0)</f>
        <v>99</v>
      </c>
      <c r="BE96" s="406">
        <f>MAX(ROUNDDOWN( IF(tabItens[[#This Row],[Abaixo]] &gt; 0,   tabItens[[#This Row],[Abaixo]] + (tabItens[[#This Row],[PontoMês]] * IF( OR( ISBLANK(tabItens[[#This Row],[ATA Nº/ANO]]), tabItens[[#This Row],[ATA Nº/ANO]] = ""),BE$2,BE$1)),0),0),0)</f>
        <v>0</v>
      </c>
      <c r="BF9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6" s="338">
        <f>SUMIF(Consumo!$C$3:$C$862,tabItens[[#This Row],[CÓDIGO]],Consumo!$E$3:$E$862)</f>
        <v>0</v>
      </c>
      <c r="BH96" s="339">
        <f>IF(AND(tabItens[[#This Row],[Pend]] &gt; 0,tabItens[[#This Row],[Consumo]] &lt;&gt; 0), tabItens[[#This Row],[Pend]] / tabItens[[#This Row],[Consumo]], 0 )</f>
        <v>0</v>
      </c>
      <c r="BI96" s="338"/>
      <c r="BJ96" s="407"/>
      <c r="BK96" s="408" t="s">
        <v>2086</v>
      </c>
    </row>
    <row r="97" spans="1:63" x14ac:dyDescent="0.3">
      <c r="A97" s="375">
        <v>37528</v>
      </c>
      <c r="B97" s="376" t="s">
        <v>1269</v>
      </c>
      <c r="C97" s="377" t="s">
        <v>263</v>
      </c>
      <c r="D97" s="378">
        <v>1.91</v>
      </c>
      <c r="E97" s="305"/>
      <c r="F97" s="379"/>
      <c r="G97" s="379" t="s">
        <v>889</v>
      </c>
      <c r="H97" s="380">
        <v>673</v>
      </c>
      <c r="I97" s="307">
        <v>103003</v>
      </c>
      <c r="J97" s="308">
        <v>1.91</v>
      </c>
      <c r="K97" s="381">
        <v>652</v>
      </c>
      <c r="L97" s="382">
        <f>IF(tabItens[[#This Row],[Média]] &gt; 0, tabItens[[#This Row],[QTDE ATUAL]] / tabItens[[#This Row],[Média]],999.9)</f>
        <v>9.0741573033707859</v>
      </c>
      <c r="M97" s="383">
        <v>0</v>
      </c>
      <c r="N97" s="384">
        <f>tabItens[[#This Row],[VALOR UNIT.]] * tabItens[[#This Row],[LC]]</f>
        <v>0</v>
      </c>
      <c r="O97" s="385" t="s">
        <v>2112</v>
      </c>
      <c r="P97" s="386"/>
      <c r="Q97" s="387"/>
      <c r="R97" s="312"/>
      <c r="S97" s="388"/>
      <c r="T97" s="389">
        <f>ROUNDDOWN(IFERROR(tabItens[[#This Row],[ATA DT.VALID.]] - $D$1,0) / 30,0)</f>
        <v>-1474</v>
      </c>
      <c r="U97" s="302" t="s">
        <v>1032</v>
      </c>
      <c r="V97" s="318">
        <v>1</v>
      </c>
      <c r="W97" s="390" t="s">
        <v>2071</v>
      </c>
      <c r="X97" s="391">
        <v>67</v>
      </c>
      <c r="Y97" s="392">
        <v>1</v>
      </c>
      <c r="Z97" s="393">
        <v>2483</v>
      </c>
      <c r="AA97" s="394">
        <v>2023</v>
      </c>
      <c r="AB97" s="395">
        <v>150</v>
      </c>
      <c r="AC97" s="395"/>
      <c r="AD97" s="394"/>
      <c r="AE97" s="395"/>
      <c r="AF97" s="317"/>
      <c r="AG97" s="396" t="s">
        <v>2072</v>
      </c>
      <c r="AH97" s="397"/>
      <c r="AI97" s="317">
        <v>300</v>
      </c>
      <c r="AJ97" s="397">
        <v>44946</v>
      </c>
      <c r="AK97" s="326" t="s">
        <v>889</v>
      </c>
      <c r="AL97" s="326">
        <v>44922</v>
      </c>
      <c r="AM97" s="316"/>
      <c r="AN97" s="305"/>
      <c r="AO97" s="327" t="str">
        <f>_xlfn.IFNA(IF(VLOOKUP(tabItens[[#This Row],[CÓDIGO]],tabExcluirDoEstoque[#Data],1,FALSE),"sim",""),"")</f>
        <v/>
      </c>
      <c r="AP97" s="398" t="str">
        <f ca="1">IF(OR(ISBLANK(tabItens[[#This Row],[ATA DT.VALID.]]),tabItens[[#This Row],[ATA DT.VALID.]]="",tabItens[[#This Row],[ATA DT.VALID.]]=" "),"",IF(TYPE(tabItens[[#This Row],[ATA DT.VALID.]])=1,ROUNDUP((tabItens[[#This Row],[ATA DT.VALID.]]-TODAY())/7,0),""))</f>
        <v/>
      </c>
      <c r="AQ97" s="399">
        <v>0</v>
      </c>
      <c r="AR97" s="400" t="str">
        <f>IF(ISBLANK(tabItens[[#This Row],[CÓDIGO]]),"",IFERROR(VLOOKUP(tabItens[[#This Row],[CÓDIGO]],Consumo!$C$2:$AC$862,26,FALSE),0))</f>
        <v>09.2023</v>
      </c>
      <c r="AS97" s="401">
        <f>SUMIF(Consumo!$C$3:$C$862,tabItens[[#This Row],[CÓDIGO]],Consumo!$N$3:$N$862) + SUMIF(Consumo!$C$3:$C$862,tabItens[[#This Row],[CÓDIGO]],Consumo!$O$3:$O$862) + SUMIF(Consumo!$C$3:$C$862,tabItens[[#This Row],[CÓDIGO]],Consumo!$P$3:$P$862) + SUMIF(Consumo!$C$3:$C$862,tabItens[[#This Row],[CÓDIGO]],Consumo!$Q$3:$Q$862)</f>
        <v>160</v>
      </c>
      <c r="AT97" s="401">
        <f>SUMIF(Consumo!$C$3:$C$862,tabItens[[#This Row],[CÓDIGO]],Consumo!$Z$3:$Z$862)</f>
        <v>900</v>
      </c>
      <c r="AU97" s="402">
        <f>SUMIF(Consumo!$C$3:$C$862,tabItens[[#This Row],[CÓDIGO]],Consumo!$AA$3:$AA$862)</f>
        <v>180</v>
      </c>
      <c r="AV97" s="403">
        <f>SUMIF(Consumo!$C$3:$C$862,tabItens[[#This Row],[CÓDIGO]],Consumo!$Y$3:$Y$862)</f>
        <v>74.166666666666671</v>
      </c>
      <c r="AW97" s="380">
        <f>tabItens[[#This Row],[QTDE ATUAL]] + tabItens[[#This Row],[RC QTDE]] + tabItens[[#This Row],[AF SALDO]] + tabItens[[#This Row],[Recentes]]</f>
        <v>823</v>
      </c>
      <c r="AX97" s="404">
        <v>84</v>
      </c>
      <c r="AY97" s="404">
        <v>4</v>
      </c>
      <c r="AZ97" s="404">
        <f>IF(ISBLANK(tabItens[[#This Row],[CÓDIGO]]),"",tabItens[[#This Row],[PontoMês]] * (AZ$2+tabItens[[#This Row],[PontoQtM]]))</f>
        <v>336</v>
      </c>
      <c r="BA97" s="403">
        <f>tabItens[[#This Row],[PontoPed]] - tabItens[[#This Row],[Saldo]] + (1/10)</f>
        <v>-486.9</v>
      </c>
      <c r="BB97" s="403">
        <f xml:space="preserve"> tabItens[[#This Row],[PontoMês]] * BB$2 - tabItens[[#This Row],[QTDE ATUAL]] - (1/10)</f>
        <v>-589.1</v>
      </c>
      <c r="BC97" s="335">
        <f>IF( tabItens[[#This Row],[PontoPed]]&gt;0, IF(tabItens[[#This Row],[PontoPed]]&lt;1, 1, IF( tabItens[[#This Row],[Saldo]]&gt;tabItens[[#This Row],[PontoPed]], 0, (tabItens[[#This Row],[PontoPed]]-tabItens[[#This Row],[Saldo]])/tabItens[[#This Row],[PontoPed]] ) ), 0 )</f>
        <v>0</v>
      </c>
      <c r="BD97" s="405">
        <f>ROUNDDOWN(IF( OR( AND(tabItens[[#This Row],[PontoPed]]&lt;tabItens[[#This Row],[Saldo]],tabItens[[#This Row],[Saldo]]&gt;0), tabItens[[#This Row],[PontoPed]]=0), 99, IF(AND(tabItens[[#This Row],[Saldo]]=0,tabItens[[#This Row],[PontoPed]]&gt;0), 0, (1-tabItens[[#This Row],[PctAb]])*10 ) ),0)</f>
        <v>99</v>
      </c>
      <c r="BE97" s="406">
        <f>MAX(ROUNDDOWN( IF(tabItens[[#This Row],[Abaixo]] &gt; 0,   tabItens[[#This Row],[Abaixo]] + (tabItens[[#This Row],[PontoMês]] * IF( OR( ISBLANK(tabItens[[#This Row],[ATA Nº/ANO]]), tabItens[[#This Row],[ATA Nº/ANO]] = ""),BE$2,BE$1)),0),0),0)</f>
        <v>0</v>
      </c>
      <c r="BF9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7" s="338">
        <f>SUMIF(Consumo!$C$3:$C$862,tabItens[[#This Row],[CÓDIGO]],Consumo!$E$3:$E$862)</f>
        <v>0</v>
      </c>
      <c r="BH97" s="339">
        <f>IF(AND(tabItens[[#This Row],[Pend]] &gt; 0,tabItens[[#This Row],[Consumo]] &lt;&gt; 0), tabItens[[#This Row],[Pend]] / tabItens[[#This Row],[Consumo]], 0 )</f>
        <v>0</v>
      </c>
      <c r="BI97" s="338"/>
      <c r="BJ97" s="407"/>
      <c r="BK97" s="408" t="s">
        <v>2086</v>
      </c>
    </row>
    <row r="98" spans="1:63" x14ac:dyDescent="0.3">
      <c r="A98" s="375">
        <v>64626</v>
      </c>
      <c r="B98" s="376" t="s">
        <v>1381</v>
      </c>
      <c r="C98" s="377" t="s">
        <v>345</v>
      </c>
      <c r="D98" s="378">
        <v>75.400000000000006</v>
      </c>
      <c r="E98" s="305"/>
      <c r="F98" s="379"/>
      <c r="G98" s="379" t="s">
        <v>889</v>
      </c>
      <c r="H98" s="380">
        <v>2397</v>
      </c>
      <c r="I98" s="307">
        <v>103003</v>
      </c>
      <c r="J98" s="308">
        <v>75.400000000000006</v>
      </c>
      <c r="K98" s="381">
        <v>507</v>
      </c>
      <c r="L98" s="382">
        <f>IF(tabItens[[#This Row],[Média]] &gt; 0, tabItens[[#This Row],[QTDE ATUAL]] / tabItens[[#This Row],[Média]],999.9)</f>
        <v>64.78378378378379</v>
      </c>
      <c r="M98" s="383">
        <v>0</v>
      </c>
      <c r="N98" s="384">
        <f>tabItens[[#This Row],[VALOR UNIT.]] * tabItens[[#This Row],[LC]]</f>
        <v>0</v>
      </c>
      <c r="O98" s="385" t="s">
        <v>2112</v>
      </c>
      <c r="P98" s="386"/>
      <c r="Q98" s="387"/>
      <c r="R98" s="312"/>
      <c r="S98" s="388"/>
      <c r="T98" s="389">
        <f>ROUNDDOWN(IFERROR(tabItens[[#This Row],[ATA DT.VALID.]] - $D$1,0) / 30,0)</f>
        <v>-1474</v>
      </c>
      <c r="U98" s="302" t="s">
        <v>1347</v>
      </c>
      <c r="V98" s="318">
        <v>1</v>
      </c>
      <c r="W98" s="390" t="s">
        <v>2071</v>
      </c>
      <c r="X98" s="391">
        <v>69</v>
      </c>
      <c r="Y98" s="392">
        <v>8</v>
      </c>
      <c r="Z98" s="393"/>
      <c r="AA98" s="394"/>
      <c r="AB98" s="395"/>
      <c r="AC98" s="395"/>
      <c r="AD98" s="394"/>
      <c r="AE98" s="395"/>
      <c r="AF98" s="317"/>
      <c r="AG98" s="396" t="s">
        <v>2072</v>
      </c>
      <c r="AH98" s="397"/>
      <c r="AI98" s="317">
        <v>170</v>
      </c>
      <c r="AJ98" s="397">
        <v>45180</v>
      </c>
      <c r="AK98" s="326" t="s">
        <v>889</v>
      </c>
      <c r="AL98" s="326">
        <v>45128</v>
      </c>
      <c r="AM98" s="316"/>
      <c r="AN98" s="305"/>
      <c r="AO98" s="327" t="str">
        <f>_xlfn.IFNA(IF(VLOOKUP(tabItens[[#This Row],[CÓDIGO]],tabExcluirDoEstoque[#Data],1,FALSE),"sim",""),"")</f>
        <v/>
      </c>
      <c r="AP98" s="398" t="str">
        <f ca="1">IF(OR(ISBLANK(tabItens[[#This Row],[ATA DT.VALID.]]),tabItens[[#This Row],[ATA DT.VALID.]]="",tabItens[[#This Row],[ATA DT.VALID.]]=" "),"",IF(TYPE(tabItens[[#This Row],[ATA DT.VALID.]])=1,ROUNDUP((tabItens[[#This Row],[ATA DT.VALID.]]-TODAY())/7,0),""))</f>
        <v/>
      </c>
      <c r="AQ98" s="399">
        <v>0</v>
      </c>
      <c r="AR98" s="400" t="str">
        <f>IF(ISBLANK(tabItens[[#This Row],[CÓDIGO]]),"",IFERROR(VLOOKUP(tabItens[[#This Row],[CÓDIGO]],Consumo!$C$2:$AC$862,26,FALSE),0))</f>
        <v>07.2023</v>
      </c>
      <c r="AS98" s="401">
        <f>SUMIF(Consumo!$C$3:$C$862,tabItens[[#This Row],[CÓDIGO]],Consumo!$N$3:$N$862) + SUMIF(Consumo!$C$3:$C$862,tabItens[[#This Row],[CÓDIGO]],Consumo!$O$3:$O$862) + SUMIF(Consumo!$C$3:$C$862,tabItens[[#This Row],[CÓDIGO]],Consumo!$P$3:$P$862) + SUMIF(Consumo!$C$3:$C$862,tabItens[[#This Row],[CÓDIGO]],Consumo!$Q$3:$Q$862)</f>
        <v>200</v>
      </c>
      <c r="AT98" s="401">
        <f>SUMIF(Consumo!$C$3:$C$862,tabItens[[#This Row],[CÓDIGO]],Consumo!$Z$3:$Z$862)</f>
        <v>507</v>
      </c>
      <c r="AU98" s="402">
        <f>SUMIF(Consumo!$C$3:$C$862,tabItens[[#This Row],[CÓDIGO]],Consumo!$AA$3:$AA$862)</f>
        <v>307</v>
      </c>
      <c r="AV98" s="403">
        <f>SUMIF(Consumo!$C$3:$C$862,tabItens[[#This Row],[CÓDIGO]],Consumo!$Y$3:$Y$862)</f>
        <v>37</v>
      </c>
      <c r="AW98" s="380">
        <f>tabItens[[#This Row],[QTDE ATUAL]] + tabItens[[#This Row],[RC QTDE]] + tabItens[[#This Row],[AF SALDO]] + tabItens[[#This Row],[Recentes]]</f>
        <v>2397</v>
      </c>
      <c r="AX98" s="404">
        <v>125</v>
      </c>
      <c r="AY98" s="404">
        <v>4</v>
      </c>
      <c r="AZ98" s="404">
        <f>IF(ISBLANK(tabItens[[#This Row],[CÓDIGO]]),"",tabItens[[#This Row],[PontoMês]] * (AZ$2+tabItens[[#This Row],[PontoQtM]]))</f>
        <v>500</v>
      </c>
      <c r="BA98" s="403">
        <f>tabItens[[#This Row],[PontoPed]] - tabItens[[#This Row],[Saldo]] + (1/10)</f>
        <v>-1896.9</v>
      </c>
      <c r="BB98" s="403">
        <f xml:space="preserve"> tabItens[[#This Row],[PontoMês]] * BB$2 - tabItens[[#This Row],[QTDE ATUAL]] - (1/10)</f>
        <v>-2272.1</v>
      </c>
      <c r="BC98" s="335">
        <f>IF( tabItens[[#This Row],[PontoPed]]&gt;0, IF(tabItens[[#This Row],[PontoPed]]&lt;1, 1, IF( tabItens[[#This Row],[Saldo]]&gt;tabItens[[#This Row],[PontoPed]], 0, (tabItens[[#This Row],[PontoPed]]-tabItens[[#This Row],[Saldo]])/tabItens[[#This Row],[PontoPed]] ) ), 0 )</f>
        <v>0</v>
      </c>
      <c r="BD98" s="405">
        <f>ROUNDDOWN(IF( OR( AND(tabItens[[#This Row],[PontoPed]]&lt;tabItens[[#This Row],[Saldo]],tabItens[[#This Row],[Saldo]]&gt;0), tabItens[[#This Row],[PontoPed]]=0), 99, IF(AND(tabItens[[#This Row],[Saldo]]=0,tabItens[[#This Row],[PontoPed]]&gt;0), 0, (1-tabItens[[#This Row],[PctAb]])*10 ) ),0)</f>
        <v>99</v>
      </c>
      <c r="BE98" s="406">
        <f>MAX(ROUNDDOWN( IF(tabItens[[#This Row],[Abaixo]] &gt; 0,   tabItens[[#This Row],[Abaixo]] + (tabItens[[#This Row],[PontoMês]] * IF( OR( ISBLANK(tabItens[[#This Row],[ATA Nº/ANO]]), tabItens[[#This Row],[ATA Nº/ANO]] = ""),BE$2,BE$1)),0),0),0)</f>
        <v>0</v>
      </c>
      <c r="BF9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8" s="338">
        <f>SUMIF(Consumo!$C$3:$C$862,tabItens[[#This Row],[CÓDIGO]],Consumo!$E$3:$E$862)</f>
        <v>0</v>
      </c>
      <c r="BH98" s="339">
        <f>IF(AND(tabItens[[#This Row],[Pend]] &gt; 0,tabItens[[#This Row],[Consumo]] &lt;&gt; 0), tabItens[[#This Row],[Pend]] / tabItens[[#This Row],[Consumo]], 0 )</f>
        <v>0</v>
      </c>
      <c r="BI98" s="338"/>
      <c r="BJ98" s="407"/>
      <c r="BK98" s="408" t="s">
        <v>2086</v>
      </c>
    </row>
    <row r="99" spans="1:63" x14ac:dyDescent="0.3">
      <c r="A99" s="375">
        <v>13556</v>
      </c>
      <c r="B99" s="376" t="s">
        <v>1038</v>
      </c>
      <c r="C99" s="377" t="s">
        <v>345</v>
      </c>
      <c r="D99" s="378">
        <v>940</v>
      </c>
      <c r="E99" s="305"/>
      <c r="F99" s="379"/>
      <c r="G99" s="379" t="s">
        <v>889</v>
      </c>
      <c r="H99" s="380">
        <v>44</v>
      </c>
      <c r="I99" s="307">
        <v>103003</v>
      </c>
      <c r="J99" s="308">
        <v>940</v>
      </c>
      <c r="K99" s="381"/>
      <c r="L99" s="382">
        <f>IF(tabItens[[#This Row],[Média]] &gt; 0, tabItens[[#This Row],[QTDE ATUAL]] / tabItens[[#This Row],[Média]],999.9)</f>
        <v>999.9</v>
      </c>
      <c r="M99" s="383">
        <v>0</v>
      </c>
      <c r="N99" s="384">
        <f>tabItens[[#This Row],[VALOR UNIT.]] * tabItens[[#This Row],[LC]]</f>
        <v>0</v>
      </c>
      <c r="O99" s="385" t="s">
        <v>2112</v>
      </c>
      <c r="P99" s="386"/>
      <c r="Q99" s="387"/>
      <c r="R99" s="312"/>
      <c r="S99" s="388"/>
      <c r="T99" s="389">
        <f>ROUNDDOWN(IFERROR(tabItens[[#This Row],[ATA DT.VALID.]] - $D$1,0) / 30,0)</f>
        <v>-1474</v>
      </c>
      <c r="U99" s="302" t="s">
        <v>1039</v>
      </c>
      <c r="V99" s="318">
        <v>1</v>
      </c>
      <c r="W99" s="390" t="s">
        <v>2078</v>
      </c>
      <c r="X99" s="391">
        <v>69</v>
      </c>
      <c r="Y99" s="392">
        <v>10</v>
      </c>
      <c r="Z99" s="393"/>
      <c r="AA99" s="394"/>
      <c r="AB99" s="395"/>
      <c r="AC99" s="395"/>
      <c r="AD99" s="394"/>
      <c r="AE99" s="395"/>
      <c r="AF99" s="317"/>
      <c r="AG99" s="396" t="s">
        <v>2072</v>
      </c>
      <c r="AH99" s="397"/>
      <c r="AI99" s="317">
        <v>0</v>
      </c>
      <c r="AJ99" s="397">
        <v>44516</v>
      </c>
      <c r="AK99" s="326" t="s">
        <v>889</v>
      </c>
      <c r="AL99" s="326">
        <v>44483</v>
      </c>
      <c r="AM99" s="316"/>
      <c r="AN99" s="305"/>
      <c r="AO99" s="327" t="str">
        <f>_xlfn.IFNA(IF(VLOOKUP(tabItens[[#This Row],[CÓDIGO]],tabExcluirDoEstoque[#Data],1,FALSE),"sim",""),"")</f>
        <v/>
      </c>
      <c r="AP99" s="398" t="str">
        <f ca="1">IF(OR(ISBLANK(tabItens[[#This Row],[ATA DT.VALID.]]),tabItens[[#This Row],[ATA DT.VALID.]]="",tabItens[[#This Row],[ATA DT.VALID.]]=" "),"",IF(TYPE(tabItens[[#This Row],[ATA DT.VALID.]])=1,ROUNDUP((tabItens[[#This Row],[ATA DT.VALID.]]-TODAY())/7,0),""))</f>
        <v/>
      </c>
      <c r="AQ99" s="399">
        <v>0</v>
      </c>
      <c r="AR99" s="400">
        <f>IF(ISBLANK(tabItens[[#This Row],[CÓDIGO]]),"",IFERROR(VLOOKUP(tabItens[[#This Row],[CÓDIGO]],Consumo!$C$2:$AC$862,26,FALSE),0))</f>
        <v>0</v>
      </c>
      <c r="AS99" s="401">
        <f>SUMIF(Consumo!$C$3:$C$862,tabItens[[#This Row],[CÓDIGO]],Consumo!$N$3:$N$862) + SUMIF(Consumo!$C$3:$C$862,tabItens[[#This Row],[CÓDIGO]],Consumo!$O$3:$O$862) + SUMIF(Consumo!$C$3:$C$862,tabItens[[#This Row],[CÓDIGO]],Consumo!$P$3:$P$862) + SUMIF(Consumo!$C$3:$C$862,tabItens[[#This Row],[CÓDIGO]],Consumo!$Q$3:$Q$862)</f>
        <v>0</v>
      </c>
      <c r="AT99" s="401">
        <f>SUMIF(Consumo!$C$3:$C$862,tabItens[[#This Row],[CÓDIGO]],Consumo!$Z$3:$Z$862)</f>
        <v>0</v>
      </c>
      <c r="AU99" s="402">
        <f>SUMIF(Consumo!$C$3:$C$862,tabItens[[#This Row],[CÓDIGO]],Consumo!$AA$3:$AA$862)</f>
        <v>0</v>
      </c>
      <c r="AV99" s="403">
        <f>SUMIF(Consumo!$C$3:$C$862,tabItens[[#This Row],[CÓDIGO]],Consumo!$Y$3:$Y$862)</f>
        <v>0</v>
      </c>
      <c r="AW99" s="380">
        <f>tabItens[[#This Row],[QTDE ATUAL]] + tabItens[[#This Row],[RC QTDE]] + tabItens[[#This Row],[AF SALDO]] + tabItens[[#This Row],[Recentes]]</f>
        <v>44</v>
      </c>
      <c r="AX99" s="404">
        <v>5</v>
      </c>
      <c r="AY99" s="404">
        <v>4</v>
      </c>
      <c r="AZ99" s="404">
        <f>IF(ISBLANK(tabItens[[#This Row],[CÓDIGO]]),"",tabItens[[#This Row],[PontoMês]] * (AZ$2+tabItens[[#This Row],[PontoQtM]]))</f>
        <v>20</v>
      </c>
      <c r="BA99" s="403">
        <f>tabItens[[#This Row],[PontoPed]] - tabItens[[#This Row],[Saldo]] + (1/10)</f>
        <v>-23.9</v>
      </c>
      <c r="BB99" s="403">
        <f xml:space="preserve"> tabItens[[#This Row],[PontoMês]] * BB$2 - tabItens[[#This Row],[QTDE ATUAL]] - (1/10)</f>
        <v>-39.1</v>
      </c>
      <c r="BC99" s="335">
        <f>IF( tabItens[[#This Row],[PontoPed]]&gt;0, IF(tabItens[[#This Row],[PontoPed]]&lt;1, 1, IF( tabItens[[#This Row],[Saldo]]&gt;tabItens[[#This Row],[PontoPed]], 0, (tabItens[[#This Row],[PontoPed]]-tabItens[[#This Row],[Saldo]])/tabItens[[#This Row],[PontoPed]] ) ), 0 )</f>
        <v>0</v>
      </c>
      <c r="BD99" s="405">
        <f>ROUNDDOWN(IF( OR( AND(tabItens[[#This Row],[PontoPed]]&lt;tabItens[[#This Row],[Saldo]],tabItens[[#This Row],[Saldo]]&gt;0), tabItens[[#This Row],[PontoPed]]=0), 99, IF(AND(tabItens[[#This Row],[Saldo]]=0,tabItens[[#This Row],[PontoPed]]&gt;0), 0, (1-tabItens[[#This Row],[PctAb]])*10 ) ),0)</f>
        <v>99</v>
      </c>
      <c r="BE99" s="406">
        <f>MAX(ROUNDDOWN( IF(tabItens[[#This Row],[Abaixo]] &gt; 0,   tabItens[[#This Row],[Abaixo]] + (tabItens[[#This Row],[PontoMês]] * IF( OR( ISBLANK(tabItens[[#This Row],[ATA Nº/ANO]]), tabItens[[#This Row],[ATA Nº/ANO]] = ""),BE$2,BE$1)),0),0),0)</f>
        <v>0</v>
      </c>
      <c r="BF9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9" s="338">
        <f>SUMIF(Consumo!$C$3:$C$862,tabItens[[#This Row],[CÓDIGO]],Consumo!$E$3:$E$862)</f>
        <v>0</v>
      </c>
      <c r="BH99" s="339">
        <f>IF(AND(tabItens[[#This Row],[Pend]] &gt; 0,tabItens[[#This Row],[Consumo]] &lt;&gt; 0), tabItens[[#This Row],[Pend]] / tabItens[[#This Row],[Consumo]], 0 )</f>
        <v>0</v>
      </c>
      <c r="BI99" s="338"/>
      <c r="BJ99" s="407"/>
      <c r="BK99" s="408" t="s">
        <v>2086</v>
      </c>
    </row>
    <row r="100" spans="1:63" x14ac:dyDescent="0.3">
      <c r="A100" s="375">
        <v>44398</v>
      </c>
      <c r="B100" s="376" t="s">
        <v>1286</v>
      </c>
      <c r="C100" s="377" t="s">
        <v>345</v>
      </c>
      <c r="D100" s="378">
        <v>82</v>
      </c>
      <c r="E100" s="305"/>
      <c r="F100" s="379"/>
      <c r="G100" s="379" t="s">
        <v>889</v>
      </c>
      <c r="H100" s="380">
        <v>1070</v>
      </c>
      <c r="I100" s="307">
        <v>103003</v>
      </c>
      <c r="J100" s="308">
        <v>82</v>
      </c>
      <c r="K100" s="381">
        <v>562</v>
      </c>
      <c r="L100" s="382">
        <f>IF(tabItens[[#This Row],[Média]] &gt; 0, tabItens[[#This Row],[QTDE ATUAL]] / tabItens[[#This Row],[Média]],999.9)</f>
        <v>22.846975088967969</v>
      </c>
      <c r="M100" s="383">
        <v>0</v>
      </c>
      <c r="N100" s="384">
        <f>tabItens[[#This Row],[VALOR UNIT.]] * tabItens[[#This Row],[LC]]</f>
        <v>0</v>
      </c>
      <c r="O100" s="385" t="s">
        <v>2112</v>
      </c>
      <c r="P100" s="386"/>
      <c r="Q100" s="387"/>
      <c r="R100" s="312"/>
      <c r="S100" s="388"/>
      <c r="T100" s="389">
        <f>ROUNDDOWN(IFERROR(tabItens[[#This Row],[ATA DT.VALID.]] - $D$1,0) / 30,0)</f>
        <v>-1474</v>
      </c>
      <c r="U100" s="302" t="s">
        <v>1039</v>
      </c>
      <c r="V100" s="318">
        <v>1</v>
      </c>
      <c r="W100" s="390" t="s">
        <v>2078</v>
      </c>
      <c r="X100" s="391">
        <v>69</v>
      </c>
      <c r="Y100" s="392">
        <v>10</v>
      </c>
      <c r="Z100" s="393"/>
      <c r="AA100" s="394"/>
      <c r="AB100" s="395"/>
      <c r="AC100" s="395"/>
      <c r="AD100" s="394"/>
      <c r="AE100" s="395"/>
      <c r="AF100" s="317"/>
      <c r="AG100" s="396" t="s">
        <v>2072</v>
      </c>
      <c r="AH100" s="397"/>
      <c r="AI100" s="317">
        <v>354</v>
      </c>
      <c r="AJ100" s="397">
        <v>44924</v>
      </c>
      <c r="AK100" s="326" t="s">
        <v>889</v>
      </c>
      <c r="AL100" s="326">
        <v>44881</v>
      </c>
      <c r="AM100" s="316"/>
      <c r="AN100" s="305"/>
      <c r="AO100" s="327" t="str">
        <f>_xlfn.IFNA(IF(VLOOKUP(tabItens[[#This Row],[CÓDIGO]],tabExcluirDoEstoque[#Data],1,FALSE),"sim",""),"")</f>
        <v/>
      </c>
      <c r="AP100" s="398" t="str">
        <f ca="1">IF(OR(ISBLANK(tabItens[[#This Row],[ATA DT.VALID.]]),tabItens[[#This Row],[ATA DT.VALID.]]="",tabItens[[#This Row],[ATA DT.VALID.]]=" "),"",IF(TYPE(tabItens[[#This Row],[ATA DT.VALID.]])=1,ROUNDUP((tabItens[[#This Row],[ATA DT.VALID.]]-TODAY())/7,0),""))</f>
        <v/>
      </c>
      <c r="AQ100" s="399">
        <v>0</v>
      </c>
      <c r="AR100" s="400" t="str">
        <f>IF(ISBLANK(tabItens[[#This Row],[CÓDIGO]]),"",IFERROR(VLOOKUP(tabItens[[#This Row],[CÓDIGO]],Consumo!$C$2:$AC$862,26,FALSE),0))</f>
        <v>08.2023</v>
      </c>
      <c r="AS100" s="401">
        <f>SUMIF(Consumo!$C$3:$C$862,tabItens[[#This Row],[CÓDIGO]],Consumo!$N$3:$N$862) + SUMIF(Consumo!$C$3:$C$862,tabItens[[#This Row],[CÓDIGO]],Consumo!$O$3:$O$862) + SUMIF(Consumo!$C$3:$C$862,tabItens[[#This Row],[CÓDIGO]],Consumo!$P$3:$P$862) + SUMIF(Consumo!$C$3:$C$862,tabItens[[#This Row],[CÓDIGO]],Consumo!$Q$3:$Q$862)</f>
        <v>372</v>
      </c>
      <c r="AT100" s="401">
        <f>SUMIF(Consumo!$C$3:$C$862,tabItens[[#This Row],[CÓDIGO]],Consumo!$Z$3:$Z$862)</f>
        <v>562</v>
      </c>
      <c r="AU100" s="402">
        <f>SUMIF(Consumo!$C$3:$C$862,tabItens[[#This Row],[CÓDIGO]],Consumo!$AA$3:$AA$862)</f>
        <v>212</v>
      </c>
      <c r="AV100" s="403">
        <f>SUMIF(Consumo!$C$3:$C$862,tabItens[[#This Row],[CÓDIGO]],Consumo!$Y$3:$Y$862)</f>
        <v>46.833333333333336</v>
      </c>
      <c r="AW100" s="380">
        <f>tabItens[[#This Row],[QTDE ATUAL]] + tabItens[[#This Row],[RC QTDE]] + tabItens[[#This Row],[AF SALDO]] + tabItens[[#This Row],[Recentes]]</f>
        <v>1070</v>
      </c>
      <c r="AX100" s="404">
        <v>167</v>
      </c>
      <c r="AY100" s="404">
        <v>4</v>
      </c>
      <c r="AZ100" s="404">
        <f>IF(ISBLANK(tabItens[[#This Row],[CÓDIGO]]),"",tabItens[[#This Row],[PontoMês]] * (AZ$2+tabItens[[#This Row],[PontoQtM]]))</f>
        <v>668</v>
      </c>
      <c r="BA100" s="403">
        <f>tabItens[[#This Row],[PontoPed]] - tabItens[[#This Row],[Saldo]] + (1/10)</f>
        <v>-401.9</v>
      </c>
      <c r="BB100" s="403">
        <f xml:space="preserve"> tabItens[[#This Row],[PontoMês]] * BB$2 - tabItens[[#This Row],[QTDE ATUAL]] - (1/10)</f>
        <v>-903.1</v>
      </c>
      <c r="BC100" s="335">
        <f>IF( tabItens[[#This Row],[PontoPed]]&gt;0, IF(tabItens[[#This Row],[PontoPed]]&lt;1, 1, IF( tabItens[[#This Row],[Saldo]]&gt;tabItens[[#This Row],[PontoPed]], 0, (tabItens[[#This Row],[PontoPed]]-tabItens[[#This Row],[Saldo]])/tabItens[[#This Row],[PontoPed]] ) ), 0 )</f>
        <v>0</v>
      </c>
      <c r="BD100" s="405">
        <f>ROUNDDOWN(IF( OR( AND(tabItens[[#This Row],[PontoPed]]&lt;tabItens[[#This Row],[Saldo]],tabItens[[#This Row],[Saldo]]&gt;0), tabItens[[#This Row],[PontoPed]]=0), 99, IF(AND(tabItens[[#This Row],[Saldo]]=0,tabItens[[#This Row],[PontoPed]]&gt;0), 0, (1-tabItens[[#This Row],[PctAb]])*10 ) ),0)</f>
        <v>99</v>
      </c>
      <c r="BE100" s="406">
        <f>MAX(ROUNDDOWN( IF(tabItens[[#This Row],[Abaixo]] &gt; 0,   tabItens[[#This Row],[Abaixo]] + (tabItens[[#This Row],[PontoMês]] * IF( OR( ISBLANK(tabItens[[#This Row],[ATA Nº/ANO]]), tabItens[[#This Row],[ATA Nº/ANO]] = ""),BE$2,BE$1)),0),0),0)</f>
        <v>0</v>
      </c>
      <c r="BF10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0" s="338">
        <f>SUMIF(Consumo!$C$3:$C$862,tabItens[[#This Row],[CÓDIGO]],Consumo!$E$3:$E$862)</f>
        <v>0</v>
      </c>
      <c r="BH100" s="339">
        <f>IF(AND(tabItens[[#This Row],[Pend]] &gt; 0,tabItens[[#This Row],[Consumo]] &lt;&gt; 0), tabItens[[#This Row],[Pend]] / tabItens[[#This Row],[Consumo]], 0 )</f>
        <v>0</v>
      </c>
      <c r="BI100" s="338"/>
      <c r="BJ100" s="407"/>
      <c r="BK100" s="408" t="s">
        <v>2086</v>
      </c>
    </row>
    <row r="101" spans="1:63" x14ac:dyDescent="0.3">
      <c r="A101" s="375">
        <v>54552</v>
      </c>
      <c r="B101" s="376" t="s">
        <v>1321</v>
      </c>
      <c r="C101" s="377" t="s">
        <v>345</v>
      </c>
      <c r="D101" s="378">
        <v>107</v>
      </c>
      <c r="E101" s="305"/>
      <c r="F101" s="379"/>
      <c r="G101" s="379" t="s">
        <v>889</v>
      </c>
      <c r="H101" s="380">
        <v>805</v>
      </c>
      <c r="I101" s="307">
        <v>103003</v>
      </c>
      <c r="J101" s="308">
        <v>107</v>
      </c>
      <c r="K101" s="381">
        <v>269</v>
      </c>
      <c r="L101" s="382">
        <f>IF(tabItens[[#This Row],[Média]] &gt; 0, tabItens[[#This Row],[QTDE ATUAL]] / tabItens[[#This Row],[Média]],999.9)</f>
        <v>40.588235294117652</v>
      </c>
      <c r="M101" s="383">
        <v>0</v>
      </c>
      <c r="N101" s="384">
        <f>tabItens[[#This Row],[VALOR UNIT.]] * tabItens[[#This Row],[LC]]</f>
        <v>0</v>
      </c>
      <c r="O101" s="385" t="s">
        <v>2112</v>
      </c>
      <c r="P101" s="386"/>
      <c r="Q101" s="387"/>
      <c r="R101" s="312"/>
      <c r="S101" s="388"/>
      <c r="T101" s="389">
        <f>ROUNDDOWN(IFERROR(tabItens[[#This Row],[ATA DT.VALID.]] - $D$1,0) / 30,0)</f>
        <v>-1474</v>
      </c>
      <c r="U101" s="302" t="s">
        <v>1039</v>
      </c>
      <c r="V101" s="318">
        <v>1</v>
      </c>
      <c r="W101" s="390" t="s">
        <v>2078</v>
      </c>
      <c r="X101" s="391">
        <v>69</v>
      </c>
      <c r="Y101" s="392">
        <v>10</v>
      </c>
      <c r="Z101" s="393"/>
      <c r="AA101" s="394"/>
      <c r="AB101" s="395"/>
      <c r="AC101" s="395"/>
      <c r="AD101" s="394"/>
      <c r="AE101" s="395"/>
      <c r="AF101" s="317"/>
      <c r="AG101" s="396" t="s">
        <v>2072</v>
      </c>
      <c r="AH101" s="397"/>
      <c r="AI101" s="317">
        <v>356</v>
      </c>
      <c r="AJ101" s="397">
        <v>45169</v>
      </c>
      <c r="AK101" s="326" t="s">
        <v>889</v>
      </c>
      <c r="AL101" s="326">
        <v>45156</v>
      </c>
      <c r="AM101" s="316"/>
      <c r="AN101" s="305"/>
      <c r="AO101" s="327" t="str">
        <f>_xlfn.IFNA(IF(VLOOKUP(tabItens[[#This Row],[CÓDIGO]],tabExcluirDoEstoque[#Data],1,FALSE),"sim",""),"")</f>
        <v/>
      </c>
      <c r="AP101" s="398" t="str">
        <f ca="1">IF(OR(ISBLANK(tabItens[[#This Row],[ATA DT.VALID.]]),tabItens[[#This Row],[ATA DT.VALID.]]="",tabItens[[#This Row],[ATA DT.VALID.]]=" "),"",IF(TYPE(tabItens[[#This Row],[ATA DT.VALID.]])=1,ROUNDUP((tabItens[[#This Row],[ATA DT.VALID.]]-TODAY())/7,0),""))</f>
        <v/>
      </c>
      <c r="AQ101" s="399">
        <v>0</v>
      </c>
      <c r="AR101" s="400" t="str">
        <f>IF(ISBLANK(tabItens[[#This Row],[CÓDIGO]]),"",IFERROR(VLOOKUP(tabItens[[#This Row],[CÓDIGO]],Consumo!$C$2:$AC$862,26,FALSE),0))</f>
        <v>04.2023</v>
      </c>
      <c r="AS101" s="401">
        <f>SUMIF(Consumo!$C$3:$C$862,tabItens[[#This Row],[CÓDIGO]],Consumo!$N$3:$N$862) + SUMIF(Consumo!$C$3:$C$862,tabItens[[#This Row],[CÓDIGO]],Consumo!$O$3:$O$862) + SUMIF(Consumo!$C$3:$C$862,tabItens[[#This Row],[CÓDIGO]],Consumo!$P$3:$P$862) + SUMIF(Consumo!$C$3:$C$862,tabItens[[#This Row],[CÓDIGO]],Consumo!$Q$3:$Q$862)</f>
        <v>0</v>
      </c>
      <c r="AT101" s="401">
        <f>SUMIF(Consumo!$C$3:$C$862,tabItens[[#This Row],[CÓDIGO]],Consumo!$Z$3:$Z$862)</f>
        <v>269</v>
      </c>
      <c r="AU101" s="402">
        <f>SUMIF(Consumo!$C$3:$C$862,tabItens[[#This Row],[CÓDIGO]],Consumo!$AA$3:$AA$862)</f>
        <v>144</v>
      </c>
      <c r="AV101" s="403">
        <f>SUMIF(Consumo!$C$3:$C$862,tabItens[[#This Row],[CÓDIGO]],Consumo!$Y$3:$Y$862)</f>
        <v>19.833333333333332</v>
      </c>
      <c r="AW101" s="380">
        <f>tabItens[[#This Row],[QTDE ATUAL]] + tabItens[[#This Row],[RC QTDE]] + tabItens[[#This Row],[AF SALDO]] + tabItens[[#This Row],[Recentes]]</f>
        <v>805</v>
      </c>
      <c r="AX101" s="404">
        <v>50</v>
      </c>
      <c r="AY101" s="404">
        <v>4</v>
      </c>
      <c r="AZ101" s="404">
        <f>IF(ISBLANK(tabItens[[#This Row],[CÓDIGO]]),"",tabItens[[#This Row],[PontoMês]] * (AZ$2+tabItens[[#This Row],[PontoQtM]]))</f>
        <v>200</v>
      </c>
      <c r="BA101" s="403">
        <f>tabItens[[#This Row],[PontoPed]] - tabItens[[#This Row],[Saldo]] + (1/10)</f>
        <v>-604.9</v>
      </c>
      <c r="BB101" s="403">
        <f xml:space="preserve"> tabItens[[#This Row],[PontoMês]] * BB$2 - tabItens[[#This Row],[QTDE ATUAL]] - (1/10)</f>
        <v>-755.1</v>
      </c>
      <c r="BC101" s="335">
        <f>IF( tabItens[[#This Row],[PontoPed]]&gt;0, IF(tabItens[[#This Row],[PontoPed]]&lt;1, 1, IF( tabItens[[#This Row],[Saldo]]&gt;tabItens[[#This Row],[PontoPed]], 0, (tabItens[[#This Row],[PontoPed]]-tabItens[[#This Row],[Saldo]])/tabItens[[#This Row],[PontoPed]] ) ), 0 )</f>
        <v>0</v>
      </c>
      <c r="BD101" s="405">
        <f>ROUNDDOWN(IF( OR( AND(tabItens[[#This Row],[PontoPed]]&lt;tabItens[[#This Row],[Saldo]],tabItens[[#This Row],[Saldo]]&gt;0), tabItens[[#This Row],[PontoPed]]=0), 99, IF(AND(tabItens[[#This Row],[Saldo]]=0,tabItens[[#This Row],[PontoPed]]&gt;0), 0, (1-tabItens[[#This Row],[PctAb]])*10 ) ),0)</f>
        <v>99</v>
      </c>
      <c r="BE101" s="406">
        <f>MAX(ROUNDDOWN( IF(tabItens[[#This Row],[Abaixo]] &gt; 0,   tabItens[[#This Row],[Abaixo]] + (tabItens[[#This Row],[PontoMês]] * IF( OR( ISBLANK(tabItens[[#This Row],[ATA Nº/ANO]]), tabItens[[#This Row],[ATA Nº/ANO]] = ""),BE$2,BE$1)),0),0),0)</f>
        <v>0</v>
      </c>
      <c r="BF10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1" s="338">
        <f>SUMIF(Consumo!$C$3:$C$862,tabItens[[#This Row],[CÓDIGO]],Consumo!$E$3:$E$862)</f>
        <v>0</v>
      </c>
      <c r="BH101" s="339">
        <f>IF(AND(tabItens[[#This Row],[Pend]] &gt; 0,tabItens[[#This Row],[Consumo]] &lt;&gt; 0), tabItens[[#This Row],[Pend]] / tabItens[[#This Row],[Consumo]], 0 )</f>
        <v>0</v>
      </c>
      <c r="BI101" s="338"/>
      <c r="BJ101" s="407"/>
      <c r="BK101" s="408" t="s">
        <v>2086</v>
      </c>
    </row>
    <row r="102" spans="1:63" x14ac:dyDescent="0.3">
      <c r="A102" s="375">
        <v>101867</v>
      </c>
      <c r="B102" s="376" t="s">
        <v>1578</v>
      </c>
      <c r="C102" s="377" t="s">
        <v>345</v>
      </c>
      <c r="D102" s="378">
        <v>215.16</v>
      </c>
      <c r="E102" s="305"/>
      <c r="F102" s="379"/>
      <c r="G102" s="379" t="s">
        <v>889</v>
      </c>
      <c r="H102" s="380">
        <v>37</v>
      </c>
      <c r="I102" s="307">
        <v>103003</v>
      </c>
      <c r="J102" s="308">
        <v>215.16</v>
      </c>
      <c r="K102" s="381">
        <v>65</v>
      </c>
      <c r="L102" s="382">
        <f>IF(tabItens[[#This Row],[Média]] &gt; 0, tabItens[[#This Row],[QTDE ATUAL]] / tabItens[[#This Row],[Média]],999.9)</f>
        <v>8.0727272727272741</v>
      </c>
      <c r="M102" s="383">
        <v>0</v>
      </c>
      <c r="N102" s="384">
        <f>tabItens[[#This Row],[VALOR UNIT.]] * tabItens[[#This Row],[LC]]</f>
        <v>0</v>
      </c>
      <c r="O102" s="385" t="s">
        <v>2112</v>
      </c>
      <c r="P102" s="386"/>
      <c r="Q102" s="387"/>
      <c r="R102" s="312"/>
      <c r="S102" s="388"/>
      <c r="T102" s="389">
        <f>ROUNDDOWN(IFERROR(tabItens[[#This Row],[ATA DT.VALID.]] - $D$1,0) / 30,0)</f>
        <v>-1474</v>
      </c>
      <c r="U102" s="302" t="s">
        <v>1039</v>
      </c>
      <c r="V102" s="318">
        <v>1</v>
      </c>
      <c r="W102" s="390" t="s">
        <v>2078</v>
      </c>
      <c r="X102" s="391">
        <v>69</v>
      </c>
      <c r="Y102" s="392">
        <v>10</v>
      </c>
      <c r="Z102" s="393"/>
      <c r="AA102" s="394"/>
      <c r="AB102" s="395"/>
      <c r="AC102" s="395"/>
      <c r="AD102" s="394"/>
      <c r="AE102" s="395"/>
      <c r="AF102" s="317"/>
      <c r="AG102" s="396" t="s">
        <v>2072</v>
      </c>
      <c r="AH102" s="397"/>
      <c r="AI102" s="317">
        <v>22</v>
      </c>
      <c r="AJ102" s="397">
        <v>43396</v>
      </c>
      <c r="AK102" s="326">
        <v>39328</v>
      </c>
      <c r="AL102" s="326">
        <v>44123</v>
      </c>
      <c r="AM102" s="316"/>
      <c r="AN102" s="305"/>
      <c r="AO102" s="327" t="str">
        <f>_xlfn.IFNA(IF(VLOOKUP(tabItens[[#This Row],[CÓDIGO]],tabExcluirDoEstoque[#Data],1,FALSE),"sim",""),"")</f>
        <v/>
      </c>
      <c r="AP102" s="398" t="str">
        <f ca="1">IF(OR(ISBLANK(tabItens[[#This Row],[ATA DT.VALID.]]),tabItens[[#This Row],[ATA DT.VALID.]]="",tabItens[[#This Row],[ATA DT.VALID.]]=" "),"",IF(TYPE(tabItens[[#This Row],[ATA DT.VALID.]])=1,ROUNDUP((tabItens[[#This Row],[ATA DT.VALID.]]-TODAY())/7,0),""))</f>
        <v/>
      </c>
      <c r="AQ102" s="399">
        <v>0</v>
      </c>
      <c r="AR102" s="400" t="str">
        <f>IF(ISBLANK(tabItens[[#This Row],[CÓDIGO]]),"",IFERROR(VLOOKUP(tabItens[[#This Row],[CÓDIGO]],Consumo!$C$2:$AC$862,26,FALSE),0))</f>
        <v>09.2023</v>
      </c>
      <c r="AS102" s="401">
        <f>SUMIF(Consumo!$C$3:$C$862,tabItens[[#This Row],[CÓDIGO]],Consumo!$N$3:$N$862) + SUMIF(Consumo!$C$3:$C$862,tabItens[[#This Row],[CÓDIGO]],Consumo!$O$3:$O$862) + SUMIF(Consumo!$C$3:$C$862,tabItens[[#This Row],[CÓDIGO]],Consumo!$P$3:$P$862) + SUMIF(Consumo!$C$3:$C$862,tabItens[[#This Row],[CÓDIGO]],Consumo!$Q$3:$Q$862)</f>
        <v>44</v>
      </c>
      <c r="AT102" s="401">
        <f>SUMIF(Consumo!$C$3:$C$862,tabItens[[#This Row],[CÓDIGO]],Consumo!$Z$3:$Z$862)</f>
        <v>65</v>
      </c>
      <c r="AU102" s="402">
        <f>SUMIF(Consumo!$C$3:$C$862,tabItens[[#This Row],[CÓDIGO]],Consumo!$AA$3:$AA$862)</f>
        <v>40</v>
      </c>
      <c r="AV102" s="403">
        <f>SUMIF(Consumo!$C$3:$C$862,tabItens[[#This Row],[CÓDIGO]],Consumo!$Y$3:$Y$862)</f>
        <v>4.583333333333333</v>
      </c>
      <c r="AW102" s="380">
        <f>tabItens[[#This Row],[QTDE ATUAL]] + tabItens[[#This Row],[RC QTDE]] + tabItens[[#This Row],[AF SALDO]] + tabItens[[#This Row],[Recentes]]</f>
        <v>37</v>
      </c>
      <c r="AX102" s="404">
        <v>13</v>
      </c>
      <c r="AY102" s="404">
        <v>4</v>
      </c>
      <c r="AZ102" s="404">
        <f>IF(ISBLANK(tabItens[[#This Row],[CÓDIGO]]),"",tabItens[[#This Row],[PontoMês]] * (AZ$2+tabItens[[#This Row],[PontoQtM]]))</f>
        <v>52</v>
      </c>
      <c r="BA102" s="403">
        <f>tabItens[[#This Row],[PontoPed]] - tabItens[[#This Row],[Saldo]] + (1/10)</f>
        <v>15.1</v>
      </c>
      <c r="BB102" s="403">
        <f xml:space="preserve"> tabItens[[#This Row],[PontoMês]] * BB$2 - tabItens[[#This Row],[QTDE ATUAL]] - (1/10)</f>
        <v>-24.1</v>
      </c>
      <c r="BC102" s="335">
        <f>IF( tabItens[[#This Row],[PontoPed]]&gt;0, IF(tabItens[[#This Row],[PontoPed]]&lt;1, 1, IF( tabItens[[#This Row],[Saldo]]&gt;tabItens[[#This Row],[PontoPed]], 0, (tabItens[[#This Row],[PontoPed]]-tabItens[[#This Row],[Saldo]])/tabItens[[#This Row],[PontoPed]] ) ), 0 )</f>
        <v>0.28846153846153844</v>
      </c>
      <c r="BD102" s="405">
        <f>ROUNDDOWN(IF( OR( AND(tabItens[[#This Row],[PontoPed]]&lt;tabItens[[#This Row],[Saldo]],tabItens[[#This Row],[Saldo]]&gt;0), tabItens[[#This Row],[PontoPed]]=0), 99, IF(AND(tabItens[[#This Row],[Saldo]]=0,tabItens[[#This Row],[PontoPed]]&gt;0), 0, (1-tabItens[[#This Row],[PctAb]])*10 ) ),0)</f>
        <v>7</v>
      </c>
      <c r="BE102" s="406">
        <f>MAX(ROUNDDOWN( IF(tabItens[[#This Row],[Abaixo]] &gt; 0,   tabItens[[#This Row],[Abaixo]] + (tabItens[[#This Row],[PontoMês]] * IF( OR( ISBLANK(tabItens[[#This Row],[ATA Nº/ANO]]), tabItens[[#This Row],[ATA Nº/ANO]] = ""),BE$2,BE$1)),0),0),0)</f>
        <v>54</v>
      </c>
      <c r="BF10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2" s="338">
        <f>SUMIF(Consumo!$C$3:$C$862,tabItens[[#This Row],[CÓDIGO]],Consumo!$E$3:$E$862)</f>
        <v>0</v>
      </c>
      <c r="BH102" s="339">
        <f>IF(AND(tabItens[[#This Row],[Pend]] &gt; 0,tabItens[[#This Row],[Consumo]] &lt;&gt; 0), tabItens[[#This Row],[Pend]] / tabItens[[#This Row],[Consumo]], 0 )</f>
        <v>0</v>
      </c>
      <c r="BI102" s="338"/>
      <c r="BJ102" s="407"/>
      <c r="BK102" s="408" t="s">
        <v>2086</v>
      </c>
    </row>
    <row r="103" spans="1:63" x14ac:dyDescent="0.3">
      <c r="A103" s="375">
        <v>101868</v>
      </c>
      <c r="B103" s="376" t="s">
        <v>1579</v>
      </c>
      <c r="C103" s="377" t="s">
        <v>345</v>
      </c>
      <c r="D103" s="378">
        <v>99.43</v>
      </c>
      <c r="E103" s="305"/>
      <c r="F103" s="379"/>
      <c r="G103" s="379" t="s">
        <v>889</v>
      </c>
      <c r="H103" s="380">
        <v>1232</v>
      </c>
      <c r="I103" s="307">
        <v>103003</v>
      </c>
      <c r="J103" s="308">
        <v>99.43</v>
      </c>
      <c r="K103" s="381">
        <v>40</v>
      </c>
      <c r="L103" s="382">
        <f>IF(tabItens[[#This Row],[Média]] &gt; 0, tabItens[[#This Row],[QTDE ATUAL]] / tabItens[[#This Row],[Média]],999.9)</f>
        <v>399.56756756756755</v>
      </c>
      <c r="M103" s="383">
        <v>0</v>
      </c>
      <c r="N103" s="384">
        <f>tabItens[[#This Row],[VALOR UNIT.]] * tabItens[[#This Row],[LC]]</f>
        <v>0</v>
      </c>
      <c r="O103" s="385" t="s">
        <v>2112</v>
      </c>
      <c r="P103" s="386"/>
      <c r="Q103" s="387"/>
      <c r="R103" s="312"/>
      <c r="S103" s="388"/>
      <c r="T103" s="389">
        <f>ROUNDDOWN(IFERROR(tabItens[[#This Row],[ATA DT.VALID.]] - $D$1,0) / 30,0)</f>
        <v>-1474</v>
      </c>
      <c r="U103" s="302" t="s">
        <v>1039</v>
      </c>
      <c r="V103" s="318">
        <v>1</v>
      </c>
      <c r="W103" s="390" t="s">
        <v>2078</v>
      </c>
      <c r="X103" s="391">
        <v>69</v>
      </c>
      <c r="Y103" s="392">
        <v>10</v>
      </c>
      <c r="Z103" s="393"/>
      <c r="AA103" s="394"/>
      <c r="AB103" s="395"/>
      <c r="AC103" s="395"/>
      <c r="AD103" s="394"/>
      <c r="AE103" s="395"/>
      <c r="AF103" s="317"/>
      <c r="AG103" s="396" t="s">
        <v>2072</v>
      </c>
      <c r="AH103" s="397"/>
      <c r="AI103" s="317">
        <v>14</v>
      </c>
      <c r="AJ103" s="397">
        <v>43693</v>
      </c>
      <c r="AK103" s="326">
        <v>39328</v>
      </c>
      <c r="AL103" s="326">
        <v>43671</v>
      </c>
      <c r="AM103" s="316"/>
      <c r="AN103" s="305"/>
      <c r="AO103" s="327" t="str">
        <f>_xlfn.IFNA(IF(VLOOKUP(tabItens[[#This Row],[CÓDIGO]],tabExcluirDoEstoque[#Data],1,FALSE),"sim",""),"")</f>
        <v/>
      </c>
      <c r="AP103" s="398" t="str">
        <f ca="1">IF(OR(ISBLANK(tabItens[[#This Row],[ATA DT.VALID.]]),tabItens[[#This Row],[ATA DT.VALID.]]="",tabItens[[#This Row],[ATA DT.VALID.]]=" "),"",IF(TYPE(tabItens[[#This Row],[ATA DT.VALID.]])=1,ROUNDUP((tabItens[[#This Row],[ATA DT.VALID.]]-TODAY())/7,0),""))</f>
        <v/>
      </c>
      <c r="AQ103" s="399">
        <v>0</v>
      </c>
      <c r="AR103" s="400" t="str">
        <f>IF(ISBLANK(tabItens[[#This Row],[CÓDIGO]]),"",IFERROR(VLOOKUP(tabItens[[#This Row],[CÓDIGO]],Consumo!$C$2:$AC$862,26,FALSE),0))</f>
        <v>09.2023</v>
      </c>
      <c r="AS103" s="401">
        <f>SUMIF(Consumo!$C$3:$C$862,tabItens[[#This Row],[CÓDIGO]],Consumo!$N$3:$N$862) + SUMIF(Consumo!$C$3:$C$862,tabItens[[#This Row],[CÓDIGO]],Consumo!$O$3:$O$862) + SUMIF(Consumo!$C$3:$C$862,tabItens[[#This Row],[CÓDIGO]],Consumo!$P$3:$P$862) + SUMIF(Consumo!$C$3:$C$862,tabItens[[#This Row],[CÓDIGO]],Consumo!$Q$3:$Q$862)</f>
        <v>22</v>
      </c>
      <c r="AT103" s="401">
        <f>SUMIF(Consumo!$C$3:$C$862,tabItens[[#This Row],[CÓDIGO]],Consumo!$Z$3:$Z$862)</f>
        <v>40</v>
      </c>
      <c r="AU103" s="402">
        <f>SUMIF(Consumo!$C$3:$C$862,tabItens[[#This Row],[CÓDIGO]],Consumo!$AA$3:$AA$862)</f>
        <v>15</v>
      </c>
      <c r="AV103" s="403">
        <f>SUMIF(Consumo!$C$3:$C$862,tabItens[[#This Row],[CÓDIGO]],Consumo!$Y$3:$Y$862)</f>
        <v>3.0833333333333335</v>
      </c>
      <c r="AW103" s="380">
        <f>tabItens[[#This Row],[QTDE ATUAL]] + tabItens[[#This Row],[RC QTDE]] + tabItens[[#This Row],[AF SALDO]] + tabItens[[#This Row],[Recentes]]</f>
        <v>1232</v>
      </c>
      <c r="AX103" s="404">
        <v>13</v>
      </c>
      <c r="AY103" s="404">
        <v>4</v>
      </c>
      <c r="AZ103" s="404">
        <f>IF(ISBLANK(tabItens[[#This Row],[CÓDIGO]]),"",tabItens[[#This Row],[PontoMês]] * (AZ$2+tabItens[[#This Row],[PontoQtM]]))</f>
        <v>52</v>
      </c>
      <c r="BA103" s="403">
        <f>tabItens[[#This Row],[PontoPed]] - tabItens[[#This Row],[Saldo]] + (1/10)</f>
        <v>-1179.9000000000001</v>
      </c>
      <c r="BB103" s="403">
        <f xml:space="preserve"> tabItens[[#This Row],[PontoMês]] * BB$2 - tabItens[[#This Row],[QTDE ATUAL]] - (1/10)</f>
        <v>-1219.0999999999999</v>
      </c>
      <c r="BC103" s="335">
        <f>IF( tabItens[[#This Row],[PontoPed]]&gt;0, IF(tabItens[[#This Row],[PontoPed]]&lt;1, 1, IF( tabItens[[#This Row],[Saldo]]&gt;tabItens[[#This Row],[PontoPed]], 0, (tabItens[[#This Row],[PontoPed]]-tabItens[[#This Row],[Saldo]])/tabItens[[#This Row],[PontoPed]] ) ), 0 )</f>
        <v>0</v>
      </c>
      <c r="BD103" s="405">
        <f>ROUNDDOWN(IF( OR( AND(tabItens[[#This Row],[PontoPed]]&lt;tabItens[[#This Row],[Saldo]],tabItens[[#This Row],[Saldo]]&gt;0), tabItens[[#This Row],[PontoPed]]=0), 99, IF(AND(tabItens[[#This Row],[Saldo]]=0,tabItens[[#This Row],[PontoPed]]&gt;0), 0, (1-tabItens[[#This Row],[PctAb]])*10 ) ),0)</f>
        <v>99</v>
      </c>
      <c r="BE103" s="406">
        <f>MAX(ROUNDDOWN( IF(tabItens[[#This Row],[Abaixo]] &gt; 0,   tabItens[[#This Row],[Abaixo]] + (tabItens[[#This Row],[PontoMês]] * IF( OR( ISBLANK(tabItens[[#This Row],[ATA Nº/ANO]]), tabItens[[#This Row],[ATA Nº/ANO]] = ""),BE$2,BE$1)),0),0),0)</f>
        <v>0</v>
      </c>
      <c r="BF10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3" s="338">
        <f>SUMIF(Consumo!$C$3:$C$862,tabItens[[#This Row],[CÓDIGO]],Consumo!$E$3:$E$862)</f>
        <v>0</v>
      </c>
      <c r="BH103" s="339">
        <f>IF(AND(tabItens[[#This Row],[Pend]] &gt; 0,tabItens[[#This Row],[Consumo]] &lt;&gt; 0), tabItens[[#This Row],[Pend]] / tabItens[[#This Row],[Consumo]], 0 )</f>
        <v>0</v>
      </c>
      <c r="BI103" s="338"/>
      <c r="BJ103" s="407"/>
      <c r="BK103" s="408" t="s">
        <v>2086</v>
      </c>
    </row>
    <row r="104" spans="1:63" x14ac:dyDescent="0.3">
      <c r="A104" s="375">
        <v>102276</v>
      </c>
      <c r="B104" s="376" t="s">
        <v>1583</v>
      </c>
      <c r="C104" s="377" t="s">
        <v>345</v>
      </c>
      <c r="D104" s="378">
        <v>186</v>
      </c>
      <c r="E104" s="305"/>
      <c r="F104" s="379"/>
      <c r="G104" s="379" t="s">
        <v>889</v>
      </c>
      <c r="H104" s="380">
        <v>232</v>
      </c>
      <c r="I104" s="307">
        <v>103003</v>
      </c>
      <c r="J104" s="308">
        <v>186</v>
      </c>
      <c r="K104" s="381">
        <v>51</v>
      </c>
      <c r="L104" s="382">
        <f>IF(tabItens[[#This Row],[Média]] &gt; 0, tabItens[[#This Row],[QTDE ATUAL]] / tabItens[[#This Row],[Média]],999.9)</f>
        <v>59.234042553191493</v>
      </c>
      <c r="M104" s="383">
        <v>0</v>
      </c>
      <c r="N104" s="384">
        <f>tabItens[[#This Row],[VALOR UNIT.]] * tabItens[[#This Row],[LC]]</f>
        <v>0</v>
      </c>
      <c r="O104" s="385" t="s">
        <v>2112</v>
      </c>
      <c r="P104" s="386"/>
      <c r="Q104" s="387"/>
      <c r="R104" s="312"/>
      <c r="S104" s="388"/>
      <c r="T104" s="389">
        <f>ROUNDDOWN(IFERROR(tabItens[[#This Row],[ATA DT.VALID.]] - $D$1,0) / 30,0)</f>
        <v>-1474</v>
      </c>
      <c r="U104" s="302" t="s">
        <v>1039</v>
      </c>
      <c r="V104" s="318">
        <v>1</v>
      </c>
      <c r="W104" s="390" t="s">
        <v>2078</v>
      </c>
      <c r="X104" s="391">
        <v>69</v>
      </c>
      <c r="Y104" s="392">
        <v>10</v>
      </c>
      <c r="Z104" s="393"/>
      <c r="AA104" s="394"/>
      <c r="AB104" s="395"/>
      <c r="AC104" s="395"/>
      <c r="AD104" s="394"/>
      <c r="AE104" s="395"/>
      <c r="AF104" s="317"/>
      <c r="AG104" s="396" t="s">
        <v>2072</v>
      </c>
      <c r="AH104" s="397"/>
      <c r="AI104" s="317">
        <v>52</v>
      </c>
      <c r="AJ104" s="397">
        <v>45188</v>
      </c>
      <c r="AK104" s="326">
        <v>39352</v>
      </c>
      <c r="AL104" s="326">
        <v>45156</v>
      </c>
      <c r="AM104" s="316"/>
      <c r="AN104" s="305"/>
      <c r="AO104" s="327" t="str">
        <f>_xlfn.IFNA(IF(VLOOKUP(tabItens[[#This Row],[CÓDIGO]],tabExcluirDoEstoque[#Data],1,FALSE),"sim",""),"")</f>
        <v/>
      </c>
      <c r="AP104" s="398" t="str">
        <f ca="1">IF(OR(ISBLANK(tabItens[[#This Row],[ATA DT.VALID.]]),tabItens[[#This Row],[ATA DT.VALID.]]="",tabItens[[#This Row],[ATA DT.VALID.]]=" "),"",IF(TYPE(tabItens[[#This Row],[ATA DT.VALID.]])=1,ROUNDUP((tabItens[[#This Row],[ATA DT.VALID.]]-TODAY())/7,0),""))</f>
        <v/>
      </c>
      <c r="AQ104" s="399">
        <v>0</v>
      </c>
      <c r="AR104" s="400" t="str">
        <f>IF(ISBLANK(tabItens[[#This Row],[CÓDIGO]]),"",IFERROR(VLOOKUP(tabItens[[#This Row],[CÓDIGO]],Consumo!$C$2:$AC$862,26,FALSE),0))</f>
        <v>09.2023</v>
      </c>
      <c r="AS104" s="401">
        <f>SUMIF(Consumo!$C$3:$C$862,tabItens[[#This Row],[CÓDIGO]],Consumo!$N$3:$N$862) + SUMIF(Consumo!$C$3:$C$862,tabItens[[#This Row],[CÓDIGO]],Consumo!$O$3:$O$862) + SUMIF(Consumo!$C$3:$C$862,tabItens[[#This Row],[CÓDIGO]],Consumo!$P$3:$P$862) + SUMIF(Consumo!$C$3:$C$862,tabItens[[#This Row],[CÓDIGO]],Consumo!$Q$3:$Q$862)</f>
        <v>26</v>
      </c>
      <c r="AT104" s="401">
        <f>SUMIF(Consumo!$C$3:$C$862,tabItens[[#This Row],[CÓDIGO]],Consumo!$Z$3:$Z$862)</f>
        <v>51</v>
      </c>
      <c r="AU104" s="402">
        <f>SUMIF(Consumo!$C$3:$C$862,tabItens[[#This Row],[CÓDIGO]],Consumo!$AA$3:$AA$862)</f>
        <v>25</v>
      </c>
      <c r="AV104" s="403">
        <f>SUMIF(Consumo!$C$3:$C$862,tabItens[[#This Row],[CÓDIGO]],Consumo!$Y$3:$Y$862)</f>
        <v>3.9166666666666665</v>
      </c>
      <c r="AW104" s="380">
        <f>tabItens[[#This Row],[QTDE ATUAL]] + tabItens[[#This Row],[RC QTDE]] + tabItens[[#This Row],[AF SALDO]] + tabItens[[#This Row],[Recentes]]</f>
        <v>232</v>
      </c>
      <c r="AX104" s="404">
        <v>21</v>
      </c>
      <c r="AY104" s="404">
        <v>4</v>
      </c>
      <c r="AZ104" s="404">
        <f>IF(ISBLANK(tabItens[[#This Row],[CÓDIGO]]),"",tabItens[[#This Row],[PontoMês]] * (AZ$2+tabItens[[#This Row],[PontoQtM]]))</f>
        <v>84</v>
      </c>
      <c r="BA104" s="403">
        <f>tabItens[[#This Row],[PontoPed]] - tabItens[[#This Row],[Saldo]] + (1/10)</f>
        <v>-147.9</v>
      </c>
      <c r="BB104" s="403">
        <f xml:space="preserve"> tabItens[[#This Row],[PontoMês]] * BB$2 - tabItens[[#This Row],[QTDE ATUAL]] - (1/10)</f>
        <v>-211.1</v>
      </c>
      <c r="BC104" s="335">
        <f>IF( tabItens[[#This Row],[PontoPed]]&gt;0, IF(tabItens[[#This Row],[PontoPed]]&lt;1, 1, IF( tabItens[[#This Row],[Saldo]]&gt;tabItens[[#This Row],[PontoPed]], 0, (tabItens[[#This Row],[PontoPed]]-tabItens[[#This Row],[Saldo]])/tabItens[[#This Row],[PontoPed]] ) ), 0 )</f>
        <v>0</v>
      </c>
      <c r="BD104" s="405">
        <f>ROUNDDOWN(IF( OR( AND(tabItens[[#This Row],[PontoPed]]&lt;tabItens[[#This Row],[Saldo]],tabItens[[#This Row],[Saldo]]&gt;0), tabItens[[#This Row],[PontoPed]]=0), 99, IF(AND(tabItens[[#This Row],[Saldo]]=0,tabItens[[#This Row],[PontoPed]]&gt;0), 0, (1-tabItens[[#This Row],[PctAb]])*10 ) ),0)</f>
        <v>99</v>
      </c>
      <c r="BE104" s="406">
        <f>MAX(ROUNDDOWN( IF(tabItens[[#This Row],[Abaixo]] &gt; 0,   tabItens[[#This Row],[Abaixo]] + (tabItens[[#This Row],[PontoMês]] * IF( OR( ISBLANK(tabItens[[#This Row],[ATA Nº/ANO]]), tabItens[[#This Row],[ATA Nº/ANO]] = ""),BE$2,BE$1)),0),0),0)</f>
        <v>0</v>
      </c>
      <c r="BF10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4" s="338">
        <f>SUMIF(Consumo!$C$3:$C$862,tabItens[[#This Row],[CÓDIGO]],Consumo!$E$3:$E$862)</f>
        <v>0</v>
      </c>
      <c r="BH104" s="339">
        <f>IF(AND(tabItens[[#This Row],[Pend]] &gt; 0,tabItens[[#This Row],[Consumo]] &lt;&gt; 0), tabItens[[#This Row],[Pend]] / tabItens[[#This Row],[Consumo]], 0 )</f>
        <v>0</v>
      </c>
      <c r="BI104" s="338"/>
      <c r="BJ104" s="407"/>
      <c r="BK104" s="408" t="s">
        <v>2086</v>
      </c>
    </row>
    <row r="105" spans="1:63" x14ac:dyDescent="0.3">
      <c r="A105" s="375">
        <v>102279</v>
      </c>
      <c r="B105" s="376" t="s">
        <v>1586</v>
      </c>
      <c r="C105" s="377" t="s">
        <v>345</v>
      </c>
      <c r="D105" s="378">
        <v>240</v>
      </c>
      <c r="E105" s="305"/>
      <c r="F105" s="379"/>
      <c r="G105" s="379" t="s">
        <v>889</v>
      </c>
      <c r="H105" s="380">
        <v>314</v>
      </c>
      <c r="I105" s="307">
        <v>103003</v>
      </c>
      <c r="J105" s="308">
        <v>240</v>
      </c>
      <c r="K105" s="381">
        <v>41</v>
      </c>
      <c r="L105" s="382">
        <f>IF(tabItens[[#This Row],[Média]] &gt; 0, tabItens[[#This Row],[QTDE ATUAL]] / tabItens[[#This Row],[Média]],999.9)</f>
        <v>61.770491803278695</v>
      </c>
      <c r="M105" s="383">
        <v>0</v>
      </c>
      <c r="N105" s="384">
        <f>tabItens[[#This Row],[VALOR UNIT.]] * tabItens[[#This Row],[LC]]</f>
        <v>0</v>
      </c>
      <c r="O105" s="385" t="s">
        <v>2112</v>
      </c>
      <c r="P105" s="386"/>
      <c r="Q105" s="387"/>
      <c r="R105" s="312"/>
      <c r="S105" s="388"/>
      <c r="T105" s="389">
        <f>ROUNDDOWN(IFERROR(tabItens[[#This Row],[ATA DT.VALID.]] - $D$1,0) / 30,0)</f>
        <v>-1474</v>
      </c>
      <c r="U105" s="302" t="s">
        <v>1039</v>
      </c>
      <c r="V105" s="318">
        <v>1</v>
      </c>
      <c r="W105" s="390" t="s">
        <v>2078</v>
      </c>
      <c r="X105" s="391">
        <v>69</v>
      </c>
      <c r="Y105" s="392">
        <v>10</v>
      </c>
      <c r="Z105" s="393"/>
      <c r="AA105" s="394"/>
      <c r="AB105" s="395"/>
      <c r="AC105" s="395"/>
      <c r="AD105" s="394"/>
      <c r="AE105" s="395"/>
      <c r="AF105" s="317"/>
      <c r="AG105" s="396" t="s">
        <v>2072</v>
      </c>
      <c r="AH105" s="397"/>
      <c r="AI105" s="317">
        <v>114</v>
      </c>
      <c r="AJ105" s="397">
        <v>45195</v>
      </c>
      <c r="AK105" s="326">
        <v>39352</v>
      </c>
      <c r="AL105" s="326">
        <v>45156</v>
      </c>
      <c r="AM105" s="316"/>
      <c r="AN105" s="305"/>
      <c r="AO105" s="327" t="str">
        <f>_xlfn.IFNA(IF(VLOOKUP(tabItens[[#This Row],[CÓDIGO]],tabExcluirDoEstoque[#Data],1,FALSE),"sim",""),"")</f>
        <v/>
      </c>
      <c r="AP105" s="398" t="str">
        <f ca="1">IF(OR(ISBLANK(tabItens[[#This Row],[ATA DT.VALID.]]),tabItens[[#This Row],[ATA DT.VALID.]]="",tabItens[[#This Row],[ATA DT.VALID.]]=" "),"",IF(TYPE(tabItens[[#This Row],[ATA DT.VALID.]])=1,ROUNDUP((tabItens[[#This Row],[ATA DT.VALID.]]-TODAY())/7,0),""))</f>
        <v/>
      </c>
      <c r="AQ105" s="399">
        <v>0</v>
      </c>
      <c r="AR105" s="400" t="str">
        <f>IF(ISBLANK(tabItens[[#This Row],[CÓDIGO]]),"",IFERROR(VLOOKUP(tabItens[[#This Row],[CÓDIGO]],Consumo!$C$2:$AC$862,26,FALSE),0))</f>
        <v>09.2023</v>
      </c>
      <c r="AS105" s="401">
        <f>SUMIF(Consumo!$C$3:$C$862,tabItens[[#This Row],[CÓDIGO]],Consumo!$N$3:$N$862) + SUMIF(Consumo!$C$3:$C$862,tabItens[[#This Row],[CÓDIGO]],Consumo!$O$3:$O$862) + SUMIF(Consumo!$C$3:$C$862,tabItens[[#This Row],[CÓDIGO]],Consumo!$P$3:$P$862) + SUMIF(Consumo!$C$3:$C$862,tabItens[[#This Row],[CÓDIGO]],Consumo!$Q$3:$Q$862)</f>
        <v>16</v>
      </c>
      <c r="AT105" s="401">
        <f>SUMIF(Consumo!$C$3:$C$862,tabItens[[#This Row],[CÓDIGO]],Consumo!$Z$3:$Z$862)</f>
        <v>61</v>
      </c>
      <c r="AU105" s="402">
        <f>SUMIF(Consumo!$C$3:$C$862,tabItens[[#This Row],[CÓDIGO]],Consumo!$AA$3:$AA$862)</f>
        <v>10</v>
      </c>
      <c r="AV105" s="403">
        <f>SUMIF(Consumo!$C$3:$C$862,tabItens[[#This Row],[CÓDIGO]],Consumo!$Y$3:$Y$862)</f>
        <v>5.083333333333333</v>
      </c>
      <c r="AW105" s="380">
        <f>tabItens[[#This Row],[QTDE ATUAL]] + tabItens[[#This Row],[RC QTDE]] + tabItens[[#This Row],[AF SALDO]] + tabItens[[#This Row],[Recentes]]</f>
        <v>314</v>
      </c>
      <c r="AX105" s="404">
        <v>13</v>
      </c>
      <c r="AY105" s="404">
        <v>4</v>
      </c>
      <c r="AZ105" s="404">
        <f>IF(ISBLANK(tabItens[[#This Row],[CÓDIGO]]),"",tabItens[[#This Row],[PontoMês]] * (AZ$2+tabItens[[#This Row],[PontoQtM]]))</f>
        <v>52</v>
      </c>
      <c r="BA105" s="403">
        <f>tabItens[[#This Row],[PontoPed]] - tabItens[[#This Row],[Saldo]] + (1/10)</f>
        <v>-261.89999999999998</v>
      </c>
      <c r="BB105" s="403">
        <f xml:space="preserve"> tabItens[[#This Row],[PontoMês]] * BB$2 - tabItens[[#This Row],[QTDE ATUAL]] - (1/10)</f>
        <v>-301.10000000000002</v>
      </c>
      <c r="BC105" s="335">
        <f>IF( tabItens[[#This Row],[PontoPed]]&gt;0, IF(tabItens[[#This Row],[PontoPed]]&lt;1, 1, IF( tabItens[[#This Row],[Saldo]]&gt;tabItens[[#This Row],[PontoPed]], 0, (tabItens[[#This Row],[PontoPed]]-tabItens[[#This Row],[Saldo]])/tabItens[[#This Row],[PontoPed]] ) ), 0 )</f>
        <v>0</v>
      </c>
      <c r="BD105" s="405">
        <f>ROUNDDOWN(IF( OR( AND(tabItens[[#This Row],[PontoPed]]&lt;tabItens[[#This Row],[Saldo]],tabItens[[#This Row],[Saldo]]&gt;0), tabItens[[#This Row],[PontoPed]]=0), 99, IF(AND(tabItens[[#This Row],[Saldo]]=0,tabItens[[#This Row],[PontoPed]]&gt;0), 0, (1-tabItens[[#This Row],[PctAb]])*10 ) ),0)</f>
        <v>99</v>
      </c>
      <c r="BE105" s="406">
        <f>MAX(ROUNDDOWN( IF(tabItens[[#This Row],[Abaixo]] &gt; 0,   tabItens[[#This Row],[Abaixo]] + (tabItens[[#This Row],[PontoMês]] * IF( OR( ISBLANK(tabItens[[#This Row],[ATA Nº/ANO]]), tabItens[[#This Row],[ATA Nº/ANO]] = ""),BE$2,BE$1)),0),0),0)</f>
        <v>0</v>
      </c>
      <c r="BF10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5" s="338">
        <f>SUMIF(Consumo!$C$3:$C$862,tabItens[[#This Row],[CÓDIGO]],Consumo!$E$3:$E$862)</f>
        <v>20</v>
      </c>
      <c r="BH105" s="339">
        <f>IF(AND(tabItens[[#This Row],[Pend]] &gt; 0,tabItens[[#This Row],[Consumo]] &lt;&gt; 0), tabItens[[#This Row],[Pend]] / tabItens[[#This Row],[Consumo]], 0 )</f>
        <v>0.32786885245901637</v>
      </c>
      <c r="BI105" s="338"/>
      <c r="BJ105" s="407"/>
      <c r="BK105" s="408" t="s">
        <v>2086</v>
      </c>
    </row>
    <row r="106" spans="1:63" x14ac:dyDescent="0.3">
      <c r="A106" s="375">
        <v>110578</v>
      </c>
      <c r="B106" s="376" t="s">
        <v>1670</v>
      </c>
      <c r="C106" s="377" t="s">
        <v>1671</v>
      </c>
      <c r="D106" s="378">
        <v>5.09</v>
      </c>
      <c r="E106" s="305"/>
      <c r="F106" s="379"/>
      <c r="G106" s="379" t="s">
        <v>889</v>
      </c>
      <c r="H106" s="380">
        <v>140</v>
      </c>
      <c r="I106" s="307">
        <v>103003</v>
      </c>
      <c r="J106" s="308">
        <v>5.09</v>
      </c>
      <c r="K106" s="381">
        <v>135</v>
      </c>
      <c r="L106" s="382">
        <f>IF(tabItens[[#This Row],[Média]] &gt; 0, tabItens[[#This Row],[QTDE ATUAL]] / tabItens[[#This Row],[Média]],999.9)</f>
        <v>7.6712328767123283</v>
      </c>
      <c r="M106" s="383">
        <v>0</v>
      </c>
      <c r="N106" s="384">
        <f>tabItens[[#This Row],[VALOR UNIT.]] * tabItens[[#This Row],[LC]]</f>
        <v>0</v>
      </c>
      <c r="O106" s="385" t="s">
        <v>2178</v>
      </c>
      <c r="P106" s="386"/>
      <c r="Q106" s="387"/>
      <c r="R106" s="312"/>
      <c r="S106" s="388"/>
      <c r="T106" s="389">
        <f>ROUNDDOWN(IFERROR(tabItens[[#This Row],[ATA DT.VALID.]] - $D$1,0) / 30,0)</f>
        <v>-1474</v>
      </c>
      <c r="U106" s="302" t="s">
        <v>1534</v>
      </c>
      <c r="V106" s="318">
        <v>1</v>
      </c>
      <c r="W106" s="390" t="s">
        <v>2073</v>
      </c>
      <c r="X106" s="391">
        <v>72</v>
      </c>
      <c r="Y106" s="392">
        <v>9</v>
      </c>
      <c r="Z106" s="393"/>
      <c r="AA106" s="394"/>
      <c r="AB106" s="395"/>
      <c r="AC106" s="395"/>
      <c r="AD106" s="394"/>
      <c r="AE106" s="395"/>
      <c r="AF106" s="317"/>
      <c r="AG106" s="396" t="s">
        <v>2072</v>
      </c>
      <c r="AH106" s="397"/>
      <c r="AI106" s="317">
        <v>120</v>
      </c>
      <c r="AJ106" s="397">
        <v>45180</v>
      </c>
      <c r="AK106" s="326">
        <v>39916</v>
      </c>
      <c r="AL106" s="326">
        <v>45145</v>
      </c>
      <c r="AM106" s="316"/>
      <c r="AN106" s="305"/>
      <c r="AO106" s="327" t="str">
        <f>_xlfn.IFNA(IF(VLOOKUP(tabItens[[#This Row],[CÓDIGO]],tabExcluirDoEstoque[#Data],1,FALSE),"sim",""),"")</f>
        <v/>
      </c>
      <c r="AP106" s="398" t="str">
        <f ca="1">IF(OR(ISBLANK(tabItens[[#This Row],[ATA DT.VALID.]]),tabItens[[#This Row],[ATA DT.VALID.]]="",tabItens[[#This Row],[ATA DT.VALID.]]=" "),"",IF(TYPE(tabItens[[#This Row],[ATA DT.VALID.]])=1,ROUNDUP((tabItens[[#This Row],[ATA DT.VALID.]]-TODAY())/7,0),""))</f>
        <v/>
      </c>
      <c r="AQ106" s="399">
        <v>0</v>
      </c>
      <c r="AR106" s="400" t="str">
        <f>IF(ISBLANK(tabItens[[#This Row],[CÓDIGO]]),"",IFERROR(VLOOKUP(tabItens[[#This Row],[CÓDIGO]],Consumo!$C$2:$AC$862,26,FALSE),0))</f>
        <v>09.2023</v>
      </c>
      <c r="AS106" s="401">
        <f>SUMIF(Consumo!$C$3:$C$862,tabItens[[#This Row],[CÓDIGO]],Consumo!$N$3:$N$862) + SUMIF(Consumo!$C$3:$C$862,tabItens[[#This Row],[CÓDIGO]],Consumo!$O$3:$O$862) + SUMIF(Consumo!$C$3:$C$862,tabItens[[#This Row],[CÓDIGO]],Consumo!$P$3:$P$862) + SUMIF(Consumo!$C$3:$C$862,tabItens[[#This Row],[CÓDIGO]],Consumo!$Q$3:$Q$862)</f>
        <v>58</v>
      </c>
      <c r="AT106" s="401">
        <f>SUMIF(Consumo!$C$3:$C$862,tabItens[[#This Row],[CÓDIGO]],Consumo!$Z$3:$Z$862)</f>
        <v>220</v>
      </c>
      <c r="AU106" s="402">
        <f>SUMIF(Consumo!$C$3:$C$862,tabItens[[#This Row],[CÓDIGO]],Consumo!$AA$3:$AA$862)</f>
        <v>30</v>
      </c>
      <c r="AV106" s="403">
        <f>SUMIF(Consumo!$C$3:$C$862,tabItens[[#This Row],[CÓDIGO]],Consumo!$Y$3:$Y$862)</f>
        <v>18.25</v>
      </c>
      <c r="AW106" s="380">
        <f>tabItens[[#This Row],[QTDE ATUAL]] + tabItens[[#This Row],[RC QTDE]] + tabItens[[#This Row],[AF SALDO]] + tabItens[[#This Row],[Recentes]]</f>
        <v>140</v>
      </c>
      <c r="AX106" s="404">
        <v>31</v>
      </c>
      <c r="AY106" s="404">
        <v>4</v>
      </c>
      <c r="AZ106" s="404">
        <f>IF(ISBLANK(tabItens[[#This Row],[CÓDIGO]]),"",tabItens[[#This Row],[PontoMês]] * (AZ$2+tabItens[[#This Row],[PontoQtM]]))</f>
        <v>124</v>
      </c>
      <c r="BA106" s="403">
        <f>tabItens[[#This Row],[PontoPed]] - tabItens[[#This Row],[Saldo]] + (1/10)</f>
        <v>-15.9</v>
      </c>
      <c r="BB106" s="403">
        <f xml:space="preserve"> tabItens[[#This Row],[PontoMês]] * BB$2 - tabItens[[#This Row],[QTDE ATUAL]] - (1/10)</f>
        <v>-109.1</v>
      </c>
      <c r="BC106" s="335">
        <f>IF( tabItens[[#This Row],[PontoPed]]&gt;0, IF(tabItens[[#This Row],[PontoPed]]&lt;1, 1, IF( tabItens[[#This Row],[Saldo]]&gt;tabItens[[#This Row],[PontoPed]], 0, (tabItens[[#This Row],[PontoPed]]-tabItens[[#This Row],[Saldo]])/tabItens[[#This Row],[PontoPed]] ) ), 0 )</f>
        <v>0</v>
      </c>
      <c r="BD106" s="405">
        <f>ROUNDDOWN(IF( OR( AND(tabItens[[#This Row],[PontoPed]]&lt;tabItens[[#This Row],[Saldo]],tabItens[[#This Row],[Saldo]]&gt;0), tabItens[[#This Row],[PontoPed]]=0), 99, IF(AND(tabItens[[#This Row],[Saldo]]=0,tabItens[[#This Row],[PontoPed]]&gt;0), 0, (1-tabItens[[#This Row],[PctAb]])*10 ) ),0)</f>
        <v>99</v>
      </c>
      <c r="BE106" s="406">
        <f>MAX(ROUNDDOWN( IF(tabItens[[#This Row],[Abaixo]] &gt; 0,   tabItens[[#This Row],[Abaixo]] + (tabItens[[#This Row],[PontoMês]] * IF( OR( ISBLANK(tabItens[[#This Row],[ATA Nº/ANO]]), tabItens[[#This Row],[ATA Nº/ANO]] = ""),BE$2,BE$1)),0),0),0)</f>
        <v>0</v>
      </c>
      <c r="BF10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6" s="338">
        <f>SUMIF(Consumo!$C$3:$C$862,tabItens[[#This Row],[CÓDIGO]],Consumo!$E$3:$E$862)</f>
        <v>0</v>
      </c>
      <c r="BH106" s="339">
        <f>IF(AND(tabItens[[#This Row],[Pend]] &gt; 0,tabItens[[#This Row],[Consumo]] &lt;&gt; 0), tabItens[[#This Row],[Pend]] / tabItens[[#This Row],[Consumo]], 0 )</f>
        <v>0</v>
      </c>
      <c r="BI106" s="338"/>
      <c r="BJ106" s="407"/>
      <c r="BK106" s="408" t="s">
        <v>2086</v>
      </c>
    </row>
    <row r="107" spans="1:63" x14ac:dyDescent="0.3">
      <c r="A107" s="375">
        <v>12763</v>
      </c>
      <c r="B107" s="376" t="s">
        <v>962</v>
      </c>
      <c r="C107" s="377" t="s">
        <v>611</v>
      </c>
      <c r="D107" s="378">
        <v>22.8</v>
      </c>
      <c r="E107" s="305"/>
      <c r="F107" s="379"/>
      <c r="G107" s="379" t="s">
        <v>889</v>
      </c>
      <c r="H107" s="380">
        <v>988</v>
      </c>
      <c r="I107" s="307">
        <v>103003</v>
      </c>
      <c r="J107" s="308">
        <v>22.8</v>
      </c>
      <c r="K107" s="381">
        <v>908</v>
      </c>
      <c r="L107" s="382">
        <f>IF(tabItens[[#This Row],[Média]] &gt; 0, tabItens[[#This Row],[QTDE ATUAL]] / tabItens[[#This Row],[Média]],999.9)</f>
        <v>9.8308457711442792</v>
      </c>
      <c r="M107" s="383">
        <v>0</v>
      </c>
      <c r="N107" s="384">
        <f>tabItens[[#This Row],[VALOR UNIT.]] * tabItens[[#This Row],[LC]]</f>
        <v>0</v>
      </c>
      <c r="O107" s="385" t="s">
        <v>2095</v>
      </c>
      <c r="P107" s="386"/>
      <c r="Q107" s="387"/>
      <c r="R107" s="312"/>
      <c r="S107" s="388"/>
      <c r="T107" s="389">
        <f>ROUNDDOWN(IFERROR(tabItens[[#This Row],[ATA DT.VALID.]] - $D$1,0) / 30,0)</f>
        <v>-1474</v>
      </c>
      <c r="U107" s="302" t="s">
        <v>963</v>
      </c>
      <c r="V107" s="318">
        <v>1</v>
      </c>
      <c r="W107" s="390" t="s">
        <v>2071</v>
      </c>
      <c r="X107" s="391">
        <v>51</v>
      </c>
      <c r="Y107" s="392">
        <v>3</v>
      </c>
      <c r="Z107" s="393"/>
      <c r="AA107" s="394"/>
      <c r="AB107" s="395"/>
      <c r="AC107" s="395"/>
      <c r="AD107" s="394"/>
      <c r="AE107" s="395"/>
      <c r="AF107" s="317"/>
      <c r="AG107" s="396" t="s">
        <v>2072</v>
      </c>
      <c r="AH107" s="397"/>
      <c r="AI107" s="317">
        <v>362</v>
      </c>
      <c r="AJ107" s="397">
        <v>45181</v>
      </c>
      <c r="AK107" s="326" t="s">
        <v>889</v>
      </c>
      <c r="AL107" s="326">
        <v>45160</v>
      </c>
      <c r="AM107" s="316"/>
      <c r="AN107" s="305"/>
      <c r="AO107" s="327" t="str">
        <f>_xlfn.IFNA(IF(VLOOKUP(tabItens[[#This Row],[CÓDIGO]],tabExcluirDoEstoque[#Data],1,FALSE),"sim",""),"")</f>
        <v/>
      </c>
      <c r="AP107" s="398" t="str">
        <f ca="1">IF(OR(ISBLANK(tabItens[[#This Row],[ATA DT.VALID.]]),tabItens[[#This Row],[ATA DT.VALID.]]="",tabItens[[#This Row],[ATA DT.VALID.]]=" "),"",IF(TYPE(tabItens[[#This Row],[ATA DT.VALID.]])=1,ROUNDUP((tabItens[[#This Row],[ATA DT.VALID.]]-TODAY())/7,0),""))</f>
        <v/>
      </c>
      <c r="AQ107" s="399">
        <v>0</v>
      </c>
      <c r="AR107" s="400" t="str">
        <f>IF(ISBLANK(tabItens[[#This Row],[CÓDIGO]]),"",IFERROR(VLOOKUP(tabItens[[#This Row],[CÓDIGO]],Consumo!$C$2:$AC$862,26,FALSE),0))</f>
        <v>08.2023</v>
      </c>
      <c r="AS107" s="401">
        <f>SUMIF(Consumo!$C$3:$C$862,tabItens[[#This Row],[CÓDIGO]],Consumo!$N$3:$N$862) + SUMIF(Consumo!$C$3:$C$862,tabItens[[#This Row],[CÓDIGO]],Consumo!$O$3:$O$862) + SUMIF(Consumo!$C$3:$C$862,tabItens[[#This Row],[CÓDIGO]],Consumo!$P$3:$P$862) + SUMIF(Consumo!$C$3:$C$862,tabItens[[#This Row],[CÓDIGO]],Consumo!$Q$3:$Q$862)</f>
        <v>279</v>
      </c>
      <c r="AT107" s="401">
        <f>SUMIF(Consumo!$C$3:$C$862,tabItens[[#This Row],[CÓDIGO]],Consumo!$Z$3:$Z$862)</f>
        <v>1206</v>
      </c>
      <c r="AU107" s="402">
        <f>SUMIF(Consumo!$C$3:$C$862,tabItens[[#This Row],[CÓDIGO]],Consumo!$AA$3:$AA$862)</f>
        <v>217</v>
      </c>
      <c r="AV107" s="403">
        <f>SUMIF(Consumo!$C$3:$C$862,tabItens[[#This Row],[CÓDIGO]],Consumo!$Y$3:$Y$862)</f>
        <v>100.5</v>
      </c>
      <c r="AW107" s="380">
        <f>tabItens[[#This Row],[QTDE ATUAL]] + tabItens[[#This Row],[RC QTDE]] + tabItens[[#This Row],[AF SALDO]] + tabItens[[#This Row],[Recentes]]</f>
        <v>988</v>
      </c>
      <c r="AX107" s="404">
        <v>100</v>
      </c>
      <c r="AY107" s="404">
        <v>4</v>
      </c>
      <c r="AZ107" s="404">
        <f>IF(ISBLANK(tabItens[[#This Row],[CÓDIGO]]),"",tabItens[[#This Row],[PontoMês]] * (AZ$2+tabItens[[#This Row],[PontoQtM]]))</f>
        <v>400</v>
      </c>
      <c r="BA107" s="403">
        <f>tabItens[[#This Row],[PontoPed]] - tabItens[[#This Row],[Saldo]] + (1/10)</f>
        <v>-587.9</v>
      </c>
      <c r="BB107" s="403">
        <f xml:space="preserve"> tabItens[[#This Row],[PontoMês]] * BB$2 - tabItens[[#This Row],[QTDE ATUAL]] - (1/10)</f>
        <v>-888.1</v>
      </c>
      <c r="BC107" s="335">
        <f>IF( tabItens[[#This Row],[PontoPed]]&gt;0, IF(tabItens[[#This Row],[PontoPed]]&lt;1, 1, IF( tabItens[[#This Row],[Saldo]]&gt;tabItens[[#This Row],[PontoPed]], 0, (tabItens[[#This Row],[PontoPed]]-tabItens[[#This Row],[Saldo]])/tabItens[[#This Row],[PontoPed]] ) ), 0 )</f>
        <v>0</v>
      </c>
      <c r="BD107" s="405">
        <f>ROUNDDOWN(IF( OR( AND(tabItens[[#This Row],[PontoPed]]&lt;tabItens[[#This Row],[Saldo]],tabItens[[#This Row],[Saldo]]&gt;0), tabItens[[#This Row],[PontoPed]]=0), 99, IF(AND(tabItens[[#This Row],[Saldo]]=0,tabItens[[#This Row],[PontoPed]]&gt;0), 0, (1-tabItens[[#This Row],[PctAb]])*10 ) ),0)</f>
        <v>99</v>
      </c>
      <c r="BE107" s="406">
        <f>MAX(ROUNDDOWN( IF(tabItens[[#This Row],[Abaixo]] &gt; 0,   tabItens[[#This Row],[Abaixo]] + (tabItens[[#This Row],[PontoMês]] * IF( OR( ISBLANK(tabItens[[#This Row],[ATA Nº/ANO]]), tabItens[[#This Row],[ATA Nº/ANO]] = ""),BE$2,BE$1)),0),0),0)</f>
        <v>0</v>
      </c>
      <c r="BF10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7" s="338">
        <f>SUMIF(Consumo!$C$3:$C$862,tabItens[[#This Row],[CÓDIGO]],Consumo!$E$3:$E$862)</f>
        <v>122</v>
      </c>
      <c r="BH107" s="339">
        <f>IF(AND(tabItens[[#This Row],[Pend]] &gt; 0,tabItens[[#This Row],[Consumo]] &lt;&gt; 0), tabItens[[#This Row],[Pend]] / tabItens[[#This Row],[Consumo]], 0 )</f>
        <v>0.1011608623548922</v>
      </c>
      <c r="BI107" s="338"/>
      <c r="BJ107" s="407"/>
      <c r="BK107" s="408" t="s">
        <v>2086</v>
      </c>
    </row>
    <row r="108" spans="1:63" x14ac:dyDescent="0.3">
      <c r="A108" s="375">
        <v>26282</v>
      </c>
      <c r="B108" s="376" t="s">
        <v>1211</v>
      </c>
      <c r="C108" s="377" t="s">
        <v>263</v>
      </c>
      <c r="D108" s="378">
        <v>297</v>
      </c>
      <c r="E108" s="305"/>
      <c r="F108" s="379"/>
      <c r="G108" s="379" t="s">
        <v>889</v>
      </c>
      <c r="H108" s="380">
        <v>19</v>
      </c>
      <c r="I108" s="307">
        <v>103003</v>
      </c>
      <c r="J108" s="308">
        <v>297</v>
      </c>
      <c r="K108" s="381"/>
      <c r="L108" s="382">
        <f>IF(tabItens[[#This Row],[Média]] &gt; 0, tabItens[[#This Row],[QTDE ATUAL]] / tabItens[[#This Row],[Média]],999.9)</f>
        <v>999.9</v>
      </c>
      <c r="M108" s="383">
        <v>0</v>
      </c>
      <c r="N108" s="384">
        <f>tabItens[[#This Row],[VALOR UNIT.]] * tabItens[[#This Row],[LC]]</f>
        <v>0</v>
      </c>
      <c r="O108" s="385" t="s">
        <v>2095</v>
      </c>
      <c r="P108" s="386"/>
      <c r="Q108" s="387"/>
      <c r="R108" s="312"/>
      <c r="S108" s="388"/>
      <c r="T108" s="389">
        <f>ROUNDDOWN(IFERROR(tabItens[[#This Row],[ATA DT.VALID.]] - $D$1,0) / 30,0)</f>
        <v>-1474</v>
      </c>
      <c r="U108" s="302" t="s">
        <v>1212</v>
      </c>
      <c r="V108" s="318">
        <v>1</v>
      </c>
      <c r="W108" s="390" t="s">
        <v>2071</v>
      </c>
      <c r="X108" s="391">
        <v>51</v>
      </c>
      <c r="Y108" s="392">
        <v>26</v>
      </c>
      <c r="Z108" s="393"/>
      <c r="AA108" s="394"/>
      <c r="AB108" s="395"/>
      <c r="AC108" s="395"/>
      <c r="AD108" s="394"/>
      <c r="AE108" s="395"/>
      <c r="AF108" s="317"/>
      <c r="AG108" s="396" t="s">
        <v>2072</v>
      </c>
      <c r="AH108" s="397"/>
      <c r="AI108" s="317">
        <v>0</v>
      </c>
      <c r="AJ108" s="397">
        <v>42381</v>
      </c>
      <c r="AK108" s="326" t="s">
        <v>889</v>
      </c>
      <c r="AL108" s="326">
        <v>42349</v>
      </c>
      <c r="AM108" s="316"/>
      <c r="AN108" s="305"/>
      <c r="AO108" s="327" t="str">
        <f>_xlfn.IFNA(IF(VLOOKUP(tabItens[[#This Row],[CÓDIGO]],tabExcluirDoEstoque[#Data],1,FALSE),"sim",""),"")</f>
        <v/>
      </c>
      <c r="AP108" s="398" t="str">
        <f ca="1">IF(OR(ISBLANK(tabItens[[#This Row],[ATA DT.VALID.]]),tabItens[[#This Row],[ATA DT.VALID.]]="",tabItens[[#This Row],[ATA DT.VALID.]]=" "),"",IF(TYPE(tabItens[[#This Row],[ATA DT.VALID.]])=1,ROUNDUP((tabItens[[#This Row],[ATA DT.VALID.]]-TODAY())/7,0),""))</f>
        <v/>
      </c>
      <c r="AQ108" s="399">
        <v>0</v>
      </c>
      <c r="AR108" s="400">
        <f>IF(ISBLANK(tabItens[[#This Row],[CÓDIGO]]),"",IFERROR(VLOOKUP(tabItens[[#This Row],[CÓDIGO]],Consumo!$C$2:$AC$862,26,FALSE),0))</f>
        <v>0</v>
      </c>
      <c r="AS108" s="401">
        <f>SUMIF(Consumo!$C$3:$C$862,tabItens[[#This Row],[CÓDIGO]],Consumo!$N$3:$N$862) + SUMIF(Consumo!$C$3:$C$862,tabItens[[#This Row],[CÓDIGO]],Consumo!$O$3:$O$862) + SUMIF(Consumo!$C$3:$C$862,tabItens[[#This Row],[CÓDIGO]],Consumo!$P$3:$P$862) + SUMIF(Consumo!$C$3:$C$862,tabItens[[#This Row],[CÓDIGO]],Consumo!$Q$3:$Q$862)</f>
        <v>0</v>
      </c>
      <c r="AT108" s="401">
        <f>SUMIF(Consumo!$C$3:$C$862,tabItens[[#This Row],[CÓDIGO]],Consumo!$Z$3:$Z$862)</f>
        <v>0</v>
      </c>
      <c r="AU108" s="402">
        <f>SUMIF(Consumo!$C$3:$C$862,tabItens[[#This Row],[CÓDIGO]],Consumo!$AA$3:$AA$862)</f>
        <v>0</v>
      </c>
      <c r="AV108" s="403">
        <f>SUMIF(Consumo!$C$3:$C$862,tabItens[[#This Row],[CÓDIGO]],Consumo!$Y$3:$Y$862)</f>
        <v>0</v>
      </c>
      <c r="AW108" s="380">
        <f>tabItens[[#This Row],[QTDE ATUAL]] + tabItens[[#This Row],[RC QTDE]] + tabItens[[#This Row],[AF SALDO]] + tabItens[[#This Row],[Recentes]]</f>
        <v>19</v>
      </c>
      <c r="AX108" s="404">
        <v>1</v>
      </c>
      <c r="AY108" s="404">
        <v>4</v>
      </c>
      <c r="AZ108" s="404">
        <f>IF(ISBLANK(tabItens[[#This Row],[CÓDIGO]]),"",tabItens[[#This Row],[PontoMês]] * (AZ$2+tabItens[[#This Row],[PontoQtM]]))</f>
        <v>4</v>
      </c>
      <c r="BA108" s="403">
        <f>tabItens[[#This Row],[PontoPed]] - tabItens[[#This Row],[Saldo]] + (1/10)</f>
        <v>-14.9</v>
      </c>
      <c r="BB108" s="403">
        <f xml:space="preserve"> tabItens[[#This Row],[PontoMês]] * BB$2 - tabItens[[#This Row],[QTDE ATUAL]] - (1/10)</f>
        <v>-18.100000000000001</v>
      </c>
      <c r="BC108" s="335">
        <f>IF( tabItens[[#This Row],[PontoPed]]&gt;0, IF(tabItens[[#This Row],[PontoPed]]&lt;1, 1, IF( tabItens[[#This Row],[Saldo]]&gt;tabItens[[#This Row],[PontoPed]], 0, (tabItens[[#This Row],[PontoPed]]-tabItens[[#This Row],[Saldo]])/tabItens[[#This Row],[PontoPed]] ) ), 0 )</f>
        <v>0</v>
      </c>
      <c r="BD108" s="405">
        <f>ROUNDDOWN(IF( OR( AND(tabItens[[#This Row],[PontoPed]]&lt;tabItens[[#This Row],[Saldo]],tabItens[[#This Row],[Saldo]]&gt;0), tabItens[[#This Row],[PontoPed]]=0), 99, IF(AND(tabItens[[#This Row],[Saldo]]=0,tabItens[[#This Row],[PontoPed]]&gt;0), 0, (1-tabItens[[#This Row],[PctAb]])*10 ) ),0)</f>
        <v>99</v>
      </c>
      <c r="BE108" s="406">
        <f>MAX(ROUNDDOWN( IF(tabItens[[#This Row],[Abaixo]] &gt; 0,   tabItens[[#This Row],[Abaixo]] + (tabItens[[#This Row],[PontoMês]] * IF( OR( ISBLANK(tabItens[[#This Row],[ATA Nº/ANO]]), tabItens[[#This Row],[ATA Nº/ANO]] = ""),BE$2,BE$1)),0),0),0)</f>
        <v>0</v>
      </c>
      <c r="BF10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8" s="338">
        <f>SUMIF(Consumo!$C$3:$C$862,tabItens[[#This Row],[CÓDIGO]],Consumo!$E$3:$E$862)</f>
        <v>0</v>
      </c>
      <c r="BH108" s="339">
        <f>IF(AND(tabItens[[#This Row],[Pend]] &gt; 0,tabItens[[#This Row],[Consumo]] &lt;&gt; 0), tabItens[[#This Row],[Pend]] / tabItens[[#This Row],[Consumo]], 0 )</f>
        <v>0</v>
      </c>
      <c r="BI108" s="338"/>
      <c r="BJ108" s="407"/>
      <c r="BK108" s="408" t="s">
        <v>2086</v>
      </c>
    </row>
    <row r="109" spans="1:63" x14ac:dyDescent="0.3">
      <c r="A109" s="375">
        <v>34214</v>
      </c>
      <c r="B109" s="376" t="s">
        <v>1255</v>
      </c>
      <c r="C109" s="377" t="s">
        <v>263</v>
      </c>
      <c r="D109" s="378">
        <v>655</v>
      </c>
      <c r="E109" s="305"/>
      <c r="F109" s="379"/>
      <c r="G109" s="379" t="s">
        <v>889</v>
      </c>
      <c r="H109" s="380">
        <v>21</v>
      </c>
      <c r="I109" s="307">
        <v>103003</v>
      </c>
      <c r="J109" s="308">
        <v>655</v>
      </c>
      <c r="K109" s="381"/>
      <c r="L109" s="382">
        <f>IF(tabItens[[#This Row],[Média]] &gt; 0, tabItens[[#This Row],[QTDE ATUAL]] / tabItens[[#This Row],[Média]],999.9)</f>
        <v>999.9</v>
      </c>
      <c r="M109" s="383">
        <v>0</v>
      </c>
      <c r="N109" s="384">
        <f>tabItens[[#This Row],[VALOR UNIT.]] * tabItens[[#This Row],[LC]]</f>
        <v>0</v>
      </c>
      <c r="O109" s="385" t="s">
        <v>2095</v>
      </c>
      <c r="P109" s="386"/>
      <c r="Q109" s="387"/>
      <c r="R109" s="312"/>
      <c r="S109" s="388"/>
      <c r="T109" s="389">
        <f>ROUNDDOWN(IFERROR(tabItens[[#This Row],[ATA DT.VALID.]] - $D$1,0) / 30,0)</f>
        <v>-1474</v>
      </c>
      <c r="U109" s="302" t="s">
        <v>1212</v>
      </c>
      <c r="V109" s="318">
        <v>1</v>
      </c>
      <c r="W109" s="390" t="s">
        <v>2071</v>
      </c>
      <c r="X109" s="391">
        <v>51</v>
      </c>
      <c r="Y109" s="392">
        <v>26</v>
      </c>
      <c r="Z109" s="393"/>
      <c r="AA109" s="394"/>
      <c r="AB109" s="395"/>
      <c r="AC109" s="395"/>
      <c r="AD109" s="394"/>
      <c r="AE109" s="395"/>
      <c r="AF109" s="317"/>
      <c r="AG109" s="396" t="s">
        <v>2072</v>
      </c>
      <c r="AH109" s="397"/>
      <c r="AI109" s="317">
        <v>0</v>
      </c>
      <c r="AJ109" s="397">
        <v>45201</v>
      </c>
      <c r="AK109" s="326" t="s">
        <v>889</v>
      </c>
      <c r="AL109" s="326">
        <v>45160</v>
      </c>
      <c r="AM109" s="316"/>
      <c r="AN109" s="305"/>
      <c r="AO109" s="327" t="str">
        <f>_xlfn.IFNA(IF(VLOOKUP(tabItens[[#This Row],[CÓDIGO]],tabExcluirDoEstoque[#Data],1,FALSE),"sim",""),"")</f>
        <v/>
      </c>
      <c r="AP109" s="398" t="str">
        <f ca="1">IF(OR(ISBLANK(tabItens[[#This Row],[ATA DT.VALID.]]),tabItens[[#This Row],[ATA DT.VALID.]]="",tabItens[[#This Row],[ATA DT.VALID.]]=" "),"",IF(TYPE(tabItens[[#This Row],[ATA DT.VALID.]])=1,ROUNDUP((tabItens[[#This Row],[ATA DT.VALID.]]-TODAY())/7,0),""))</f>
        <v/>
      </c>
      <c r="AQ109" s="399">
        <v>0</v>
      </c>
      <c r="AR109" s="400">
        <f>IF(ISBLANK(tabItens[[#This Row],[CÓDIGO]]),"",IFERROR(VLOOKUP(tabItens[[#This Row],[CÓDIGO]],Consumo!$C$2:$AC$862,26,FALSE),0))</f>
        <v>0</v>
      </c>
      <c r="AS109" s="401">
        <f>SUMIF(Consumo!$C$3:$C$862,tabItens[[#This Row],[CÓDIGO]],Consumo!$N$3:$N$862) + SUMIF(Consumo!$C$3:$C$862,tabItens[[#This Row],[CÓDIGO]],Consumo!$O$3:$O$862) + SUMIF(Consumo!$C$3:$C$862,tabItens[[#This Row],[CÓDIGO]],Consumo!$P$3:$P$862) + SUMIF(Consumo!$C$3:$C$862,tabItens[[#This Row],[CÓDIGO]],Consumo!$Q$3:$Q$862)</f>
        <v>0</v>
      </c>
      <c r="AT109" s="401">
        <f>SUMIF(Consumo!$C$3:$C$862,tabItens[[#This Row],[CÓDIGO]],Consumo!$Z$3:$Z$862)</f>
        <v>0</v>
      </c>
      <c r="AU109" s="402">
        <f>SUMIF(Consumo!$C$3:$C$862,tabItens[[#This Row],[CÓDIGO]],Consumo!$AA$3:$AA$862)</f>
        <v>0</v>
      </c>
      <c r="AV109" s="403">
        <f>SUMIF(Consumo!$C$3:$C$862,tabItens[[#This Row],[CÓDIGO]],Consumo!$Y$3:$Y$862)</f>
        <v>0</v>
      </c>
      <c r="AW109" s="380">
        <f>tabItens[[#This Row],[QTDE ATUAL]] + tabItens[[#This Row],[RC QTDE]] + tabItens[[#This Row],[AF SALDO]] + tabItens[[#This Row],[Recentes]]</f>
        <v>21</v>
      </c>
      <c r="AX109" s="404">
        <v>1</v>
      </c>
      <c r="AY109" s="404">
        <v>4</v>
      </c>
      <c r="AZ109" s="404">
        <f>IF(ISBLANK(tabItens[[#This Row],[CÓDIGO]]),"",tabItens[[#This Row],[PontoMês]] * (AZ$2+tabItens[[#This Row],[PontoQtM]]))</f>
        <v>4</v>
      </c>
      <c r="BA109" s="403">
        <f>tabItens[[#This Row],[PontoPed]] - tabItens[[#This Row],[Saldo]] + (1/10)</f>
        <v>-16.899999999999999</v>
      </c>
      <c r="BB109" s="403">
        <f xml:space="preserve"> tabItens[[#This Row],[PontoMês]] * BB$2 - tabItens[[#This Row],[QTDE ATUAL]] - (1/10)</f>
        <v>-20.100000000000001</v>
      </c>
      <c r="BC109" s="335">
        <f>IF( tabItens[[#This Row],[PontoPed]]&gt;0, IF(tabItens[[#This Row],[PontoPed]]&lt;1, 1, IF( tabItens[[#This Row],[Saldo]]&gt;tabItens[[#This Row],[PontoPed]], 0, (tabItens[[#This Row],[PontoPed]]-tabItens[[#This Row],[Saldo]])/tabItens[[#This Row],[PontoPed]] ) ), 0 )</f>
        <v>0</v>
      </c>
      <c r="BD109" s="405">
        <f>ROUNDDOWN(IF( OR( AND(tabItens[[#This Row],[PontoPed]]&lt;tabItens[[#This Row],[Saldo]],tabItens[[#This Row],[Saldo]]&gt;0), tabItens[[#This Row],[PontoPed]]=0), 99, IF(AND(tabItens[[#This Row],[Saldo]]=0,tabItens[[#This Row],[PontoPed]]&gt;0), 0, (1-tabItens[[#This Row],[PctAb]])*10 ) ),0)</f>
        <v>99</v>
      </c>
      <c r="BE109" s="406">
        <f>MAX(ROUNDDOWN( IF(tabItens[[#This Row],[Abaixo]] &gt; 0,   tabItens[[#This Row],[Abaixo]] + (tabItens[[#This Row],[PontoMês]] * IF( OR( ISBLANK(tabItens[[#This Row],[ATA Nº/ANO]]), tabItens[[#This Row],[ATA Nº/ANO]] = ""),BE$2,BE$1)),0),0),0)</f>
        <v>0</v>
      </c>
      <c r="BF10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9" s="338">
        <f>SUMIF(Consumo!$C$3:$C$862,tabItens[[#This Row],[CÓDIGO]],Consumo!$E$3:$E$862)</f>
        <v>0</v>
      </c>
      <c r="BH109" s="339">
        <f>IF(AND(tabItens[[#This Row],[Pend]] &gt; 0,tabItens[[#This Row],[Consumo]] &lt;&gt; 0), tabItens[[#This Row],[Pend]] / tabItens[[#This Row],[Consumo]], 0 )</f>
        <v>0</v>
      </c>
      <c r="BI109" s="338"/>
      <c r="BJ109" s="407"/>
      <c r="BK109" s="408" t="s">
        <v>2086</v>
      </c>
    </row>
    <row r="110" spans="1:63" x14ac:dyDescent="0.3">
      <c r="A110" s="375">
        <v>115841</v>
      </c>
      <c r="B110" s="376" t="s">
        <v>1722</v>
      </c>
      <c r="C110" s="377" t="s">
        <v>31</v>
      </c>
      <c r="D110" s="378">
        <v>719.5</v>
      </c>
      <c r="E110" s="305"/>
      <c r="F110" s="379"/>
      <c r="G110" s="379" t="s">
        <v>889</v>
      </c>
      <c r="H110" s="380">
        <v>14</v>
      </c>
      <c r="I110" s="307">
        <v>103003</v>
      </c>
      <c r="J110" s="308">
        <v>719.5</v>
      </c>
      <c r="K110" s="381"/>
      <c r="L110" s="382">
        <f>IF(tabItens[[#This Row],[Média]] &gt; 0, tabItens[[#This Row],[QTDE ATUAL]] / tabItens[[#This Row],[Média]],999.9)</f>
        <v>999.9</v>
      </c>
      <c r="M110" s="383">
        <v>0</v>
      </c>
      <c r="N110" s="384">
        <f>tabItens[[#This Row],[VALOR UNIT.]] * tabItens[[#This Row],[LC]]</f>
        <v>0</v>
      </c>
      <c r="O110" s="385" t="s">
        <v>2095</v>
      </c>
      <c r="P110" s="386"/>
      <c r="Q110" s="387"/>
      <c r="R110" s="312"/>
      <c r="S110" s="388"/>
      <c r="T110" s="389">
        <f>ROUNDDOWN(IFERROR(tabItens[[#This Row],[ATA DT.VALID.]] - $D$1,0) / 30,0)</f>
        <v>-1474</v>
      </c>
      <c r="U110" s="302" t="s">
        <v>1212</v>
      </c>
      <c r="V110" s="318">
        <v>1</v>
      </c>
      <c r="W110" s="390" t="s">
        <v>2071</v>
      </c>
      <c r="X110" s="391">
        <v>51</v>
      </c>
      <c r="Y110" s="392">
        <v>26</v>
      </c>
      <c r="Z110" s="393"/>
      <c r="AA110" s="394"/>
      <c r="AB110" s="395"/>
      <c r="AC110" s="395"/>
      <c r="AD110" s="394"/>
      <c r="AE110" s="395"/>
      <c r="AF110" s="317"/>
      <c r="AG110" s="396" t="s">
        <v>2072</v>
      </c>
      <c r="AH110" s="397"/>
      <c r="AI110" s="317">
        <v>0</v>
      </c>
      <c r="AJ110" s="397">
        <v>43455</v>
      </c>
      <c r="AK110" s="326">
        <v>40357</v>
      </c>
      <c r="AL110" s="326">
        <v>44377</v>
      </c>
      <c r="AM110" s="316"/>
      <c r="AN110" s="305"/>
      <c r="AO110" s="327" t="str">
        <f>_xlfn.IFNA(IF(VLOOKUP(tabItens[[#This Row],[CÓDIGO]],tabExcluirDoEstoque[#Data],1,FALSE),"sim",""),"")</f>
        <v/>
      </c>
      <c r="AP110" s="398" t="str">
        <f ca="1">IF(OR(ISBLANK(tabItens[[#This Row],[ATA DT.VALID.]]),tabItens[[#This Row],[ATA DT.VALID.]]="",tabItens[[#This Row],[ATA DT.VALID.]]=" "),"",IF(TYPE(tabItens[[#This Row],[ATA DT.VALID.]])=1,ROUNDUP((tabItens[[#This Row],[ATA DT.VALID.]]-TODAY())/7,0),""))</f>
        <v/>
      </c>
      <c r="AQ110" s="399">
        <v>0</v>
      </c>
      <c r="AR110" s="400">
        <f>IF(ISBLANK(tabItens[[#This Row],[CÓDIGO]]),"",IFERROR(VLOOKUP(tabItens[[#This Row],[CÓDIGO]],Consumo!$C$2:$AC$862,26,FALSE),0))</f>
        <v>0</v>
      </c>
      <c r="AS110" s="401">
        <f>SUMIF(Consumo!$C$3:$C$862,tabItens[[#This Row],[CÓDIGO]],Consumo!$N$3:$N$862) + SUMIF(Consumo!$C$3:$C$862,tabItens[[#This Row],[CÓDIGO]],Consumo!$O$3:$O$862) + SUMIF(Consumo!$C$3:$C$862,tabItens[[#This Row],[CÓDIGO]],Consumo!$P$3:$P$862) + SUMIF(Consumo!$C$3:$C$862,tabItens[[#This Row],[CÓDIGO]],Consumo!$Q$3:$Q$862)</f>
        <v>0</v>
      </c>
      <c r="AT110" s="401">
        <f>SUMIF(Consumo!$C$3:$C$862,tabItens[[#This Row],[CÓDIGO]],Consumo!$Z$3:$Z$862)</f>
        <v>0</v>
      </c>
      <c r="AU110" s="402">
        <f>SUMIF(Consumo!$C$3:$C$862,tabItens[[#This Row],[CÓDIGO]],Consumo!$AA$3:$AA$862)</f>
        <v>0</v>
      </c>
      <c r="AV110" s="403">
        <f>SUMIF(Consumo!$C$3:$C$862,tabItens[[#This Row],[CÓDIGO]],Consumo!$Y$3:$Y$862)</f>
        <v>0</v>
      </c>
      <c r="AW110" s="380">
        <f>tabItens[[#This Row],[QTDE ATUAL]] + tabItens[[#This Row],[RC QTDE]] + tabItens[[#This Row],[AF SALDO]] + tabItens[[#This Row],[Recentes]]</f>
        <v>14</v>
      </c>
      <c r="AX110" s="404">
        <v>3</v>
      </c>
      <c r="AY110" s="404">
        <v>4</v>
      </c>
      <c r="AZ110" s="404">
        <f>IF(ISBLANK(tabItens[[#This Row],[CÓDIGO]]),"",tabItens[[#This Row],[PontoMês]] * (AZ$2+tabItens[[#This Row],[PontoQtM]]))</f>
        <v>12</v>
      </c>
      <c r="BA110" s="403">
        <f>tabItens[[#This Row],[PontoPed]] - tabItens[[#This Row],[Saldo]] + (1/10)</f>
        <v>-1.9</v>
      </c>
      <c r="BB110" s="403">
        <f xml:space="preserve"> tabItens[[#This Row],[PontoMês]] * BB$2 - tabItens[[#This Row],[QTDE ATUAL]] - (1/10)</f>
        <v>-11.1</v>
      </c>
      <c r="BC110" s="335">
        <f>IF( tabItens[[#This Row],[PontoPed]]&gt;0, IF(tabItens[[#This Row],[PontoPed]]&lt;1, 1, IF( tabItens[[#This Row],[Saldo]]&gt;tabItens[[#This Row],[PontoPed]], 0, (tabItens[[#This Row],[PontoPed]]-tabItens[[#This Row],[Saldo]])/tabItens[[#This Row],[PontoPed]] ) ), 0 )</f>
        <v>0</v>
      </c>
      <c r="BD110" s="405">
        <f>ROUNDDOWN(IF( OR( AND(tabItens[[#This Row],[PontoPed]]&lt;tabItens[[#This Row],[Saldo]],tabItens[[#This Row],[Saldo]]&gt;0), tabItens[[#This Row],[PontoPed]]=0), 99, IF(AND(tabItens[[#This Row],[Saldo]]=0,tabItens[[#This Row],[PontoPed]]&gt;0), 0, (1-tabItens[[#This Row],[PctAb]])*10 ) ),0)</f>
        <v>99</v>
      </c>
      <c r="BE110" s="406">
        <f>MAX(ROUNDDOWN( IF(tabItens[[#This Row],[Abaixo]] &gt; 0,   tabItens[[#This Row],[Abaixo]] + (tabItens[[#This Row],[PontoMês]] * IF( OR( ISBLANK(tabItens[[#This Row],[ATA Nº/ANO]]), tabItens[[#This Row],[ATA Nº/ANO]] = ""),BE$2,BE$1)),0),0),0)</f>
        <v>0</v>
      </c>
      <c r="BF11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0" s="338">
        <f>SUMIF(Consumo!$C$3:$C$862,tabItens[[#This Row],[CÓDIGO]],Consumo!$E$3:$E$862)</f>
        <v>0</v>
      </c>
      <c r="BH110" s="339">
        <f>IF(AND(tabItens[[#This Row],[Pend]] &gt; 0,tabItens[[#This Row],[Consumo]] &lt;&gt; 0), tabItens[[#This Row],[Pend]] / tabItens[[#This Row],[Consumo]], 0 )</f>
        <v>0</v>
      </c>
      <c r="BI110" s="338"/>
      <c r="BJ110" s="407"/>
      <c r="BK110" s="408" t="s">
        <v>2086</v>
      </c>
    </row>
    <row r="111" spans="1:63" x14ac:dyDescent="0.3">
      <c r="A111" s="375">
        <v>133433</v>
      </c>
      <c r="B111" s="376" t="s">
        <v>1856</v>
      </c>
      <c r="C111" s="377" t="s">
        <v>260</v>
      </c>
      <c r="D111" s="378">
        <v>2072.5</v>
      </c>
      <c r="E111" s="305"/>
      <c r="F111" s="379"/>
      <c r="G111" s="379" t="s">
        <v>889</v>
      </c>
      <c r="H111" s="380">
        <v>153</v>
      </c>
      <c r="I111" s="307">
        <v>103003</v>
      </c>
      <c r="J111" s="308">
        <v>1956.61826</v>
      </c>
      <c r="K111" s="381">
        <v>11</v>
      </c>
      <c r="L111" s="382">
        <f>IF(tabItens[[#This Row],[Média]] &gt; 0, tabItens[[#This Row],[QTDE ATUAL]] / tabItens[[#This Row],[Média]],999.9)</f>
        <v>204</v>
      </c>
      <c r="M111" s="383">
        <v>0</v>
      </c>
      <c r="N111" s="384">
        <f>tabItens[[#This Row],[VALOR UNIT.]] * tabItens[[#This Row],[LC]]</f>
        <v>0</v>
      </c>
      <c r="O111" s="385" t="s">
        <v>2202</v>
      </c>
      <c r="P111" s="386"/>
      <c r="Q111" s="387"/>
      <c r="R111" s="312"/>
      <c r="S111" s="388"/>
      <c r="T111" s="389">
        <f>ROUNDDOWN(IFERROR(tabItens[[#This Row],[ATA DT.VALID.]] - $D$1,0) / 30,0)</f>
        <v>-1474</v>
      </c>
      <c r="U111" s="302" t="s">
        <v>1326</v>
      </c>
      <c r="V111" s="318">
        <v>1</v>
      </c>
      <c r="W111" s="390" t="s">
        <v>2071</v>
      </c>
      <c r="X111" s="391">
        <v>51</v>
      </c>
      <c r="Y111" s="392">
        <v>30</v>
      </c>
      <c r="Z111" s="393"/>
      <c r="AA111" s="394"/>
      <c r="AB111" s="395"/>
      <c r="AC111" s="395"/>
      <c r="AD111" s="394"/>
      <c r="AE111" s="395"/>
      <c r="AF111" s="317"/>
      <c r="AG111" s="396" t="s">
        <v>2072</v>
      </c>
      <c r="AH111" s="397"/>
      <c r="AI111" s="317">
        <v>4</v>
      </c>
      <c r="AJ111" s="397">
        <v>44579</v>
      </c>
      <c r="AK111" s="326">
        <v>42996</v>
      </c>
      <c r="AL111" s="326">
        <v>44544</v>
      </c>
      <c r="AM111" s="316"/>
      <c r="AN111" s="305"/>
      <c r="AO111" s="327" t="str">
        <f>_xlfn.IFNA(IF(VLOOKUP(tabItens[[#This Row],[CÓDIGO]],tabExcluirDoEstoque[#Data],1,FALSE),"sim",""),"")</f>
        <v/>
      </c>
      <c r="AP111" s="398" t="str">
        <f ca="1">IF(OR(ISBLANK(tabItens[[#This Row],[ATA DT.VALID.]]),tabItens[[#This Row],[ATA DT.VALID.]]="",tabItens[[#This Row],[ATA DT.VALID.]]=" "),"",IF(TYPE(tabItens[[#This Row],[ATA DT.VALID.]])=1,ROUNDUP((tabItens[[#This Row],[ATA DT.VALID.]]-TODAY())/7,0),""))</f>
        <v/>
      </c>
      <c r="AQ111" s="399">
        <v>0</v>
      </c>
      <c r="AR111" s="400" t="str">
        <f>IF(ISBLANK(tabItens[[#This Row],[CÓDIGO]]),"",IFERROR(VLOOKUP(tabItens[[#This Row],[CÓDIGO]],Consumo!$C$2:$AC$862,26,FALSE),0))</f>
        <v>07.2023</v>
      </c>
      <c r="AS111" s="401">
        <f>SUMIF(Consumo!$C$3:$C$862,tabItens[[#This Row],[CÓDIGO]],Consumo!$N$3:$N$862) + SUMIF(Consumo!$C$3:$C$862,tabItens[[#This Row],[CÓDIGO]],Consumo!$O$3:$O$862) + SUMIF(Consumo!$C$3:$C$862,tabItens[[#This Row],[CÓDIGO]],Consumo!$P$3:$P$862) + SUMIF(Consumo!$C$3:$C$862,tabItens[[#This Row],[CÓDIGO]],Consumo!$Q$3:$Q$862)</f>
        <v>4</v>
      </c>
      <c r="AT111" s="401">
        <f>SUMIF(Consumo!$C$3:$C$862,tabItens[[#This Row],[CÓDIGO]],Consumo!$Z$3:$Z$862)</f>
        <v>11</v>
      </c>
      <c r="AU111" s="402">
        <f>SUMIF(Consumo!$C$3:$C$862,tabItens[[#This Row],[CÓDIGO]],Consumo!$AA$3:$AA$862)</f>
        <v>6</v>
      </c>
      <c r="AV111" s="403">
        <f>SUMIF(Consumo!$C$3:$C$862,tabItens[[#This Row],[CÓDIGO]],Consumo!$Y$3:$Y$862)</f>
        <v>0.75</v>
      </c>
      <c r="AW111" s="380">
        <f>tabItens[[#This Row],[QTDE ATUAL]] + tabItens[[#This Row],[RC QTDE]] + tabItens[[#This Row],[AF SALDO]] + tabItens[[#This Row],[Recentes]]</f>
        <v>153</v>
      </c>
      <c r="AX111" s="404">
        <v>5</v>
      </c>
      <c r="AY111" s="404">
        <v>4</v>
      </c>
      <c r="AZ111" s="404">
        <f>IF(ISBLANK(tabItens[[#This Row],[CÓDIGO]]),"",tabItens[[#This Row],[PontoMês]] * (AZ$2+tabItens[[#This Row],[PontoQtM]]))</f>
        <v>20</v>
      </c>
      <c r="BA111" s="403">
        <f>tabItens[[#This Row],[PontoPed]] - tabItens[[#This Row],[Saldo]] + (1/10)</f>
        <v>-132.9</v>
      </c>
      <c r="BB111" s="403">
        <f xml:space="preserve"> tabItens[[#This Row],[PontoMês]] * BB$2 - tabItens[[#This Row],[QTDE ATUAL]] - (1/10)</f>
        <v>-148.1</v>
      </c>
      <c r="BC111" s="335">
        <f>IF( tabItens[[#This Row],[PontoPed]]&gt;0, IF(tabItens[[#This Row],[PontoPed]]&lt;1, 1, IF( tabItens[[#This Row],[Saldo]]&gt;tabItens[[#This Row],[PontoPed]], 0, (tabItens[[#This Row],[PontoPed]]-tabItens[[#This Row],[Saldo]])/tabItens[[#This Row],[PontoPed]] ) ), 0 )</f>
        <v>0</v>
      </c>
      <c r="BD111" s="405">
        <f>ROUNDDOWN(IF( OR( AND(tabItens[[#This Row],[PontoPed]]&lt;tabItens[[#This Row],[Saldo]],tabItens[[#This Row],[Saldo]]&gt;0), tabItens[[#This Row],[PontoPed]]=0), 99, IF(AND(tabItens[[#This Row],[Saldo]]=0,tabItens[[#This Row],[PontoPed]]&gt;0), 0, (1-tabItens[[#This Row],[PctAb]])*10 ) ),0)</f>
        <v>99</v>
      </c>
      <c r="BE111" s="406">
        <f>MAX(ROUNDDOWN( IF(tabItens[[#This Row],[Abaixo]] &gt; 0,   tabItens[[#This Row],[Abaixo]] + (tabItens[[#This Row],[PontoMês]] * IF( OR( ISBLANK(tabItens[[#This Row],[ATA Nº/ANO]]), tabItens[[#This Row],[ATA Nº/ANO]] = ""),BE$2,BE$1)),0),0),0)</f>
        <v>0</v>
      </c>
      <c r="BF11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1" s="338">
        <f>SUMIF(Consumo!$C$3:$C$862,tabItens[[#This Row],[CÓDIGO]],Consumo!$E$3:$E$862)</f>
        <v>0</v>
      </c>
      <c r="BH111" s="339">
        <f>IF(AND(tabItens[[#This Row],[Pend]] &gt; 0,tabItens[[#This Row],[Consumo]] &lt;&gt; 0), tabItens[[#This Row],[Pend]] / tabItens[[#This Row],[Consumo]], 0 )</f>
        <v>0</v>
      </c>
      <c r="BI111" s="338"/>
      <c r="BJ111" s="407"/>
      <c r="BK111" s="408" t="s">
        <v>2086</v>
      </c>
    </row>
    <row r="112" spans="1:63" x14ac:dyDescent="0.3">
      <c r="A112" s="375">
        <v>121126</v>
      </c>
      <c r="B112" s="376" t="s">
        <v>1750</v>
      </c>
      <c r="C112" s="377" t="s">
        <v>31</v>
      </c>
      <c r="D112" s="378">
        <v>0.12</v>
      </c>
      <c r="E112" s="305"/>
      <c r="F112" s="379"/>
      <c r="G112" s="379" t="s">
        <v>889</v>
      </c>
      <c r="H112" s="380">
        <v>0</v>
      </c>
      <c r="I112" s="307">
        <v>103003</v>
      </c>
      <c r="J112" s="308">
        <v>0.12</v>
      </c>
      <c r="K112" s="381">
        <v>34508</v>
      </c>
      <c r="L112" s="382">
        <f>IF(tabItens[[#This Row],[Média]] &gt; 0, tabItens[[#This Row],[QTDE ATUAL]] / tabItens[[#This Row],[Média]],999.9)</f>
        <v>0</v>
      </c>
      <c r="M112" s="383">
        <v>0</v>
      </c>
      <c r="N112" s="384">
        <f>tabItens[[#This Row],[VALOR UNIT.]] * tabItens[[#This Row],[LC]]</f>
        <v>0</v>
      </c>
      <c r="O112" s="385" t="s">
        <v>2131</v>
      </c>
      <c r="P112" s="386"/>
      <c r="Q112" s="387"/>
      <c r="R112" s="312"/>
      <c r="S112" s="388"/>
      <c r="T112" s="389">
        <f>ROUNDDOWN(IFERROR(tabItens[[#This Row],[ATA DT.VALID.]] - $D$1,0) / 30,0)</f>
        <v>-1474</v>
      </c>
      <c r="U112" s="302" t="s">
        <v>1219</v>
      </c>
      <c r="V112" s="318">
        <v>1</v>
      </c>
      <c r="W112" s="390" t="s">
        <v>2081</v>
      </c>
      <c r="X112" s="391">
        <v>62</v>
      </c>
      <c r="Y112" s="392">
        <v>10</v>
      </c>
      <c r="Z112" s="393">
        <v>5544</v>
      </c>
      <c r="AA112" s="394">
        <v>2023</v>
      </c>
      <c r="AB112" s="395">
        <v>200000</v>
      </c>
      <c r="AC112" s="395"/>
      <c r="AD112" s="394"/>
      <c r="AE112" s="395"/>
      <c r="AF112" s="317"/>
      <c r="AG112" s="396" t="s">
        <v>2072</v>
      </c>
      <c r="AH112" s="397"/>
      <c r="AI112" s="317">
        <v>11502</v>
      </c>
      <c r="AJ112" s="397">
        <v>44736</v>
      </c>
      <c r="AK112" s="326">
        <v>40814</v>
      </c>
      <c r="AL112" s="326">
        <v>44711</v>
      </c>
      <c r="AM112" s="316"/>
      <c r="AN112" s="305"/>
      <c r="AO112" s="327" t="str">
        <f>_xlfn.IFNA(IF(VLOOKUP(tabItens[[#This Row],[CÓDIGO]],tabExcluirDoEstoque[#Data],1,FALSE),"sim",""),"")</f>
        <v/>
      </c>
      <c r="AP112" s="398" t="str">
        <f ca="1">IF(OR(ISBLANK(tabItens[[#This Row],[ATA DT.VALID.]]),tabItens[[#This Row],[ATA DT.VALID.]]="",tabItens[[#This Row],[ATA DT.VALID.]]=" "),"",IF(TYPE(tabItens[[#This Row],[ATA DT.VALID.]])=1,ROUNDUP((tabItens[[#This Row],[ATA DT.VALID.]]-TODAY())/7,0),""))</f>
        <v/>
      </c>
      <c r="AQ112" s="399">
        <v>0</v>
      </c>
      <c r="AR112" s="400" t="str">
        <f>IF(ISBLANK(tabItens[[#This Row],[CÓDIGO]]),"",IFERROR(VLOOKUP(tabItens[[#This Row],[CÓDIGO]],Consumo!$C$2:$AC$862,26,FALSE),0))</f>
        <v>02.2023</v>
      </c>
      <c r="AS112" s="401">
        <f>SUMIF(Consumo!$C$3:$C$862,tabItens[[#This Row],[CÓDIGO]],Consumo!$N$3:$N$862) + SUMIF(Consumo!$C$3:$C$862,tabItens[[#This Row],[CÓDIGO]],Consumo!$O$3:$O$862) + SUMIF(Consumo!$C$3:$C$862,tabItens[[#This Row],[CÓDIGO]],Consumo!$P$3:$P$862) + SUMIF(Consumo!$C$3:$C$862,tabItens[[#This Row],[CÓDIGO]],Consumo!$Q$3:$Q$862)</f>
        <v>0</v>
      </c>
      <c r="AT112" s="401">
        <f>SUMIF(Consumo!$C$3:$C$862,tabItens[[#This Row],[CÓDIGO]],Consumo!$Z$3:$Z$862)</f>
        <v>52284</v>
      </c>
      <c r="AU112" s="402">
        <f>SUMIF(Consumo!$C$3:$C$862,tabItens[[#This Row],[CÓDIGO]],Consumo!$AA$3:$AA$862)</f>
        <v>14950</v>
      </c>
      <c r="AV112" s="403">
        <f>SUMIF(Consumo!$C$3:$C$862,tabItens[[#This Row],[CÓDIGO]],Consumo!$Y$3:$Y$862)</f>
        <v>4357</v>
      </c>
      <c r="AW112" s="380">
        <f>tabItens[[#This Row],[QTDE ATUAL]] + tabItens[[#This Row],[RC QTDE]] + tabItens[[#This Row],[AF SALDO]] + tabItens[[#This Row],[Recentes]]</f>
        <v>200000</v>
      </c>
      <c r="AX112" s="404">
        <v>2875</v>
      </c>
      <c r="AY112" s="404">
        <v>4</v>
      </c>
      <c r="AZ112" s="404">
        <f>IF(ISBLANK(tabItens[[#This Row],[CÓDIGO]]),"",tabItens[[#This Row],[PontoMês]] * (AZ$2+tabItens[[#This Row],[PontoQtM]]))</f>
        <v>11500</v>
      </c>
      <c r="BA112" s="403">
        <f>tabItens[[#This Row],[PontoPed]] - tabItens[[#This Row],[Saldo]] + (1/10)</f>
        <v>-188499.9</v>
      </c>
      <c r="BB112" s="403">
        <f xml:space="preserve"> tabItens[[#This Row],[PontoMês]] * BB$2 - tabItens[[#This Row],[QTDE ATUAL]] - (1/10)</f>
        <v>2874.9</v>
      </c>
      <c r="BC112" s="335">
        <f>IF( tabItens[[#This Row],[PontoPed]]&gt;0, IF(tabItens[[#This Row],[PontoPed]]&lt;1, 1, IF( tabItens[[#This Row],[Saldo]]&gt;tabItens[[#This Row],[PontoPed]], 0, (tabItens[[#This Row],[PontoPed]]-tabItens[[#This Row],[Saldo]])/tabItens[[#This Row],[PontoPed]] ) ), 0 )</f>
        <v>0</v>
      </c>
      <c r="BD112" s="405">
        <f>ROUNDDOWN(IF( OR( AND(tabItens[[#This Row],[PontoPed]]&lt;tabItens[[#This Row],[Saldo]],tabItens[[#This Row],[Saldo]]&gt;0), tabItens[[#This Row],[PontoPed]]=0), 99, IF(AND(tabItens[[#This Row],[Saldo]]=0,tabItens[[#This Row],[PontoPed]]&gt;0), 0, (1-tabItens[[#This Row],[PctAb]])*10 ) ),0)</f>
        <v>99</v>
      </c>
      <c r="BE112" s="406">
        <f>MAX(ROUNDDOWN( IF(tabItens[[#This Row],[Abaixo]] &gt; 0,   tabItens[[#This Row],[Abaixo]] + (tabItens[[#This Row],[PontoMês]] * IF( OR( ISBLANK(tabItens[[#This Row],[ATA Nº/ANO]]), tabItens[[#This Row],[ATA Nº/ANO]] = ""),BE$2,BE$1)),0),0),0)</f>
        <v>0</v>
      </c>
      <c r="BF11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2" s="338">
        <f>SUMIF(Consumo!$C$3:$C$862,tabItens[[#This Row],[CÓDIGO]],Consumo!$E$3:$E$862)</f>
        <v>17776</v>
      </c>
      <c r="BH112" s="339">
        <f>IF(AND(tabItens[[#This Row],[Pend]] &gt; 0,tabItens[[#This Row],[Consumo]] &lt;&gt; 0), tabItens[[#This Row],[Pend]] / tabItens[[#This Row],[Consumo]], 0 )</f>
        <v>0.33998928926631472</v>
      </c>
      <c r="BI112" s="338"/>
      <c r="BJ112" s="407"/>
      <c r="BK112" s="408" t="s">
        <v>2086</v>
      </c>
    </row>
    <row r="113" spans="1:63" x14ac:dyDescent="0.3">
      <c r="A113" s="375">
        <v>19842</v>
      </c>
      <c r="B113" s="376" t="s">
        <v>1149</v>
      </c>
      <c r="C113" s="377" t="s">
        <v>263</v>
      </c>
      <c r="D113" s="378">
        <v>0.44</v>
      </c>
      <c r="E113" s="305"/>
      <c r="F113" s="379"/>
      <c r="G113" s="379" t="s">
        <v>889</v>
      </c>
      <c r="H113" s="380">
        <v>0</v>
      </c>
      <c r="I113" s="307">
        <v>103003</v>
      </c>
      <c r="J113" s="308">
        <v>0.44791999999999998</v>
      </c>
      <c r="K113" s="381">
        <v>8755</v>
      </c>
      <c r="L113" s="382">
        <f>IF(tabItens[[#This Row],[Média]] &gt; 0, tabItens[[#This Row],[QTDE ATUAL]] / tabItens[[#This Row],[Média]],999.9)</f>
        <v>0</v>
      </c>
      <c r="M113" s="383">
        <v>0</v>
      </c>
      <c r="N113" s="384">
        <f>tabItens[[#This Row],[VALOR UNIT.]] * tabItens[[#This Row],[LC]]</f>
        <v>0</v>
      </c>
      <c r="O113" s="385" t="s">
        <v>2131</v>
      </c>
      <c r="P113" s="386"/>
      <c r="Q113" s="387"/>
      <c r="R113" s="312"/>
      <c r="S113" s="388"/>
      <c r="T113" s="389">
        <f>ROUNDDOWN(IFERROR(tabItens[[#This Row],[ATA DT.VALID.]] - $D$1,0) / 30,0)</f>
        <v>-1474</v>
      </c>
      <c r="U113" s="302" t="s">
        <v>1150</v>
      </c>
      <c r="V113" s="318">
        <v>1</v>
      </c>
      <c r="W113" s="390" t="s">
        <v>2081</v>
      </c>
      <c r="X113" s="391">
        <v>62</v>
      </c>
      <c r="Y113" s="392">
        <v>12</v>
      </c>
      <c r="Z113" s="393">
        <v>8985</v>
      </c>
      <c r="AA113" s="394">
        <v>2023</v>
      </c>
      <c r="AB113" s="395">
        <v>2800</v>
      </c>
      <c r="AC113" s="395"/>
      <c r="AD113" s="394"/>
      <c r="AE113" s="395"/>
      <c r="AF113" s="317"/>
      <c r="AG113" s="396" t="s">
        <v>2072</v>
      </c>
      <c r="AH113" s="397"/>
      <c r="AI113" s="317">
        <v>3192</v>
      </c>
      <c r="AJ113" s="397">
        <v>44606</v>
      </c>
      <c r="AK113" s="326" t="s">
        <v>889</v>
      </c>
      <c r="AL113" s="326">
        <v>44582</v>
      </c>
      <c r="AM113" s="316"/>
      <c r="AN113" s="305"/>
      <c r="AO113" s="327" t="str">
        <f>_xlfn.IFNA(IF(VLOOKUP(tabItens[[#This Row],[CÓDIGO]],tabExcluirDoEstoque[#Data],1,FALSE),"sim",""),"")</f>
        <v/>
      </c>
      <c r="AP113" s="398" t="str">
        <f ca="1">IF(OR(ISBLANK(tabItens[[#This Row],[ATA DT.VALID.]]),tabItens[[#This Row],[ATA DT.VALID.]]="",tabItens[[#This Row],[ATA DT.VALID.]]=" "),"",IF(TYPE(tabItens[[#This Row],[ATA DT.VALID.]])=1,ROUNDUP((tabItens[[#This Row],[ATA DT.VALID.]]-TODAY())/7,0),""))</f>
        <v/>
      </c>
      <c r="AQ113" s="399">
        <v>0</v>
      </c>
      <c r="AR113" s="400" t="str">
        <f>IF(ISBLANK(tabItens[[#This Row],[CÓDIGO]]),"",IFERROR(VLOOKUP(tabItens[[#This Row],[CÓDIGO]],Consumo!$C$2:$AC$862,26,FALSE),0))</f>
        <v>07.2023</v>
      </c>
      <c r="AS113" s="401">
        <f>SUMIF(Consumo!$C$3:$C$862,tabItens[[#This Row],[CÓDIGO]],Consumo!$N$3:$N$862) + SUMIF(Consumo!$C$3:$C$862,tabItens[[#This Row],[CÓDIGO]],Consumo!$O$3:$O$862) + SUMIF(Consumo!$C$3:$C$862,tabItens[[#This Row],[CÓDIGO]],Consumo!$P$3:$P$862) + SUMIF(Consumo!$C$3:$C$862,tabItens[[#This Row],[CÓDIGO]],Consumo!$Q$3:$Q$862)</f>
        <v>1668</v>
      </c>
      <c r="AT113" s="401">
        <f>SUMIF(Consumo!$C$3:$C$862,tabItens[[#This Row],[CÓDIGO]],Consumo!$Z$3:$Z$862)</f>
        <v>10035</v>
      </c>
      <c r="AU113" s="402">
        <f>SUMIF(Consumo!$C$3:$C$862,tabItens[[#This Row],[CÓDIGO]],Consumo!$AA$3:$AA$862)</f>
        <v>2195</v>
      </c>
      <c r="AV113" s="403">
        <f>SUMIF(Consumo!$C$3:$C$862,tabItens[[#This Row],[CÓDIGO]],Consumo!$Y$3:$Y$862)</f>
        <v>836.25</v>
      </c>
      <c r="AW113" s="380">
        <f>tabItens[[#This Row],[QTDE ATUAL]] + tabItens[[#This Row],[RC QTDE]] + tabItens[[#This Row],[AF SALDO]] + tabItens[[#This Row],[Recentes]]</f>
        <v>2800</v>
      </c>
      <c r="AX113" s="404">
        <v>532</v>
      </c>
      <c r="AY113" s="404">
        <v>4</v>
      </c>
      <c r="AZ113" s="404">
        <f>IF(ISBLANK(tabItens[[#This Row],[CÓDIGO]]),"",tabItens[[#This Row],[PontoMês]] * (AZ$2+tabItens[[#This Row],[PontoQtM]]))</f>
        <v>2128</v>
      </c>
      <c r="BA113" s="403">
        <f>tabItens[[#This Row],[PontoPed]] - tabItens[[#This Row],[Saldo]] + (1/10)</f>
        <v>-671.9</v>
      </c>
      <c r="BB113" s="403">
        <f xml:space="preserve"> tabItens[[#This Row],[PontoMês]] * BB$2 - tabItens[[#This Row],[QTDE ATUAL]] - (1/10)</f>
        <v>531.9</v>
      </c>
      <c r="BC113" s="335">
        <f>IF( tabItens[[#This Row],[PontoPed]]&gt;0, IF(tabItens[[#This Row],[PontoPed]]&lt;1, 1, IF( tabItens[[#This Row],[Saldo]]&gt;tabItens[[#This Row],[PontoPed]], 0, (tabItens[[#This Row],[PontoPed]]-tabItens[[#This Row],[Saldo]])/tabItens[[#This Row],[PontoPed]] ) ), 0 )</f>
        <v>0</v>
      </c>
      <c r="BD113" s="405">
        <f>ROUNDDOWN(IF( OR( AND(tabItens[[#This Row],[PontoPed]]&lt;tabItens[[#This Row],[Saldo]],tabItens[[#This Row],[Saldo]]&gt;0), tabItens[[#This Row],[PontoPed]]=0), 99, IF(AND(tabItens[[#This Row],[Saldo]]=0,tabItens[[#This Row],[PontoPed]]&gt;0), 0, (1-tabItens[[#This Row],[PctAb]])*10 ) ),0)</f>
        <v>99</v>
      </c>
      <c r="BE113" s="406">
        <f>MAX(ROUNDDOWN( IF(tabItens[[#This Row],[Abaixo]] &gt; 0,   tabItens[[#This Row],[Abaixo]] + (tabItens[[#This Row],[PontoMês]] * IF( OR( ISBLANK(tabItens[[#This Row],[ATA Nº/ANO]]), tabItens[[#This Row],[ATA Nº/ANO]] = ""),BE$2,BE$1)),0),0),0)</f>
        <v>0</v>
      </c>
      <c r="BF11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3" s="338">
        <f>SUMIF(Consumo!$C$3:$C$862,tabItens[[#This Row],[CÓDIGO]],Consumo!$E$3:$E$862)</f>
        <v>460</v>
      </c>
      <c r="BH113" s="339">
        <f>IF(AND(tabItens[[#This Row],[Pend]] &gt; 0,tabItens[[#This Row],[Consumo]] &lt;&gt; 0), tabItens[[#This Row],[Pend]] / tabItens[[#This Row],[Consumo]], 0 )</f>
        <v>4.58395615346288E-2</v>
      </c>
      <c r="BI113" s="338"/>
      <c r="BJ113" s="407"/>
      <c r="BK113" s="408" t="s">
        <v>2086</v>
      </c>
    </row>
    <row r="114" spans="1:63" x14ac:dyDescent="0.3">
      <c r="A114" s="375">
        <v>77823</v>
      </c>
      <c r="B114" s="376" t="s">
        <v>1439</v>
      </c>
      <c r="C114" s="377" t="s">
        <v>263</v>
      </c>
      <c r="D114" s="378">
        <v>21.71</v>
      </c>
      <c r="E114" s="305"/>
      <c r="F114" s="379"/>
      <c r="G114" s="379" t="s">
        <v>889</v>
      </c>
      <c r="H114" s="380">
        <v>37</v>
      </c>
      <c r="I114" s="307">
        <v>103003</v>
      </c>
      <c r="J114" s="308">
        <v>21.71</v>
      </c>
      <c r="K114" s="381">
        <v>24</v>
      </c>
      <c r="L114" s="382">
        <f>IF(tabItens[[#This Row],[Média]] &gt; 0, tabItens[[#This Row],[QTDE ATUAL]] / tabItens[[#This Row],[Média]],999.9)</f>
        <v>22.2</v>
      </c>
      <c r="M114" s="383">
        <v>0</v>
      </c>
      <c r="N114" s="384">
        <f>tabItens[[#This Row],[VALOR UNIT.]] * tabItens[[#This Row],[LC]]</f>
        <v>0</v>
      </c>
      <c r="O114" s="385" t="s">
        <v>2131</v>
      </c>
      <c r="P114" s="386"/>
      <c r="Q114" s="387"/>
      <c r="R114" s="312"/>
      <c r="S114" s="388"/>
      <c r="T114" s="389">
        <f>ROUNDDOWN(IFERROR(tabItens[[#This Row],[ATA DT.VALID.]] - $D$1,0) / 30,0)</f>
        <v>-1474</v>
      </c>
      <c r="U114" s="302" t="s">
        <v>1440</v>
      </c>
      <c r="V114" s="318">
        <v>1</v>
      </c>
      <c r="W114" s="390" t="s">
        <v>2073</v>
      </c>
      <c r="X114" s="391">
        <v>72</v>
      </c>
      <c r="Y114" s="392">
        <v>5</v>
      </c>
      <c r="Z114" s="393"/>
      <c r="AA114" s="394"/>
      <c r="AB114" s="395"/>
      <c r="AC114" s="395"/>
      <c r="AD114" s="394"/>
      <c r="AE114" s="395"/>
      <c r="AF114" s="317"/>
      <c r="AG114" s="396" t="s">
        <v>2072</v>
      </c>
      <c r="AH114" s="397"/>
      <c r="AI114" s="317">
        <v>8</v>
      </c>
      <c r="AJ114" s="397">
        <v>43279</v>
      </c>
      <c r="AK114" s="326">
        <v>38065</v>
      </c>
      <c r="AL114" s="326">
        <v>44711</v>
      </c>
      <c r="AM114" s="316"/>
      <c r="AN114" s="305"/>
      <c r="AO114" s="327" t="str">
        <f>_xlfn.IFNA(IF(VLOOKUP(tabItens[[#This Row],[CÓDIGO]],tabExcluirDoEstoque[#Data],1,FALSE),"sim",""),"")</f>
        <v/>
      </c>
      <c r="AP114" s="398" t="str">
        <f ca="1">IF(OR(ISBLANK(tabItens[[#This Row],[ATA DT.VALID.]]),tabItens[[#This Row],[ATA DT.VALID.]]="",tabItens[[#This Row],[ATA DT.VALID.]]=" "),"",IF(TYPE(tabItens[[#This Row],[ATA DT.VALID.]])=1,ROUNDUP((tabItens[[#This Row],[ATA DT.VALID.]]-TODAY())/7,0),""))</f>
        <v/>
      </c>
      <c r="AQ114" s="399">
        <v>0</v>
      </c>
      <c r="AR114" s="400" t="str">
        <f>IF(ISBLANK(tabItens[[#This Row],[CÓDIGO]]),"",IFERROR(VLOOKUP(tabItens[[#This Row],[CÓDIGO]],Consumo!$C$2:$AC$862,26,FALSE),0))</f>
        <v>08.2023</v>
      </c>
      <c r="AS114" s="401">
        <f>SUMIF(Consumo!$C$3:$C$862,tabItens[[#This Row],[CÓDIGO]],Consumo!$N$3:$N$862) + SUMIF(Consumo!$C$3:$C$862,tabItens[[#This Row],[CÓDIGO]],Consumo!$O$3:$O$862) + SUMIF(Consumo!$C$3:$C$862,tabItens[[#This Row],[CÓDIGO]],Consumo!$P$3:$P$862) + SUMIF(Consumo!$C$3:$C$862,tabItens[[#This Row],[CÓDIGO]],Consumo!$Q$3:$Q$862)</f>
        <v>3</v>
      </c>
      <c r="AT114" s="401">
        <f>SUMIF(Consumo!$C$3:$C$862,tabItens[[#This Row],[CÓDIGO]],Consumo!$Z$3:$Z$862)</f>
        <v>24</v>
      </c>
      <c r="AU114" s="402">
        <f>SUMIF(Consumo!$C$3:$C$862,tabItens[[#This Row],[CÓDIGO]],Consumo!$AA$3:$AA$862)</f>
        <v>13</v>
      </c>
      <c r="AV114" s="403">
        <f>SUMIF(Consumo!$C$3:$C$862,tabItens[[#This Row],[CÓDIGO]],Consumo!$Y$3:$Y$862)</f>
        <v>1.6666666666666667</v>
      </c>
      <c r="AW114" s="380">
        <f>tabItens[[#This Row],[QTDE ATUAL]] + tabItens[[#This Row],[RC QTDE]] + tabItens[[#This Row],[AF SALDO]] + tabItens[[#This Row],[Recentes]]</f>
        <v>37</v>
      </c>
      <c r="AX114" s="404">
        <v>3</v>
      </c>
      <c r="AY114" s="404">
        <v>4</v>
      </c>
      <c r="AZ114" s="404">
        <f>IF(ISBLANK(tabItens[[#This Row],[CÓDIGO]]),"",tabItens[[#This Row],[PontoMês]] * (AZ$2+tabItens[[#This Row],[PontoQtM]]))</f>
        <v>12</v>
      </c>
      <c r="BA114" s="403">
        <f>tabItens[[#This Row],[PontoPed]] - tabItens[[#This Row],[Saldo]] + (1/10)</f>
        <v>-24.9</v>
      </c>
      <c r="BB114" s="403">
        <f xml:space="preserve"> tabItens[[#This Row],[PontoMês]] * BB$2 - tabItens[[#This Row],[QTDE ATUAL]] - (1/10)</f>
        <v>-34.1</v>
      </c>
      <c r="BC114" s="335">
        <f>IF( tabItens[[#This Row],[PontoPed]]&gt;0, IF(tabItens[[#This Row],[PontoPed]]&lt;1, 1, IF( tabItens[[#This Row],[Saldo]]&gt;tabItens[[#This Row],[PontoPed]], 0, (tabItens[[#This Row],[PontoPed]]-tabItens[[#This Row],[Saldo]])/tabItens[[#This Row],[PontoPed]] ) ), 0 )</f>
        <v>0</v>
      </c>
      <c r="BD114" s="405">
        <f>ROUNDDOWN(IF( OR( AND(tabItens[[#This Row],[PontoPed]]&lt;tabItens[[#This Row],[Saldo]],tabItens[[#This Row],[Saldo]]&gt;0), tabItens[[#This Row],[PontoPed]]=0), 99, IF(AND(tabItens[[#This Row],[Saldo]]=0,tabItens[[#This Row],[PontoPed]]&gt;0), 0, (1-tabItens[[#This Row],[PctAb]])*10 ) ),0)</f>
        <v>99</v>
      </c>
      <c r="BE114" s="406">
        <f>MAX(ROUNDDOWN( IF(tabItens[[#This Row],[Abaixo]] &gt; 0,   tabItens[[#This Row],[Abaixo]] + (tabItens[[#This Row],[PontoMês]] * IF( OR( ISBLANK(tabItens[[#This Row],[ATA Nº/ANO]]), tabItens[[#This Row],[ATA Nº/ANO]] = ""),BE$2,BE$1)),0),0),0)</f>
        <v>0</v>
      </c>
      <c r="BF11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4" s="338">
        <f>SUMIF(Consumo!$C$3:$C$862,tabItens[[#This Row],[CÓDIGO]],Consumo!$E$3:$E$862)</f>
        <v>0</v>
      </c>
      <c r="BH114" s="339">
        <f>IF(AND(tabItens[[#This Row],[Pend]] &gt; 0,tabItens[[#This Row],[Consumo]] &lt;&gt; 0), tabItens[[#This Row],[Pend]] / tabItens[[#This Row],[Consumo]], 0 )</f>
        <v>0</v>
      </c>
      <c r="BI114" s="338"/>
      <c r="BJ114" s="407"/>
      <c r="BK114" s="408" t="s">
        <v>2086</v>
      </c>
    </row>
    <row r="115" spans="1:63" x14ac:dyDescent="0.3">
      <c r="A115" s="375">
        <v>122304</v>
      </c>
      <c r="B115" s="376" t="s">
        <v>1751</v>
      </c>
      <c r="C115" s="377" t="s">
        <v>31</v>
      </c>
      <c r="D115" s="378">
        <v>1.99</v>
      </c>
      <c r="E115" s="305"/>
      <c r="F115" s="379"/>
      <c r="G115" s="379" t="s">
        <v>889</v>
      </c>
      <c r="H115" s="380">
        <v>3000</v>
      </c>
      <c r="I115" s="307">
        <v>103003</v>
      </c>
      <c r="J115" s="308">
        <v>1.99</v>
      </c>
      <c r="K115" s="381">
        <v>1985</v>
      </c>
      <c r="L115" s="382">
        <f>IF(tabItens[[#This Row],[Média]] &gt; 0, tabItens[[#This Row],[QTDE ATUAL]] / tabItens[[#This Row],[Média]],999.9)</f>
        <v>16.267510167193855</v>
      </c>
      <c r="M115" s="383">
        <v>0</v>
      </c>
      <c r="N115" s="384">
        <f>tabItens[[#This Row],[VALOR UNIT.]] * tabItens[[#This Row],[LC]]</f>
        <v>0</v>
      </c>
      <c r="O115" s="385" t="s">
        <v>2191</v>
      </c>
      <c r="P115" s="386"/>
      <c r="Q115" s="387"/>
      <c r="R115" s="312"/>
      <c r="S115" s="388"/>
      <c r="T115" s="389">
        <f>ROUNDDOWN(IFERROR(tabItens[[#This Row],[ATA DT.VALID.]] - $D$1,0) / 30,0)</f>
        <v>-1474</v>
      </c>
      <c r="U115" s="302" t="s">
        <v>1276</v>
      </c>
      <c r="V115" s="318">
        <v>1</v>
      </c>
      <c r="W115" s="390" t="s">
        <v>2078</v>
      </c>
      <c r="X115" s="391">
        <v>83</v>
      </c>
      <c r="Y115" s="392">
        <v>4</v>
      </c>
      <c r="Z115" s="393"/>
      <c r="AA115" s="394"/>
      <c r="AB115" s="395"/>
      <c r="AC115" s="395"/>
      <c r="AD115" s="394"/>
      <c r="AE115" s="395"/>
      <c r="AF115" s="317"/>
      <c r="AG115" s="396" t="s">
        <v>2072</v>
      </c>
      <c r="AH115" s="397"/>
      <c r="AI115" s="317">
        <v>684</v>
      </c>
      <c r="AJ115" s="397">
        <v>45203</v>
      </c>
      <c r="AK115" s="326">
        <v>40946</v>
      </c>
      <c r="AL115" s="326">
        <v>45189</v>
      </c>
      <c r="AM115" s="316"/>
      <c r="AN115" s="305"/>
      <c r="AO115" s="327" t="str">
        <f>_xlfn.IFNA(IF(VLOOKUP(tabItens[[#This Row],[CÓDIGO]],tabExcluirDoEstoque[#Data],1,FALSE),"sim",""),"")</f>
        <v/>
      </c>
      <c r="AP115" s="398" t="str">
        <f ca="1">IF(OR(ISBLANK(tabItens[[#This Row],[ATA DT.VALID.]]),tabItens[[#This Row],[ATA DT.VALID.]]="",tabItens[[#This Row],[ATA DT.VALID.]]=" "),"",IF(TYPE(tabItens[[#This Row],[ATA DT.VALID.]])=1,ROUNDUP((tabItens[[#This Row],[ATA DT.VALID.]]-TODAY())/7,0),""))</f>
        <v/>
      </c>
      <c r="AQ115" s="399">
        <v>0</v>
      </c>
      <c r="AR115" s="400" t="str">
        <f>IF(ISBLANK(tabItens[[#This Row],[CÓDIGO]]),"",IFERROR(VLOOKUP(tabItens[[#This Row],[CÓDIGO]],Consumo!$C$2:$AC$862,26,FALSE),0))</f>
        <v>07.2023</v>
      </c>
      <c r="AS115" s="401">
        <f>SUMIF(Consumo!$C$3:$C$862,tabItens[[#This Row],[CÓDIGO]],Consumo!$N$3:$N$862) + SUMIF(Consumo!$C$3:$C$862,tabItens[[#This Row],[CÓDIGO]],Consumo!$O$3:$O$862) + SUMIF(Consumo!$C$3:$C$862,tabItens[[#This Row],[CÓDIGO]],Consumo!$P$3:$P$862) + SUMIF(Consumo!$C$3:$C$862,tabItens[[#This Row],[CÓDIGO]],Consumo!$Q$3:$Q$862)</f>
        <v>65</v>
      </c>
      <c r="AT115" s="401">
        <f>SUMIF(Consumo!$C$3:$C$862,tabItens[[#This Row],[CÓDIGO]],Consumo!$Z$3:$Z$862)</f>
        <v>2255</v>
      </c>
      <c r="AU115" s="402">
        <f>SUMIF(Consumo!$C$3:$C$862,tabItens[[#This Row],[CÓDIGO]],Consumo!$AA$3:$AA$862)</f>
        <v>619</v>
      </c>
      <c r="AV115" s="403">
        <f>SUMIF(Consumo!$C$3:$C$862,tabItens[[#This Row],[CÓDIGO]],Consumo!$Y$3:$Y$862)</f>
        <v>184.41666666666666</v>
      </c>
      <c r="AW115" s="380">
        <f>tabItens[[#This Row],[QTDE ATUAL]] + tabItens[[#This Row],[RC QTDE]] + tabItens[[#This Row],[AF SALDO]] + tabItens[[#This Row],[Recentes]]</f>
        <v>3000</v>
      </c>
      <c r="AX115" s="404">
        <v>100</v>
      </c>
      <c r="AY115" s="404">
        <v>4</v>
      </c>
      <c r="AZ115" s="404">
        <f>IF(ISBLANK(tabItens[[#This Row],[CÓDIGO]]),"",tabItens[[#This Row],[PontoMês]] * (AZ$2+tabItens[[#This Row],[PontoQtM]]))</f>
        <v>400</v>
      </c>
      <c r="BA115" s="403">
        <f>tabItens[[#This Row],[PontoPed]] - tabItens[[#This Row],[Saldo]] + (1/10)</f>
        <v>-2599.9</v>
      </c>
      <c r="BB115" s="403">
        <f xml:space="preserve"> tabItens[[#This Row],[PontoMês]] * BB$2 - tabItens[[#This Row],[QTDE ATUAL]] - (1/10)</f>
        <v>-2900.1</v>
      </c>
      <c r="BC115" s="335">
        <f>IF( tabItens[[#This Row],[PontoPed]]&gt;0, IF(tabItens[[#This Row],[PontoPed]]&lt;1, 1, IF( tabItens[[#This Row],[Saldo]]&gt;tabItens[[#This Row],[PontoPed]], 0, (tabItens[[#This Row],[PontoPed]]-tabItens[[#This Row],[Saldo]])/tabItens[[#This Row],[PontoPed]] ) ), 0 )</f>
        <v>0</v>
      </c>
      <c r="BD115" s="405">
        <f>ROUNDDOWN(IF( OR( AND(tabItens[[#This Row],[PontoPed]]&lt;tabItens[[#This Row],[Saldo]],tabItens[[#This Row],[Saldo]]&gt;0), tabItens[[#This Row],[PontoPed]]=0), 99, IF(AND(tabItens[[#This Row],[Saldo]]=0,tabItens[[#This Row],[PontoPed]]&gt;0), 0, (1-tabItens[[#This Row],[PctAb]])*10 ) ),0)</f>
        <v>99</v>
      </c>
      <c r="BE115" s="406">
        <f>MAX(ROUNDDOWN( IF(tabItens[[#This Row],[Abaixo]] &gt; 0,   tabItens[[#This Row],[Abaixo]] + (tabItens[[#This Row],[PontoMês]] * IF( OR( ISBLANK(tabItens[[#This Row],[ATA Nº/ANO]]), tabItens[[#This Row],[ATA Nº/ANO]] = ""),BE$2,BE$1)),0),0),0)</f>
        <v>0</v>
      </c>
      <c r="BF11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5" s="338">
        <f>SUMIF(Consumo!$C$3:$C$862,tabItens[[#This Row],[CÓDIGO]],Consumo!$E$3:$E$862)</f>
        <v>205</v>
      </c>
      <c r="BH115" s="339">
        <f>IF(AND(tabItens[[#This Row],[Pend]] &gt; 0,tabItens[[#This Row],[Consumo]] &lt;&gt; 0), tabItens[[#This Row],[Pend]] / tabItens[[#This Row],[Consumo]], 0 )</f>
        <v>9.0909090909090912E-2</v>
      </c>
      <c r="BI115" s="338"/>
      <c r="BJ115" s="407"/>
      <c r="BK115" s="408" t="s">
        <v>2086</v>
      </c>
    </row>
    <row r="116" spans="1:63" x14ac:dyDescent="0.3">
      <c r="A116" s="375">
        <v>115807</v>
      </c>
      <c r="B116" s="376" t="s">
        <v>1720</v>
      </c>
      <c r="C116" s="377" t="s">
        <v>31</v>
      </c>
      <c r="D116" s="378">
        <v>332.59</v>
      </c>
      <c r="E116" s="305"/>
      <c r="F116" s="379"/>
      <c r="G116" s="379" t="s">
        <v>889</v>
      </c>
      <c r="H116" s="380">
        <v>0</v>
      </c>
      <c r="I116" s="307">
        <v>103003</v>
      </c>
      <c r="J116" s="308">
        <v>332.59</v>
      </c>
      <c r="K116" s="381">
        <v>322</v>
      </c>
      <c r="L116" s="382">
        <f>IF(tabItens[[#This Row],[Média]] &gt; 0, tabItens[[#This Row],[QTDE ATUAL]] / tabItens[[#This Row],[Média]],999.9)</f>
        <v>0</v>
      </c>
      <c r="M116" s="383">
        <v>0</v>
      </c>
      <c r="N116" s="384">
        <f>tabItens[[#This Row],[VALOR UNIT.]] * tabItens[[#This Row],[LC]]</f>
        <v>0</v>
      </c>
      <c r="O116" s="385" t="s">
        <v>2185</v>
      </c>
      <c r="P116" s="386"/>
      <c r="Q116" s="387"/>
      <c r="R116" s="312"/>
      <c r="S116" s="388"/>
      <c r="T116" s="389">
        <f>ROUNDDOWN(IFERROR(tabItens[[#This Row],[ATA DT.VALID.]] - $D$1,0) / 30,0)</f>
        <v>-1474</v>
      </c>
      <c r="U116" s="302" t="s">
        <v>1115</v>
      </c>
      <c r="V116" s="318">
        <v>1</v>
      </c>
      <c r="W116" s="390" t="s">
        <v>2079</v>
      </c>
      <c r="X116" s="391">
        <v>74</v>
      </c>
      <c r="Y116" s="392">
        <v>8</v>
      </c>
      <c r="Z116" s="393">
        <v>8994</v>
      </c>
      <c r="AA116" s="394">
        <v>2023</v>
      </c>
      <c r="AB116" s="395">
        <v>170</v>
      </c>
      <c r="AC116" s="395"/>
      <c r="AD116" s="394"/>
      <c r="AE116" s="395"/>
      <c r="AF116" s="317"/>
      <c r="AG116" s="396" t="s">
        <v>2072</v>
      </c>
      <c r="AH116" s="397"/>
      <c r="AI116" s="317">
        <v>134</v>
      </c>
      <c r="AJ116" s="397">
        <v>44792</v>
      </c>
      <c r="AK116" s="326">
        <v>40352</v>
      </c>
      <c r="AL116" s="326">
        <v>44720</v>
      </c>
      <c r="AM116" s="316"/>
      <c r="AN116" s="305"/>
      <c r="AO116" s="327" t="str">
        <f>_xlfn.IFNA(IF(VLOOKUP(tabItens[[#This Row],[CÓDIGO]],tabExcluirDoEstoque[#Data],1,FALSE),"sim",""),"")</f>
        <v/>
      </c>
      <c r="AP116" s="398" t="str">
        <f ca="1">IF(OR(ISBLANK(tabItens[[#This Row],[ATA DT.VALID.]]),tabItens[[#This Row],[ATA DT.VALID.]]="",tabItens[[#This Row],[ATA DT.VALID.]]=" "),"",IF(TYPE(tabItens[[#This Row],[ATA DT.VALID.]])=1,ROUNDUP((tabItens[[#This Row],[ATA DT.VALID.]]-TODAY())/7,0),""))</f>
        <v/>
      </c>
      <c r="AQ116" s="399">
        <v>0</v>
      </c>
      <c r="AR116" s="400" t="str">
        <f>IF(ISBLANK(tabItens[[#This Row],[CÓDIGO]]),"",IFERROR(VLOOKUP(tabItens[[#This Row],[CÓDIGO]],Consumo!$C$2:$AC$862,26,FALSE),0))</f>
        <v>07.2023</v>
      </c>
      <c r="AS116" s="401">
        <f>SUMIF(Consumo!$C$3:$C$862,tabItens[[#This Row],[CÓDIGO]],Consumo!$N$3:$N$862) + SUMIF(Consumo!$C$3:$C$862,tabItens[[#This Row],[CÓDIGO]],Consumo!$O$3:$O$862) + SUMIF(Consumo!$C$3:$C$862,tabItens[[#This Row],[CÓDIGO]],Consumo!$P$3:$P$862) + SUMIF(Consumo!$C$3:$C$862,tabItens[[#This Row],[CÓDIGO]],Consumo!$Q$3:$Q$862)</f>
        <v>122</v>
      </c>
      <c r="AT116" s="401">
        <f>SUMIF(Consumo!$C$3:$C$862,tabItens[[#This Row],[CÓDIGO]],Consumo!$Z$3:$Z$862)</f>
        <v>402</v>
      </c>
      <c r="AU116" s="402">
        <f>SUMIF(Consumo!$C$3:$C$862,tabItens[[#This Row],[CÓDIGO]],Consumo!$AA$3:$AA$862)</f>
        <v>122</v>
      </c>
      <c r="AV116" s="403">
        <f>SUMIF(Consumo!$C$3:$C$862,tabItens[[#This Row],[CÓDIGO]],Consumo!$Y$3:$Y$862)</f>
        <v>31.75</v>
      </c>
      <c r="AW116" s="380">
        <f>tabItens[[#This Row],[QTDE ATUAL]] + tabItens[[#This Row],[RC QTDE]] + tabItens[[#This Row],[AF SALDO]] + tabItens[[#This Row],[Recentes]]</f>
        <v>170</v>
      </c>
      <c r="AX116" s="404">
        <v>42</v>
      </c>
      <c r="AY116" s="404">
        <v>4</v>
      </c>
      <c r="AZ116" s="404">
        <f>IF(ISBLANK(tabItens[[#This Row],[CÓDIGO]]),"",tabItens[[#This Row],[PontoMês]] * (AZ$2+tabItens[[#This Row],[PontoQtM]]))</f>
        <v>168</v>
      </c>
      <c r="BA116" s="403">
        <f>tabItens[[#This Row],[PontoPed]] - tabItens[[#This Row],[Saldo]] + (1/10)</f>
        <v>-1.9</v>
      </c>
      <c r="BB116" s="403">
        <f xml:space="preserve"> tabItens[[#This Row],[PontoMês]] * BB$2 - tabItens[[#This Row],[QTDE ATUAL]] - (1/10)</f>
        <v>41.9</v>
      </c>
      <c r="BC116" s="335">
        <f>IF( tabItens[[#This Row],[PontoPed]]&gt;0, IF(tabItens[[#This Row],[PontoPed]]&lt;1, 1, IF( tabItens[[#This Row],[Saldo]]&gt;tabItens[[#This Row],[PontoPed]], 0, (tabItens[[#This Row],[PontoPed]]-tabItens[[#This Row],[Saldo]])/tabItens[[#This Row],[PontoPed]] ) ), 0 )</f>
        <v>0</v>
      </c>
      <c r="BD116" s="405">
        <f>ROUNDDOWN(IF( OR( AND(tabItens[[#This Row],[PontoPed]]&lt;tabItens[[#This Row],[Saldo]],tabItens[[#This Row],[Saldo]]&gt;0), tabItens[[#This Row],[PontoPed]]=0), 99, IF(AND(tabItens[[#This Row],[Saldo]]=0,tabItens[[#This Row],[PontoPed]]&gt;0), 0, (1-tabItens[[#This Row],[PctAb]])*10 ) ),0)</f>
        <v>99</v>
      </c>
      <c r="BE116" s="406">
        <f>MAX(ROUNDDOWN( IF(tabItens[[#This Row],[Abaixo]] &gt; 0,   tabItens[[#This Row],[Abaixo]] + (tabItens[[#This Row],[PontoMês]] * IF( OR( ISBLANK(tabItens[[#This Row],[ATA Nº/ANO]]), tabItens[[#This Row],[ATA Nº/ANO]] = ""),BE$2,BE$1)),0),0),0)</f>
        <v>0</v>
      </c>
      <c r="BF11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6" s="338">
        <f>SUMIF(Consumo!$C$3:$C$862,tabItens[[#This Row],[CÓDIGO]],Consumo!$E$3:$E$862)</f>
        <v>0</v>
      </c>
      <c r="BH116" s="339">
        <f>IF(AND(tabItens[[#This Row],[Pend]] &gt; 0,tabItens[[#This Row],[Consumo]] &lt;&gt; 0), tabItens[[#This Row],[Pend]] / tabItens[[#This Row],[Consumo]], 0 )</f>
        <v>0</v>
      </c>
      <c r="BI116" s="338"/>
      <c r="BJ116" s="407"/>
      <c r="BK116" s="408" t="s">
        <v>2086</v>
      </c>
    </row>
    <row r="117" spans="1:63" x14ac:dyDescent="0.3">
      <c r="A117" s="375">
        <v>126044</v>
      </c>
      <c r="B117" s="376" t="s">
        <v>1772</v>
      </c>
      <c r="C117" s="377" t="s">
        <v>727</v>
      </c>
      <c r="D117" s="378">
        <v>407.35</v>
      </c>
      <c r="E117" s="305"/>
      <c r="F117" s="379"/>
      <c r="G117" s="379" t="s">
        <v>889</v>
      </c>
      <c r="H117" s="380">
        <v>160</v>
      </c>
      <c r="I117" s="307">
        <v>103003</v>
      </c>
      <c r="J117" s="308">
        <v>407.35</v>
      </c>
      <c r="K117" s="381">
        <v>39</v>
      </c>
      <c r="L117" s="382">
        <f>IF(tabItens[[#This Row],[Média]] &gt; 0, tabItens[[#This Row],[QTDE ATUAL]] / tabItens[[#This Row],[Média]],999.9)</f>
        <v>53.333333333333336</v>
      </c>
      <c r="M117" s="383">
        <v>0</v>
      </c>
      <c r="N117" s="384">
        <f>tabItens[[#This Row],[VALOR UNIT.]] * tabItens[[#This Row],[LC]]</f>
        <v>0</v>
      </c>
      <c r="O117" s="385" t="s">
        <v>2185</v>
      </c>
      <c r="P117" s="386"/>
      <c r="Q117" s="387"/>
      <c r="R117" s="312"/>
      <c r="S117" s="388"/>
      <c r="T117" s="389">
        <f>ROUNDDOWN(IFERROR(tabItens[[#This Row],[ATA DT.VALID.]] - $D$1,0) / 30,0)</f>
        <v>-1474</v>
      </c>
      <c r="U117" s="302" t="s">
        <v>1115</v>
      </c>
      <c r="V117" s="318">
        <v>1</v>
      </c>
      <c r="W117" s="390" t="s">
        <v>2079</v>
      </c>
      <c r="X117" s="391">
        <v>74</v>
      </c>
      <c r="Y117" s="392">
        <v>8</v>
      </c>
      <c r="Z117" s="393"/>
      <c r="AA117" s="394"/>
      <c r="AB117" s="395"/>
      <c r="AC117" s="395"/>
      <c r="AD117" s="394"/>
      <c r="AE117" s="395"/>
      <c r="AF117" s="317"/>
      <c r="AG117" s="396" t="s">
        <v>2072</v>
      </c>
      <c r="AH117" s="397"/>
      <c r="AI117" s="317">
        <v>14</v>
      </c>
      <c r="AJ117" s="397">
        <v>44461</v>
      </c>
      <c r="AK117" s="326">
        <v>41508</v>
      </c>
      <c r="AL117" s="326">
        <v>44453</v>
      </c>
      <c r="AM117" s="316"/>
      <c r="AN117" s="305"/>
      <c r="AO117" s="327" t="str">
        <f>_xlfn.IFNA(IF(VLOOKUP(tabItens[[#This Row],[CÓDIGO]],tabExcluirDoEstoque[#Data],1,FALSE),"sim",""),"")</f>
        <v/>
      </c>
      <c r="AP117" s="398" t="str">
        <f ca="1">IF(OR(ISBLANK(tabItens[[#This Row],[ATA DT.VALID.]]),tabItens[[#This Row],[ATA DT.VALID.]]="",tabItens[[#This Row],[ATA DT.VALID.]]=" "),"",IF(TYPE(tabItens[[#This Row],[ATA DT.VALID.]])=1,ROUNDUP((tabItens[[#This Row],[ATA DT.VALID.]]-TODAY())/7,0),""))</f>
        <v/>
      </c>
      <c r="AQ117" s="399">
        <v>0</v>
      </c>
      <c r="AR117" s="400" t="str">
        <f>IF(ISBLANK(tabItens[[#This Row],[CÓDIGO]]),"",IFERROR(VLOOKUP(tabItens[[#This Row],[CÓDIGO]],Consumo!$C$2:$AC$862,26,FALSE),0))</f>
        <v>08.2023</v>
      </c>
      <c r="AS117" s="401">
        <f>SUMIF(Consumo!$C$3:$C$862,tabItens[[#This Row],[CÓDIGO]],Consumo!$N$3:$N$862) + SUMIF(Consumo!$C$3:$C$862,tabItens[[#This Row],[CÓDIGO]],Consumo!$O$3:$O$862) + SUMIF(Consumo!$C$3:$C$862,tabItens[[#This Row],[CÓDIGO]],Consumo!$P$3:$P$862) + SUMIF(Consumo!$C$3:$C$862,tabItens[[#This Row],[CÓDIGO]],Consumo!$Q$3:$Q$862)</f>
        <v>27</v>
      </c>
      <c r="AT117" s="401">
        <f>SUMIF(Consumo!$C$3:$C$862,tabItens[[#This Row],[CÓDIGO]],Consumo!$Z$3:$Z$862)</f>
        <v>39</v>
      </c>
      <c r="AU117" s="402">
        <f>SUMIF(Consumo!$C$3:$C$862,tabItens[[#This Row],[CÓDIGO]],Consumo!$AA$3:$AA$862)</f>
        <v>17</v>
      </c>
      <c r="AV117" s="403">
        <f>SUMIF(Consumo!$C$3:$C$862,tabItens[[#This Row],[CÓDIGO]],Consumo!$Y$3:$Y$862)</f>
        <v>3</v>
      </c>
      <c r="AW117" s="380">
        <f>tabItens[[#This Row],[QTDE ATUAL]] + tabItens[[#This Row],[RC QTDE]] + tabItens[[#This Row],[AF SALDO]] + tabItens[[#This Row],[Recentes]]</f>
        <v>160</v>
      </c>
      <c r="AX117" s="404">
        <v>25</v>
      </c>
      <c r="AY117" s="404">
        <v>4</v>
      </c>
      <c r="AZ117" s="404">
        <f>IF(ISBLANK(tabItens[[#This Row],[CÓDIGO]]),"",tabItens[[#This Row],[PontoMês]] * (AZ$2+tabItens[[#This Row],[PontoQtM]]))</f>
        <v>100</v>
      </c>
      <c r="BA117" s="403">
        <f>tabItens[[#This Row],[PontoPed]] - tabItens[[#This Row],[Saldo]] + (1/10)</f>
        <v>-59.9</v>
      </c>
      <c r="BB117" s="403">
        <f xml:space="preserve"> tabItens[[#This Row],[PontoMês]] * BB$2 - tabItens[[#This Row],[QTDE ATUAL]] - (1/10)</f>
        <v>-135.1</v>
      </c>
      <c r="BC117" s="335">
        <f>IF( tabItens[[#This Row],[PontoPed]]&gt;0, IF(tabItens[[#This Row],[PontoPed]]&lt;1, 1, IF( tabItens[[#This Row],[Saldo]]&gt;tabItens[[#This Row],[PontoPed]], 0, (tabItens[[#This Row],[PontoPed]]-tabItens[[#This Row],[Saldo]])/tabItens[[#This Row],[PontoPed]] ) ), 0 )</f>
        <v>0</v>
      </c>
      <c r="BD117" s="405">
        <f>ROUNDDOWN(IF( OR( AND(tabItens[[#This Row],[PontoPed]]&lt;tabItens[[#This Row],[Saldo]],tabItens[[#This Row],[Saldo]]&gt;0), tabItens[[#This Row],[PontoPed]]=0), 99, IF(AND(tabItens[[#This Row],[Saldo]]=0,tabItens[[#This Row],[PontoPed]]&gt;0), 0, (1-tabItens[[#This Row],[PctAb]])*10 ) ),0)</f>
        <v>99</v>
      </c>
      <c r="BE117" s="406">
        <f>MAX(ROUNDDOWN( IF(tabItens[[#This Row],[Abaixo]] &gt; 0,   tabItens[[#This Row],[Abaixo]] + (tabItens[[#This Row],[PontoMês]] * IF( OR( ISBLANK(tabItens[[#This Row],[ATA Nº/ANO]]), tabItens[[#This Row],[ATA Nº/ANO]] = ""),BE$2,BE$1)),0),0),0)</f>
        <v>0</v>
      </c>
      <c r="BF11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7" s="338">
        <f>SUMIF(Consumo!$C$3:$C$862,tabItens[[#This Row],[CÓDIGO]],Consumo!$E$3:$E$862)</f>
        <v>0</v>
      </c>
      <c r="BH117" s="339">
        <f>IF(AND(tabItens[[#This Row],[Pend]] &gt; 0,tabItens[[#This Row],[Consumo]] &lt;&gt; 0), tabItens[[#This Row],[Pend]] / tabItens[[#This Row],[Consumo]], 0 )</f>
        <v>0</v>
      </c>
      <c r="BI117" s="338"/>
      <c r="BJ117" s="407"/>
      <c r="BK117" s="408" t="s">
        <v>2086</v>
      </c>
    </row>
    <row r="118" spans="1:63" x14ac:dyDescent="0.3">
      <c r="A118" s="375">
        <v>49695</v>
      </c>
      <c r="B118" s="376" t="s">
        <v>1295</v>
      </c>
      <c r="C118" s="377" t="s">
        <v>263</v>
      </c>
      <c r="D118" s="378">
        <v>14.5</v>
      </c>
      <c r="E118" s="305"/>
      <c r="F118" s="379"/>
      <c r="G118" s="379" t="s">
        <v>889</v>
      </c>
      <c r="H118" s="380">
        <v>100</v>
      </c>
      <c r="I118" s="307">
        <v>103003</v>
      </c>
      <c r="J118" s="308">
        <v>14.5</v>
      </c>
      <c r="K118" s="381">
        <v>280</v>
      </c>
      <c r="L118" s="382">
        <f>IF(tabItens[[#This Row],[Média]] &gt; 0, tabItens[[#This Row],[QTDE ATUAL]] / tabItens[[#This Row],[Média]],999.9)</f>
        <v>3.2876712328767121</v>
      </c>
      <c r="M118" s="383">
        <v>0</v>
      </c>
      <c r="N118" s="384">
        <f>tabItens[[#This Row],[VALOR UNIT.]] * tabItens[[#This Row],[LC]]</f>
        <v>0</v>
      </c>
      <c r="O118" s="385" t="s">
        <v>2108</v>
      </c>
      <c r="P118" s="386"/>
      <c r="Q118" s="387"/>
      <c r="R118" s="312"/>
      <c r="S118" s="388"/>
      <c r="T118" s="389">
        <f>ROUNDDOWN(IFERROR(tabItens[[#This Row],[ATA DT.VALID.]] - $D$1,0) / 30,0)</f>
        <v>-1474</v>
      </c>
      <c r="U118" s="302" t="s">
        <v>1028</v>
      </c>
      <c r="V118" s="318">
        <v>1</v>
      </c>
      <c r="W118" s="390" t="s">
        <v>2071</v>
      </c>
      <c r="X118" s="391">
        <v>51</v>
      </c>
      <c r="Y118" s="392">
        <v>8</v>
      </c>
      <c r="Z118" s="393"/>
      <c r="AA118" s="394"/>
      <c r="AB118" s="395"/>
      <c r="AC118" s="395"/>
      <c r="AD118" s="394"/>
      <c r="AE118" s="395"/>
      <c r="AF118" s="317"/>
      <c r="AG118" s="396" t="s">
        <v>2072</v>
      </c>
      <c r="AH118" s="397"/>
      <c r="AI118" s="317">
        <v>98</v>
      </c>
      <c r="AJ118" s="397">
        <v>45201</v>
      </c>
      <c r="AK118" s="326" t="s">
        <v>889</v>
      </c>
      <c r="AL118" s="326">
        <v>45189</v>
      </c>
      <c r="AM118" s="316"/>
      <c r="AN118" s="305"/>
      <c r="AO118" s="327" t="str">
        <f>_xlfn.IFNA(IF(VLOOKUP(tabItens[[#This Row],[CÓDIGO]],tabExcluirDoEstoque[#Data],1,FALSE),"sim",""),"")</f>
        <v/>
      </c>
      <c r="AP118" s="398" t="str">
        <f ca="1">IF(OR(ISBLANK(tabItens[[#This Row],[ATA DT.VALID.]]),tabItens[[#This Row],[ATA DT.VALID.]]="",tabItens[[#This Row],[ATA DT.VALID.]]=" "),"",IF(TYPE(tabItens[[#This Row],[ATA DT.VALID.]])=1,ROUNDUP((tabItens[[#This Row],[ATA DT.VALID.]]-TODAY())/7,0),""))</f>
        <v/>
      </c>
      <c r="AQ118" s="399">
        <v>0</v>
      </c>
      <c r="AR118" s="400" t="str">
        <f>IF(ISBLANK(tabItens[[#This Row],[CÓDIGO]]),"",IFERROR(VLOOKUP(tabItens[[#This Row],[CÓDIGO]],Consumo!$C$2:$AC$862,26,FALSE),0))</f>
        <v>06.2023</v>
      </c>
      <c r="AS118" s="401">
        <f>SUMIF(Consumo!$C$3:$C$862,tabItens[[#This Row],[CÓDIGO]],Consumo!$N$3:$N$862) + SUMIF(Consumo!$C$3:$C$862,tabItens[[#This Row],[CÓDIGO]],Consumo!$O$3:$O$862) + SUMIF(Consumo!$C$3:$C$862,tabItens[[#This Row],[CÓDIGO]],Consumo!$P$3:$P$862) + SUMIF(Consumo!$C$3:$C$862,tabItens[[#This Row],[CÓDIGO]],Consumo!$Q$3:$Q$862)</f>
        <v>29</v>
      </c>
      <c r="AT118" s="401">
        <f>SUMIF(Consumo!$C$3:$C$862,tabItens[[#This Row],[CÓDIGO]],Consumo!$Z$3:$Z$862)</f>
        <v>365</v>
      </c>
      <c r="AU118" s="402">
        <f>SUMIF(Consumo!$C$3:$C$862,tabItens[[#This Row],[CÓDIGO]],Consumo!$AA$3:$AA$862)</f>
        <v>80</v>
      </c>
      <c r="AV118" s="403">
        <f>SUMIF(Consumo!$C$3:$C$862,tabItens[[#This Row],[CÓDIGO]],Consumo!$Y$3:$Y$862)</f>
        <v>30.416666666666668</v>
      </c>
      <c r="AW118" s="380">
        <f>tabItens[[#This Row],[QTDE ATUAL]] + tabItens[[#This Row],[RC QTDE]] + tabItens[[#This Row],[AF SALDO]] + tabItens[[#This Row],[Recentes]]</f>
        <v>100</v>
      </c>
      <c r="AX118" s="404">
        <v>84</v>
      </c>
      <c r="AY118" s="404">
        <v>4</v>
      </c>
      <c r="AZ118" s="404">
        <f>IF(ISBLANK(tabItens[[#This Row],[CÓDIGO]]),"",tabItens[[#This Row],[PontoMês]] * (AZ$2+tabItens[[#This Row],[PontoQtM]]))</f>
        <v>336</v>
      </c>
      <c r="BA118" s="403">
        <f>tabItens[[#This Row],[PontoPed]] - tabItens[[#This Row],[Saldo]] + (1/10)</f>
        <v>236.1</v>
      </c>
      <c r="BB118" s="403">
        <f xml:space="preserve"> tabItens[[#This Row],[PontoMês]] * BB$2 - tabItens[[#This Row],[QTDE ATUAL]] - (1/10)</f>
        <v>-16.100000000000001</v>
      </c>
      <c r="BC118" s="335">
        <f>IF( tabItens[[#This Row],[PontoPed]]&gt;0, IF(tabItens[[#This Row],[PontoPed]]&lt;1, 1, IF( tabItens[[#This Row],[Saldo]]&gt;tabItens[[#This Row],[PontoPed]], 0, (tabItens[[#This Row],[PontoPed]]-tabItens[[#This Row],[Saldo]])/tabItens[[#This Row],[PontoPed]] ) ), 0 )</f>
        <v>0.70238095238095233</v>
      </c>
      <c r="BD118" s="405">
        <f>ROUNDDOWN(IF( OR( AND(tabItens[[#This Row],[PontoPed]]&lt;tabItens[[#This Row],[Saldo]],tabItens[[#This Row],[Saldo]]&gt;0), tabItens[[#This Row],[PontoPed]]=0), 99, IF(AND(tabItens[[#This Row],[Saldo]]=0,tabItens[[#This Row],[PontoPed]]&gt;0), 0, (1-tabItens[[#This Row],[PctAb]])*10 ) ),0)</f>
        <v>2</v>
      </c>
      <c r="BE118" s="406">
        <f>MAX(ROUNDDOWN( IF(tabItens[[#This Row],[Abaixo]] &gt; 0,   tabItens[[#This Row],[Abaixo]] + (tabItens[[#This Row],[PontoMês]] * IF( OR( ISBLANK(tabItens[[#This Row],[ATA Nº/ANO]]), tabItens[[#This Row],[ATA Nº/ANO]] = ""),BE$2,BE$1)),0),0),0)</f>
        <v>488</v>
      </c>
      <c r="BF11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8" s="338">
        <f>SUMIF(Consumo!$C$3:$C$862,tabItens[[#This Row],[CÓDIGO]],Consumo!$E$3:$E$862)</f>
        <v>71</v>
      </c>
      <c r="BH118" s="339">
        <f>IF(AND(tabItens[[#This Row],[Pend]] &gt; 0,tabItens[[#This Row],[Consumo]] &lt;&gt; 0), tabItens[[#This Row],[Pend]] / tabItens[[#This Row],[Consumo]], 0 )</f>
        <v>0.19452054794520549</v>
      </c>
      <c r="BI118" s="338"/>
      <c r="BJ118" s="407"/>
      <c r="BK118" s="408" t="s">
        <v>2086</v>
      </c>
    </row>
    <row r="119" spans="1:63" x14ac:dyDescent="0.3">
      <c r="A119" s="375">
        <v>82996</v>
      </c>
      <c r="B119" s="376" t="s">
        <v>1489</v>
      </c>
      <c r="C119" s="377" t="s">
        <v>263</v>
      </c>
      <c r="D119" s="378">
        <v>8.56</v>
      </c>
      <c r="E119" s="305"/>
      <c r="F119" s="379"/>
      <c r="G119" s="379" t="s">
        <v>889</v>
      </c>
      <c r="H119" s="380">
        <v>480</v>
      </c>
      <c r="I119" s="307">
        <v>103003</v>
      </c>
      <c r="J119" s="308">
        <v>8.56</v>
      </c>
      <c r="K119" s="381">
        <v>100</v>
      </c>
      <c r="L119" s="382">
        <f>IF(tabItens[[#This Row],[Média]] &gt; 0, tabItens[[#This Row],[QTDE ATUAL]] / tabItens[[#This Row],[Média]],999.9)</f>
        <v>87.272727272727266</v>
      </c>
      <c r="M119" s="383">
        <v>0</v>
      </c>
      <c r="N119" s="384">
        <f>tabItens[[#This Row],[VALOR UNIT.]] * tabItens[[#This Row],[LC]]</f>
        <v>0</v>
      </c>
      <c r="O119" s="385" t="s">
        <v>2108</v>
      </c>
      <c r="P119" s="386"/>
      <c r="Q119" s="387"/>
      <c r="R119" s="312"/>
      <c r="S119" s="388"/>
      <c r="T119" s="389">
        <f>ROUNDDOWN(IFERROR(tabItens[[#This Row],[ATA DT.VALID.]] - $D$1,0) / 30,0)</f>
        <v>-1474</v>
      </c>
      <c r="U119" s="302" t="s">
        <v>1028</v>
      </c>
      <c r="V119" s="318">
        <v>1</v>
      </c>
      <c r="W119" s="390" t="s">
        <v>2071</v>
      </c>
      <c r="X119" s="391">
        <v>51</v>
      </c>
      <c r="Y119" s="392">
        <v>8</v>
      </c>
      <c r="Z119" s="393"/>
      <c r="AA119" s="394"/>
      <c r="AB119" s="395"/>
      <c r="AC119" s="395"/>
      <c r="AD119" s="394"/>
      <c r="AE119" s="395"/>
      <c r="AF119" s="317"/>
      <c r="AG119" s="396" t="s">
        <v>2072</v>
      </c>
      <c r="AH119" s="397"/>
      <c r="AI119" s="317">
        <v>34</v>
      </c>
      <c r="AJ119" s="397">
        <v>44161</v>
      </c>
      <c r="AK119" s="326">
        <v>38317</v>
      </c>
      <c r="AL119" s="326">
        <v>44133</v>
      </c>
      <c r="AM119" s="316"/>
      <c r="AN119" s="305"/>
      <c r="AO119" s="327" t="str">
        <f>_xlfn.IFNA(IF(VLOOKUP(tabItens[[#This Row],[CÓDIGO]],tabExcluirDoEstoque[#Data],1,FALSE),"sim",""),"")</f>
        <v/>
      </c>
      <c r="AP119" s="398" t="str">
        <f ca="1">IF(OR(ISBLANK(tabItens[[#This Row],[ATA DT.VALID.]]),tabItens[[#This Row],[ATA DT.VALID.]]="",tabItens[[#This Row],[ATA DT.VALID.]]=" "),"",IF(TYPE(tabItens[[#This Row],[ATA DT.VALID.]])=1,ROUNDUP((tabItens[[#This Row],[ATA DT.VALID.]]-TODAY())/7,0),""))</f>
        <v/>
      </c>
      <c r="AQ119" s="399">
        <v>0</v>
      </c>
      <c r="AR119" s="400" t="str">
        <f>IF(ISBLANK(tabItens[[#This Row],[CÓDIGO]]),"",IFERROR(VLOOKUP(tabItens[[#This Row],[CÓDIGO]],Consumo!$C$2:$AC$862,26,FALSE),0))</f>
        <v>03.2023</v>
      </c>
      <c r="AS119" s="401">
        <f>SUMIF(Consumo!$C$3:$C$862,tabItens[[#This Row],[CÓDIGO]],Consumo!$N$3:$N$862) + SUMIF(Consumo!$C$3:$C$862,tabItens[[#This Row],[CÓDIGO]],Consumo!$O$3:$O$862) + SUMIF(Consumo!$C$3:$C$862,tabItens[[#This Row],[CÓDIGO]],Consumo!$P$3:$P$862) + SUMIF(Consumo!$C$3:$C$862,tabItens[[#This Row],[CÓDIGO]],Consumo!$Q$3:$Q$862)</f>
        <v>0</v>
      </c>
      <c r="AT119" s="401">
        <f>SUMIF(Consumo!$C$3:$C$862,tabItens[[#This Row],[CÓDIGO]],Consumo!$Z$3:$Z$862)</f>
        <v>100</v>
      </c>
      <c r="AU119" s="402">
        <f>SUMIF(Consumo!$C$3:$C$862,tabItens[[#This Row],[CÓDIGO]],Consumo!$AA$3:$AA$862)</f>
        <v>100</v>
      </c>
      <c r="AV119" s="403">
        <f>SUMIF(Consumo!$C$3:$C$862,tabItens[[#This Row],[CÓDIGO]],Consumo!$Y$3:$Y$862)</f>
        <v>5.5</v>
      </c>
      <c r="AW119" s="380">
        <f>tabItens[[#This Row],[QTDE ATUAL]] + tabItens[[#This Row],[RC QTDE]] + tabItens[[#This Row],[AF SALDO]] + tabItens[[#This Row],[Recentes]]</f>
        <v>480</v>
      </c>
      <c r="AX119" s="404">
        <v>38</v>
      </c>
      <c r="AY119" s="404">
        <v>4</v>
      </c>
      <c r="AZ119" s="404">
        <f>IF(ISBLANK(tabItens[[#This Row],[CÓDIGO]]),"",tabItens[[#This Row],[PontoMês]] * (AZ$2+tabItens[[#This Row],[PontoQtM]]))</f>
        <v>152</v>
      </c>
      <c r="BA119" s="403">
        <f>tabItens[[#This Row],[PontoPed]] - tabItens[[#This Row],[Saldo]] + (1/10)</f>
        <v>-327.9</v>
      </c>
      <c r="BB119" s="403">
        <f xml:space="preserve"> tabItens[[#This Row],[PontoMês]] * BB$2 - tabItens[[#This Row],[QTDE ATUAL]] - (1/10)</f>
        <v>-442.1</v>
      </c>
      <c r="BC119" s="335">
        <f>IF( tabItens[[#This Row],[PontoPed]]&gt;0, IF(tabItens[[#This Row],[PontoPed]]&lt;1, 1, IF( tabItens[[#This Row],[Saldo]]&gt;tabItens[[#This Row],[PontoPed]], 0, (tabItens[[#This Row],[PontoPed]]-tabItens[[#This Row],[Saldo]])/tabItens[[#This Row],[PontoPed]] ) ), 0 )</f>
        <v>0</v>
      </c>
      <c r="BD119" s="405">
        <f>ROUNDDOWN(IF( OR( AND(tabItens[[#This Row],[PontoPed]]&lt;tabItens[[#This Row],[Saldo]],tabItens[[#This Row],[Saldo]]&gt;0), tabItens[[#This Row],[PontoPed]]=0), 99, IF(AND(tabItens[[#This Row],[Saldo]]=0,tabItens[[#This Row],[PontoPed]]&gt;0), 0, (1-tabItens[[#This Row],[PctAb]])*10 ) ),0)</f>
        <v>99</v>
      </c>
      <c r="BE119" s="406">
        <f>MAX(ROUNDDOWN( IF(tabItens[[#This Row],[Abaixo]] &gt; 0,   tabItens[[#This Row],[Abaixo]] + (tabItens[[#This Row],[PontoMês]] * IF( OR( ISBLANK(tabItens[[#This Row],[ATA Nº/ANO]]), tabItens[[#This Row],[ATA Nº/ANO]] = ""),BE$2,BE$1)),0),0),0)</f>
        <v>0</v>
      </c>
      <c r="BF11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9" s="338">
        <f>SUMIF(Consumo!$C$3:$C$862,tabItens[[#This Row],[CÓDIGO]],Consumo!$E$3:$E$862)</f>
        <v>0</v>
      </c>
      <c r="BH119" s="339">
        <f>IF(AND(tabItens[[#This Row],[Pend]] &gt; 0,tabItens[[#This Row],[Consumo]] &lt;&gt; 0), tabItens[[#This Row],[Pend]] / tabItens[[#This Row],[Consumo]], 0 )</f>
        <v>0</v>
      </c>
      <c r="BI119" s="338"/>
      <c r="BJ119" s="407"/>
      <c r="BK119" s="408" t="s">
        <v>2086</v>
      </c>
    </row>
    <row r="120" spans="1:63" x14ac:dyDescent="0.3">
      <c r="A120" s="375">
        <v>15436</v>
      </c>
      <c r="B120" s="376" t="s">
        <v>1092</v>
      </c>
      <c r="C120" s="377" t="s">
        <v>263</v>
      </c>
      <c r="D120" s="378">
        <v>45.8</v>
      </c>
      <c r="E120" s="305"/>
      <c r="F120" s="379"/>
      <c r="G120" s="379" t="s">
        <v>889</v>
      </c>
      <c r="H120" s="380">
        <v>497</v>
      </c>
      <c r="I120" s="307">
        <v>103003</v>
      </c>
      <c r="J120" s="308">
        <v>45.8</v>
      </c>
      <c r="K120" s="381">
        <v>667</v>
      </c>
      <c r="L120" s="382">
        <f>IF(tabItens[[#This Row],[Média]] &gt; 0, tabItens[[#This Row],[QTDE ATUAL]] / tabItens[[#This Row],[Média]],999.9)</f>
        <v>7.3538840937114678</v>
      </c>
      <c r="M120" s="383">
        <v>0</v>
      </c>
      <c r="N120" s="384">
        <f>tabItens[[#This Row],[VALOR UNIT.]] * tabItens[[#This Row],[LC]]</f>
        <v>0</v>
      </c>
      <c r="O120" s="385" t="s">
        <v>2108</v>
      </c>
      <c r="P120" s="386"/>
      <c r="Q120" s="387"/>
      <c r="R120" s="312"/>
      <c r="S120" s="388"/>
      <c r="T120" s="389">
        <f>ROUNDDOWN(IFERROR(tabItens[[#This Row],[ATA DT.VALID.]] - $D$1,0) / 30,0)</f>
        <v>-1474</v>
      </c>
      <c r="U120" s="302" t="s">
        <v>1093</v>
      </c>
      <c r="V120" s="318">
        <v>1</v>
      </c>
      <c r="W120" s="390" t="s">
        <v>2071</v>
      </c>
      <c r="X120" s="391">
        <v>51</v>
      </c>
      <c r="Y120" s="392">
        <v>9</v>
      </c>
      <c r="Z120" s="393"/>
      <c r="AA120" s="394"/>
      <c r="AB120" s="395"/>
      <c r="AC120" s="395"/>
      <c r="AD120" s="394"/>
      <c r="AE120" s="395"/>
      <c r="AF120" s="317"/>
      <c r="AG120" s="396" t="s">
        <v>2072</v>
      </c>
      <c r="AH120" s="397"/>
      <c r="AI120" s="317">
        <v>236</v>
      </c>
      <c r="AJ120" s="397">
        <v>45208</v>
      </c>
      <c r="AK120" s="326" t="s">
        <v>889</v>
      </c>
      <c r="AL120" s="326">
        <v>45189</v>
      </c>
      <c r="AM120" s="316"/>
      <c r="AN120" s="305"/>
      <c r="AO120" s="327" t="str">
        <f>_xlfn.IFNA(IF(VLOOKUP(tabItens[[#This Row],[CÓDIGO]],tabExcluirDoEstoque[#Data],1,FALSE),"sim",""),"")</f>
        <v/>
      </c>
      <c r="AP120" s="398" t="str">
        <f ca="1">IF(OR(ISBLANK(tabItens[[#This Row],[ATA DT.VALID.]]),tabItens[[#This Row],[ATA DT.VALID.]]="",tabItens[[#This Row],[ATA DT.VALID.]]=" "),"",IF(TYPE(tabItens[[#This Row],[ATA DT.VALID.]])=1,ROUNDUP((tabItens[[#This Row],[ATA DT.VALID.]]-TODAY())/7,0),""))</f>
        <v/>
      </c>
      <c r="AQ120" s="399">
        <v>0</v>
      </c>
      <c r="AR120" s="400" t="str">
        <f>IF(ISBLANK(tabItens[[#This Row],[CÓDIGO]]),"",IFERROR(VLOOKUP(tabItens[[#This Row],[CÓDIGO]],Consumo!$C$2:$AC$862,26,FALSE),0))</f>
        <v>04.2023</v>
      </c>
      <c r="AS120" s="401">
        <f>SUMIF(Consumo!$C$3:$C$862,tabItens[[#This Row],[CÓDIGO]],Consumo!$N$3:$N$862) + SUMIF(Consumo!$C$3:$C$862,tabItens[[#This Row],[CÓDIGO]],Consumo!$O$3:$O$862) + SUMIF(Consumo!$C$3:$C$862,tabItens[[#This Row],[CÓDIGO]],Consumo!$P$3:$P$862) + SUMIF(Consumo!$C$3:$C$862,tabItens[[#This Row],[CÓDIGO]],Consumo!$Q$3:$Q$862)</f>
        <v>0</v>
      </c>
      <c r="AT120" s="401">
        <f>SUMIF(Consumo!$C$3:$C$862,tabItens[[#This Row],[CÓDIGO]],Consumo!$Z$3:$Z$862)</f>
        <v>811</v>
      </c>
      <c r="AU120" s="402">
        <f>SUMIF(Consumo!$C$3:$C$862,tabItens[[#This Row],[CÓDIGO]],Consumo!$AA$3:$AA$862)</f>
        <v>157</v>
      </c>
      <c r="AV120" s="403">
        <f>SUMIF(Consumo!$C$3:$C$862,tabItens[[#This Row],[CÓDIGO]],Consumo!$Y$3:$Y$862)</f>
        <v>67.583333333333329</v>
      </c>
      <c r="AW120" s="380">
        <f>tabItens[[#This Row],[QTDE ATUAL]] + tabItens[[#This Row],[RC QTDE]] + tabItens[[#This Row],[AF SALDO]] + tabItens[[#This Row],[Recentes]]</f>
        <v>497</v>
      </c>
      <c r="AX120" s="404">
        <v>56</v>
      </c>
      <c r="AY120" s="404">
        <v>4</v>
      </c>
      <c r="AZ120" s="404">
        <f>IF(ISBLANK(tabItens[[#This Row],[CÓDIGO]]),"",tabItens[[#This Row],[PontoMês]] * (AZ$2+tabItens[[#This Row],[PontoQtM]]))</f>
        <v>224</v>
      </c>
      <c r="BA120" s="403">
        <f>tabItens[[#This Row],[PontoPed]] - tabItens[[#This Row],[Saldo]] + (1/10)</f>
        <v>-272.89999999999998</v>
      </c>
      <c r="BB120" s="403">
        <f xml:space="preserve"> tabItens[[#This Row],[PontoMês]] * BB$2 - tabItens[[#This Row],[QTDE ATUAL]] - (1/10)</f>
        <v>-441.1</v>
      </c>
      <c r="BC120" s="335">
        <f>IF( tabItens[[#This Row],[PontoPed]]&gt;0, IF(tabItens[[#This Row],[PontoPed]]&lt;1, 1, IF( tabItens[[#This Row],[Saldo]]&gt;tabItens[[#This Row],[PontoPed]], 0, (tabItens[[#This Row],[PontoPed]]-tabItens[[#This Row],[Saldo]])/tabItens[[#This Row],[PontoPed]] ) ), 0 )</f>
        <v>0</v>
      </c>
      <c r="BD120" s="405">
        <f>ROUNDDOWN(IF( OR( AND(tabItens[[#This Row],[PontoPed]]&lt;tabItens[[#This Row],[Saldo]],tabItens[[#This Row],[Saldo]]&gt;0), tabItens[[#This Row],[PontoPed]]=0), 99, IF(AND(tabItens[[#This Row],[Saldo]]=0,tabItens[[#This Row],[PontoPed]]&gt;0), 0, (1-tabItens[[#This Row],[PctAb]])*10 ) ),0)</f>
        <v>99</v>
      </c>
      <c r="BE120" s="406">
        <f>MAX(ROUNDDOWN( IF(tabItens[[#This Row],[Abaixo]] &gt; 0,   tabItens[[#This Row],[Abaixo]] + (tabItens[[#This Row],[PontoMês]] * IF( OR( ISBLANK(tabItens[[#This Row],[ATA Nº/ANO]]), tabItens[[#This Row],[ATA Nº/ANO]] = ""),BE$2,BE$1)),0),0),0)</f>
        <v>0</v>
      </c>
      <c r="BF12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0" s="338">
        <f>SUMIF(Consumo!$C$3:$C$862,tabItens[[#This Row],[CÓDIGO]],Consumo!$E$3:$E$862)</f>
        <v>103</v>
      </c>
      <c r="BH120" s="339">
        <f>IF(AND(tabItens[[#This Row],[Pend]] &gt; 0,tabItens[[#This Row],[Consumo]] &lt;&gt; 0), tabItens[[#This Row],[Pend]] / tabItens[[#This Row],[Consumo]], 0 )</f>
        <v>0.12700369913686807</v>
      </c>
      <c r="BI120" s="338"/>
      <c r="BJ120" s="407"/>
      <c r="BK120" s="408" t="s">
        <v>2086</v>
      </c>
    </row>
    <row r="121" spans="1:63" x14ac:dyDescent="0.3">
      <c r="A121" s="375">
        <v>13094</v>
      </c>
      <c r="B121" s="376" t="s">
        <v>1004</v>
      </c>
      <c r="C121" s="377" t="s">
        <v>263</v>
      </c>
      <c r="D121" s="378">
        <v>3.5</v>
      </c>
      <c r="E121" s="305"/>
      <c r="F121" s="379"/>
      <c r="G121" s="379" t="s">
        <v>889</v>
      </c>
      <c r="H121" s="380">
        <v>323</v>
      </c>
      <c r="I121" s="307">
        <v>103003</v>
      </c>
      <c r="J121" s="308">
        <v>3.5</v>
      </c>
      <c r="K121" s="381">
        <v>648</v>
      </c>
      <c r="L121" s="382">
        <f>IF(tabItens[[#This Row],[Média]] &gt; 0, tabItens[[#This Row],[QTDE ATUAL]] / tabItens[[#This Row],[Média]],999.9)</f>
        <v>5.5850144092219018</v>
      </c>
      <c r="M121" s="383">
        <v>0</v>
      </c>
      <c r="N121" s="384">
        <f>tabItens[[#This Row],[VALOR UNIT.]] * tabItens[[#This Row],[LC]]</f>
        <v>0</v>
      </c>
      <c r="O121" s="385" t="s">
        <v>2108</v>
      </c>
      <c r="P121" s="386"/>
      <c r="Q121" s="387"/>
      <c r="R121" s="312"/>
      <c r="S121" s="388"/>
      <c r="T121" s="389">
        <f>ROUNDDOWN(IFERROR(tabItens[[#This Row],[ATA DT.VALID.]] - $D$1,0) / 30,0)</f>
        <v>-1474</v>
      </c>
      <c r="U121" s="302" t="s">
        <v>1005</v>
      </c>
      <c r="V121" s="318">
        <v>1</v>
      </c>
      <c r="W121" s="390" t="s">
        <v>2079</v>
      </c>
      <c r="X121" s="391">
        <v>51</v>
      </c>
      <c r="Y121" s="392">
        <v>11</v>
      </c>
      <c r="Z121" s="393"/>
      <c r="AA121" s="394"/>
      <c r="AB121" s="395"/>
      <c r="AC121" s="395"/>
      <c r="AD121" s="394"/>
      <c r="AE121" s="395"/>
      <c r="AF121" s="317"/>
      <c r="AG121" s="396" t="s">
        <v>2072</v>
      </c>
      <c r="AH121" s="397"/>
      <c r="AI121" s="317">
        <v>248</v>
      </c>
      <c r="AJ121" s="397">
        <v>45195</v>
      </c>
      <c r="AK121" s="326" t="s">
        <v>889</v>
      </c>
      <c r="AL121" s="326">
        <v>45189</v>
      </c>
      <c r="AM121" s="316"/>
      <c r="AN121" s="305"/>
      <c r="AO121" s="327" t="str">
        <f>_xlfn.IFNA(IF(VLOOKUP(tabItens[[#This Row],[CÓDIGO]],tabExcluirDoEstoque[#Data],1,FALSE),"sim",""),"")</f>
        <v/>
      </c>
      <c r="AP121" s="398" t="str">
        <f ca="1">IF(OR(ISBLANK(tabItens[[#This Row],[ATA DT.VALID.]]),tabItens[[#This Row],[ATA DT.VALID.]]="",tabItens[[#This Row],[ATA DT.VALID.]]=" "),"",IF(TYPE(tabItens[[#This Row],[ATA DT.VALID.]])=1,ROUNDUP((tabItens[[#This Row],[ATA DT.VALID.]]-TODAY())/7,0),""))</f>
        <v/>
      </c>
      <c r="AQ121" s="399">
        <v>0</v>
      </c>
      <c r="AR121" s="400" t="str">
        <f>IF(ISBLANK(tabItens[[#This Row],[CÓDIGO]]),"",IFERROR(VLOOKUP(tabItens[[#This Row],[CÓDIGO]],Consumo!$C$2:$AC$862,26,FALSE),0))</f>
        <v>09.2023</v>
      </c>
      <c r="AS121" s="401">
        <f>SUMIF(Consumo!$C$3:$C$862,tabItens[[#This Row],[CÓDIGO]],Consumo!$N$3:$N$862) + SUMIF(Consumo!$C$3:$C$862,tabItens[[#This Row],[CÓDIGO]],Consumo!$O$3:$O$862) + SUMIF(Consumo!$C$3:$C$862,tabItens[[#This Row],[CÓDIGO]],Consumo!$P$3:$P$862) + SUMIF(Consumo!$C$3:$C$862,tabItens[[#This Row],[CÓDIGO]],Consumo!$Q$3:$Q$862)</f>
        <v>250</v>
      </c>
      <c r="AT121" s="401">
        <f>SUMIF(Consumo!$C$3:$C$862,tabItens[[#This Row],[CÓDIGO]],Consumo!$Z$3:$Z$862)</f>
        <v>743</v>
      </c>
      <c r="AU121" s="402">
        <f>SUMIF(Consumo!$C$3:$C$862,tabItens[[#This Row],[CÓDIGO]],Consumo!$AA$3:$AA$862)</f>
        <v>253</v>
      </c>
      <c r="AV121" s="403">
        <f>SUMIF(Consumo!$C$3:$C$862,tabItens[[#This Row],[CÓDIGO]],Consumo!$Y$3:$Y$862)</f>
        <v>57.833333333333336</v>
      </c>
      <c r="AW121" s="380">
        <f>tabItens[[#This Row],[QTDE ATUAL]] + tabItens[[#This Row],[RC QTDE]] + tabItens[[#This Row],[AF SALDO]] + tabItens[[#This Row],[Recentes]]</f>
        <v>323</v>
      </c>
      <c r="AX121" s="404">
        <v>117</v>
      </c>
      <c r="AY121" s="404">
        <v>4</v>
      </c>
      <c r="AZ121" s="404">
        <f>IF(ISBLANK(tabItens[[#This Row],[CÓDIGO]]),"",tabItens[[#This Row],[PontoMês]] * (AZ$2+tabItens[[#This Row],[PontoQtM]]))</f>
        <v>468</v>
      </c>
      <c r="BA121" s="403">
        <f>tabItens[[#This Row],[PontoPed]] - tabItens[[#This Row],[Saldo]] + (1/10)</f>
        <v>145.1</v>
      </c>
      <c r="BB121" s="403">
        <f xml:space="preserve"> tabItens[[#This Row],[PontoMês]] * BB$2 - tabItens[[#This Row],[QTDE ATUAL]] - (1/10)</f>
        <v>-206.1</v>
      </c>
      <c r="BC121" s="335">
        <f>IF( tabItens[[#This Row],[PontoPed]]&gt;0, IF(tabItens[[#This Row],[PontoPed]]&lt;1, 1, IF( tabItens[[#This Row],[Saldo]]&gt;tabItens[[#This Row],[PontoPed]], 0, (tabItens[[#This Row],[PontoPed]]-tabItens[[#This Row],[Saldo]])/tabItens[[#This Row],[PontoPed]] ) ), 0 )</f>
        <v>0.30982905982905984</v>
      </c>
      <c r="BD121" s="405">
        <f>ROUNDDOWN(IF( OR( AND(tabItens[[#This Row],[PontoPed]]&lt;tabItens[[#This Row],[Saldo]],tabItens[[#This Row],[Saldo]]&gt;0), tabItens[[#This Row],[PontoPed]]=0), 99, IF(AND(tabItens[[#This Row],[Saldo]]=0,tabItens[[#This Row],[PontoPed]]&gt;0), 0, (1-tabItens[[#This Row],[PctAb]])*10 ) ),0)</f>
        <v>6</v>
      </c>
      <c r="BE121" s="406">
        <f>MAX(ROUNDDOWN( IF(tabItens[[#This Row],[Abaixo]] &gt; 0,   tabItens[[#This Row],[Abaixo]] + (tabItens[[#This Row],[PontoMês]] * IF( OR( ISBLANK(tabItens[[#This Row],[ATA Nº/ANO]]), tabItens[[#This Row],[ATA Nº/ANO]] = ""),BE$2,BE$1)),0),0),0)</f>
        <v>496</v>
      </c>
      <c r="BF12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1" s="338">
        <f>SUMIF(Consumo!$C$3:$C$862,tabItens[[#This Row],[CÓDIGO]],Consumo!$E$3:$E$862)</f>
        <v>0</v>
      </c>
      <c r="BH121" s="339">
        <f>IF(AND(tabItens[[#This Row],[Pend]] &gt; 0,tabItens[[#This Row],[Consumo]] &lt;&gt; 0), tabItens[[#This Row],[Pend]] / tabItens[[#This Row],[Consumo]], 0 )</f>
        <v>0</v>
      </c>
      <c r="BI121" s="338"/>
      <c r="BJ121" s="407"/>
      <c r="BK121" s="408" t="s">
        <v>2086</v>
      </c>
    </row>
    <row r="122" spans="1:63" x14ac:dyDescent="0.3">
      <c r="A122" s="375">
        <v>13180</v>
      </c>
      <c r="B122" s="376" t="s">
        <v>1020</v>
      </c>
      <c r="C122" s="377" t="s">
        <v>263</v>
      </c>
      <c r="D122" s="378">
        <v>16.36</v>
      </c>
      <c r="E122" s="305"/>
      <c r="F122" s="379"/>
      <c r="G122" s="379" t="s">
        <v>889</v>
      </c>
      <c r="H122" s="380">
        <v>298</v>
      </c>
      <c r="I122" s="307">
        <v>103003</v>
      </c>
      <c r="J122" s="308">
        <v>16.36</v>
      </c>
      <c r="K122" s="381">
        <v>404</v>
      </c>
      <c r="L122" s="382">
        <f>IF(tabItens[[#This Row],[Média]] &gt; 0, tabItens[[#This Row],[QTDE ATUAL]] / tabItens[[#This Row],[Média]],999.9)</f>
        <v>11.801980198019802</v>
      </c>
      <c r="M122" s="383">
        <v>0</v>
      </c>
      <c r="N122" s="384">
        <f>tabItens[[#This Row],[VALOR UNIT.]] * tabItens[[#This Row],[LC]]</f>
        <v>0</v>
      </c>
      <c r="O122" s="385" t="s">
        <v>2108</v>
      </c>
      <c r="P122" s="386"/>
      <c r="Q122" s="387"/>
      <c r="R122" s="312"/>
      <c r="S122" s="388"/>
      <c r="T122" s="389">
        <f>ROUNDDOWN(IFERROR(tabItens[[#This Row],[ATA DT.VALID.]] - $D$1,0) / 30,0)</f>
        <v>-1474</v>
      </c>
      <c r="U122" s="302" t="s">
        <v>1021</v>
      </c>
      <c r="V122" s="318">
        <v>1</v>
      </c>
      <c r="W122" s="390" t="s">
        <v>2073</v>
      </c>
      <c r="X122" s="391">
        <v>51</v>
      </c>
      <c r="Y122" s="392">
        <v>12</v>
      </c>
      <c r="Z122" s="393"/>
      <c r="AA122" s="394"/>
      <c r="AB122" s="395"/>
      <c r="AC122" s="395"/>
      <c r="AD122" s="394"/>
      <c r="AE122" s="395"/>
      <c r="AF122" s="317"/>
      <c r="AG122" s="396" t="s">
        <v>2072</v>
      </c>
      <c r="AH122" s="397"/>
      <c r="AI122" s="317">
        <v>136</v>
      </c>
      <c r="AJ122" s="397">
        <v>45201</v>
      </c>
      <c r="AK122" s="326" t="s">
        <v>889</v>
      </c>
      <c r="AL122" s="326">
        <v>45202</v>
      </c>
      <c r="AM122" s="316"/>
      <c r="AN122" s="305"/>
      <c r="AO122" s="327" t="str">
        <f>_xlfn.IFNA(IF(VLOOKUP(tabItens[[#This Row],[CÓDIGO]],tabExcluirDoEstoque[#Data],1,FALSE),"sim",""),"")</f>
        <v/>
      </c>
      <c r="AP122" s="398" t="str">
        <f ca="1">IF(OR(ISBLANK(tabItens[[#This Row],[ATA DT.VALID.]]),tabItens[[#This Row],[ATA DT.VALID.]]="",tabItens[[#This Row],[ATA DT.VALID.]]=" "),"",IF(TYPE(tabItens[[#This Row],[ATA DT.VALID.]])=1,ROUNDUP((tabItens[[#This Row],[ATA DT.VALID.]]-TODAY())/7,0),""))</f>
        <v/>
      </c>
      <c r="AQ122" s="399">
        <v>0</v>
      </c>
      <c r="AR122" s="400" t="str">
        <f>IF(ISBLANK(tabItens[[#This Row],[CÓDIGO]]),"",IFERROR(VLOOKUP(tabItens[[#This Row],[CÓDIGO]],Consumo!$C$2:$AC$862,26,FALSE),0))</f>
        <v>04.2023</v>
      </c>
      <c r="AS122" s="401">
        <f>SUMIF(Consumo!$C$3:$C$862,tabItens[[#This Row],[CÓDIGO]],Consumo!$N$3:$N$862) + SUMIF(Consumo!$C$3:$C$862,tabItens[[#This Row],[CÓDIGO]],Consumo!$O$3:$O$862) + SUMIF(Consumo!$C$3:$C$862,tabItens[[#This Row],[CÓDIGO]],Consumo!$P$3:$P$862) + SUMIF(Consumo!$C$3:$C$862,tabItens[[#This Row],[CÓDIGO]],Consumo!$Q$3:$Q$862)</f>
        <v>0</v>
      </c>
      <c r="AT122" s="401">
        <f>SUMIF(Consumo!$C$3:$C$862,tabItens[[#This Row],[CÓDIGO]],Consumo!$Z$3:$Z$862)</f>
        <v>410</v>
      </c>
      <c r="AU122" s="402">
        <f>SUMIF(Consumo!$C$3:$C$862,tabItens[[#This Row],[CÓDIGO]],Consumo!$AA$3:$AA$862)</f>
        <v>309</v>
      </c>
      <c r="AV122" s="403">
        <f>SUMIF(Consumo!$C$3:$C$862,tabItens[[#This Row],[CÓDIGO]],Consumo!$Y$3:$Y$862)</f>
        <v>25.25</v>
      </c>
      <c r="AW122" s="380">
        <f>tabItens[[#This Row],[QTDE ATUAL]] + tabItens[[#This Row],[RC QTDE]] + tabItens[[#This Row],[AF SALDO]] + tabItens[[#This Row],[Recentes]]</f>
        <v>298</v>
      </c>
      <c r="AX122" s="404">
        <v>43</v>
      </c>
      <c r="AY122" s="404">
        <v>4</v>
      </c>
      <c r="AZ122" s="404">
        <f>IF(ISBLANK(tabItens[[#This Row],[CÓDIGO]]),"",tabItens[[#This Row],[PontoMês]] * (AZ$2+tabItens[[#This Row],[PontoQtM]]))</f>
        <v>172</v>
      </c>
      <c r="BA122" s="403">
        <f>tabItens[[#This Row],[PontoPed]] - tabItens[[#This Row],[Saldo]] + (1/10)</f>
        <v>-125.9</v>
      </c>
      <c r="BB122" s="403">
        <f xml:space="preserve"> tabItens[[#This Row],[PontoMês]] * BB$2 - tabItens[[#This Row],[QTDE ATUAL]] - (1/10)</f>
        <v>-255.1</v>
      </c>
      <c r="BC122" s="335">
        <f>IF( tabItens[[#This Row],[PontoPed]]&gt;0, IF(tabItens[[#This Row],[PontoPed]]&lt;1, 1, IF( tabItens[[#This Row],[Saldo]]&gt;tabItens[[#This Row],[PontoPed]], 0, (tabItens[[#This Row],[PontoPed]]-tabItens[[#This Row],[Saldo]])/tabItens[[#This Row],[PontoPed]] ) ), 0 )</f>
        <v>0</v>
      </c>
      <c r="BD122" s="405">
        <f>ROUNDDOWN(IF( OR( AND(tabItens[[#This Row],[PontoPed]]&lt;tabItens[[#This Row],[Saldo]],tabItens[[#This Row],[Saldo]]&gt;0), tabItens[[#This Row],[PontoPed]]=0), 99, IF(AND(tabItens[[#This Row],[Saldo]]=0,tabItens[[#This Row],[PontoPed]]&gt;0), 0, (1-tabItens[[#This Row],[PctAb]])*10 ) ),0)</f>
        <v>99</v>
      </c>
      <c r="BE122" s="406">
        <f>MAX(ROUNDDOWN( IF(tabItens[[#This Row],[Abaixo]] &gt; 0,   tabItens[[#This Row],[Abaixo]] + (tabItens[[#This Row],[PontoMês]] * IF( OR( ISBLANK(tabItens[[#This Row],[ATA Nº/ANO]]), tabItens[[#This Row],[ATA Nº/ANO]] = ""),BE$2,BE$1)),0),0),0)</f>
        <v>0</v>
      </c>
      <c r="BF12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2" s="338">
        <f>SUMIF(Consumo!$C$3:$C$862,tabItens[[#This Row],[CÓDIGO]],Consumo!$E$3:$E$862)</f>
        <v>3</v>
      </c>
      <c r="BH122" s="339">
        <f>IF(AND(tabItens[[#This Row],[Pend]] &gt; 0,tabItens[[#This Row],[Consumo]] &lt;&gt; 0), tabItens[[#This Row],[Pend]] / tabItens[[#This Row],[Consumo]], 0 )</f>
        <v>7.3170731707317077E-3</v>
      </c>
      <c r="BI122" s="338"/>
      <c r="BJ122" s="407"/>
      <c r="BK122" s="408" t="s">
        <v>2086</v>
      </c>
    </row>
    <row r="123" spans="1:63" x14ac:dyDescent="0.3">
      <c r="A123" s="375">
        <v>13181</v>
      </c>
      <c r="B123" s="376" t="s">
        <v>1022</v>
      </c>
      <c r="C123" s="377" t="s">
        <v>263</v>
      </c>
      <c r="D123" s="378">
        <v>35.69</v>
      </c>
      <c r="E123" s="305"/>
      <c r="F123" s="379"/>
      <c r="G123" s="379" t="s">
        <v>889</v>
      </c>
      <c r="H123" s="380">
        <v>258</v>
      </c>
      <c r="I123" s="307">
        <v>103003</v>
      </c>
      <c r="J123" s="308">
        <v>35.69</v>
      </c>
      <c r="K123" s="381">
        <v>52</v>
      </c>
      <c r="L123" s="382">
        <f>IF(tabItens[[#This Row],[Média]] &gt; 0, tabItens[[#This Row],[QTDE ATUAL]] / tabItens[[#This Row],[Média]],999.9)</f>
        <v>42.410958904109592</v>
      </c>
      <c r="M123" s="383">
        <v>0</v>
      </c>
      <c r="N123" s="384">
        <f>tabItens[[#This Row],[VALOR UNIT.]] * tabItens[[#This Row],[LC]]</f>
        <v>0</v>
      </c>
      <c r="O123" s="385" t="s">
        <v>2108</v>
      </c>
      <c r="P123" s="386"/>
      <c r="Q123" s="387"/>
      <c r="R123" s="312"/>
      <c r="S123" s="388"/>
      <c r="T123" s="389">
        <f>ROUNDDOWN(IFERROR(tabItens[[#This Row],[ATA DT.VALID.]] - $D$1,0) / 30,0)</f>
        <v>-1474</v>
      </c>
      <c r="U123" s="302" t="s">
        <v>1021</v>
      </c>
      <c r="V123" s="318">
        <v>1</v>
      </c>
      <c r="W123" s="390" t="s">
        <v>2073</v>
      </c>
      <c r="X123" s="391">
        <v>51</v>
      </c>
      <c r="Y123" s="392">
        <v>12</v>
      </c>
      <c r="Z123" s="393"/>
      <c r="AA123" s="394"/>
      <c r="AB123" s="395"/>
      <c r="AC123" s="395"/>
      <c r="AD123" s="394"/>
      <c r="AE123" s="395"/>
      <c r="AF123" s="317"/>
      <c r="AG123" s="396" t="s">
        <v>2072</v>
      </c>
      <c r="AH123" s="397"/>
      <c r="AI123" s="317">
        <v>24</v>
      </c>
      <c r="AJ123" s="397">
        <v>45201</v>
      </c>
      <c r="AK123" s="326" t="s">
        <v>889</v>
      </c>
      <c r="AL123" s="326">
        <v>45202</v>
      </c>
      <c r="AM123" s="316"/>
      <c r="AN123" s="305"/>
      <c r="AO123" s="327" t="str">
        <f>_xlfn.IFNA(IF(VLOOKUP(tabItens[[#This Row],[CÓDIGO]],tabExcluirDoEstoque[#Data],1,FALSE),"sim",""),"")</f>
        <v/>
      </c>
      <c r="AP123" s="398" t="str">
        <f ca="1">IF(OR(ISBLANK(tabItens[[#This Row],[ATA DT.VALID.]]),tabItens[[#This Row],[ATA DT.VALID.]]="",tabItens[[#This Row],[ATA DT.VALID.]]=" "),"",IF(TYPE(tabItens[[#This Row],[ATA DT.VALID.]])=1,ROUNDUP((tabItens[[#This Row],[ATA DT.VALID.]]-TODAY())/7,0),""))</f>
        <v/>
      </c>
      <c r="AQ123" s="399">
        <v>0</v>
      </c>
      <c r="AR123" s="400" t="str">
        <f>IF(ISBLANK(tabItens[[#This Row],[CÓDIGO]]),"",IFERROR(VLOOKUP(tabItens[[#This Row],[CÓDIGO]],Consumo!$C$2:$AC$862,26,FALSE),0))</f>
        <v>09.2023</v>
      </c>
      <c r="AS123" s="401">
        <f>SUMIF(Consumo!$C$3:$C$862,tabItens[[#This Row],[CÓDIGO]],Consumo!$N$3:$N$862) + SUMIF(Consumo!$C$3:$C$862,tabItens[[#This Row],[CÓDIGO]],Consumo!$O$3:$O$862) + SUMIF(Consumo!$C$3:$C$862,tabItens[[#This Row],[CÓDIGO]],Consumo!$P$3:$P$862) + SUMIF(Consumo!$C$3:$C$862,tabItens[[#This Row],[CÓDIGO]],Consumo!$Q$3:$Q$862)</f>
        <v>27</v>
      </c>
      <c r="AT123" s="401">
        <f>SUMIF(Consumo!$C$3:$C$862,tabItens[[#This Row],[CÓDIGO]],Consumo!$Z$3:$Z$862)</f>
        <v>74</v>
      </c>
      <c r="AU123" s="402">
        <f>SUMIF(Consumo!$C$3:$C$862,tabItens[[#This Row],[CÓDIGO]],Consumo!$AA$3:$AA$862)</f>
        <v>15</v>
      </c>
      <c r="AV123" s="403">
        <f>SUMIF(Consumo!$C$3:$C$862,tabItens[[#This Row],[CÓDIGO]],Consumo!$Y$3:$Y$862)</f>
        <v>6.083333333333333</v>
      </c>
      <c r="AW123" s="380">
        <f>tabItens[[#This Row],[QTDE ATUAL]] + tabItens[[#This Row],[RC QTDE]] + tabItens[[#This Row],[AF SALDO]] + tabItens[[#This Row],[Recentes]]</f>
        <v>258</v>
      </c>
      <c r="AX123" s="404">
        <v>42</v>
      </c>
      <c r="AY123" s="404">
        <v>4</v>
      </c>
      <c r="AZ123" s="404">
        <f>IF(ISBLANK(tabItens[[#This Row],[CÓDIGO]]),"",tabItens[[#This Row],[PontoMês]] * (AZ$2+tabItens[[#This Row],[PontoQtM]]))</f>
        <v>168</v>
      </c>
      <c r="BA123" s="403">
        <f>tabItens[[#This Row],[PontoPed]] - tabItens[[#This Row],[Saldo]] + (1/10)</f>
        <v>-89.9</v>
      </c>
      <c r="BB123" s="403">
        <f xml:space="preserve"> tabItens[[#This Row],[PontoMês]] * BB$2 - tabItens[[#This Row],[QTDE ATUAL]] - (1/10)</f>
        <v>-216.1</v>
      </c>
      <c r="BC123" s="335">
        <f>IF( tabItens[[#This Row],[PontoPed]]&gt;0, IF(tabItens[[#This Row],[PontoPed]]&lt;1, 1, IF( tabItens[[#This Row],[Saldo]]&gt;tabItens[[#This Row],[PontoPed]], 0, (tabItens[[#This Row],[PontoPed]]-tabItens[[#This Row],[Saldo]])/tabItens[[#This Row],[PontoPed]] ) ), 0 )</f>
        <v>0</v>
      </c>
      <c r="BD123" s="405">
        <f>ROUNDDOWN(IF( OR( AND(tabItens[[#This Row],[PontoPed]]&lt;tabItens[[#This Row],[Saldo]],tabItens[[#This Row],[Saldo]]&gt;0), tabItens[[#This Row],[PontoPed]]=0), 99, IF(AND(tabItens[[#This Row],[Saldo]]=0,tabItens[[#This Row],[PontoPed]]&gt;0), 0, (1-tabItens[[#This Row],[PctAb]])*10 ) ),0)</f>
        <v>99</v>
      </c>
      <c r="BE123" s="406">
        <f>MAX(ROUNDDOWN( IF(tabItens[[#This Row],[Abaixo]] &gt; 0,   tabItens[[#This Row],[Abaixo]] + (tabItens[[#This Row],[PontoMês]] * IF( OR( ISBLANK(tabItens[[#This Row],[ATA Nº/ANO]]), tabItens[[#This Row],[ATA Nº/ANO]] = ""),BE$2,BE$1)),0),0),0)</f>
        <v>0</v>
      </c>
      <c r="BF12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3" s="338">
        <f>SUMIF(Consumo!$C$3:$C$862,tabItens[[#This Row],[CÓDIGO]],Consumo!$E$3:$E$862)</f>
        <v>1</v>
      </c>
      <c r="BH123" s="339">
        <f>IF(AND(tabItens[[#This Row],[Pend]] &gt; 0,tabItens[[#This Row],[Consumo]] &lt;&gt; 0), tabItens[[#This Row],[Pend]] / tabItens[[#This Row],[Consumo]], 0 )</f>
        <v>1.3513513513513514E-2</v>
      </c>
      <c r="BI123" s="338"/>
      <c r="BJ123" s="407"/>
      <c r="BK123" s="408" t="s">
        <v>2086</v>
      </c>
    </row>
    <row r="124" spans="1:63" x14ac:dyDescent="0.3">
      <c r="A124" s="375">
        <v>17704</v>
      </c>
      <c r="B124" s="376" t="s">
        <v>1142</v>
      </c>
      <c r="C124" s="377" t="s">
        <v>263</v>
      </c>
      <c r="D124" s="378">
        <v>23.75</v>
      </c>
      <c r="E124" s="305"/>
      <c r="F124" s="379"/>
      <c r="G124" s="379" t="s">
        <v>889</v>
      </c>
      <c r="H124" s="380">
        <v>197</v>
      </c>
      <c r="I124" s="307">
        <v>103003</v>
      </c>
      <c r="J124" s="308">
        <v>23.75</v>
      </c>
      <c r="K124" s="381">
        <v>108</v>
      </c>
      <c r="L124" s="382">
        <f>IF(tabItens[[#This Row],[Média]] &gt; 0, tabItens[[#This Row],[QTDE ATUAL]] / tabItens[[#This Row],[Média]],999.9)</f>
        <v>15.972972972972972</v>
      </c>
      <c r="M124" s="383">
        <v>0</v>
      </c>
      <c r="N124" s="384">
        <f>tabItens[[#This Row],[VALOR UNIT.]] * tabItens[[#This Row],[LC]]</f>
        <v>0</v>
      </c>
      <c r="O124" s="385" t="s">
        <v>2108</v>
      </c>
      <c r="P124" s="386"/>
      <c r="Q124" s="387"/>
      <c r="R124" s="312"/>
      <c r="S124" s="388"/>
      <c r="T124" s="389">
        <f>ROUNDDOWN(IFERROR(tabItens[[#This Row],[ATA DT.VALID.]] - $D$1,0) / 30,0)</f>
        <v>-1474</v>
      </c>
      <c r="U124" s="302" t="s">
        <v>1021</v>
      </c>
      <c r="V124" s="318">
        <v>1</v>
      </c>
      <c r="W124" s="390" t="s">
        <v>2073</v>
      </c>
      <c r="X124" s="391">
        <v>51</v>
      </c>
      <c r="Y124" s="392">
        <v>12</v>
      </c>
      <c r="Z124" s="393"/>
      <c r="AA124" s="394"/>
      <c r="AB124" s="395"/>
      <c r="AC124" s="395"/>
      <c r="AD124" s="394"/>
      <c r="AE124" s="395"/>
      <c r="AF124" s="317"/>
      <c r="AG124" s="396" t="s">
        <v>2072</v>
      </c>
      <c r="AH124" s="397"/>
      <c r="AI124" s="317">
        <v>50</v>
      </c>
      <c r="AJ124" s="397">
        <v>45195</v>
      </c>
      <c r="AK124" s="326" t="s">
        <v>889</v>
      </c>
      <c r="AL124" s="326">
        <v>45202</v>
      </c>
      <c r="AM124" s="316"/>
      <c r="AN124" s="305"/>
      <c r="AO124" s="327" t="str">
        <f>_xlfn.IFNA(IF(VLOOKUP(tabItens[[#This Row],[CÓDIGO]],tabExcluirDoEstoque[#Data],1,FALSE),"sim",""),"")</f>
        <v/>
      </c>
      <c r="AP124" s="398" t="str">
        <f ca="1">IF(OR(ISBLANK(tabItens[[#This Row],[ATA DT.VALID.]]),tabItens[[#This Row],[ATA DT.VALID.]]="",tabItens[[#This Row],[ATA DT.VALID.]]=" "),"",IF(TYPE(tabItens[[#This Row],[ATA DT.VALID.]])=1,ROUNDUP((tabItens[[#This Row],[ATA DT.VALID.]]-TODAY())/7,0),""))</f>
        <v/>
      </c>
      <c r="AQ124" s="399">
        <v>0</v>
      </c>
      <c r="AR124" s="400" t="str">
        <f>IF(ISBLANK(tabItens[[#This Row],[CÓDIGO]]),"",IFERROR(VLOOKUP(tabItens[[#This Row],[CÓDIGO]],Consumo!$C$2:$AC$862,26,FALSE),0))</f>
        <v>09.2023</v>
      </c>
      <c r="AS124" s="401">
        <f>SUMIF(Consumo!$C$3:$C$862,tabItens[[#This Row],[CÓDIGO]],Consumo!$N$3:$N$862) + SUMIF(Consumo!$C$3:$C$862,tabItens[[#This Row],[CÓDIGO]],Consumo!$O$3:$O$862) + SUMIF(Consumo!$C$3:$C$862,tabItens[[#This Row],[CÓDIGO]],Consumo!$P$3:$P$862) + SUMIF(Consumo!$C$3:$C$862,tabItens[[#This Row],[CÓDIGO]],Consumo!$Q$3:$Q$862)</f>
        <v>67</v>
      </c>
      <c r="AT124" s="401">
        <f>SUMIF(Consumo!$C$3:$C$862,tabItens[[#This Row],[CÓDIGO]],Consumo!$Z$3:$Z$862)</f>
        <v>148</v>
      </c>
      <c r="AU124" s="402">
        <f>SUMIF(Consumo!$C$3:$C$862,tabItens[[#This Row],[CÓDIGO]],Consumo!$AA$3:$AA$862)</f>
        <v>27</v>
      </c>
      <c r="AV124" s="403">
        <f>SUMIF(Consumo!$C$3:$C$862,tabItens[[#This Row],[CÓDIGO]],Consumo!$Y$3:$Y$862)</f>
        <v>12.333333333333334</v>
      </c>
      <c r="AW124" s="380">
        <f>tabItens[[#This Row],[QTDE ATUAL]] + tabItens[[#This Row],[RC QTDE]] + tabItens[[#This Row],[AF SALDO]] + tabItens[[#This Row],[Recentes]]</f>
        <v>197</v>
      </c>
      <c r="AX124" s="404">
        <v>34</v>
      </c>
      <c r="AY124" s="404">
        <v>4</v>
      </c>
      <c r="AZ124" s="404">
        <f>IF(ISBLANK(tabItens[[#This Row],[CÓDIGO]]),"",tabItens[[#This Row],[PontoMês]] * (AZ$2+tabItens[[#This Row],[PontoQtM]]))</f>
        <v>136</v>
      </c>
      <c r="BA124" s="403">
        <f>tabItens[[#This Row],[PontoPed]] - tabItens[[#This Row],[Saldo]] + (1/10)</f>
        <v>-60.9</v>
      </c>
      <c r="BB124" s="403">
        <f xml:space="preserve"> tabItens[[#This Row],[PontoMês]] * BB$2 - tabItens[[#This Row],[QTDE ATUAL]] - (1/10)</f>
        <v>-163.1</v>
      </c>
      <c r="BC124" s="335">
        <f>IF( tabItens[[#This Row],[PontoPed]]&gt;0, IF(tabItens[[#This Row],[PontoPed]]&lt;1, 1, IF( tabItens[[#This Row],[Saldo]]&gt;tabItens[[#This Row],[PontoPed]], 0, (tabItens[[#This Row],[PontoPed]]-tabItens[[#This Row],[Saldo]])/tabItens[[#This Row],[PontoPed]] ) ), 0 )</f>
        <v>0</v>
      </c>
      <c r="BD124" s="405">
        <f>ROUNDDOWN(IF( OR( AND(tabItens[[#This Row],[PontoPed]]&lt;tabItens[[#This Row],[Saldo]],tabItens[[#This Row],[Saldo]]&gt;0), tabItens[[#This Row],[PontoPed]]=0), 99, IF(AND(tabItens[[#This Row],[Saldo]]=0,tabItens[[#This Row],[PontoPed]]&gt;0), 0, (1-tabItens[[#This Row],[PctAb]])*10 ) ),0)</f>
        <v>99</v>
      </c>
      <c r="BE124" s="406">
        <f>MAX(ROUNDDOWN( IF(tabItens[[#This Row],[Abaixo]] &gt; 0,   tabItens[[#This Row],[Abaixo]] + (tabItens[[#This Row],[PontoMês]] * IF( OR( ISBLANK(tabItens[[#This Row],[ATA Nº/ANO]]), tabItens[[#This Row],[ATA Nº/ANO]] = ""),BE$2,BE$1)),0),0),0)</f>
        <v>0</v>
      </c>
      <c r="BF12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4" s="338">
        <f>SUMIF(Consumo!$C$3:$C$862,tabItens[[#This Row],[CÓDIGO]],Consumo!$E$3:$E$862)</f>
        <v>1</v>
      </c>
      <c r="BH124" s="339">
        <f>IF(AND(tabItens[[#This Row],[Pend]] &gt; 0,tabItens[[#This Row],[Consumo]] &lt;&gt; 0), tabItens[[#This Row],[Pend]] / tabItens[[#This Row],[Consumo]], 0 )</f>
        <v>6.7567567567567571E-3</v>
      </c>
      <c r="BI124" s="338"/>
      <c r="BJ124" s="407"/>
      <c r="BK124" s="408" t="s">
        <v>2086</v>
      </c>
    </row>
    <row r="125" spans="1:63" x14ac:dyDescent="0.3">
      <c r="A125" s="375">
        <v>12992</v>
      </c>
      <c r="B125" s="376" t="s">
        <v>988</v>
      </c>
      <c r="C125" s="377" t="s">
        <v>263</v>
      </c>
      <c r="D125" s="378">
        <v>9.82</v>
      </c>
      <c r="E125" s="305"/>
      <c r="F125" s="379"/>
      <c r="G125" s="379" t="s">
        <v>889</v>
      </c>
      <c r="H125" s="380">
        <v>0</v>
      </c>
      <c r="I125" s="307">
        <v>103003</v>
      </c>
      <c r="J125" s="308">
        <v>9.82</v>
      </c>
      <c r="K125" s="381">
        <v>58</v>
      </c>
      <c r="L125" s="382">
        <f>IF(tabItens[[#This Row],[Média]] &gt; 0, tabItens[[#This Row],[QTDE ATUAL]] / tabItens[[#This Row],[Média]],999.9)</f>
        <v>0</v>
      </c>
      <c r="M125" s="383">
        <v>0</v>
      </c>
      <c r="N125" s="384">
        <f>tabItens[[#This Row],[VALOR UNIT.]] * tabItens[[#This Row],[LC]]</f>
        <v>0</v>
      </c>
      <c r="O125" s="385" t="s">
        <v>2105</v>
      </c>
      <c r="P125" s="386"/>
      <c r="Q125" s="387"/>
      <c r="R125" s="312"/>
      <c r="S125" s="388"/>
      <c r="T125" s="389">
        <f>ROUNDDOWN(IFERROR(tabItens[[#This Row],[ATA DT.VALID.]] - $D$1,0) / 30,0)</f>
        <v>-1474</v>
      </c>
      <c r="U125" s="302" t="s">
        <v>987</v>
      </c>
      <c r="V125" s="318">
        <v>1</v>
      </c>
      <c r="W125" s="390" t="s">
        <v>2077</v>
      </c>
      <c r="X125" s="391">
        <v>55</v>
      </c>
      <c r="Y125" s="392">
        <v>7</v>
      </c>
      <c r="Z125" s="393">
        <v>2442</v>
      </c>
      <c r="AA125" s="394">
        <v>2023</v>
      </c>
      <c r="AB125" s="395">
        <v>10</v>
      </c>
      <c r="AC125" s="395"/>
      <c r="AD125" s="394"/>
      <c r="AE125" s="395"/>
      <c r="AF125" s="317"/>
      <c r="AG125" s="396" t="s">
        <v>2072</v>
      </c>
      <c r="AH125" s="397"/>
      <c r="AI125" s="317">
        <v>20</v>
      </c>
      <c r="AJ125" s="397">
        <v>44951</v>
      </c>
      <c r="AK125" s="326" t="s">
        <v>889</v>
      </c>
      <c r="AL125" s="326">
        <v>44917</v>
      </c>
      <c r="AM125" s="316"/>
      <c r="AN125" s="305"/>
      <c r="AO125" s="327" t="str">
        <f>_xlfn.IFNA(IF(VLOOKUP(tabItens[[#This Row],[CÓDIGO]],tabExcluirDoEstoque[#Data],1,FALSE),"sim",""),"")</f>
        <v/>
      </c>
      <c r="AP125" s="398" t="str">
        <f ca="1">IF(OR(ISBLANK(tabItens[[#This Row],[ATA DT.VALID.]]),tabItens[[#This Row],[ATA DT.VALID.]]="",tabItens[[#This Row],[ATA DT.VALID.]]=" "),"",IF(TYPE(tabItens[[#This Row],[ATA DT.VALID.]])=1,ROUNDUP((tabItens[[#This Row],[ATA DT.VALID.]]-TODAY())/7,0),""))</f>
        <v/>
      </c>
      <c r="AQ125" s="399">
        <v>0</v>
      </c>
      <c r="AR125" s="400" t="str">
        <f>IF(ISBLANK(tabItens[[#This Row],[CÓDIGO]]),"",IFERROR(VLOOKUP(tabItens[[#This Row],[CÓDIGO]],Consumo!$C$2:$AC$862,26,FALSE),0))</f>
        <v>07.2023</v>
      </c>
      <c r="AS125" s="401">
        <f>SUMIF(Consumo!$C$3:$C$862,tabItens[[#This Row],[CÓDIGO]],Consumo!$N$3:$N$862) + SUMIF(Consumo!$C$3:$C$862,tabItens[[#This Row],[CÓDIGO]],Consumo!$O$3:$O$862) + SUMIF(Consumo!$C$3:$C$862,tabItens[[#This Row],[CÓDIGO]],Consumo!$P$3:$P$862) + SUMIF(Consumo!$C$3:$C$862,tabItens[[#This Row],[CÓDIGO]],Consumo!$Q$3:$Q$862)</f>
        <v>8</v>
      </c>
      <c r="AT125" s="401">
        <f>SUMIF(Consumo!$C$3:$C$862,tabItens[[#This Row],[CÓDIGO]],Consumo!$Z$3:$Z$862)</f>
        <v>163</v>
      </c>
      <c r="AU125" s="402">
        <f>SUMIF(Consumo!$C$3:$C$862,tabItens[[#This Row],[CÓDIGO]],Consumo!$AA$3:$AA$862)</f>
        <v>18</v>
      </c>
      <c r="AV125" s="403">
        <f>SUMIF(Consumo!$C$3:$C$862,tabItens[[#This Row],[CÓDIGO]],Consumo!$Y$3:$Y$862)</f>
        <v>13.583333333333334</v>
      </c>
      <c r="AW125" s="380">
        <f>tabItens[[#This Row],[QTDE ATUAL]] + tabItens[[#This Row],[RC QTDE]] + tabItens[[#This Row],[AF SALDO]] + tabItens[[#This Row],[Recentes]]</f>
        <v>10</v>
      </c>
      <c r="AX125" s="404">
        <v>8</v>
      </c>
      <c r="AY125" s="404">
        <v>4</v>
      </c>
      <c r="AZ125" s="404">
        <f>IF(ISBLANK(tabItens[[#This Row],[CÓDIGO]]),"",tabItens[[#This Row],[PontoMês]] * (AZ$2+tabItens[[#This Row],[PontoQtM]]))</f>
        <v>32</v>
      </c>
      <c r="BA125" s="403">
        <f>tabItens[[#This Row],[PontoPed]] - tabItens[[#This Row],[Saldo]] + (1/10)</f>
        <v>22.1</v>
      </c>
      <c r="BB125" s="403">
        <f xml:space="preserve"> tabItens[[#This Row],[PontoMês]] * BB$2 - tabItens[[#This Row],[QTDE ATUAL]] - (1/10)</f>
        <v>7.9</v>
      </c>
      <c r="BC125" s="335">
        <f>IF( tabItens[[#This Row],[PontoPed]]&gt;0, IF(tabItens[[#This Row],[PontoPed]]&lt;1, 1, IF( tabItens[[#This Row],[Saldo]]&gt;tabItens[[#This Row],[PontoPed]], 0, (tabItens[[#This Row],[PontoPed]]-tabItens[[#This Row],[Saldo]])/tabItens[[#This Row],[PontoPed]] ) ), 0 )</f>
        <v>0.6875</v>
      </c>
      <c r="BD125" s="405">
        <f>ROUNDDOWN(IF( OR( AND(tabItens[[#This Row],[PontoPed]]&lt;tabItens[[#This Row],[Saldo]],tabItens[[#This Row],[Saldo]]&gt;0), tabItens[[#This Row],[PontoPed]]=0), 99, IF(AND(tabItens[[#This Row],[Saldo]]=0,tabItens[[#This Row],[PontoPed]]&gt;0), 0, (1-tabItens[[#This Row],[PctAb]])*10 ) ),0)</f>
        <v>3</v>
      </c>
      <c r="BE125" s="406">
        <f>MAX(ROUNDDOWN( IF(tabItens[[#This Row],[Abaixo]] &gt; 0,   tabItens[[#This Row],[Abaixo]] + (tabItens[[#This Row],[PontoMês]] * IF( OR( ISBLANK(tabItens[[#This Row],[ATA Nº/ANO]]), tabItens[[#This Row],[ATA Nº/ANO]] = ""),BE$2,BE$1)),0),0),0)</f>
        <v>46</v>
      </c>
      <c r="BF12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5" s="338">
        <f>SUMIF(Consumo!$C$3:$C$862,tabItens[[#This Row],[CÓDIGO]],Consumo!$E$3:$E$862)</f>
        <v>104</v>
      </c>
      <c r="BH125" s="339">
        <f>IF(AND(tabItens[[#This Row],[Pend]] &gt; 0,tabItens[[#This Row],[Consumo]] &lt;&gt; 0), tabItens[[#This Row],[Pend]] / tabItens[[#This Row],[Consumo]], 0 )</f>
        <v>0.6380368098159509</v>
      </c>
      <c r="BI125" s="338"/>
      <c r="BJ125" s="407"/>
      <c r="BK125" s="408" t="s">
        <v>2086</v>
      </c>
    </row>
    <row r="126" spans="1:63" x14ac:dyDescent="0.3">
      <c r="A126" s="375">
        <v>15299</v>
      </c>
      <c r="B126" s="376" t="s">
        <v>1091</v>
      </c>
      <c r="C126" s="377" t="s">
        <v>263</v>
      </c>
      <c r="D126" s="378">
        <v>4.2</v>
      </c>
      <c r="E126" s="305"/>
      <c r="F126" s="379"/>
      <c r="G126" s="379" t="s">
        <v>889</v>
      </c>
      <c r="H126" s="380">
        <v>0</v>
      </c>
      <c r="I126" s="307">
        <v>103003</v>
      </c>
      <c r="J126" s="308">
        <v>4.2</v>
      </c>
      <c r="K126" s="381">
        <v>270</v>
      </c>
      <c r="L126" s="382">
        <f>IF(tabItens[[#This Row],[Média]] &gt; 0, tabItens[[#This Row],[QTDE ATUAL]] / tabItens[[#This Row],[Média]],999.9)</f>
        <v>0</v>
      </c>
      <c r="M126" s="383">
        <v>0</v>
      </c>
      <c r="N126" s="384">
        <f>tabItens[[#This Row],[VALOR UNIT.]] * tabItens[[#This Row],[LC]]</f>
        <v>0</v>
      </c>
      <c r="O126" s="385" t="s">
        <v>2105</v>
      </c>
      <c r="P126" s="386"/>
      <c r="Q126" s="387"/>
      <c r="R126" s="312"/>
      <c r="S126" s="388"/>
      <c r="T126" s="389">
        <f>ROUNDDOWN(IFERROR(tabItens[[#This Row],[ATA DT.VALID.]] - $D$1,0) / 30,0)</f>
        <v>-1474</v>
      </c>
      <c r="U126" s="302" t="s">
        <v>987</v>
      </c>
      <c r="V126" s="318">
        <v>1</v>
      </c>
      <c r="W126" s="390" t="s">
        <v>2077</v>
      </c>
      <c r="X126" s="391">
        <v>55</v>
      </c>
      <c r="Y126" s="392">
        <v>7</v>
      </c>
      <c r="Z126" s="393">
        <v>2442</v>
      </c>
      <c r="AA126" s="394">
        <v>2023</v>
      </c>
      <c r="AB126" s="395">
        <v>100</v>
      </c>
      <c r="AC126" s="395"/>
      <c r="AD126" s="394"/>
      <c r="AE126" s="395"/>
      <c r="AF126" s="317"/>
      <c r="AG126" s="396" t="s">
        <v>2072</v>
      </c>
      <c r="AH126" s="397"/>
      <c r="AI126" s="317">
        <v>110</v>
      </c>
      <c r="AJ126" s="397">
        <v>44336</v>
      </c>
      <c r="AK126" s="326" t="s">
        <v>889</v>
      </c>
      <c r="AL126" s="326">
        <v>44722</v>
      </c>
      <c r="AM126" s="316"/>
      <c r="AN126" s="305"/>
      <c r="AO126" s="327" t="str">
        <f>_xlfn.IFNA(IF(VLOOKUP(tabItens[[#This Row],[CÓDIGO]],tabExcluirDoEstoque[#Data],1,FALSE),"sim",""),"")</f>
        <v/>
      </c>
      <c r="AP126" s="398" t="str">
        <f ca="1">IF(OR(ISBLANK(tabItens[[#This Row],[ATA DT.VALID.]]),tabItens[[#This Row],[ATA DT.VALID.]]="",tabItens[[#This Row],[ATA DT.VALID.]]=" "),"",IF(TYPE(tabItens[[#This Row],[ATA DT.VALID.]])=1,ROUNDUP((tabItens[[#This Row],[ATA DT.VALID.]]-TODAY())/7,0),""))</f>
        <v/>
      </c>
      <c r="AQ126" s="399">
        <v>0</v>
      </c>
      <c r="AR126" s="400" t="str">
        <f>IF(ISBLANK(tabItens[[#This Row],[CÓDIGO]]),"",IFERROR(VLOOKUP(tabItens[[#This Row],[CÓDIGO]],Consumo!$C$2:$AC$862,26,FALSE),0))</f>
        <v>08.2023</v>
      </c>
      <c r="AS126" s="401">
        <f>SUMIF(Consumo!$C$3:$C$862,tabItens[[#This Row],[CÓDIGO]],Consumo!$N$3:$N$862) + SUMIF(Consumo!$C$3:$C$862,tabItens[[#This Row],[CÓDIGO]],Consumo!$O$3:$O$862) + SUMIF(Consumo!$C$3:$C$862,tabItens[[#This Row],[CÓDIGO]],Consumo!$P$3:$P$862) + SUMIF(Consumo!$C$3:$C$862,tabItens[[#This Row],[CÓDIGO]],Consumo!$Q$3:$Q$862)</f>
        <v>116</v>
      </c>
      <c r="AT126" s="401">
        <f>SUMIF(Consumo!$C$3:$C$862,tabItens[[#This Row],[CÓDIGO]],Consumo!$Z$3:$Z$862)</f>
        <v>413</v>
      </c>
      <c r="AU126" s="402">
        <f>SUMIF(Consumo!$C$3:$C$862,tabItens[[#This Row],[CÓDIGO]],Consumo!$AA$3:$AA$862)</f>
        <v>56</v>
      </c>
      <c r="AV126" s="403">
        <f>SUMIF(Consumo!$C$3:$C$862,tabItens[[#This Row],[CÓDIGO]],Consumo!$Y$3:$Y$862)</f>
        <v>34.416666666666664</v>
      </c>
      <c r="AW126" s="380">
        <f>tabItens[[#This Row],[QTDE ATUAL]] + tabItens[[#This Row],[RC QTDE]] + tabItens[[#This Row],[AF SALDO]] + tabItens[[#This Row],[Recentes]]</f>
        <v>100</v>
      </c>
      <c r="AX126" s="404">
        <v>50</v>
      </c>
      <c r="AY126" s="404">
        <v>4</v>
      </c>
      <c r="AZ126" s="404">
        <f>IF(ISBLANK(tabItens[[#This Row],[CÓDIGO]]),"",tabItens[[#This Row],[PontoMês]] * (AZ$2+tabItens[[#This Row],[PontoQtM]]))</f>
        <v>200</v>
      </c>
      <c r="BA126" s="403">
        <f>tabItens[[#This Row],[PontoPed]] - tabItens[[#This Row],[Saldo]] + (1/10)</f>
        <v>100.1</v>
      </c>
      <c r="BB126" s="403">
        <f xml:space="preserve"> tabItens[[#This Row],[PontoMês]] * BB$2 - tabItens[[#This Row],[QTDE ATUAL]] - (1/10)</f>
        <v>49.9</v>
      </c>
      <c r="BC126" s="335">
        <f>IF( tabItens[[#This Row],[PontoPed]]&gt;0, IF(tabItens[[#This Row],[PontoPed]]&lt;1, 1, IF( tabItens[[#This Row],[Saldo]]&gt;tabItens[[#This Row],[PontoPed]], 0, (tabItens[[#This Row],[PontoPed]]-tabItens[[#This Row],[Saldo]])/tabItens[[#This Row],[PontoPed]] ) ), 0 )</f>
        <v>0.5</v>
      </c>
      <c r="BD126" s="405">
        <f>ROUNDDOWN(IF( OR( AND(tabItens[[#This Row],[PontoPed]]&lt;tabItens[[#This Row],[Saldo]],tabItens[[#This Row],[Saldo]]&gt;0), tabItens[[#This Row],[PontoPed]]=0), 99, IF(AND(tabItens[[#This Row],[Saldo]]=0,tabItens[[#This Row],[PontoPed]]&gt;0), 0, (1-tabItens[[#This Row],[PctAb]])*10 ) ),0)</f>
        <v>5</v>
      </c>
      <c r="BE126" s="406">
        <f>MAX(ROUNDDOWN( IF(tabItens[[#This Row],[Abaixo]] &gt; 0,   tabItens[[#This Row],[Abaixo]] + (tabItens[[#This Row],[PontoMês]] * IF( OR( ISBLANK(tabItens[[#This Row],[ATA Nº/ANO]]), tabItens[[#This Row],[ATA Nº/ANO]] = ""),BE$2,BE$1)),0),0),0)</f>
        <v>250</v>
      </c>
      <c r="BF12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6" s="338">
        <f>SUMIF(Consumo!$C$3:$C$862,tabItens[[#This Row],[CÓDIGO]],Consumo!$E$3:$E$862)</f>
        <v>84</v>
      </c>
      <c r="BH126" s="339">
        <f>IF(AND(tabItens[[#This Row],[Pend]] &gt; 0,tabItens[[#This Row],[Consumo]] &lt;&gt; 0), tabItens[[#This Row],[Pend]] / tabItens[[#This Row],[Consumo]], 0 )</f>
        <v>0.20338983050847459</v>
      </c>
      <c r="BI126" s="338"/>
      <c r="BJ126" s="407"/>
      <c r="BK126" s="408" t="s">
        <v>2086</v>
      </c>
    </row>
    <row r="127" spans="1:63" x14ac:dyDescent="0.3">
      <c r="A127" s="375">
        <v>110895</v>
      </c>
      <c r="B127" s="376" t="s">
        <v>1679</v>
      </c>
      <c r="C127" s="377" t="s">
        <v>263</v>
      </c>
      <c r="D127" s="378">
        <v>4.45</v>
      </c>
      <c r="E127" s="305"/>
      <c r="F127" s="379"/>
      <c r="G127" s="379" t="s">
        <v>889</v>
      </c>
      <c r="H127" s="380">
        <v>193</v>
      </c>
      <c r="I127" s="307">
        <v>103003</v>
      </c>
      <c r="J127" s="308">
        <v>4.45</v>
      </c>
      <c r="K127" s="381">
        <v>182</v>
      </c>
      <c r="L127" s="382">
        <f>IF(tabItens[[#This Row],[Média]] &gt; 0, tabItens[[#This Row],[QTDE ATUAL]] / tabItens[[#This Row],[Média]],999.9)</f>
        <v>12.586956521739131</v>
      </c>
      <c r="M127" s="383">
        <v>0</v>
      </c>
      <c r="N127" s="384">
        <f>tabItens[[#This Row],[VALOR UNIT.]] * tabItens[[#This Row],[LC]]</f>
        <v>0</v>
      </c>
      <c r="O127" s="385" t="s">
        <v>2105</v>
      </c>
      <c r="P127" s="386"/>
      <c r="Q127" s="387"/>
      <c r="R127" s="312"/>
      <c r="S127" s="388"/>
      <c r="T127" s="389">
        <f>ROUNDDOWN(IFERROR(tabItens[[#This Row],[ATA DT.VALID.]] - $D$1,0) / 30,0)</f>
        <v>-1474</v>
      </c>
      <c r="U127" s="302" t="s">
        <v>987</v>
      </c>
      <c r="V127" s="318">
        <v>1</v>
      </c>
      <c r="W127" s="390" t="s">
        <v>2077</v>
      </c>
      <c r="X127" s="391">
        <v>55</v>
      </c>
      <c r="Y127" s="392">
        <v>7</v>
      </c>
      <c r="Z127" s="393"/>
      <c r="AA127" s="394"/>
      <c r="AB127" s="395"/>
      <c r="AC127" s="395"/>
      <c r="AD127" s="394"/>
      <c r="AE127" s="395"/>
      <c r="AF127" s="317"/>
      <c r="AG127" s="396" t="s">
        <v>2072</v>
      </c>
      <c r="AH127" s="397"/>
      <c r="AI127" s="317">
        <v>66</v>
      </c>
      <c r="AJ127" s="397">
        <v>44638</v>
      </c>
      <c r="AK127" s="326">
        <v>39944</v>
      </c>
      <c r="AL127" s="326">
        <v>44616</v>
      </c>
      <c r="AM127" s="316"/>
      <c r="AN127" s="305"/>
      <c r="AO127" s="327" t="str">
        <f>_xlfn.IFNA(IF(VLOOKUP(tabItens[[#This Row],[CÓDIGO]],tabExcluirDoEstoque[#Data],1,FALSE),"sim",""),"")</f>
        <v/>
      </c>
      <c r="AP127" s="398" t="str">
        <f ca="1">IF(OR(ISBLANK(tabItens[[#This Row],[ATA DT.VALID.]]),tabItens[[#This Row],[ATA DT.VALID.]]="",tabItens[[#This Row],[ATA DT.VALID.]]=" "),"",IF(TYPE(tabItens[[#This Row],[ATA DT.VALID.]])=1,ROUNDUP((tabItens[[#This Row],[ATA DT.VALID.]]-TODAY())/7,0),""))</f>
        <v/>
      </c>
      <c r="AQ127" s="399">
        <v>0</v>
      </c>
      <c r="AR127" s="400" t="str">
        <f>IF(ISBLANK(tabItens[[#This Row],[CÓDIGO]]),"",IFERROR(VLOOKUP(tabItens[[#This Row],[CÓDIGO]],Consumo!$C$2:$AC$862,26,FALSE),0))</f>
        <v>07.2023</v>
      </c>
      <c r="AS127" s="401">
        <f>SUMIF(Consumo!$C$3:$C$862,tabItens[[#This Row],[CÓDIGO]],Consumo!$N$3:$N$862) + SUMIF(Consumo!$C$3:$C$862,tabItens[[#This Row],[CÓDIGO]],Consumo!$O$3:$O$862) + SUMIF(Consumo!$C$3:$C$862,tabItens[[#This Row],[CÓDIGO]],Consumo!$P$3:$P$862) + SUMIF(Consumo!$C$3:$C$862,tabItens[[#This Row],[CÓDIGO]],Consumo!$Q$3:$Q$862)</f>
        <v>105</v>
      </c>
      <c r="AT127" s="401">
        <f>SUMIF(Consumo!$C$3:$C$862,tabItens[[#This Row],[CÓDIGO]],Consumo!$Z$3:$Z$862)</f>
        <v>200</v>
      </c>
      <c r="AU127" s="402">
        <f>SUMIF(Consumo!$C$3:$C$862,tabItens[[#This Row],[CÓDIGO]],Consumo!$AA$3:$AA$862)</f>
        <v>75</v>
      </c>
      <c r="AV127" s="403">
        <f>SUMIF(Consumo!$C$3:$C$862,tabItens[[#This Row],[CÓDIGO]],Consumo!$Y$3:$Y$862)</f>
        <v>15.333333333333334</v>
      </c>
      <c r="AW127" s="380">
        <f>tabItens[[#This Row],[QTDE ATUAL]] + tabItens[[#This Row],[RC QTDE]] + tabItens[[#This Row],[AF SALDO]] + tabItens[[#This Row],[Recentes]]</f>
        <v>193</v>
      </c>
      <c r="AX127" s="404">
        <v>34</v>
      </c>
      <c r="AY127" s="404">
        <v>4</v>
      </c>
      <c r="AZ127" s="404">
        <f>IF(ISBLANK(tabItens[[#This Row],[CÓDIGO]]),"",tabItens[[#This Row],[PontoMês]] * (AZ$2+tabItens[[#This Row],[PontoQtM]]))</f>
        <v>136</v>
      </c>
      <c r="BA127" s="403">
        <f>tabItens[[#This Row],[PontoPed]] - tabItens[[#This Row],[Saldo]] + (1/10)</f>
        <v>-56.9</v>
      </c>
      <c r="BB127" s="403">
        <f xml:space="preserve"> tabItens[[#This Row],[PontoMês]] * BB$2 - tabItens[[#This Row],[QTDE ATUAL]] - (1/10)</f>
        <v>-159.1</v>
      </c>
      <c r="BC127" s="335">
        <f>IF( tabItens[[#This Row],[PontoPed]]&gt;0, IF(tabItens[[#This Row],[PontoPed]]&lt;1, 1, IF( tabItens[[#This Row],[Saldo]]&gt;tabItens[[#This Row],[PontoPed]], 0, (tabItens[[#This Row],[PontoPed]]-tabItens[[#This Row],[Saldo]])/tabItens[[#This Row],[PontoPed]] ) ), 0 )</f>
        <v>0</v>
      </c>
      <c r="BD127" s="405">
        <f>ROUNDDOWN(IF( OR( AND(tabItens[[#This Row],[PontoPed]]&lt;tabItens[[#This Row],[Saldo]],tabItens[[#This Row],[Saldo]]&gt;0), tabItens[[#This Row],[PontoPed]]=0), 99, IF(AND(tabItens[[#This Row],[Saldo]]=0,tabItens[[#This Row],[PontoPed]]&gt;0), 0, (1-tabItens[[#This Row],[PctAb]])*10 ) ),0)</f>
        <v>99</v>
      </c>
      <c r="BE127" s="406">
        <f>MAX(ROUNDDOWN( IF(tabItens[[#This Row],[Abaixo]] &gt; 0,   tabItens[[#This Row],[Abaixo]] + (tabItens[[#This Row],[PontoMês]] * IF( OR( ISBLANK(tabItens[[#This Row],[ATA Nº/ANO]]), tabItens[[#This Row],[ATA Nº/ANO]] = ""),BE$2,BE$1)),0),0),0)</f>
        <v>0</v>
      </c>
      <c r="BF12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7" s="338">
        <f>SUMIF(Consumo!$C$3:$C$862,tabItens[[#This Row],[CÓDIGO]],Consumo!$E$3:$E$862)</f>
        <v>0</v>
      </c>
      <c r="BH127" s="339">
        <f>IF(AND(tabItens[[#This Row],[Pend]] &gt; 0,tabItens[[#This Row],[Consumo]] &lt;&gt; 0), tabItens[[#This Row],[Pend]] / tabItens[[#This Row],[Consumo]], 0 )</f>
        <v>0</v>
      </c>
      <c r="BI127" s="338"/>
      <c r="BJ127" s="407"/>
      <c r="BK127" s="408" t="s">
        <v>2086</v>
      </c>
    </row>
    <row r="128" spans="1:63" x14ac:dyDescent="0.3">
      <c r="A128" s="375">
        <v>110896</v>
      </c>
      <c r="B128" s="376" t="s">
        <v>1680</v>
      </c>
      <c r="C128" s="377" t="s">
        <v>263</v>
      </c>
      <c r="D128" s="378">
        <v>6.4</v>
      </c>
      <c r="E128" s="305"/>
      <c r="F128" s="379"/>
      <c r="G128" s="379" t="s">
        <v>889</v>
      </c>
      <c r="H128" s="380">
        <v>22</v>
      </c>
      <c r="I128" s="307">
        <v>103003</v>
      </c>
      <c r="J128" s="308">
        <v>6.4</v>
      </c>
      <c r="K128" s="381">
        <v>32</v>
      </c>
      <c r="L128" s="382">
        <f>IF(tabItens[[#This Row],[Média]] &gt; 0, tabItens[[#This Row],[QTDE ATUAL]] / tabItens[[#This Row],[Média]],999.9)</f>
        <v>9.7777777777777786</v>
      </c>
      <c r="M128" s="383">
        <v>0</v>
      </c>
      <c r="N128" s="384">
        <f>tabItens[[#This Row],[VALOR UNIT.]] * tabItens[[#This Row],[LC]]</f>
        <v>0</v>
      </c>
      <c r="O128" s="385" t="s">
        <v>2105</v>
      </c>
      <c r="P128" s="386"/>
      <c r="Q128" s="387"/>
      <c r="R128" s="312"/>
      <c r="S128" s="388"/>
      <c r="T128" s="389">
        <f>ROUNDDOWN(IFERROR(tabItens[[#This Row],[ATA DT.VALID.]] - $D$1,0) / 30,0)</f>
        <v>-1474</v>
      </c>
      <c r="U128" s="302" t="s">
        <v>987</v>
      </c>
      <c r="V128" s="318">
        <v>1</v>
      </c>
      <c r="W128" s="390" t="s">
        <v>2077</v>
      </c>
      <c r="X128" s="391">
        <v>55</v>
      </c>
      <c r="Y128" s="392">
        <v>7</v>
      </c>
      <c r="Z128" s="393"/>
      <c r="AA128" s="394"/>
      <c r="AB128" s="395"/>
      <c r="AC128" s="395"/>
      <c r="AD128" s="394"/>
      <c r="AE128" s="395"/>
      <c r="AF128" s="317"/>
      <c r="AG128" s="396" t="s">
        <v>2072</v>
      </c>
      <c r="AH128" s="397"/>
      <c r="AI128" s="317">
        <v>12</v>
      </c>
      <c r="AJ128" s="397">
        <v>43812</v>
      </c>
      <c r="AK128" s="326">
        <v>39944</v>
      </c>
      <c r="AL128" s="326">
        <v>43783</v>
      </c>
      <c r="AM128" s="316"/>
      <c r="AN128" s="305"/>
      <c r="AO128" s="327" t="str">
        <f>_xlfn.IFNA(IF(VLOOKUP(tabItens[[#This Row],[CÓDIGO]],tabExcluirDoEstoque[#Data],1,FALSE),"sim",""),"")</f>
        <v/>
      </c>
      <c r="AP128" s="398" t="str">
        <f ca="1">IF(OR(ISBLANK(tabItens[[#This Row],[ATA DT.VALID.]]),tabItens[[#This Row],[ATA DT.VALID.]]="",tabItens[[#This Row],[ATA DT.VALID.]]=" "),"",IF(TYPE(tabItens[[#This Row],[ATA DT.VALID.]])=1,ROUNDUP((tabItens[[#This Row],[ATA DT.VALID.]]-TODAY())/7,0),""))</f>
        <v/>
      </c>
      <c r="AQ128" s="399">
        <v>0</v>
      </c>
      <c r="AR128" s="400" t="str">
        <f>IF(ISBLANK(tabItens[[#This Row],[CÓDIGO]]),"",IFERROR(VLOOKUP(tabItens[[#This Row],[CÓDIGO]],Consumo!$C$2:$AC$862,26,FALSE),0))</f>
        <v>08.2023</v>
      </c>
      <c r="AS128" s="401">
        <f>SUMIF(Consumo!$C$3:$C$862,tabItens[[#This Row],[CÓDIGO]],Consumo!$N$3:$N$862) + SUMIF(Consumo!$C$3:$C$862,tabItens[[#This Row],[CÓDIGO]],Consumo!$O$3:$O$862) + SUMIF(Consumo!$C$3:$C$862,tabItens[[#This Row],[CÓDIGO]],Consumo!$P$3:$P$862) + SUMIF(Consumo!$C$3:$C$862,tabItens[[#This Row],[CÓDIGO]],Consumo!$Q$3:$Q$862)</f>
        <v>20</v>
      </c>
      <c r="AT128" s="401">
        <f>SUMIF(Consumo!$C$3:$C$862,tabItens[[#This Row],[CÓDIGO]],Consumo!$Z$3:$Z$862)</f>
        <v>32</v>
      </c>
      <c r="AU128" s="402">
        <f>SUMIF(Consumo!$C$3:$C$862,tabItens[[#This Row],[CÓDIGO]],Consumo!$AA$3:$AA$862)</f>
        <v>20</v>
      </c>
      <c r="AV128" s="403">
        <f>SUMIF(Consumo!$C$3:$C$862,tabItens[[#This Row],[CÓDIGO]],Consumo!$Y$3:$Y$862)</f>
        <v>2.25</v>
      </c>
      <c r="AW128" s="380">
        <f>tabItens[[#This Row],[QTDE ATUAL]] + tabItens[[#This Row],[RC QTDE]] + tabItens[[#This Row],[AF SALDO]] + tabItens[[#This Row],[Recentes]]</f>
        <v>22</v>
      </c>
      <c r="AX128" s="404">
        <v>5</v>
      </c>
      <c r="AY128" s="404">
        <v>4</v>
      </c>
      <c r="AZ128" s="404">
        <f>IF(ISBLANK(tabItens[[#This Row],[CÓDIGO]]),"",tabItens[[#This Row],[PontoMês]] * (AZ$2+tabItens[[#This Row],[PontoQtM]]))</f>
        <v>20</v>
      </c>
      <c r="BA128" s="403">
        <f>tabItens[[#This Row],[PontoPed]] - tabItens[[#This Row],[Saldo]] + (1/10)</f>
        <v>-1.9</v>
      </c>
      <c r="BB128" s="403">
        <f xml:space="preserve"> tabItens[[#This Row],[PontoMês]] * BB$2 - tabItens[[#This Row],[QTDE ATUAL]] - (1/10)</f>
        <v>-17.100000000000001</v>
      </c>
      <c r="BC128" s="335">
        <f>IF( tabItens[[#This Row],[PontoPed]]&gt;0, IF(tabItens[[#This Row],[PontoPed]]&lt;1, 1, IF( tabItens[[#This Row],[Saldo]]&gt;tabItens[[#This Row],[PontoPed]], 0, (tabItens[[#This Row],[PontoPed]]-tabItens[[#This Row],[Saldo]])/tabItens[[#This Row],[PontoPed]] ) ), 0 )</f>
        <v>0</v>
      </c>
      <c r="BD128" s="405">
        <f>ROUNDDOWN(IF( OR( AND(tabItens[[#This Row],[PontoPed]]&lt;tabItens[[#This Row],[Saldo]],tabItens[[#This Row],[Saldo]]&gt;0), tabItens[[#This Row],[PontoPed]]=0), 99, IF(AND(tabItens[[#This Row],[Saldo]]=0,tabItens[[#This Row],[PontoPed]]&gt;0), 0, (1-tabItens[[#This Row],[PctAb]])*10 ) ),0)</f>
        <v>99</v>
      </c>
      <c r="BE128" s="406">
        <f>MAX(ROUNDDOWN( IF(tabItens[[#This Row],[Abaixo]] &gt; 0,   tabItens[[#This Row],[Abaixo]] + (tabItens[[#This Row],[PontoMês]] * IF( OR( ISBLANK(tabItens[[#This Row],[ATA Nº/ANO]]), tabItens[[#This Row],[ATA Nº/ANO]] = ""),BE$2,BE$1)),0),0),0)</f>
        <v>0</v>
      </c>
      <c r="BF12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8" s="338">
        <f>SUMIF(Consumo!$C$3:$C$862,tabItens[[#This Row],[CÓDIGO]],Consumo!$E$3:$E$862)</f>
        <v>0</v>
      </c>
      <c r="BH128" s="339">
        <f>IF(AND(tabItens[[#This Row],[Pend]] &gt; 0,tabItens[[#This Row],[Consumo]] &lt;&gt; 0), tabItens[[#This Row],[Pend]] / tabItens[[#This Row],[Consumo]], 0 )</f>
        <v>0</v>
      </c>
      <c r="BI128" s="338"/>
      <c r="BJ128" s="407"/>
      <c r="BK128" s="408" t="s">
        <v>2086</v>
      </c>
    </row>
    <row r="129" spans="1:63" x14ac:dyDescent="0.3">
      <c r="A129" s="375">
        <v>112158</v>
      </c>
      <c r="B129" s="376" t="s">
        <v>1691</v>
      </c>
      <c r="C129" s="377" t="s">
        <v>31</v>
      </c>
      <c r="D129" s="378">
        <v>9.49</v>
      </c>
      <c r="E129" s="305"/>
      <c r="F129" s="379"/>
      <c r="G129" s="379" t="s">
        <v>889</v>
      </c>
      <c r="H129" s="380">
        <v>198</v>
      </c>
      <c r="I129" s="307">
        <v>103003</v>
      </c>
      <c r="J129" s="308">
        <v>9.49</v>
      </c>
      <c r="K129" s="381">
        <v>154</v>
      </c>
      <c r="L129" s="382">
        <f>IF(tabItens[[#This Row],[Média]] &gt; 0, tabItens[[#This Row],[QTDE ATUAL]] / tabItens[[#This Row],[Média]],999.9)</f>
        <v>12.774193548387096</v>
      </c>
      <c r="M129" s="383">
        <v>0</v>
      </c>
      <c r="N129" s="384">
        <f>tabItens[[#This Row],[VALOR UNIT.]] * tabItens[[#This Row],[LC]]</f>
        <v>0</v>
      </c>
      <c r="O129" s="385" t="s">
        <v>2105</v>
      </c>
      <c r="P129" s="386"/>
      <c r="Q129" s="387"/>
      <c r="R129" s="312"/>
      <c r="S129" s="388"/>
      <c r="T129" s="389">
        <f>ROUNDDOWN(IFERROR(tabItens[[#This Row],[ATA DT.VALID.]] - $D$1,0) / 30,0)</f>
        <v>-1474</v>
      </c>
      <c r="U129" s="302" t="s">
        <v>987</v>
      </c>
      <c r="V129" s="318">
        <v>1</v>
      </c>
      <c r="W129" s="390" t="s">
        <v>2077</v>
      </c>
      <c r="X129" s="391">
        <v>55</v>
      </c>
      <c r="Y129" s="392">
        <v>7</v>
      </c>
      <c r="Z129" s="393"/>
      <c r="AA129" s="394"/>
      <c r="AB129" s="395"/>
      <c r="AC129" s="395"/>
      <c r="AD129" s="394"/>
      <c r="AE129" s="395"/>
      <c r="AF129" s="317"/>
      <c r="AG129" s="396" t="s">
        <v>2072</v>
      </c>
      <c r="AH129" s="397"/>
      <c r="AI129" s="317">
        <v>64</v>
      </c>
      <c r="AJ129" s="397">
        <v>44544</v>
      </c>
      <c r="AK129" s="326">
        <v>40045</v>
      </c>
      <c r="AL129" s="326">
        <v>44516</v>
      </c>
      <c r="AM129" s="316"/>
      <c r="AN129" s="305"/>
      <c r="AO129" s="327" t="str">
        <f>_xlfn.IFNA(IF(VLOOKUP(tabItens[[#This Row],[CÓDIGO]],tabExcluirDoEstoque[#Data],1,FALSE),"sim",""),"")</f>
        <v/>
      </c>
      <c r="AP129" s="398" t="str">
        <f ca="1">IF(OR(ISBLANK(tabItens[[#This Row],[ATA DT.VALID.]]),tabItens[[#This Row],[ATA DT.VALID.]]="",tabItens[[#This Row],[ATA DT.VALID.]]=" "),"",IF(TYPE(tabItens[[#This Row],[ATA DT.VALID.]])=1,ROUNDUP((tabItens[[#This Row],[ATA DT.VALID.]]-TODAY())/7,0),""))</f>
        <v/>
      </c>
      <c r="AQ129" s="399">
        <v>0</v>
      </c>
      <c r="AR129" s="400" t="str">
        <f>IF(ISBLANK(tabItens[[#This Row],[CÓDIGO]]),"",IFERROR(VLOOKUP(tabItens[[#This Row],[CÓDIGO]],Consumo!$C$2:$AC$862,26,FALSE),0))</f>
        <v>09.2023</v>
      </c>
      <c r="AS129" s="401">
        <f>SUMIF(Consumo!$C$3:$C$862,tabItens[[#This Row],[CÓDIGO]],Consumo!$N$3:$N$862) + SUMIF(Consumo!$C$3:$C$862,tabItens[[#This Row],[CÓDIGO]],Consumo!$O$3:$O$862) + SUMIF(Consumo!$C$3:$C$862,tabItens[[#This Row],[CÓDIGO]],Consumo!$P$3:$P$862) + SUMIF(Consumo!$C$3:$C$862,tabItens[[#This Row],[CÓDIGO]],Consumo!$Q$3:$Q$862)</f>
        <v>70</v>
      </c>
      <c r="AT129" s="401">
        <f>SUMIF(Consumo!$C$3:$C$862,tabItens[[#This Row],[CÓDIGO]],Consumo!$Z$3:$Z$862)</f>
        <v>193</v>
      </c>
      <c r="AU129" s="402">
        <f>SUMIF(Consumo!$C$3:$C$862,tabItens[[#This Row],[CÓDIGO]],Consumo!$AA$3:$AA$862)</f>
        <v>50</v>
      </c>
      <c r="AV129" s="403">
        <f>SUMIF(Consumo!$C$3:$C$862,tabItens[[#This Row],[CÓDIGO]],Consumo!$Y$3:$Y$862)</f>
        <v>15.5</v>
      </c>
      <c r="AW129" s="380">
        <f>tabItens[[#This Row],[QTDE ATUAL]] + tabItens[[#This Row],[RC QTDE]] + tabItens[[#This Row],[AF SALDO]] + tabItens[[#This Row],[Recentes]]</f>
        <v>198</v>
      </c>
      <c r="AX129" s="404">
        <v>21</v>
      </c>
      <c r="AY129" s="404">
        <v>4</v>
      </c>
      <c r="AZ129" s="404">
        <f>IF(ISBLANK(tabItens[[#This Row],[CÓDIGO]]),"",tabItens[[#This Row],[PontoMês]] * (AZ$2+tabItens[[#This Row],[PontoQtM]]))</f>
        <v>84</v>
      </c>
      <c r="BA129" s="403">
        <f>tabItens[[#This Row],[PontoPed]] - tabItens[[#This Row],[Saldo]] + (1/10)</f>
        <v>-113.9</v>
      </c>
      <c r="BB129" s="403">
        <f xml:space="preserve"> tabItens[[#This Row],[PontoMês]] * BB$2 - tabItens[[#This Row],[QTDE ATUAL]] - (1/10)</f>
        <v>-177.1</v>
      </c>
      <c r="BC129" s="335">
        <f>IF( tabItens[[#This Row],[PontoPed]]&gt;0, IF(tabItens[[#This Row],[PontoPed]]&lt;1, 1, IF( tabItens[[#This Row],[Saldo]]&gt;tabItens[[#This Row],[PontoPed]], 0, (tabItens[[#This Row],[PontoPed]]-tabItens[[#This Row],[Saldo]])/tabItens[[#This Row],[PontoPed]] ) ), 0 )</f>
        <v>0</v>
      </c>
      <c r="BD129" s="405">
        <f>ROUNDDOWN(IF( OR( AND(tabItens[[#This Row],[PontoPed]]&lt;tabItens[[#This Row],[Saldo]],tabItens[[#This Row],[Saldo]]&gt;0), tabItens[[#This Row],[PontoPed]]=0), 99, IF(AND(tabItens[[#This Row],[Saldo]]=0,tabItens[[#This Row],[PontoPed]]&gt;0), 0, (1-tabItens[[#This Row],[PctAb]])*10 ) ),0)</f>
        <v>99</v>
      </c>
      <c r="BE129" s="406">
        <f>MAX(ROUNDDOWN( IF(tabItens[[#This Row],[Abaixo]] &gt; 0,   tabItens[[#This Row],[Abaixo]] + (tabItens[[#This Row],[PontoMês]] * IF( OR( ISBLANK(tabItens[[#This Row],[ATA Nº/ANO]]), tabItens[[#This Row],[ATA Nº/ANO]] = ""),BE$2,BE$1)),0),0),0)</f>
        <v>0</v>
      </c>
      <c r="BF12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9" s="338">
        <f>SUMIF(Consumo!$C$3:$C$862,tabItens[[#This Row],[CÓDIGO]],Consumo!$E$3:$E$862)</f>
        <v>0</v>
      </c>
      <c r="BH129" s="339">
        <f>IF(AND(tabItens[[#This Row],[Pend]] &gt; 0,tabItens[[#This Row],[Consumo]] &lt;&gt; 0), tabItens[[#This Row],[Pend]] / tabItens[[#This Row],[Consumo]], 0 )</f>
        <v>0</v>
      </c>
      <c r="BI129" s="338"/>
      <c r="BJ129" s="407"/>
      <c r="BK129" s="408" t="s">
        <v>2086</v>
      </c>
    </row>
    <row r="130" spans="1:63" x14ac:dyDescent="0.3">
      <c r="A130" s="375">
        <v>112159</v>
      </c>
      <c r="B130" s="376" t="s">
        <v>1692</v>
      </c>
      <c r="C130" s="377" t="s">
        <v>31</v>
      </c>
      <c r="D130" s="378">
        <v>17.48</v>
      </c>
      <c r="E130" s="305"/>
      <c r="F130" s="379"/>
      <c r="G130" s="379" t="s">
        <v>889</v>
      </c>
      <c r="H130" s="380">
        <v>306</v>
      </c>
      <c r="I130" s="307">
        <v>103003</v>
      </c>
      <c r="J130" s="308">
        <v>17.48</v>
      </c>
      <c r="K130" s="381">
        <v>52</v>
      </c>
      <c r="L130" s="382">
        <f>IF(tabItens[[#This Row],[Média]] &gt; 0, tabItens[[#This Row],[QTDE ATUAL]] / tabItens[[#This Row],[Média]],999.9)</f>
        <v>73.44</v>
      </c>
      <c r="M130" s="383">
        <v>0</v>
      </c>
      <c r="N130" s="384">
        <f>tabItens[[#This Row],[VALOR UNIT.]] * tabItens[[#This Row],[LC]]</f>
        <v>0</v>
      </c>
      <c r="O130" s="385" t="s">
        <v>2105</v>
      </c>
      <c r="P130" s="386"/>
      <c r="Q130" s="387"/>
      <c r="R130" s="312"/>
      <c r="S130" s="388"/>
      <c r="T130" s="389">
        <f>ROUNDDOWN(IFERROR(tabItens[[#This Row],[ATA DT.VALID.]] - $D$1,0) / 30,0)</f>
        <v>-1474</v>
      </c>
      <c r="U130" s="302" t="s">
        <v>987</v>
      </c>
      <c r="V130" s="318">
        <v>1</v>
      </c>
      <c r="W130" s="390" t="s">
        <v>2077</v>
      </c>
      <c r="X130" s="391">
        <v>55</v>
      </c>
      <c r="Y130" s="392">
        <v>7</v>
      </c>
      <c r="Z130" s="393"/>
      <c r="AA130" s="394"/>
      <c r="AB130" s="395"/>
      <c r="AC130" s="395"/>
      <c r="AD130" s="394"/>
      <c r="AE130" s="395"/>
      <c r="AF130" s="317"/>
      <c r="AG130" s="396" t="s">
        <v>2072</v>
      </c>
      <c r="AH130" s="397"/>
      <c r="AI130" s="317">
        <v>18</v>
      </c>
      <c r="AJ130" s="397">
        <v>44544</v>
      </c>
      <c r="AK130" s="326">
        <v>40045</v>
      </c>
      <c r="AL130" s="326">
        <v>44516</v>
      </c>
      <c r="AM130" s="316"/>
      <c r="AN130" s="305"/>
      <c r="AO130" s="327" t="str">
        <f>_xlfn.IFNA(IF(VLOOKUP(tabItens[[#This Row],[CÓDIGO]],tabExcluirDoEstoque[#Data],1,FALSE),"sim",""),"")</f>
        <v/>
      </c>
      <c r="AP130" s="398" t="str">
        <f ca="1">IF(OR(ISBLANK(tabItens[[#This Row],[ATA DT.VALID.]]),tabItens[[#This Row],[ATA DT.VALID.]]="",tabItens[[#This Row],[ATA DT.VALID.]]=" "),"",IF(TYPE(tabItens[[#This Row],[ATA DT.VALID.]])=1,ROUNDUP((tabItens[[#This Row],[ATA DT.VALID.]]-TODAY())/7,0),""))</f>
        <v/>
      </c>
      <c r="AQ130" s="399">
        <v>0</v>
      </c>
      <c r="AR130" s="400" t="str">
        <f>IF(ISBLANK(tabItens[[#This Row],[CÓDIGO]]),"",IFERROR(VLOOKUP(tabItens[[#This Row],[CÓDIGO]],Consumo!$C$2:$AC$862,26,FALSE),0))</f>
        <v>05.2023</v>
      </c>
      <c r="AS130" s="401">
        <f>SUMIF(Consumo!$C$3:$C$862,tabItens[[#This Row],[CÓDIGO]],Consumo!$N$3:$N$862) + SUMIF(Consumo!$C$3:$C$862,tabItens[[#This Row],[CÓDIGO]],Consumo!$O$3:$O$862) + SUMIF(Consumo!$C$3:$C$862,tabItens[[#This Row],[CÓDIGO]],Consumo!$P$3:$P$862) + SUMIF(Consumo!$C$3:$C$862,tabItens[[#This Row],[CÓDIGO]],Consumo!$Q$3:$Q$862)</f>
        <v>0</v>
      </c>
      <c r="AT130" s="401">
        <f>SUMIF(Consumo!$C$3:$C$862,tabItens[[#This Row],[CÓDIGO]],Consumo!$Z$3:$Z$862)</f>
        <v>52</v>
      </c>
      <c r="AU130" s="402">
        <f>SUMIF(Consumo!$C$3:$C$862,tabItens[[#This Row],[CÓDIGO]],Consumo!$AA$3:$AA$862)</f>
        <v>20</v>
      </c>
      <c r="AV130" s="403">
        <f>SUMIF(Consumo!$C$3:$C$862,tabItens[[#This Row],[CÓDIGO]],Consumo!$Y$3:$Y$862)</f>
        <v>4.166666666666667</v>
      </c>
      <c r="AW130" s="380">
        <f>tabItens[[#This Row],[QTDE ATUAL]] + tabItens[[#This Row],[RC QTDE]] + tabItens[[#This Row],[AF SALDO]] + tabItens[[#This Row],[Recentes]]</f>
        <v>306</v>
      </c>
      <c r="AX130" s="404">
        <v>7</v>
      </c>
      <c r="AY130" s="404">
        <v>4</v>
      </c>
      <c r="AZ130" s="404">
        <f>IF(ISBLANK(tabItens[[#This Row],[CÓDIGO]]),"",tabItens[[#This Row],[PontoMês]] * (AZ$2+tabItens[[#This Row],[PontoQtM]]))</f>
        <v>28</v>
      </c>
      <c r="BA130" s="403">
        <f>tabItens[[#This Row],[PontoPed]] - tabItens[[#This Row],[Saldo]] + (1/10)</f>
        <v>-277.89999999999998</v>
      </c>
      <c r="BB130" s="403">
        <f xml:space="preserve"> tabItens[[#This Row],[PontoMês]] * BB$2 - tabItens[[#This Row],[QTDE ATUAL]] - (1/10)</f>
        <v>-299.10000000000002</v>
      </c>
      <c r="BC130" s="335">
        <f>IF( tabItens[[#This Row],[PontoPed]]&gt;0, IF(tabItens[[#This Row],[PontoPed]]&lt;1, 1, IF( tabItens[[#This Row],[Saldo]]&gt;tabItens[[#This Row],[PontoPed]], 0, (tabItens[[#This Row],[PontoPed]]-tabItens[[#This Row],[Saldo]])/tabItens[[#This Row],[PontoPed]] ) ), 0 )</f>
        <v>0</v>
      </c>
      <c r="BD130" s="405">
        <f>ROUNDDOWN(IF( OR( AND(tabItens[[#This Row],[PontoPed]]&lt;tabItens[[#This Row],[Saldo]],tabItens[[#This Row],[Saldo]]&gt;0), tabItens[[#This Row],[PontoPed]]=0), 99, IF(AND(tabItens[[#This Row],[Saldo]]=0,tabItens[[#This Row],[PontoPed]]&gt;0), 0, (1-tabItens[[#This Row],[PctAb]])*10 ) ),0)</f>
        <v>99</v>
      </c>
      <c r="BE130" s="406">
        <f>MAX(ROUNDDOWN( IF(tabItens[[#This Row],[Abaixo]] &gt; 0,   tabItens[[#This Row],[Abaixo]] + (tabItens[[#This Row],[PontoMês]] * IF( OR( ISBLANK(tabItens[[#This Row],[ATA Nº/ANO]]), tabItens[[#This Row],[ATA Nº/ANO]] = ""),BE$2,BE$1)),0),0),0)</f>
        <v>0</v>
      </c>
      <c r="BF13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0" s="338">
        <f>SUMIF(Consumo!$C$3:$C$862,tabItens[[#This Row],[CÓDIGO]],Consumo!$E$3:$E$862)</f>
        <v>0</v>
      </c>
      <c r="BH130" s="339">
        <f>IF(AND(tabItens[[#This Row],[Pend]] &gt; 0,tabItens[[#This Row],[Consumo]] &lt;&gt; 0), tabItens[[#This Row],[Pend]] / tabItens[[#This Row],[Consumo]], 0 )</f>
        <v>0</v>
      </c>
      <c r="BI130" s="338"/>
      <c r="BJ130" s="407"/>
      <c r="BK130" s="408" t="s">
        <v>2086</v>
      </c>
    </row>
    <row r="131" spans="1:63" x14ac:dyDescent="0.3">
      <c r="A131" s="375">
        <v>112162</v>
      </c>
      <c r="B131" s="376" t="s">
        <v>1693</v>
      </c>
      <c r="C131" s="377" t="s">
        <v>31</v>
      </c>
      <c r="D131" s="378">
        <v>4.4000000000000004</v>
      </c>
      <c r="E131" s="305"/>
      <c r="F131" s="379"/>
      <c r="G131" s="379" t="s">
        <v>889</v>
      </c>
      <c r="H131" s="380">
        <v>163</v>
      </c>
      <c r="I131" s="307">
        <v>103003</v>
      </c>
      <c r="J131" s="308">
        <v>4.4000000000000004</v>
      </c>
      <c r="K131" s="381">
        <v>122</v>
      </c>
      <c r="L131" s="382">
        <f>IF(tabItens[[#This Row],[Média]] &gt; 0, tabItens[[#This Row],[QTDE ATUAL]] / tabItens[[#This Row],[Média]],999.9)</f>
        <v>17.309734513274336</v>
      </c>
      <c r="M131" s="383">
        <v>0</v>
      </c>
      <c r="N131" s="384">
        <f>tabItens[[#This Row],[VALOR UNIT.]] * tabItens[[#This Row],[LC]]</f>
        <v>0</v>
      </c>
      <c r="O131" s="385" t="s">
        <v>2105</v>
      </c>
      <c r="P131" s="386"/>
      <c r="Q131" s="387"/>
      <c r="R131" s="312"/>
      <c r="S131" s="388"/>
      <c r="T131" s="389">
        <f>ROUNDDOWN(IFERROR(tabItens[[#This Row],[ATA DT.VALID.]] - $D$1,0) / 30,0)</f>
        <v>-1474</v>
      </c>
      <c r="U131" s="302" t="s">
        <v>987</v>
      </c>
      <c r="V131" s="318">
        <v>1</v>
      </c>
      <c r="W131" s="390" t="s">
        <v>2077</v>
      </c>
      <c r="X131" s="391">
        <v>55</v>
      </c>
      <c r="Y131" s="392">
        <v>7</v>
      </c>
      <c r="Z131" s="393">
        <v>2442</v>
      </c>
      <c r="AA131" s="394">
        <v>2023</v>
      </c>
      <c r="AB131" s="395">
        <v>100</v>
      </c>
      <c r="AC131" s="395"/>
      <c r="AD131" s="394"/>
      <c r="AE131" s="395"/>
      <c r="AF131" s="317"/>
      <c r="AG131" s="396" t="s">
        <v>2072</v>
      </c>
      <c r="AH131" s="397"/>
      <c r="AI131" s="317">
        <v>40</v>
      </c>
      <c r="AJ131" s="397">
        <v>44638</v>
      </c>
      <c r="AK131" s="326">
        <v>40045</v>
      </c>
      <c r="AL131" s="326">
        <v>44616</v>
      </c>
      <c r="AM131" s="316"/>
      <c r="AN131" s="305"/>
      <c r="AO131" s="327" t="str">
        <f>_xlfn.IFNA(IF(VLOOKUP(tabItens[[#This Row],[CÓDIGO]],tabExcluirDoEstoque[#Data],1,FALSE),"sim",""),"")</f>
        <v/>
      </c>
      <c r="AP131" s="398" t="str">
        <f ca="1">IF(OR(ISBLANK(tabItens[[#This Row],[ATA DT.VALID.]]),tabItens[[#This Row],[ATA DT.VALID.]]="",tabItens[[#This Row],[ATA DT.VALID.]]=" "),"",IF(TYPE(tabItens[[#This Row],[ATA DT.VALID.]])=1,ROUNDUP((tabItens[[#This Row],[ATA DT.VALID.]]-TODAY())/7,0),""))</f>
        <v/>
      </c>
      <c r="AQ131" s="399">
        <v>0</v>
      </c>
      <c r="AR131" s="400" t="str">
        <f>IF(ISBLANK(tabItens[[#This Row],[CÓDIGO]]),"",IFERROR(VLOOKUP(tabItens[[#This Row],[CÓDIGO]],Consumo!$C$2:$AC$862,26,FALSE),0))</f>
        <v>09.2023</v>
      </c>
      <c r="AS131" s="401">
        <f>SUMIF(Consumo!$C$3:$C$862,tabItens[[#This Row],[CÓDIGO]],Consumo!$N$3:$N$862) + SUMIF(Consumo!$C$3:$C$862,tabItens[[#This Row],[CÓDIGO]],Consumo!$O$3:$O$862) + SUMIF(Consumo!$C$3:$C$862,tabItens[[#This Row],[CÓDIGO]],Consumo!$P$3:$P$862) + SUMIF(Consumo!$C$3:$C$862,tabItens[[#This Row],[CÓDIGO]],Consumo!$Q$3:$Q$862)</f>
        <v>100</v>
      </c>
      <c r="AT131" s="401">
        <f>SUMIF(Consumo!$C$3:$C$862,tabItens[[#This Row],[CÓDIGO]],Consumo!$Z$3:$Z$862)</f>
        <v>122</v>
      </c>
      <c r="AU131" s="402">
        <f>SUMIF(Consumo!$C$3:$C$862,tabItens[[#This Row],[CÓDIGO]],Consumo!$AA$3:$AA$862)</f>
        <v>50</v>
      </c>
      <c r="AV131" s="403">
        <f>SUMIF(Consumo!$C$3:$C$862,tabItens[[#This Row],[CÓDIGO]],Consumo!$Y$3:$Y$862)</f>
        <v>9.4166666666666661</v>
      </c>
      <c r="AW131" s="380">
        <f>tabItens[[#This Row],[QTDE ATUAL]] + tabItens[[#This Row],[RC QTDE]] + tabItens[[#This Row],[AF SALDO]] + tabItens[[#This Row],[Recentes]]</f>
        <v>263</v>
      </c>
      <c r="AX131" s="404">
        <v>20</v>
      </c>
      <c r="AY131" s="404">
        <v>4</v>
      </c>
      <c r="AZ131" s="404">
        <f>IF(ISBLANK(tabItens[[#This Row],[CÓDIGO]]),"",tabItens[[#This Row],[PontoMês]] * (AZ$2+tabItens[[#This Row],[PontoQtM]]))</f>
        <v>80</v>
      </c>
      <c r="BA131" s="403">
        <f>tabItens[[#This Row],[PontoPed]] - tabItens[[#This Row],[Saldo]] + (1/10)</f>
        <v>-182.9</v>
      </c>
      <c r="BB131" s="403">
        <f xml:space="preserve"> tabItens[[#This Row],[PontoMês]] * BB$2 - tabItens[[#This Row],[QTDE ATUAL]] - (1/10)</f>
        <v>-143.1</v>
      </c>
      <c r="BC131" s="335">
        <f>IF( tabItens[[#This Row],[PontoPed]]&gt;0, IF(tabItens[[#This Row],[PontoPed]]&lt;1, 1, IF( tabItens[[#This Row],[Saldo]]&gt;tabItens[[#This Row],[PontoPed]], 0, (tabItens[[#This Row],[PontoPed]]-tabItens[[#This Row],[Saldo]])/tabItens[[#This Row],[PontoPed]] ) ), 0 )</f>
        <v>0</v>
      </c>
      <c r="BD131" s="405">
        <f>ROUNDDOWN(IF( OR( AND(tabItens[[#This Row],[PontoPed]]&lt;tabItens[[#This Row],[Saldo]],tabItens[[#This Row],[Saldo]]&gt;0), tabItens[[#This Row],[PontoPed]]=0), 99, IF(AND(tabItens[[#This Row],[Saldo]]=0,tabItens[[#This Row],[PontoPed]]&gt;0), 0, (1-tabItens[[#This Row],[PctAb]])*10 ) ),0)</f>
        <v>99</v>
      </c>
      <c r="BE131" s="406">
        <f>MAX(ROUNDDOWN( IF(tabItens[[#This Row],[Abaixo]] &gt; 0,   tabItens[[#This Row],[Abaixo]] + (tabItens[[#This Row],[PontoMês]] * IF( OR( ISBLANK(tabItens[[#This Row],[ATA Nº/ANO]]), tabItens[[#This Row],[ATA Nº/ANO]] = ""),BE$2,BE$1)),0),0),0)</f>
        <v>0</v>
      </c>
      <c r="BF13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1" s="338">
        <f>SUMIF(Consumo!$C$3:$C$862,tabItens[[#This Row],[CÓDIGO]],Consumo!$E$3:$E$862)</f>
        <v>0</v>
      </c>
      <c r="BH131" s="339">
        <f>IF(AND(tabItens[[#This Row],[Pend]] &gt; 0,tabItens[[#This Row],[Consumo]] &lt;&gt; 0), tabItens[[#This Row],[Pend]] / tabItens[[#This Row],[Consumo]], 0 )</f>
        <v>0</v>
      </c>
      <c r="BI131" s="338"/>
      <c r="BJ131" s="407"/>
      <c r="BK131" s="408" t="s">
        <v>2086</v>
      </c>
    </row>
    <row r="132" spans="1:63" x14ac:dyDescent="0.3">
      <c r="A132" s="375">
        <v>112163</v>
      </c>
      <c r="B132" s="376" t="s">
        <v>1694</v>
      </c>
      <c r="C132" s="377" t="s">
        <v>31</v>
      </c>
      <c r="D132" s="378">
        <v>7.0540000000000003</v>
      </c>
      <c r="E132" s="305"/>
      <c r="F132" s="379"/>
      <c r="G132" s="379" t="s">
        <v>889</v>
      </c>
      <c r="H132" s="380">
        <v>108</v>
      </c>
      <c r="I132" s="307">
        <v>103003</v>
      </c>
      <c r="J132" s="308">
        <v>7.0540000000000003</v>
      </c>
      <c r="K132" s="381">
        <v>565</v>
      </c>
      <c r="L132" s="382">
        <f>IF(tabItens[[#This Row],[Média]] &gt; 0, tabItens[[#This Row],[QTDE ATUAL]] / tabItens[[#This Row],[Média]],999.9)</f>
        <v>1.8330975954738331</v>
      </c>
      <c r="M132" s="383">
        <v>0</v>
      </c>
      <c r="N132" s="384">
        <f>tabItens[[#This Row],[VALOR UNIT.]] * tabItens[[#This Row],[LC]]</f>
        <v>0</v>
      </c>
      <c r="O132" s="385" t="s">
        <v>2105</v>
      </c>
      <c r="P132" s="386"/>
      <c r="Q132" s="387"/>
      <c r="R132" s="312"/>
      <c r="S132" s="388"/>
      <c r="T132" s="389">
        <f>ROUNDDOWN(IFERROR(tabItens[[#This Row],[ATA DT.VALID.]] - $D$1,0) / 30,0)</f>
        <v>-1474</v>
      </c>
      <c r="U132" s="302" t="s">
        <v>987</v>
      </c>
      <c r="V132" s="318">
        <v>1</v>
      </c>
      <c r="W132" s="390" t="s">
        <v>2077</v>
      </c>
      <c r="X132" s="391">
        <v>55</v>
      </c>
      <c r="Y132" s="392">
        <v>7</v>
      </c>
      <c r="Z132" s="393">
        <v>10087</v>
      </c>
      <c r="AA132" s="394">
        <v>2023</v>
      </c>
      <c r="AB132" s="395">
        <v>1000</v>
      </c>
      <c r="AC132" s="395"/>
      <c r="AD132" s="394"/>
      <c r="AE132" s="395"/>
      <c r="AF132" s="317"/>
      <c r="AG132" s="396" t="s">
        <v>2072</v>
      </c>
      <c r="AH132" s="397"/>
      <c r="AI132" s="317">
        <v>248</v>
      </c>
      <c r="AJ132" s="397">
        <v>44638</v>
      </c>
      <c r="AK132" s="326">
        <v>40045</v>
      </c>
      <c r="AL132" s="326">
        <v>45191</v>
      </c>
      <c r="AM132" s="316"/>
      <c r="AN132" s="305"/>
      <c r="AO132" s="327" t="str">
        <f>_xlfn.IFNA(IF(VLOOKUP(tabItens[[#This Row],[CÓDIGO]],tabExcluirDoEstoque[#Data],1,FALSE),"sim",""),"")</f>
        <v/>
      </c>
      <c r="AP132" s="398" t="str">
        <f ca="1">IF(OR(ISBLANK(tabItens[[#This Row],[ATA DT.VALID.]]),tabItens[[#This Row],[ATA DT.VALID.]]="",tabItens[[#This Row],[ATA DT.VALID.]]=" "),"",IF(TYPE(tabItens[[#This Row],[ATA DT.VALID.]])=1,ROUNDUP((tabItens[[#This Row],[ATA DT.VALID.]]-TODAY())/7,0),""))</f>
        <v/>
      </c>
      <c r="AQ132" s="399">
        <v>0</v>
      </c>
      <c r="AR132" s="400" t="str">
        <f>IF(ISBLANK(tabItens[[#This Row],[CÓDIGO]]),"",IFERROR(VLOOKUP(tabItens[[#This Row],[CÓDIGO]],Consumo!$C$2:$AC$862,26,FALSE),0))</f>
        <v>09.2023</v>
      </c>
      <c r="AS132" s="401">
        <f>SUMIF(Consumo!$C$3:$C$862,tabItens[[#This Row],[CÓDIGO]],Consumo!$N$3:$N$862) + SUMIF(Consumo!$C$3:$C$862,tabItens[[#This Row],[CÓDIGO]],Consumo!$O$3:$O$862) + SUMIF(Consumo!$C$3:$C$862,tabItens[[#This Row],[CÓDIGO]],Consumo!$P$3:$P$862) + SUMIF(Consumo!$C$3:$C$862,tabItens[[#This Row],[CÓDIGO]],Consumo!$Q$3:$Q$862)</f>
        <v>192</v>
      </c>
      <c r="AT132" s="401">
        <f>SUMIF(Consumo!$C$3:$C$862,tabItens[[#This Row],[CÓDIGO]],Consumo!$Z$3:$Z$862)</f>
        <v>745</v>
      </c>
      <c r="AU132" s="402">
        <f>SUMIF(Consumo!$C$3:$C$862,tabItens[[#This Row],[CÓDIGO]],Consumo!$AA$3:$AA$862)</f>
        <v>198</v>
      </c>
      <c r="AV132" s="403">
        <f>SUMIF(Consumo!$C$3:$C$862,tabItens[[#This Row],[CÓDIGO]],Consumo!$Y$3:$Y$862)</f>
        <v>58.916666666666664</v>
      </c>
      <c r="AW132" s="380">
        <f>tabItens[[#This Row],[QTDE ATUAL]] + tabItens[[#This Row],[RC QTDE]] + tabItens[[#This Row],[AF SALDO]] + tabItens[[#This Row],[Recentes]]</f>
        <v>1108</v>
      </c>
      <c r="AX132" s="404">
        <v>61</v>
      </c>
      <c r="AY132" s="404">
        <v>4</v>
      </c>
      <c r="AZ132" s="404">
        <f>IF(ISBLANK(tabItens[[#This Row],[CÓDIGO]]),"",tabItens[[#This Row],[PontoMês]] * (AZ$2+tabItens[[#This Row],[PontoQtM]]))</f>
        <v>244</v>
      </c>
      <c r="BA132" s="403">
        <f>tabItens[[#This Row],[PontoPed]] - tabItens[[#This Row],[Saldo]] + (1/10)</f>
        <v>-863.9</v>
      </c>
      <c r="BB132" s="403">
        <f xml:space="preserve"> tabItens[[#This Row],[PontoMês]] * BB$2 - tabItens[[#This Row],[QTDE ATUAL]] - (1/10)</f>
        <v>-47.1</v>
      </c>
      <c r="BC132" s="335">
        <f>IF( tabItens[[#This Row],[PontoPed]]&gt;0, IF(tabItens[[#This Row],[PontoPed]]&lt;1, 1, IF( tabItens[[#This Row],[Saldo]]&gt;tabItens[[#This Row],[PontoPed]], 0, (tabItens[[#This Row],[PontoPed]]-tabItens[[#This Row],[Saldo]])/tabItens[[#This Row],[PontoPed]] ) ), 0 )</f>
        <v>0</v>
      </c>
      <c r="BD132" s="405">
        <f>ROUNDDOWN(IF( OR( AND(tabItens[[#This Row],[PontoPed]]&lt;tabItens[[#This Row],[Saldo]],tabItens[[#This Row],[Saldo]]&gt;0), tabItens[[#This Row],[PontoPed]]=0), 99, IF(AND(tabItens[[#This Row],[Saldo]]=0,tabItens[[#This Row],[PontoPed]]&gt;0), 0, (1-tabItens[[#This Row],[PctAb]])*10 ) ),0)</f>
        <v>99</v>
      </c>
      <c r="BE132" s="406">
        <f>MAX(ROUNDDOWN( IF(tabItens[[#This Row],[Abaixo]] &gt; 0,   tabItens[[#This Row],[Abaixo]] + (tabItens[[#This Row],[PontoMês]] * IF( OR( ISBLANK(tabItens[[#This Row],[ATA Nº/ANO]]), tabItens[[#This Row],[ATA Nº/ANO]] = ""),BE$2,BE$1)),0),0),0)</f>
        <v>0</v>
      </c>
      <c r="BF13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2" s="338">
        <f>SUMIF(Consumo!$C$3:$C$862,tabItens[[#This Row],[CÓDIGO]],Consumo!$E$3:$E$862)</f>
        <v>0</v>
      </c>
      <c r="BH132" s="339">
        <f>IF(AND(tabItens[[#This Row],[Pend]] &gt; 0,tabItens[[#This Row],[Consumo]] &lt;&gt; 0), tabItens[[#This Row],[Pend]] / tabItens[[#This Row],[Consumo]], 0 )</f>
        <v>0</v>
      </c>
      <c r="BI132" s="338"/>
      <c r="BJ132" s="407"/>
      <c r="BK132" s="408" t="s">
        <v>2086</v>
      </c>
    </row>
    <row r="133" spans="1:63" x14ac:dyDescent="0.3">
      <c r="A133" s="375">
        <v>108393</v>
      </c>
      <c r="B133" s="376" t="s">
        <v>1658</v>
      </c>
      <c r="C133" s="377" t="s">
        <v>263</v>
      </c>
      <c r="D133" s="378">
        <v>71.66</v>
      </c>
      <c r="E133" s="305"/>
      <c r="F133" s="379"/>
      <c r="G133" s="379" t="s">
        <v>889</v>
      </c>
      <c r="H133" s="380">
        <v>161</v>
      </c>
      <c r="I133" s="307">
        <v>103003</v>
      </c>
      <c r="J133" s="308">
        <v>71.66</v>
      </c>
      <c r="K133" s="381">
        <v>44</v>
      </c>
      <c r="L133" s="382">
        <f>IF(tabItens[[#This Row],[Média]] &gt; 0, tabItens[[#This Row],[QTDE ATUAL]] / tabItens[[#This Row],[Média]],999.9)</f>
        <v>47.121951219512198</v>
      </c>
      <c r="M133" s="383">
        <v>0</v>
      </c>
      <c r="N133" s="384">
        <f>tabItens[[#This Row],[VALOR UNIT.]] * tabItens[[#This Row],[LC]]</f>
        <v>0</v>
      </c>
      <c r="O133" s="385" t="s">
        <v>2105</v>
      </c>
      <c r="P133" s="386"/>
      <c r="Q133" s="387"/>
      <c r="R133" s="312"/>
      <c r="S133" s="388"/>
      <c r="T133" s="389">
        <f>ROUNDDOWN(IFERROR(tabItens[[#This Row],[ATA DT.VALID.]] - $D$1,0) / 30,0)</f>
        <v>-1474</v>
      </c>
      <c r="U133" s="302" t="s">
        <v>1502</v>
      </c>
      <c r="V133" s="318">
        <v>1</v>
      </c>
      <c r="W133" s="390" t="s">
        <v>2077</v>
      </c>
      <c r="X133" s="391">
        <v>55</v>
      </c>
      <c r="Y133" s="392">
        <v>26</v>
      </c>
      <c r="Z133" s="393"/>
      <c r="AA133" s="394"/>
      <c r="AB133" s="395"/>
      <c r="AC133" s="395"/>
      <c r="AD133" s="394"/>
      <c r="AE133" s="395"/>
      <c r="AF133" s="317"/>
      <c r="AG133" s="396" t="s">
        <v>2072</v>
      </c>
      <c r="AH133" s="397"/>
      <c r="AI133" s="317">
        <v>14</v>
      </c>
      <c r="AJ133" s="397">
        <v>44649</v>
      </c>
      <c r="AK133" s="326">
        <v>39737</v>
      </c>
      <c r="AL133" s="326">
        <v>44616</v>
      </c>
      <c r="AM133" s="316"/>
      <c r="AN133" s="305"/>
      <c r="AO133" s="327" t="str">
        <f>_xlfn.IFNA(IF(VLOOKUP(tabItens[[#This Row],[CÓDIGO]],tabExcluirDoEstoque[#Data],1,FALSE),"sim",""),"")</f>
        <v/>
      </c>
      <c r="AP133" s="398" t="str">
        <f ca="1">IF(OR(ISBLANK(tabItens[[#This Row],[ATA DT.VALID.]]),tabItens[[#This Row],[ATA DT.VALID.]]="",tabItens[[#This Row],[ATA DT.VALID.]]=" "),"",IF(TYPE(tabItens[[#This Row],[ATA DT.VALID.]])=1,ROUNDUP((tabItens[[#This Row],[ATA DT.VALID.]]-TODAY())/7,0),""))</f>
        <v/>
      </c>
      <c r="AQ133" s="399">
        <v>0</v>
      </c>
      <c r="AR133" s="400" t="str">
        <f>IF(ISBLANK(tabItens[[#This Row],[CÓDIGO]]),"",IFERROR(VLOOKUP(tabItens[[#This Row],[CÓDIGO]],Consumo!$C$2:$AC$862,26,FALSE),0))</f>
        <v>04.2023</v>
      </c>
      <c r="AS133" s="401">
        <f>SUMIF(Consumo!$C$3:$C$862,tabItens[[#This Row],[CÓDIGO]],Consumo!$N$3:$N$862) + SUMIF(Consumo!$C$3:$C$862,tabItens[[#This Row],[CÓDIGO]],Consumo!$O$3:$O$862) + SUMIF(Consumo!$C$3:$C$862,tabItens[[#This Row],[CÓDIGO]],Consumo!$P$3:$P$862) + SUMIF(Consumo!$C$3:$C$862,tabItens[[#This Row],[CÓDIGO]],Consumo!$Q$3:$Q$862)</f>
        <v>0</v>
      </c>
      <c r="AT133" s="401">
        <f>SUMIF(Consumo!$C$3:$C$862,tabItens[[#This Row],[CÓDIGO]],Consumo!$Z$3:$Z$862)</f>
        <v>44</v>
      </c>
      <c r="AU133" s="402">
        <f>SUMIF(Consumo!$C$3:$C$862,tabItens[[#This Row],[CÓDIGO]],Consumo!$AA$3:$AA$862)</f>
        <v>18</v>
      </c>
      <c r="AV133" s="403">
        <f>SUMIF(Consumo!$C$3:$C$862,tabItens[[#This Row],[CÓDIGO]],Consumo!$Y$3:$Y$862)</f>
        <v>3.4166666666666665</v>
      </c>
      <c r="AW133" s="380">
        <f>tabItens[[#This Row],[QTDE ATUAL]] + tabItens[[#This Row],[RC QTDE]] + tabItens[[#This Row],[AF SALDO]] + tabItens[[#This Row],[Recentes]]</f>
        <v>161</v>
      </c>
      <c r="AX133" s="404">
        <v>10</v>
      </c>
      <c r="AY133" s="404">
        <v>4</v>
      </c>
      <c r="AZ133" s="404">
        <f>IF(ISBLANK(tabItens[[#This Row],[CÓDIGO]]),"",tabItens[[#This Row],[PontoMês]] * (AZ$2+tabItens[[#This Row],[PontoQtM]]))</f>
        <v>40</v>
      </c>
      <c r="BA133" s="403">
        <f>tabItens[[#This Row],[PontoPed]] - tabItens[[#This Row],[Saldo]] + (1/10)</f>
        <v>-120.9</v>
      </c>
      <c r="BB133" s="403">
        <f xml:space="preserve"> tabItens[[#This Row],[PontoMês]] * BB$2 - tabItens[[#This Row],[QTDE ATUAL]] - (1/10)</f>
        <v>-151.1</v>
      </c>
      <c r="BC133" s="335">
        <f>IF( tabItens[[#This Row],[PontoPed]]&gt;0, IF(tabItens[[#This Row],[PontoPed]]&lt;1, 1, IF( tabItens[[#This Row],[Saldo]]&gt;tabItens[[#This Row],[PontoPed]], 0, (tabItens[[#This Row],[PontoPed]]-tabItens[[#This Row],[Saldo]])/tabItens[[#This Row],[PontoPed]] ) ), 0 )</f>
        <v>0</v>
      </c>
      <c r="BD133" s="405">
        <f>ROUNDDOWN(IF( OR( AND(tabItens[[#This Row],[PontoPed]]&lt;tabItens[[#This Row],[Saldo]],tabItens[[#This Row],[Saldo]]&gt;0), tabItens[[#This Row],[PontoPed]]=0), 99, IF(AND(tabItens[[#This Row],[Saldo]]=0,tabItens[[#This Row],[PontoPed]]&gt;0), 0, (1-tabItens[[#This Row],[PctAb]])*10 ) ),0)</f>
        <v>99</v>
      </c>
      <c r="BE133" s="406">
        <f>MAX(ROUNDDOWN( IF(tabItens[[#This Row],[Abaixo]] &gt; 0,   tabItens[[#This Row],[Abaixo]] + (tabItens[[#This Row],[PontoMês]] * IF( OR( ISBLANK(tabItens[[#This Row],[ATA Nº/ANO]]), tabItens[[#This Row],[ATA Nº/ANO]] = ""),BE$2,BE$1)),0),0),0)</f>
        <v>0</v>
      </c>
      <c r="BF13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3" s="338">
        <f>SUMIF(Consumo!$C$3:$C$862,tabItens[[#This Row],[CÓDIGO]],Consumo!$E$3:$E$862)</f>
        <v>0</v>
      </c>
      <c r="BH133" s="339">
        <f>IF(AND(tabItens[[#This Row],[Pend]] &gt; 0,tabItens[[#This Row],[Consumo]] &lt;&gt; 0), tabItens[[#This Row],[Pend]] / tabItens[[#This Row],[Consumo]], 0 )</f>
        <v>0</v>
      </c>
      <c r="BI133" s="338"/>
      <c r="BJ133" s="407"/>
      <c r="BK133" s="408" t="s">
        <v>2086</v>
      </c>
    </row>
    <row r="134" spans="1:63" x14ac:dyDescent="0.3">
      <c r="A134" s="375">
        <v>12971</v>
      </c>
      <c r="B134" s="376" t="s">
        <v>984</v>
      </c>
      <c r="C134" s="377" t="s">
        <v>263</v>
      </c>
      <c r="D134" s="378">
        <v>0.36</v>
      </c>
      <c r="E134" s="305"/>
      <c r="F134" s="379"/>
      <c r="G134" s="379" t="s">
        <v>889</v>
      </c>
      <c r="H134" s="380">
        <v>401</v>
      </c>
      <c r="I134" s="307">
        <v>103003</v>
      </c>
      <c r="J134" s="308">
        <v>0.36</v>
      </c>
      <c r="K134" s="381">
        <v>100</v>
      </c>
      <c r="L134" s="382">
        <f>IF(tabItens[[#This Row],[Média]] &gt; 0, tabItens[[#This Row],[QTDE ATUAL]] / tabItens[[#This Row],[Média]],999.9)</f>
        <v>72.909090909090907</v>
      </c>
      <c r="M134" s="383">
        <v>0</v>
      </c>
      <c r="N134" s="384">
        <f>tabItens[[#This Row],[VALOR UNIT.]] * tabItens[[#This Row],[LC]]</f>
        <v>0</v>
      </c>
      <c r="O134" s="385" t="s">
        <v>2105</v>
      </c>
      <c r="P134" s="386"/>
      <c r="Q134" s="387"/>
      <c r="R134" s="312"/>
      <c r="S134" s="388"/>
      <c r="T134" s="389">
        <f>ROUNDDOWN(IFERROR(tabItens[[#This Row],[ATA DT.VALID.]] - $D$1,0) / 30,0)</f>
        <v>-1474</v>
      </c>
      <c r="U134" s="302" t="s">
        <v>985</v>
      </c>
      <c r="V134" s="318">
        <v>1</v>
      </c>
      <c r="W134" s="390" t="s">
        <v>2077</v>
      </c>
      <c r="X134" s="391">
        <v>55</v>
      </c>
      <c r="Y134" s="392">
        <v>31</v>
      </c>
      <c r="Z134" s="393"/>
      <c r="AA134" s="394"/>
      <c r="AB134" s="395"/>
      <c r="AC134" s="395"/>
      <c r="AD134" s="394"/>
      <c r="AE134" s="395"/>
      <c r="AF134" s="317"/>
      <c r="AG134" s="396" t="s">
        <v>2072</v>
      </c>
      <c r="AH134" s="397"/>
      <c r="AI134" s="317">
        <v>34</v>
      </c>
      <c r="AJ134" s="397">
        <v>42360</v>
      </c>
      <c r="AK134" s="326" t="s">
        <v>889</v>
      </c>
      <c r="AL134" s="326">
        <v>43657</v>
      </c>
      <c r="AM134" s="316"/>
      <c r="AN134" s="305"/>
      <c r="AO134" s="327" t="str">
        <f>_xlfn.IFNA(IF(VLOOKUP(tabItens[[#This Row],[CÓDIGO]],tabExcluirDoEstoque[#Data],1,FALSE),"sim",""),"")</f>
        <v/>
      </c>
      <c r="AP134" s="398" t="str">
        <f ca="1">IF(OR(ISBLANK(tabItens[[#This Row],[ATA DT.VALID.]]),tabItens[[#This Row],[ATA DT.VALID.]]="",tabItens[[#This Row],[ATA DT.VALID.]]=" "),"",IF(TYPE(tabItens[[#This Row],[ATA DT.VALID.]])=1,ROUNDUP((tabItens[[#This Row],[ATA DT.VALID.]]-TODAY())/7,0),""))</f>
        <v/>
      </c>
      <c r="AQ134" s="399">
        <v>0</v>
      </c>
      <c r="AR134" s="400" t="str">
        <f>IF(ISBLANK(tabItens[[#This Row],[CÓDIGO]]),"",IFERROR(VLOOKUP(tabItens[[#This Row],[CÓDIGO]],Consumo!$C$2:$AC$862,26,FALSE),0))</f>
        <v>10.2022</v>
      </c>
      <c r="AS134" s="401">
        <f>SUMIF(Consumo!$C$3:$C$862,tabItens[[#This Row],[CÓDIGO]],Consumo!$N$3:$N$862) + SUMIF(Consumo!$C$3:$C$862,tabItens[[#This Row],[CÓDIGO]],Consumo!$O$3:$O$862) + SUMIF(Consumo!$C$3:$C$862,tabItens[[#This Row],[CÓDIGO]],Consumo!$P$3:$P$862) + SUMIF(Consumo!$C$3:$C$862,tabItens[[#This Row],[CÓDIGO]],Consumo!$Q$3:$Q$862)</f>
        <v>0</v>
      </c>
      <c r="AT134" s="401">
        <f>SUMIF(Consumo!$C$3:$C$862,tabItens[[#This Row],[CÓDIGO]],Consumo!$Z$3:$Z$862)</f>
        <v>100</v>
      </c>
      <c r="AU134" s="402">
        <f>SUMIF(Consumo!$C$3:$C$862,tabItens[[#This Row],[CÓDIGO]],Consumo!$AA$3:$AA$862)</f>
        <v>100</v>
      </c>
      <c r="AV134" s="403">
        <f>SUMIF(Consumo!$C$3:$C$862,tabItens[[#This Row],[CÓDIGO]],Consumo!$Y$3:$Y$862)</f>
        <v>5.5</v>
      </c>
      <c r="AW134" s="380">
        <f>tabItens[[#This Row],[QTDE ATUAL]] + tabItens[[#This Row],[RC QTDE]] + tabItens[[#This Row],[AF SALDO]] + tabItens[[#This Row],[Recentes]]</f>
        <v>401</v>
      </c>
      <c r="AX134" s="404">
        <v>20</v>
      </c>
      <c r="AY134" s="404">
        <v>4</v>
      </c>
      <c r="AZ134" s="404">
        <f>IF(ISBLANK(tabItens[[#This Row],[CÓDIGO]]),"",tabItens[[#This Row],[PontoMês]] * (AZ$2+tabItens[[#This Row],[PontoQtM]]))</f>
        <v>80</v>
      </c>
      <c r="BA134" s="403">
        <f>tabItens[[#This Row],[PontoPed]] - tabItens[[#This Row],[Saldo]] + (1/10)</f>
        <v>-320.89999999999998</v>
      </c>
      <c r="BB134" s="403">
        <f xml:space="preserve"> tabItens[[#This Row],[PontoMês]] * BB$2 - tabItens[[#This Row],[QTDE ATUAL]] - (1/10)</f>
        <v>-381.1</v>
      </c>
      <c r="BC134" s="335">
        <f>IF( tabItens[[#This Row],[PontoPed]]&gt;0, IF(tabItens[[#This Row],[PontoPed]]&lt;1, 1, IF( tabItens[[#This Row],[Saldo]]&gt;tabItens[[#This Row],[PontoPed]], 0, (tabItens[[#This Row],[PontoPed]]-tabItens[[#This Row],[Saldo]])/tabItens[[#This Row],[PontoPed]] ) ), 0 )</f>
        <v>0</v>
      </c>
      <c r="BD134" s="405">
        <f>ROUNDDOWN(IF( OR( AND(tabItens[[#This Row],[PontoPed]]&lt;tabItens[[#This Row],[Saldo]],tabItens[[#This Row],[Saldo]]&gt;0), tabItens[[#This Row],[PontoPed]]=0), 99, IF(AND(tabItens[[#This Row],[Saldo]]=0,tabItens[[#This Row],[PontoPed]]&gt;0), 0, (1-tabItens[[#This Row],[PctAb]])*10 ) ),0)</f>
        <v>99</v>
      </c>
      <c r="BE134" s="406">
        <f>MAX(ROUNDDOWN( IF(tabItens[[#This Row],[Abaixo]] &gt; 0,   tabItens[[#This Row],[Abaixo]] + (tabItens[[#This Row],[PontoMês]] * IF( OR( ISBLANK(tabItens[[#This Row],[ATA Nº/ANO]]), tabItens[[#This Row],[ATA Nº/ANO]] = ""),BE$2,BE$1)),0),0),0)</f>
        <v>0</v>
      </c>
      <c r="BF13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4" s="338">
        <f>SUMIF(Consumo!$C$3:$C$862,tabItens[[#This Row],[CÓDIGO]],Consumo!$E$3:$E$862)</f>
        <v>0</v>
      </c>
      <c r="BH134" s="339">
        <f>IF(AND(tabItens[[#This Row],[Pend]] &gt; 0,tabItens[[#This Row],[Consumo]] &lt;&gt; 0), tabItens[[#This Row],[Pend]] / tabItens[[#This Row],[Consumo]], 0 )</f>
        <v>0</v>
      </c>
      <c r="BI134" s="338"/>
      <c r="BJ134" s="407"/>
      <c r="BK134" s="408" t="s">
        <v>2086</v>
      </c>
    </row>
    <row r="135" spans="1:63" x14ac:dyDescent="0.3">
      <c r="A135" s="375">
        <v>14885</v>
      </c>
      <c r="B135" s="376" t="s">
        <v>1077</v>
      </c>
      <c r="C135" s="377" t="s">
        <v>272</v>
      </c>
      <c r="D135" s="378">
        <v>2.56</v>
      </c>
      <c r="E135" s="305"/>
      <c r="F135" s="379"/>
      <c r="G135" s="379" t="s">
        <v>889</v>
      </c>
      <c r="H135" s="380">
        <v>0</v>
      </c>
      <c r="I135" s="307">
        <v>103003</v>
      </c>
      <c r="J135" s="308">
        <v>2.56</v>
      </c>
      <c r="K135" s="381">
        <v>200</v>
      </c>
      <c r="L135" s="382">
        <f>IF(tabItens[[#This Row],[Média]] &gt; 0, tabItens[[#This Row],[QTDE ATUAL]] / tabItens[[#This Row],[Média]],999.9)</f>
        <v>0</v>
      </c>
      <c r="M135" s="383">
        <v>0</v>
      </c>
      <c r="N135" s="384">
        <f>tabItens[[#This Row],[VALOR UNIT.]] * tabItens[[#This Row],[LC]]</f>
        <v>0</v>
      </c>
      <c r="O135" s="385" t="s">
        <v>2105</v>
      </c>
      <c r="P135" s="386"/>
      <c r="Q135" s="387"/>
      <c r="R135" s="312"/>
      <c r="S135" s="388"/>
      <c r="T135" s="389">
        <f>ROUNDDOWN(IFERROR(tabItens[[#This Row],[ATA DT.VALID.]] - $D$1,0) / 30,0)</f>
        <v>-1474</v>
      </c>
      <c r="U135" s="302" t="s">
        <v>990</v>
      </c>
      <c r="V135" s="318">
        <v>1</v>
      </c>
      <c r="W135" s="390" t="s">
        <v>2077</v>
      </c>
      <c r="X135" s="391">
        <v>55</v>
      </c>
      <c r="Y135" s="392">
        <v>32</v>
      </c>
      <c r="Z135" s="393">
        <v>2956</v>
      </c>
      <c r="AA135" s="394">
        <v>2023</v>
      </c>
      <c r="AB135" s="395">
        <v>100</v>
      </c>
      <c r="AC135" s="395"/>
      <c r="AD135" s="394"/>
      <c r="AE135" s="395"/>
      <c r="AF135" s="317"/>
      <c r="AG135" s="396" t="s">
        <v>2072</v>
      </c>
      <c r="AH135" s="397"/>
      <c r="AI135" s="317">
        <v>66</v>
      </c>
      <c r="AJ135" s="397">
        <v>44883</v>
      </c>
      <c r="AK135" s="326" t="s">
        <v>889</v>
      </c>
      <c r="AL135" s="326">
        <v>44845</v>
      </c>
      <c r="AM135" s="316"/>
      <c r="AN135" s="305"/>
      <c r="AO135" s="327" t="str">
        <f>_xlfn.IFNA(IF(VLOOKUP(tabItens[[#This Row],[CÓDIGO]],tabExcluirDoEstoque[#Data],1,FALSE),"sim",""),"")</f>
        <v/>
      </c>
      <c r="AP135" s="398" t="str">
        <f ca="1">IF(OR(ISBLANK(tabItens[[#This Row],[ATA DT.VALID.]]),tabItens[[#This Row],[ATA DT.VALID.]]="",tabItens[[#This Row],[ATA DT.VALID.]]=" "),"",IF(TYPE(tabItens[[#This Row],[ATA DT.VALID.]])=1,ROUNDUP((tabItens[[#This Row],[ATA DT.VALID.]]-TODAY())/7,0),""))</f>
        <v/>
      </c>
      <c r="AQ135" s="399">
        <v>0</v>
      </c>
      <c r="AR135" s="400" t="str">
        <f>IF(ISBLANK(tabItens[[#This Row],[CÓDIGO]]),"",IFERROR(VLOOKUP(tabItens[[#This Row],[CÓDIGO]],Consumo!$C$2:$AC$862,26,FALSE),0))</f>
        <v>04.2023</v>
      </c>
      <c r="AS135" s="401">
        <f>SUMIF(Consumo!$C$3:$C$862,tabItens[[#This Row],[CÓDIGO]],Consumo!$N$3:$N$862) + SUMIF(Consumo!$C$3:$C$862,tabItens[[#This Row],[CÓDIGO]],Consumo!$O$3:$O$862) + SUMIF(Consumo!$C$3:$C$862,tabItens[[#This Row],[CÓDIGO]],Consumo!$P$3:$P$862) + SUMIF(Consumo!$C$3:$C$862,tabItens[[#This Row],[CÓDIGO]],Consumo!$Q$3:$Q$862)</f>
        <v>0</v>
      </c>
      <c r="AT135" s="401">
        <f>SUMIF(Consumo!$C$3:$C$862,tabItens[[#This Row],[CÓDIGO]],Consumo!$Z$3:$Z$862)</f>
        <v>235</v>
      </c>
      <c r="AU135" s="402">
        <f>SUMIF(Consumo!$C$3:$C$862,tabItens[[#This Row],[CÓDIGO]],Consumo!$AA$3:$AA$862)</f>
        <v>165</v>
      </c>
      <c r="AV135" s="403">
        <f>SUMIF(Consumo!$C$3:$C$862,tabItens[[#This Row],[CÓDIGO]],Consumo!$Y$3:$Y$862)</f>
        <v>15.083333333333334</v>
      </c>
      <c r="AW135" s="380">
        <f>tabItens[[#This Row],[QTDE ATUAL]] + tabItens[[#This Row],[RC QTDE]] + tabItens[[#This Row],[AF SALDO]] + tabItens[[#This Row],[Recentes]]</f>
        <v>100</v>
      </c>
      <c r="AX135" s="404">
        <v>15</v>
      </c>
      <c r="AY135" s="404">
        <v>4</v>
      </c>
      <c r="AZ135" s="404">
        <f>IF(ISBLANK(tabItens[[#This Row],[CÓDIGO]]),"",tabItens[[#This Row],[PontoMês]] * (AZ$2+tabItens[[#This Row],[PontoQtM]]))</f>
        <v>60</v>
      </c>
      <c r="BA135" s="403">
        <f>tabItens[[#This Row],[PontoPed]] - tabItens[[#This Row],[Saldo]] + (1/10)</f>
        <v>-39.9</v>
      </c>
      <c r="BB135" s="403">
        <f xml:space="preserve"> tabItens[[#This Row],[PontoMês]] * BB$2 - tabItens[[#This Row],[QTDE ATUAL]] - (1/10)</f>
        <v>14.9</v>
      </c>
      <c r="BC135" s="335">
        <f>IF( tabItens[[#This Row],[PontoPed]]&gt;0, IF(tabItens[[#This Row],[PontoPed]]&lt;1, 1, IF( tabItens[[#This Row],[Saldo]]&gt;tabItens[[#This Row],[PontoPed]], 0, (tabItens[[#This Row],[PontoPed]]-tabItens[[#This Row],[Saldo]])/tabItens[[#This Row],[PontoPed]] ) ), 0 )</f>
        <v>0</v>
      </c>
      <c r="BD135" s="405">
        <f>ROUNDDOWN(IF( OR( AND(tabItens[[#This Row],[PontoPed]]&lt;tabItens[[#This Row],[Saldo]],tabItens[[#This Row],[Saldo]]&gt;0), tabItens[[#This Row],[PontoPed]]=0), 99, IF(AND(tabItens[[#This Row],[Saldo]]=0,tabItens[[#This Row],[PontoPed]]&gt;0), 0, (1-tabItens[[#This Row],[PctAb]])*10 ) ),0)</f>
        <v>99</v>
      </c>
      <c r="BE135" s="406">
        <f>MAX(ROUNDDOWN( IF(tabItens[[#This Row],[Abaixo]] &gt; 0,   tabItens[[#This Row],[Abaixo]] + (tabItens[[#This Row],[PontoMês]] * IF( OR( ISBLANK(tabItens[[#This Row],[ATA Nº/ANO]]), tabItens[[#This Row],[ATA Nº/ANO]] = ""),BE$2,BE$1)),0),0),0)</f>
        <v>0</v>
      </c>
      <c r="BF13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5" s="338">
        <f>SUMIF(Consumo!$C$3:$C$862,tabItens[[#This Row],[CÓDIGO]],Consumo!$E$3:$E$862)</f>
        <v>35</v>
      </c>
      <c r="BH135" s="339">
        <f>IF(AND(tabItens[[#This Row],[Pend]] &gt; 0,tabItens[[#This Row],[Consumo]] &lt;&gt; 0), tabItens[[#This Row],[Pend]] / tabItens[[#This Row],[Consumo]], 0 )</f>
        <v>0.14893617021276595</v>
      </c>
      <c r="BI135" s="338"/>
      <c r="BJ135" s="407"/>
      <c r="BK135" s="408" t="s">
        <v>2086</v>
      </c>
    </row>
    <row r="136" spans="1:63" x14ac:dyDescent="0.3">
      <c r="A136" s="375">
        <v>14887</v>
      </c>
      <c r="B136" s="376" t="s">
        <v>1078</v>
      </c>
      <c r="C136" s="377" t="s">
        <v>272</v>
      </c>
      <c r="D136" s="378">
        <v>3.75</v>
      </c>
      <c r="E136" s="305"/>
      <c r="F136" s="379"/>
      <c r="G136" s="379" t="s">
        <v>889</v>
      </c>
      <c r="H136" s="380">
        <v>0</v>
      </c>
      <c r="I136" s="307">
        <v>103003</v>
      </c>
      <c r="J136" s="308">
        <v>3.75</v>
      </c>
      <c r="K136" s="381">
        <v>200</v>
      </c>
      <c r="L136" s="382">
        <f>IF(tabItens[[#This Row],[Média]] &gt; 0, tabItens[[#This Row],[QTDE ATUAL]] / tabItens[[#This Row],[Média]],999.9)</f>
        <v>0</v>
      </c>
      <c r="M136" s="383">
        <v>0</v>
      </c>
      <c r="N136" s="384">
        <f>tabItens[[#This Row],[VALOR UNIT.]] * tabItens[[#This Row],[LC]]</f>
        <v>0</v>
      </c>
      <c r="O136" s="385" t="s">
        <v>2105</v>
      </c>
      <c r="P136" s="386"/>
      <c r="Q136" s="387"/>
      <c r="R136" s="312"/>
      <c r="S136" s="388"/>
      <c r="T136" s="389">
        <f>ROUNDDOWN(IFERROR(tabItens[[#This Row],[ATA DT.VALID.]] - $D$1,0) / 30,0)</f>
        <v>-1474</v>
      </c>
      <c r="U136" s="302" t="s">
        <v>990</v>
      </c>
      <c r="V136" s="318">
        <v>1</v>
      </c>
      <c r="W136" s="390" t="s">
        <v>2077</v>
      </c>
      <c r="X136" s="391">
        <v>55</v>
      </c>
      <c r="Y136" s="392">
        <v>32</v>
      </c>
      <c r="Z136" s="393">
        <v>10083</v>
      </c>
      <c r="AA136" s="394">
        <v>2023</v>
      </c>
      <c r="AB136" s="395">
        <v>300</v>
      </c>
      <c r="AC136" s="395"/>
      <c r="AD136" s="394"/>
      <c r="AE136" s="395"/>
      <c r="AF136" s="317"/>
      <c r="AG136" s="396" t="s">
        <v>2072</v>
      </c>
      <c r="AH136" s="397"/>
      <c r="AI136" s="317">
        <v>66</v>
      </c>
      <c r="AJ136" s="397">
        <v>44883</v>
      </c>
      <c r="AK136" s="326" t="s">
        <v>889</v>
      </c>
      <c r="AL136" s="326">
        <v>44845</v>
      </c>
      <c r="AM136" s="316"/>
      <c r="AN136" s="305"/>
      <c r="AO136" s="327" t="str">
        <f>_xlfn.IFNA(IF(VLOOKUP(tabItens[[#This Row],[CÓDIGO]],tabExcluirDoEstoque[#Data],1,FALSE),"sim",""),"")</f>
        <v/>
      </c>
      <c r="AP136" s="398" t="str">
        <f ca="1">IF(OR(ISBLANK(tabItens[[#This Row],[ATA DT.VALID.]]),tabItens[[#This Row],[ATA DT.VALID.]]="",tabItens[[#This Row],[ATA DT.VALID.]]=" "),"",IF(TYPE(tabItens[[#This Row],[ATA DT.VALID.]])=1,ROUNDUP((tabItens[[#This Row],[ATA DT.VALID.]]-TODAY())/7,0),""))</f>
        <v/>
      </c>
      <c r="AQ136" s="399">
        <v>0</v>
      </c>
      <c r="AR136" s="400" t="str">
        <f>IF(ISBLANK(tabItens[[#This Row],[CÓDIGO]]),"",IFERROR(VLOOKUP(tabItens[[#This Row],[CÓDIGO]],Consumo!$C$2:$AC$862,26,FALSE),0))</f>
        <v>04.2023</v>
      </c>
      <c r="AS136" s="401">
        <f>SUMIF(Consumo!$C$3:$C$862,tabItens[[#This Row],[CÓDIGO]],Consumo!$N$3:$N$862) + SUMIF(Consumo!$C$3:$C$862,tabItens[[#This Row],[CÓDIGO]],Consumo!$O$3:$O$862) + SUMIF(Consumo!$C$3:$C$862,tabItens[[#This Row],[CÓDIGO]],Consumo!$P$3:$P$862) + SUMIF(Consumo!$C$3:$C$862,tabItens[[#This Row],[CÓDIGO]],Consumo!$Q$3:$Q$862)</f>
        <v>0</v>
      </c>
      <c r="AT136" s="401">
        <f>SUMIF(Consumo!$C$3:$C$862,tabItens[[#This Row],[CÓDIGO]],Consumo!$Z$3:$Z$862)</f>
        <v>360</v>
      </c>
      <c r="AU136" s="402">
        <f>SUMIF(Consumo!$C$3:$C$862,tabItens[[#This Row],[CÓDIGO]],Consumo!$AA$3:$AA$862)</f>
        <v>100</v>
      </c>
      <c r="AV136" s="403">
        <f>SUMIF(Consumo!$C$3:$C$862,tabItens[[#This Row],[CÓDIGO]],Consumo!$Y$3:$Y$862)</f>
        <v>30</v>
      </c>
      <c r="AW136" s="380">
        <f>tabItens[[#This Row],[QTDE ATUAL]] + tabItens[[#This Row],[RC QTDE]] + tabItens[[#This Row],[AF SALDO]] + tabItens[[#This Row],[Recentes]]</f>
        <v>300</v>
      </c>
      <c r="AX136" s="404">
        <v>42</v>
      </c>
      <c r="AY136" s="404">
        <v>3</v>
      </c>
      <c r="AZ136" s="404">
        <f>IF(ISBLANK(tabItens[[#This Row],[CÓDIGO]]),"",tabItens[[#This Row],[PontoMês]] * (AZ$2+tabItens[[#This Row],[PontoQtM]]))</f>
        <v>126</v>
      </c>
      <c r="BA136" s="403">
        <f>tabItens[[#This Row],[PontoPed]] - tabItens[[#This Row],[Saldo]] + (1/10)</f>
        <v>-173.9</v>
      </c>
      <c r="BB136" s="403">
        <f xml:space="preserve"> tabItens[[#This Row],[PontoMês]] * BB$2 - tabItens[[#This Row],[QTDE ATUAL]] - (1/10)</f>
        <v>41.9</v>
      </c>
      <c r="BC136" s="335">
        <f>IF( tabItens[[#This Row],[PontoPed]]&gt;0, IF(tabItens[[#This Row],[PontoPed]]&lt;1, 1, IF( tabItens[[#This Row],[Saldo]]&gt;tabItens[[#This Row],[PontoPed]], 0, (tabItens[[#This Row],[PontoPed]]-tabItens[[#This Row],[Saldo]])/tabItens[[#This Row],[PontoPed]] ) ), 0 )</f>
        <v>0</v>
      </c>
      <c r="BD136" s="405">
        <f>ROUNDDOWN(IF( OR( AND(tabItens[[#This Row],[PontoPed]]&lt;tabItens[[#This Row],[Saldo]],tabItens[[#This Row],[Saldo]]&gt;0), tabItens[[#This Row],[PontoPed]]=0), 99, IF(AND(tabItens[[#This Row],[Saldo]]=0,tabItens[[#This Row],[PontoPed]]&gt;0), 0, (1-tabItens[[#This Row],[PctAb]])*10 ) ),0)</f>
        <v>99</v>
      </c>
      <c r="BE136" s="406">
        <f>MAX(ROUNDDOWN( IF(tabItens[[#This Row],[Abaixo]] &gt; 0,   tabItens[[#This Row],[Abaixo]] + (tabItens[[#This Row],[PontoMês]] * IF( OR( ISBLANK(tabItens[[#This Row],[ATA Nº/ANO]]), tabItens[[#This Row],[ATA Nº/ANO]] = ""),BE$2,BE$1)),0),0),0)</f>
        <v>0</v>
      </c>
      <c r="BF13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6" s="338">
        <f>SUMIF(Consumo!$C$3:$C$862,tabItens[[#This Row],[CÓDIGO]],Consumo!$E$3:$E$862)</f>
        <v>160</v>
      </c>
      <c r="BH136" s="339">
        <f>IF(AND(tabItens[[#This Row],[Pend]] &gt; 0,tabItens[[#This Row],[Consumo]] &lt;&gt; 0), tabItens[[#This Row],[Pend]] / tabItens[[#This Row],[Consumo]], 0 )</f>
        <v>0.44444444444444442</v>
      </c>
      <c r="BI136" s="338"/>
      <c r="BJ136" s="407"/>
      <c r="BK136" s="408" t="s">
        <v>2086</v>
      </c>
    </row>
    <row r="137" spans="1:63" x14ac:dyDescent="0.3">
      <c r="A137" s="375">
        <v>106414</v>
      </c>
      <c r="B137" s="376" t="s">
        <v>1638</v>
      </c>
      <c r="C137" s="377" t="s">
        <v>263</v>
      </c>
      <c r="D137" s="378">
        <v>3.69</v>
      </c>
      <c r="E137" s="305"/>
      <c r="F137" s="379"/>
      <c r="G137" s="379" t="s">
        <v>889</v>
      </c>
      <c r="H137" s="380">
        <v>1912</v>
      </c>
      <c r="I137" s="307">
        <v>103003</v>
      </c>
      <c r="J137" s="308">
        <v>3.69</v>
      </c>
      <c r="K137" s="381">
        <v>2981</v>
      </c>
      <c r="L137" s="382">
        <f>IF(tabItens[[#This Row],[Média]] &gt; 0, tabItens[[#This Row],[QTDE ATUAL]] / tabItens[[#This Row],[Média]],999.9)</f>
        <v>5.0682571239231278</v>
      </c>
      <c r="M137" s="383">
        <v>0</v>
      </c>
      <c r="N137" s="384">
        <f>tabItens[[#This Row],[VALOR UNIT.]] * tabItens[[#This Row],[LC]]</f>
        <v>0</v>
      </c>
      <c r="O137" s="385" t="s">
        <v>2105</v>
      </c>
      <c r="P137" s="386"/>
      <c r="Q137" s="387"/>
      <c r="R137" s="312"/>
      <c r="S137" s="388"/>
      <c r="T137" s="389">
        <f>ROUNDDOWN(IFERROR(tabItens[[#This Row],[ATA DT.VALID.]] - $D$1,0) / 30,0)</f>
        <v>-1474</v>
      </c>
      <c r="U137" s="302" t="s">
        <v>990</v>
      </c>
      <c r="V137" s="318">
        <v>1</v>
      </c>
      <c r="W137" s="390" t="s">
        <v>2077</v>
      </c>
      <c r="X137" s="391">
        <v>55</v>
      </c>
      <c r="Y137" s="392">
        <v>32</v>
      </c>
      <c r="Z137" s="393">
        <v>10087</v>
      </c>
      <c r="AA137" s="394">
        <v>2023</v>
      </c>
      <c r="AB137" s="395">
        <v>1000</v>
      </c>
      <c r="AC137" s="395"/>
      <c r="AD137" s="394"/>
      <c r="AE137" s="395"/>
      <c r="AF137" s="317"/>
      <c r="AG137" s="396" t="s">
        <v>2072</v>
      </c>
      <c r="AH137" s="397"/>
      <c r="AI137" s="317">
        <v>1510</v>
      </c>
      <c r="AJ137" s="397">
        <v>44659</v>
      </c>
      <c r="AK137" s="326">
        <v>39581</v>
      </c>
      <c r="AL137" s="326">
        <v>44616</v>
      </c>
      <c r="AM137" s="316"/>
      <c r="AN137" s="305"/>
      <c r="AO137" s="327" t="str">
        <f>_xlfn.IFNA(IF(VLOOKUP(tabItens[[#This Row],[CÓDIGO]],tabExcluirDoEstoque[#Data],1,FALSE),"sim",""),"")</f>
        <v/>
      </c>
      <c r="AP137" s="398" t="str">
        <f ca="1">IF(OR(ISBLANK(tabItens[[#This Row],[ATA DT.VALID.]]),tabItens[[#This Row],[ATA DT.VALID.]]="",tabItens[[#This Row],[ATA DT.VALID.]]=" "),"",IF(TYPE(tabItens[[#This Row],[ATA DT.VALID.]])=1,ROUNDUP((tabItens[[#This Row],[ATA DT.VALID.]]-TODAY())/7,0),""))</f>
        <v/>
      </c>
      <c r="AQ137" s="399">
        <v>0</v>
      </c>
      <c r="AR137" s="400" t="str">
        <f>IF(ISBLANK(tabItens[[#This Row],[CÓDIGO]]),"",IFERROR(VLOOKUP(tabItens[[#This Row],[CÓDIGO]],Consumo!$C$2:$AC$862,26,FALSE),0))</f>
        <v>09.2023</v>
      </c>
      <c r="AS137" s="401">
        <f>SUMIF(Consumo!$C$3:$C$862,tabItens[[#This Row],[CÓDIGO]],Consumo!$N$3:$N$862) + SUMIF(Consumo!$C$3:$C$862,tabItens[[#This Row],[CÓDIGO]],Consumo!$O$3:$O$862) + SUMIF(Consumo!$C$3:$C$862,tabItens[[#This Row],[CÓDIGO]],Consumo!$P$3:$P$862) + SUMIF(Consumo!$C$3:$C$862,tabItens[[#This Row],[CÓDIGO]],Consumo!$Q$3:$Q$862)</f>
        <v>1640</v>
      </c>
      <c r="AT137" s="401">
        <f>SUMIF(Consumo!$C$3:$C$862,tabItens[[#This Row],[CÓDIGO]],Consumo!$Z$3:$Z$862)</f>
        <v>4527</v>
      </c>
      <c r="AU137" s="402">
        <f>SUMIF(Consumo!$C$3:$C$862,tabItens[[#This Row],[CÓDIGO]],Consumo!$AA$3:$AA$862)</f>
        <v>618</v>
      </c>
      <c r="AV137" s="403">
        <f>SUMIF(Consumo!$C$3:$C$862,tabItens[[#This Row],[CÓDIGO]],Consumo!$Y$3:$Y$862)</f>
        <v>377.25</v>
      </c>
      <c r="AW137" s="380">
        <f>tabItens[[#This Row],[QTDE ATUAL]] + tabItens[[#This Row],[RC QTDE]] + tabItens[[#This Row],[AF SALDO]] + tabItens[[#This Row],[Recentes]]</f>
        <v>2912</v>
      </c>
      <c r="AX137" s="404">
        <v>100</v>
      </c>
      <c r="AY137" s="404">
        <v>4</v>
      </c>
      <c r="AZ137" s="404">
        <f>IF(ISBLANK(tabItens[[#This Row],[CÓDIGO]]),"",tabItens[[#This Row],[PontoMês]] * (AZ$2+tabItens[[#This Row],[PontoQtM]]))</f>
        <v>400</v>
      </c>
      <c r="BA137" s="403">
        <f>tabItens[[#This Row],[PontoPed]] - tabItens[[#This Row],[Saldo]] + (1/10)</f>
        <v>-2511.9</v>
      </c>
      <c r="BB137" s="403">
        <f xml:space="preserve"> tabItens[[#This Row],[PontoMês]] * BB$2 - tabItens[[#This Row],[QTDE ATUAL]] - (1/10)</f>
        <v>-1812.1</v>
      </c>
      <c r="BC137" s="335">
        <f>IF( tabItens[[#This Row],[PontoPed]]&gt;0, IF(tabItens[[#This Row],[PontoPed]]&lt;1, 1, IF( tabItens[[#This Row],[Saldo]]&gt;tabItens[[#This Row],[PontoPed]], 0, (tabItens[[#This Row],[PontoPed]]-tabItens[[#This Row],[Saldo]])/tabItens[[#This Row],[PontoPed]] ) ), 0 )</f>
        <v>0</v>
      </c>
      <c r="BD137" s="405">
        <f>ROUNDDOWN(IF( OR( AND(tabItens[[#This Row],[PontoPed]]&lt;tabItens[[#This Row],[Saldo]],tabItens[[#This Row],[Saldo]]&gt;0), tabItens[[#This Row],[PontoPed]]=0), 99, IF(AND(tabItens[[#This Row],[Saldo]]=0,tabItens[[#This Row],[PontoPed]]&gt;0), 0, (1-tabItens[[#This Row],[PctAb]])*10 ) ),0)</f>
        <v>99</v>
      </c>
      <c r="BE137" s="406">
        <f>MAX(ROUNDDOWN( IF(tabItens[[#This Row],[Abaixo]] &gt; 0,   tabItens[[#This Row],[Abaixo]] + (tabItens[[#This Row],[PontoMês]] * IF( OR( ISBLANK(tabItens[[#This Row],[ATA Nº/ANO]]), tabItens[[#This Row],[ATA Nº/ANO]] = ""),BE$2,BE$1)),0),0),0)</f>
        <v>0</v>
      </c>
      <c r="BF13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7" s="338">
        <f>SUMIF(Consumo!$C$3:$C$862,tabItens[[#This Row],[CÓDIGO]],Consumo!$E$3:$E$862)</f>
        <v>0</v>
      </c>
      <c r="BH137" s="339">
        <f>IF(AND(tabItens[[#This Row],[Pend]] &gt; 0,tabItens[[#This Row],[Consumo]] &lt;&gt; 0), tabItens[[#This Row],[Pend]] / tabItens[[#This Row],[Consumo]], 0 )</f>
        <v>0</v>
      </c>
      <c r="BI137" s="338"/>
      <c r="BJ137" s="407"/>
      <c r="BK137" s="408" t="s">
        <v>2086</v>
      </c>
    </row>
    <row r="138" spans="1:63" x14ac:dyDescent="0.3">
      <c r="A138" s="375">
        <v>111806</v>
      </c>
      <c r="B138" s="376" t="s">
        <v>1683</v>
      </c>
      <c r="C138" s="377" t="s">
        <v>263</v>
      </c>
      <c r="D138" s="378">
        <v>2.1</v>
      </c>
      <c r="E138" s="305"/>
      <c r="F138" s="379"/>
      <c r="G138" s="379" t="s">
        <v>889</v>
      </c>
      <c r="H138" s="380">
        <v>0</v>
      </c>
      <c r="I138" s="307">
        <v>103003</v>
      </c>
      <c r="J138" s="308">
        <v>2.1</v>
      </c>
      <c r="K138" s="381">
        <v>1215</v>
      </c>
      <c r="L138" s="382">
        <f>IF(tabItens[[#This Row],[Média]] &gt; 0, tabItens[[#This Row],[QTDE ATUAL]] / tabItens[[#This Row],[Média]],999.9)</f>
        <v>0</v>
      </c>
      <c r="M138" s="383">
        <v>0</v>
      </c>
      <c r="N138" s="384">
        <f>tabItens[[#This Row],[VALOR UNIT.]] * tabItens[[#This Row],[LC]]</f>
        <v>0</v>
      </c>
      <c r="O138" s="385" t="s">
        <v>2105</v>
      </c>
      <c r="P138" s="386"/>
      <c r="Q138" s="387"/>
      <c r="R138" s="312"/>
      <c r="S138" s="388"/>
      <c r="T138" s="389">
        <f>ROUNDDOWN(IFERROR(tabItens[[#This Row],[ATA DT.VALID.]] - $D$1,0) / 30,0)</f>
        <v>-1474</v>
      </c>
      <c r="U138" s="302" t="s">
        <v>990</v>
      </c>
      <c r="V138" s="318">
        <v>1</v>
      </c>
      <c r="W138" s="390" t="s">
        <v>2077</v>
      </c>
      <c r="X138" s="391">
        <v>55</v>
      </c>
      <c r="Y138" s="392">
        <v>32</v>
      </c>
      <c r="Z138" s="393">
        <v>10087</v>
      </c>
      <c r="AA138" s="394">
        <v>2023</v>
      </c>
      <c r="AB138" s="395">
        <v>2000</v>
      </c>
      <c r="AC138" s="395"/>
      <c r="AD138" s="394"/>
      <c r="AE138" s="395"/>
      <c r="AF138" s="317"/>
      <c r="AG138" s="396" t="s">
        <v>2072</v>
      </c>
      <c r="AH138" s="397"/>
      <c r="AI138" s="317">
        <v>406</v>
      </c>
      <c r="AJ138" s="397">
        <v>44631</v>
      </c>
      <c r="AK138" s="326">
        <v>40011</v>
      </c>
      <c r="AL138" s="326">
        <v>44616</v>
      </c>
      <c r="AM138" s="316"/>
      <c r="AN138" s="305"/>
      <c r="AO138" s="327" t="str">
        <f>_xlfn.IFNA(IF(VLOOKUP(tabItens[[#This Row],[CÓDIGO]],tabExcluirDoEstoque[#Data],1,FALSE),"sim",""),"")</f>
        <v/>
      </c>
      <c r="AP138" s="398" t="str">
        <f ca="1">IF(OR(ISBLANK(tabItens[[#This Row],[ATA DT.VALID.]]),tabItens[[#This Row],[ATA DT.VALID.]]="",tabItens[[#This Row],[ATA DT.VALID.]]=" "),"",IF(TYPE(tabItens[[#This Row],[ATA DT.VALID.]])=1,ROUNDUP((tabItens[[#This Row],[ATA DT.VALID.]]-TODAY())/7,0),""))</f>
        <v/>
      </c>
      <c r="AQ138" s="399">
        <v>0</v>
      </c>
      <c r="AR138" s="400" t="str">
        <f>IF(ISBLANK(tabItens[[#This Row],[CÓDIGO]]),"",IFERROR(VLOOKUP(tabItens[[#This Row],[CÓDIGO]],Consumo!$C$2:$AC$862,26,FALSE),0))</f>
        <v>06.2023</v>
      </c>
      <c r="AS138" s="401">
        <f>SUMIF(Consumo!$C$3:$C$862,tabItens[[#This Row],[CÓDIGO]],Consumo!$N$3:$N$862) + SUMIF(Consumo!$C$3:$C$862,tabItens[[#This Row],[CÓDIGO]],Consumo!$O$3:$O$862) + SUMIF(Consumo!$C$3:$C$862,tabItens[[#This Row],[CÓDIGO]],Consumo!$P$3:$P$862) + SUMIF(Consumo!$C$3:$C$862,tabItens[[#This Row],[CÓDIGO]],Consumo!$Q$3:$Q$862)</f>
        <v>9</v>
      </c>
      <c r="AT138" s="401">
        <f>SUMIF(Consumo!$C$3:$C$862,tabItens[[#This Row],[CÓDIGO]],Consumo!$Z$3:$Z$862)</f>
        <v>1614</v>
      </c>
      <c r="AU138" s="402">
        <f>SUMIF(Consumo!$C$3:$C$862,tabItens[[#This Row],[CÓDIGO]],Consumo!$AA$3:$AA$862)</f>
        <v>493</v>
      </c>
      <c r="AV138" s="403">
        <f>SUMIF(Consumo!$C$3:$C$862,tabItens[[#This Row],[CÓDIGO]],Consumo!$Y$3:$Y$862)</f>
        <v>134.5</v>
      </c>
      <c r="AW138" s="380">
        <f>tabItens[[#This Row],[QTDE ATUAL]] + tabItens[[#This Row],[RC QTDE]] + tabItens[[#This Row],[AF SALDO]] + tabItens[[#This Row],[Recentes]]</f>
        <v>2000</v>
      </c>
      <c r="AX138" s="404">
        <v>60</v>
      </c>
      <c r="AY138" s="404">
        <v>4</v>
      </c>
      <c r="AZ138" s="404">
        <f>IF(ISBLANK(tabItens[[#This Row],[CÓDIGO]]),"",tabItens[[#This Row],[PontoMês]] * (AZ$2+tabItens[[#This Row],[PontoQtM]]))</f>
        <v>240</v>
      </c>
      <c r="BA138" s="403">
        <f>tabItens[[#This Row],[PontoPed]] - tabItens[[#This Row],[Saldo]] + (1/10)</f>
        <v>-1759.9</v>
      </c>
      <c r="BB138" s="403">
        <f xml:space="preserve"> tabItens[[#This Row],[PontoMês]] * BB$2 - tabItens[[#This Row],[QTDE ATUAL]] - (1/10)</f>
        <v>59.9</v>
      </c>
      <c r="BC138" s="335">
        <f>IF( tabItens[[#This Row],[PontoPed]]&gt;0, IF(tabItens[[#This Row],[PontoPed]]&lt;1, 1, IF( tabItens[[#This Row],[Saldo]]&gt;tabItens[[#This Row],[PontoPed]], 0, (tabItens[[#This Row],[PontoPed]]-tabItens[[#This Row],[Saldo]])/tabItens[[#This Row],[PontoPed]] ) ), 0 )</f>
        <v>0</v>
      </c>
      <c r="BD138" s="405">
        <f>ROUNDDOWN(IF( OR( AND(tabItens[[#This Row],[PontoPed]]&lt;tabItens[[#This Row],[Saldo]],tabItens[[#This Row],[Saldo]]&gt;0), tabItens[[#This Row],[PontoPed]]=0), 99, IF(AND(tabItens[[#This Row],[Saldo]]=0,tabItens[[#This Row],[PontoPed]]&gt;0), 0, (1-tabItens[[#This Row],[PctAb]])*10 ) ),0)</f>
        <v>99</v>
      </c>
      <c r="BE138" s="406">
        <f>MAX(ROUNDDOWN( IF(tabItens[[#This Row],[Abaixo]] &gt; 0,   tabItens[[#This Row],[Abaixo]] + (tabItens[[#This Row],[PontoMês]] * IF( OR( ISBLANK(tabItens[[#This Row],[ATA Nº/ANO]]), tabItens[[#This Row],[ATA Nº/ANO]] = ""),BE$2,BE$1)),0),0),0)</f>
        <v>0</v>
      </c>
      <c r="BF13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8" s="338">
        <f>SUMIF(Consumo!$C$3:$C$862,tabItens[[#This Row],[CÓDIGO]],Consumo!$E$3:$E$862)</f>
        <v>399</v>
      </c>
      <c r="BH138" s="339">
        <f>IF(AND(tabItens[[#This Row],[Pend]] &gt; 0,tabItens[[#This Row],[Consumo]] &lt;&gt; 0), tabItens[[#This Row],[Pend]] / tabItens[[#This Row],[Consumo]], 0 )</f>
        <v>0.24721189591078066</v>
      </c>
      <c r="BI138" s="338"/>
      <c r="BJ138" s="407"/>
      <c r="BK138" s="408" t="s">
        <v>2086</v>
      </c>
    </row>
    <row r="139" spans="1:63" x14ac:dyDescent="0.3">
      <c r="A139" s="375">
        <v>128815</v>
      </c>
      <c r="B139" s="376" t="s">
        <v>1794</v>
      </c>
      <c r="C139" s="377" t="s">
        <v>31</v>
      </c>
      <c r="D139" s="378">
        <v>0.25</v>
      </c>
      <c r="E139" s="305"/>
      <c r="F139" s="379"/>
      <c r="G139" s="379" t="s">
        <v>889</v>
      </c>
      <c r="H139" s="380">
        <v>2191</v>
      </c>
      <c r="I139" s="307">
        <v>103003</v>
      </c>
      <c r="J139" s="308">
        <v>0.25</v>
      </c>
      <c r="K139" s="381">
        <v>2874</v>
      </c>
      <c r="L139" s="382">
        <f>IF(tabItens[[#This Row],[Média]] &gt; 0, tabItens[[#This Row],[QTDE ATUAL]] / tabItens[[#This Row],[Média]],999.9)</f>
        <v>8.1298701298701292</v>
      </c>
      <c r="M139" s="383">
        <v>0</v>
      </c>
      <c r="N139" s="384">
        <f>tabItens[[#This Row],[VALOR UNIT.]] * tabItens[[#This Row],[LC]]</f>
        <v>0</v>
      </c>
      <c r="O139" s="385" t="s">
        <v>2105</v>
      </c>
      <c r="P139" s="386"/>
      <c r="Q139" s="387"/>
      <c r="R139" s="312"/>
      <c r="S139" s="388"/>
      <c r="T139" s="389">
        <f>ROUNDDOWN(IFERROR(tabItens[[#This Row],[ATA DT.VALID.]] - $D$1,0) / 30,0)</f>
        <v>-1474</v>
      </c>
      <c r="U139" s="302" t="s">
        <v>990</v>
      </c>
      <c r="V139" s="318">
        <v>1</v>
      </c>
      <c r="W139" s="390" t="s">
        <v>2077</v>
      </c>
      <c r="X139" s="391">
        <v>55</v>
      </c>
      <c r="Y139" s="392">
        <v>32</v>
      </c>
      <c r="Z139" s="393">
        <v>2956</v>
      </c>
      <c r="AA139" s="394">
        <v>2023</v>
      </c>
      <c r="AB139" s="395">
        <v>3000</v>
      </c>
      <c r="AC139" s="395"/>
      <c r="AD139" s="394"/>
      <c r="AE139" s="395"/>
      <c r="AF139" s="317"/>
      <c r="AG139" s="396" t="s">
        <v>2072</v>
      </c>
      <c r="AH139" s="397"/>
      <c r="AI139" s="317">
        <v>1132</v>
      </c>
      <c r="AJ139" s="397">
        <v>44628</v>
      </c>
      <c r="AK139" s="326">
        <v>41926</v>
      </c>
      <c r="AL139" s="326">
        <v>44616</v>
      </c>
      <c r="AM139" s="316"/>
      <c r="AN139" s="305"/>
      <c r="AO139" s="327" t="str">
        <f>_xlfn.IFNA(IF(VLOOKUP(tabItens[[#This Row],[CÓDIGO]],tabExcluirDoEstoque[#Data],1,FALSE),"sim",""),"")</f>
        <v/>
      </c>
      <c r="AP139" s="398" t="str">
        <f ca="1">IF(OR(ISBLANK(tabItens[[#This Row],[ATA DT.VALID.]]),tabItens[[#This Row],[ATA DT.VALID.]]="",tabItens[[#This Row],[ATA DT.VALID.]]=" "),"",IF(TYPE(tabItens[[#This Row],[ATA DT.VALID.]])=1,ROUNDUP((tabItens[[#This Row],[ATA DT.VALID.]]-TODAY())/7,0),""))</f>
        <v/>
      </c>
      <c r="AQ139" s="399">
        <v>0</v>
      </c>
      <c r="AR139" s="400" t="str">
        <f>IF(ISBLANK(tabItens[[#This Row],[CÓDIGO]]),"",IFERROR(VLOOKUP(tabItens[[#This Row],[CÓDIGO]],Consumo!$C$2:$AC$862,26,FALSE),0))</f>
        <v>05.2023</v>
      </c>
      <c r="AS139" s="401">
        <f>SUMIF(Consumo!$C$3:$C$862,tabItens[[#This Row],[CÓDIGO]],Consumo!$N$3:$N$862) + SUMIF(Consumo!$C$3:$C$862,tabItens[[#This Row],[CÓDIGO]],Consumo!$O$3:$O$862) + SUMIF(Consumo!$C$3:$C$862,tabItens[[#This Row],[CÓDIGO]],Consumo!$P$3:$P$862) + SUMIF(Consumo!$C$3:$C$862,tabItens[[#This Row],[CÓDIGO]],Consumo!$Q$3:$Q$862)</f>
        <v>0</v>
      </c>
      <c r="AT139" s="401">
        <f>SUMIF(Consumo!$C$3:$C$862,tabItens[[#This Row],[CÓDIGO]],Consumo!$Z$3:$Z$862)</f>
        <v>3234</v>
      </c>
      <c r="AU139" s="402">
        <f>SUMIF(Consumo!$C$3:$C$862,tabItens[[#This Row],[CÓDIGO]],Consumo!$AA$3:$AA$862)</f>
        <v>784</v>
      </c>
      <c r="AV139" s="403">
        <f>SUMIF(Consumo!$C$3:$C$862,tabItens[[#This Row],[CÓDIGO]],Consumo!$Y$3:$Y$862)</f>
        <v>269.5</v>
      </c>
      <c r="AW139" s="380">
        <f>tabItens[[#This Row],[QTDE ATUAL]] + tabItens[[#This Row],[RC QTDE]] + tabItens[[#This Row],[AF SALDO]] + tabItens[[#This Row],[Recentes]]</f>
        <v>5191</v>
      </c>
      <c r="AX139" s="404">
        <v>200</v>
      </c>
      <c r="AY139" s="404">
        <v>4</v>
      </c>
      <c r="AZ139" s="404">
        <f>IF(ISBLANK(tabItens[[#This Row],[CÓDIGO]]),"",tabItens[[#This Row],[PontoMês]] * (AZ$2+tabItens[[#This Row],[PontoQtM]]))</f>
        <v>800</v>
      </c>
      <c r="BA139" s="403">
        <f>tabItens[[#This Row],[PontoPed]] - tabItens[[#This Row],[Saldo]] + (1/10)</f>
        <v>-4390.8999999999996</v>
      </c>
      <c r="BB139" s="403">
        <f xml:space="preserve"> tabItens[[#This Row],[PontoMês]] * BB$2 - tabItens[[#This Row],[QTDE ATUAL]] - (1/10)</f>
        <v>-1991.1</v>
      </c>
      <c r="BC139" s="335">
        <f>IF( tabItens[[#This Row],[PontoPed]]&gt;0, IF(tabItens[[#This Row],[PontoPed]]&lt;1, 1, IF( tabItens[[#This Row],[Saldo]]&gt;tabItens[[#This Row],[PontoPed]], 0, (tabItens[[#This Row],[PontoPed]]-tabItens[[#This Row],[Saldo]])/tabItens[[#This Row],[PontoPed]] ) ), 0 )</f>
        <v>0</v>
      </c>
      <c r="BD139" s="405">
        <f>ROUNDDOWN(IF( OR( AND(tabItens[[#This Row],[PontoPed]]&lt;tabItens[[#This Row],[Saldo]],tabItens[[#This Row],[Saldo]]&gt;0), tabItens[[#This Row],[PontoPed]]=0), 99, IF(AND(tabItens[[#This Row],[Saldo]]=0,tabItens[[#This Row],[PontoPed]]&gt;0), 0, (1-tabItens[[#This Row],[PctAb]])*10 ) ),0)</f>
        <v>99</v>
      </c>
      <c r="BE139" s="406">
        <f>MAX(ROUNDDOWN( IF(tabItens[[#This Row],[Abaixo]] &gt; 0,   tabItens[[#This Row],[Abaixo]] + (tabItens[[#This Row],[PontoMês]] * IF( OR( ISBLANK(tabItens[[#This Row],[ATA Nº/ANO]]), tabItens[[#This Row],[ATA Nº/ANO]] = ""),BE$2,BE$1)),0),0),0)</f>
        <v>0</v>
      </c>
      <c r="BF13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9" s="338">
        <f>SUMIF(Consumo!$C$3:$C$862,tabItens[[#This Row],[CÓDIGO]],Consumo!$E$3:$E$862)</f>
        <v>0</v>
      </c>
      <c r="BH139" s="339">
        <f>IF(AND(tabItens[[#This Row],[Pend]] &gt; 0,tabItens[[#This Row],[Consumo]] &lt;&gt; 0), tabItens[[#This Row],[Pend]] / tabItens[[#This Row],[Consumo]], 0 )</f>
        <v>0</v>
      </c>
      <c r="BI139" s="338"/>
      <c r="BJ139" s="407"/>
      <c r="BK139" s="408" t="s">
        <v>2086</v>
      </c>
    </row>
    <row r="140" spans="1:63" x14ac:dyDescent="0.3">
      <c r="A140" s="375">
        <v>128816</v>
      </c>
      <c r="B140" s="376" t="s">
        <v>1795</v>
      </c>
      <c r="C140" s="377" t="s">
        <v>31</v>
      </c>
      <c r="D140" s="378">
        <v>0.39</v>
      </c>
      <c r="E140" s="305"/>
      <c r="F140" s="379"/>
      <c r="G140" s="379" t="s">
        <v>889</v>
      </c>
      <c r="H140" s="380">
        <v>805</v>
      </c>
      <c r="I140" s="307">
        <v>103003</v>
      </c>
      <c r="J140" s="308">
        <v>0.39</v>
      </c>
      <c r="K140" s="381">
        <v>185</v>
      </c>
      <c r="L140" s="382">
        <f>IF(tabItens[[#This Row],[Média]] &gt; 0, tabItens[[#This Row],[QTDE ATUAL]] / tabItens[[#This Row],[Média]],999.9)</f>
        <v>79.180327868852459</v>
      </c>
      <c r="M140" s="383">
        <v>0</v>
      </c>
      <c r="N140" s="384">
        <f>tabItens[[#This Row],[VALOR UNIT.]] * tabItens[[#This Row],[LC]]</f>
        <v>0</v>
      </c>
      <c r="O140" s="385" t="s">
        <v>2105</v>
      </c>
      <c r="P140" s="386"/>
      <c r="Q140" s="387"/>
      <c r="R140" s="312"/>
      <c r="S140" s="388"/>
      <c r="T140" s="389">
        <f>ROUNDDOWN(IFERROR(tabItens[[#This Row],[ATA DT.VALID.]] - $D$1,0) / 30,0)</f>
        <v>-1474</v>
      </c>
      <c r="U140" s="302" t="s">
        <v>990</v>
      </c>
      <c r="V140" s="318">
        <v>1</v>
      </c>
      <c r="W140" s="390" t="s">
        <v>2077</v>
      </c>
      <c r="X140" s="391">
        <v>55</v>
      </c>
      <c r="Y140" s="392">
        <v>32</v>
      </c>
      <c r="Z140" s="393"/>
      <c r="AA140" s="394"/>
      <c r="AB140" s="395"/>
      <c r="AC140" s="395"/>
      <c r="AD140" s="394"/>
      <c r="AE140" s="395"/>
      <c r="AF140" s="317"/>
      <c r="AG140" s="396" t="s">
        <v>2072</v>
      </c>
      <c r="AH140" s="397"/>
      <c r="AI140" s="317">
        <v>62</v>
      </c>
      <c r="AJ140" s="397">
        <v>42220</v>
      </c>
      <c r="AK140" s="326">
        <v>41926</v>
      </c>
      <c r="AL140" s="326">
        <v>42205</v>
      </c>
      <c r="AM140" s="316"/>
      <c r="AN140" s="305"/>
      <c r="AO140" s="327" t="str">
        <f>_xlfn.IFNA(IF(VLOOKUP(tabItens[[#This Row],[CÓDIGO]],tabExcluirDoEstoque[#Data],1,FALSE),"sim",""),"")</f>
        <v/>
      </c>
      <c r="AP140" s="398" t="str">
        <f ca="1">IF(OR(ISBLANK(tabItens[[#This Row],[ATA DT.VALID.]]),tabItens[[#This Row],[ATA DT.VALID.]]="",tabItens[[#This Row],[ATA DT.VALID.]]=" "),"",IF(TYPE(tabItens[[#This Row],[ATA DT.VALID.]])=1,ROUNDUP((tabItens[[#This Row],[ATA DT.VALID.]]-TODAY())/7,0),""))</f>
        <v/>
      </c>
      <c r="AQ140" s="399">
        <v>0</v>
      </c>
      <c r="AR140" s="400" t="str">
        <f>IF(ISBLANK(tabItens[[#This Row],[CÓDIGO]]),"",IFERROR(VLOOKUP(tabItens[[#This Row],[CÓDIGO]],Consumo!$C$2:$AC$862,26,FALSE),0))</f>
        <v>01.2023</v>
      </c>
      <c r="AS140" s="401">
        <f>SUMIF(Consumo!$C$3:$C$862,tabItens[[#This Row],[CÓDIGO]],Consumo!$N$3:$N$862) + SUMIF(Consumo!$C$3:$C$862,tabItens[[#This Row],[CÓDIGO]],Consumo!$O$3:$O$862) + SUMIF(Consumo!$C$3:$C$862,tabItens[[#This Row],[CÓDIGO]],Consumo!$P$3:$P$862) + SUMIF(Consumo!$C$3:$C$862,tabItens[[#This Row],[CÓDIGO]],Consumo!$Q$3:$Q$862)</f>
        <v>0</v>
      </c>
      <c r="AT140" s="401">
        <f>SUMIF(Consumo!$C$3:$C$862,tabItens[[#This Row],[CÓDIGO]],Consumo!$Z$3:$Z$862)</f>
        <v>185</v>
      </c>
      <c r="AU140" s="402">
        <f>SUMIF(Consumo!$C$3:$C$862,tabItens[[#This Row],[CÓDIGO]],Consumo!$AA$3:$AA$862)</f>
        <v>185</v>
      </c>
      <c r="AV140" s="403">
        <f>SUMIF(Consumo!$C$3:$C$862,tabItens[[#This Row],[CÓDIGO]],Consumo!$Y$3:$Y$862)</f>
        <v>10.166666666666666</v>
      </c>
      <c r="AW140" s="380">
        <f>tabItens[[#This Row],[QTDE ATUAL]] + tabItens[[#This Row],[RC QTDE]] + tabItens[[#This Row],[AF SALDO]] + tabItens[[#This Row],[Recentes]]</f>
        <v>805</v>
      </c>
      <c r="AX140" s="404">
        <v>5</v>
      </c>
      <c r="AY140" s="404">
        <v>4</v>
      </c>
      <c r="AZ140" s="404">
        <f>IF(ISBLANK(tabItens[[#This Row],[CÓDIGO]]),"",tabItens[[#This Row],[PontoMês]] * (AZ$2+tabItens[[#This Row],[PontoQtM]]))</f>
        <v>20</v>
      </c>
      <c r="BA140" s="403">
        <f>tabItens[[#This Row],[PontoPed]] - tabItens[[#This Row],[Saldo]] + (1/10)</f>
        <v>-784.9</v>
      </c>
      <c r="BB140" s="403">
        <f xml:space="preserve"> tabItens[[#This Row],[PontoMês]] * BB$2 - tabItens[[#This Row],[QTDE ATUAL]] - (1/10)</f>
        <v>-800.1</v>
      </c>
      <c r="BC140" s="335">
        <f>IF( tabItens[[#This Row],[PontoPed]]&gt;0, IF(tabItens[[#This Row],[PontoPed]]&lt;1, 1, IF( tabItens[[#This Row],[Saldo]]&gt;tabItens[[#This Row],[PontoPed]], 0, (tabItens[[#This Row],[PontoPed]]-tabItens[[#This Row],[Saldo]])/tabItens[[#This Row],[PontoPed]] ) ), 0 )</f>
        <v>0</v>
      </c>
      <c r="BD140" s="405">
        <f>ROUNDDOWN(IF( OR( AND(tabItens[[#This Row],[PontoPed]]&lt;tabItens[[#This Row],[Saldo]],tabItens[[#This Row],[Saldo]]&gt;0), tabItens[[#This Row],[PontoPed]]=0), 99, IF(AND(tabItens[[#This Row],[Saldo]]=0,tabItens[[#This Row],[PontoPed]]&gt;0), 0, (1-tabItens[[#This Row],[PctAb]])*10 ) ),0)</f>
        <v>99</v>
      </c>
      <c r="BE140" s="406">
        <f>MAX(ROUNDDOWN( IF(tabItens[[#This Row],[Abaixo]] &gt; 0,   tabItens[[#This Row],[Abaixo]] + (tabItens[[#This Row],[PontoMês]] * IF( OR( ISBLANK(tabItens[[#This Row],[ATA Nº/ANO]]), tabItens[[#This Row],[ATA Nº/ANO]] = ""),BE$2,BE$1)),0),0),0)</f>
        <v>0</v>
      </c>
      <c r="BF14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0" s="338">
        <f>SUMIF(Consumo!$C$3:$C$862,tabItens[[#This Row],[CÓDIGO]],Consumo!$E$3:$E$862)</f>
        <v>0</v>
      </c>
      <c r="BH140" s="339">
        <f>IF(AND(tabItens[[#This Row],[Pend]] &gt; 0,tabItens[[#This Row],[Consumo]] &lt;&gt; 0), tabItens[[#This Row],[Pend]] / tabItens[[#This Row],[Consumo]], 0 )</f>
        <v>0</v>
      </c>
      <c r="BI140" s="338"/>
      <c r="BJ140" s="407"/>
      <c r="BK140" s="408" t="s">
        <v>2086</v>
      </c>
    </row>
    <row r="141" spans="1:63" x14ac:dyDescent="0.3">
      <c r="A141" s="375">
        <v>129991</v>
      </c>
      <c r="B141" s="376" t="s">
        <v>1802</v>
      </c>
      <c r="C141" s="377" t="s">
        <v>272</v>
      </c>
      <c r="D141" s="378">
        <v>12.24</v>
      </c>
      <c r="E141" s="305"/>
      <c r="F141" s="379"/>
      <c r="G141" s="379" t="s">
        <v>889</v>
      </c>
      <c r="H141" s="380">
        <v>324</v>
      </c>
      <c r="I141" s="307">
        <v>103003</v>
      </c>
      <c r="J141" s="308">
        <v>12.24</v>
      </c>
      <c r="K141" s="381">
        <v>128</v>
      </c>
      <c r="L141" s="382">
        <f>IF(tabItens[[#This Row],[Média]] &gt; 0, tabItens[[#This Row],[QTDE ATUAL]] / tabItens[[#This Row],[Média]],999.9)</f>
        <v>30.375</v>
      </c>
      <c r="M141" s="383">
        <v>0</v>
      </c>
      <c r="N141" s="384">
        <f>tabItens[[#This Row],[VALOR UNIT.]] * tabItens[[#This Row],[LC]]</f>
        <v>0</v>
      </c>
      <c r="O141" s="385" t="s">
        <v>2105</v>
      </c>
      <c r="P141" s="386"/>
      <c r="Q141" s="387"/>
      <c r="R141" s="312"/>
      <c r="S141" s="388"/>
      <c r="T141" s="389">
        <f>ROUNDDOWN(IFERROR(tabItens[[#This Row],[ATA DT.VALID.]] - $D$1,0) / 30,0)</f>
        <v>-1474</v>
      </c>
      <c r="U141" s="302" t="s">
        <v>990</v>
      </c>
      <c r="V141" s="318">
        <v>1</v>
      </c>
      <c r="W141" s="390" t="s">
        <v>2077</v>
      </c>
      <c r="X141" s="391">
        <v>55</v>
      </c>
      <c r="Y141" s="392">
        <v>32</v>
      </c>
      <c r="Z141" s="393"/>
      <c r="AA141" s="394"/>
      <c r="AB141" s="395"/>
      <c r="AC141" s="395"/>
      <c r="AD141" s="394"/>
      <c r="AE141" s="395"/>
      <c r="AF141" s="317"/>
      <c r="AG141" s="396" t="s">
        <v>2072</v>
      </c>
      <c r="AH141" s="397"/>
      <c r="AI141" s="317">
        <v>42</v>
      </c>
      <c r="AJ141" s="397">
        <v>44945</v>
      </c>
      <c r="AK141" s="326">
        <v>42055</v>
      </c>
      <c r="AL141" s="326">
        <v>44917</v>
      </c>
      <c r="AM141" s="316"/>
      <c r="AN141" s="305"/>
      <c r="AO141" s="327" t="str">
        <f>_xlfn.IFNA(IF(VLOOKUP(tabItens[[#This Row],[CÓDIGO]],tabExcluirDoEstoque[#Data],1,FALSE),"sim",""),"")</f>
        <v/>
      </c>
      <c r="AP141" s="398" t="str">
        <f ca="1">IF(OR(ISBLANK(tabItens[[#This Row],[ATA DT.VALID.]]),tabItens[[#This Row],[ATA DT.VALID.]]="",tabItens[[#This Row],[ATA DT.VALID.]]=" "),"",IF(TYPE(tabItens[[#This Row],[ATA DT.VALID.]])=1,ROUNDUP((tabItens[[#This Row],[ATA DT.VALID.]]-TODAY())/7,0),""))</f>
        <v/>
      </c>
      <c r="AQ141" s="399">
        <v>0</v>
      </c>
      <c r="AR141" s="400" t="str">
        <f>IF(ISBLANK(tabItens[[#This Row],[CÓDIGO]]),"",IFERROR(VLOOKUP(tabItens[[#This Row],[CÓDIGO]],Consumo!$C$2:$AC$862,26,FALSE),0))</f>
        <v>08.2023</v>
      </c>
      <c r="AS141" s="401">
        <f>SUMIF(Consumo!$C$3:$C$862,tabItens[[#This Row],[CÓDIGO]],Consumo!$N$3:$N$862) + SUMIF(Consumo!$C$3:$C$862,tabItens[[#This Row],[CÓDIGO]],Consumo!$O$3:$O$862) + SUMIF(Consumo!$C$3:$C$862,tabItens[[#This Row],[CÓDIGO]],Consumo!$P$3:$P$862) + SUMIF(Consumo!$C$3:$C$862,tabItens[[#This Row],[CÓDIGO]],Consumo!$Q$3:$Q$862)</f>
        <v>52</v>
      </c>
      <c r="AT141" s="401">
        <f>SUMIF(Consumo!$C$3:$C$862,tabItens[[#This Row],[CÓDIGO]],Consumo!$Z$3:$Z$862)</f>
        <v>128</v>
      </c>
      <c r="AU141" s="402">
        <f>SUMIF(Consumo!$C$3:$C$862,tabItens[[#This Row],[CÓDIGO]],Consumo!$AA$3:$AA$862)</f>
        <v>50</v>
      </c>
      <c r="AV141" s="403">
        <f>SUMIF(Consumo!$C$3:$C$862,tabItens[[#This Row],[CÓDIGO]],Consumo!$Y$3:$Y$862)</f>
        <v>10.666666666666666</v>
      </c>
      <c r="AW141" s="380">
        <f>tabItens[[#This Row],[QTDE ATUAL]] + tabItens[[#This Row],[RC QTDE]] + tabItens[[#This Row],[AF SALDO]] + tabItens[[#This Row],[Recentes]]</f>
        <v>324</v>
      </c>
      <c r="AX141" s="404">
        <v>25</v>
      </c>
      <c r="AY141" s="404">
        <v>4</v>
      </c>
      <c r="AZ141" s="404">
        <f>IF(ISBLANK(tabItens[[#This Row],[CÓDIGO]]),"",tabItens[[#This Row],[PontoMês]] * (AZ$2+tabItens[[#This Row],[PontoQtM]]))</f>
        <v>100</v>
      </c>
      <c r="BA141" s="403">
        <f>tabItens[[#This Row],[PontoPed]] - tabItens[[#This Row],[Saldo]] + (1/10)</f>
        <v>-223.9</v>
      </c>
      <c r="BB141" s="403">
        <f xml:space="preserve"> tabItens[[#This Row],[PontoMês]] * BB$2 - tabItens[[#This Row],[QTDE ATUAL]] - (1/10)</f>
        <v>-299.10000000000002</v>
      </c>
      <c r="BC141" s="335">
        <f>IF( tabItens[[#This Row],[PontoPed]]&gt;0, IF(tabItens[[#This Row],[PontoPed]]&lt;1, 1, IF( tabItens[[#This Row],[Saldo]]&gt;tabItens[[#This Row],[PontoPed]], 0, (tabItens[[#This Row],[PontoPed]]-tabItens[[#This Row],[Saldo]])/tabItens[[#This Row],[PontoPed]] ) ), 0 )</f>
        <v>0</v>
      </c>
      <c r="BD141" s="405">
        <f>ROUNDDOWN(IF( OR( AND(tabItens[[#This Row],[PontoPed]]&lt;tabItens[[#This Row],[Saldo]],tabItens[[#This Row],[Saldo]]&gt;0), tabItens[[#This Row],[PontoPed]]=0), 99, IF(AND(tabItens[[#This Row],[Saldo]]=0,tabItens[[#This Row],[PontoPed]]&gt;0), 0, (1-tabItens[[#This Row],[PctAb]])*10 ) ),0)</f>
        <v>99</v>
      </c>
      <c r="BE141" s="406">
        <f>MAX(ROUNDDOWN( IF(tabItens[[#This Row],[Abaixo]] &gt; 0,   tabItens[[#This Row],[Abaixo]] + (tabItens[[#This Row],[PontoMês]] * IF( OR( ISBLANK(tabItens[[#This Row],[ATA Nº/ANO]]), tabItens[[#This Row],[ATA Nº/ANO]] = ""),BE$2,BE$1)),0),0),0)</f>
        <v>0</v>
      </c>
      <c r="BF14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1" s="338">
        <f>SUMIF(Consumo!$C$3:$C$862,tabItens[[#This Row],[CÓDIGO]],Consumo!$E$3:$E$862)</f>
        <v>0</v>
      </c>
      <c r="BH141" s="339">
        <f>IF(AND(tabItens[[#This Row],[Pend]] &gt; 0,tabItens[[#This Row],[Consumo]] &lt;&gt; 0), tabItens[[#This Row],[Pend]] / tabItens[[#This Row],[Consumo]], 0 )</f>
        <v>0</v>
      </c>
      <c r="BI141" s="338"/>
      <c r="BJ141" s="407"/>
      <c r="BK141" s="408" t="s">
        <v>2086</v>
      </c>
    </row>
    <row r="142" spans="1:63" x14ac:dyDescent="0.3">
      <c r="A142" s="375">
        <v>128818</v>
      </c>
      <c r="B142" s="376" t="s">
        <v>1796</v>
      </c>
      <c r="C142" s="377" t="s">
        <v>31</v>
      </c>
      <c r="D142" s="378">
        <v>1.1499999999999999</v>
      </c>
      <c r="E142" s="305"/>
      <c r="F142" s="379"/>
      <c r="G142" s="379" t="s">
        <v>889</v>
      </c>
      <c r="H142" s="380">
        <v>1795</v>
      </c>
      <c r="I142" s="307">
        <v>103003</v>
      </c>
      <c r="J142" s="308">
        <v>1.1499999999999999</v>
      </c>
      <c r="K142" s="381">
        <v>4625</v>
      </c>
      <c r="L142" s="382">
        <f>IF(tabItens[[#This Row],[Média]] &gt; 0, tabItens[[#This Row],[QTDE ATUAL]] / tabItens[[#This Row],[Média]],999.9)</f>
        <v>3.3307561465903821</v>
      </c>
      <c r="M142" s="383">
        <v>0</v>
      </c>
      <c r="N142" s="384">
        <f>tabItens[[#This Row],[VALOR UNIT.]] * tabItens[[#This Row],[LC]]</f>
        <v>0</v>
      </c>
      <c r="O142" s="385" t="s">
        <v>2105</v>
      </c>
      <c r="P142" s="386"/>
      <c r="Q142" s="387"/>
      <c r="R142" s="312"/>
      <c r="S142" s="388"/>
      <c r="T142" s="389">
        <f>ROUNDDOWN(IFERROR(tabItens[[#This Row],[ATA DT.VALID.]] - $D$1,0) / 30,0)</f>
        <v>-1474</v>
      </c>
      <c r="U142" s="302" t="s">
        <v>1088</v>
      </c>
      <c r="V142" s="318">
        <v>1</v>
      </c>
      <c r="W142" s="390" t="s">
        <v>2077</v>
      </c>
      <c r="X142" s="391">
        <v>55</v>
      </c>
      <c r="Y142" s="392">
        <v>34</v>
      </c>
      <c r="Z142" s="393">
        <v>10083</v>
      </c>
      <c r="AA142" s="394">
        <v>2023</v>
      </c>
      <c r="AB142" s="395">
        <v>1000</v>
      </c>
      <c r="AC142" s="395"/>
      <c r="AD142" s="394"/>
      <c r="AE142" s="395"/>
      <c r="AF142" s="317"/>
      <c r="AG142" s="396" t="s">
        <v>2072</v>
      </c>
      <c r="AH142" s="397"/>
      <c r="AI142" s="317">
        <v>2158</v>
      </c>
      <c r="AJ142" s="397">
        <v>44659</v>
      </c>
      <c r="AK142" s="326">
        <v>41926</v>
      </c>
      <c r="AL142" s="326">
        <v>44616</v>
      </c>
      <c r="AM142" s="316"/>
      <c r="AN142" s="305"/>
      <c r="AO142" s="327" t="str">
        <f>_xlfn.IFNA(IF(VLOOKUP(tabItens[[#This Row],[CÓDIGO]],tabExcluirDoEstoque[#Data],1,FALSE),"sim",""),"")</f>
        <v/>
      </c>
      <c r="AP142" s="398" t="str">
        <f ca="1">IF(OR(ISBLANK(tabItens[[#This Row],[ATA DT.VALID.]]),tabItens[[#This Row],[ATA DT.VALID.]]="",tabItens[[#This Row],[ATA DT.VALID.]]=" "),"",IF(TYPE(tabItens[[#This Row],[ATA DT.VALID.]])=1,ROUNDUP((tabItens[[#This Row],[ATA DT.VALID.]]-TODAY())/7,0),""))</f>
        <v/>
      </c>
      <c r="AQ142" s="399">
        <v>0</v>
      </c>
      <c r="AR142" s="400" t="str">
        <f>IF(ISBLANK(tabItens[[#This Row],[CÓDIGO]]),"",IFERROR(VLOOKUP(tabItens[[#This Row],[CÓDIGO]],Consumo!$C$2:$AC$862,26,FALSE),0))</f>
        <v>09.2023</v>
      </c>
      <c r="AS142" s="401">
        <f>SUMIF(Consumo!$C$3:$C$862,tabItens[[#This Row],[CÓDIGO]],Consumo!$N$3:$N$862) + SUMIF(Consumo!$C$3:$C$862,tabItens[[#This Row],[CÓDIGO]],Consumo!$O$3:$O$862) + SUMIF(Consumo!$C$3:$C$862,tabItens[[#This Row],[CÓDIGO]],Consumo!$P$3:$P$862) + SUMIF(Consumo!$C$3:$C$862,tabItens[[#This Row],[CÓDIGO]],Consumo!$Q$3:$Q$862)</f>
        <v>2260</v>
      </c>
      <c r="AT142" s="401">
        <f>SUMIF(Consumo!$C$3:$C$862,tabItens[[#This Row],[CÓDIGO]],Consumo!$Z$3:$Z$862)</f>
        <v>6467</v>
      </c>
      <c r="AU142" s="402">
        <f>SUMIF(Consumo!$C$3:$C$862,tabItens[[#This Row],[CÓDIGO]],Consumo!$AA$3:$AA$862)</f>
        <v>940</v>
      </c>
      <c r="AV142" s="403">
        <f>SUMIF(Consumo!$C$3:$C$862,tabItens[[#This Row],[CÓDIGO]],Consumo!$Y$3:$Y$862)</f>
        <v>538.91666666666663</v>
      </c>
      <c r="AW142" s="380">
        <f>tabItens[[#This Row],[QTDE ATUAL]] + tabItens[[#This Row],[RC QTDE]] + tabItens[[#This Row],[AF SALDO]] + tabItens[[#This Row],[Recentes]]</f>
        <v>2795</v>
      </c>
      <c r="AX142" s="404">
        <v>150</v>
      </c>
      <c r="AY142" s="404">
        <v>4</v>
      </c>
      <c r="AZ142" s="404">
        <f>IF(ISBLANK(tabItens[[#This Row],[CÓDIGO]]),"",tabItens[[#This Row],[PontoMês]] * (AZ$2+tabItens[[#This Row],[PontoQtM]]))</f>
        <v>600</v>
      </c>
      <c r="BA142" s="403">
        <f>tabItens[[#This Row],[PontoPed]] - tabItens[[#This Row],[Saldo]] + (1/10)</f>
        <v>-2194.9</v>
      </c>
      <c r="BB142" s="403">
        <f xml:space="preserve"> tabItens[[#This Row],[PontoMês]] * BB$2 - tabItens[[#This Row],[QTDE ATUAL]] - (1/10)</f>
        <v>-1645.1</v>
      </c>
      <c r="BC142" s="335">
        <f>IF( tabItens[[#This Row],[PontoPed]]&gt;0, IF(tabItens[[#This Row],[PontoPed]]&lt;1, 1, IF( tabItens[[#This Row],[Saldo]]&gt;tabItens[[#This Row],[PontoPed]], 0, (tabItens[[#This Row],[PontoPed]]-tabItens[[#This Row],[Saldo]])/tabItens[[#This Row],[PontoPed]] ) ), 0 )</f>
        <v>0</v>
      </c>
      <c r="BD142" s="405">
        <f>ROUNDDOWN(IF( OR( AND(tabItens[[#This Row],[PontoPed]]&lt;tabItens[[#This Row],[Saldo]],tabItens[[#This Row],[Saldo]]&gt;0), tabItens[[#This Row],[PontoPed]]=0), 99, IF(AND(tabItens[[#This Row],[Saldo]]=0,tabItens[[#This Row],[PontoPed]]&gt;0), 0, (1-tabItens[[#This Row],[PctAb]])*10 ) ),0)</f>
        <v>99</v>
      </c>
      <c r="BE142" s="406">
        <f>MAX(ROUNDDOWN( IF(tabItens[[#This Row],[Abaixo]] &gt; 0,   tabItens[[#This Row],[Abaixo]] + (tabItens[[#This Row],[PontoMês]] * IF( OR( ISBLANK(tabItens[[#This Row],[ATA Nº/ANO]]), tabItens[[#This Row],[ATA Nº/ANO]] = ""),BE$2,BE$1)),0),0),0)</f>
        <v>0</v>
      </c>
      <c r="BF14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2" s="338">
        <f>SUMIF(Consumo!$C$3:$C$862,tabItens[[#This Row],[CÓDIGO]],Consumo!$E$3:$E$862)</f>
        <v>0</v>
      </c>
      <c r="BH142" s="339">
        <f>IF(AND(tabItens[[#This Row],[Pend]] &gt; 0,tabItens[[#This Row],[Consumo]] &lt;&gt; 0), tabItens[[#This Row],[Pend]] / tabItens[[#This Row],[Consumo]], 0 )</f>
        <v>0</v>
      </c>
      <c r="BI142" s="338"/>
      <c r="BJ142" s="407"/>
      <c r="BK142" s="408" t="s">
        <v>2086</v>
      </c>
    </row>
    <row r="143" spans="1:63" x14ac:dyDescent="0.3">
      <c r="A143" s="375">
        <v>128819</v>
      </c>
      <c r="B143" s="376" t="s">
        <v>1797</v>
      </c>
      <c r="C143" s="377" t="s">
        <v>31</v>
      </c>
      <c r="D143" s="378">
        <v>5.6</v>
      </c>
      <c r="E143" s="305"/>
      <c r="F143" s="379"/>
      <c r="G143" s="379" t="s">
        <v>889</v>
      </c>
      <c r="H143" s="380">
        <v>251</v>
      </c>
      <c r="I143" s="307">
        <v>103003</v>
      </c>
      <c r="J143" s="308">
        <v>5.6</v>
      </c>
      <c r="K143" s="381">
        <v>192</v>
      </c>
      <c r="L143" s="382">
        <f>IF(tabItens[[#This Row],[Média]] &gt; 0, tabItens[[#This Row],[QTDE ATUAL]] / tabItens[[#This Row],[Média]],999.9)</f>
        <v>18.70807453416149</v>
      </c>
      <c r="M143" s="383">
        <v>0</v>
      </c>
      <c r="N143" s="384">
        <f>tabItens[[#This Row],[VALOR UNIT.]] * tabItens[[#This Row],[LC]]</f>
        <v>0</v>
      </c>
      <c r="O143" s="385" t="s">
        <v>2105</v>
      </c>
      <c r="P143" s="386"/>
      <c r="Q143" s="387"/>
      <c r="R143" s="312"/>
      <c r="S143" s="388"/>
      <c r="T143" s="389">
        <f>ROUNDDOWN(IFERROR(tabItens[[#This Row],[ATA DT.VALID.]] - $D$1,0) / 30,0)</f>
        <v>-1474</v>
      </c>
      <c r="U143" s="302" t="s">
        <v>1088</v>
      </c>
      <c r="V143" s="318">
        <v>1</v>
      </c>
      <c r="W143" s="390" t="s">
        <v>2077</v>
      </c>
      <c r="X143" s="391">
        <v>55</v>
      </c>
      <c r="Y143" s="392">
        <v>34</v>
      </c>
      <c r="Z143" s="393">
        <v>2546</v>
      </c>
      <c r="AA143" s="394">
        <v>2023</v>
      </c>
      <c r="AB143" s="395">
        <v>100</v>
      </c>
      <c r="AC143" s="395"/>
      <c r="AD143" s="394"/>
      <c r="AE143" s="395"/>
      <c r="AF143" s="317"/>
      <c r="AG143" s="396" t="s">
        <v>2072</v>
      </c>
      <c r="AH143" s="397"/>
      <c r="AI143" s="317">
        <v>64</v>
      </c>
      <c r="AJ143" s="397">
        <v>44659</v>
      </c>
      <c r="AK143" s="326">
        <v>41926</v>
      </c>
      <c r="AL143" s="326">
        <v>44616</v>
      </c>
      <c r="AM143" s="316"/>
      <c r="AN143" s="305"/>
      <c r="AO143" s="327" t="str">
        <f>_xlfn.IFNA(IF(VLOOKUP(tabItens[[#This Row],[CÓDIGO]],tabExcluirDoEstoque[#Data],1,FALSE),"sim",""),"")</f>
        <v/>
      </c>
      <c r="AP143" s="398" t="str">
        <f ca="1">IF(OR(ISBLANK(tabItens[[#This Row],[ATA DT.VALID.]]),tabItens[[#This Row],[ATA DT.VALID.]]="",tabItens[[#This Row],[ATA DT.VALID.]]=" "),"",IF(TYPE(tabItens[[#This Row],[ATA DT.VALID.]])=1,ROUNDUP((tabItens[[#This Row],[ATA DT.VALID.]]-TODAY())/7,0),""))</f>
        <v/>
      </c>
      <c r="AQ143" s="399">
        <v>0</v>
      </c>
      <c r="AR143" s="400" t="str">
        <f>IF(ISBLANK(tabItens[[#This Row],[CÓDIGO]]),"",IFERROR(VLOOKUP(tabItens[[#This Row],[CÓDIGO]],Consumo!$C$2:$AC$862,26,FALSE),0))</f>
        <v>07.2023</v>
      </c>
      <c r="AS143" s="401">
        <f>SUMIF(Consumo!$C$3:$C$862,tabItens[[#This Row],[CÓDIGO]],Consumo!$N$3:$N$862) + SUMIF(Consumo!$C$3:$C$862,tabItens[[#This Row],[CÓDIGO]],Consumo!$O$3:$O$862) + SUMIF(Consumo!$C$3:$C$862,tabItens[[#This Row],[CÓDIGO]],Consumo!$P$3:$P$862) + SUMIF(Consumo!$C$3:$C$862,tabItens[[#This Row],[CÓDIGO]],Consumo!$Q$3:$Q$862)</f>
        <v>20</v>
      </c>
      <c r="AT143" s="401">
        <f>SUMIF(Consumo!$C$3:$C$862,tabItens[[#This Row],[CÓDIGO]],Consumo!$Z$3:$Z$862)</f>
        <v>192</v>
      </c>
      <c r="AU143" s="402">
        <f>SUMIF(Consumo!$C$3:$C$862,tabItens[[#This Row],[CÓDIGO]],Consumo!$AA$3:$AA$862)</f>
        <v>110</v>
      </c>
      <c r="AV143" s="403">
        <f>SUMIF(Consumo!$C$3:$C$862,tabItens[[#This Row],[CÓDIGO]],Consumo!$Y$3:$Y$862)</f>
        <v>13.416666666666666</v>
      </c>
      <c r="AW143" s="380">
        <f>tabItens[[#This Row],[QTDE ATUAL]] + tabItens[[#This Row],[RC QTDE]] + tabItens[[#This Row],[AF SALDO]] + tabItens[[#This Row],[Recentes]]</f>
        <v>351</v>
      </c>
      <c r="AX143" s="404">
        <v>8</v>
      </c>
      <c r="AY143" s="404">
        <v>4</v>
      </c>
      <c r="AZ143" s="404">
        <f>IF(ISBLANK(tabItens[[#This Row],[CÓDIGO]]),"",tabItens[[#This Row],[PontoMês]] * (AZ$2+tabItens[[#This Row],[PontoQtM]]))</f>
        <v>32</v>
      </c>
      <c r="BA143" s="403">
        <f>tabItens[[#This Row],[PontoPed]] - tabItens[[#This Row],[Saldo]] + (1/10)</f>
        <v>-318.89999999999998</v>
      </c>
      <c r="BB143" s="403">
        <f xml:space="preserve"> tabItens[[#This Row],[PontoMês]] * BB$2 - tabItens[[#This Row],[QTDE ATUAL]] - (1/10)</f>
        <v>-243.1</v>
      </c>
      <c r="BC143" s="335">
        <f>IF( tabItens[[#This Row],[PontoPed]]&gt;0, IF(tabItens[[#This Row],[PontoPed]]&lt;1, 1, IF( tabItens[[#This Row],[Saldo]]&gt;tabItens[[#This Row],[PontoPed]], 0, (tabItens[[#This Row],[PontoPed]]-tabItens[[#This Row],[Saldo]])/tabItens[[#This Row],[PontoPed]] ) ), 0 )</f>
        <v>0</v>
      </c>
      <c r="BD143" s="405">
        <f>ROUNDDOWN(IF( OR( AND(tabItens[[#This Row],[PontoPed]]&lt;tabItens[[#This Row],[Saldo]],tabItens[[#This Row],[Saldo]]&gt;0), tabItens[[#This Row],[PontoPed]]=0), 99, IF(AND(tabItens[[#This Row],[Saldo]]=0,tabItens[[#This Row],[PontoPed]]&gt;0), 0, (1-tabItens[[#This Row],[PctAb]])*10 ) ),0)</f>
        <v>99</v>
      </c>
      <c r="BE143" s="406">
        <f>MAX(ROUNDDOWN( IF(tabItens[[#This Row],[Abaixo]] &gt; 0,   tabItens[[#This Row],[Abaixo]] + (tabItens[[#This Row],[PontoMês]] * IF( OR( ISBLANK(tabItens[[#This Row],[ATA Nº/ANO]]), tabItens[[#This Row],[ATA Nº/ANO]] = ""),BE$2,BE$1)),0),0),0)</f>
        <v>0</v>
      </c>
      <c r="BF14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3" s="338">
        <f>SUMIF(Consumo!$C$3:$C$862,tabItens[[#This Row],[CÓDIGO]],Consumo!$E$3:$E$862)</f>
        <v>0</v>
      </c>
      <c r="BH143" s="339">
        <f>IF(AND(tabItens[[#This Row],[Pend]] &gt; 0,tabItens[[#This Row],[Consumo]] &lt;&gt; 0), tabItens[[#This Row],[Pend]] / tabItens[[#This Row],[Consumo]], 0 )</f>
        <v>0</v>
      </c>
      <c r="BI143" s="338"/>
      <c r="BJ143" s="407"/>
      <c r="BK143" s="408" t="s">
        <v>2086</v>
      </c>
    </row>
    <row r="144" spans="1:63" x14ac:dyDescent="0.3">
      <c r="A144" s="375">
        <v>15664</v>
      </c>
      <c r="B144" s="376" t="s">
        <v>1105</v>
      </c>
      <c r="C144" s="377" t="s">
        <v>263</v>
      </c>
      <c r="D144" s="378">
        <v>1.6</v>
      </c>
      <c r="E144" s="305"/>
      <c r="F144" s="379"/>
      <c r="G144" s="379" t="s">
        <v>889</v>
      </c>
      <c r="H144" s="380">
        <v>54</v>
      </c>
      <c r="I144" s="307">
        <v>103003</v>
      </c>
      <c r="J144" s="308">
        <v>1.6</v>
      </c>
      <c r="K144" s="381">
        <v>9</v>
      </c>
      <c r="L144" s="382">
        <f>IF(tabItens[[#This Row],[Média]] &gt; 0, tabItens[[#This Row],[QTDE ATUAL]] / tabItens[[#This Row],[Média]],999.9)</f>
        <v>129.6</v>
      </c>
      <c r="M144" s="383">
        <v>0</v>
      </c>
      <c r="N144" s="384">
        <f>tabItens[[#This Row],[VALOR UNIT.]] * tabItens[[#This Row],[LC]]</f>
        <v>0</v>
      </c>
      <c r="O144" s="385" t="s">
        <v>2105</v>
      </c>
      <c r="P144" s="386"/>
      <c r="Q144" s="387"/>
      <c r="R144" s="312"/>
      <c r="S144" s="388"/>
      <c r="T144" s="389">
        <f>ROUNDDOWN(IFERROR(tabItens[[#This Row],[ATA DT.VALID.]] - $D$1,0) / 30,0)</f>
        <v>-1474</v>
      </c>
      <c r="U144" s="302" t="s">
        <v>1103</v>
      </c>
      <c r="V144" s="318">
        <v>1</v>
      </c>
      <c r="W144" s="390" t="s">
        <v>2077</v>
      </c>
      <c r="X144" s="391">
        <v>55</v>
      </c>
      <c r="Y144" s="392">
        <v>35</v>
      </c>
      <c r="Z144" s="393"/>
      <c r="AA144" s="394"/>
      <c r="AB144" s="395"/>
      <c r="AC144" s="395"/>
      <c r="AD144" s="394"/>
      <c r="AE144" s="395"/>
      <c r="AF144" s="317"/>
      <c r="AG144" s="396" t="s">
        <v>2072</v>
      </c>
      <c r="AH144" s="397"/>
      <c r="AI144" s="317">
        <v>4</v>
      </c>
      <c r="AJ144" s="397">
        <v>43978</v>
      </c>
      <c r="AK144" s="326" t="s">
        <v>889</v>
      </c>
      <c r="AL144" s="326">
        <v>44516</v>
      </c>
      <c r="AM144" s="316"/>
      <c r="AN144" s="305"/>
      <c r="AO144" s="327" t="str">
        <f>_xlfn.IFNA(IF(VLOOKUP(tabItens[[#This Row],[CÓDIGO]],tabExcluirDoEstoque[#Data],1,FALSE),"sim",""),"")</f>
        <v/>
      </c>
      <c r="AP144" s="398" t="str">
        <f ca="1">IF(OR(ISBLANK(tabItens[[#This Row],[ATA DT.VALID.]]),tabItens[[#This Row],[ATA DT.VALID.]]="",tabItens[[#This Row],[ATA DT.VALID.]]=" "),"",IF(TYPE(tabItens[[#This Row],[ATA DT.VALID.]])=1,ROUNDUP((tabItens[[#This Row],[ATA DT.VALID.]]-TODAY())/7,0),""))</f>
        <v/>
      </c>
      <c r="AQ144" s="399">
        <v>0</v>
      </c>
      <c r="AR144" s="400" t="str">
        <f>IF(ISBLANK(tabItens[[#This Row],[CÓDIGO]]),"",IFERROR(VLOOKUP(tabItens[[#This Row],[CÓDIGO]],Consumo!$C$2:$AC$862,26,FALSE),0))</f>
        <v>11.2022</v>
      </c>
      <c r="AS144" s="401">
        <f>SUMIF(Consumo!$C$3:$C$862,tabItens[[#This Row],[CÓDIGO]],Consumo!$N$3:$N$862) + SUMIF(Consumo!$C$3:$C$862,tabItens[[#This Row],[CÓDIGO]],Consumo!$O$3:$O$862) + SUMIF(Consumo!$C$3:$C$862,tabItens[[#This Row],[CÓDIGO]],Consumo!$P$3:$P$862) + SUMIF(Consumo!$C$3:$C$862,tabItens[[#This Row],[CÓDIGO]],Consumo!$Q$3:$Q$862)</f>
        <v>0</v>
      </c>
      <c r="AT144" s="401">
        <f>SUMIF(Consumo!$C$3:$C$862,tabItens[[#This Row],[CÓDIGO]],Consumo!$Z$3:$Z$862)</f>
        <v>9</v>
      </c>
      <c r="AU144" s="402">
        <f>SUMIF(Consumo!$C$3:$C$862,tabItens[[#This Row],[CÓDIGO]],Consumo!$AA$3:$AA$862)</f>
        <v>9</v>
      </c>
      <c r="AV144" s="403">
        <f>SUMIF(Consumo!$C$3:$C$862,tabItens[[#This Row],[CÓDIGO]],Consumo!$Y$3:$Y$862)</f>
        <v>0.41666666666666669</v>
      </c>
      <c r="AW144" s="380">
        <f>tabItens[[#This Row],[QTDE ATUAL]] + tabItens[[#This Row],[RC QTDE]] + tabItens[[#This Row],[AF SALDO]] + tabItens[[#This Row],[Recentes]]</f>
        <v>54</v>
      </c>
      <c r="AX144" s="404">
        <v>5</v>
      </c>
      <c r="AY144" s="404">
        <v>4</v>
      </c>
      <c r="AZ144" s="404">
        <f>IF(ISBLANK(tabItens[[#This Row],[CÓDIGO]]),"",tabItens[[#This Row],[PontoMês]] * (AZ$2+tabItens[[#This Row],[PontoQtM]]))</f>
        <v>20</v>
      </c>
      <c r="BA144" s="403">
        <f>tabItens[[#This Row],[PontoPed]] - tabItens[[#This Row],[Saldo]] + (1/10)</f>
        <v>-33.9</v>
      </c>
      <c r="BB144" s="403">
        <f xml:space="preserve"> tabItens[[#This Row],[PontoMês]] * BB$2 - tabItens[[#This Row],[QTDE ATUAL]] - (1/10)</f>
        <v>-49.1</v>
      </c>
      <c r="BC144" s="335">
        <f>IF( tabItens[[#This Row],[PontoPed]]&gt;0, IF(tabItens[[#This Row],[PontoPed]]&lt;1, 1, IF( tabItens[[#This Row],[Saldo]]&gt;tabItens[[#This Row],[PontoPed]], 0, (tabItens[[#This Row],[PontoPed]]-tabItens[[#This Row],[Saldo]])/tabItens[[#This Row],[PontoPed]] ) ), 0 )</f>
        <v>0</v>
      </c>
      <c r="BD144" s="405">
        <f>ROUNDDOWN(IF( OR( AND(tabItens[[#This Row],[PontoPed]]&lt;tabItens[[#This Row],[Saldo]],tabItens[[#This Row],[Saldo]]&gt;0), tabItens[[#This Row],[PontoPed]]=0), 99, IF(AND(tabItens[[#This Row],[Saldo]]=0,tabItens[[#This Row],[PontoPed]]&gt;0), 0, (1-tabItens[[#This Row],[PctAb]])*10 ) ),0)</f>
        <v>99</v>
      </c>
      <c r="BE144" s="406">
        <f>MAX(ROUNDDOWN( IF(tabItens[[#This Row],[Abaixo]] &gt; 0,   tabItens[[#This Row],[Abaixo]] + (tabItens[[#This Row],[PontoMês]] * IF( OR( ISBLANK(tabItens[[#This Row],[ATA Nº/ANO]]), tabItens[[#This Row],[ATA Nº/ANO]] = ""),BE$2,BE$1)),0),0),0)</f>
        <v>0</v>
      </c>
      <c r="BF14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4" s="338">
        <f>SUMIF(Consumo!$C$3:$C$862,tabItens[[#This Row],[CÓDIGO]],Consumo!$E$3:$E$862)</f>
        <v>0</v>
      </c>
      <c r="BH144" s="339">
        <f>IF(AND(tabItens[[#This Row],[Pend]] &gt; 0,tabItens[[#This Row],[Consumo]] &lt;&gt; 0), tabItens[[#This Row],[Pend]] / tabItens[[#This Row],[Consumo]], 0 )</f>
        <v>0</v>
      </c>
      <c r="BI144" s="338"/>
      <c r="BJ144" s="407"/>
      <c r="BK144" s="408" t="s">
        <v>2086</v>
      </c>
    </row>
    <row r="145" spans="1:63" x14ac:dyDescent="0.3">
      <c r="A145" s="375">
        <v>15673</v>
      </c>
      <c r="B145" s="376" t="s">
        <v>1108</v>
      </c>
      <c r="C145" s="377" t="s">
        <v>263</v>
      </c>
      <c r="D145" s="378">
        <v>4.5999999999999996</v>
      </c>
      <c r="E145" s="305"/>
      <c r="F145" s="379"/>
      <c r="G145" s="379" t="s">
        <v>889</v>
      </c>
      <c r="H145" s="380">
        <v>100</v>
      </c>
      <c r="I145" s="307">
        <v>103003</v>
      </c>
      <c r="J145" s="308">
        <v>4.5999999999999996</v>
      </c>
      <c r="K145" s="381">
        <v>66</v>
      </c>
      <c r="L145" s="382">
        <f>IF(tabItens[[#This Row],[Média]] &gt; 0, tabItens[[#This Row],[QTDE ATUAL]] / tabItens[[#This Row],[Média]],999.9)</f>
        <v>18.181818181818183</v>
      </c>
      <c r="M145" s="383">
        <v>0</v>
      </c>
      <c r="N145" s="384">
        <f>tabItens[[#This Row],[VALOR UNIT.]] * tabItens[[#This Row],[LC]]</f>
        <v>0</v>
      </c>
      <c r="O145" s="385" t="s">
        <v>2105</v>
      </c>
      <c r="P145" s="386"/>
      <c r="Q145" s="387"/>
      <c r="R145" s="312"/>
      <c r="S145" s="388"/>
      <c r="T145" s="389">
        <f>ROUNDDOWN(IFERROR(tabItens[[#This Row],[ATA DT.VALID.]] - $D$1,0) / 30,0)</f>
        <v>-1474</v>
      </c>
      <c r="U145" s="302" t="s">
        <v>1103</v>
      </c>
      <c r="V145" s="318">
        <v>1</v>
      </c>
      <c r="W145" s="390" t="s">
        <v>2077</v>
      </c>
      <c r="X145" s="391">
        <v>55</v>
      </c>
      <c r="Y145" s="392">
        <v>35</v>
      </c>
      <c r="Z145" s="393">
        <v>2956</v>
      </c>
      <c r="AA145" s="394">
        <v>2023</v>
      </c>
      <c r="AB145" s="395">
        <v>50</v>
      </c>
      <c r="AC145" s="395"/>
      <c r="AD145" s="394"/>
      <c r="AE145" s="395"/>
      <c r="AF145" s="317"/>
      <c r="AG145" s="396" t="s">
        <v>2072</v>
      </c>
      <c r="AH145" s="397"/>
      <c r="AI145" s="317">
        <v>22</v>
      </c>
      <c r="AJ145" s="397">
        <v>44337</v>
      </c>
      <c r="AK145" s="326" t="s">
        <v>889</v>
      </c>
      <c r="AL145" s="326">
        <v>44516</v>
      </c>
      <c r="AM145" s="316"/>
      <c r="AN145" s="305"/>
      <c r="AO145" s="327" t="str">
        <f>_xlfn.IFNA(IF(VLOOKUP(tabItens[[#This Row],[CÓDIGO]],tabExcluirDoEstoque[#Data],1,FALSE),"sim",""),"")</f>
        <v/>
      </c>
      <c r="AP145" s="398" t="str">
        <f ca="1">IF(OR(ISBLANK(tabItens[[#This Row],[ATA DT.VALID.]]),tabItens[[#This Row],[ATA DT.VALID.]]="",tabItens[[#This Row],[ATA DT.VALID.]]=" "),"",IF(TYPE(tabItens[[#This Row],[ATA DT.VALID.]])=1,ROUNDUP((tabItens[[#This Row],[ATA DT.VALID.]]-TODAY())/7,0),""))</f>
        <v/>
      </c>
      <c r="AQ145" s="399">
        <v>0</v>
      </c>
      <c r="AR145" s="400" t="str">
        <f>IF(ISBLANK(tabItens[[#This Row],[CÓDIGO]]),"",IFERROR(VLOOKUP(tabItens[[#This Row],[CÓDIGO]],Consumo!$C$2:$AC$862,26,FALSE),0))</f>
        <v>09.2023</v>
      </c>
      <c r="AS145" s="401">
        <f>SUMIF(Consumo!$C$3:$C$862,tabItens[[#This Row],[CÓDIGO]],Consumo!$N$3:$N$862) + SUMIF(Consumo!$C$3:$C$862,tabItens[[#This Row],[CÓDIGO]],Consumo!$O$3:$O$862) + SUMIF(Consumo!$C$3:$C$862,tabItens[[#This Row],[CÓDIGO]],Consumo!$P$3:$P$862) + SUMIF(Consumo!$C$3:$C$862,tabItens[[#This Row],[CÓDIGO]],Consumo!$Q$3:$Q$862)</f>
        <v>28</v>
      </c>
      <c r="AT145" s="401">
        <f>SUMIF(Consumo!$C$3:$C$862,tabItens[[#This Row],[CÓDIGO]],Consumo!$Z$3:$Z$862)</f>
        <v>66</v>
      </c>
      <c r="AU145" s="402">
        <f>SUMIF(Consumo!$C$3:$C$862,tabItens[[#This Row],[CÓDIGO]],Consumo!$AA$3:$AA$862)</f>
        <v>20</v>
      </c>
      <c r="AV145" s="403">
        <f>SUMIF(Consumo!$C$3:$C$862,tabItens[[#This Row],[CÓDIGO]],Consumo!$Y$3:$Y$862)</f>
        <v>5.5</v>
      </c>
      <c r="AW145" s="380">
        <f>tabItens[[#This Row],[QTDE ATUAL]] + tabItens[[#This Row],[RC QTDE]] + tabItens[[#This Row],[AF SALDO]] + tabItens[[#This Row],[Recentes]]</f>
        <v>150</v>
      </c>
      <c r="AX145" s="404">
        <v>3</v>
      </c>
      <c r="AY145" s="404">
        <v>4</v>
      </c>
      <c r="AZ145" s="404">
        <f>IF(ISBLANK(tabItens[[#This Row],[CÓDIGO]]),"",tabItens[[#This Row],[PontoMês]] * (AZ$2+tabItens[[#This Row],[PontoQtM]]))</f>
        <v>12</v>
      </c>
      <c r="BA145" s="403">
        <f>tabItens[[#This Row],[PontoPed]] - tabItens[[#This Row],[Saldo]] + (1/10)</f>
        <v>-137.9</v>
      </c>
      <c r="BB145" s="403">
        <f xml:space="preserve"> tabItens[[#This Row],[PontoMês]] * BB$2 - tabItens[[#This Row],[QTDE ATUAL]] - (1/10)</f>
        <v>-97.1</v>
      </c>
      <c r="BC145" s="335">
        <f>IF( tabItens[[#This Row],[PontoPed]]&gt;0, IF(tabItens[[#This Row],[PontoPed]]&lt;1, 1, IF( tabItens[[#This Row],[Saldo]]&gt;tabItens[[#This Row],[PontoPed]], 0, (tabItens[[#This Row],[PontoPed]]-tabItens[[#This Row],[Saldo]])/tabItens[[#This Row],[PontoPed]] ) ), 0 )</f>
        <v>0</v>
      </c>
      <c r="BD145" s="405">
        <f>ROUNDDOWN(IF( OR( AND(tabItens[[#This Row],[PontoPed]]&lt;tabItens[[#This Row],[Saldo]],tabItens[[#This Row],[Saldo]]&gt;0), tabItens[[#This Row],[PontoPed]]=0), 99, IF(AND(tabItens[[#This Row],[Saldo]]=0,tabItens[[#This Row],[PontoPed]]&gt;0), 0, (1-tabItens[[#This Row],[PctAb]])*10 ) ),0)</f>
        <v>99</v>
      </c>
      <c r="BE145" s="406">
        <f>MAX(ROUNDDOWN( IF(tabItens[[#This Row],[Abaixo]] &gt; 0,   tabItens[[#This Row],[Abaixo]] + (tabItens[[#This Row],[PontoMês]] * IF( OR( ISBLANK(tabItens[[#This Row],[ATA Nº/ANO]]), tabItens[[#This Row],[ATA Nº/ANO]] = ""),BE$2,BE$1)),0),0),0)</f>
        <v>0</v>
      </c>
      <c r="BF14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5" s="338">
        <f>SUMIF(Consumo!$C$3:$C$862,tabItens[[#This Row],[CÓDIGO]],Consumo!$E$3:$E$862)</f>
        <v>0</v>
      </c>
      <c r="BH145" s="339">
        <f>IF(AND(tabItens[[#This Row],[Pend]] &gt; 0,tabItens[[#This Row],[Consumo]] &lt;&gt; 0), tabItens[[#This Row],[Pend]] / tabItens[[#This Row],[Consumo]], 0 )</f>
        <v>0</v>
      </c>
      <c r="BI145" s="338"/>
      <c r="BJ145" s="407"/>
      <c r="BK145" s="408" t="s">
        <v>2086</v>
      </c>
    </row>
    <row r="146" spans="1:63" x14ac:dyDescent="0.3">
      <c r="A146" s="375">
        <v>15680</v>
      </c>
      <c r="B146" s="376" t="s">
        <v>1109</v>
      </c>
      <c r="C146" s="377" t="s">
        <v>263</v>
      </c>
      <c r="D146" s="378">
        <v>5.86</v>
      </c>
      <c r="E146" s="305"/>
      <c r="F146" s="379"/>
      <c r="G146" s="379" t="s">
        <v>889</v>
      </c>
      <c r="H146" s="380">
        <v>482</v>
      </c>
      <c r="I146" s="307">
        <v>103003</v>
      </c>
      <c r="J146" s="308">
        <v>5.86</v>
      </c>
      <c r="K146" s="381">
        <v>46</v>
      </c>
      <c r="L146" s="382">
        <f>IF(tabItens[[#This Row],[Média]] &gt; 0, tabItens[[#This Row],[QTDE ATUAL]] / tabItens[[#This Row],[Média]],999.9)</f>
        <v>156.32432432432432</v>
      </c>
      <c r="M146" s="383">
        <v>0</v>
      </c>
      <c r="N146" s="384">
        <f>tabItens[[#This Row],[VALOR UNIT.]] * tabItens[[#This Row],[LC]]</f>
        <v>0</v>
      </c>
      <c r="O146" s="385" t="s">
        <v>2105</v>
      </c>
      <c r="P146" s="386"/>
      <c r="Q146" s="387"/>
      <c r="R146" s="312"/>
      <c r="S146" s="388"/>
      <c r="T146" s="389">
        <f>ROUNDDOWN(IFERROR(tabItens[[#This Row],[ATA DT.VALID.]] - $D$1,0) / 30,0)</f>
        <v>-1474</v>
      </c>
      <c r="U146" s="302" t="s">
        <v>1103</v>
      </c>
      <c r="V146" s="318">
        <v>1</v>
      </c>
      <c r="W146" s="390" t="s">
        <v>2077</v>
      </c>
      <c r="X146" s="391">
        <v>55</v>
      </c>
      <c r="Y146" s="392">
        <v>35</v>
      </c>
      <c r="Z146" s="393"/>
      <c r="AA146" s="394"/>
      <c r="AB146" s="395"/>
      <c r="AC146" s="395"/>
      <c r="AD146" s="394"/>
      <c r="AE146" s="395"/>
      <c r="AF146" s="317"/>
      <c r="AG146" s="396" t="s">
        <v>2072</v>
      </c>
      <c r="AH146" s="397"/>
      <c r="AI146" s="317">
        <v>16</v>
      </c>
      <c r="AJ146" s="397">
        <v>44649</v>
      </c>
      <c r="AK146" s="326" t="s">
        <v>889</v>
      </c>
      <c r="AL146" s="326">
        <v>44755</v>
      </c>
      <c r="AM146" s="316"/>
      <c r="AN146" s="305"/>
      <c r="AO146" s="327" t="str">
        <f>_xlfn.IFNA(IF(VLOOKUP(tabItens[[#This Row],[CÓDIGO]],tabExcluirDoEstoque[#Data],1,FALSE),"sim",""),"")</f>
        <v/>
      </c>
      <c r="AP146" s="398" t="str">
        <f ca="1">IF(OR(ISBLANK(tabItens[[#This Row],[ATA DT.VALID.]]),tabItens[[#This Row],[ATA DT.VALID.]]="",tabItens[[#This Row],[ATA DT.VALID.]]=" "),"",IF(TYPE(tabItens[[#This Row],[ATA DT.VALID.]])=1,ROUNDUP((tabItens[[#This Row],[ATA DT.VALID.]]-TODAY())/7,0),""))</f>
        <v/>
      </c>
      <c r="AQ146" s="399">
        <v>0</v>
      </c>
      <c r="AR146" s="400" t="str">
        <f>IF(ISBLANK(tabItens[[#This Row],[CÓDIGO]]),"",IFERROR(VLOOKUP(tabItens[[#This Row],[CÓDIGO]],Consumo!$C$2:$AC$862,26,FALSE),0))</f>
        <v>06.2023</v>
      </c>
      <c r="AS146" s="401">
        <f>SUMIF(Consumo!$C$3:$C$862,tabItens[[#This Row],[CÓDIGO]],Consumo!$N$3:$N$862) + SUMIF(Consumo!$C$3:$C$862,tabItens[[#This Row],[CÓDIGO]],Consumo!$O$3:$O$862) + SUMIF(Consumo!$C$3:$C$862,tabItens[[#This Row],[CÓDIGO]],Consumo!$P$3:$P$862) + SUMIF(Consumo!$C$3:$C$862,tabItens[[#This Row],[CÓDIGO]],Consumo!$Q$3:$Q$862)</f>
        <v>30</v>
      </c>
      <c r="AT146" s="401">
        <f>SUMIF(Consumo!$C$3:$C$862,tabItens[[#This Row],[CÓDIGO]],Consumo!$Z$3:$Z$862)</f>
        <v>46</v>
      </c>
      <c r="AU146" s="402">
        <f>SUMIF(Consumo!$C$3:$C$862,tabItens[[#This Row],[CÓDIGO]],Consumo!$AA$3:$AA$862)</f>
        <v>30</v>
      </c>
      <c r="AV146" s="403">
        <f>SUMIF(Consumo!$C$3:$C$862,tabItens[[#This Row],[CÓDIGO]],Consumo!$Y$3:$Y$862)</f>
        <v>3.0833333333333335</v>
      </c>
      <c r="AW146" s="380">
        <f>tabItens[[#This Row],[QTDE ATUAL]] + tabItens[[#This Row],[RC QTDE]] + tabItens[[#This Row],[AF SALDO]] + tabItens[[#This Row],[Recentes]]</f>
        <v>482</v>
      </c>
      <c r="AX146" s="404">
        <v>3</v>
      </c>
      <c r="AY146" s="404">
        <v>4</v>
      </c>
      <c r="AZ146" s="404">
        <f>IF(ISBLANK(tabItens[[#This Row],[CÓDIGO]]),"",tabItens[[#This Row],[PontoMês]] * (AZ$2+tabItens[[#This Row],[PontoQtM]]))</f>
        <v>12</v>
      </c>
      <c r="BA146" s="403">
        <f>tabItens[[#This Row],[PontoPed]] - tabItens[[#This Row],[Saldo]] + (1/10)</f>
        <v>-469.9</v>
      </c>
      <c r="BB146" s="403">
        <f xml:space="preserve"> tabItens[[#This Row],[PontoMês]] * BB$2 - tabItens[[#This Row],[QTDE ATUAL]] - (1/10)</f>
        <v>-479.1</v>
      </c>
      <c r="BC146" s="335">
        <f>IF( tabItens[[#This Row],[PontoPed]]&gt;0, IF(tabItens[[#This Row],[PontoPed]]&lt;1, 1, IF( tabItens[[#This Row],[Saldo]]&gt;tabItens[[#This Row],[PontoPed]], 0, (tabItens[[#This Row],[PontoPed]]-tabItens[[#This Row],[Saldo]])/tabItens[[#This Row],[PontoPed]] ) ), 0 )</f>
        <v>0</v>
      </c>
      <c r="BD146" s="405">
        <f>ROUNDDOWN(IF( OR( AND(tabItens[[#This Row],[PontoPed]]&lt;tabItens[[#This Row],[Saldo]],tabItens[[#This Row],[Saldo]]&gt;0), tabItens[[#This Row],[PontoPed]]=0), 99, IF(AND(tabItens[[#This Row],[Saldo]]=0,tabItens[[#This Row],[PontoPed]]&gt;0), 0, (1-tabItens[[#This Row],[PctAb]])*10 ) ),0)</f>
        <v>99</v>
      </c>
      <c r="BE146" s="406">
        <f>MAX(ROUNDDOWN( IF(tabItens[[#This Row],[Abaixo]] &gt; 0,   tabItens[[#This Row],[Abaixo]] + (tabItens[[#This Row],[PontoMês]] * IF( OR( ISBLANK(tabItens[[#This Row],[ATA Nº/ANO]]), tabItens[[#This Row],[ATA Nº/ANO]] = ""),BE$2,BE$1)),0),0),0)</f>
        <v>0</v>
      </c>
      <c r="BF14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6" s="338">
        <f>SUMIF(Consumo!$C$3:$C$862,tabItens[[#This Row],[CÓDIGO]],Consumo!$E$3:$E$862)</f>
        <v>0</v>
      </c>
      <c r="BH146" s="339">
        <f>IF(AND(tabItens[[#This Row],[Pend]] &gt; 0,tabItens[[#This Row],[Consumo]] &lt;&gt; 0), tabItens[[#This Row],[Pend]] / tabItens[[#This Row],[Consumo]], 0 )</f>
        <v>0</v>
      </c>
      <c r="BI146" s="338"/>
      <c r="BJ146" s="407"/>
      <c r="BK146" s="408" t="s">
        <v>2086</v>
      </c>
    </row>
    <row r="147" spans="1:63" x14ac:dyDescent="0.3">
      <c r="A147" s="375">
        <v>103344</v>
      </c>
      <c r="B147" s="376" t="s">
        <v>1603</v>
      </c>
      <c r="C147" s="377" t="s">
        <v>263</v>
      </c>
      <c r="D147" s="378">
        <v>1.85</v>
      </c>
      <c r="E147" s="305"/>
      <c r="F147" s="379"/>
      <c r="G147" s="379" t="s">
        <v>889</v>
      </c>
      <c r="H147" s="380">
        <v>516</v>
      </c>
      <c r="I147" s="307">
        <v>103003</v>
      </c>
      <c r="J147" s="308">
        <v>1.85</v>
      </c>
      <c r="K147" s="381">
        <v>20</v>
      </c>
      <c r="L147" s="382">
        <f>IF(tabItens[[#This Row],[Média]] &gt; 0, tabItens[[#This Row],[QTDE ATUAL]] / tabItens[[#This Row],[Média]],999.9)</f>
        <v>344</v>
      </c>
      <c r="M147" s="383">
        <v>0</v>
      </c>
      <c r="N147" s="384">
        <f>tabItens[[#This Row],[VALOR UNIT.]] * tabItens[[#This Row],[LC]]</f>
        <v>0</v>
      </c>
      <c r="O147" s="385" t="s">
        <v>2105</v>
      </c>
      <c r="P147" s="386"/>
      <c r="Q147" s="387"/>
      <c r="R147" s="312"/>
      <c r="S147" s="388"/>
      <c r="T147" s="389">
        <f>ROUNDDOWN(IFERROR(tabItens[[#This Row],[ATA DT.VALID.]] - $D$1,0) / 30,0)</f>
        <v>-1474</v>
      </c>
      <c r="U147" s="302" t="s">
        <v>1103</v>
      </c>
      <c r="V147" s="318">
        <v>1</v>
      </c>
      <c r="W147" s="390" t="s">
        <v>2077</v>
      </c>
      <c r="X147" s="391">
        <v>55</v>
      </c>
      <c r="Y147" s="392">
        <v>35</v>
      </c>
      <c r="Z147" s="393"/>
      <c r="AA147" s="394"/>
      <c r="AB147" s="395"/>
      <c r="AC147" s="395"/>
      <c r="AD147" s="394"/>
      <c r="AE147" s="395"/>
      <c r="AF147" s="317"/>
      <c r="AG147" s="396" t="s">
        <v>2072</v>
      </c>
      <c r="AH147" s="397"/>
      <c r="AI147" s="317">
        <v>6</v>
      </c>
      <c r="AJ147" s="397">
        <v>44677</v>
      </c>
      <c r="AK147" s="326">
        <v>39400</v>
      </c>
      <c r="AL147" s="326">
        <v>44670</v>
      </c>
      <c r="AM147" s="316"/>
      <c r="AN147" s="305"/>
      <c r="AO147" s="327" t="str">
        <f>_xlfn.IFNA(IF(VLOOKUP(tabItens[[#This Row],[CÓDIGO]],tabExcluirDoEstoque[#Data],1,FALSE),"sim",""),"")</f>
        <v/>
      </c>
      <c r="AP147" s="398" t="str">
        <f ca="1">IF(OR(ISBLANK(tabItens[[#This Row],[ATA DT.VALID.]]),tabItens[[#This Row],[ATA DT.VALID.]]="",tabItens[[#This Row],[ATA DT.VALID.]]=" "),"",IF(TYPE(tabItens[[#This Row],[ATA DT.VALID.]])=1,ROUNDUP((tabItens[[#This Row],[ATA DT.VALID.]]-TODAY())/7,0),""))</f>
        <v/>
      </c>
      <c r="AQ147" s="399">
        <v>0</v>
      </c>
      <c r="AR147" s="400" t="str">
        <f>IF(ISBLANK(tabItens[[#This Row],[CÓDIGO]]),"",IFERROR(VLOOKUP(tabItens[[#This Row],[CÓDIGO]],Consumo!$C$2:$AC$862,26,FALSE),0))</f>
        <v>07.2023</v>
      </c>
      <c r="AS147" s="401">
        <f>SUMIF(Consumo!$C$3:$C$862,tabItens[[#This Row],[CÓDIGO]],Consumo!$N$3:$N$862) + SUMIF(Consumo!$C$3:$C$862,tabItens[[#This Row],[CÓDIGO]],Consumo!$O$3:$O$862) + SUMIF(Consumo!$C$3:$C$862,tabItens[[#This Row],[CÓDIGO]],Consumo!$P$3:$P$862) + SUMIF(Consumo!$C$3:$C$862,tabItens[[#This Row],[CÓDIGO]],Consumo!$Q$3:$Q$862)</f>
        <v>10</v>
      </c>
      <c r="AT147" s="401">
        <f>SUMIF(Consumo!$C$3:$C$862,tabItens[[#This Row],[CÓDIGO]],Consumo!$Z$3:$Z$862)</f>
        <v>20</v>
      </c>
      <c r="AU147" s="402">
        <f>SUMIF(Consumo!$C$3:$C$862,tabItens[[#This Row],[CÓDIGO]],Consumo!$AA$3:$AA$862)</f>
        <v>10</v>
      </c>
      <c r="AV147" s="403">
        <f>SUMIF(Consumo!$C$3:$C$862,tabItens[[#This Row],[CÓDIGO]],Consumo!$Y$3:$Y$862)</f>
        <v>1.5</v>
      </c>
      <c r="AW147" s="380">
        <f>tabItens[[#This Row],[QTDE ATUAL]] + tabItens[[#This Row],[RC QTDE]] + tabItens[[#This Row],[AF SALDO]] + tabItens[[#This Row],[Recentes]]</f>
        <v>516</v>
      </c>
      <c r="AX147" s="404">
        <v>5</v>
      </c>
      <c r="AY147" s="404">
        <v>4</v>
      </c>
      <c r="AZ147" s="404">
        <f>IF(ISBLANK(tabItens[[#This Row],[CÓDIGO]]),"",tabItens[[#This Row],[PontoMês]] * (AZ$2+tabItens[[#This Row],[PontoQtM]]))</f>
        <v>20</v>
      </c>
      <c r="BA147" s="403">
        <f>tabItens[[#This Row],[PontoPed]] - tabItens[[#This Row],[Saldo]] + (1/10)</f>
        <v>-495.9</v>
      </c>
      <c r="BB147" s="403">
        <f xml:space="preserve"> tabItens[[#This Row],[PontoMês]] * BB$2 - tabItens[[#This Row],[QTDE ATUAL]] - (1/10)</f>
        <v>-511.1</v>
      </c>
      <c r="BC147" s="335">
        <f>IF( tabItens[[#This Row],[PontoPed]]&gt;0, IF(tabItens[[#This Row],[PontoPed]]&lt;1, 1, IF( tabItens[[#This Row],[Saldo]]&gt;tabItens[[#This Row],[PontoPed]], 0, (tabItens[[#This Row],[PontoPed]]-tabItens[[#This Row],[Saldo]])/tabItens[[#This Row],[PontoPed]] ) ), 0 )</f>
        <v>0</v>
      </c>
      <c r="BD147" s="405">
        <f>ROUNDDOWN(IF( OR( AND(tabItens[[#This Row],[PontoPed]]&lt;tabItens[[#This Row],[Saldo]],tabItens[[#This Row],[Saldo]]&gt;0), tabItens[[#This Row],[PontoPed]]=0), 99, IF(AND(tabItens[[#This Row],[Saldo]]=0,tabItens[[#This Row],[PontoPed]]&gt;0), 0, (1-tabItens[[#This Row],[PctAb]])*10 ) ),0)</f>
        <v>99</v>
      </c>
      <c r="BE147" s="406">
        <f>MAX(ROUNDDOWN( IF(tabItens[[#This Row],[Abaixo]] &gt; 0,   tabItens[[#This Row],[Abaixo]] + (tabItens[[#This Row],[PontoMês]] * IF( OR( ISBLANK(tabItens[[#This Row],[ATA Nº/ANO]]), tabItens[[#This Row],[ATA Nº/ANO]] = ""),BE$2,BE$1)),0),0),0)</f>
        <v>0</v>
      </c>
      <c r="BF14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7" s="338">
        <f>SUMIF(Consumo!$C$3:$C$862,tabItens[[#This Row],[CÓDIGO]],Consumo!$E$3:$E$862)</f>
        <v>0</v>
      </c>
      <c r="BH147" s="339">
        <f>IF(AND(tabItens[[#This Row],[Pend]] &gt; 0,tabItens[[#This Row],[Consumo]] &lt;&gt; 0), tabItens[[#This Row],[Pend]] / tabItens[[#This Row],[Consumo]], 0 )</f>
        <v>0</v>
      </c>
      <c r="BI147" s="338"/>
      <c r="BJ147" s="407"/>
      <c r="BK147" s="408" t="s">
        <v>2086</v>
      </c>
    </row>
    <row r="148" spans="1:63" x14ac:dyDescent="0.3">
      <c r="A148" s="375">
        <v>14754</v>
      </c>
      <c r="B148" s="376" t="s">
        <v>1072</v>
      </c>
      <c r="C148" s="377" t="s">
        <v>260</v>
      </c>
      <c r="D148" s="378">
        <v>7.58</v>
      </c>
      <c r="E148" s="305"/>
      <c r="F148" s="379"/>
      <c r="G148" s="379" t="s">
        <v>889</v>
      </c>
      <c r="H148" s="380">
        <v>61</v>
      </c>
      <c r="I148" s="307">
        <v>103003</v>
      </c>
      <c r="J148" s="308">
        <v>7.58</v>
      </c>
      <c r="K148" s="381">
        <v>25</v>
      </c>
      <c r="L148" s="382">
        <f>IF(tabItens[[#This Row],[Média]] &gt; 0, tabItens[[#This Row],[QTDE ATUAL]] / tabItens[[#This Row],[Média]],999.9)</f>
        <v>27.111111111111111</v>
      </c>
      <c r="M148" s="383">
        <v>0</v>
      </c>
      <c r="N148" s="384">
        <f>tabItens[[#This Row],[VALOR UNIT.]] * tabItens[[#This Row],[LC]]</f>
        <v>0</v>
      </c>
      <c r="O148" s="385" t="s">
        <v>2105</v>
      </c>
      <c r="P148" s="386"/>
      <c r="Q148" s="387"/>
      <c r="R148" s="312"/>
      <c r="S148" s="388"/>
      <c r="T148" s="389">
        <f>ROUNDDOWN(IFERROR(tabItens[[#This Row],[ATA DT.VALID.]] - $D$1,0) / 30,0)</f>
        <v>-1474</v>
      </c>
      <c r="U148" s="302" t="s">
        <v>1073</v>
      </c>
      <c r="V148" s="318">
        <v>1</v>
      </c>
      <c r="W148" s="390" t="s">
        <v>2077</v>
      </c>
      <c r="X148" s="391">
        <v>55</v>
      </c>
      <c r="Y148" s="392">
        <v>40</v>
      </c>
      <c r="Z148" s="393"/>
      <c r="AA148" s="394"/>
      <c r="AB148" s="395"/>
      <c r="AC148" s="395"/>
      <c r="AD148" s="394"/>
      <c r="AE148" s="395"/>
      <c r="AF148" s="317"/>
      <c r="AG148" s="396" t="s">
        <v>2072</v>
      </c>
      <c r="AH148" s="397"/>
      <c r="AI148" s="317">
        <v>10</v>
      </c>
      <c r="AJ148" s="397">
        <v>43915</v>
      </c>
      <c r="AK148" s="326" t="s">
        <v>889</v>
      </c>
      <c r="AL148" s="326">
        <v>43948</v>
      </c>
      <c r="AM148" s="316"/>
      <c r="AN148" s="305"/>
      <c r="AO148" s="327" t="str">
        <f>_xlfn.IFNA(IF(VLOOKUP(tabItens[[#This Row],[CÓDIGO]],tabExcluirDoEstoque[#Data],1,FALSE),"sim",""),"")</f>
        <v/>
      </c>
      <c r="AP148" s="398" t="str">
        <f ca="1">IF(OR(ISBLANK(tabItens[[#This Row],[ATA DT.VALID.]]),tabItens[[#This Row],[ATA DT.VALID.]]="",tabItens[[#This Row],[ATA DT.VALID.]]=" "),"",IF(TYPE(tabItens[[#This Row],[ATA DT.VALID.]])=1,ROUNDUP((tabItens[[#This Row],[ATA DT.VALID.]]-TODAY())/7,0),""))</f>
        <v/>
      </c>
      <c r="AQ148" s="399">
        <v>0</v>
      </c>
      <c r="AR148" s="400" t="str">
        <f>IF(ISBLANK(tabItens[[#This Row],[CÓDIGO]]),"",IFERROR(VLOOKUP(tabItens[[#This Row],[CÓDIGO]],Consumo!$C$2:$AC$862,26,FALSE),0))</f>
        <v>07.2023</v>
      </c>
      <c r="AS148" s="401">
        <f>SUMIF(Consumo!$C$3:$C$862,tabItens[[#This Row],[CÓDIGO]],Consumo!$N$3:$N$862) + SUMIF(Consumo!$C$3:$C$862,tabItens[[#This Row],[CÓDIGO]],Consumo!$O$3:$O$862) + SUMIF(Consumo!$C$3:$C$862,tabItens[[#This Row],[CÓDIGO]],Consumo!$P$3:$P$862) + SUMIF(Consumo!$C$3:$C$862,tabItens[[#This Row],[CÓDIGO]],Consumo!$Q$3:$Q$862)</f>
        <v>10</v>
      </c>
      <c r="AT148" s="401">
        <f>SUMIF(Consumo!$C$3:$C$862,tabItens[[#This Row],[CÓDIGO]],Consumo!$Z$3:$Z$862)</f>
        <v>30</v>
      </c>
      <c r="AU148" s="402">
        <f>SUMIF(Consumo!$C$3:$C$862,tabItens[[#This Row],[CÓDIGO]],Consumo!$AA$3:$AA$862)</f>
        <v>10</v>
      </c>
      <c r="AV148" s="403">
        <f>SUMIF(Consumo!$C$3:$C$862,tabItens[[#This Row],[CÓDIGO]],Consumo!$Y$3:$Y$862)</f>
        <v>2.25</v>
      </c>
      <c r="AW148" s="380">
        <f>tabItens[[#This Row],[QTDE ATUAL]] + tabItens[[#This Row],[RC QTDE]] + tabItens[[#This Row],[AF SALDO]] + tabItens[[#This Row],[Recentes]]</f>
        <v>61</v>
      </c>
      <c r="AX148" s="404">
        <v>13</v>
      </c>
      <c r="AY148" s="404">
        <v>4</v>
      </c>
      <c r="AZ148" s="404">
        <f>IF(ISBLANK(tabItens[[#This Row],[CÓDIGO]]),"",tabItens[[#This Row],[PontoMês]] * (AZ$2+tabItens[[#This Row],[PontoQtM]]))</f>
        <v>52</v>
      </c>
      <c r="BA148" s="403">
        <f>tabItens[[#This Row],[PontoPed]] - tabItens[[#This Row],[Saldo]] + (1/10)</f>
        <v>-8.9</v>
      </c>
      <c r="BB148" s="403">
        <f xml:space="preserve"> tabItens[[#This Row],[PontoMês]] * BB$2 - tabItens[[#This Row],[QTDE ATUAL]] - (1/10)</f>
        <v>-48.1</v>
      </c>
      <c r="BC148" s="335">
        <f>IF( tabItens[[#This Row],[PontoPed]]&gt;0, IF(tabItens[[#This Row],[PontoPed]]&lt;1, 1, IF( tabItens[[#This Row],[Saldo]]&gt;tabItens[[#This Row],[PontoPed]], 0, (tabItens[[#This Row],[PontoPed]]-tabItens[[#This Row],[Saldo]])/tabItens[[#This Row],[PontoPed]] ) ), 0 )</f>
        <v>0</v>
      </c>
      <c r="BD148" s="405">
        <f>ROUNDDOWN(IF( OR( AND(tabItens[[#This Row],[PontoPed]]&lt;tabItens[[#This Row],[Saldo]],tabItens[[#This Row],[Saldo]]&gt;0), tabItens[[#This Row],[PontoPed]]=0), 99, IF(AND(tabItens[[#This Row],[Saldo]]=0,tabItens[[#This Row],[PontoPed]]&gt;0), 0, (1-tabItens[[#This Row],[PctAb]])*10 ) ),0)</f>
        <v>99</v>
      </c>
      <c r="BE148" s="406">
        <f>MAX(ROUNDDOWN( IF(tabItens[[#This Row],[Abaixo]] &gt; 0,   tabItens[[#This Row],[Abaixo]] + (tabItens[[#This Row],[PontoMês]] * IF( OR( ISBLANK(tabItens[[#This Row],[ATA Nº/ANO]]), tabItens[[#This Row],[ATA Nº/ANO]] = ""),BE$2,BE$1)),0),0),0)</f>
        <v>0</v>
      </c>
      <c r="BF14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8" s="338">
        <f>SUMIF(Consumo!$C$3:$C$862,tabItens[[#This Row],[CÓDIGO]],Consumo!$E$3:$E$862)</f>
        <v>0</v>
      </c>
      <c r="BH148" s="339">
        <f>IF(AND(tabItens[[#This Row],[Pend]] &gt; 0,tabItens[[#This Row],[Consumo]] &lt;&gt; 0), tabItens[[#This Row],[Pend]] / tabItens[[#This Row],[Consumo]], 0 )</f>
        <v>0</v>
      </c>
      <c r="BI148" s="338"/>
      <c r="BJ148" s="407"/>
      <c r="BK148" s="408" t="s">
        <v>2086</v>
      </c>
    </row>
    <row r="149" spans="1:63" x14ac:dyDescent="0.3">
      <c r="A149" s="375">
        <v>14013</v>
      </c>
      <c r="B149" s="376" t="s">
        <v>1053</v>
      </c>
      <c r="C149" s="377" t="s">
        <v>263</v>
      </c>
      <c r="D149" s="378">
        <v>0.64</v>
      </c>
      <c r="E149" s="305"/>
      <c r="F149" s="379"/>
      <c r="G149" s="379" t="s">
        <v>889</v>
      </c>
      <c r="H149" s="380">
        <v>190</v>
      </c>
      <c r="I149" s="307">
        <v>103003</v>
      </c>
      <c r="J149" s="308">
        <v>0.64</v>
      </c>
      <c r="K149" s="381">
        <v>522</v>
      </c>
      <c r="L149" s="382">
        <f>IF(tabItens[[#This Row],[Média]] &gt; 0, tabItens[[#This Row],[QTDE ATUAL]] / tabItens[[#This Row],[Média]],999.9)</f>
        <v>3.2711621233859396</v>
      </c>
      <c r="M149" s="383">
        <v>0</v>
      </c>
      <c r="N149" s="384">
        <f>tabItens[[#This Row],[VALOR UNIT.]] * tabItens[[#This Row],[LC]]</f>
        <v>0</v>
      </c>
      <c r="O149" s="385" t="s">
        <v>2105</v>
      </c>
      <c r="P149" s="386"/>
      <c r="Q149" s="387"/>
      <c r="R149" s="312"/>
      <c r="S149" s="388"/>
      <c r="T149" s="389">
        <f>ROUNDDOWN(IFERROR(tabItens[[#This Row],[ATA DT.VALID.]] - $D$1,0) / 30,0)</f>
        <v>-1474</v>
      </c>
      <c r="U149" s="302" t="s">
        <v>1052</v>
      </c>
      <c r="V149" s="318">
        <v>1</v>
      </c>
      <c r="W149" s="390" t="s">
        <v>2077</v>
      </c>
      <c r="X149" s="391">
        <v>55</v>
      </c>
      <c r="Y149" s="392">
        <v>46</v>
      </c>
      <c r="Z149" s="393">
        <v>2546</v>
      </c>
      <c r="AA149" s="394">
        <v>2023</v>
      </c>
      <c r="AB149" s="395">
        <v>1000</v>
      </c>
      <c r="AC149" s="395"/>
      <c r="AD149" s="394"/>
      <c r="AE149" s="395"/>
      <c r="AF149" s="317"/>
      <c r="AG149" s="396" t="s">
        <v>2072</v>
      </c>
      <c r="AH149" s="397"/>
      <c r="AI149" s="317">
        <v>232</v>
      </c>
      <c r="AJ149" s="397">
        <v>44883</v>
      </c>
      <c r="AK149" s="326" t="s">
        <v>889</v>
      </c>
      <c r="AL149" s="326">
        <v>44845</v>
      </c>
      <c r="AM149" s="316"/>
      <c r="AN149" s="305"/>
      <c r="AO149" s="327" t="str">
        <f>_xlfn.IFNA(IF(VLOOKUP(tabItens[[#This Row],[CÓDIGO]],tabExcluirDoEstoque[#Data],1,FALSE),"sim",""),"")</f>
        <v/>
      </c>
      <c r="AP149" s="398" t="str">
        <f ca="1">IF(OR(ISBLANK(tabItens[[#This Row],[ATA DT.VALID.]]),tabItens[[#This Row],[ATA DT.VALID.]]="",tabItens[[#This Row],[ATA DT.VALID.]]=" "),"",IF(TYPE(tabItens[[#This Row],[ATA DT.VALID.]])=1,ROUNDUP((tabItens[[#This Row],[ATA DT.VALID.]]-TODAY())/7,0),""))</f>
        <v/>
      </c>
      <c r="AQ149" s="399">
        <v>0</v>
      </c>
      <c r="AR149" s="400" t="str">
        <f>IF(ISBLANK(tabItens[[#This Row],[CÓDIGO]]),"",IFERROR(VLOOKUP(tabItens[[#This Row],[CÓDIGO]],Consumo!$C$2:$AC$862,26,FALSE),0))</f>
        <v>09.2023</v>
      </c>
      <c r="AS149" s="401">
        <f>SUMIF(Consumo!$C$3:$C$862,tabItens[[#This Row],[CÓDIGO]],Consumo!$N$3:$N$862) + SUMIF(Consumo!$C$3:$C$862,tabItens[[#This Row],[CÓDIGO]],Consumo!$O$3:$O$862) + SUMIF(Consumo!$C$3:$C$862,tabItens[[#This Row],[CÓDIGO]],Consumo!$P$3:$P$862) + SUMIF(Consumo!$C$3:$C$862,tabItens[[#This Row],[CÓDIGO]],Consumo!$Q$3:$Q$862)</f>
        <v>300</v>
      </c>
      <c r="AT149" s="401">
        <f>SUMIF(Consumo!$C$3:$C$862,tabItens[[#This Row],[CÓDIGO]],Consumo!$Z$3:$Z$862)</f>
        <v>697</v>
      </c>
      <c r="AU149" s="402">
        <f>SUMIF(Consumo!$C$3:$C$862,tabItens[[#This Row],[CÓDIGO]],Consumo!$AA$3:$AA$862)</f>
        <v>100</v>
      </c>
      <c r="AV149" s="403">
        <f>SUMIF(Consumo!$C$3:$C$862,tabItens[[#This Row],[CÓDIGO]],Consumo!$Y$3:$Y$862)</f>
        <v>58.083333333333336</v>
      </c>
      <c r="AW149" s="380">
        <f>tabItens[[#This Row],[QTDE ATUAL]] + tabItens[[#This Row],[RC QTDE]] + tabItens[[#This Row],[AF SALDO]] + tabItens[[#This Row],[Recentes]]</f>
        <v>1190</v>
      </c>
      <c r="AX149" s="404">
        <v>76</v>
      </c>
      <c r="AY149" s="404">
        <v>4</v>
      </c>
      <c r="AZ149" s="404">
        <f>IF(ISBLANK(tabItens[[#This Row],[CÓDIGO]]),"",tabItens[[#This Row],[PontoMês]] * (AZ$2+tabItens[[#This Row],[PontoQtM]]))</f>
        <v>304</v>
      </c>
      <c r="BA149" s="403">
        <f>tabItens[[#This Row],[PontoPed]] - tabItens[[#This Row],[Saldo]] + (1/10)</f>
        <v>-885.9</v>
      </c>
      <c r="BB149" s="403">
        <f xml:space="preserve"> tabItens[[#This Row],[PontoMês]] * BB$2 - tabItens[[#This Row],[QTDE ATUAL]] - (1/10)</f>
        <v>-114.1</v>
      </c>
      <c r="BC149" s="335">
        <f>IF( tabItens[[#This Row],[PontoPed]]&gt;0, IF(tabItens[[#This Row],[PontoPed]]&lt;1, 1, IF( tabItens[[#This Row],[Saldo]]&gt;tabItens[[#This Row],[PontoPed]], 0, (tabItens[[#This Row],[PontoPed]]-tabItens[[#This Row],[Saldo]])/tabItens[[#This Row],[PontoPed]] ) ), 0 )</f>
        <v>0</v>
      </c>
      <c r="BD149" s="405">
        <f>ROUNDDOWN(IF( OR( AND(tabItens[[#This Row],[PontoPed]]&lt;tabItens[[#This Row],[Saldo]],tabItens[[#This Row],[Saldo]]&gt;0), tabItens[[#This Row],[PontoPed]]=0), 99, IF(AND(tabItens[[#This Row],[Saldo]]=0,tabItens[[#This Row],[PontoPed]]&gt;0), 0, (1-tabItens[[#This Row],[PctAb]])*10 ) ),0)</f>
        <v>99</v>
      </c>
      <c r="BE149" s="406">
        <f>MAX(ROUNDDOWN( IF(tabItens[[#This Row],[Abaixo]] &gt; 0,   tabItens[[#This Row],[Abaixo]] + (tabItens[[#This Row],[PontoMês]] * IF( OR( ISBLANK(tabItens[[#This Row],[ATA Nº/ANO]]), tabItens[[#This Row],[ATA Nº/ANO]] = ""),BE$2,BE$1)),0),0),0)</f>
        <v>0</v>
      </c>
      <c r="BF14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9" s="338">
        <f>SUMIF(Consumo!$C$3:$C$862,tabItens[[#This Row],[CÓDIGO]],Consumo!$E$3:$E$862)</f>
        <v>0</v>
      </c>
      <c r="BH149" s="339">
        <f>IF(AND(tabItens[[#This Row],[Pend]] &gt; 0,tabItens[[#This Row],[Consumo]] &lt;&gt; 0), tabItens[[#This Row],[Pend]] / tabItens[[#This Row],[Consumo]], 0 )</f>
        <v>0</v>
      </c>
      <c r="BI149" s="338"/>
      <c r="BJ149" s="407"/>
      <c r="BK149" s="408" t="s">
        <v>2086</v>
      </c>
    </row>
    <row r="150" spans="1:63" x14ac:dyDescent="0.3">
      <c r="A150" s="375">
        <v>119180</v>
      </c>
      <c r="B150" s="376" t="s">
        <v>1736</v>
      </c>
      <c r="C150" s="377" t="s">
        <v>31</v>
      </c>
      <c r="D150" s="378">
        <v>6.28</v>
      </c>
      <c r="E150" s="305"/>
      <c r="F150" s="379"/>
      <c r="G150" s="379" t="s">
        <v>889</v>
      </c>
      <c r="H150" s="380">
        <v>157</v>
      </c>
      <c r="I150" s="307">
        <v>103003</v>
      </c>
      <c r="J150" s="308">
        <v>6.28</v>
      </c>
      <c r="K150" s="381">
        <v>59</v>
      </c>
      <c r="L150" s="382">
        <f>IF(tabItens[[#This Row],[Média]] &gt; 0, tabItens[[#This Row],[QTDE ATUAL]] / tabItens[[#This Row],[Média]],999.9)</f>
        <v>33.05263157894737</v>
      </c>
      <c r="M150" s="383">
        <v>0</v>
      </c>
      <c r="N150" s="384">
        <f>tabItens[[#This Row],[VALOR UNIT.]] * tabItens[[#This Row],[LC]]</f>
        <v>0</v>
      </c>
      <c r="O150" s="385" t="s">
        <v>2162</v>
      </c>
      <c r="P150" s="386"/>
      <c r="Q150" s="387"/>
      <c r="R150" s="312"/>
      <c r="S150" s="388"/>
      <c r="T150" s="389">
        <f>ROUNDDOWN(IFERROR(tabItens[[#This Row],[ATA DT.VALID.]] - $D$1,0) / 30,0)</f>
        <v>-1474</v>
      </c>
      <c r="U150" s="302" t="s">
        <v>1687</v>
      </c>
      <c r="V150" s="318">
        <v>1</v>
      </c>
      <c r="W150" s="390" t="s">
        <v>2077</v>
      </c>
      <c r="X150" s="391">
        <v>55</v>
      </c>
      <c r="Y150" s="392">
        <v>37</v>
      </c>
      <c r="Z150" s="393"/>
      <c r="AA150" s="394"/>
      <c r="AB150" s="395"/>
      <c r="AC150" s="395"/>
      <c r="AD150" s="394"/>
      <c r="AE150" s="395"/>
      <c r="AF150" s="317"/>
      <c r="AG150" s="396" t="s">
        <v>2072</v>
      </c>
      <c r="AH150" s="397"/>
      <c r="AI150" s="317">
        <v>20</v>
      </c>
      <c r="AJ150" s="397">
        <v>41460</v>
      </c>
      <c r="AK150" s="326">
        <v>40581</v>
      </c>
      <c r="AL150" s="326">
        <v>42075</v>
      </c>
      <c r="AM150" s="316"/>
      <c r="AN150" s="305"/>
      <c r="AO150" s="327" t="str">
        <f>_xlfn.IFNA(IF(VLOOKUP(tabItens[[#This Row],[CÓDIGO]],tabExcluirDoEstoque[#Data],1,FALSE),"sim",""),"")</f>
        <v/>
      </c>
      <c r="AP150" s="398" t="str">
        <f ca="1">IF(OR(ISBLANK(tabItens[[#This Row],[ATA DT.VALID.]]),tabItens[[#This Row],[ATA DT.VALID.]]="",tabItens[[#This Row],[ATA DT.VALID.]]=" "),"",IF(TYPE(tabItens[[#This Row],[ATA DT.VALID.]])=1,ROUNDUP((tabItens[[#This Row],[ATA DT.VALID.]]-TODAY())/7,0),""))</f>
        <v/>
      </c>
      <c r="AQ150" s="399">
        <v>0</v>
      </c>
      <c r="AR150" s="400" t="str">
        <f>IF(ISBLANK(tabItens[[#This Row],[CÓDIGO]]),"",IFERROR(VLOOKUP(tabItens[[#This Row],[CÓDIGO]],Consumo!$C$2:$AC$862,26,FALSE),0))</f>
        <v>05.2023</v>
      </c>
      <c r="AS150" s="401">
        <f>SUMIF(Consumo!$C$3:$C$862,tabItens[[#This Row],[CÓDIGO]],Consumo!$N$3:$N$862) + SUMIF(Consumo!$C$3:$C$862,tabItens[[#This Row],[CÓDIGO]],Consumo!$O$3:$O$862) + SUMIF(Consumo!$C$3:$C$862,tabItens[[#This Row],[CÓDIGO]],Consumo!$P$3:$P$862) + SUMIF(Consumo!$C$3:$C$862,tabItens[[#This Row],[CÓDIGO]],Consumo!$Q$3:$Q$862)</f>
        <v>0</v>
      </c>
      <c r="AT150" s="401">
        <f>SUMIF(Consumo!$C$3:$C$862,tabItens[[#This Row],[CÓDIGO]],Consumo!$Z$3:$Z$862)</f>
        <v>59</v>
      </c>
      <c r="AU150" s="402">
        <f>SUMIF(Consumo!$C$3:$C$862,tabItens[[#This Row],[CÓDIGO]],Consumo!$AA$3:$AA$862)</f>
        <v>24</v>
      </c>
      <c r="AV150" s="403">
        <f>SUMIF(Consumo!$C$3:$C$862,tabItens[[#This Row],[CÓDIGO]],Consumo!$Y$3:$Y$862)</f>
        <v>4.75</v>
      </c>
      <c r="AW150" s="380">
        <f>tabItens[[#This Row],[QTDE ATUAL]] + tabItens[[#This Row],[RC QTDE]] + tabItens[[#This Row],[AF SALDO]] + tabItens[[#This Row],[Recentes]]</f>
        <v>157</v>
      </c>
      <c r="AX150" s="404">
        <v>5</v>
      </c>
      <c r="AY150" s="404">
        <v>4</v>
      </c>
      <c r="AZ150" s="404">
        <f>IF(ISBLANK(tabItens[[#This Row],[CÓDIGO]]),"",tabItens[[#This Row],[PontoMês]] * (AZ$2+tabItens[[#This Row],[PontoQtM]]))</f>
        <v>20</v>
      </c>
      <c r="BA150" s="403">
        <f>tabItens[[#This Row],[PontoPed]] - tabItens[[#This Row],[Saldo]] + (1/10)</f>
        <v>-136.9</v>
      </c>
      <c r="BB150" s="403">
        <f xml:space="preserve"> tabItens[[#This Row],[PontoMês]] * BB$2 - tabItens[[#This Row],[QTDE ATUAL]] - (1/10)</f>
        <v>-152.1</v>
      </c>
      <c r="BC150" s="335">
        <f>IF( tabItens[[#This Row],[PontoPed]]&gt;0, IF(tabItens[[#This Row],[PontoPed]]&lt;1, 1, IF( tabItens[[#This Row],[Saldo]]&gt;tabItens[[#This Row],[PontoPed]], 0, (tabItens[[#This Row],[PontoPed]]-tabItens[[#This Row],[Saldo]])/tabItens[[#This Row],[PontoPed]] ) ), 0 )</f>
        <v>0</v>
      </c>
      <c r="BD150" s="405">
        <f>ROUNDDOWN(IF( OR( AND(tabItens[[#This Row],[PontoPed]]&lt;tabItens[[#This Row],[Saldo]],tabItens[[#This Row],[Saldo]]&gt;0), tabItens[[#This Row],[PontoPed]]=0), 99, IF(AND(tabItens[[#This Row],[Saldo]]=0,tabItens[[#This Row],[PontoPed]]&gt;0), 0, (1-tabItens[[#This Row],[PctAb]])*10 ) ),0)</f>
        <v>99</v>
      </c>
      <c r="BE150" s="406">
        <f>MAX(ROUNDDOWN( IF(tabItens[[#This Row],[Abaixo]] &gt; 0,   tabItens[[#This Row],[Abaixo]] + (tabItens[[#This Row],[PontoMês]] * IF( OR( ISBLANK(tabItens[[#This Row],[ATA Nº/ANO]]), tabItens[[#This Row],[ATA Nº/ANO]] = ""),BE$2,BE$1)),0),0),0)</f>
        <v>0</v>
      </c>
      <c r="BF15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0" s="338">
        <f>SUMIF(Consumo!$C$3:$C$862,tabItens[[#This Row],[CÓDIGO]],Consumo!$E$3:$E$862)</f>
        <v>0</v>
      </c>
      <c r="BH150" s="339">
        <f>IF(AND(tabItens[[#This Row],[Pend]] &gt; 0,tabItens[[#This Row],[Consumo]] &lt;&gt; 0), tabItens[[#This Row],[Pend]] / tabItens[[#This Row],[Consumo]], 0 )</f>
        <v>0</v>
      </c>
      <c r="BI150" s="338"/>
      <c r="BJ150" s="407"/>
      <c r="BK150" s="408" t="s">
        <v>2086</v>
      </c>
    </row>
    <row r="151" spans="1:63" x14ac:dyDescent="0.3">
      <c r="A151" s="375">
        <v>78399</v>
      </c>
      <c r="B151" s="376" t="s">
        <v>1449</v>
      </c>
      <c r="C151" s="377" t="s">
        <v>263</v>
      </c>
      <c r="D151" s="378">
        <v>1.4</v>
      </c>
      <c r="E151" s="305"/>
      <c r="F151" s="379"/>
      <c r="G151" s="379" t="s">
        <v>889</v>
      </c>
      <c r="H151" s="380">
        <v>325</v>
      </c>
      <c r="I151" s="307">
        <v>103003</v>
      </c>
      <c r="J151" s="308">
        <v>1.4</v>
      </c>
      <c r="K151" s="381">
        <v>16</v>
      </c>
      <c r="L151" s="382">
        <f>IF(tabItens[[#This Row],[Média]] &gt; 0, tabItens[[#This Row],[QTDE ATUAL]] / tabItens[[#This Row],[Média]],999.9)</f>
        <v>300</v>
      </c>
      <c r="M151" s="383">
        <v>0</v>
      </c>
      <c r="N151" s="384">
        <f>tabItens[[#This Row],[VALOR UNIT.]] * tabItens[[#This Row],[LC]]</f>
        <v>0</v>
      </c>
      <c r="O151" s="385" t="s">
        <v>2162</v>
      </c>
      <c r="P151" s="386"/>
      <c r="Q151" s="387"/>
      <c r="R151" s="312"/>
      <c r="S151" s="388"/>
      <c r="T151" s="389">
        <f>ROUNDDOWN(IFERROR(tabItens[[#This Row],[ATA DT.VALID.]] - $D$1,0) / 30,0)</f>
        <v>-1474</v>
      </c>
      <c r="U151" s="302" t="s">
        <v>1052</v>
      </c>
      <c r="V151" s="318">
        <v>1</v>
      </c>
      <c r="W151" s="390" t="s">
        <v>2077</v>
      </c>
      <c r="X151" s="391">
        <v>55</v>
      </c>
      <c r="Y151" s="392">
        <v>46</v>
      </c>
      <c r="Z151" s="393"/>
      <c r="AA151" s="394"/>
      <c r="AB151" s="395"/>
      <c r="AC151" s="395"/>
      <c r="AD151" s="394"/>
      <c r="AE151" s="395"/>
      <c r="AF151" s="317"/>
      <c r="AG151" s="396" t="s">
        <v>2072</v>
      </c>
      <c r="AH151" s="397"/>
      <c r="AI151" s="317">
        <v>6</v>
      </c>
      <c r="AJ151" s="397">
        <v>44186</v>
      </c>
      <c r="AK151" s="326">
        <v>38096</v>
      </c>
      <c r="AL151" s="326">
        <v>44176</v>
      </c>
      <c r="AM151" s="316"/>
      <c r="AN151" s="305"/>
      <c r="AO151" s="327" t="str">
        <f>_xlfn.IFNA(IF(VLOOKUP(tabItens[[#This Row],[CÓDIGO]],tabExcluirDoEstoque[#Data],1,FALSE),"sim",""),"")</f>
        <v/>
      </c>
      <c r="AP151" s="398" t="str">
        <f ca="1">IF(OR(ISBLANK(tabItens[[#This Row],[ATA DT.VALID.]]),tabItens[[#This Row],[ATA DT.VALID.]]="",tabItens[[#This Row],[ATA DT.VALID.]]=" "),"",IF(TYPE(tabItens[[#This Row],[ATA DT.VALID.]])=1,ROUNDUP((tabItens[[#This Row],[ATA DT.VALID.]]-TODAY())/7,0),""))</f>
        <v/>
      </c>
      <c r="AQ151" s="399">
        <v>0</v>
      </c>
      <c r="AR151" s="400" t="str">
        <f>IF(ISBLANK(tabItens[[#This Row],[CÓDIGO]]),"",IFERROR(VLOOKUP(tabItens[[#This Row],[CÓDIGO]],Consumo!$C$2:$AC$862,26,FALSE),0))</f>
        <v>07.2023</v>
      </c>
      <c r="AS151" s="401">
        <f>SUMIF(Consumo!$C$3:$C$862,tabItens[[#This Row],[CÓDIGO]],Consumo!$N$3:$N$862) + SUMIF(Consumo!$C$3:$C$862,tabItens[[#This Row],[CÓDIGO]],Consumo!$O$3:$O$862) + SUMIF(Consumo!$C$3:$C$862,tabItens[[#This Row],[CÓDIGO]],Consumo!$P$3:$P$862) + SUMIF(Consumo!$C$3:$C$862,tabItens[[#This Row],[CÓDIGO]],Consumo!$Q$3:$Q$862)</f>
        <v>10</v>
      </c>
      <c r="AT151" s="401">
        <f>SUMIF(Consumo!$C$3:$C$862,tabItens[[#This Row],[CÓDIGO]],Consumo!$Z$3:$Z$862)</f>
        <v>16</v>
      </c>
      <c r="AU151" s="402">
        <f>SUMIF(Consumo!$C$3:$C$862,tabItens[[#This Row],[CÓDIGO]],Consumo!$AA$3:$AA$862)</f>
        <v>10</v>
      </c>
      <c r="AV151" s="403">
        <f>SUMIF(Consumo!$C$3:$C$862,tabItens[[#This Row],[CÓDIGO]],Consumo!$Y$3:$Y$862)</f>
        <v>1.0833333333333333</v>
      </c>
      <c r="AW151" s="380">
        <f>tabItens[[#This Row],[QTDE ATUAL]] + tabItens[[#This Row],[RC QTDE]] + tabItens[[#This Row],[AF SALDO]] + tabItens[[#This Row],[Recentes]]</f>
        <v>325</v>
      </c>
      <c r="AX151" s="404">
        <v>5</v>
      </c>
      <c r="AY151" s="404">
        <v>4</v>
      </c>
      <c r="AZ151" s="404">
        <f>IF(ISBLANK(tabItens[[#This Row],[CÓDIGO]]),"",tabItens[[#This Row],[PontoMês]] * (AZ$2+tabItens[[#This Row],[PontoQtM]]))</f>
        <v>20</v>
      </c>
      <c r="BA151" s="403">
        <f>tabItens[[#This Row],[PontoPed]] - tabItens[[#This Row],[Saldo]] + (1/10)</f>
        <v>-304.89999999999998</v>
      </c>
      <c r="BB151" s="403">
        <f xml:space="preserve"> tabItens[[#This Row],[PontoMês]] * BB$2 - tabItens[[#This Row],[QTDE ATUAL]] - (1/10)</f>
        <v>-320.10000000000002</v>
      </c>
      <c r="BC151" s="335">
        <f>IF( tabItens[[#This Row],[PontoPed]]&gt;0, IF(tabItens[[#This Row],[PontoPed]]&lt;1, 1, IF( tabItens[[#This Row],[Saldo]]&gt;tabItens[[#This Row],[PontoPed]], 0, (tabItens[[#This Row],[PontoPed]]-tabItens[[#This Row],[Saldo]])/tabItens[[#This Row],[PontoPed]] ) ), 0 )</f>
        <v>0</v>
      </c>
      <c r="BD151" s="405">
        <f>ROUNDDOWN(IF( OR( AND(tabItens[[#This Row],[PontoPed]]&lt;tabItens[[#This Row],[Saldo]],tabItens[[#This Row],[Saldo]]&gt;0), tabItens[[#This Row],[PontoPed]]=0), 99, IF(AND(tabItens[[#This Row],[Saldo]]=0,tabItens[[#This Row],[PontoPed]]&gt;0), 0, (1-tabItens[[#This Row],[PctAb]])*10 ) ),0)</f>
        <v>99</v>
      </c>
      <c r="BE151" s="406">
        <f>MAX(ROUNDDOWN( IF(tabItens[[#This Row],[Abaixo]] &gt; 0,   tabItens[[#This Row],[Abaixo]] + (tabItens[[#This Row],[PontoMês]] * IF( OR( ISBLANK(tabItens[[#This Row],[ATA Nº/ANO]]), tabItens[[#This Row],[ATA Nº/ANO]] = ""),BE$2,BE$1)),0),0),0)</f>
        <v>0</v>
      </c>
      <c r="BF15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1" s="338">
        <f>SUMIF(Consumo!$C$3:$C$862,tabItens[[#This Row],[CÓDIGO]],Consumo!$E$3:$E$862)</f>
        <v>0</v>
      </c>
      <c r="BH151" s="339">
        <f>IF(AND(tabItens[[#This Row],[Pend]] &gt; 0,tabItens[[#This Row],[Consumo]] &lt;&gt; 0), tabItens[[#This Row],[Pend]] / tabItens[[#This Row],[Consumo]], 0 )</f>
        <v>0</v>
      </c>
      <c r="BI151" s="338"/>
      <c r="BJ151" s="407"/>
      <c r="BK151" s="408" t="s">
        <v>2086</v>
      </c>
    </row>
    <row r="152" spans="1:63" x14ac:dyDescent="0.3">
      <c r="A152" s="375">
        <v>57900</v>
      </c>
      <c r="B152" s="376" t="s">
        <v>1334</v>
      </c>
      <c r="C152" s="377" t="s">
        <v>287</v>
      </c>
      <c r="D152" s="378">
        <v>366.6</v>
      </c>
      <c r="E152" s="305"/>
      <c r="F152" s="379"/>
      <c r="G152" s="379" t="s">
        <v>889</v>
      </c>
      <c r="H152" s="380">
        <v>30</v>
      </c>
      <c r="I152" s="307">
        <v>103003</v>
      </c>
      <c r="J152" s="308">
        <v>366.6</v>
      </c>
      <c r="K152" s="381">
        <v>27</v>
      </c>
      <c r="L152" s="382">
        <f>IF(tabItens[[#This Row],[Média]] &gt; 0, tabItens[[#This Row],[QTDE ATUAL]] / tabItens[[#This Row],[Média]],999.9)</f>
        <v>13.333333333333334</v>
      </c>
      <c r="M152" s="383">
        <v>0</v>
      </c>
      <c r="N152" s="384">
        <f>tabItens[[#This Row],[VALOR UNIT.]] * tabItens[[#This Row],[LC]]</f>
        <v>0</v>
      </c>
      <c r="O152" s="385" t="s">
        <v>2148</v>
      </c>
      <c r="P152" s="386"/>
      <c r="Q152" s="387"/>
      <c r="R152" s="312"/>
      <c r="S152" s="388"/>
      <c r="T152" s="389">
        <f>ROUNDDOWN(IFERROR(tabItens[[#This Row],[ATA DT.VALID.]] - $D$1,0) / 30,0)</f>
        <v>-1474</v>
      </c>
      <c r="U152" s="302" t="s">
        <v>1335</v>
      </c>
      <c r="V152" s="318">
        <v>1</v>
      </c>
      <c r="W152" s="390" t="s">
        <v>2075</v>
      </c>
      <c r="X152" s="391">
        <v>76</v>
      </c>
      <c r="Y152" s="392">
        <v>8</v>
      </c>
      <c r="Z152" s="393"/>
      <c r="AA152" s="394"/>
      <c r="AB152" s="395"/>
      <c r="AC152" s="395"/>
      <c r="AD152" s="394"/>
      <c r="AE152" s="395"/>
      <c r="AF152" s="317"/>
      <c r="AG152" s="396" t="s">
        <v>2072</v>
      </c>
      <c r="AH152" s="397"/>
      <c r="AI152" s="317">
        <v>10</v>
      </c>
      <c r="AJ152" s="397">
        <v>45208</v>
      </c>
      <c r="AK152" s="326" t="s">
        <v>889</v>
      </c>
      <c r="AL152" s="326">
        <v>45181</v>
      </c>
      <c r="AM152" s="316"/>
      <c r="AN152" s="305"/>
      <c r="AO152" s="327" t="str">
        <f>_xlfn.IFNA(IF(VLOOKUP(tabItens[[#This Row],[CÓDIGO]],tabExcluirDoEstoque[#Data],1,FALSE),"sim",""),"")</f>
        <v/>
      </c>
      <c r="AP152" s="398" t="str">
        <f ca="1">IF(OR(ISBLANK(tabItens[[#This Row],[ATA DT.VALID.]]),tabItens[[#This Row],[ATA DT.VALID.]]="",tabItens[[#This Row],[ATA DT.VALID.]]=" "),"",IF(TYPE(tabItens[[#This Row],[ATA DT.VALID.]])=1,ROUNDUP((tabItens[[#This Row],[ATA DT.VALID.]]-TODAY())/7,0),""))</f>
        <v/>
      </c>
      <c r="AQ152" s="399">
        <v>0</v>
      </c>
      <c r="AR152" s="400" t="str">
        <f>IF(ISBLANK(tabItens[[#This Row],[CÓDIGO]]),"",IFERROR(VLOOKUP(tabItens[[#This Row],[CÓDIGO]],Consumo!$C$2:$AC$862,26,FALSE),0))</f>
        <v>04.2023</v>
      </c>
      <c r="AS152" s="401">
        <f>SUMIF(Consumo!$C$3:$C$862,tabItens[[#This Row],[CÓDIGO]],Consumo!$N$3:$N$862) + SUMIF(Consumo!$C$3:$C$862,tabItens[[#This Row],[CÓDIGO]],Consumo!$O$3:$O$862) + SUMIF(Consumo!$C$3:$C$862,tabItens[[#This Row],[CÓDIGO]],Consumo!$P$3:$P$862) + SUMIF(Consumo!$C$3:$C$862,tabItens[[#This Row],[CÓDIGO]],Consumo!$Q$3:$Q$862)</f>
        <v>0</v>
      </c>
      <c r="AT152" s="401">
        <f>SUMIF(Consumo!$C$3:$C$862,tabItens[[#This Row],[CÓDIGO]],Consumo!$Z$3:$Z$862)</f>
        <v>29</v>
      </c>
      <c r="AU152" s="402">
        <f>SUMIF(Consumo!$C$3:$C$862,tabItens[[#This Row],[CÓDIGO]],Consumo!$AA$3:$AA$862)</f>
        <v>10</v>
      </c>
      <c r="AV152" s="403">
        <f>SUMIF(Consumo!$C$3:$C$862,tabItens[[#This Row],[CÓDIGO]],Consumo!$Y$3:$Y$862)</f>
        <v>2.25</v>
      </c>
      <c r="AW152" s="380">
        <f>tabItens[[#This Row],[QTDE ATUAL]] + tabItens[[#This Row],[RC QTDE]] + tabItens[[#This Row],[AF SALDO]] + tabItens[[#This Row],[Recentes]]</f>
        <v>30</v>
      </c>
      <c r="AX152" s="404">
        <v>3</v>
      </c>
      <c r="AY152" s="404">
        <v>4</v>
      </c>
      <c r="AZ152" s="404">
        <f>IF(ISBLANK(tabItens[[#This Row],[CÓDIGO]]),"",tabItens[[#This Row],[PontoMês]] * (AZ$2+tabItens[[#This Row],[PontoQtM]]))</f>
        <v>12</v>
      </c>
      <c r="BA152" s="403">
        <f>tabItens[[#This Row],[PontoPed]] - tabItens[[#This Row],[Saldo]] + (1/10)</f>
        <v>-17.899999999999999</v>
      </c>
      <c r="BB152" s="403">
        <f xml:space="preserve"> tabItens[[#This Row],[PontoMês]] * BB$2 - tabItens[[#This Row],[QTDE ATUAL]] - (1/10)</f>
        <v>-27.1</v>
      </c>
      <c r="BC152" s="335">
        <f>IF( tabItens[[#This Row],[PontoPed]]&gt;0, IF(tabItens[[#This Row],[PontoPed]]&lt;1, 1, IF( tabItens[[#This Row],[Saldo]]&gt;tabItens[[#This Row],[PontoPed]], 0, (tabItens[[#This Row],[PontoPed]]-tabItens[[#This Row],[Saldo]])/tabItens[[#This Row],[PontoPed]] ) ), 0 )</f>
        <v>0</v>
      </c>
      <c r="BD152" s="405">
        <f>ROUNDDOWN(IF( OR( AND(tabItens[[#This Row],[PontoPed]]&lt;tabItens[[#This Row],[Saldo]],tabItens[[#This Row],[Saldo]]&gt;0), tabItens[[#This Row],[PontoPed]]=0), 99, IF(AND(tabItens[[#This Row],[Saldo]]=0,tabItens[[#This Row],[PontoPed]]&gt;0), 0, (1-tabItens[[#This Row],[PctAb]])*10 ) ),0)</f>
        <v>99</v>
      </c>
      <c r="BE152" s="406">
        <f>MAX(ROUNDDOWN( IF(tabItens[[#This Row],[Abaixo]] &gt; 0,   tabItens[[#This Row],[Abaixo]] + (tabItens[[#This Row],[PontoMês]] * IF( OR( ISBLANK(tabItens[[#This Row],[ATA Nº/ANO]]), tabItens[[#This Row],[ATA Nº/ANO]] = ""),BE$2,BE$1)),0),0),0)</f>
        <v>0</v>
      </c>
      <c r="BF15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2" s="338">
        <f>SUMIF(Consumo!$C$3:$C$862,tabItens[[#This Row],[CÓDIGO]],Consumo!$E$3:$E$862)</f>
        <v>1</v>
      </c>
      <c r="BH152" s="339">
        <f>IF(AND(tabItens[[#This Row],[Pend]] &gt; 0,tabItens[[#This Row],[Consumo]] &lt;&gt; 0), tabItens[[#This Row],[Pend]] / tabItens[[#This Row],[Consumo]], 0 )</f>
        <v>3.4482758620689655E-2</v>
      </c>
      <c r="BI152" s="338"/>
      <c r="BJ152" s="407"/>
      <c r="BK152" s="408" t="s">
        <v>2086</v>
      </c>
    </row>
    <row r="153" spans="1:63" x14ac:dyDescent="0.3">
      <c r="A153" s="375">
        <v>119554</v>
      </c>
      <c r="B153" s="376" t="s">
        <v>1740</v>
      </c>
      <c r="C153" s="377" t="s">
        <v>727</v>
      </c>
      <c r="D153" s="378">
        <v>482.5</v>
      </c>
      <c r="E153" s="305"/>
      <c r="F153" s="379"/>
      <c r="G153" s="379" t="s">
        <v>889</v>
      </c>
      <c r="H153" s="380">
        <v>146</v>
      </c>
      <c r="I153" s="307">
        <v>103003</v>
      </c>
      <c r="J153" s="308">
        <v>482.5</v>
      </c>
      <c r="K153" s="381">
        <v>168</v>
      </c>
      <c r="L153" s="382">
        <f>IF(tabItens[[#This Row],[Média]] &gt; 0, tabItens[[#This Row],[QTDE ATUAL]] / tabItens[[#This Row],[Média]],999.9)</f>
        <v>10.428571428571429</v>
      </c>
      <c r="M153" s="383">
        <v>0</v>
      </c>
      <c r="N153" s="384">
        <f>tabItens[[#This Row],[VALOR UNIT.]] * tabItens[[#This Row],[LC]]</f>
        <v>0</v>
      </c>
      <c r="O153" s="385" t="s">
        <v>2189</v>
      </c>
      <c r="P153" s="386"/>
      <c r="Q153" s="387"/>
      <c r="R153" s="312"/>
      <c r="S153" s="388"/>
      <c r="T153" s="389">
        <f>ROUNDDOWN(IFERROR(tabItens[[#This Row],[ATA DT.VALID.]] - $D$1,0) / 30,0)</f>
        <v>-1474</v>
      </c>
      <c r="U153" s="302" t="s">
        <v>1210</v>
      </c>
      <c r="V153" s="318">
        <v>1</v>
      </c>
      <c r="W153" s="390" t="s">
        <v>2079</v>
      </c>
      <c r="X153" s="391">
        <v>74</v>
      </c>
      <c r="Y153" s="392">
        <v>9</v>
      </c>
      <c r="Z153" s="393"/>
      <c r="AA153" s="394"/>
      <c r="AB153" s="395"/>
      <c r="AC153" s="395"/>
      <c r="AD153" s="394"/>
      <c r="AE153" s="395"/>
      <c r="AF153" s="317"/>
      <c r="AG153" s="396" t="s">
        <v>2072</v>
      </c>
      <c r="AH153" s="397"/>
      <c r="AI153" s="317">
        <v>56</v>
      </c>
      <c r="AJ153" s="397">
        <v>44545</v>
      </c>
      <c r="AK153" s="326">
        <v>40632</v>
      </c>
      <c r="AL153" s="326">
        <v>44539</v>
      </c>
      <c r="AM153" s="316"/>
      <c r="AN153" s="305"/>
      <c r="AO153" s="327" t="str">
        <f>_xlfn.IFNA(IF(VLOOKUP(tabItens[[#This Row],[CÓDIGO]],tabExcluirDoEstoque[#Data],1,FALSE),"sim",""),"")</f>
        <v/>
      </c>
      <c r="AP153" s="398" t="str">
        <f ca="1">IF(OR(ISBLANK(tabItens[[#This Row],[ATA DT.VALID.]]),tabItens[[#This Row],[ATA DT.VALID.]]="",tabItens[[#This Row],[ATA DT.VALID.]]=" "),"",IF(TYPE(tabItens[[#This Row],[ATA DT.VALID.]])=1,ROUNDUP((tabItens[[#This Row],[ATA DT.VALID.]]-TODAY())/7,0),""))</f>
        <v/>
      </c>
      <c r="AQ153" s="399">
        <v>0</v>
      </c>
      <c r="AR153" s="400" t="str">
        <f>IF(ISBLANK(tabItens[[#This Row],[CÓDIGO]]),"",IFERROR(VLOOKUP(tabItens[[#This Row],[CÓDIGO]],Consumo!$C$2:$AC$862,26,FALSE),0))</f>
        <v>09.2023</v>
      </c>
      <c r="AS153" s="401">
        <f>SUMIF(Consumo!$C$3:$C$862,tabItens[[#This Row],[CÓDIGO]],Consumo!$N$3:$N$862) + SUMIF(Consumo!$C$3:$C$862,tabItens[[#This Row],[CÓDIGO]],Consumo!$O$3:$O$862) + SUMIF(Consumo!$C$3:$C$862,tabItens[[#This Row],[CÓDIGO]],Consumo!$P$3:$P$862) + SUMIF(Consumo!$C$3:$C$862,tabItens[[#This Row],[CÓDIGO]],Consumo!$Q$3:$Q$862)</f>
        <v>84</v>
      </c>
      <c r="AT153" s="401">
        <f>SUMIF(Consumo!$C$3:$C$862,tabItens[[#This Row],[CÓDIGO]],Consumo!$Z$3:$Z$862)</f>
        <v>168</v>
      </c>
      <c r="AU153" s="402">
        <f>SUMIF(Consumo!$C$3:$C$862,tabItens[[#This Row],[CÓDIGO]],Consumo!$AA$3:$AA$862)</f>
        <v>42</v>
      </c>
      <c r="AV153" s="403">
        <f>SUMIF(Consumo!$C$3:$C$862,tabItens[[#This Row],[CÓDIGO]],Consumo!$Y$3:$Y$862)</f>
        <v>14</v>
      </c>
      <c r="AW153" s="380">
        <f>tabItens[[#This Row],[QTDE ATUAL]] + tabItens[[#This Row],[RC QTDE]] + tabItens[[#This Row],[AF SALDO]] + tabItens[[#This Row],[Recentes]]</f>
        <v>146</v>
      </c>
      <c r="AX153" s="404">
        <v>9</v>
      </c>
      <c r="AY153" s="404">
        <v>4</v>
      </c>
      <c r="AZ153" s="404">
        <f>IF(ISBLANK(tabItens[[#This Row],[CÓDIGO]]),"",tabItens[[#This Row],[PontoMês]] * (AZ$2+tabItens[[#This Row],[PontoQtM]]))</f>
        <v>36</v>
      </c>
      <c r="BA153" s="403">
        <f>tabItens[[#This Row],[PontoPed]] - tabItens[[#This Row],[Saldo]] + (1/10)</f>
        <v>-109.9</v>
      </c>
      <c r="BB153" s="403">
        <f xml:space="preserve"> tabItens[[#This Row],[PontoMês]] * BB$2 - tabItens[[#This Row],[QTDE ATUAL]] - (1/10)</f>
        <v>-137.1</v>
      </c>
      <c r="BC153" s="335">
        <f>IF( tabItens[[#This Row],[PontoPed]]&gt;0, IF(tabItens[[#This Row],[PontoPed]]&lt;1, 1, IF( tabItens[[#This Row],[Saldo]]&gt;tabItens[[#This Row],[PontoPed]], 0, (tabItens[[#This Row],[PontoPed]]-tabItens[[#This Row],[Saldo]])/tabItens[[#This Row],[PontoPed]] ) ), 0 )</f>
        <v>0</v>
      </c>
      <c r="BD153" s="405">
        <f>ROUNDDOWN(IF( OR( AND(tabItens[[#This Row],[PontoPed]]&lt;tabItens[[#This Row],[Saldo]],tabItens[[#This Row],[Saldo]]&gt;0), tabItens[[#This Row],[PontoPed]]=0), 99, IF(AND(tabItens[[#This Row],[Saldo]]=0,tabItens[[#This Row],[PontoPed]]&gt;0), 0, (1-tabItens[[#This Row],[PctAb]])*10 ) ),0)</f>
        <v>99</v>
      </c>
      <c r="BE153" s="406">
        <f>MAX(ROUNDDOWN( IF(tabItens[[#This Row],[Abaixo]] &gt; 0,   tabItens[[#This Row],[Abaixo]] + (tabItens[[#This Row],[PontoMês]] * IF( OR( ISBLANK(tabItens[[#This Row],[ATA Nº/ANO]]), tabItens[[#This Row],[ATA Nº/ANO]] = ""),BE$2,BE$1)),0),0),0)</f>
        <v>0</v>
      </c>
      <c r="BF15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3" s="338">
        <f>SUMIF(Consumo!$C$3:$C$862,tabItens[[#This Row],[CÓDIGO]],Consumo!$E$3:$E$862)</f>
        <v>0</v>
      </c>
      <c r="BH153" s="339">
        <f>IF(AND(tabItens[[#This Row],[Pend]] &gt; 0,tabItens[[#This Row],[Consumo]] &lt;&gt; 0), tabItens[[#This Row],[Pend]] / tabItens[[#This Row],[Consumo]], 0 )</f>
        <v>0</v>
      </c>
      <c r="BI153" s="338"/>
      <c r="BJ153" s="407"/>
      <c r="BK153" s="408" t="s">
        <v>2086</v>
      </c>
    </row>
    <row r="154" spans="1:63" x14ac:dyDescent="0.3">
      <c r="A154" s="375">
        <v>119621</v>
      </c>
      <c r="B154" s="376" t="s">
        <v>1743</v>
      </c>
      <c r="C154" s="377" t="s">
        <v>727</v>
      </c>
      <c r="D154" s="378">
        <v>284.83</v>
      </c>
      <c r="E154" s="305"/>
      <c r="F154" s="379"/>
      <c r="G154" s="379" t="s">
        <v>889</v>
      </c>
      <c r="H154" s="380">
        <v>100</v>
      </c>
      <c r="I154" s="307">
        <v>103003</v>
      </c>
      <c r="J154" s="308">
        <v>284.83</v>
      </c>
      <c r="K154" s="381">
        <v>495</v>
      </c>
      <c r="L154" s="382">
        <f>IF(tabItens[[#This Row],[Média]] &gt; 0, tabItens[[#This Row],[QTDE ATUAL]] / tabItens[[#This Row],[Média]],999.9)</f>
        <v>2.2429906542056073</v>
      </c>
      <c r="M154" s="383">
        <v>0</v>
      </c>
      <c r="N154" s="384">
        <f>tabItens[[#This Row],[VALOR UNIT.]] * tabItens[[#This Row],[LC]]</f>
        <v>0</v>
      </c>
      <c r="O154" s="385" t="s">
        <v>2189</v>
      </c>
      <c r="P154" s="386"/>
      <c r="Q154" s="387"/>
      <c r="R154" s="312"/>
      <c r="S154" s="388"/>
      <c r="T154" s="389">
        <f>ROUNDDOWN(IFERROR(tabItens[[#This Row],[ATA DT.VALID.]] - $D$1,0) / 30,0)</f>
        <v>-1474</v>
      </c>
      <c r="U154" s="302" t="s">
        <v>1210</v>
      </c>
      <c r="V154" s="318">
        <v>1</v>
      </c>
      <c r="W154" s="390" t="s">
        <v>2079</v>
      </c>
      <c r="X154" s="391">
        <v>74</v>
      </c>
      <c r="Y154" s="392">
        <v>9</v>
      </c>
      <c r="Z154" s="393"/>
      <c r="AA154" s="394"/>
      <c r="AB154" s="395"/>
      <c r="AC154" s="395"/>
      <c r="AD154" s="394"/>
      <c r="AE154" s="395"/>
      <c r="AF154" s="317"/>
      <c r="AG154" s="396" t="s">
        <v>2072</v>
      </c>
      <c r="AH154" s="397"/>
      <c r="AI154" s="317">
        <v>190</v>
      </c>
      <c r="AJ154" s="397">
        <v>44244</v>
      </c>
      <c r="AK154" s="326">
        <v>40641</v>
      </c>
      <c r="AL154" s="326">
        <v>45210</v>
      </c>
      <c r="AM154" s="316"/>
      <c r="AN154" s="305"/>
      <c r="AO154" s="327" t="str">
        <f>_xlfn.IFNA(IF(VLOOKUP(tabItens[[#This Row],[CÓDIGO]],tabExcluirDoEstoque[#Data],1,FALSE),"sim",""),"")</f>
        <v/>
      </c>
      <c r="AP154" s="398" t="str">
        <f ca="1">IF(OR(ISBLANK(tabItens[[#This Row],[ATA DT.VALID.]]),tabItens[[#This Row],[ATA DT.VALID.]]="",tabItens[[#This Row],[ATA DT.VALID.]]=" "),"",IF(TYPE(tabItens[[#This Row],[ATA DT.VALID.]])=1,ROUNDUP((tabItens[[#This Row],[ATA DT.VALID.]]-TODAY())/7,0),""))</f>
        <v/>
      </c>
      <c r="AQ154" s="399">
        <v>0</v>
      </c>
      <c r="AR154" s="400" t="str">
        <f>IF(ISBLANK(tabItens[[#This Row],[CÓDIGO]]),"",IFERROR(VLOOKUP(tabItens[[#This Row],[CÓDIGO]],Consumo!$C$2:$AC$862,26,FALSE),0))</f>
        <v>08.2023</v>
      </c>
      <c r="AS154" s="401">
        <f>SUMIF(Consumo!$C$3:$C$862,tabItens[[#This Row],[CÓDIGO]],Consumo!$N$3:$N$862) + SUMIF(Consumo!$C$3:$C$862,tabItens[[#This Row],[CÓDIGO]],Consumo!$O$3:$O$862) + SUMIF(Consumo!$C$3:$C$862,tabItens[[#This Row],[CÓDIGO]],Consumo!$P$3:$P$862) + SUMIF(Consumo!$C$3:$C$862,tabItens[[#This Row],[CÓDIGO]],Consumo!$Q$3:$Q$862)</f>
        <v>228</v>
      </c>
      <c r="AT154" s="401">
        <f>SUMIF(Consumo!$C$3:$C$862,tabItens[[#This Row],[CÓDIGO]],Consumo!$Z$3:$Z$862)</f>
        <v>570</v>
      </c>
      <c r="AU154" s="402">
        <f>SUMIF(Consumo!$C$3:$C$862,tabItens[[#This Row],[CÓDIGO]],Consumo!$AA$3:$AA$862)</f>
        <v>198</v>
      </c>
      <c r="AV154" s="403">
        <f>SUMIF(Consumo!$C$3:$C$862,tabItens[[#This Row],[CÓDIGO]],Consumo!$Y$3:$Y$862)</f>
        <v>44.583333333333336</v>
      </c>
      <c r="AW154" s="380">
        <f>tabItens[[#This Row],[QTDE ATUAL]] + tabItens[[#This Row],[RC QTDE]] + tabItens[[#This Row],[AF SALDO]] + tabItens[[#This Row],[Recentes]]</f>
        <v>100</v>
      </c>
      <c r="AX154" s="404">
        <v>125</v>
      </c>
      <c r="AY154" s="404">
        <v>4</v>
      </c>
      <c r="AZ154" s="404">
        <f>IF(ISBLANK(tabItens[[#This Row],[CÓDIGO]]),"",tabItens[[#This Row],[PontoMês]] * (AZ$2+tabItens[[#This Row],[PontoQtM]]))</f>
        <v>500</v>
      </c>
      <c r="BA154" s="403">
        <f>tabItens[[#This Row],[PontoPed]] - tabItens[[#This Row],[Saldo]] + (1/10)</f>
        <v>400.1</v>
      </c>
      <c r="BB154" s="403">
        <f xml:space="preserve"> tabItens[[#This Row],[PontoMês]] * BB$2 - tabItens[[#This Row],[QTDE ATUAL]] - (1/10)</f>
        <v>24.9</v>
      </c>
      <c r="BC154" s="335">
        <f>IF( tabItens[[#This Row],[PontoPed]]&gt;0, IF(tabItens[[#This Row],[PontoPed]]&lt;1, 1, IF( tabItens[[#This Row],[Saldo]]&gt;tabItens[[#This Row],[PontoPed]], 0, (tabItens[[#This Row],[PontoPed]]-tabItens[[#This Row],[Saldo]])/tabItens[[#This Row],[PontoPed]] ) ), 0 )</f>
        <v>0.8</v>
      </c>
      <c r="BD154" s="405">
        <f>ROUNDDOWN(IF( OR( AND(tabItens[[#This Row],[PontoPed]]&lt;tabItens[[#This Row],[Saldo]],tabItens[[#This Row],[Saldo]]&gt;0), tabItens[[#This Row],[PontoPed]]=0), 99, IF(AND(tabItens[[#This Row],[Saldo]]=0,tabItens[[#This Row],[PontoPed]]&gt;0), 0, (1-tabItens[[#This Row],[PctAb]])*10 ) ),0)</f>
        <v>2</v>
      </c>
      <c r="BE154" s="406">
        <f>MAX(ROUNDDOWN( IF(tabItens[[#This Row],[Abaixo]] &gt; 0,   tabItens[[#This Row],[Abaixo]] + (tabItens[[#This Row],[PontoMês]] * IF( OR( ISBLANK(tabItens[[#This Row],[ATA Nº/ANO]]), tabItens[[#This Row],[ATA Nº/ANO]] = ""),BE$2,BE$1)),0),0),0)</f>
        <v>775</v>
      </c>
      <c r="BF15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4" s="338">
        <f>SUMIF(Consumo!$C$3:$C$862,tabItens[[#This Row],[CÓDIGO]],Consumo!$E$3:$E$862)</f>
        <v>0</v>
      </c>
      <c r="BH154" s="339">
        <f>IF(AND(tabItens[[#This Row],[Pend]] &gt; 0,tabItens[[#This Row],[Consumo]] &lt;&gt; 0), tabItens[[#This Row],[Pend]] / tabItens[[#This Row],[Consumo]], 0 )</f>
        <v>0</v>
      </c>
      <c r="BI154" s="338"/>
      <c r="BJ154" s="407"/>
      <c r="BK154" s="408" t="s">
        <v>2086</v>
      </c>
    </row>
    <row r="155" spans="1:63" x14ac:dyDescent="0.3">
      <c r="A155" s="375">
        <v>78181</v>
      </c>
      <c r="B155" s="376" t="s">
        <v>1443</v>
      </c>
      <c r="C155" s="377" t="s">
        <v>653</v>
      </c>
      <c r="D155" s="378">
        <v>7</v>
      </c>
      <c r="E155" s="305"/>
      <c r="F155" s="379"/>
      <c r="G155" s="379" t="s">
        <v>889</v>
      </c>
      <c r="H155" s="380">
        <v>188</v>
      </c>
      <c r="I155" s="307">
        <v>103003</v>
      </c>
      <c r="J155" s="308">
        <v>7</v>
      </c>
      <c r="K155" s="381">
        <v>50</v>
      </c>
      <c r="L155" s="382">
        <f>IF(tabItens[[#This Row],[Média]] &gt; 0, tabItens[[#This Row],[QTDE ATUAL]] / tabItens[[#This Row],[Média]],999.9)</f>
        <v>20.142857142857142</v>
      </c>
      <c r="M155" s="383">
        <v>0</v>
      </c>
      <c r="N155" s="384">
        <f>tabItens[[#This Row],[VALOR UNIT.]] * tabItens[[#This Row],[LC]]</f>
        <v>0</v>
      </c>
      <c r="O155" s="385" t="s">
        <v>2161</v>
      </c>
      <c r="P155" s="386"/>
      <c r="Q155" s="387"/>
      <c r="R155" s="312"/>
      <c r="S155" s="388"/>
      <c r="T155" s="389">
        <f>ROUNDDOWN(IFERROR(tabItens[[#This Row],[ATA DT.VALID.]] - $D$1,0) / 30,0)</f>
        <v>-1474</v>
      </c>
      <c r="U155" s="302" t="s">
        <v>1444</v>
      </c>
      <c r="V155" s="318">
        <v>1</v>
      </c>
      <c r="W155" s="390" t="s">
        <v>2073</v>
      </c>
      <c r="X155" s="391">
        <v>72</v>
      </c>
      <c r="Y155" s="392">
        <v>8</v>
      </c>
      <c r="Z155" s="393"/>
      <c r="AA155" s="394"/>
      <c r="AB155" s="395"/>
      <c r="AC155" s="395"/>
      <c r="AD155" s="394"/>
      <c r="AE155" s="395"/>
      <c r="AF155" s="317"/>
      <c r="AG155" s="396" t="s">
        <v>2072</v>
      </c>
      <c r="AH155" s="397"/>
      <c r="AI155" s="317">
        <v>16</v>
      </c>
      <c r="AJ155" s="397">
        <v>45153</v>
      </c>
      <c r="AK155" s="326">
        <v>38079</v>
      </c>
      <c r="AL155" s="326">
        <v>45133</v>
      </c>
      <c r="AM155" s="316"/>
      <c r="AN155" s="305"/>
      <c r="AO155" s="327" t="str">
        <f>_xlfn.IFNA(IF(VLOOKUP(tabItens[[#This Row],[CÓDIGO]],tabExcluirDoEstoque[#Data],1,FALSE),"sim",""),"")</f>
        <v/>
      </c>
      <c r="AP155" s="398" t="str">
        <f ca="1">IF(OR(ISBLANK(tabItens[[#This Row],[ATA DT.VALID.]]),tabItens[[#This Row],[ATA DT.VALID.]]="",tabItens[[#This Row],[ATA DT.VALID.]]=" "),"",IF(TYPE(tabItens[[#This Row],[ATA DT.VALID.]])=1,ROUNDUP((tabItens[[#This Row],[ATA DT.VALID.]]-TODAY())/7,0),""))</f>
        <v/>
      </c>
      <c r="AQ155" s="399">
        <v>0</v>
      </c>
      <c r="AR155" s="400" t="str">
        <f>IF(ISBLANK(tabItens[[#This Row],[CÓDIGO]]),"",IFERROR(VLOOKUP(tabItens[[#This Row],[CÓDIGO]],Consumo!$C$2:$AC$862,26,FALSE),0))</f>
        <v>09.2023</v>
      </c>
      <c r="AS155" s="401">
        <f>SUMIF(Consumo!$C$3:$C$862,tabItens[[#This Row],[CÓDIGO]],Consumo!$N$3:$N$862) + SUMIF(Consumo!$C$3:$C$862,tabItens[[#This Row],[CÓDIGO]],Consumo!$O$3:$O$862) + SUMIF(Consumo!$C$3:$C$862,tabItens[[#This Row],[CÓDIGO]],Consumo!$P$3:$P$862) + SUMIF(Consumo!$C$3:$C$862,tabItens[[#This Row],[CÓDIGO]],Consumo!$Q$3:$Q$862)</f>
        <v>12</v>
      </c>
      <c r="AT155" s="401">
        <f>SUMIF(Consumo!$C$3:$C$862,tabItens[[#This Row],[CÓDIGO]],Consumo!$Z$3:$Z$862)</f>
        <v>112</v>
      </c>
      <c r="AU155" s="402">
        <f>SUMIF(Consumo!$C$3:$C$862,tabItens[[#This Row],[CÓDIGO]],Consumo!$AA$3:$AA$862)</f>
        <v>19</v>
      </c>
      <c r="AV155" s="403">
        <f>SUMIF(Consumo!$C$3:$C$862,tabItens[[#This Row],[CÓDIGO]],Consumo!$Y$3:$Y$862)</f>
        <v>9.3333333333333339</v>
      </c>
      <c r="AW155" s="380">
        <f>tabItens[[#This Row],[QTDE ATUAL]] + tabItens[[#This Row],[RC QTDE]] + tabItens[[#This Row],[AF SALDO]] + tabItens[[#This Row],[Recentes]]</f>
        <v>188</v>
      </c>
      <c r="AX155" s="404">
        <v>18</v>
      </c>
      <c r="AY155" s="404">
        <v>4</v>
      </c>
      <c r="AZ155" s="404">
        <f>IF(ISBLANK(tabItens[[#This Row],[CÓDIGO]]),"",tabItens[[#This Row],[PontoMês]] * (AZ$2+tabItens[[#This Row],[PontoQtM]]))</f>
        <v>72</v>
      </c>
      <c r="BA155" s="403">
        <f>tabItens[[#This Row],[PontoPed]] - tabItens[[#This Row],[Saldo]] + (1/10)</f>
        <v>-115.9</v>
      </c>
      <c r="BB155" s="403">
        <f xml:space="preserve"> tabItens[[#This Row],[PontoMês]] * BB$2 - tabItens[[#This Row],[QTDE ATUAL]] - (1/10)</f>
        <v>-170.1</v>
      </c>
      <c r="BC155" s="335">
        <f>IF( tabItens[[#This Row],[PontoPed]]&gt;0, IF(tabItens[[#This Row],[PontoPed]]&lt;1, 1, IF( tabItens[[#This Row],[Saldo]]&gt;tabItens[[#This Row],[PontoPed]], 0, (tabItens[[#This Row],[PontoPed]]-tabItens[[#This Row],[Saldo]])/tabItens[[#This Row],[PontoPed]] ) ), 0 )</f>
        <v>0</v>
      </c>
      <c r="BD155" s="405">
        <f>ROUNDDOWN(IF( OR( AND(tabItens[[#This Row],[PontoPed]]&lt;tabItens[[#This Row],[Saldo]],tabItens[[#This Row],[Saldo]]&gt;0), tabItens[[#This Row],[PontoPed]]=0), 99, IF(AND(tabItens[[#This Row],[Saldo]]=0,tabItens[[#This Row],[PontoPed]]&gt;0), 0, (1-tabItens[[#This Row],[PctAb]])*10 ) ),0)</f>
        <v>99</v>
      </c>
      <c r="BE155" s="406">
        <f>MAX(ROUNDDOWN( IF(tabItens[[#This Row],[Abaixo]] &gt; 0,   tabItens[[#This Row],[Abaixo]] + (tabItens[[#This Row],[PontoMês]] * IF( OR( ISBLANK(tabItens[[#This Row],[ATA Nº/ANO]]), tabItens[[#This Row],[ATA Nº/ANO]] = ""),BE$2,BE$1)),0),0),0)</f>
        <v>0</v>
      </c>
      <c r="BF15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5" s="338">
        <f>SUMIF(Consumo!$C$3:$C$862,tabItens[[#This Row],[CÓDIGO]],Consumo!$E$3:$E$862)</f>
        <v>65</v>
      </c>
      <c r="BH155" s="339">
        <f>IF(AND(tabItens[[#This Row],[Pend]] &gt; 0,tabItens[[#This Row],[Consumo]] &lt;&gt; 0), tabItens[[#This Row],[Pend]] / tabItens[[#This Row],[Consumo]], 0 )</f>
        <v>0.5803571428571429</v>
      </c>
      <c r="BI155" s="338"/>
      <c r="BJ155" s="407"/>
      <c r="BK155" s="408" t="s">
        <v>2086</v>
      </c>
    </row>
    <row r="156" spans="1:63" x14ac:dyDescent="0.3">
      <c r="A156" s="375">
        <v>128288</v>
      </c>
      <c r="B156" s="376" t="s">
        <v>1792</v>
      </c>
      <c r="C156" s="377" t="s">
        <v>301</v>
      </c>
      <c r="D156" s="378">
        <v>135.71</v>
      </c>
      <c r="E156" s="305"/>
      <c r="F156" s="379"/>
      <c r="G156" s="379" t="s">
        <v>889</v>
      </c>
      <c r="H156" s="380">
        <v>0</v>
      </c>
      <c r="I156" s="307">
        <v>103003</v>
      </c>
      <c r="J156" s="308">
        <v>135.71</v>
      </c>
      <c r="K156" s="381">
        <v>15</v>
      </c>
      <c r="L156" s="382">
        <f>IF(tabItens[[#This Row],[Média]] &gt; 0, tabItens[[#This Row],[QTDE ATUAL]] / tabItens[[#This Row],[Média]],999.9)</f>
        <v>0</v>
      </c>
      <c r="M156" s="383">
        <v>0</v>
      </c>
      <c r="N156" s="384">
        <f>tabItens[[#This Row],[VALOR UNIT.]] * tabItens[[#This Row],[LC]]</f>
        <v>0</v>
      </c>
      <c r="O156" s="385" t="s">
        <v>2196</v>
      </c>
      <c r="P156" s="386"/>
      <c r="Q156" s="387"/>
      <c r="R156" s="312"/>
      <c r="S156" s="388"/>
      <c r="T156" s="389">
        <f>ROUNDDOWN(IFERROR(tabItens[[#This Row],[ATA DT.VALID.]] - $D$1,0) / 30,0)</f>
        <v>-1474</v>
      </c>
      <c r="U156" s="302" t="s">
        <v>1520</v>
      </c>
      <c r="V156" s="318">
        <v>1</v>
      </c>
      <c r="W156" s="390" t="s">
        <v>2075</v>
      </c>
      <c r="X156" s="391">
        <v>76</v>
      </c>
      <c r="Y156" s="392">
        <v>13</v>
      </c>
      <c r="Z156" s="393"/>
      <c r="AA156" s="394"/>
      <c r="AB156" s="395"/>
      <c r="AC156" s="395">
        <v>14002</v>
      </c>
      <c r="AD156" s="394">
        <v>2022</v>
      </c>
      <c r="AE156" s="395">
        <v>0</v>
      </c>
      <c r="AF156" s="317">
        <v>20</v>
      </c>
      <c r="AG156" s="396" t="s">
        <v>2068</v>
      </c>
      <c r="AH156" s="397">
        <v>44875</v>
      </c>
      <c r="AI156" s="317">
        <v>6</v>
      </c>
      <c r="AJ156" s="397">
        <v>44742</v>
      </c>
      <c r="AK156" s="326">
        <v>41830</v>
      </c>
      <c r="AL156" s="326">
        <v>44865</v>
      </c>
      <c r="AM156" s="316"/>
      <c r="AN156" s="305"/>
      <c r="AO156" s="327" t="str">
        <f>_xlfn.IFNA(IF(VLOOKUP(tabItens[[#This Row],[CÓDIGO]],tabExcluirDoEstoque[#Data],1,FALSE),"sim",""),"")</f>
        <v/>
      </c>
      <c r="AP156" s="398" t="str">
        <f ca="1">IF(OR(ISBLANK(tabItens[[#This Row],[ATA DT.VALID.]]),tabItens[[#This Row],[ATA DT.VALID.]]="",tabItens[[#This Row],[ATA DT.VALID.]]=" "),"",IF(TYPE(tabItens[[#This Row],[ATA DT.VALID.]])=1,ROUNDUP((tabItens[[#This Row],[ATA DT.VALID.]]-TODAY())/7,0),""))</f>
        <v/>
      </c>
      <c r="AQ156" s="399">
        <v>0</v>
      </c>
      <c r="AR156" s="400" t="str">
        <f>IF(ISBLANK(tabItens[[#This Row],[CÓDIGO]]),"",IFERROR(VLOOKUP(tabItens[[#This Row],[CÓDIGO]],Consumo!$C$2:$AC$862,26,FALSE),0))</f>
        <v>02.2023</v>
      </c>
      <c r="AS156" s="401">
        <f>SUMIF(Consumo!$C$3:$C$862,tabItens[[#This Row],[CÓDIGO]],Consumo!$N$3:$N$862) + SUMIF(Consumo!$C$3:$C$862,tabItens[[#This Row],[CÓDIGO]],Consumo!$O$3:$O$862) + SUMIF(Consumo!$C$3:$C$862,tabItens[[#This Row],[CÓDIGO]],Consumo!$P$3:$P$862) + SUMIF(Consumo!$C$3:$C$862,tabItens[[#This Row],[CÓDIGO]],Consumo!$Q$3:$Q$862)</f>
        <v>0</v>
      </c>
      <c r="AT156" s="401">
        <f>SUMIF(Consumo!$C$3:$C$862,tabItens[[#This Row],[CÓDIGO]],Consumo!$Z$3:$Z$862)</f>
        <v>17</v>
      </c>
      <c r="AU156" s="402">
        <f>SUMIF(Consumo!$C$3:$C$862,tabItens[[#This Row],[CÓDIGO]],Consumo!$AA$3:$AA$862)</f>
        <v>10</v>
      </c>
      <c r="AV156" s="403">
        <f>SUMIF(Consumo!$C$3:$C$862,tabItens[[#This Row],[CÓDIGO]],Consumo!$Y$3:$Y$862)</f>
        <v>1.0833333333333333</v>
      </c>
      <c r="AW156" s="380">
        <f>tabItens[[#This Row],[QTDE ATUAL]] + tabItens[[#This Row],[RC QTDE]] + tabItens[[#This Row],[AF SALDO]] + tabItens[[#This Row],[Recentes]]</f>
        <v>0</v>
      </c>
      <c r="AX156" s="404">
        <v>2</v>
      </c>
      <c r="AY156" s="404">
        <v>4</v>
      </c>
      <c r="AZ156" s="404">
        <f>IF(ISBLANK(tabItens[[#This Row],[CÓDIGO]]),"",tabItens[[#This Row],[PontoMês]] * (AZ$2+tabItens[[#This Row],[PontoQtM]]))</f>
        <v>8</v>
      </c>
      <c r="BA156" s="403">
        <f>tabItens[[#This Row],[PontoPed]] - tabItens[[#This Row],[Saldo]] + (1/10)</f>
        <v>8.1</v>
      </c>
      <c r="BB156" s="403">
        <f xml:space="preserve"> tabItens[[#This Row],[PontoMês]] * BB$2 - tabItens[[#This Row],[QTDE ATUAL]] - (1/10)</f>
        <v>1.9</v>
      </c>
      <c r="BC156" s="335">
        <f>IF( tabItens[[#This Row],[PontoPed]]&gt;0, IF(tabItens[[#This Row],[PontoPed]]&lt;1, 1, IF( tabItens[[#This Row],[Saldo]]&gt;tabItens[[#This Row],[PontoPed]], 0, (tabItens[[#This Row],[PontoPed]]-tabItens[[#This Row],[Saldo]])/tabItens[[#This Row],[PontoPed]] ) ), 0 )</f>
        <v>1</v>
      </c>
      <c r="BD156" s="405">
        <f>ROUNDDOWN(IF( OR( AND(tabItens[[#This Row],[PontoPed]]&lt;tabItens[[#This Row],[Saldo]],tabItens[[#This Row],[Saldo]]&gt;0), tabItens[[#This Row],[PontoPed]]=0), 99, IF(AND(tabItens[[#This Row],[Saldo]]=0,tabItens[[#This Row],[PontoPed]]&gt;0), 0, (1-tabItens[[#This Row],[PctAb]])*10 ) ),0)</f>
        <v>0</v>
      </c>
      <c r="BE156" s="406">
        <f>MAX(ROUNDDOWN( IF(tabItens[[#This Row],[Abaixo]] &gt; 0,   tabItens[[#This Row],[Abaixo]] + (tabItens[[#This Row],[PontoMês]] * IF( OR( ISBLANK(tabItens[[#This Row],[ATA Nº/ANO]]), tabItens[[#This Row],[ATA Nº/ANO]] = ""),BE$2,BE$1)),0),0),0)</f>
        <v>14</v>
      </c>
      <c r="BF15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6" s="338">
        <f>SUMIF(Consumo!$C$3:$C$862,tabItens[[#This Row],[CÓDIGO]],Consumo!$E$3:$E$862)</f>
        <v>2</v>
      </c>
      <c r="BH156" s="339">
        <f>IF(AND(tabItens[[#This Row],[Pend]] &gt; 0,tabItens[[#This Row],[Consumo]] &lt;&gt; 0), tabItens[[#This Row],[Pend]] / tabItens[[#This Row],[Consumo]], 0 )</f>
        <v>0.11764705882352941</v>
      </c>
      <c r="BI156" s="338"/>
      <c r="BJ156" s="407"/>
      <c r="BK156" s="408" t="s">
        <v>2086</v>
      </c>
    </row>
    <row r="157" spans="1:63" x14ac:dyDescent="0.3">
      <c r="A157" s="375">
        <v>11448</v>
      </c>
      <c r="B157" s="376" t="s">
        <v>936</v>
      </c>
      <c r="C157" s="377" t="s">
        <v>335</v>
      </c>
      <c r="D157" s="378">
        <v>1.8</v>
      </c>
      <c r="E157" s="305"/>
      <c r="F157" s="379"/>
      <c r="G157" s="379" t="s">
        <v>889</v>
      </c>
      <c r="H157" s="380">
        <v>504</v>
      </c>
      <c r="I157" s="307">
        <v>103003</v>
      </c>
      <c r="J157" s="308">
        <v>1.8</v>
      </c>
      <c r="K157" s="381">
        <v>452</v>
      </c>
      <c r="L157" s="382">
        <f>IF(tabItens[[#This Row],[Média]] &gt; 0, tabItens[[#This Row],[QTDE ATUAL]] / tabItens[[#This Row],[Média]],999.9)</f>
        <v>8.5544554455445549</v>
      </c>
      <c r="M157" s="383">
        <v>0</v>
      </c>
      <c r="N157" s="384">
        <f>tabItens[[#This Row],[VALOR UNIT.]] * tabItens[[#This Row],[LC]]</f>
        <v>0</v>
      </c>
      <c r="O157" s="385" t="s">
        <v>2088</v>
      </c>
      <c r="P157" s="386"/>
      <c r="Q157" s="387"/>
      <c r="R157" s="312"/>
      <c r="S157" s="388"/>
      <c r="T157" s="389">
        <f>ROUNDDOWN(IFERROR(tabItens[[#This Row],[ATA DT.VALID.]] - $D$1,0) / 30,0)</f>
        <v>-1474</v>
      </c>
      <c r="U157" s="302" t="s">
        <v>937</v>
      </c>
      <c r="V157" s="318">
        <v>1</v>
      </c>
      <c r="W157" s="390" t="s">
        <v>2074</v>
      </c>
      <c r="X157" s="391">
        <v>45</v>
      </c>
      <c r="Y157" s="392">
        <v>9</v>
      </c>
      <c r="Z157" s="393"/>
      <c r="AA157" s="394"/>
      <c r="AB157" s="395"/>
      <c r="AC157" s="395"/>
      <c r="AD157" s="394"/>
      <c r="AE157" s="395"/>
      <c r="AF157" s="317"/>
      <c r="AG157" s="396" t="s">
        <v>2072</v>
      </c>
      <c r="AH157" s="397"/>
      <c r="AI157" s="317">
        <v>210</v>
      </c>
      <c r="AJ157" s="397">
        <v>45013</v>
      </c>
      <c r="AK157" s="326" t="s">
        <v>889</v>
      </c>
      <c r="AL157" s="326">
        <v>45107</v>
      </c>
      <c r="AM157" s="316"/>
      <c r="AN157" s="305"/>
      <c r="AO157" s="327" t="str">
        <f>_xlfn.IFNA(IF(VLOOKUP(tabItens[[#This Row],[CÓDIGO]],tabExcluirDoEstoque[#Data],1,FALSE),"sim",""),"")</f>
        <v/>
      </c>
      <c r="AP157" s="398" t="str">
        <f ca="1">IF(OR(ISBLANK(tabItens[[#This Row],[ATA DT.VALID.]]),tabItens[[#This Row],[ATA DT.VALID.]]="",tabItens[[#This Row],[ATA DT.VALID.]]=" "),"",IF(TYPE(tabItens[[#This Row],[ATA DT.VALID.]])=1,ROUNDUP((tabItens[[#This Row],[ATA DT.VALID.]]-TODAY())/7,0),""))</f>
        <v/>
      </c>
      <c r="AQ157" s="399">
        <v>0</v>
      </c>
      <c r="AR157" s="400" t="str">
        <f>IF(ISBLANK(tabItens[[#This Row],[CÓDIGO]]),"",IFERROR(VLOOKUP(tabItens[[#This Row],[CÓDIGO]],Consumo!$C$2:$AC$862,26,FALSE),0))</f>
        <v>09.2023</v>
      </c>
      <c r="AS157" s="401">
        <f>SUMIF(Consumo!$C$3:$C$862,tabItens[[#This Row],[CÓDIGO]],Consumo!$N$3:$N$862) + SUMIF(Consumo!$C$3:$C$862,tabItens[[#This Row],[CÓDIGO]],Consumo!$O$3:$O$862) + SUMIF(Consumo!$C$3:$C$862,tabItens[[#This Row],[CÓDIGO]],Consumo!$P$3:$P$862) + SUMIF(Consumo!$C$3:$C$862,tabItens[[#This Row],[CÓDIGO]],Consumo!$Q$3:$Q$862)</f>
        <v>285</v>
      </c>
      <c r="AT157" s="401">
        <f>SUMIF(Consumo!$C$3:$C$862,tabItens[[#This Row],[CÓDIGO]],Consumo!$Z$3:$Z$862)</f>
        <v>707</v>
      </c>
      <c r="AU157" s="402">
        <f>SUMIF(Consumo!$C$3:$C$862,tabItens[[#This Row],[CÓDIGO]],Consumo!$AA$3:$AA$862)</f>
        <v>94</v>
      </c>
      <c r="AV157" s="403">
        <f>SUMIF(Consumo!$C$3:$C$862,tabItens[[#This Row],[CÓDIGO]],Consumo!$Y$3:$Y$862)</f>
        <v>58.916666666666664</v>
      </c>
      <c r="AW157" s="380">
        <f>tabItens[[#This Row],[QTDE ATUAL]] + tabItens[[#This Row],[RC QTDE]] + tabItens[[#This Row],[AF SALDO]] + tabItens[[#This Row],[Recentes]]</f>
        <v>504</v>
      </c>
      <c r="AX157" s="404">
        <v>125</v>
      </c>
      <c r="AY157" s="404">
        <v>4</v>
      </c>
      <c r="AZ157" s="404">
        <f>IF(ISBLANK(tabItens[[#This Row],[CÓDIGO]]),"",tabItens[[#This Row],[PontoMês]] * (AZ$2+tabItens[[#This Row],[PontoQtM]]))</f>
        <v>500</v>
      </c>
      <c r="BA157" s="403">
        <f>tabItens[[#This Row],[PontoPed]] - tabItens[[#This Row],[Saldo]] + (1/10)</f>
        <v>-3.9</v>
      </c>
      <c r="BB157" s="403">
        <f xml:space="preserve"> tabItens[[#This Row],[PontoMês]] * BB$2 - tabItens[[#This Row],[QTDE ATUAL]] - (1/10)</f>
        <v>-379.1</v>
      </c>
      <c r="BC157" s="335">
        <f>IF( tabItens[[#This Row],[PontoPed]]&gt;0, IF(tabItens[[#This Row],[PontoPed]]&lt;1, 1, IF( tabItens[[#This Row],[Saldo]]&gt;tabItens[[#This Row],[PontoPed]], 0, (tabItens[[#This Row],[PontoPed]]-tabItens[[#This Row],[Saldo]])/tabItens[[#This Row],[PontoPed]] ) ), 0 )</f>
        <v>0</v>
      </c>
      <c r="BD157" s="405">
        <f>ROUNDDOWN(IF( OR( AND(tabItens[[#This Row],[PontoPed]]&lt;tabItens[[#This Row],[Saldo]],tabItens[[#This Row],[Saldo]]&gt;0), tabItens[[#This Row],[PontoPed]]=0), 99, IF(AND(tabItens[[#This Row],[Saldo]]=0,tabItens[[#This Row],[PontoPed]]&gt;0), 0, (1-tabItens[[#This Row],[PctAb]])*10 ) ),0)</f>
        <v>99</v>
      </c>
      <c r="BE157" s="406">
        <f>MAX(ROUNDDOWN( IF(tabItens[[#This Row],[Abaixo]] &gt; 0,   tabItens[[#This Row],[Abaixo]] + (tabItens[[#This Row],[PontoMês]] * IF( OR( ISBLANK(tabItens[[#This Row],[ATA Nº/ANO]]), tabItens[[#This Row],[ATA Nº/ANO]] = ""),BE$2,BE$1)),0),0),0)</f>
        <v>0</v>
      </c>
      <c r="BF15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7" s="338">
        <f>SUMIF(Consumo!$C$3:$C$862,tabItens[[#This Row],[CÓDIGO]],Consumo!$E$3:$E$862)</f>
        <v>76</v>
      </c>
      <c r="BH157" s="339">
        <f>IF(AND(tabItens[[#This Row],[Pend]] &gt; 0,tabItens[[#This Row],[Consumo]] &lt;&gt; 0), tabItens[[#This Row],[Pend]] / tabItens[[#This Row],[Consumo]], 0 )</f>
        <v>0.1074964639321075</v>
      </c>
      <c r="BI157" s="338"/>
      <c r="BJ157" s="407"/>
      <c r="BK157" s="408" t="s">
        <v>2086</v>
      </c>
    </row>
    <row r="158" spans="1:63" x14ac:dyDescent="0.3">
      <c r="A158" s="375">
        <v>17454</v>
      </c>
      <c r="B158" s="376" t="s">
        <v>1135</v>
      </c>
      <c r="C158" s="377" t="s">
        <v>380</v>
      </c>
      <c r="D158" s="378">
        <v>0.24</v>
      </c>
      <c r="E158" s="305"/>
      <c r="F158" s="379"/>
      <c r="G158" s="379" t="s">
        <v>889</v>
      </c>
      <c r="H158" s="380">
        <v>1451</v>
      </c>
      <c r="I158" s="307">
        <v>103003</v>
      </c>
      <c r="J158" s="308">
        <v>0.24</v>
      </c>
      <c r="K158" s="381">
        <v>5002</v>
      </c>
      <c r="L158" s="382">
        <f>IF(tabItens[[#This Row],[Média]] &gt; 0, tabItens[[#This Row],[QTDE ATUAL]] / tabItens[[#This Row],[Média]],999.9)</f>
        <v>2.2403499742665982</v>
      </c>
      <c r="M158" s="383">
        <v>0</v>
      </c>
      <c r="N158" s="384">
        <f>tabItens[[#This Row],[VALOR UNIT.]] * tabItens[[#This Row],[LC]]</f>
        <v>0</v>
      </c>
      <c r="O158" s="385" t="s">
        <v>2088</v>
      </c>
      <c r="P158" s="386"/>
      <c r="Q158" s="387"/>
      <c r="R158" s="312"/>
      <c r="S158" s="388"/>
      <c r="T158" s="389">
        <f>ROUNDDOWN(IFERROR(tabItens[[#This Row],[ATA DT.VALID.]] - $D$1,0) / 30,0)</f>
        <v>-1474</v>
      </c>
      <c r="U158" s="302" t="s">
        <v>1136</v>
      </c>
      <c r="V158" s="318">
        <v>1</v>
      </c>
      <c r="W158" s="390" t="s">
        <v>2074</v>
      </c>
      <c r="X158" s="391">
        <v>57</v>
      </c>
      <c r="Y158" s="392">
        <v>2</v>
      </c>
      <c r="Z158" s="393"/>
      <c r="AA158" s="394"/>
      <c r="AB158" s="395"/>
      <c r="AC158" s="395"/>
      <c r="AD158" s="394"/>
      <c r="AE158" s="395"/>
      <c r="AF158" s="317"/>
      <c r="AG158" s="396" t="s">
        <v>2072</v>
      </c>
      <c r="AH158" s="397"/>
      <c r="AI158" s="317">
        <v>2590</v>
      </c>
      <c r="AJ158" s="397">
        <v>44147</v>
      </c>
      <c r="AK158" s="326" t="s">
        <v>889</v>
      </c>
      <c r="AL158" s="326">
        <v>44126</v>
      </c>
      <c r="AM158" s="316"/>
      <c r="AN158" s="305"/>
      <c r="AO158" s="327" t="str">
        <f>_xlfn.IFNA(IF(VLOOKUP(tabItens[[#This Row],[CÓDIGO]],tabExcluirDoEstoque[#Data],1,FALSE),"sim",""),"")</f>
        <v/>
      </c>
      <c r="AP158" s="398" t="str">
        <f ca="1">IF(OR(ISBLANK(tabItens[[#This Row],[ATA DT.VALID.]]),tabItens[[#This Row],[ATA DT.VALID.]]="",tabItens[[#This Row],[ATA DT.VALID.]]=" "),"",IF(TYPE(tabItens[[#This Row],[ATA DT.VALID.]])=1,ROUNDUP((tabItens[[#This Row],[ATA DT.VALID.]]-TODAY())/7,0),""))</f>
        <v/>
      </c>
      <c r="AQ158" s="399">
        <v>0</v>
      </c>
      <c r="AR158" s="400" t="str">
        <f>IF(ISBLANK(tabItens[[#This Row],[CÓDIGO]]),"",IFERROR(VLOOKUP(tabItens[[#This Row],[CÓDIGO]],Consumo!$C$2:$AC$862,26,FALSE),0))</f>
        <v>09.2023</v>
      </c>
      <c r="AS158" s="401">
        <f>SUMIF(Consumo!$C$3:$C$862,tabItens[[#This Row],[CÓDIGO]],Consumo!$N$3:$N$862) + SUMIF(Consumo!$C$3:$C$862,tabItens[[#This Row],[CÓDIGO]],Consumo!$O$3:$O$862) + SUMIF(Consumo!$C$3:$C$862,tabItens[[#This Row],[CÓDIGO]],Consumo!$P$3:$P$862) + SUMIF(Consumo!$C$3:$C$862,tabItens[[#This Row],[CÓDIGO]],Consumo!$Q$3:$Q$862)</f>
        <v>2921</v>
      </c>
      <c r="AT158" s="401">
        <f>SUMIF(Consumo!$C$3:$C$862,tabItens[[#This Row],[CÓDIGO]],Consumo!$Z$3:$Z$862)</f>
        <v>7772</v>
      </c>
      <c r="AU158" s="402">
        <f>SUMIF(Consumo!$C$3:$C$862,tabItens[[#This Row],[CÓDIGO]],Consumo!$AA$3:$AA$862)</f>
        <v>1131</v>
      </c>
      <c r="AV158" s="403">
        <f>SUMIF(Consumo!$C$3:$C$862,tabItens[[#This Row],[CÓDIGO]],Consumo!$Y$3:$Y$862)</f>
        <v>647.66666666666663</v>
      </c>
      <c r="AW158" s="380">
        <f>tabItens[[#This Row],[QTDE ATUAL]] + tabItens[[#This Row],[RC QTDE]] + tabItens[[#This Row],[AF SALDO]] + tabItens[[#This Row],[Recentes]]</f>
        <v>1451</v>
      </c>
      <c r="AX158" s="404">
        <v>716</v>
      </c>
      <c r="AY158" s="404">
        <v>4</v>
      </c>
      <c r="AZ158" s="404">
        <f>IF(ISBLANK(tabItens[[#This Row],[CÓDIGO]]),"",tabItens[[#This Row],[PontoMês]] * (AZ$2+tabItens[[#This Row],[PontoQtM]]))</f>
        <v>2864</v>
      </c>
      <c r="BA158" s="403">
        <f>tabItens[[#This Row],[PontoPed]] - tabItens[[#This Row],[Saldo]] + (1/10)</f>
        <v>1413.1</v>
      </c>
      <c r="BB158" s="403">
        <f xml:space="preserve"> tabItens[[#This Row],[PontoMês]] * BB$2 - tabItens[[#This Row],[QTDE ATUAL]] - (1/10)</f>
        <v>-735.1</v>
      </c>
      <c r="BC158" s="335">
        <f>IF( tabItens[[#This Row],[PontoPed]]&gt;0, IF(tabItens[[#This Row],[PontoPed]]&lt;1, 1, IF( tabItens[[#This Row],[Saldo]]&gt;tabItens[[#This Row],[PontoPed]], 0, (tabItens[[#This Row],[PontoPed]]-tabItens[[#This Row],[Saldo]])/tabItens[[#This Row],[PontoPed]] ) ), 0 )</f>
        <v>0.49336592178770949</v>
      </c>
      <c r="BD158" s="405">
        <f>ROUNDDOWN(IF( OR( AND(tabItens[[#This Row],[PontoPed]]&lt;tabItens[[#This Row],[Saldo]],tabItens[[#This Row],[Saldo]]&gt;0), tabItens[[#This Row],[PontoPed]]=0), 99, IF(AND(tabItens[[#This Row],[Saldo]]=0,tabItens[[#This Row],[PontoPed]]&gt;0), 0, (1-tabItens[[#This Row],[PctAb]])*10 ) ),0)</f>
        <v>5</v>
      </c>
      <c r="BE158" s="406">
        <f>MAX(ROUNDDOWN( IF(tabItens[[#This Row],[Abaixo]] &gt; 0,   tabItens[[#This Row],[Abaixo]] + (tabItens[[#This Row],[PontoMês]] * IF( OR( ISBLANK(tabItens[[#This Row],[ATA Nº/ANO]]), tabItens[[#This Row],[ATA Nº/ANO]] = ""),BE$2,BE$1)),0),0),0)</f>
        <v>3561</v>
      </c>
      <c r="BF15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8" s="338">
        <f>SUMIF(Consumo!$C$3:$C$862,tabItens[[#This Row],[CÓDIGO]],Consumo!$E$3:$E$862)</f>
        <v>0</v>
      </c>
      <c r="BH158" s="339">
        <f>IF(AND(tabItens[[#This Row],[Pend]] &gt; 0,tabItens[[#This Row],[Consumo]] &lt;&gt; 0), tabItens[[#This Row],[Pend]] / tabItens[[#This Row],[Consumo]], 0 )</f>
        <v>0</v>
      </c>
      <c r="BI158" s="338"/>
      <c r="BJ158" s="407"/>
      <c r="BK158" s="408" t="s">
        <v>2086</v>
      </c>
    </row>
    <row r="159" spans="1:63" x14ac:dyDescent="0.3">
      <c r="A159" s="375">
        <v>23986</v>
      </c>
      <c r="B159" s="376" t="s">
        <v>1188</v>
      </c>
      <c r="C159" s="377" t="s">
        <v>260</v>
      </c>
      <c r="D159" s="378">
        <v>1.55</v>
      </c>
      <c r="E159" s="305"/>
      <c r="F159" s="379"/>
      <c r="G159" s="379" t="s">
        <v>889</v>
      </c>
      <c r="H159" s="380">
        <v>0</v>
      </c>
      <c r="I159" s="307">
        <v>103003</v>
      </c>
      <c r="J159" s="308">
        <v>1.55</v>
      </c>
      <c r="K159" s="381">
        <v>5397</v>
      </c>
      <c r="L159" s="382">
        <f>IF(tabItens[[#This Row],[Média]] &gt; 0, tabItens[[#This Row],[QTDE ATUAL]] / tabItens[[#This Row],[Média]],999.9)</f>
        <v>0</v>
      </c>
      <c r="M159" s="383">
        <v>0</v>
      </c>
      <c r="N159" s="384">
        <f>tabItens[[#This Row],[VALOR UNIT.]] * tabItens[[#This Row],[LC]]</f>
        <v>0</v>
      </c>
      <c r="O159" s="385" t="s">
        <v>2088</v>
      </c>
      <c r="P159" s="386"/>
      <c r="Q159" s="387"/>
      <c r="R159" s="312"/>
      <c r="S159" s="388"/>
      <c r="T159" s="389">
        <f>ROUNDDOWN(IFERROR(tabItens[[#This Row],[ATA DT.VALID.]] - $D$1,0) / 30,0)</f>
        <v>-1474</v>
      </c>
      <c r="U159" s="302" t="s">
        <v>1136</v>
      </c>
      <c r="V159" s="318">
        <v>1</v>
      </c>
      <c r="W159" s="390" t="s">
        <v>2074</v>
      </c>
      <c r="X159" s="391">
        <v>57</v>
      </c>
      <c r="Y159" s="392">
        <v>2</v>
      </c>
      <c r="Z159" s="393">
        <v>6987</v>
      </c>
      <c r="AA159" s="394">
        <v>2023</v>
      </c>
      <c r="AB159" s="395">
        <v>1200</v>
      </c>
      <c r="AC159" s="395"/>
      <c r="AD159" s="394"/>
      <c r="AE159" s="395"/>
      <c r="AF159" s="317"/>
      <c r="AG159" s="396" t="s">
        <v>2072</v>
      </c>
      <c r="AH159" s="397"/>
      <c r="AI159" s="317">
        <v>2724</v>
      </c>
      <c r="AJ159" s="397">
        <v>44966</v>
      </c>
      <c r="AK159" s="326" t="s">
        <v>889</v>
      </c>
      <c r="AL159" s="326">
        <v>45049</v>
      </c>
      <c r="AM159" s="316"/>
      <c r="AN159" s="305"/>
      <c r="AO159" s="327" t="str">
        <f>_xlfn.IFNA(IF(VLOOKUP(tabItens[[#This Row],[CÓDIGO]],tabExcluirDoEstoque[#Data],1,FALSE),"sim",""),"")</f>
        <v/>
      </c>
      <c r="AP159" s="398" t="str">
        <f ca="1">IF(OR(ISBLANK(tabItens[[#This Row],[ATA DT.VALID.]]),tabItens[[#This Row],[ATA DT.VALID.]]="",tabItens[[#This Row],[ATA DT.VALID.]]=" "),"",IF(TYPE(tabItens[[#This Row],[ATA DT.VALID.]])=1,ROUNDUP((tabItens[[#This Row],[ATA DT.VALID.]]-TODAY())/7,0),""))</f>
        <v/>
      </c>
      <c r="AQ159" s="399">
        <v>0</v>
      </c>
      <c r="AR159" s="400" t="str">
        <f>IF(ISBLANK(tabItens[[#This Row],[CÓDIGO]]),"",IFERROR(VLOOKUP(tabItens[[#This Row],[CÓDIGO]],Consumo!$C$2:$AC$862,26,FALSE),0))</f>
        <v>09.2023</v>
      </c>
      <c r="AS159" s="401">
        <f>SUMIF(Consumo!$C$3:$C$862,tabItens[[#This Row],[CÓDIGO]],Consumo!$N$3:$N$862) + SUMIF(Consumo!$C$3:$C$862,tabItens[[#This Row],[CÓDIGO]],Consumo!$O$3:$O$862) + SUMIF(Consumo!$C$3:$C$862,tabItens[[#This Row],[CÓDIGO]],Consumo!$P$3:$P$862) + SUMIF(Consumo!$C$3:$C$862,tabItens[[#This Row],[CÓDIGO]],Consumo!$Q$3:$Q$862)</f>
        <v>2883</v>
      </c>
      <c r="AT159" s="401">
        <f>SUMIF(Consumo!$C$3:$C$862,tabItens[[#This Row],[CÓDIGO]],Consumo!$Z$3:$Z$862)</f>
        <v>8279</v>
      </c>
      <c r="AU159" s="402">
        <f>SUMIF(Consumo!$C$3:$C$862,tabItens[[#This Row],[CÓDIGO]],Consumo!$AA$3:$AA$862)</f>
        <v>1115</v>
      </c>
      <c r="AV159" s="403">
        <f>SUMIF(Consumo!$C$3:$C$862,tabItens[[#This Row],[CÓDIGO]],Consumo!$Y$3:$Y$862)</f>
        <v>689.91666666666663</v>
      </c>
      <c r="AW159" s="380">
        <f>tabItens[[#This Row],[QTDE ATUAL]] + tabItens[[#This Row],[RC QTDE]] + tabItens[[#This Row],[AF SALDO]] + tabItens[[#This Row],[Recentes]]</f>
        <v>1200</v>
      </c>
      <c r="AX159" s="404">
        <v>834</v>
      </c>
      <c r="AY159" s="404">
        <v>4</v>
      </c>
      <c r="AZ159" s="404">
        <f>IF(ISBLANK(tabItens[[#This Row],[CÓDIGO]]),"",tabItens[[#This Row],[PontoMês]] * (AZ$2+tabItens[[#This Row],[PontoQtM]]))</f>
        <v>3336</v>
      </c>
      <c r="BA159" s="403">
        <f>tabItens[[#This Row],[PontoPed]] - tabItens[[#This Row],[Saldo]] + (1/10)</f>
        <v>2136.1</v>
      </c>
      <c r="BB159" s="403">
        <f xml:space="preserve"> tabItens[[#This Row],[PontoMês]] * BB$2 - tabItens[[#This Row],[QTDE ATUAL]] - (1/10)</f>
        <v>833.9</v>
      </c>
      <c r="BC159" s="335">
        <f>IF( tabItens[[#This Row],[PontoPed]]&gt;0, IF(tabItens[[#This Row],[PontoPed]]&lt;1, 1, IF( tabItens[[#This Row],[Saldo]]&gt;tabItens[[#This Row],[PontoPed]], 0, (tabItens[[#This Row],[PontoPed]]-tabItens[[#This Row],[Saldo]])/tabItens[[#This Row],[PontoPed]] ) ), 0 )</f>
        <v>0.64028776978417268</v>
      </c>
      <c r="BD159" s="405">
        <f>ROUNDDOWN(IF( OR( AND(tabItens[[#This Row],[PontoPed]]&lt;tabItens[[#This Row],[Saldo]],tabItens[[#This Row],[Saldo]]&gt;0), tabItens[[#This Row],[PontoPed]]=0), 99, IF(AND(tabItens[[#This Row],[Saldo]]=0,tabItens[[#This Row],[PontoPed]]&gt;0), 0, (1-tabItens[[#This Row],[PctAb]])*10 ) ),0)</f>
        <v>3</v>
      </c>
      <c r="BE159" s="406">
        <f>MAX(ROUNDDOWN( IF(tabItens[[#This Row],[Abaixo]] &gt; 0,   tabItens[[#This Row],[Abaixo]] + (tabItens[[#This Row],[PontoMês]] * IF( OR( ISBLANK(tabItens[[#This Row],[ATA Nº/ANO]]), tabItens[[#This Row],[ATA Nº/ANO]] = ""),BE$2,BE$1)),0),0),0)</f>
        <v>4638</v>
      </c>
      <c r="BF15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9" s="338">
        <f>SUMIF(Consumo!$C$3:$C$862,tabItens[[#This Row],[CÓDIGO]],Consumo!$E$3:$E$862)</f>
        <v>110</v>
      </c>
      <c r="BH159" s="339">
        <f>IF(AND(tabItens[[#This Row],[Pend]] &gt; 0,tabItens[[#This Row],[Consumo]] &lt;&gt; 0), tabItens[[#This Row],[Pend]] / tabItens[[#This Row],[Consumo]], 0 )</f>
        <v>1.3286628819905786E-2</v>
      </c>
      <c r="BI159" s="338"/>
      <c r="BJ159" s="407"/>
      <c r="BK159" s="408" t="s">
        <v>2086</v>
      </c>
    </row>
    <row r="160" spans="1:63" x14ac:dyDescent="0.3">
      <c r="A160" s="375">
        <v>23989</v>
      </c>
      <c r="B160" s="376" t="s">
        <v>1189</v>
      </c>
      <c r="C160" s="377" t="s">
        <v>260</v>
      </c>
      <c r="D160" s="378">
        <v>1.71</v>
      </c>
      <c r="E160" s="305"/>
      <c r="F160" s="379"/>
      <c r="G160" s="379" t="s">
        <v>889</v>
      </c>
      <c r="H160" s="380">
        <v>561</v>
      </c>
      <c r="I160" s="307">
        <v>103003</v>
      </c>
      <c r="J160" s="308">
        <v>1.71</v>
      </c>
      <c r="K160" s="381">
        <v>5171</v>
      </c>
      <c r="L160" s="382">
        <f>IF(tabItens[[#This Row],[Média]] &gt; 0, tabItens[[#This Row],[QTDE ATUAL]] / tabItens[[#This Row],[Média]],999.9)</f>
        <v>0.83825177437429954</v>
      </c>
      <c r="M160" s="383">
        <v>0</v>
      </c>
      <c r="N160" s="384">
        <f>tabItens[[#This Row],[VALOR UNIT.]] * tabItens[[#This Row],[LC]]</f>
        <v>0</v>
      </c>
      <c r="O160" s="385" t="s">
        <v>2088</v>
      </c>
      <c r="P160" s="386"/>
      <c r="Q160" s="387"/>
      <c r="R160" s="312"/>
      <c r="S160" s="388"/>
      <c r="T160" s="389">
        <f>ROUNDDOWN(IFERROR(tabItens[[#This Row],[ATA DT.VALID.]] - $D$1,0) / 30,0)</f>
        <v>-1474</v>
      </c>
      <c r="U160" s="302" t="s">
        <v>1136</v>
      </c>
      <c r="V160" s="318">
        <v>1</v>
      </c>
      <c r="W160" s="390" t="s">
        <v>2074</v>
      </c>
      <c r="X160" s="391">
        <v>57</v>
      </c>
      <c r="Y160" s="392">
        <v>2</v>
      </c>
      <c r="Z160" s="393"/>
      <c r="AA160" s="394"/>
      <c r="AB160" s="395"/>
      <c r="AC160" s="395"/>
      <c r="AD160" s="394"/>
      <c r="AE160" s="395"/>
      <c r="AF160" s="317"/>
      <c r="AG160" s="396" t="s">
        <v>2072</v>
      </c>
      <c r="AH160" s="397"/>
      <c r="AI160" s="317">
        <v>2680</v>
      </c>
      <c r="AJ160" s="397">
        <v>44966</v>
      </c>
      <c r="AK160" s="326" t="s">
        <v>889</v>
      </c>
      <c r="AL160" s="326">
        <v>45083</v>
      </c>
      <c r="AM160" s="316"/>
      <c r="AN160" s="305"/>
      <c r="AO160" s="327" t="str">
        <f>_xlfn.IFNA(IF(VLOOKUP(tabItens[[#This Row],[CÓDIGO]],tabExcluirDoEstoque[#Data],1,FALSE),"sim",""),"")</f>
        <v/>
      </c>
      <c r="AP160" s="398" t="str">
        <f ca="1">IF(OR(ISBLANK(tabItens[[#This Row],[ATA DT.VALID.]]),tabItens[[#This Row],[ATA DT.VALID.]]="",tabItens[[#This Row],[ATA DT.VALID.]]=" "),"",IF(TYPE(tabItens[[#This Row],[ATA DT.VALID.]])=1,ROUNDUP((tabItens[[#This Row],[ATA DT.VALID.]]-TODAY())/7,0),""))</f>
        <v/>
      </c>
      <c r="AQ160" s="399">
        <v>0</v>
      </c>
      <c r="AR160" s="400" t="str">
        <f>IF(ISBLANK(tabItens[[#This Row],[CÓDIGO]]),"",IFERROR(VLOOKUP(tabItens[[#This Row],[CÓDIGO]],Consumo!$C$2:$AC$862,26,FALSE),0))</f>
        <v>09.2023</v>
      </c>
      <c r="AS160" s="401">
        <f>SUMIF(Consumo!$C$3:$C$862,tabItens[[#This Row],[CÓDIGO]],Consumo!$N$3:$N$862) + SUMIF(Consumo!$C$3:$C$862,tabItens[[#This Row],[CÓDIGO]],Consumo!$O$3:$O$862) + SUMIF(Consumo!$C$3:$C$862,tabItens[[#This Row],[CÓDIGO]],Consumo!$P$3:$P$862) + SUMIF(Consumo!$C$3:$C$862,tabItens[[#This Row],[CÓDIGO]],Consumo!$Q$3:$Q$862)</f>
        <v>3033</v>
      </c>
      <c r="AT160" s="401">
        <f>SUMIF(Consumo!$C$3:$C$862,tabItens[[#This Row],[CÓDIGO]],Consumo!$Z$3:$Z$862)</f>
        <v>8031</v>
      </c>
      <c r="AU160" s="402">
        <f>SUMIF(Consumo!$C$3:$C$862,tabItens[[#This Row],[CÓDIGO]],Consumo!$AA$3:$AA$862)</f>
        <v>1110</v>
      </c>
      <c r="AV160" s="403">
        <f>SUMIF(Consumo!$C$3:$C$862,tabItens[[#This Row],[CÓDIGO]],Consumo!$Y$3:$Y$862)</f>
        <v>669.25</v>
      </c>
      <c r="AW160" s="380">
        <f>tabItens[[#This Row],[QTDE ATUAL]] + tabItens[[#This Row],[RC QTDE]] + tabItens[[#This Row],[AF SALDO]] + tabItens[[#This Row],[Recentes]]</f>
        <v>561</v>
      </c>
      <c r="AX160" s="404">
        <v>834</v>
      </c>
      <c r="AY160" s="404">
        <v>4</v>
      </c>
      <c r="AZ160" s="404">
        <f>IF(ISBLANK(tabItens[[#This Row],[CÓDIGO]]),"",tabItens[[#This Row],[PontoMês]] * (AZ$2+tabItens[[#This Row],[PontoQtM]]))</f>
        <v>3336</v>
      </c>
      <c r="BA160" s="403">
        <f>tabItens[[#This Row],[PontoPed]] - tabItens[[#This Row],[Saldo]] + (1/10)</f>
        <v>2775.1</v>
      </c>
      <c r="BB160" s="403">
        <f xml:space="preserve"> tabItens[[#This Row],[PontoMês]] * BB$2 - tabItens[[#This Row],[QTDE ATUAL]] - (1/10)</f>
        <v>272.89999999999998</v>
      </c>
      <c r="BC160" s="335">
        <f>IF( tabItens[[#This Row],[PontoPed]]&gt;0, IF(tabItens[[#This Row],[PontoPed]]&lt;1, 1, IF( tabItens[[#This Row],[Saldo]]&gt;tabItens[[#This Row],[PontoPed]], 0, (tabItens[[#This Row],[PontoPed]]-tabItens[[#This Row],[Saldo]])/tabItens[[#This Row],[PontoPed]] ) ), 0 )</f>
        <v>0.83183453237410077</v>
      </c>
      <c r="BD160" s="405">
        <f>ROUNDDOWN(IF( OR( AND(tabItens[[#This Row],[PontoPed]]&lt;tabItens[[#This Row],[Saldo]],tabItens[[#This Row],[Saldo]]&gt;0), tabItens[[#This Row],[PontoPed]]=0), 99, IF(AND(tabItens[[#This Row],[Saldo]]=0,tabItens[[#This Row],[PontoPed]]&gt;0), 0, (1-tabItens[[#This Row],[PctAb]])*10 ) ),0)</f>
        <v>1</v>
      </c>
      <c r="BE160" s="406">
        <f>MAX(ROUNDDOWN( IF(tabItens[[#This Row],[Abaixo]] &gt; 0,   tabItens[[#This Row],[Abaixo]] + (tabItens[[#This Row],[PontoMês]] * IF( OR( ISBLANK(tabItens[[#This Row],[ATA Nº/ANO]]), tabItens[[#This Row],[ATA Nº/ANO]] = ""),BE$2,BE$1)),0),0),0)</f>
        <v>5277</v>
      </c>
      <c r="BF16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0" s="338">
        <f>SUMIF(Consumo!$C$3:$C$862,tabItens[[#This Row],[CÓDIGO]],Consumo!$E$3:$E$862)</f>
        <v>65</v>
      </c>
      <c r="BH160" s="339">
        <f>IF(AND(tabItens[[#This Row],[Pend]] &gt; 0,tabItens[[#This Row],[Consumo]] &lt;&gt; 0), tabItens[[#This Row],[Pend]] / tabItens[[#This Row],[Consumo]], 0 )</f>
        <v>8.0936371560204213E-3</v>
      </c>
      <c r="BI160" s="338"/>
      <c r="BJ160" s="407"/>
      <c r="BK160" s="408" t="s">
        <v>2086</v>
      </c>
    </row>
    <row r="161" spans="1:63" x14ac:dyDescent="0.3">
      <c r="A161" s="375">
        <v>23993</v>
      </c>
      <c r="B161" s="376" t="s">
        <v>1190</v>
      </c>
      <c r="C161" s="377" t="s">
        <v>260</v>
      </c>
      <c r="D161" s="378">
        <v>1.71</v>
      </c>
      <c r="E161" s="305"/>
      <c r="F161" s="379"/>
      <c r="G161" s="379" t="s">
        <v>889</v>
      </c>
      <c r="H161" s="380">
        <v>1315</v>
      </c>
      <c r="I161" s="307">
        <v>103003</v>
      </c>
      <c r="J161" s="308">
        <v>1.71</v>
      </c>
      <c r="K161" s="381">
        <v>5007</v>
      </c>
      <c r="L161" s="382">
        <f>IF(tabItens[[#This Row],[Média]] &gt; 0, tabItens[[#This Row],[QTDE ATUAL]] / tabItens[[#This Row],[Média]],999.9)</f>
        <v>2.0451010886469674</v>
      </c>
      <c r="M161" s="383">
        <v>0</v>
      </c>
      <c r="N161" s="384">
        <f>tabItens[[#This Row],[VALOR UNIT.]] * tabItens[[#This Row],[LC]]</f>
        <v>0</v>
      </c>
      <c r="O161" s="385" t="s">
        <v>2088</v>
      </c>
      <c r="P161" s="386"/>
      <c r="Q161" s="387"/>
      <c r="R161" s="312"/>
      <c r="S161" s="388"/>
      <c r="T161" s="389">
        <f>ROUNDDOWN(IFERROR(tabItens[[#This Row],[ATA DT.VALID.]] - $D$1,0) / 30,0)</f>
        <v>-1474</v>
      </c>
      <c r="U161" s="302" t="s">
        <v>1136</v>
      </c>
      <c r="V161" s="318">
        <v>1</v>
      </c>
      <c r="W161" s="390" t="s">
        <v>2074</v>
      </c>
      <c r="X161" s="391">
        <v>57</v>
      </c>
      <c r="Y161" s="392">
        <v>2</v>
      </c>
      <c r="Z161" s="393"/>
      <c r="AA161" s="394"/>
      <c r="AB161" s="395"/>
      <c r="AC161" s="395"/>
      <c r="AD161" s="394"/>
      <c r="AE161" s="395"/>
      <c r="AF161" s="317"/>
      <c r="AG161" s="396" t="s">
        <v>2072</v>
      </c>
      <c r="AH161" s="397"/>
      <c r="AI161" s="317">
        <v>2568</v>
      </c>
      <c r="AJ161" s="397">
        <v>44966</v>
      </c>
      <c r="AK161" s="326" t="s">
        <v>889</v>
      </c>
      <c r="AL161" s="326">
        <v>45083</v>
      </c>
      <c r="AM161" s="316"/>
      <c r="AN161" s="305"/>
      <c r="AO161" s="327" t="str">
        <f>_xlfn.IFNA(IF(VLOOKUP(tabItens[[#This Row],[CÓDIGO]],tabExcluirDoEstoque[#Data],1,FALSE),"sim",""),"")</f>
        <v/>
      </c>
      <c r="AP161" s="398" t="str">
        <f ca="1">IF(OR(ISBLANK(tabItens[[#This Row],[ATA DT.VALID.]]),tabItens[[#This Row],[ATA DT.VALID.]]="",tabItens[[#This Row],[ATA DT.VALID.]]=" "),"",IF(TYPE(tabItens[[#This Row],[ATA DT.VALID.]])=1,ROUNDUP((tabItens[[#This Row],[ATA DT.VALID.]]-TODAY())/7,0),""))</f>
        <v/>
      </c>
      <c r="AQ161" s="399">
        <v>0</v>
      </c>
      <c r="AR161" s="400" t="str">
        <f>IF(ISBLANK(tabItens[[#This Row],[CÓDIGO]]),"",IFERROR(VLOOKUP(tabItens[[#This Row],[CÓDIGO]],Consumo!$C$2:$AC$862,26,FALSE),0))</f>
        <v>09.2023</v>
      </c>
      <c r="AS161" s="401">
        <f>SUMIF(Consumo!$C$3:$C$862,tabItens[[#This Row],[CÓDIGO]],Consumo!$N$3:$N$862) + SUMIF(Consumo!$C$3:$C$862,tabItens[[#This Row],[CÓDIGO]],Consumo!$O$3:$O$862) + SUMIF(Consumo!$C$3:$C$862,tabItens[[#This Row],[CÓDIGO]],Consumo!$P$3:$P$862) + SUMIF(Consumo!$C$3:$C$862,tabItens[[#This Row],[CÓDIGO]],Consumo!$Q$3:$Q$862)</f>
        <v>2987</v>
      </c>
      <c r="AT161" s="401">
        <f>SUMIF(Consumo!$C$3:$C$862,tabItens[[#This Row],[CÓDIGO]],Consumo!$Z$3:$Z$862)</f>
        <v>7716</v>
      </c>
      <c r="AU161" s="402">
        <f>SUMIF(Consumo!$C$3:$C$862,tabItens[[#This Row],[CÓDIGO]],Consumo!$AA$3:$AA$862)</f>
        <v>1070</v>
      </c>
      <c r="AV161" s="403">
        <f>SUMIF(Consumo!$C$3:$C$862,tabItens[[#This Row],[CÓDIGO]],Consumo!$Y$3:$Y$862)</f>
        <v>643</v>
      </c>
      <c r="AW161" s="380">
        <f>tabItens[[#This Row],[QTDE ATUAL]] + tabItens[[#This Row],[RC QTDE]] + tabItens[[#This Row],[AF SALDO]] + tabItens[[#This Row],[Recentes]]</f>
        <v>1315</v>
      </c>
      <c r="AX161" s="404">
        <v>834</v>
      </c>
      <c r="AY161" s="404">
        <v>4</v>
      </c>
      <c r="AZ161" s="404">
        <f>IF(ISBLANK(tabItens[[#This Row],[CÓDIGO]]),"",tabItens[[#This Row],[PontoMês]] * (AZ$2+tabItens[[#This Row],[PontoQtM]]))</f>
        <v>3336</v>
      </c>
      <c r="BA161" s="403">
        <f>tabItens[[#This Row],[PontoPed]] - tabItens[[#This Row],[Saldo]] + (1/10)</f>
        <v>2021.1</v>
      </c>
      <c r="BB161" s="403">
        <f xml:space="preserve"> tabItens[[#This Row],[PontoMês]] * BB$2 - tabItens[[#This Row],[QTDE ATUAL]] - (1/10)</f>
        <v>-481.1</v>
      </c>
      <c r="BC161" s="335">
        <f>IF( tabItens[[#This Row],[PontoPed]]&gt;0, IF(tabItens[[#This Row],[PontoPed]]&lt;1, 1, IF( tabItens[[#This Row],[Saldo]]&gt;tabItens[[#This Row],[PontoPed]], 0, (tabItens[[#This Row],[PontoPed]]-tabItens[[#This Row],[Saldo]])/tabItens[[#This Row],[PontoPed]] ) ), 0 )</f>
        <v>0.60581534772182255</v>
      </c>
      <c r="BD161" s="405">
        <f>ROUNDDOWN(IF( OR( AND(tabItens[[#This Row],[PontoPed]]&lt;tabItens[[#This Row],[Saldo]],tabItens[[#This Row],[Saldo]]&gt;0), tabItens[[#This Row],[PontoPed]]=0), 99, IF(AND(tabItens[[#This Row],[Saldo]]=0,tabItens[[#This Row],[PontoPed]]&gt;0), 0, (1-tabItens[[#This Row],[PctAb]])*10 ) ),0)</f>
        <v>3</v>
      </c>
      <c r="BE161" s="406">
        <f>MAX(ROUNDDOWN( IF(tabItens[[#This Row],[Abaixo]] &gt; 0,   tabItens[[#This Row],[Abaixo]] + (tabItens[[#This Row],[PontoMês]] * IF( OR( ISBLANK(tabItens[[#This Row],[ATA Nº/ANO]]), tabItens[[#This Row],[ATA Nº/ANO]] = ""),BE$2,BE$1)),0),0),0)</f>
        <v>4523</v>
      </c>
      <c r="BF16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1" s="338">
        <f>SUMIF(Consumo!$C$3:$C$862,tabItens[[#This Row],[CÓDIGO]],Consumo!$E$3:$E$862)</f>
        <v>15</v>
      </c>
      <c r="BH161" s="339">
        <f>IF(AND(tabItens[[#This Row],[Pend]] &gt; 0,tabItens[[#This Row],[Consumo]] &lt;&gt; 0), tabItens[[#This Row],[Pend]] / tabItens[[#This Row],[Consumo]], 0 )</f>
        <v>1.9440124416796269E-3</v>
      </c>
      <c r="BI161" s="338"/>
      <c r="BJ161" s="407"/>
      <c r="BK161" s="408" t="s">
        <v>2086</v>
      </c>
    </row>
    <row r="162" spans="1:63" x14ac:dyDescent="0.3">
      <c r="A162" s="375">
        <v>23996</v>
      </c>
      <c r="B162" s="376" t="s">
        <v>1191</v>
      </c>
      <c r="C162" s="377" t="s">
        <v>260</v>
      </c>
      <c r="D162" s="378">
        <v>1.55</v>
      </c>
      <c r="E162" s="305"/>
      <c r="F162" s="379"/>
      <c r="G162" s="379" t="s">
        <v>889</v>
      </c>
      <c r="H162" s="380">
        <v>0</v>
      </c>
      <c r="I162" s="307">
        <v>103003</v>
      </c>
      <c r="J162" s="308">
        <v>1.55</v>
      </c>
      <c r="K162" s="381">
        <v>5315</v>
      </c>
      <c r="L162" s="382">
        <f>IF(tabItens[[#This Row],[Média]] &gt; 0, tabItens[[#This Row],[QTDE ATUAL]] / tabItens[[#This Row],[Média]],999.9)</f>
        <v>0</v>
      </c>
      <c r="M162" s="383">
        <v>0</v>
      </c>
      <c r="N162" s="384">
        <f>tabItens[[#This Row],[VALOR UNIT.]] * tabItens[[#This Row],[LC]]</f>
        <v>0</v>
      </c>
      <c r="O162" s="385" t="s">
        <v>2088</v>
      </c>
      <c r="P162" s="386"/>
      <c r="Q162" s="387"/>
      <c r="R162" s="312"/>
      <c r="S162" s="388"/>
      <c r="T162" s="389">
        <f>ROUNDDOWN(IFERROR(tabItens[[#This Row],[ATA DT.VALID.]] - $D$1,0) / 30,0)</f>
        <v>-1474</v>
      </c>
      <c r="U162" s="302" t="s">
        <v>1136</v>
      </c>
      <c r="V162" s="318">
        <v>1</v>
      </c>
      <c r="W162" s="390" t="s">
        <v>2074</v>
      </c>
      <c r="X162" s="391">
        <v>57</v>
      </c>
      <c r="Y162" s="392">
        <v>2</v>
      </c>
      <c r="Z162" s="393">
        <v>6216</v>
      </c>
      <c r="AA162" s="394">
        <v>2023</v>
      </c>
      <c r="AB162" s="395">
        <v>2000</v>
      </c>
      <c r="AC162" s="395"/>
      <c r="AD162" s="394"/>
      <c r="AE162" s="395"/>
      <c r="AF162" s="317"/>
      <c r="AG162" s="396" t="s">
        <v>2072</v>
      </c>
      <c r="AH162" s="397"/>
      <c r="AI162" s="317">
        <v>2716</v>
      </c>
      <c r="AJ162" s="397">
        <v>44966</v>
      </c>
      <c r="AK162" s="326" t="s">
        <v>889</v>
      </c>
      <c r="AL162" s="326">
        <v>45049</v>
      </c>
      <c r="AM162" s="316"/>
      <c r="AN162" s="305"/>
      <c r="AO162" s="327" t="str">
        <f>_xlfn.IFNA(IF(VLOOKUP(tabItens[[#This Row],[CÓDIGO]],tabExcluirDoEstoque[#Data],1,FALSE),"sim",""),"")</f>
        <v/>
      </c>
      <c r="AP162" s="398" t="str">
        <f ca="1">IF(OR(ISBLANK(tabItens[[#This Row],[ATA DT.VALID.]]),tabItens[[#This Row],[ATA DT.VALID.]]="",tabItens[[#This Row],[ATA DT.VALID.]]=" "),"",IF(TYPE(tabItens[[#This Row],[ATA DT.VALID.]])=1,ROUNDUP((tabItens[[#This Row],[ATA DT.VALID.]]-TODAY())/7,0),""))</f>
        <v/>
      </c>
      <c r="AQ162" s="399">
        <v>0</v>
      </c>
      <c r="AR162" s="400" t="str">
        <f>IF(ISBLANK(tabItens[[#This Row],[CÓDIGO]]),"",IFERROR(VLOOKUP(tabItens[[#This Row],[CÓDIGO]],Consumo!$C$2:$AC$862,26,FALSE),0))</f>
        <v>09.2023</v>
      </c>
      <c r="AS162" s="401">
        <f>SUMIF(Consumo!$C$3:$C$862,tabItens[[#This Row],[CÓDIGO]],Consumo!$N$3:$N$862) + SUMIF(Consumo!$C$3:$C$862,tabItens[[#This Row],[CÓDIGO]],Consumo!$O$3:$O$862) + SUMIF(Consumo!$C$3:$C$862,tabItens[[#This Row],[CÓDIGO]],Consumo!$P$3:$P$862) + SUMIF(Consumo!$C$3:$C$862,tabItens[[#This Row],[CÓDIGO]],Consumo!$Q$3:$Q$862)</f>
        <v>3094</v>
      </c>
      <c r="AT162" s="401">
        <f>SUMIF(Consumo!$C$3:$C$862,tabItens[[#This Row],[CÓDIGO]],Consumo!$Z$3:$Z$862)</f>
        <v>8244</v>
      </c>
      <c r="AU162" s="402">
        <f>SUMIF(Consumo!$C$3:$C$862,tabItens[[#This Row],[CÓDIGO]],Consumo!$AA$3:$AA$862)</f>
        <v>1131</v>
      </c>
      <c r="AV162" s="403">
        <f>SUMIF(Consumo!$C$3:$C$862,tabItens[[#This Row],[CÓDIGO]],Consumo!$Y$3:$Y$862)</f>
        <v>687</v>
      </c>
      <c r="AW162" s="380">
        <f>tabItens[[#This Row],[QTDE ATUAL]] + tabItens[[#This Row],[RC QTDE]] + tabItens[[#This Row],[AF SALDO]] + tabItens[[#This Row],[Recentes]]</f>
        <v>2000</v>
      </c>
      <c r="AX162" s="404">
        <v>834</v>
      </c>
      <c r="AY162" s="404">
        <v>4</v>
      </c>
      <c r="AZ162" s="404">
        <f>IF(ISBLANK(tabItens[[#This Row],[CÓDIGO]]),"",tabItens[[#This Row],[PontoMês]] * (AZ$2+tabItens[[#This Row],[PontoQtM]]))</f>
        <v>3336</v>
      </c>
      <c r="BA162" s="403">
        <f>tabItens[[#This Row],[PontoPed]] - tabItens[[#This Row],[Saldo]] + (1/10)</f>
        <v>1336.1</v>
      </c>
      <c r="BB162" s="403">
        <f xml:space="preserve"> tabItens[[#This Row],[PontoMês]] * BB$2 - tabItens[[#This Row],[QTDE ATUAL]] - (1/10)</f>
        <v>833.9</v>
      </c>
      <c r="BC162" s="335">
        <f>IF( tabItens[[#This Row],[PontoPed]]&gt;0, IF(tabItens[[#This Row],[PontoPed]]&lt;1, 1, IF( tabItens[[#This Row],[Saldo]]&gt;tabItens[[#This Row],[PontoPed]], 0, (tabItens[[#This Row],[PontoPed]]-tabItens[[#This Row],[Saldo]])/tabItens[[#This Row],[PontoPed]] ) ), 0 )</f>
        <v>0.40047961630695444</v>
      </c>
      <c r="BD162" s="405">
        <f>ROUNDDOWN(IF( OR( AND(tabItens[[#This Row],[PontoPed]]&lt;tabItens[[#This Row],[Saldo]],tabItens[[#This Row],[Saldo]]&gt;0), tabItens[[#This Row],[PontoPed]]=0), 99, IF(AND(tabItens[[#This Row],[Saldo]]=0,tabItens[[#This Row],[PontoPed]]&gt;0), 0, (1-tabItens[[#This Row],[PctAb]])*10 ) ),0)</f>
        <v>5</v>
      </c>
      <c r="BE162" s="406">
        <f>MAX(ROUNDDOWN( IF(tabItens[[#This Row],[Abaixo]] &gt; 0,   tabItens[[#This Row],[Abaixo]] + (tabItens[[#This Row],[PontoMês]] * IF( OR( ISBLANK(tabItens[[#This Row],[ATA Nº/ANO]]), tabItens[[#This Row],[ATA Nº/ANO]] = ""),BE$2,BE$1)),0),0),0)</f>
        <v>3838</v>
      </c>
      <c r="BF16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2" s="338">
        <f>SUMIF(Consumo!$C$3:$C$862,tabItens[[#This Row],[CÓDIGO]],Consumo!$E$3:$E$862)</f>
        <v>99</v>
      </c>
      <c r="BH162" s="339">
        <f>IF(AND(tabItens[[#This Row],[Pend]] &gt; 0,tabItens[[#This Row],[Consumo]] &lt;&gt; 0), tabItens[[#This Row],[Pend]] / tabItens[[#This Row],[Consumo]], 0 )</f>
        <v>1.2008733624454149E-2</v>
      </c>
      <c r="BI162" s="338"/>
      <c r="BJ162" s="407"/>
      <c r="BK162" s="408" t="s">
        <v>2086</v>
      </c>
    </row>
    <row r="163" spans="1:63" x14ac:dyDescent="0.3">
      <c r="A163" s="375">
        <v>24476</v>
      </c>
      <c r="B163" s="376" t="s">
        <v>1199</v>
      </c>
      <c r="C163" s="377" t="s">
        <v>260</v>
      </c>
      <c r="D163" s="378">
        <v>1.71</v>
      </c>
      <c r="E163" s="305"/>
      <c r="F163" s="379"/>
      <c r="G163" s="379" t="s">
        <v>889</v>
      </c>
      <c r="H163" s="380">
        <v>0</v>
      </c>
      <c r="I163" s="307">
        <v>103003</v>
      </c>
      <c r="J163" s="308">
        <v>1.71</v>
      </c>
      <c r="K163" s="381">
        <v>5373</v>
      </c>
      <c r="L163" s="382">
        <f>IF(tabItens[[#This Row],[Média]] &gt; 0, tabItens[[#This Row],[QTDE ATUAL]] / tabItens[[#This Row],[Média]],999.9)</f>
        <v>0</v>
      </c>
      <c r="M163" s="383">
        <v>0</v>
      </c>
      <c r="N163" s="384">
        <f>tabItens[[#This Row],[VALOR UNIT.]] * tabItens[[#This Row],[LC]]</f>
        <v>0</v>
      </c>
      <c r="O163" s="385" t="s">
        <v>2088</v>
      </c>
      <c r="P163" s="386"/>
      <c r="Q163" s="387"/>
      <c r="R163" s="312"/>
      <c r="S163" s="388"/>
      <c r="T163" s="389">
        <f>ROUNDDOWN(IFERROR(tabItens[[#This Row],[ATA DT.VALID.]] - $D$1,0) / 30,0)</f>
        <v>-1474</v>
      </c>
      <c r="U163" s="302" t="s">
        <v>1136</v>
      </c>
      <c r="V163" s="318">
        <v>1</v>
      </c>
      <c r="W163" s="390" t="s">
        <v>2074</v>
      </c>
      <c r="X163" s="391">
        <v>57</v>
      </c>
      <c r="Y163" s="392">
        <v>2</v>
      </c>
      <c r="Z163" s="393">
        <v>6216</v>
      </c>
      <c r="AA163" s="394">
        <v>2023</v>
      </c>
      <c r="AB163" s="395">
        <v>2000</v>
      </c>
      <c r="AC163" s="395"/>
      <c r="AD163" s="394"/>
      <c r="AE163" s="395"/>
      <c r="AF163" s="317"/>
      <c r="AG163" s="396" t="s">
        <v>2072</v>
      </c>
      <c r="AH163" s="397"/>
      <c r="AI163" s="317">
        <v>2802</v>
      </c>
      <c r="AJ163" s="397">
        <v>44974</v>
      </c>
      <c r="AK163" s="326" t="s">
        <v>889</v>
      </c>
      <c r="AL163" s="326">
        <v>45083</v>
      </c>
      <c r="AM163" s="316"/>
      <c r="AN163" s="305"/>
      <c r="AO163" s="327" t="str">
        <f>_xlfn.IFNA(IF(VLOOKUP(tabItens[[#This Row],[CÓDIGO]],tabExcluirDoEstoque[#Data],1,FALSE),"sim",""),"")</f>
        <v/>
      </c>
      <c r="AP163" s="398" t="str">
        <f ca="1">IF(OR(ISBLANK(tabItens[[#This Row],[ATA DT.VALID.]]),tabItens[[#This Row],[ATA DT.VALID.]]="",tabItens[[#This Row],[ATA DT.VALID.]]=" "),"",IF(TYPE(tabItens[[#This Row],[ATA DT.VALID.]])=1,ROUNDUP((tabItens[[#This Row],[ATA DT.VALID.]]-TODAY())/7,0),""))</f>
        <v/>
      </c>
      <c r="AQ163" s="399">
        <v>0</v>
      </c>
      <c r="AR163" s="400" t="str">
        <f>IF(ISBLANK(tabItens[[#This Row],[CÓDIGO]]),"",IFERROR(VLOOKUP(tabItens[[#This Row],[CÓDIGO]],Consumo!$C$2:$AC$862,26,FALSE),0))</f>
        <v>09.2023</v>
      </c>
      <c r="AS163" s="401">
        <f>SUMIF(Consumo!$C$3:$C$862,tabItens[[#This Row],[CÓDIGO]],Consumo!$N$3:$N$862) + SUMIF(Consumo!$C$3:$C$862,tabItens[[#This Row],[CÓDIGO]],Consumo!$O$3:$O$862) + SUMIF(Consumo!$C$3:$C$862,tabItens[[#This Row],[CÓDIGO]],Consumo!$P$3:$P$862) + SUMIF(Consumo!$C$3:$C$862,tabItens[[#This Row],[CÓDIGO]],Consumo!$Q$3:$Q$862)</f>
        <v>3130</v>
      </c>
      <c r="AT163" s="401">
        <f>SUMIF(Consumo!$C$3:$C$862,tabItens[[#This Row],[CÓDIGO]],Consumo!$Z$3:$Z$862)</f>
        <v>8440</v>
      </c>
      <c r="AU163" s="402">
        <f>SUMIF(Consumo!$C$3:$C$862,tabItens[[#This Row],[CÓDIGO]],Consumo!$AA$3:$AA$862)</f>
        <v>1100</v>
      </c>
      <c r="AV163" s="403">
        <f>SUMIF(Consumo!$C$3:$C$862,tabItens[[#This Row],[CÓDIGO]],Consumo!$Y$3:$Y$862)</f>
        <v>703.33333333333337</v>
      </c>
      <c r="AW163" s="380">
        <f>tabItens[[#This Row],[QTDE ATUAL]] + tabItens[[#This Row],[RC QTDE]] + tabItens[[#This Row],[AF SALDO]] + tabItens[[#This Row],[Recentes]]</f>
        <v>2000</v>
      </c>
      <c r="AX163" s="404">
        <v>834</v>
      </c>
      <c r="AY163" s="404">
        <v>4</v>
      </c>
      <c r="AZ163" s="404">
        <f>IF(ISBLANK(tabItens[[#This Row],[CÓDIGO]]),"",tabItens[[#This Row],[PontoMês]] * (AZ$2+tabItens[[#This Row],[PontoQtM]]))</f>
        <v>3336</v>
      </c>
      <c r="BA163" s="403">
        <f>tabItens[[#This Row],[PontoPed]] - tabItens[[#This Row],[Saldo]] + (1/10)</f>
        <v>1336.1</v>
      </c>
      <c r="BB163" s="403">
        <f xml:space="preserve"> tabItens[[#This Row],[PontoMês]] * BB$2 - tabItens[[#This Row],[QTDE ATUAL]] - (1/10)</f>
        <v>833.9</v>
      </c>
      <c r="BC163" s="335">
        <f>IF( tabItens[[#This Row],[PontoPed]]&gt;0, IF(tabItens[[#This Row],[PontoPed]]&lt;1, 1, IF( tabItens[[#This Row],[Saldo]]&gt;tabItens[[#This Row],[PontoPed]], 0, (tabItens[[#This Row],[PontoPed]]-tabItens[[#This Row],[Saldo]])/tabItens[[#This Row],[PontoPed]] ) ), 0 )</f>
        <v>0.40047961630695444</v>
      </c>
      <c r="BD163" s="405">
        <f>ROUNDDOWN(IF( OR( AND(tabItens[[#This Row],[PontoPed]]&lt;tabItens[[#This Row],[Saldo]],tabItens[[#This Row],[Saldo]]&gt;0), tabItens[[#This Row],[PontoPed]]=0), 99, IF(AND(tabItens[[#This Row],[Saldo]]=0,tabItens[[#This Row],[PontoPed]]&gt;0), 0, (1-tabItens[[#This Row],[PctAb]])*10 ) ),0)</f>
        <v>5</v>
      </c>
      <c r="BE163" s="406">
        <f>MAX(ROUNDDOWN( IF(tabItens[[#This Row],[Abaixo]] &gt; 0,   tabItens[[#This Row],[Abaixo]] + (tabItens[[#This Row],[PontoMês]] * IF( OR( ISBLANK(tabItens[[#This Row],[ATA Nº/ANO]]), tabItens[[#This Row],[ATA Nº/ANO]] = ""),BE$2,BE$1)),0),0),0)</f>
        <v>3838</v>
      </c>
      <c r="BF16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3" s="338">
        <f>SUMIF(Consumo!$C$3:$C$862,tabItens[[#This Row],[CÓDIGO]],Consumo!$E$3:$E$862)</f>
        <v>35</v>
      </c>
      <c r="BH163" s="339">
        <f>IF(AND(tabItens[[#This Row],[Pend]] &gt; 0,tabItens[[#This Row],[Consumo]] &lt;&gt; 0), tabItens[[#This Row],[Pend]] / tabItens[[#This Row],[Consumo]], 0 )</f>
        <v>4.1469194312796212E-3</v>
      </c>
      <c r="BI163" s="338"/>
      <c r="BJ163" s="407"/>
      <c r="BK163" s="408" t="s">
        <v>2086</v>
      </c>
    </row>
    <row r="164" spans="1:63" x14ac:dyDescent="0.3">
      <c r="A164" s="375">
        <v>24477</v>
      </c>
      <c r="B164" s="376" t="s">
        <v>1200</v>
      </c>
      <c r="C164" s="377" t="s">
        <v>260</v>
      </c>
      <c r="D164" s="378">
        <v>1.55</v>
      </c>
      <c r="E164" s="305"/>
      <c r="F164" s="379"/>
      <c r="G164" s="379" t="s">
        <v>889</v>
      </c>
      <c r="H164" s="380">
        <v>0</v>
      </c>
      <c r="I164" s="307">
        <v>103003</v>
      </c>
      <c r="J164" s="308">
        <v>1.55</v>
      </c>
      <c r="K164" s="381">
        <v>5268</v>
      </c>
      <c r="L164" s="382">
        <f>IF(tabItens[[#This Row],[Média]] &gt; 0, tabItens[[#This Row],[QTDE ATUAL]] / tabItens[[#This Row],[Média]],999.9)</f>
        <v>0</v>
      </c>
      <c r="M164" s="383">
        <v>0</v>
      </c>
      <c r="N164" s="384">
        <f>tabItens[[#This Row],[VALOR UNIT.]] * tabItens[[#This Row],[LC]]</f>
        <v>0</v>
      </c>
      <c r="O164" s="385" t="s">
        <v>2088</v>
      </c>
      <c r="P164" s="386"/>
      <c r="Q164" s="387"/>
      <c r="R164" s="312"/>
      <c r="S164" s="388"/>
      <c r="T164" s="389">
        <f>ROUNDDOWN(IFERROR(tabItens[[#This Row],[ATA DT.VALID.]] - $D$1,0) / 30,0)</f>
        <v>-1474</v>
      </c>
      <c r="U164" s="302" t="s">
        <v>1136</v>
      </c>
      <c r="V164" s="318">
        <v>1</v>
      </c>
      <c r="W164" s="390" t="s">
        <v>2074</v>
      </c>
      <c r="X164" s="391">
        <v>57</v>
      </c>
      <c r="Y164" s="392">
        <v>2</v>
      </c>
      <c r="Z164" s="393">
        <v>6987</v>
      </c>
      <c r="AA164" s="394">
        <v>2023</v>
      </c>
      <c r="AB164" s="395">
        <v>1400</v>
      </c>
      <c r="AC164" s="395"/>
      <c r="AD164" s="394"/>
      <c r="AE164" s="395"/>
      <c r="AF164" s="317"/>
      <c r="AG164" s="396" t="s">
        <v>2072</v>
      </c>
      <c r="AH164" s="397"/>
      <c r="AI164" s="317">
        <v>2694</v>
      </c>
      <c r="AJ164" s="397">
        <v>44966</v>
      </c>
      <c r="AK164" s="326" t="s">
        <v>889</v>
      </c>
      <c r="AL164" s="326">
        <v>45049</v>
      </c>
      <c r="AM164" s="316"/>
      <c r="AN164" s="305"/>
      <c r="AO164" s="327" t="str">
        <f>_xlfn.IFNA(IF(VLOOKUP(tabItens[[#This Row],[CÓDIGO]],tabExcluirDoEstoque[#Data],1,FALSE),"sim",""),"")</f>
        <v/>
      </c>
      <c r="AP164" s="398" t="str">
        <f ca="1">IF(OR(ISBLANK(tabItens[[#This Row],[ATA DT.VALID.]]),tabItens[[#This Row],[ATA DT.VALID.]]="",tabItens[[#This Row],[ATA DT.VALID.]]=" "),"",IF(TYPE(tabItens[[#This Row],[ATA DT.VALID.]])=1,ROUNDUP((tabItens[[#This Row],[ATA DT.VALID.]]-TODAY())/7,0),""))</f>
        <v/>
      </c>
      <c r="AQ164" s="399">
        <v>0</v>
      </c>
      <c r="AR164" s="400" t="str">
        <f>IF(ISBLANK(tabItens[[#This Row],[CÓDIGO]]),"",IFERROR(VLOOKUP(tabItens[[#This Row],[CÓDIGO]],Consumo!$C$2:$AC$862,26,FALSE),0))</f>
        <v>09.2023</v>
      </c>
      <c r="AS164" s="401">
        <f>SUMIF(Consumo!$C$3:$C$862,tabItens[[#This Row],[CÓDIGO]],Consumo!$N$3:$N$862) + SUMIF(Consumo!$C$3:$C$862,tabItens[[#This Row],[CÓDIGO]],Consumo!$O$3:$O$862) + SUMIF(Consumo!$C$3:$C$862,tabItens[[#This Row],[CÓDIGO]],Consumo!$P$3:$P$862) + SUMIF(Consumo!$C$3:$C$862,tabItens[[#This Row],[CÓDIGO]],Consumo!$Q$3:$Q$862)</f>
        <v>2657</v>
      </c>
      <c r="AT164" s="401">
        <f>SUMIF(Consumo!$C$3:$C$862,tabItens[[#This Row],[CÓDIGO]],Consumo!$Z$3:$Z$862)</f>
        <v>8263</v>
      </c>
      <c r="AU164" s="402">
        <f>SUMIF(Consumo!$C$3:$C$862,tabItens[[#This Row],[CÓDIGO]],Consumo!$AA$3:$AA$862)</f>
        <v>1100</v>
      </c>
      <c r="AV164" s="403">
        <f>SUMIF(Consumo!$C$3:$C$862,tabItens[[#This Row],[CÓDIGO]],Consumo!$Y$3:$Y$862)</f>
        <v>688.58333333333337</v>
      </c>
      <c r="AW164" s="380">
        <f>tabItens[[#This Row],[QTDE ATUAL]] + tabItens[[#This Row],[RC QTDE]] + tabItens[[#This Row],[AF SALDO]] + tabItens[[#This Row],[Recentes]]</f>
        <v>1400</v>
      </c>
      <c r="AX164" s="404">
        <v>834</v>
      </c>
      <c r="AY164" s="404">
        <v>4</v>
      </c>
      <c r="AZ164" s="404">
        <f>IF(ISBLANK(tabItens[[#This Row],[CÓDIGO]]),"",tabItens[[#This Row],[PontoMês]] * (AZ$2+tabItens[[#This Row],[PontoQtM]]))</f>
        <v>3336</v>
      </c>
      <c r="BA164" s="403">
        <f>tabItens[[#This Row],[PontoPed]] - tabItens[[#This Row],[Saldo]] + (1/10)</f>
        <v>1936.1</v>
      </c>
      <c r="BB164" s="403">
        <f xml:space="preserve"> tabItens[[#This Row],[PontoMês]] * BB$2 - tabItens[[#This Row],[QTDE ATUAL]] - (1/10)</f>
        <v>833.9</v>
      </c>
      <c r="BC164" s="335">
        <f>IF( tabItens[[#This Row],[PontoPed]]&gt;0, IF(tabItens[[#This Row],[PontoPed]]&lt;1, 1, IF( tabItens[[#This Row],[Saldo]]&gt;tabItens[[#This Row],[PontoPed]], 0, (tabItens[[#This Row],[PontoPed]]-tabItens[[#This Row],[Saldo]])/tabItens[[#This Row],[PontoPed]] ) ), 0 )</f>
        <v>0.58033573141486805</v>
      </c>
      <c r="BD164" s="405">
        <f>ROUNDDOWN(IF( OR( AND(tabItens[[#This Row],[PontoPed]]&lt;tabItens[[#This Row],[Saldo]],tabItens[[#This Row],[Saldo]]&gt;0), tabItens[[#This Row],[PontoPed]]=0), 99, IF(AND(tabItens[[#This Row],[Saldo]]=0,tabItens[[#This Row],[PontoPed]]&gt;0), 0, (1-tabItens[[#This Row],[PctAb]])*10 ) ),0)</f>
        <v>4</v>
      </c>
      <c r="BE164" s="406">
        <f>MAX(ROUNDDOWN( IF(tabItens[[#This Row],[Abaixo]] &gt; 0,   tabItens[[#This Row],[Abaixo]] + (tabItens[[#This Row],[PontoMês]] * IF( OR( ISBLANK(tabItens[[#This Row],[ATA Nº/ANO]]), tabItens[[#This Row],[ATA Nº/ANO]] = ""),BE$2,BE$1)),0),0),0)</f>
        <v>4438</v>
      </c>
      <c r="BF16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4" s="338">
        <f>SUMIF(Consumo!$C$3:$C$862,tabItens[[#This Row],[CÓDIGO]],Consumo!$E$3:$E$862)</f>
        <v>179</v>
      </c>
      <c r="BH164" s="339">
        <f>IF(AND(tabItens[[#This Row],[Pend]] &gt; 0,tabItens[[#This Row],[Consumo]] &lt;&gt; 0), tabItens[[#This Row],[Pend]] / tabItens[[#This Row],[Consumo]], 0 )</f>
        <v>2.1662834321674936E-2</v>
      </c>
      <c r="BI164" s="338"/>
      <c r="BJ164" s="407"/>
      <c r="BK164" s="408" t="s">
        <v>2086</v>
      </c>
    </row>
    <row r="165" spans="1:63" x14ac:dyDescent="0.3">
      <c r="A165" s="375">
        <v>25559</v>
      </c>
      <c r="B165" s="376" t="s">
        <v>1206</v>
      </c>
      <c r="C165" s="377" t="s">
        <v>380</v>
      </c>
      <c r="D165" s="378">
        <v>1.6</v>
      </c>
      <c r="E165" s="305"/>
      <c r="F165" s="379"/>
      <c r="G165" s="379" t="s">
        <v>889</v>
      </c>
      <c r="H165" s="380">
        <v>3611</v>
      </c>
      <c r="I165" s="307">
        <v>103003</v>
      </c>
      <c r="J165" s="308">
        <v>1.6</v>
      </c>
      <c r="K165" s="381">
        <v>4301</v>
      </c>
      <c r="L165" s="382">
        <f>IF(tabItens[[#This Row],[Média]] &gt; 0, tabItens[[#This Row],[QTDE ATUAL]] / tabItens[[#This Row],[Média]],999.9)</f>
        <v>6.2690972222222223</v>
      </c>
      <c r="M165" s="383">
        <v>0</v>
      </c>
      <c r="N165" s="384">
        <f>tabItens[[#This Row],[VALOR UNIT.]] * tabItens[[#This Row],[LC]]</f>
        <v>0</v>
      </c>
      <c r="O165" s="385" t="s">
        <v>2088</v>
      </c>
      <c r="P165" s="386"/>
      <c r="Q165" s="387"/>
      <c r="R165" s="312"/>
      <c r="S165" s="388"/>
      <c r="T165" s="389">
        <f>ROUNDDOWN(IFERROR(tabItens[[#This Row],[ATA DT.VALID.]] - $D$1,0) / 30,0)</f>
        <v>-1474</v>
      </c>
      <c r="U165" s="302" t="s">
        <v>1136</v>
      </c>
      <c r="V165" s="318">
        <v>1</v>
      </c>
      <c r="W165" s="390" t="s">
        <v>2074</v>
      </c>
      <c r="X165" s="391">
        <v>57</v>
      </c>
      <c r="Y165" s="392">
        <v>2</v>
      </c>
      <c r="Z165" s="393"/>
      <c r="AA165" s="394"/>
      <c r="AB165" s="395"/>
      <c r="AC165" s="395"/>
      <c r="AD165" s="394"/>
      <c r="AE165" s="395"/>
      <c r="AF165" s="317"/>
      <c r="AG165" s="396" t="s">
        <v>2072</v>
      </c>
      <c r="AH165" s="397"/>
      <c r="AI165" s="317">
        <v>2558</v>
      </c>
      <c r="AJ165" s="397">
        <v>44203</v>
      </c>
      <c r="AK165" s="326" t="s">
        <v>889</v>
      </c>
      <c r="AL165" s="326">
        <v>45083</v>
      </c>
      <c r="AM165" s="316"/>
      <c r="AN165" s="305"/>
      <c r="AO165" s="327" t="str">
        <f>_xlfn.IFNA(IF(VLOOKUP(tabItens[[#This Row],[CÓDIGO]],tabExcluirDoEstoque[#Data],1,FALSE),"sim",""),"")</f>
        <v/>
      </c>
      <c r="AP165" s="398" t="str">
        <f ca="1">IF(OR(ISBLANK(tabItens[[#This Row],[ATA DT.VALID.]]),tabItens[[#This Row],[ATA DT.VALID.]]="",tabItens[[#This Row],[ATA DT.VALID.]]=" "),"",IF(TYPE(tabItens[[#This Row],[ATA DT.VALID.]])=1,ROUNDUP((tabItens[[#This Row],[ATA DT.VALID.]]-TODAY())/7,0),""))</f>
        <v/>
      </c>
      <c r="AQ165" s="399">
        <v>0</v>
      </c>
      <c r="AR165" s="400" t="str">
        <f>IF(ISBLANK(tabItens[[#This Row],[CÓDIGO]]),"",IFERROR(VLOOKUP(tabItens[[#This Row],[CÓDIGO]],Consumo!$C$2:$AC$862,26,FALSE),0))</f>
        <v>09.2023</v>
      </c>
      <c r="AS165" s="401">
        <f>SUMIF(Consumo!$C$3:$C$862,tabItens[[#This Row],[CÓDIGO]],Consumo!$N$3:$N$862) + SUMIF(Consumo!$C$3:$C$862,tabItens[[#This Row],[CÓDIGO]],Consumo!$O$3:$O$862) + SUMIF(Consumo!$C$3:$C$862,tabItens[[#This Row],[CÓDIGO]],Consumo!$P$3:$P$862) + SUMIF(Consumo!$C$3:$C$862,tabItens[[#This Row],[CÓDIGO]],Consumo!$Q$3:$Q$862)</f>
        <v>2457</v>
      </c>
      <c r="AT165" s="401">
        <f>SUMIF(Consumo!$C$3:$C$862,tabItens[[#This Row],[CÓDIGO]],Consumo!$Z$3:$Z$862)</f>
        <v>6922</v>
      </c>
      <c r="AU165" s="402">
        <f>SUMIF(Consumo!$C$3:$C$862,tabItens[[#This Row],[CÓDIGO]],Consumo!$AA$3:$AA$862)</f>
        <v>965</v>
      </c>
      <c r="AV165" s="403">
        <f>SUMIF(Consumo!$C$3:$C$862,tabItens[[#This Row],[CÓDIGO]],Consumo!$Y$3:$Y$862)</f>
        <v>576</v>
      </c>
      <c r="AW165" s="380">
        <f>tabItens[[#This Row],[QTDE ATUAL]] + tabItens[[#This Row],[RC QTDE]] + tabItens[[#This Row],[AF SALDO]] + tabItens[[#This Row],[Recentes]]</f>
        <v>3611</v>
      </c>
      <c r="AX165" s="404">
        <v>834</v>
      </c>
      <c r="AY165" s="404">
        <v>4</v>
      </c>
      <c r="AZ165" s="404">
        <f>IF(ISBLANK(tabItens[[#This Row],[CÓDIGO]]),"",tabItens[[#This Row],[PontoMês]] * (AZ$2+tabItens[[#This Row],[PontoQtM]]))</f>
        <v>3336</v>
      </c>
      <c r="BA165" s="403">
        <f>tabItens[[#This Row],[PontoPed]] - tabItens[[#This Row],[Saldo]] + (1/10)</f>
        <v>-274.89999999999998</v>
      </c>
      <c r="BB165" s="403">
        <f xml:space="preserve"> tabItens[[#This Row],[PontoMês]] * BB$2 - tabItens[[#This Row],[QTDE ATUAL]] - (1/10)</f>
        <v>-2777.1</v>
      </c>
      <c r="BC165" s="335">
        <f>IF( tabItens[[#This Row],[PontoPed]]&gt;0, IF(tabItens[[#This Row],[PontoPed]]&lt;1, 1, IF( tabItens[[#This Row],[Saldo]]&gt;tabItens[[#This Row],[PontoPed]], 0, (tabItens[[#This Row],[PontoPed]]-tabItens[[#This Row],[Saldo]])/tabItens[[#This Row],[PontoPed]] ) ), 0 )</f>
        <v>0</v>
      </c>
      <c r="BD165" s="405">
        <f>ROUNDDOWN(IF( OR( AND(tabItens[[#This Row],[PontoPed]]&lt;tabItens[[#This Row],[Saldo]],tabItens[[#This Row],[Saldo]]&gt;0), tabItens[[#This Row],[PontoPed]]=0), 99, IF(AND(tabItens[[#This Row],[Saldo]]=0,tabItens[[#This Row],[PontoPed]]&gt;0), 0, (1-tabItens[[#This Row],[PctAb]])*10 ) ),0)</f>
        <v>99</v>
      </c>
      <c r="BE165" s="406">
        <f>MAX(ROUNDDOWN( IF(tabItens[[#This Row],[Abaixo]] &gt; 0,   tabItens[[#This Row],[Abaixo]] + (tabItens[[#This Row],[PontoMês]] * IF( OR( ISBLANK(tabItens[[#This Row],[ATA Nº/ANO]]), tabItens[[#This Row],[ATA Nº/ANO]] = ""),BE$2,BE$1)),0),0),0)</f>
        <v>0</v>
      </c>
      <c r="BF16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5" s="338">
        <f>SUMIF(Consumo!$C$3:$C$862,tabItens[[#This Row],[CÓDIGO]],Consumo!$E$3:$E$862)</f>
        <v>0</v>
      </c>
      <c r="BH165" s="339">
        <f>IF(AND(tabItens[[#This Row],[Pend]] &gt; 0,tabItens[[#This Row],[Consumo]] &lt;&gt; 0), tabItens[[#This Row],[Pend]] / tabItens[[#This Row],[Consumo]], 0 )</f>
        <v>0</v>
      </c>
      <c r="BI165" s="338"/>
      <c r="BJ165" s="407"/>
      <c r="BK165" s="408" t="s">
        <v>2086</v>
      </c>
    </row>
    <row r="166" spans="1:63" x14ac:dyDescent="0.3">
      <c r="A166" s="375">
        <v>27137</v>
      </c>
      <c r="B166" s="376" t="s">
        <v>1220</v>
      </c>
      <c r="C166" s="377" t="s">
        <v>380</v>
      </c>
      <c r="D166" s="378">
        <v>1.49</v>
      </c>
      <c r="E166" s="305"/>
      <c r="F166" s="379"/>
      <c r="G166" s="379" t="s">
        <v>889</v>
      </c>
      <c r="H166" s="380">
        <v>8585</v>
      </c>
      <c r="I166" s="307">
        <v>103003</v>
      </c>
      <c r="J166" s="308">
        <v>1.49</v>
      </c>
      <c r="K166" s="381">
        <v>3761</v>
      </c>
      <c r="L166" s="382">
        <f>IF(tabItens[[#This Row],[Média]] &gt; 0, tabItens[[#This Row],[QTDE ATUAL]] / tabItens[[#This Row],[Média]],999.9)</f>
        <v>17.458057956278598</v>
      </c>
      <c r="M166" s="383">
        <v>0</v>
      </c>
      <c r="N166" s="384">
        <f>tabItens[[#This Row],[VALOR UNIT.]] * tabItens[[#This Row],[LC]]</f>
        <v>0</v>
      </c>
      <c r="O166" s="385" t="s">
        <v>2088</v>
      </c>
      <c r="P166" s="386"/>
      <c r="Q166" s="387"/>
      <c r="R166" s="312"/>
      <c r="S166" s="388"/>
      <c r="T166" s="389">
        <f>ROUNDDOWN(IFERROR(tabItens[[#This Row],[ATA DT.VALID.]] - $D$1,0) / 30,0)</f>
        <v>-1474</v>
      </c>
      <c r="U166" s="302" t="s">
        <v>1136</v>
      </c>
      <c r="V166" s="318">
        <v>1</v>
      </c>
      <c r="W166" s="390" t="s">
        <v>2074</v>
      </c>
      <c r="X166" s="391">
        <v>57</v>
      </c>
      <c r="Y166" s="392">
        <v>2</v>
      </c>
      <c r="Z166" s="393"/>
      <c r="AA166" s="394"/>
      <c r="AB166" s="395"/>
      <c r="AC166" s="395"/>
      <c r="AD166" s="394"/>
      <c r="AE166" s="395"/>
      <c r="AF166" s="317"/>
      <c r="AG166" s="396" t="s">
        <v>2072</v>
      </c>
      <c r="AH166" s="397"/>
      <c r="AI166" s="317">
        <v>1980</v>
      </c>
      <c r="AJ166" s="397">
        <v>44133</v>
      </c>
      <c r="AK166" s="326" t="s">
        <v>889</v>
      </c>
      <c r="AL166" s="326">
        <v>44951</v>
      </c>
      <c r="AM166" s="316"/>
      <c r="AN166" s="305"/>
      <c r="AO166" s="327" t="str">
        <f>_xlfn.IFNA(IF(VLOOKUP(tabItens[[#This Row],[CÓDIGO]],tabExcluirDoEstoque[#Data],1,FALSE),"sim",""),"")</f>
        <v/>
      </c>
      <c r="AP166" s="398" t="str">
        <f ca="1">IF(OR(ISBLANK(tabItens[[#This Row],[ATA DT.VALID.]]),tabItens[[#This Row],[ATA DT.VALID.]]="",tabItens[[#This Row],[ATA DT.VALID.]]=" "),"",IF(TYPE(tabItens[[#This Row],[ATA DT.VALID.]])=1,ROUNDUP((tabItens[[#This Row],[ATA DT.VALID.]]-TODAY())/7,0),""))</f>
        <v/>
      </c>
      <c r="AQ166" s="399">
        <v>0</v>
      </c>
      <c r="AR166" s="400" t="str">
        <f>IF(ISBLANK(tabItens[[#This Row],[CÓDIGO]]),"",IFERROR(VLOOKUP(tabItens[[#This Row],[CÓDIGO]],Consumo!$C$2:$AC$862,26,FALSE),0))</f>
        <v>09.2023</v>
      </c>
      <c r="AS166" s="401">
        <f>SUMIF(Consumo!$C$3:$C$862,tabItens[[#This Row],[CÓDIGO]],Consumo!$N$3:$N$862) + SUMIF(Consumo!$C$3:$C$862,tabItens[[#This Row],[CÓDIGO]],Consumo!$O$3:$O$862) + SUMIF(Consumo!$C$3:$C$862,tabItens[[#This Row],[CÓDIGO]],Consumo!$P$3:$P$862) + SUMIF(Consumo!$C$3:$C$862,tabItens[[#This Row],[CÓDIGO]],Consumo!$Q$3:$Q$862)</f>
        <v>2196</v>
      </c>
      <c r="AT166" s="401">
        <f>SUMIF(Consumo!$C$3:$C$862,tabItens[[#This Row],[CÓDIGO]],Consumo!$Z$3:$Z$862)</f>
        <v>5938</v>
      </c>
      <c r="AU166" s="402">
        <f>SUMIF(Consumo!$C$3:$C$862,tabItens[[#This Row],[CÓDIGO]],Consumo!$AA$3:$AA$862)</f>
        <v>875</v>
      </c>
      <c r="AV166" s="403">
        <f>SUMIF(Consumo!$C$3:$C$862,tabItens[[#This Row],[CÓDIGO]],Consumo!$Y$3:$Y$862)</f>
        <v>491.75</v>
      </c>
      <c r="AW166" s="380">
        <f>tabItens[[#This Row],[QTDE ATUAL]] + tabItens[[#This Row],[RC QTDE]] + tabItens[[#This Row],[AF SALDO]] + tabItens[[#This Row],[Recentes]]</f>
        <v>8585</v>
      </c>
      <c r="AX166" s="404">
        <v>834</v>
      </c>
      <c r="AY166" s="404">
        <v>4</v>
      </c>
      <c r="AZ166" s="404">
        <f>IF(ISBLANK(tabItens[[#This Row],[CÓDIGO]]),"",tabItens[[#This Row],[PontoMês]] * (AZ$2+tabItens[[#This Row],[PontoQtM]]))</f>
        <v>3336</v>
      </c>
      <c r="BA166" s="403">
        <f>tabItens[[#This Row],[PontoPed]] - tabItens[[#This Row],[Saldo]] + (1/10)</f>
        <v>-5248.9</v>
      </c>
      <c r="BB166" s="403">
        <f xml:space="preserve"> tabItens[[#This Row],[PontoMês]] * BB$2 - tabItens[[#This Row],[QTDE ATUAL]] - (1/10)</f>
        <v>-7751.1</v>
      </c>
      <c r="BC166" s="335">
        <f>IF( tabItens[[#This Row],[PontoPed]]&gt;0, IF(tabItens[[#This Row],[PontoPed]]&lt;1, 1, IF( tabItens[[#This Row],[Saldo]]&gt;tabItens[[#This Row],[PontoPed]], 0, (tabItens[[#This Row],[PontoPed]]-tabItens[[#This Row],[Saldo]])/tabItens[[#This Row],[PontoPed]] ) ), 0 )</f>
        <v>0</v>
      </c>
      <c r="BD166" s="405">
        <f>ROUNDDOWN(IF( OR( AND(tabItens[[#This Row],[PontoPed]]&lt;tabItens[[#This Row],[Saldo]],tabItens[[#This Row],[Saldo]]&gt;0), tabItens[[#This Row],[PontoPed]]=0), 99, IF(AND(tabItens[[#This Row],[Saldo]]=0,tabItens[[#This Row],[PontoPed]]&gt;0), 0, (1-tabItens[[#This Row],[PctAb]])*10 ) ),0)</f>
        <v>99</v>
      </c>
      <c r="BE166" s="406">
        <f>MAX(ROUNDDOWN( IF(tabItens[[#This Row],[Abaixo]] &gt; 0,   tabItens[[#This Row],[Abaixo]] + (tabItens[[#This Row],[PontoMês]] * IF( OR( ISBLANK(tabItens[[#This Row],[ATA Nº/ANO]]), tabItens[[#This Row],[ATA Nº/ANO]] = ""),BE$2,BE$1)),0),0),0)</f>
        <v>0</v>
      </c>
      <c r="BF16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6" s="338">
        <f>SUMIF(Consumo!$C$3:$C$862,tabItens[[#This Row],[CÓDIGO]],Consumo!$E$3:$E$862)</f>
        <v>0</v>
      </c>
      <c r="BH166" s="339">
        <f>IF(AND(tabItens[[#This Row],[Pend]] &gt; 0,tabItens[[#This Row],[Consumo]] &lt;&gt; 0), tabItens[[#This Row],[Pend]] / tabItens[[#This Row],[Consumo]], 0 )</f>
        <v>0</v>
      </c>
      <c r="BI166" s="338"/>
      <c r="BJ166" s="407"/>
      <c r="BK166" s="408" t="s">
        <v>2086</v>
      </c>
    </row>
    <row r="167" spans="1:63" x14ac:dyDescent="0.3">
      <c r="A167" s="375">
        <v>27138</v>
      </c>
      <c r="B167" s="376" t="s">
        <v>1221</v>
      </c>
      <c r="C167" s="377" t="s">
        <v>380</v>
      </c>
      <c r="D167" s="378">
        <v>0.48</v>
      </c>
      <c r="E167" s="305"/>
      <c r="F167" s="379"/>
      <c r="G167" s="379" t="s">
        <v>889</v>
      </c>
      <c r="H167" s="380">
        <v>7416</v>
      </c>
      <c r="I167" s="307">
        <v>103003</v>
      </c>
      <c r="J167" s="308">
        <v>0.48</v>
      </c>
      <c r="K167" s="381">
        <v>3814</v>
      </c>
      <c r="L167" s="382">
        <f>IF(tabItens[[#This Row],[Média]] &gt; 0, tabItens[[#This Row],[QTDE ATUAL]] / tabItens[[#This Row],[Média]],999.9)</f>
        <v>14.47495120364346</v>
      </c>
      <c r="M167" s="383">
        <v>0</v>
      </c>
      <c r="N167" s="384">
        <f>tabItens[[#This Row],[VALOR UNIT.]] * tabItens[[#This Row],[LC]]</f>
        <v>0</v>
      </c>
      <c r="O167" s="385" t="s">
        <v>2088</v>
      </c>
      <c r="P167" s="386"/>
      <c r="Q167" s="387"/>
      <c r="R167" s="312"/>
      <c r="S167" s="388"/>
      <c r="T167" s="389">
        <f>ROUNDDOWN(IFERROR(tabItens[[#This Row],[ATA DT.VALID.]] - $D$1,0) / 30,0)</f>
        <v>-1474</v>
      </c>
      <c r="U167" s="302" t="s">
        <v>1136</v>
      </c>
      <c r="V167" s="318">
        <v>1</v>
      </c>
      <c r="W167" s="390" t="s">
        <v>2074</v>
      </c>
      <c r="X167" s="391">
        <v>57</v>
      </c>
      <c r="Y167" s="392">
        <v>2</v>
      </c>
      <c r="Z167" s="393"/>
      <c r="AA167" s="394"/>
      <c r="AB167" s="395"/>
      <c r="AC167" s="395"/>
      <c r="AD167" s="394"/>
      <c r="AE167" s="395"/>
      <c r="AF167" s="317"/>
      <c r="AG167" s="396" t="s">
        <v>2072</v>
      </c>
      <c r="AH167" s="397"/>
      <c r="AI167" s="317">
        <v>2050</v>
      </c>
      <c r="AJ167" s="397">
        <v>44133</v>
      </c>
      <c r="AK167" s="326" t="s">
        <v>889</v>
      </c>
      <c r="AL167" s="326">
        <v>44126</v>
      </c>
      <c r="AM167" s="316"/>
      <c r="AN167" s="305"/>
      <c r="AO167" s="327" t="str">
        <f>_xlfn.IFNA(IF(VLOOKUP(tabItens[[#This Row],[CÓDIGO]],tabExcluirDoEstoque[#Data],1,FALSE),"sim",""),"")</f>
        <v/>
      </c>
      <c r="AP167" s="398" t="str">
        <f ca="1">IF(OR(ISBLANK(tabItens[[#This Row],[ATA DT.VALID.]]),tabItens[[#This Row],[ATA DT.VALID.]]="",tabItens[[#This Row],[ATA DT.VALID.]]=" "),"",IF(TYPE(tabItens[[#This Row],[ATA DT.VALID.]])=1,ROUNDUP((tabItens[[#This Row],[ATA DT.VALID.]]-TODAY())/7,0),""))</f>
        <v/>
      </c>
      <c r="AQ167" s="399">
        <v>0</v>
      </c>
      <c r="AR167" s="400" t="str">
        <f>IF(ISBLANK(tabItens[[#This Row],[CÓDIGO]]),"",IFERROR(VLOOKUP(tabItens[[#This Row],[CÓDIGO]],Consumo!$C$2:$AC$862,26,FALSE),0))</f>
        <v>09.2023</v>
      </c>
      <c r="AS167" s="401">
        <f>SUMIF(Consumo!$C$3:$C$862,tabItens[[#This Row],[CÓDIGO]],Consumo!$N$3:$N$862) + SUMIF(Consumo!$C$3:$C$862,tabItens[[#This Row],[CÓDIGO]],Consumo!$O$3:$O$862) + SUMIF(Consumo!$C$3:$C$862,tabItens[[#This Row],[CÓDIGO]],Consumo!$P$3:$P$862) + SUMIF(Consumo!$C$3:$C$862,tabItens[[#This Row],[CÓDIGO]],Consumo!$Q$3:$Q$862)</f>
        <v>2320</v>
      </c>
      <c r="AT167" s="401">
        <f>SUMIF(Consumo!$C$3:$C$862,tabItens[[#This Row],[CÓDIGO]],Consumo!$Z$3:$Z$862)</f>
        <v>6148</v>
      </c>
      <c r="AU167" s="402">
        <f>SUMIF(Consumo!$C$3:$C$862,tabItens[[#This Row],[CÓDIGO]],Consumo!$AA$3:$AA$862)</f>
        <v>845</v>
      </c>
      <c r="AV167" s="403">
        <f>SUMIF(Consumo!$C$3:$C$862,tabItens[[#This Row],[CÓDIGO]],Consumo!$Y$3:$Y$862)</f>
        <v>512.33333333333337</v>
      </c>
      <c r="AW167" s="380">
        <f>tabItens[[#This Row],[QTDE ATUAL]] + tabItens[[#This Row],[RC QTDE]] + tabItens[[#This Row],[AF SALDO]] + tabItens[[#This Row],[Recentes]]</f>
        <v>7416</v>
      </c>
      <c r="AX167" s="404">
        <v>834</v>
      </c>
      <c r="AY167" s="404">
        <v>4</v>
      </c>
      <c r="AZ167" s="404">
        <f>IF(ISBLANK(tabItens[[#This Row],[CÓDIGO]]),"",tabItens[[#This Row],[PontoMês]] * (AZ$2+tabItens[[#This Row],[PontoQtM]]))</f>
        <v>3336</v>
      </c>
      <c r="BA167" s="403">
        <f>tabItens[[#This Row],[PontoPed]] - tabItens[[#This Row],[Saldo]] + (1/10)</f>
        <v>-4079.9</v>
      </c>
      <c r="BB167" s="403">
        <f xml:space="preserve"> tabItens[[#This Row],[PontoMês]] * BB$2 - tabItens[[#This Row],[QTDE ATUAL]] - (1/10)</f>
        <v>-6582.1</v>
      </c>
      <c r="BC167" s="335">
        <f>IF( tabItens[[#This Row],[PontoPed]]&gt;0, IF(tabItens[[#This Row],[PontoPed]]&lt;1, 1, IF( tabItens[[#This Row],[Saldo]]&gt;tabItens[[#This Row],[PontoPed]], 0, (tabItens[[#This Row],[PontoPed]]-tabItens[[#This Row],[Saldo]])/tabItens[[#This Row],[PontoPed]] ) ), 0 )</f>
        <v>0</v>
      </c>
      <c r="BD167" s="405">
        <f>ROUNDDOWN(IF( OR( AND(tabItens[[#This Row],[PontoPed]]&lt;tabItens[[#This Row],[Saldo]],tabItens[[#This Row],[Saldo]]&gt;0), tabItens[[#This Row],[PontoPed]]=0), 99, IF(AND(tabItens[[#This Row],[Saldo]]=0,tabItens[[#This Row],[PontoPed]]&gt;0), 0, (1-tabItens[[#This Row],[PctAb]])*10 ) ),0)</f>
        <v>99</v>
      </c>
      <c r="BE167" s="406">
        <f>MAX(ROUNDDOWN( IF(tabItens[[#This Row],[Abaixo]] &gt; 0,   tabItens[[#This Row],[Abaixo]] + (tabItens[[#This Row],[PontoMês]] * IF( OR( ISBLANK(tabItens[[#This Row],[ATA Nº/ANO]]), tabItens[[#This Row],[ATA Nº/ANO]] = ""),BE$2,BE$1)),0),0),0)</f>
        <v>0</v>
      </c>
      <c r="BF16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7" s="338">
        <f>SUMIF(Consumo!$C$3:$C$862,tabItens[[#This Row],[CÓDIGO]],Consumo!$E$3:$E$862)</f>
        <v>0</v>
      </c>
      <c r="BH167" s="339">
        <f>IF(AND(tabItens[[#This Row],[Pend]] &gt; 0,tabItens[[#This Row],[Consumo]] &lt;&gt; 0), tabItens[[#This Row],[Pend]] / tabItens[[#This Row],[Consumo]], 0 )</f>
        <v>0</v>
      </c>
      <c r="BI167" s="338"/>
      <c r="BJ167" s="407"/>
      <c r="BK167" s="408" t="s">
        <v>2086</v>
      </c>
    </row>
    <row r="168" spans="1:63" x14ac:dyDescent="0.3">
      <c r="A168" s="375">
        <v>27139</v>
      </c>
      <c r="B168" s="376" t="s">
        <v>1222</v>
      </c>
      <c r="C168" s="377" t="s">
        <v>380</v>
      </c>
      <c r="D168" s="378">
        <v>1.49</v>
      </c>
      <c r="E168" s="305"/>
      <c r="F168" s="379"/>
      <c r="G168" s="379" t="s">
        <v>889</v>
      </c>
      <c r="H168" s="380">
        <v>7253</v>
      </c>
      <c r="I168" s="307">
        <v>103003</v>
      </c>
      <c r="J168" s="308">
        <v>1.49</v>
      </c>
      <c r="K168" s="381">
        <v>3811</v>
      </c>
      <c r="L168" s="382">
        <f>IF(tabItens[[#This Row],[Média]] &gt; 0, tabItens[[#This Row],[QTDE ATUAL]] / tabItens[[#This Row],[Média]],999.9)</f>
        <v>14.532643179161797</v>
      </c>
      <c r="M168" s="383">
        <v>0</v>
      </c>
      <c r="N168" s="384">
        <f>tabItens[[#This Row],[VALOR UNIT.]] * tabItens[[#This Row],[LC]]</f>
        <v>0</v>
      </c>
      <c r="O168" s="385" t="s">
        <v>2088</v>
      </c>
      <c r="P168" s="386"/>
      <c r="Q168" s="387"/>
      <c r="R168" s="312"/>
      <c r="S168" s="388"/>
      <c r="T168" s="389">
        <f>ROUNDDOWN(IFERROR(tabItens[[#This Row],[ATA DT.VALID.]] - $D$1,0) / 30,0)</f>
        <v>-1474</v>
      </c>
      <c r="U168" s="302" t="s">
        <v>1136</v>
      </c>
      <c r="V168" s="318">
        <v>1</v>
      </c>
      <c r="W168" s="390" t="s">
        <v>2074</v>
      </c>
      <c r="X168" s="391">
        <v>57</v>
      </c>
      <c r="Y168" s="392">
        <v>2</v>
      </c>
      <c r="Z168" s="393"/>
      <c r="AA168" s="394"/>
      <c r="AB168" s="395"/>
      <c r="AC168" s="395"/>
      <c r="AD168" s="394"/>
      <c r="AE168" s="395"/>
      <c r="AF168" s="317"/>
      <c r="AG168" s="396" t="s">
        <v>2072</v>
      </c>
      <c r="AH168" s="397"/>
      <c r="AI168" s="317">
        <v>1996</v>
      </c>
      <c r="AJ168" s="397">
        <v>44133</v>
      </c>
      <c r="AK168" s="326" t="s">
        <v>889</v>
      </c>
      <c r="AL168" s="326">
        <v>44951</v>
      </c>
      <c r="AM168" s="316"/>
      <c r="AN168" s="305"/>
      <c r="AO168" s="327" t="str">
        <f>_xlfn.IFNA(IF(VLOOKUP(tabItens[[#This Row],[CÓDIGO]],tabExcluirDoEstoque[#Data],1,FALSE),"sim",""),"")</f>
        <v/>
      </c>
      <c r="AP168" s="398" t="str">
        <f ca="1">IF(OR(ISBLANK(tabItens[[#This Row],[ATA DT.VALID.]]),tabItens[[#This Row],[ATA DT.VALID.]]="",tabItens[[#This Row],[ATA DT.VALID.]]=" "),"",IF(TYPE(tabItens[[#This Row],[ATA DT.VALID.]])=1,ROUNDUP((tabItens[[#This Row],[ATA DT.VALID.]]-TODAY())/7,0),""))</f>
        <v/>
      </c>
      <c r="AQ168" s="399">
        <v>0</v>
      </c>
      <c r="AR168" s="400" t="str">
        <f>IF(ISBLANK(tabItens[[#This Row],[CÓDIGO]]),"",IFERROR(VLOOKUP(tabItens[[#This Row],[CÓDIGO]],Consumo!$C$2:$AC$862,26,FALSE),0))</f>
        <v>09.2023</v>
      </c>
      <c r="AS168" s="401">
        <f>SUMIF(Consumo!$C$3:$C$862,tabItens[[#This Row],[CÓDIGO]],Consumo!$N$3:$N$862) + SUMIF(Consumo!$C$3:$C$862,tabItens[[#This Row],[CÓDIGO]],Consumo!$O$3:$O$862) + SUMIF(Consumo!$C$3:$C$862,tabItens[[#This Row],[CÓDIGO]],Consumo!$P$3:$P$862) + SUMIF(Consumo!$C$3:$C$862,tabItens[[#This Row],[CÓDIGO]],Consumo!$Q$3:$Q$862)</f>
        <v>2224</v>
      </c>
      <c r="AT168" s="401">
        <f>SUMIF(Consumo!$C$3:$C$862,tabItens[[#This Row],[CÓDIGO]],Consumo!$Z$3:$Z$862)</f>
        <v>5989</v>
      </c>
      <c r="AU168" s="402">
        <f>SUMIF(Consumo!$C$3:$C$862,tabItens[[#This Row],[CÓDIGO]],Consumo!$AA$3:$AA$862)</f>
        <v>840</v>
      </c>
      <c r="AV168" s="403">
        <f>SUMIF(Consumo!$C$3:$C$862,tabItens[[#This Row],[CÓDIGO]],Consumo!$Y$3:$Y$862)</f>
        <v>499.08333333333331</v>
      </c>
      <c r="AW168" s="380">
        <f>tabItens[[#This Row],[QTDE ATUAL]] + tabItens[[#This Row],[RC QTDE]] + tabItens[[#This Row],[AF SALDO]] + tabItens[[#This Row],[Recentes]]</f>
        <v>7253</v>
      </c>
      <c r="AX168" s="404">
        <v>834</v>
      </c>
      <c r="AY168" s="404">
        <v>4</v>
      </c>
      <c r="AZ168" s="404">
        <f>IF(ISBLANK(tabItens[[#This Row],[CÓDIGO]]),"",tabItens[[#This Row],[PontoMês]] * (AZ$2+tabItens[[#This Row],[PontoQtM]]))</f>
        <v>3336</v>
      </c>
      <c r="BA168" s="403">
        <f>tabItens[[#This Row],[PontoPed]] - tabItens[[#This Row],[Saldo]] + (1/10)</f>
        <v>-3916.9</v>
      </c>
      <c r="BB168" s="403">
        <f xml:space="preserve"> tabItens[[#This Row],[PontoMês]] * BB$2 - tabItens[[#This Row],[QTDE ATUAL]] - (1/10)</f>
        <v>-6419.1</v>
      </c>
      <c r="BC168" s="335">
        <f>IF( tabItens[[#This Row],[PontoPed]]&gt;0, IF(tabItens[[#This Row],[PontoPed]]&lt;1, 1, IF( tabItens[[#This Row],[Saldo]]&gt;tabItens[[#This Row],[PontoPed]], 0, (tabItens[[#This Row],[PontoPed]]-tabItens[[#This Row],[Saldo]])/tabItens[[#This Row],[PontoPed]] ) ), 0 )</f>
        <v>0</v>
      </c>
      <c r="BD168" s="405">
        <f>ROUNDDOWN(IF( OR( AND(tabItens[[#This Row],[PontoPed]]&lt;tabItens[[#This Row],[Saldo]],tabItens[[#This Row],[Saldo]]&gt;0), tabItens[[#This Row],[PontoPed]]=0), 99, IF(AND(tabItens[[#This Row],[Saldo]]=0,tabItens[[#This Row],[PontoPed]]&gt;0), 0, (1-tabItens[[#This Row],[PctAb]])*10 ) ),0)</f>
        <v>99</v>
      </c>
      <c r="BE168" s="406">
        <f>MAX(ROUNDDOWN( IF(tabItens[[#This Row],[Abaixo]] &gt; 0,   tabItens[[#This Row],[Abaixo]] + (tabItens[[#This Row],[PontoMês]] * IF( OR( ISBLANK(tabItens[[#This Row],[ATA Nº/ANO]]), tabItens[[#This Row],[ATA Nº/ANO]] = ""),BE$2,BE$1)),0),0),0)</f>
        <v>0</v>
      </c>
      <c r="BF16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8" s="338">
        <f>SUMIF(Consumo!$C$3:$C$862,tabItens[[#This Row],[CÓDIGO]],Consumo!$E$3:$E$862)</f>
        <v>0</v>
      </c>
      <c r="BH168" s="339">
        <f>IF(AND(tabItens[[#This Row],[Pend]] &gt; 0,tabItens[[#This Row],[Consumo]] &lt;&gt; 0), tabItens[[#This Row],[Pend]] / tabItens[[#This Row],[Consumo]], 0 )</f>
        <v>0</v>
      </c>
      <c r="BI168" s="338"/>
      <c r="BJ168" s="407"/>
      <c r="BK168" s="408" t="s">
        <v>2086</v>
      </c>
    </row>
    <row r="169" spans="1:63" x14ac:dyDescent="0.3">
      <c r="A169" s="375">
        <v>27140</v>
      </c>
      <c r="B169" s="376" t="s">
        <v>1223</v>
      </c>
      <c r="C169" s="377" t="s">
        <v>380</v>
      </c>
      <c r="D169" s="378">
        <v>1.6</v>
      </c>
      <c r="E169" s="305"/>
      <c r="F169" s="379"/>
      <c r="G169" s="379" t="s">
        <v>889</v>
      </c>
      <c r="H169" s="380">
        <v>3434</v>
      </c>
      <c r="I169" s="307">
        <v>103003</v>
      </c>
      <c r="J169" s="308">
        <v>1.6</v>
      </c>
      <c r="K169" s="381">
        <v>4316</v>
      </c>
      <c r="L169" s="382">
        <f>IF(tabItens[[#This Row],[Média]] &gt; 0, tabItens[[#This Row],[QTDE ATUAL]] / tabItens[[#This Row],[Média]],999.9)</f>
        <v>5.9394638224272125</v>
      </c>
      <c r="M169" s="383">
        <v>0</v>
      </c>
      <c r="N169" s="384">
        <f>tabItens[[#This Row],[VALOR UNIT.]] * tabItens[[#This Row],[LC]]</f>
        <v>0</v>
      </c>
      <c r="O169" s="385" t="s">
        <v>2088</v>
      </c>
      <c r="P169" s="386"/>
      <c r="Q169" s="387"/>
      <c r="R169" s="312"/>
      <c r="S169" s="388"/>
      <c r="T169" s="389">
        <f>ROUNDDOWN(IFERROR(tabItens[[#This Row],[ATA DT.VALID.]] - $D$1,0) / 30,0)</f>
        <v>-1474</v>
      </c>
      <c r="U169" s="302" t="s">
        <v>1136</v>
      </c>
      <c r="V169" s="318">
        <v>1</v>
      </c>
      <c r="W169" s="390" t="s">
        <v>2074</v>
      </c>
      <c r="X169" s="391">
        <v>57</v>
      </c>
      <c r="Y169" s="392">
        <v>2</v>
      </c>
      <c r="Z169" s="393"/>
      <c r="AA169" s="394"/>
      <c r="AB169" s="395"/>
      <c r="AC169" s="395"/>
      <c r="AD169" s="394"/>
      <c r="AE169" s="395"/>
      <c r="AF169" s="317"/>
      <c r="AG169" s="396" t="s">
        <v>2072</v>
      </c>
      <c r="AH169" s="397"/>
      <c r="AI169" s="317">
        <v>2312</v>
      </c>
      <c r="AJ169" s="397">
        <v>44133</v>
      </c>
      <c r="AK169" s="326" t="s">
        <v>889</v>
      </c>
      <c r="AL169" s="326">
        <v>45083</v>
      </c>
      <c r="AM169" s="316"/>
      <c r="AN169" s="305"/>
      <c r="AO169" s="327" t="str">
        <f>_xlfn.IFNA(IF(VLOOKUP(tabItens[[#This Row],[CÓDIGO]],tabExcluirDoEstoque[#Data],1,FALSE),"sim",""),"")</f>
        <v/>
      </c>
      <c r="AP169" s="398" t="str">
        <f ca="1">IF(OR(ISBLANK(tabItens[[#This Row],[ATA DT.VALID.]]),tabItens[[#This Row],[ATA DT.VALID.]]="",tabItens[[#This Row],[ATA DT.VALID.]]=" "),"",IF(TYPE(tabItens[[#This Row],[ATA DT.VALID.]])=1,ROUNDUP((tabItens[[#This Row],[ATA DT.VALID.]]-TODAY())/7,0),""))</f>
        <v/>
      </c>
      <c r="AQ169" s="399">
        <v>0</v>
      </c>
      <c r="AR169" s="400" t="str">
        <f>IF(ISBLANK(tabItens[[#This Row],[CÓDIGO]]),"",IFERROR(VLOOKUP(tabItens[[#This Row],[CÓDIGO]],Consumo!$C$2:$AC$862,26,FALSE),0))</f>
        <v>09.2023</v>
      </c>
      <c r="AS169" s="401">
        <f>SUMIF(Consumo!$C$3:$C$862,tabItens[[#This Row],[CÓDIGO]],Consumo!$N$3:$N$862) + SUMIF(Consumo!$C$3:$C$862,tabItens[[#This Row],[CÓDIGO]],Consumo!$O$3:$O$862) + SUMIF(Consumo!$C$3:$C$862,tabItens[[#This Row],[CÓDIGO]],Consumo!$P$3:$P$862) + SUMIF(Consumo!$C$3:$C$862,tabItens[[#This Row],[CÓDIGO]],Consumo!$Q$3:$Q$862)</f>
        <v>2486</v>
      </c>
      <c r="AT169" s="401">
        <f>SUMIF(Consumo!$C$3:$C$862,tabItens[[#This Row],[CÓDIGO]],Consumo!$Z$3:$Z$862)</f>
        <v>6938</v>
      </c>
      <c r="AU169" s="402">
        <f>SUMIF(Consumo!$C$3:$C$862,tabItens[[#This Row],[CÓDIGO]],Consumo!$AA$3:$AA$862)</f>
        <v>945</v>
      </c>
      <c r="AV169" s="403">
        <f>SUMIF(Consumo!$C$3:$C$862,tabItens[[#This Row],[CÓDIGO]],Consumo!$Y$3:$Y$862)</f>
        <v>578.16666666666663</v>
      </c>
      <c r="AW169" s="380">
        <f>tabItens[[#This Row],[QTDE ATUAL]] + tabItens[[#This Row],[RC QTDE]] + tabItens[[#This Row],[AF SALDO]] + tabItens[[#This Row],[Recentes]]</f>
        <v>3434</v>
      </c>
      <c r="AX169" s="404">
        <v>834</v>
      </c>
      <c r="AY169" s="404">
        <v>4</v>
      </c>
      <c r="AZ169" s="404">
        <f>IF(ISBLANK(tabItens[[#This Row],[CÓDIGO]]),"",tabItens[[#This Row],[PontoMês]] * (AZ$2+tabItens[[#This Row],[PontoQtM]]))</f>
        <v>3336</v>
      </c>
      <c r="BA169" s="403">
        <f>tabItens[[#This Row],[PontoPed]] - tabItens[[#This Row],[Saldo]] + (1/10)</f>
        <v>-97.9</v>
      </c>
      <c r="BB169" s="403">
        <f xml:space="preserve"> tabItens[[#This Row],[PontoMês]] * BB$2 - tabItens[[#This Row],[QTDE ATUAL]] - (1/10)</f>
        <v>-2600.1</v>
      </c>
      <c r="BC169" s="335">
        <f>IF( tabItens[[#This Row],[PontoPed]]&gt;0, IF(tabItens[[#This Row],[PontoPed]]&lt;1, 1, IF( tabItens[[#This Row],[Saldo]]&gt;tabItens[[#This Row],[PontoPed]], 0, (tabItens[[#This Row],[PontoPed]]-tabItens[[#This Row],[Saldo]])/tabItens[[#This Row],[PontoPed]] ) ), 0 )</f>
        <v>0</v>
      </c>
      <c r="BD169" s="405">
        <f>ROUNDDOWN(IF( OR( AND(tabItens[[#This Row],[PontoPed]]&lt;tabItens[[#This Row],[Saldo]],tabItens[[#This Row],[Saldo]]&gt;0), tabItens[[#This Row],[PontoPed]]=0), 99, IF(AND(tabItens[[#This Row],[Saldo]]=0,tabItens[[#This Row],[PontoPed]]&gt;0), 0, (1-tabItens[[#This Row],[PctAb]])*10 ) ),0)</f>
        <v>99</v>
      </c>
      <c r="BE169" s="406">
        <f>MAX(ROUNDDOWN( IF(tabItens[[#This Row],[Abaixo]] &gt; 0,   tabItens[[#This Row],[Abaixo]] + (tabItens[[#This Row],[PontoMês]] * IF( OR( ISBLANK(tabItens[[#This Row],[ATA Nº/ANO]]), tabItens[[#This Row],[ATA Nº/ANO]] = ""),BE$2,BE$1)),0),0),0)</f>
        <v>0</v>
      </c>
      <c r="BF16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9" s="338">
        <f>SUMIF(Consumo!$C$3:$C$862,tabItens[[#This Row],[CÓDIGO]],Consumo!$E$3:$E$862)</f>
        <v>0</v>
      </c>
      <c r="BH169" s="339">
        <f>IF(AND(tabItens[[#This Row],[Pend]] &gt; 0,tabItens[[#This Row],[Consumo]] &lt;&gt; 0), tabItens[[#This Row],[Pend]] / tabItens[[#This Row],[Consumo]], 0 )</f>
        <v>0</v>
      </c>
      <c r="BI169" s="338"/>
      <c r="BJ169" s="407"/>
      <c r="BK169" s="408" t="s">
        <v>2086</v>
      </c>
    </row>
    <row r="170" spans="1:63" x14ac:dyDescent="0.3">
      <c r="A170" s="375">
        <v>93325</v>
      </c>
      <c r="B170" s="376" t="s">
        <v>1539</v>
      </c>
      <c r="C170" s="377" t="s">
        <v>380</v>
      </c>
      <c r="D170" s="378">
        <v>0.45</v>
      </c>
      <c r="E170" s="305"/>
      <c r="F170" s="379"/>
      <c r="G170" s="379" t="s">
        <v>889</v>
      </c>
      <c r="H170" s="380">
        <v>0</v>
      </c>
      <c r="I170" s="307">
        <v>103003</v>
      </c>
      <c r="J170" s="308">
        <v>0.45</v>
      </c>
      <c r="K170" s="381">
        <v>4579</v>
      </c>
      <c r="L170" s="382">
        <f>IF(tabItens[[#This Row],[Média]] &gt; 0, tabItens[[#This Row],[QTDE ATUAL]] / tabItens[[#This Row],[Média]],999.9)</f>
        <v>0</v>
      </c>
      <c r="M170" s="383">
        <v>0</v>
      </c>
      <c r="N170" s="384">
        <f>tabItens[[#This Row],[VALOR UNIT.]] * tabItens[[#This Row],[LC]]</f>
        <v>0</v>
      </c>
      <c r="O170" s="385" t="s">
        <v>2088</v>
      </c>
      <c r="P170" s="386"/>
      <c r="Q170" s="387"/>
      <c r="R170" s="312"/>
      <c r="S170" s="388"/>
      <c r="T170" s="389">
        <f>ROUNDDOWN(IFERROR(tabItens[[#This Row],[ATA DT.VALID.]] - $D$1,0) / 30,0)</f>
        <v>-1474</v>
      </c>
      <c r="U170" s="302" t="s">
        <v>1136</v>
      </c>
      <c r="V170" s="318">
        <v>1</v>
      </c>
      <c r="W170" s="390" t="s">
        <v>2074</v>
      </c>
      <c r="X170" s="391">
        <v>57</v>
      </c>
      <c r="Y170" s="392">
        <v>2</v>
      </c>
      <c r="Z170" s="393">
        <v>6984</v>
      </c>
      <c r="AA170" s="394">
        <v>2023</v>
      </c>
      <c r="AB170" s="395">
        <v>1700</v>
      </c>
      <c r="AC170" s="395"/>
      <c r="AD170" s="394"/>
      <c r="AE170" s="395"/>
      <c r="AF170" s="317"/>
      <c r="AG170" s="396" t="s">
        <v>2072</v>
      </c>
      <c r="AH170" s="397"/>
      <c r="AI170" s="317">
        <v>1956</v>
      </c>
      <c r="AJ170" s="397">
        <v>44974</v>
      </c>
      <c r="AK170" s="326">
        <v>38919</v>
      </c>
      <c r="AL170" s="326">
        <v>45049</v>
      </c>
      <c r="AM170" s="316"/>
      <c r="AN170" s="305"/>
      <c r="AO170" s="327" t="str">
        <f>_xlfn.IFNA(IF(VLOOKUP(tabItens[[#This Row],[CÓDIGO]],tabExcluirDoEstoque[#Data],1,FALSE),"sim",""),"")</f>
        <v/>
      </c>
      <c r="AP170" s="398" t="str">
        <f ca="1">IF(OR(ISBLANK(tabItens[[#This Row],[ATA DT.VALID.]]),tabItens[[#This Row],[ATA DT.VALID.]]="",tabItens[[#This Row],[ATA DT.VALID.]]=" "),"",IF(TYPE(tabItens[[#This Row],[ATA DT.VALID.]])=1,ROUNDUP((tabItens[[#This Row],[ATA DT.VALID.]]-TODAY())/7,0),""))</f>
        <v/>
      </c>
      <c r="AQ170" s="399">
        <v>0</v>
      </c>
      <c r="AR170" s="400" t="str">
        <f>IF(ISBLANK(tabItens[[#This Row],[CÓDIGO]]),"",IFERROR(VLOOKUP(tabItens[[#This Row],[CÓDIGO]],Consumo!$C$2:$AC$862,26,FALSE),0))</f>
        <v>08.2023</v>
      </c>
      <c r="AS170" s="401">
        <f>SUMIF(Consumo!$C$3:$C$862,tabItens[[#This Row],[CÓDIGO]],Consumo!$N$3:$N$862) + SUMIF(Consumo!$C$3:$C$862,tabItens[[#This Row],[CÓDIGO]],Consumo!$O$3:$O$862) + SUMIF(Consumo!$C$3:$C$862,tabItens[[#This Row],[CÓDIGO]],Consumo!$P$3:$P$862) + SUMIF(Consumo!$C$3:$C$862,tabItens[[#This Row],[CÓDIGO]],Consumo!$Q$3:$Q$862)</f>
        <v>1742</v>
      </c>
      <c r="AT170" s="401">
        <f>SUMIF(Consumo!$C$3:$C$862,tabItens[[#This Row],[CÓDIGO]],Consumo!$Z$3:$Z$862)</f>
        <v>6216</v>
      </c>
      <c r="AU170" s="402">
        <f>SUMIF(Consumo!$C$3:$C$862,tabItens[[#This Row],[CÓDIGO]],Consumo!$AA$3:$AA$862)</f>
        <v>1201</v>
      </c>
      <c r="AV170" s="403">
        <f>SUMIF(Consumo!$C$3:$C$862,tabItens[[#This Row],[CÓDIGO]],Consumo!$Y$3:$Y$862)</f>
        <v>518</v>
      </c>
      <c r="AW170" s="380">
        <f>tabItens[[#This Row],[QTDE ATUAL]] + tabItens[[#This Row],[RC QTDE]] + tabItens[[#This Row],[AF SALDO]] + tabItens[[#This Row],[Recentes]]</f>
        <v>1700</v>
      </c>
      <c r="AX170" s="404">
        <v>834</v>
      </c>
      <c r="AY170" s="404">
        <v>4</v>
      </c>
      <c r="AZ170" s="404">
        <f>IF(ISBLANK(tabItens[[#This Row],[CÓDIGO]]),"",tabItens[[#This Row],[PontoMês]] * (AZ$2+tabItens[[#This Row],[PontoQtM]]))</f>
        <v>3336</v>
      </c>
      <c r="BA170" s="403">
        <f>tabItens[[#This Row],[PontoPed]] - tabItens[[#This Row],[Saldo]] + (1/10)</f>
        <v>1636.1</v>
      </c>
      <c r="BB170" s="403">
        <f xml:space="preserve"> tabItens[[#This Row],[PontoMês]] * BB$2 - tabItens[[#This Row],[QTDE ATUAL]] - (1/10)</f>
        <v>833.9</v>
      </c>
      <c r="BC170" s="335">
        <f>IF( tabItens[[#This Row],[PontoPed]]&gt;0, IF(tabItens[[#This Row],[PontoPed]]&lt;1, 1, IF( tabItens[[#This Row],[Saldo]]&gt;tabItens[[#This Row],[PontoPed]], 0, (tabItens[[#This Row],[PontoPed]]-tabItens[[#This Row],[Saldo]])/tabItens[[#This Row],[PontoPed]] ) ), 0 )</f>
        <v>0.49040767386091128</v>
      </c>
      <c r="BD170" s="405">
        <f>ROUNDDOWN(IF( OR( AND(tabItens[[#This Row],[PontoPed]]&lt;tabItens[[#This Row],[Saldo]],tabItens[[#This Row],[Saldo]]&gt;0), tabItens[[#This Row],[PontoPed]]=0), 99, IF(AND(tabItens[[#This Row],[Saldo]]=0,tabItens[[#This Row],[PontoPed]]&gt;0), 0, (1-tabItens[[#This Row],[PctAb]])*10 ) ),0)</f>
        <v>5</v>
      </c>
      <c r="BE170" s="406">
        <f>MAX(ROUNDDOWN( IF(tabItens[[#This Row],[Abaixo]] &gt; 0,   tabItens[[#This Row],[Abaixo]] + (tabItens[[#This Row],[PontoMês]] * IF( OR( ISBLANK(tabItens[[#This Row],[ATA Nº/ANO]]), tabItens[[#This Row],[ATA Nº/ANO]] = ""),BE$2,BE$1)),0),0),0)</f>
        <v>4138</v>
      </c>
      <c r="BF17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0" s="338">
        <f>SUMIF(Consumo!$C$3:$C$862,tabItens[[#This Row],[CÓDIGO]],Consumo!$E$3:$E$862)</f>
        <v>351</v>
      </c>
      <c r="BH170" s="339">
        <f>IF(AND(tabItens[[#This Row],[Pend]] &gt; 0,tabItens[[#This Row],[Consumo]] &lt;&gt; 0), tabItens[[#This Row],[Pend]] / tabItens[[#This Row],[Consumo]], 0 )</f>
        <v>5.6467181467181465E-2</v>
      </c>
      <c r="BI170" s="338"/>
      <c r="BJ170" s="407"/>
      <c r="BK170" s="408" t="s">
        <v>2086</v>
      </c>
    </row>
    <row r="171" spans="1:63" x14ac:dyDescent="0.3">
      <c r="A171" s="375">
        <v>93327</v>
      </c>
      <c r="B171" s="376" t="s">
        <v>1540</v>
      </c>
      <c r="C171" s="377" t="s">
        <v>380</v>
      </c>
      <c r="D171" s="378">
        <v>0.34</v>
      </c>
      <c r="E171" s="305"/>
      <c r="F171" s="379"/>
      <c r="G171" s="379" t="s">
        <v>889</v>
      </c>
      <c r="H171" s="380">
        <v>0</v>
      </c>
      <c r="I171" s="307">
        <v>103003</v>
      </c>
      <c r="J171" s="308">
        <v>0.34</v>
      </c>
      <c r="K171" s="381">
        <v>4474</v>
      </c>
      <c r="L171" s="382">
        <f>IF(tabItens[[#This Row],[Média]] &gt; 0, tabItens[[#This Row],[QTDE ATUAL]] / tabItens[[#This Row],[Média]],999.9)</f>
        <v>0</v>
      </c>
      <c r="M171" s="383">
        <v>0</v>
      </c>
      <c r="N171" s="384">
        <f>tabItens[[#This Row],[VALOR UNIT.]] * tabItens[[#This Row],[LC]]</f>
        <v>0</v>
      </c>
      <c r="O171" s="385" t="s">
        <v>2088</v>
      </c>
      <c r="P171" s="386"/>
      <c r="Q171" s="387"/>
      <c r="R171" s="312"/>
      <c r="S171" s="388"/>
      <c r="T171" s="389">
        <f>ROUNDDOWN(IFERROR(tabItens[[#This Row],[ATA DT.VALID.]] - $D$1,0) / 30,0)</f>
        <v>-1474</v>
      </c>
      <c r="U171" s="302" t="s">
        <v>1136</v>
      </c>
      <c r="V171" s="318">
        <v>1</v>
      </c>
      <c r="W171" s="390" t="s">
        <v>2074</v>
      </c>
      <c r="X171" s="391">
        <v>57</v>
      </c>
      <c r="Y171" s="392">
        <v>2</v>
      </c>
      <c r="Z171" s="393">
        <v>6984</v>
      </c>
      <c r="AA171" s="394">
        <v>2023</v>
      </c>
      <c r="AB171" s="395">
        <v>1700</v>
      </c>
      <c r="AC171" s="395"/>
      <c r="AD171" s="394"/>
      <c r="AE171" s="395"/>
      <c r="AF171" s="317"/>
      <c r="AG171" s="396" t="s">
        <v>2072</v>
      </c>
      <c r="AH171" s="397"/>
      <c r="AI171" s="317">
        <v>1880</v>
      </c>
      <c r="AJ171" s="397">
        <v>44967</v>
      </c>
      <c r="AK171" s="326">
        <v>38919</v>
      </c>
      <c r="AL171" s="326">
        <v>45194</v>
      </c>
      <c r="AM171" s="316"/>
      <c r="AN171" s="305"/>
      <c r="AO171" s="327" t="str">
        <f>_xlfn.IFNA(IF(VLOOKUP(tabItens[[#This Row],[CÓDIGO]],tabExcluirDoEstoque[#Data],1,FALSE),"sim",""),"")</f>
        <v/>
      </c>
      <c r="AP171" s="398" t="str">
        <f ca="1">IF(OR(ISBLANK(tabItens[[#This Row],[ATA DT.VALID.]]),tabItens[[#This Row],[ATA DT.VALID.]]="",tabItens[[#This Row],[ATA DT.VALID.]]=" "),"",IF(TYPE(tabItens[[#This Row],[ATA DT.VALID.]])=1,ROUNDUP((tabItens[[#This Row],[ATA DT.VALID.]]-TODAY())/7,0),""))</f>
        <v/>
      </c>
      <c r="AQ171" s="399">
        <v>0</v>
      </c>
      <c r="AR171" s="400" t="str">
        <f>IF(ISBLANK(tabItens[[#This Row],[CÓDIGO]]),"",IFERROR(VLOOKUP(tabItens[[#This Row],[CÓDIGO]],Consumo!$C$2:$AC$862,26,FALSE),0))</f>
        <v>07.2023</v>
      </c>
      <c r="AS171" s="401">
        <f>SUMIF(Consumo!$C$3:$C$862,tabItens[[#This Row],[CÓDIGO]],Consumo!$N$3:$N$862) + SUMIF(Consumo!$C$3:$C$862,tabItens[[#This Row],[CÓDIGO]],Consumo!$O$3:$O$862) + SUMIF(Consumo!$C$3:$C$862,tabItens[[#This Row],[CÓDIGO]],Consumo!$P$3:$P$862) + SUMIF(Consumo!$C$3:$C$862,tabItens[[#This Row],[CÓDIGO]],Consumo!$Q$3:$Q$862)</f>
        <v>1610</v>
      </c>
      <c r="AT171" s="401">
        <f>SUMIF(Consumo!$C$3:$C$862,tabItens[[#This Row],[CÓDIGO]],Consumo!$Z$3:$Z$862)</f>
        <v>5996</v>
      </c>
      <c r="AU171" s="402">
        <f>SUMIF(Consumo!$C$3:$C$862,tabItens[[#This Row],[CÓDIGO]],Consumo!$AA$3:$AA$862)</f>
        <v>1207</v>
      </c>
      <c r="AV171" s="403">
        <f>SUMIF(Consumo!$C$3:$C$862,tabItens[[#This Row],[CÓDIGO]],Consumo!$Y$3:$Y$862)</f>
        <v>499.66666666666669</v>
      </c>
      <c r="AW171" s="380">
        <f>tabItens[[#This Row],[QTDE ATUAL]] + tabItens[[#This Row],[RC QTDE]] + tabItens[[#This Row],[AF SALDO]] + tabItens[[#This Row],[Recentes]]</f>
        <v>1700</v>
      </c>
      <c r="AX171" s="404">
        <v>834</v>
      </c>
      <c r="AY171" s="404">
        <v>4</v>
      </c>
      <c r="AZ171" s="404">
        <f>IF(ISBLANK(tabItens[[#This Row],[CÓDIGO]]),"",tabItens[[#This Row],[PontoMês]] * (AZ$2+tabItens[[#This Row],[PontoQtM]]))</f>
        <v>3336</v>
      </c>
      <c r="BA171" s="403">
        <f>tabItens[[#This Row],[PontoPed]] - tabItens[[#This Row],[Saldo]] + (1/10)</f>
        <v>1636.1</v>
      </c>
      <c r="BB171" s="403">
        <f xml:space="preserve"> tabItens[[#This Row],[PontoMês]] * BB$2 - tabItens[[#This Row],[QTDE ATUAL]] - (1/10)</f>
        <v>833.9</v>
      </c>
      <c r="BC171" s="335">
        <f>IF( tabItens[[#This Row],[PontoPed]]&gt;0, IF(tabItens[[#This Row],[PontoPed]]&lt;1, 1, IF( tabItens[[#This Row],[Saldo]]&gt;tabItens[[#This Row],[PontoPed]], 0, (tabItens[[#This Row],[PontoPed]]-tabItens[[#This Row],[Saldo]])/tabItens[[#This Row],[PontoPed]] ) ), 0 )</f>
        <v>0.49040767386091128</v>
      </c>
      <c r="BD171" s="405">
        <f>ROUNDDOWN(IF( OR( AND(tabItens[[#This Row],[PontoPed]]&lt;tabItens[[#This Row],[Saldo]],tabItens[[#This Row],[Saldo]]&gt;0), tabItens[[#This Row],[PontoPed]]=0), 99, IF(AND(tabItens[[#This Row],[Saldo]]=0,tabItens[[#This Row],[PontoPed]]&gt;0), 0, (1-tabItens[[#This Row],[PctAb]])*10 ) ),0)</f>
        <v>5</v>
      </c>
      <c r="BE171" s="406">
        <f>MAX(ROUNDDOWN( IF(tabItens[[#This Row],[Abaixo]] &gt; 0,   tabItens[[#This Row],[Abaixo]] + (tabItens[[#This Row],[PontoMês]] * IF( OR( ISBLANK(tabItens[[#This Row],[ATA Nº/ANO]]), tabItens[[#This Row],[ATA Nº/ANO]] = ""),BE$2,BE$1)),0),0),0)</f>
        <v>4138</v>
      </c>
      <c r="BF17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1" s="338">
        <f>SUMIF(Consumo!$C$3:$C$862,tabItens[[#This Row],[CÓDIGO]],Consumo!$E$3:$E$862)</f>
        <v>357</v>
      </c>
      <c r="BH171" s="339">
        <f>IF(AND(tabItens[[#This Row],[Pend]] &gt; 0,tabItens[[#This Row],[Consumo]] &lt;&gt; 0), tabItens[[#This Row],[Pend]] / tabItens[[#This Row],[Consumo]], 0 )</f>
        <v>5.9539693128752499E-2</v>
      </c>
      <c r="BI171" s="338"/>
      <c r="BJ171" s="407"/>
      <c r="BK171" s="408" t="s">
        <v>2086</v>
      </c>
    </row>
    <row r="172" spans="1:63" x14ac:dyDescent="0.3">
      <c r="A172" s="375">
        <v>93329</v>
      </c>
      <c r="B172" s="376" t="s">
        <v>1541</v>
      </c>
      <c r="C172" s="377" t="s">
        <v>380</v>
      </c>
      <c r="D172" s="378">
        <v>0.45</v>
      </c>
      <c r="E172" s="305"/>
      <c r="F172" s="379"/>
      <c r="G172" s="379" t="s">
        <v>889</v>
      </c>
      <c r="H172" s="380">
        <v>0</v>
      </c>
      <c r="I172" s="307">
        <v>103003</v>
      </c>
      <c r="J172" s="308">
        <v>0.45</v>
      </c>
      <c r="K172" s="381">
        <v>4655</v>
      </c>
      <c r="L172" s="382">
        <f>IF(tabItens[[#This Row],[Média]] &gt; 0, tabItens[[#This Row],[QTDE ATUAL]] / tabItens[[#This Row],[Média]],999.9)</f>
        <v>0</v>
      </c>
      <c r="M172" s="383">
        <v>0</v>
      </c>
      <c r="N172" s="384">
        <f>tabItens[[#This Row],[VALOR UNIT.]] * tabItens[[#This Row],[LC]]</f>
        <v>0</v>
      </c>
      <c r="O172" s="385" t="s">
        <v>2088</v>
      </c>
      <c r="P172" s="386"/>
      <c r="Q172" s="387"/>
      <c r="R172" s="312"/>
      <c r="S172" s="388"/>
      <c r="T172" s="389">
        <f>ROUNDDOWN(IFERROR(tabItens[[#This Row],[ATA DT.VALID.]] - $D$1,0) / 30,0)</f>
        <v>-1474</v>
      </c>
      <c r="U172" s="302" t="s">
        <v>1136</v>
      </c>
      <c r="V172" s="318">
        <v>1</v>
      </c>
      <c r="W172" s="390" t="s">
        <v>2074</v>
      </c>
      <c r="X172" s="391">
        <v>57</v>
      </c>
      <c r="Y172" s="392">
        <v>2</v>
      </c>
      <c r="Z172" s="393">
        <v>6216</v>
      </c>
      <c r="AA172" s="394">
        <v>2023</v>
      </c>
      <c r="AB172" s="395">
        <v>2000</v>
      </c>
      <c r="AC172" s="395"/>
      <c r="AD172" s="394"/>
      <c r="AE172" s="395"/>
      <c r="AF172" s="317"/>
      <c r="AG172" s="396" t="s">
        <v>2072</v>
      </c>
      <c r="AH172" s="397"/>
      <c r="AI172" s="317">
        <v>2062</v>
      </c>
      <c r="AJ172" s="397">
        <v>44967</v>
      </c>
      <c r="AK172" s="326">
        <v>38919</v>
      </c>
      <c r="AL172" s="326">
        <v>45049</v>
      </c>
      <c r="AM172" s="316"/>
      <c r="AN172" s="305"/>
      <c r="AO172" s="327" t="str">
        <f>_xlfn.IFNA(IF(VLOOKUP(tabItens[[#This Row],[CÓDIGO]],tabExcluirDoEstoque[#Data],1,FALSE),"sim",""),"")</f>
        <v/>
      </c>
      <c r="AP172" s="398" t="str">
        <f ca="1">IF(OR(ISBLANK(tabItens[[#This Row],[ATA DT.VALID.]]),tabItens[[#This Row],[ATA DT.VALID.]]="",tabItens[[#This Row],[ATA DT.VALID.]]=" "),"",IF(TYPE(tabItens[[#This Row],[ATA DT.VALID.]])=1,ROUNDUP((tabItens[[#This Row],[ATA DT.VALID.]]-TODAY())/7,0),""))</f>
        <v/>
      </c>
      <c r="AQ172" s="399">
        <v>0</v>
      </c>
      <c r="AR172" s="400" t="str">
        <f>IF(ISBLANK(tabItens[[#This Row],[CÓDIGO]]),"",IFERROR(VLOOKUP(tabItens[[#This Row],[CÓDIGO]],Consumo!$C$2:$AC$862,26,FALSE),0))</f>
        <v>08.2023</v>
      </c>
      <c r="AS172" s="401">
        <f>SUMIF(Consumo!$C$3:$C$862,tabItens[[#This Row],[CÓDIGO]],Consumo!$N$3:$N$862) + SUMIF(Consumo!$C$3:$C$862,tabItens[[#This Row],[CÓDIGO]],Consumo!$O$3:$O$862) + SUMIF(Consumo!$C$3:$C$862,tabItens[[#This Row],[CÓDIGO]],Consumo!$P$3:$P$862) + SUMIF(Consumo!$C$3:$C$862,tabItens[[#This Row],[CÓDIGO]],Consumo!$Q$3:$Q$862)</f>
        <v>2139</v>
      </c>
      <c r="AT172" s="401">
        <f>SUMIF(Consumo!$C$3:$C$862,tabItens[[#This Row],[CÓDIGO]],Consumo!$Z$3:$Z$862)</f>
        <v>6434</v>
      </c>
      <c r="AU172" s="402">
        <f>SUMIF(Consumo!$C$3:$C$862,tabItens[[#This Row],[CÓDIGO]],Consumo!$AA$3:$AA$862)</f>
        <v>1200</v>
      </c>
      <c r="AV172" s="403">
        <f>SUMIF(Consumo!$C$3:$C$862,tabItens[[#This Row],[CÓDIGO]],Consumo!$Y$3:$Y$862)</f>
        <v>536.16666666666663</v>
      </c>
      <c r="AW172" s="380">
        <f>tabItens[[#This Row],[QTDE ATUAL]] + tabItens[[#This Row],[RC QTDE]] + tabItens[[#This Row],[AF SALDO]] + tabItens[[#This Row],[Recentes]]</f>
        <v>2000</v>
      </c>
      <c r="AX172" s="404">
        <v>834</v>
      </c>
      <c r="AY172" s="404">
        <v>4</v>
      </c>
      <c r="AZ172" s="404">
        <f>IF(ISBLANK(tabItens[[#This Row],[CÓDIGO]]),"",tabItens[[#This Row],[PontoMês]] * (AZ$2+tabItens[[#This Row],[PontoQtM]]))</f>
        <v>3336</v>
      </c>
      <c r="BA172" s="403">
        <f>tabItens[[#This Row],[PontoPed]] - tabItens[[#This Row],[Saldo]] + (1/10)</f>
        <v>1336.1</v>
      </c>
      <c r="BB172" s="403">
        <f xml:space="preserve"> tabItens[[#This Row],[PontoMês]] * BB$2 - tabItens[[#This Row],[QTDE ATUAL]] - (1/10)</f>
        <v>833.9</v>
      </c>
      <c r="BC172" s="335">
        <f>IF( tabItens[[#This Row],[PontoPed]]&gt;0, IF(tabItens[[#This Row],[PontoPed]]&lt;1, 1, IF( tabItens[[#This Row],[Saldo]]&gt;tabItens[[#This Row],[PontoPed]], 0, (tabItens[[#This Row],[PontoPed]]-tabItens[[#This Row],[Saldo]])/tabItens[[#This Row],[PontoPed]] ) ), 0 )</f>
        <v>0.40047961630695444</v>
      </c>
      <c r="BD172" s="405">
        <f>ROUNDDOWN(IF( OR( AND(tabItens[[#This Row],[PontoPed]]&lt;tabItens[[#This Row],[Saldo]],tabItens[[#This Row],[Saldo]]&gt;0), tabItens[[#This Row],[PontoPed]]=0), 99, IF(AND(tabItens[[#This Row],[Saldo]]=0,tabItens[[#This Row],[PontoPed]]&gt;0), 0, (1-tabItens[[#This Row],[PctAb]])*10 ) ),0)</f>
        <v>5</v>
      </c>
      <c r="BE172" s="406">
        <f>MAX(ROUNDDOWN( IF(tabItens[[#This Row],[Abaixo]] &gt; 0,   tabItens[[#This Row],[Abaixo]] + (tabItens[[#This Row],[PontoMês]] * IF( OR( ISBLANK(tabItens[[#This Row],[ATA Nº/ANO]]), tabItens[[#This Row],[ATA Nº/ANO]] = ""),BE$2,BE$1)),0),0),0)</f>
        <v>3838</v>
      </c>
      <c r="BF17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2" s="338">
        <f>SUMIF(Consumo!$C$3:$C$862,tabItens[[#This Row],[CÓDIGO]],Consumo!$E$3:$E$862)</f>
        <v>251</v>
      </c>
      <c r="BH172" s="339">
        <f>IF(AND(tabItens[[#This Row],[Pend]] &gt; 0,tabItens[[#This Row],[Consumo]] &lt;&gt; 0), tabItens[[#This Row],[Pend]] / tabItens[[#This Row],[Consumo]], 0 )</f>
        <v>3.9011501398818774E-2</v>
      </c>
      <c r="BI172" s="338"/>
      <c r="BJ172" s="407"/>
      <c r="BK172" s="408" t="s">
        <v>2086</v>
      </c>
    </row>
    <row r="173" spans="1:63" x14ac:dyDescent="0.3">
      <c r="A173" s="375">
        <v>93332</v>
      </c>
      <c r="B173" s="376" t="s">
        <v>1542</v>
      </c>
      <c r="C173" s="377" t="s">
        <v>380</v>
      </c>
      <c r="D173" s="378">
        <v>0.34</v>
      </c>
      <c r="E173" s="305"/>
      <c r="F173" s="379"/>
      <c r="G173" s="379" t="s">
        <v>889</v>
      </c>
      <c r="H173" s="380">
        <v>0</v>
      </c>
      <c r="I173" s="307">
        <v>103003</v>
      </c>
      <c r="J173" s="308">
        <v>0.34</v>
      </c>
      <c r="K173" s="381">
        <v>4683</v>
      </c>
      <c r="L173" s="382">
        <f>IF(tabItens[[#This Row],[Média]] &gt; 0, tabItens[[#This Row],[QTDE ATUAL]] / tabItens[[#This Row],[Média]],999.9)</f>
        <v>0</v>
      </c>
      <c r="M173" s="383">
        <v>0</v>
      </c>
      <c r="N173" s="384">
        <f>tabItens[[#This Row],[VALOR UNIT.]] * tabItens[[#This Row],[LC]]</f>
        <v>0</v>
      </c>
      <c r="O173" s="385" t="s">
        <v>2088</v>
      </c>
      <c r="P173" s="386"/>
      <c r="Q173" s="387"/>
      <c r="R173" s="312"/>
      <c r="S173" s="388"/>
      <c r="T173" s="389">
        <f>ROUNDDOWN(IFERROR(tabItens[[#This Row],[ATA DT.VALID.]] - $D$1,0) / 30,0)</f>
        <v>-1474</v>
      </c>
      <c r="U173" s="302" t="s">
        <v>1136</v>
      </c>
      <c r="V173" s="318">
        <v>1</v>
      </c>
      <c r="W173" s="390" t="s">
        <v>2074</v>
      </c>
      <c r="X173" s="391">
        <v>57</v>
      </c>
      <c r="Y173" s="392">
        <v>2</v>
      </c>
      <c r="Z173" s="393">
        <v>6216</v>
      </c>
      <c r="AA173" s="394">
        <v>2023</v>
      </c>
      <c r="AB173" s="395">
        <v>2000</v>
      </c>
      <c r="AC173" s="395"/>
      <c r="AD173" s="394"/>
      <c r="AE173" s="395"/>
      <c r="AF173" s="317"/>
      <c r="AG173" s="396" t="s">
        <v>2072</v>
      </c>
      <c r="AH173" s="397"/>
      <c r="AI173" s="317">
        <v>2124</v>
      </c>
      <c r="AJ173" s="397">
        <v>44967</v>
      </c>
      <c r="AK173" s="326">
        <v>38919</v>
      </c>
      <c r="AL173" s="326">
        <v>45118</v>
      </c>
      <c r="AM173" s="316"/>
      <c r="AN173" s="305"/>
      <c r="AO173" s="327" t="str">
        <f>_xlfn.IFNA(IF(VLOOKUP(tabItens[[#This Row],[CÓDIGO]],tabExcluirDoEstoque[#Data],1,FALSE),"sim",""),"")</f>
        <v/>
      </c>
      <c r="AP173" s="398" t="str">
        <f ca="1">IF(OR(ISBLANK(tabItens[[#This Row],[ATA DT.VALID.]]),tabItens[[#This Row],[ATA DT.VALID.]]="",tabItens[[#This Row],[ATA DT.VALID.]]=" "),"",IF(TYPE(tabItens[[#This Row],[ATA DT.VALID.]])=1,ROUNDUP((tabItens[[#This Row],[ATA DT.VALID.]]-TODAY())/7,0),""))</f>
        <v/>
      </c>
      <c r="AQ173" s="399">
        <v>0</v>
      </c>
      <c r="AR173" s="400" t="str">
        <f>IF(ISBLANK(tabItens[[#This Row],[CÓDIGO]]),"",IFERROR(VLOOKUP(tabItens[[#This Row],[CÓDIGO]],Consumo!$C$2:$AC$862,26,FALSE),0))</f>
        <v>08.2023</v>
      </c>
      <c r="AS173" s="401">
        <f>SUMIF(Consumo!$C$3:$C$862,tabItens[[#This Row],[CÓDIGO]],Consumo!$N$3:$N$862) + SUMIF(Consumo!$C$3:$C$862,tabItens[[#This Row],[CÓDIGO]],Consumo!$O$3:$O$862) + SUMIF(Consumo!$C$3:$C$862,tabItens[[#This Row],[CÓDIGO]],Consumo!$P$3:$P$862) + SUMIF(Consumo!$C$3:$C$862,tabItens[[#This Row],[CÓDIGO]],Consumo!$Q$3:$Q$862)</f>
        <v>2316</v>
      </c>
      <c r="AT173" s="401">
        <f>SUMIF(Consumo!$C$3:$C$862,tabItens[[#This Row],[CÓDIGO]],Consumo!$Z$3:$Z$862)</f>
        <v>6485</v>
      </c>
      <c r="AU173" s="402">
        <f>SUMIF(Consumo!$C$3:$C$862,tabItens[[#This Row],[CÓDIGO]],Consumo!$AA$3:$AA$862)</f>
        <v>1207</v>
      </c>
      <c r="AV173" s="403">
        <f>SUMIF(Consumo!$C$3:$C$862,tabItens[[#This Row],[CÓDIGO]],Consumo!$Y$3:$Y$862)</f>
        <v>540.41666666666663</v>
      </c>
      <c r="AW173" s="380">
        <f>tabItens[[#This Row],[QTDE ATUAL]] + tabItens[[#This Row],[RC QTDE]] + tabItens[[#This Row],[AF SALDO]] + tabItens[[#This Row],[Recentes]]</f>
        <v>2000</v>
      </c>
      <c r="AX173" s="404">
        <v>834</v>
      </c>
      <c r="AY173" s="404">
        <v>4</v>
      </c>
      <c r="AZ173" s="404">
        <f>IF(ISBLANK(tabItens[[#This Row],[CÓDIGO]]),"",tabItens[[#This Row],[PontoMês]] * (AZ$2+tabItens[[#This Row],[PontoQtM]]))</f>
        <v>3336</v>
      </c>
      <c r="BA173" s="403">
        <f>tabItens[[#This Row],[PontoPed]] - tabItens[[#This Row],[Saldo]] + (1/10)</f>
        <v>1336.1</v>
      </c>
      <c r="BB173" s="403">
        <f xml:space="preserve"> tabItens[[#This Row],[PontoMês]] * BB$2 - tabItens[[#This Row],[QTDE ATUAL]] - (1/10)</f>
        <v>833.9</v>
      </c>
      <c r="BC173" s="335">
        <f>IF( tabItens[[#This Row],[PontoPed]]&gt;0, IF(tabItens[[#This Row],[PontoPed]]&lt;1, 1, IF( tabItens[[#This Row],[Saldo]]&gt;tabItens[[#This Row],[PontoPed]], 0, (tabItens[[#This Row],[PontoPed]]-tabItens[[#This Row],[Saldo]])/tabItens[[#This Row],[PontoPed]] ) ), 0 )</f>
        <v>0.40047961630695444</v>
      </c>
      <c r="BD173" s="405">
        <f>ROUNDDOWN(IF( OR( AND(tabItens[[#This Row],[PontoPed]]&lt;tabItens[[#This Row],[Saldo]],tabItens[[#This Row],[Saldo]]&gt;0), tabItens[[#This Row],[PontoPed]]=0), 99, IF(AND(tabItens[[#This Row],[Saldo]]=0,tabItens[[#This Row],[PontoPed]]&gt;0), 0, (1-tabItens[[#This Row],[PctAb]])*10 ) ),0)</f>
        <v>5</v>
      </c>
      <c r="BE173" s="406">
        <f>MAX(ROUNDDOWN( IF(tabItens[[#This Row],[Abaixo]] &gt; 0,   tabItens[[#This Row],[Abaixo]] + (tabItens[[#This Row],[PontoMês]] * IF( OR( ISBLANK(tabItens[[#This Row],[ATA Nº/ANO]]), tabItens[[#This Row],[ATA Nº/ANO]] = ""),BE$2,BE$1)),0),0),0)</f>
        <v>3838</v>
      </c>
      <c r="BF17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3" s="338">
        <f>SUMIF(Consumo!$C$3:$C$862,tabItens[[#This Row],[CÓDIGO]],Consumo!$E$3:$E$862)</f>
        <v>111</v>
      </c>
      <c r="BH173" s="339">
        <f>IF(AND(tabItens[[#This Row],[Pend]] &gt; 0,tabItens[[#This Row],[Consumo]] &lt;&gt; 0), tabItens[[#This Row],[Pend]] / tabItens[[#This Row],[Consumo]], 0 )</f>
        <v>1.7116422513492675E-2</v>
      </c>
      <c r="BI173" s="338"/>
      <c r="BJ173" s="407"/>
      <c r="BK173" s="408" t="s">
        <v>2086</v>
      </c>
    </row>
    <row r="174" spans="1:63" x14ac:dyDescent="0.3">
      <c r="A174" s="375">
        <v>93334</v>
      </c>
      <c r="B174" s="376" t="s">
        <v>1543</v>
      </c>
      <c r="C174" s="377" t="s">
        <v>380</v>
      </c>
      <c r="D174" s="378">
        <v>0.45</v>
      </c>
      <c r="E174" s="305"/>
      <c r="F174" s="379"/>
      <c r="G174" s="379" t="s">
        <v>889</v>
      </c>
      <c r="H174" s="380">
        <v>0</v>
      </c>
      <c r="I174" s="307">
        <v>103003</v>
      </c>
      <c r="J174" s="308">
        <v>0.45</v>
      </c>
      <c r="K174" s="381">
        <v>4720</v>
      </c>
      <c r="L174" s="382">
        <f>IF(tabItens[[#This Row],[Média]] &gt; 0, tabItens[[#This Row],[QTDE ATUAL]] / tabItens[[#This Row],[Média]],999.9)</f>
        <v>0</v>
      </c>
      <c r="M174" s="383">
        <v>0</v>
      </c>
      <c r="N174" s="384">
        <f>tabItens[[#This Row],[VALOR UNIT.]] * tabItens[[#This Row],[LC]]</f>
        <v>0</v>
      </c>
      <c r="O174" s="385" t="s">
        <v>2088</v>
      </c>
      <c r="P174" s="386"/>
      <c r="Q174" s="387"/>
      <c r="R174" s="312"/>
      <c r="S174" s="388"/>
      <c r="T174" s="389">
        <f>ROUNDDOWN(IFERROR(tabItens[[#This Row],[ATA DT.VALID.]] - $D$1,0) / 30,0)</f>
        <v>-1474</v>
      </c>
      <c r="U174" s="302" t="s">
        <v>1136</v>
      </c>
      <c r="V174" s="318">
        <v>1</v>
      </c>
      <c r="W174" s="390" t="s">
        <v>2074</v>
      </c>
      <c r="X174" s="391">
        <v>57</v>
      </c>
      <c r="Y174" s="392">
        <v>2</v>
      </c>
      <c r="Z174" s="393">
        <v>6216</v>
      </c>
      <c r="AA174" s="394">
        <v>2023</v>
      </c>
      <c r="AB174" s="395">
        <v>2000</v>
      </c>
      <c r="AC174" s="395"/>
      <c r="AD174" s="394"/>
      <c r="AE174" s="395"/>
      <c r="AF174" s="317"/>
      <c r="AG174" s="396" t="s">
        <v>2072</v>
      </c>
      <c r="AH174" s="397"/>
      <c r="AI174" s="317">
        <v>2228</v>
      </c>
      <c r="AJ174" s="397">
        <v>44974</v>
      </c>
      <c r="AK174" s="326">
        <v>38919</v>
      </c>
      <c r="AL174" s="326">
        <v>45049</v>
      </c>
      <c r="AM174" s="316"/>
      <c r="AN174" s="305"/>
      <c r="AO174" s="327" t="str">
        <f>_xlfn.IFNA(IF(VLOOKUP(tabItens[[#This Row],[CÓDIGO]],tabExcluirDoEstoque[#Data],1,FALSE),"sim",""),"")</f>
        <v/>
      </c>
      <c r="AP174" s="398" t="str">
        <f ca="1">IF(OR(ISBLANK(tabItens[[#This Row],[ATA DT.VALID.]]),tabItens[[#This Row],[ATA DT.VALID.]]="",tabItens[[#This Row],[ATA DT.VALID.]]=" "),"",IF(TYPE(tabItens[[#This Row],[ATA DT.VALID.]])=1,ROUNDUP((tabItens[[#This Row],[ATA DT.VALID.]]-TODAY())/7,0),""))</f>
        <v/>
      </c>
      <c r="AQ174" s="399">
        <v>0</v>
      </c>
      <c r="AR174" s="400" t="str">
        <f>IF(ISBLANK(tabItens[[#This Row],[CÓDIGO]]),"",IFERROR(VLOOKUP(tabItens[[#This Row],[CÓDIGO]],Consumo!$C$2:$AC$862,26,FALSE),0))</f>
        <v>09.2023</v>
      </c>
      <c r="AS174" s="401">
        <f>SUMIF(Consumo!$C$3:$C$862,tabItens[[#This Row],[CÓDIGO]],Consumo!$N$3:$N$862) + SUMIF(Consumo!$C$3:$C$862,tabItens[[#This Row],[CÓDIGO]],Consumo!$O$3:$O$862) + SUMIF(Consumo!$C$3:$C$862,tabItens[[#This Row],[CÓDIGO]],Consumo!$P$3:$P$862) + SUMIF(Consumo!$C$3:$C$862,tabItens[[#This Row],[CÓDIGO]],Consumo!$Q$3:$Q$862)</f>
        <v>2535</v>
      </c>
      <c r="AT174" s="401">
        <f>SUMIF(Consumo!$C$3:$C$862,tabItens[[#This Row],[CÓDIGO]],Consumo!$Z$3:$Z$862)</f>
        <v>6686</v>
      </c>
      <c r="AU174" s="402">
        <f>SUMIF(Consumo!$C$3:$C$862,tabItens[[#This Row],[CÓDIGO]],Consumo!$AA$3:$AA$862)</f>
        <v>1205</v>
      </c>
      <c r="AV174" s="403">
        <f>SUMIF(Consumo!$C$3:$C$862,tabItens[[#This Row],[CÓDIGO]],Consumo!$Y$3:$Y$862)</f>
        <v>557.16666666666663</v>
      </c>
      <c r="AW174" s="380">
        <f>tabItens[[#This Row],[QTDE ATUAL]] + tabItens[[#This Row],[RC QTDE]] + tabItens[[#This Row],[AF SALDO]] + tabItens[[#This Row],[Recentes]]</f>
        <v>2000</v>
      </c>
      <c r="AX174" s="404">
        <v>834</v>
      </c>
      <c r="AY174" s="404">
        <v>4</v>
      </c>
      <c r="AZ174" s="404">
        <f>IF(ISBLANK(tabItens[[#This Row],[CÓDIGO]]),"",tabItens[[#This Row],[PontoMês]] * (AZ$2+tabItens[[#This Row],[PontoQtM]]))</f>
        <v>3336</v>
      </c>
      <c r="BA174" s="403">
        <f>tabItens[[#This Row],[PontoPed]] - tabItens[[#This Row],[Saldo]] + (1/10)</f>
        <v>1336.1</v>
      </c>
      <c r="BB174" s="403">
        <f xml:space="preserve"> tabItens[[#This Row],[PontoMês]] * BB$2 - tabItens[[#This Row],[QTDE ATUAL]] - (1/10)</f>
        <v>833.9</v>
      </c>
      <c r="BC174" s="335">
        <f>IF( tabItens[[#This Row],[PontoPed]]&gt;0, IF(tabItens[[#This Row],[PontoPed]]&lt;1, 1, IF( tabItens[[#This Row],[Saldo]]&gt;tabItens[[#This Row],[PontoPed]], 0, (tabItens[[#This Row],[PontoPed]]-tabItens[[#This Row],[Saldo]])/tabItens[[#This Row],[PontoPed]] ) ), 0 )</f>
        <v>0.40047961630695444</v>
      </c>
      <c r="BD174" s="405">
        <f>ROUNDDOWN(IF( OR( AND(tabItens[[#This Row],[PontoPed]]&lt;tabItens[[#This Row],[Saldo]],tabItens[[#This Row],[Saldo]]&gt;0), tabItens[[#This Row],[PontoPed]]=0), 99, IF(AND(tabItens[[#This Row],[Saldo]]=0,tabItens[[#This Row],[PontoPed]]&gt;0), 0, (1-tabItens[[#This Row],[PctAb]])*10 ) ),0)</f>
        <v>5</v>
      </c>
      <c r="BE174" s="406">
        <f>MAX(ROUNDDOWN( IF(tabItens[[#This Row],[Abaixo]] &gt; 0,   tabItens[[#This Row],[Abaixo]] + (tabItens[[#This Row],[PontoMês]] * IF( OR( ISBLANK(tabItens[[#This Row],[ATA Nº/ANO]]), tabItens[[#This Row],[ATA Nº/ANO]] = ""),BE$2,BE$1)),0),0),0)</f>
        <v>3838</v>
      </c>
      <c r="BF17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4" s="338">
        <f>SUMIF(Consumo!$C$3:$C$862,tabItens[[#This Row],[CÓDIGO]],Consumo!$E$3:$E$862)</f>
        <v>120</v>
      </c>
      <c r="BH174" s="339">
        <f>IF(AND(tabItens[[#This Row],[Pend]] &gt; 0,tabItens[[#This Row],[Consumo]] &lt;&gt; 0), tabItens[[#This Row],[Pend]] / tabItens[[#This Row],[Consumo]], 0 )</f>
        <v>1.7947950942267425E-2</v>
      </c>
      <c r="BI174" s="338"/>
      <c r="BJ174" s="407"/>
      <c r="BK174" s="408" t="s">
        <v>2086</v>
      </c>
    </row>
    <row r="175" spans="1:63" x14ac:dyDescent="0.3">
      <c r="A175" s="375">
        <v>93335</v>
      </c>
      <c r="B175" s="376" t="s">
        <v>1544</v>
      </c>
      <c r="C175" s="377" t="s">
        <v>380</v>
      </c>
      <c r="D175" s="378">
        <v>0.45</v>
      </c>
      <c r="E175" s="305"/>
      <c r="F175" s="379"/>
      <c r="G175" s="379" t="s">
        <v>889</v>
      </c>
      <c r="H175" s="380">
        <v>0</v>
      </c>
      <c r="I175" s="307">
        <v>103003</v>
      </c>
      <c r="J175" s="308">
        <v>0.45</v>
      </c>
      <c r="K175" s="381">
        <v>4657</v>
      </c>
      <c r="L175" s="382">
        <f>IF(tabItens[[#This Row],[Média]] &gt; 0, tabItens[[#This Row],[QTDE ATUAL]] / tabItens[[#This Row],[Média]],999.9)</f>
        <v>0</v>
      </c>
      <c r="M175" s="383">
        <v>0</v>
      </c>
      <c r="N175" s="384">
        <f>tabItens[[#This Row],[VALOR UNIT.]] * tabItens[[#This Row],[LC]]</f>
        <v>0</v>
      </c>
      <c r="O175" s="385" t="s">
        <v>2088</v>
      </c>
      <c r="P175" s="386"/>
      <c r="Q175" s="387"/>
      <c r="R175" s="312"/>
      <c r="S175" s="388"/>
      <c r="T175" s="389">
        <f>ROUNDDOWN(IFERROR(tabItens[[#This Row],[ATA DT.VALID.]] - $D$1,0) / 30,0)</f>
        <v>-1474</v>
      </c>
      <c r="U175" s="302" t="s">
        <v>1136</v>
      </c>
      <c r="V175" s="318">
        <v>1</v>
      </c>
      <c r="W175" s="390" t="s">
        <v>2074</v>
      </c>
      <c r="X175" s="391">
        <v>57</v>
      </c>
      <c r="Y175" s="392">
        <v>2</v>
      </c>
      <c r="Z175" s="393">
        <v>6216</v>
      </c>
      <c r="AA175" s="394">
        <v>2023</v>
      </c>
      <c r="AB175" s="395">
        <v>1000</v>
      </c>
      <c r="AC175" s="395"/>
      <c r="AD175" s="394"/>
      <c r="AE175" s="395"/>
      <c r="AF175" s="317"/>
      <c r="AG175" s="396" t="s">
        <v>2072</v>
      </c>
      <c r="AH175" s="397"/>
      <c r="AI175" s="317">
        <v>2032</v>
      </c>
      <c r="AJ175" s="397">
        <v>44974</v>
      </c>
      <c r="AK175" s="326">
        <v>38919</v>
      </c>
      <c r="AL175" s="326">
        <v>45049</v>
      </c>
      <c r="AM175" s="316"/>
      <c r="AN175" s="305"/>
      <c r="AO175" s="327" t="str">
        <f>_xlfn.IFNA(IF(VLOOKUP(tabItens[[#This Row],[CÓDIGO]],tabExcluirDoEstoque[#Data],1,FALSE),"sim",""),"")</f>
        <v/>
      </c>
      <c r="AP175" s="398" t="str">
        <f ca="1">IF(OR(ISBLANK(tabItens[[#This Row],[ATA DT.VALID.]]),tabItens[[#This Row],[ATA DT.VALID.]]="",tabItens[[#This Row],[ATA DT.VALID.]]=" "),"",IF(TYPE(tabItens[[#This Row],[ATA DT.VALID.]])=1,ROUNDUP((tabItens[[#This Row],[ATA DT.VALID.]]-TODAY())/7,0),""))</f>
        <v/>
      </c>
      <c r="AQ175" s="399">
        <v>0</v>
      </c>
      <c r="AR175" s="400" t="str">
        <f>IF(ISBLANK(tabItens[[#This Row],[CÓDIGO]]),"",IFERROR(VLOOKUP(tabItens[[#This Row],[CÓDIGO]],Consumo!$C$2:$AC$862,26,FALSE),0))</f>
        <v>08.2023</v>
      </c>
      <c r="AS175" s="401">
        <f>SUMIF(Consumo!$C$3:$C$862,tabItens[[#This Row],[CÓDIGO]],Consumo!$N$3:$N$862) + SUMIF(Consumo!$C$3:$C$862,tabItens[[#This Row],[CÓDIGO]],Consumo!$O$3:$O$862) + SUMIF(Consumo!$C$3:$C$862,tabItens[[#This Row],[CÓDIGO]],Consumo!$P$3:$P$862) + SUMIF(Consumo!$C$3:$C$862,tabItens[[#This Row],[CÓDIGO]],Consumo!$Q$3:$Q$862)</f>
        <v>2114</v>
      </c>
      <c r="AT175" s="401">
        <f>SUMIF(Consumo!$C$3:$C$862,tabItens[[#This Row],[CÓDIGO]],Consumo!$Z$3:$Z$862)</f>
        <v>6277</v>
      </c>
      <c r="AU175" s="402">
        <f>SUMIF(Consumo!$C$3:$C$862,tabItens[[#This Row],[CÓDIGO]],Consumo!$AA$3:$AA$862)</f>
        <v>1217</v>
      </c>
      <c r="AV175" s="403">
        <f>SUMIF(Consumo!$C$3:$C$862,tabItens[[#This Row],[CÓDIGO]],Consumo!$Y$3:$Y$862)</f>
        <v>523.08333333333337</v>
      </c>
      <c r="AW175" s="380">
        <f>tabItens[[#This Row],[QTDE ATUAL]] + tabItens[[#This Row],[RC QTDE]] + tabItens[[#This Row],[AF SALDO]] + tabItens[[#This Row],[Recentes]]</f>
        <v>1000</v>
      </c>
      <c r="AX175" s="404">
        <v>834</v>
      </c>
      <c r="AY175" s="404">
        <v>4</v>
      </c>
      <c r="AZ175" s="404">
        <f>IF(ISBLANK(tabItens[[#This Row],[CÓDIGO]]),"",tabItens[[#This Row],[PontoMês]] * (AZ$2+tabItens[[#This Row],[PontoQtM]]))</f>
        <v>3336</v>
      </c>
      <c r="BA175" s="403">
        <f>tabItens[[#This Row],[PontoPed]] - tabItens[[#This Row],[Saldo]] + (1/10)</f>
        <v>2336.1</v>
      </c>
      <c r="BB175" s="403">
        <f xml:space="preserve"> tabItens[[#This Row],[PontoMês]] * BB$2 - tabItens[[#This Row],[QTDE ATUAL]] - (1/10)</f>
        <v>833.9</v>
      </c>
      <c r="BC175" s="335">
        <f>IF( tabItens[[#This Row],[PontoPed]]&gt;0, IF(tabItens[[#This Row],[PontoPed]]&lt;1, 1, IF( tabItens[[#This Row],[Saldo]]&gt;tabItens[[#This Row],[PontoPed]], 0, (tabItens[[#This Row],[PontoPed]]-tabItens[[#This Row],[Saldo]])/tabItens[[#This Row],[PontoPed]] ) ), 0 )</f>
        <v>0.70023980815347719</v>
      </c>
      <c r="BD175" s="405">
        <f>ROUNDDOWN(IF( OR( AND(tabItens[[#This Row],[PontoPed]]&lt;tabItens[[#This Row],[Saldo]],tabItens[[#This Row],[Saldo]]&gt;0), tabItens[[#This Row],[PontoPed]]=0), 99, IF(AND(tabItens[[#This Row],[Saldo]]=0,tabItens[[#This Row],[PontoPed]]&gt;0), 0, (1-tabItens[[#This Row],[PctAb]])*10 ) ),0)</f>
        <v>2</v>
      </c>
      <c r="BE175" s="406">
        <f>MAX(ROUNDDOWN( IF(tabItens[[#This Row],[Abaixo]] &gt; 0,   tabItens[[#This Row],[Abaixo]] + (tabItens[[#This Row],[PontoMês]] * IF( OR( ISBLANK(tabItens[[#This Row],[ATA Nº/ANO]]), tabItens[[#This Row],[ATA Nº/ANO]] = ""),BE$2,BE$1)),0),0),0)</f>
        <v>4838</v>
      </c>
      <c r="BF17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5" s="338">
        <f>SUMIF(Consumo!$C$3:$C$862,tabItens[[#This Row],[CÓDIGO]],Consumo!$E$3:$E$862)</f>
        <v>183</v>
      </c>
      <c r="BH175" s="339">
        <f>IF(AND(tabItens[[#This Row],[Pend]] &gt; 0,tabItens[[#This Row],[Consumo]] &lt;&gt; 0), tabItens[[#This Row],[Pend]] / tabItens[[#This Row],[Consumo]], 0 )</f>
        <v>2.9154054484626414E-2</v>
      </c>
      <c r="BI175" s="338"/>
      <c r="BJ175" s="407"/>
      <c r="BK175" s="408" t="s">
        <v>2086</v>
      </c>
    </row>
    <row r="176" spans="1:63" x14ac:dyDescent="0.3">
      <c r="A176" s="375">
        <v>93453</v>
      </c>
      <c r="B176" s="376" t="s">
        <v>1545</v>
      </c>
      <c r="C176" s="377" t="s">
        <v>380</v>
      </c>
      <c r="D176" s="378">
        <v>0.24</v>
      </c>
      <c r="E176" s="305"/>
      <c r="F176" s="379"/>
      <c r="G176" s="379" t="s">
        <v>889</v>
      </c>
      <c r="H176" s="380">
        <v>0</v>
      </c>
      <c r="I176" s="307">
        <v>103003</v>
      </c>
      <c r="J176" s="308">
        <v>0.24</v>
      </c>
      <c r="K176" s="381">
        <v>4600</v>
      </c>
      <c r="L176" s="382">
        <f>IF(tabItens[[#This Row],[Média]] &gt; 0, tabItens[[#This Row],[QTDE ATUAL]] / tabItens[[#This Row],[Média]],999.9)</f>
        <v>0</v>
      </c>
      <c r="M176" s="383">
        <v>0</v>
      </c>
      <c r="N176" s="384">
        <f>tabItens[[#This Row],[VALOR UNIT.]] * tabItens[[#This Row],[LC]]</f>
        <v>0</v>
      </c>
      <c r="O176" s="385" t="s">
        <v>2088</v>
      </c>
      <c r="P176" s="386"/>
      <c r="Q176" s="387"/>
      <c r="R176" s="312"/>
      <c r="S176" s="388"/>
      <c r="T176" s="389">
        <f>ROUNDDOWN(IFERROR(tabItens[[#This Row],[ATA DT.VALID.]] - $D$1,0) / 30,0)</f>
        <v>-1474</v>
      </c>
      <c r="U176" s="302" t="s">
        <v>1136</v>
      </c>
      <c r="V176" s="318">
        <v>1</v>
      </c>
      <c r="W176" s="390" t="s">
        <v>2074</v>
      </c>
      <c r="X176" s="391">
        <v>57</v>
      </c>
      <c r="Y176" s="392">
        <v>2</v>
      </c>
      <c r="Z176" s="393">
        <v>6985</v>
      </c>
      <c r="AA176" s="394">
        <v>2023</v>
      </c>
      <c r="AB176" s="395">
        <v>3300</v>
      </c>
      <c r="AC176" s="395"/>
      <c r="AD176" s="394"/>
      <c r="AE176" s="395"/>
      <c r="AF176" s="317"/>
      <c r="AG176" s="396" t="s">
        <v>2072</v>
      </c>
      <c r="AH176" s="397"/>
      <c r="AI176" s="317">
        <v>1972</v>
      </c>
      <c r="AJ176" s="397">
        <v>44147</v>
      </c>
      <c r="AK176" s="326">
        <v>38930</v>
      </c>
      <c r="AL176" s="326">
        <v>44126</v>
      </c>
      <c r="AM176" s="316"/>
      <c r="AN176" s="305"/>
      <c r="AO176" s="327" t="str">
        <f>_xlfn.IFNA(IF(VLOOKUP(tabItens[[#This Row],[CÓDIGO]],tabExcluirDoEstoque[#Data],1,FALSE),"sim",""),"")</f>
        <v/>
      </c>
      <c r="AP176" s="398" t="str">
        <f ca="1">IF(OR(ISBLANK(tabItens[[#This Row],[ATA DT.VALID.]]),tabItens[[#This Row],[ATA DT.VALID.]]="",tabItens[[#This Row],[ATA DT.VALID.]]=" "),"",IF(TYPE(tabItens[[#This Row],[ATA DT.VALID.]])=1,ROUNDUP((tabItens[[#This Row],[ATA DT.VALID.]]-TODAY())/7,0),""))</f>
        <v/>
      </c>
      <c r="AQ176" s="399">
        <v>0</v>
      </c>
      <c r="AR176" s="400" t="str">
        <f>IF(ISBLANK(tabItens[[#This Row],[CÓDIGO]]),"",IFERROR(VLOOKUP(tabItens[[#This Row],[CÓDIGO]],Consumo!$C$2:$AC$862,26,FALSE),0))</f>
        <v>07.2023</v>
      </c>
      <c r="AS176" s="401">
        <f>SUMIF(Consumo!$C$3:$C$862,tabItens[[#This Row],[CÓDIGO]],Consumo!$N$3:$N$862) + SUMIF(Consumo!$C$3:$C$862,tabItens[[#This Row],[CÓDIGO]],Consumo!$O$3:$O$862) + SUMIF(Consumo!$C$3:$C$862,tabItens[[#This Row],[CÓDIGO]],Consumo!$P$3:$P$862) + SUMIF(Consumo!$C$3:$C$862,tabItens[[#This Row],[CÓDIGO]],Consumo!$Q$3:$Q$862)</f>
        <v>525</v>
      </c>
      <c r="AT176" s="401">
        <f>SUMIF(Consumo!$C$3:$C$862,tabItens[[#This Row],[CÓDIGO]],Consumo!$Z$3:$Z$862)</f>
        <v>6712</v>
      </c>
      <c r="AU176" s="402">
        <f>SUMIF(Consumo!$C$3:$C$862,tabItens[[#This Row],[CÓDIGO]],Consumo!$AA$3:$AA$862)</f>
        <v>1239</v>
      </c>
      <c r="AV176" s="403">
        <f>SUMIF(Consumo!$C$3:$C$862,tabItens[[#This Row],[CÓDIGO]],Consumo!$Y$3:$Y$862)</f>
        <v>559.33333333333337</v>
      </c>
      <c r="AW176" s="380">
        <f>tabItens[[#This Row],[QTDE ATUAL]] + tabItens[[#This Row],[RC QTDE]] + tabItens[[#This Row],[AF SALDO]] + tabItens[[#This Row],[Recentes]]</f>
        <v>3300</v>
      </c>
      <c r="AX176" s="404">
        <v>850</v>
      </c>
      <c r="AY176" s="404">
        <v>4</v>
      </c>
      <c r="AZ176" s="404">
        <f>IF(ISBLANK(tabItens[[#This Row],[CÓDIGO]]),"",tabItens[[#This Row],[PontoMês]] * (AZ$2+tabItens[[#This Row],[PontoQtM]]))</f>
        <v>3400</v>
      </c>
      <c r="BA176" s="403">
        <f>tabItens[[#This Row],[PontoPed]] - tabItens[[#This Row],[Saldo]] + (1/10)</f>
        <v>100.1</v>
      </c>
      <c r="BB176" s="403">
        <f xml:space="preserve"> tabItens[[#This Row],[PontoMês]] * BB$2 - tabItens[[#This Row],[QTDE ATUAL]] - (1/10)</f>
        <v>849.9</v>
      </c>
      <c r="BC176" s="335">
        <f>IF( tabItens[[#This Row],[PontoPed]]&gt;0, IF(tabItens[[#This Row],[PontoPed]]&lt;1, 1, IF( tabItens[[#This Row],[Saldo]]&gt;tabItens[[#This Row],[PontoPed]], 0, (tabItens[[#This Row],[PontoPed]]-tabItens[[#This Row],[Saldo]])/tabItens[[#This Row],[PontoPed]] ) ), 0 )</f>
        <v>2.9411764705882353E-2</v>
      </c>
      <c r="BD176" s="405">
        <f>ROUNDDOWN(IF( OR( AND(tabItens[[#This Row],[PontoPed]]&lt;tabItens[[#This Row],[Saldo]],tabItens[[#This Row],[Saldo]]&gt;0), tabItens[[#This Row],[PontoPed]]=0), 99, IF(AND(tabItens[[#This Row],[Saldo]]=0,tabItens[[#This Row],[PontoPed]]&gt;0), 0, (1-tabItens[[#This Row],[PctAb]])*10 ) ),0)</f>
        <v>9</v>
      </c>
      <c r="BE176" s="406">
        <f>MAX(ROUNDDOWN( IF(tabItens[[#This Row],[Abaixo]] &gt; 0,   tabItens[[#This Row],[Abaixo]] + (tabItens[[#This Row],[PontoMês]] * IF( OR( ISBLANK(tabItens[[#This Row],[ATA Nº/ANO]]), tabItens[[#This Row],[ATA Nº/ANO]] = ""),BE$2,BE$1)),0),0),0)</f>
        <v>2650</v>
      </c>
      <c r="BF17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6" s="338">
        <f>SUMIF(Consumo!$C$3:$C$862,tabItens[[#This Row],[CÓDIGO]],Consumo!$E$3:$E$862)</f>
        <v>796</v>
      </c>
      <c r="BH176" s="339">
        <f>IF(AND(tabItens[[#This Row],[Pend]] &gt; 0,tabItens[[#This Row],[Consumo]] &lt;&gt; 0), tabItens[[#This Row],[Pend]] / tabItens[[#This Row],[Consumo]], 0 )</f>
        <v>0.11859356376638856</v>
      </c>
      <c r="BI176" s="338"/>
      <c r="BJ176" s="407"/>
      <c r="BK176" s="408" t="s">
        <v>2086</v>
      </c>
    </row>
    <row r="177" spans="1:63" x14ac:dyDescent="0.3">
      <c r="A177" s="375">
        <v>93454</v>
      </c>
      <c r="B177" s="376" t="s">
        <v>1546</v>
      </c>
      <c r="C177" s="377" t="s">
        <v>380</v>
      </c>
      <c r="D177" s="378">
        <v>0.24</v>
      </c>
      <c r="E177" s="305"/>
      <c r="F177" s="379"/>
      <c r="G177" s="379" t="s">
        <v>889</v>
      </c>
      <c r="H177" s="380">
        <v>0</v>
      </c>
      <c r="I177" s="307">
        <v>103003</v>
      </c>
      <c r="J177" s="308">
        <v>0.24</v>
      </c>
      <c r="K177" s="381">
        <v>4275</v>
      </c>
      <c r="L177" s="382">
        <f>IF(tabItens[[#This Row],[Média]] &gt; 0, tabItens[[#This Row],[QTDE ATUAL]] / tabItens[[#This Row],[Média]],999.9)</f>
        <v>0</v>
      </c>
      <c r="M177" s="383">
        <v>0</v>
      </c>
      <c r="N177" s="384">
        <f>tabItens[[#This Row],[VALOR UNIT.]] * tabItens[[#This Row],[LC]]</f>
        <v>0</v>
      </c>
      <c r="O177" s="385" t="s">
        <v>2088</v>
      </c>
      <c r="P177" s="386"/>
      <c r="Q177" s="387"/>
      <c r="R177" s="312"/>
      <c r="S177" s="388"/>
      <c r="T177" s="389">
        <f>ROUNDDOWN(IFERROR(tabItens[[#This Row],[ATA DT.VALID.]] - $D$1,0) / 30,0)</f>
        <v>-1474</v>
      </c>
      <c r="U177" s="302" t="s">
        <v>1136</v>
      </c>
      <c r="V177" s="318">
        <v>1</v>
      </c>
      <c r="W177" s="390" t="s">
        <v>2074</v>
      </c>
      <c r="X177" s="391">
        <v>57</v>
      </c>
      <c r="Y177" s="392">
        <v>2</v>
      </c>
      <c r="Z177" s="393">
        <v>6985</v>
      </c>
      <c r="AA177" s="394">
        <v>2023</v>
      </c>
      <c r="AB177" s="395">
        <v>3500</v>
      </c>
      <c r="AC177" s="395"/>
      <c r="AD177" s="394"/>
      <c r="AE177" s="395"/>
      <c r="AF177" s="317"/>
      <c r="AG177" s="396" t="s">
        <v>2072</v>
      </c>
      <c r="AH177" s="397"/>
      <c r="AI177" s="317">
        <v>2232</v>
      </c>
      <c r="AJ177" s="397">
        <v>44147</v>
      </c>
      <c r="AK177" s="326">
        <v>38930</v>
      </c>
      <c r="AL177" s="326">
        <v>44126</v>
      </c>
      <c r="AM177" s="316"/>
      <c r="AN177" s="305"/>
      <c r="AO177" s="327" t="str">
        <f>_xlfn.IFNA(IF(VLOOKUP(tabItens[[#This Row],[CÓDIGO]],tabExcluirDoEstoque[#Data],1,FALSE),"sim",""),"")</f>
        <v/>
      </c>
      <c r="AP177" s="398" t="str">
        <f ca="1">IF(OR(ISBLANK(tabItens[[#This Row],[ATA DT.VALID.]]),tabItens[[#This Row],[ATA DT.VALID.]]="",tabItens[[#This Row],[ATA DT.VALID.]]=" "),"",IF(TYPE(tabItens[[#This Row],[ATA DT.VALID.]])=1,ROUNDUP((tabItens[[#This Row],[ATA DT.VALID.]]-TODAY())/7,0),""))</f>
        <v/>
      </c>
      <c r="AQ177" s="399">
        <v>0</v>
      </c>
      <c r="AR177" s="400" t="str">
        <f>IF(ISBLANK(tabItens[[#This Row],[CÓDIGO]]),"",IFERROR(VLOOKUP(tabItens[[#This Row],[CÓDIGO]],Consumo!$C$2:$AC$862,26,FALSE),0))</f>
        <v>06.2023</v>
      </c>
      <c r="AS177" s="401">
        <f>SUMIF(Consumo!$C$3:$C$862,tabItens[[#This Row],[CÓDIGO]],Consumo!$N$3:$N$862) + SUMIF(Consumo!$C$3:$C$862,tabItens[[#This Row],[CÓDIGO]],Consumo!$O$3:$O$862) + SUMIF(Consumo!$C$3:$C$862,tabItens[[#This Row],[CÓDIGO]],Consumo!$P$3:$P$862) + SUMIF(Consumo!$C$3:$C$862,tabItens[[#This Row],[CÓDIGO]],Consumo!$Q$3:$Q$862)</f>
        <v>334</v>
      </c>
      <c r="AT177" s="401">
        <f>SUMIF(Consumo!$C$3:$C$862,tabItens[[#This Row],[CÓDIGO]],Consumo!$Z$3:$Z$862)</f>
        <v>6212</v>
      </c>
      <c r="AU177" s="402">
        <f>SUMIF(Consumo!$C$3:$C$862,tabItens[[#This Row],[CÓDIGO]],Consumo!$AA$3:$AA$862)</f>
        <v>1265</v>
      </c>
      <c r="AV177" s="403">
        <f>SUMIF(Consumo!$C$3:$C$862,tabItens[[#This Row],[CÓDIGO]],Consumo!$Y$3:$Y$862)</f>
        <v>515.66666666666663</v>
      </c>
      <c r="AW177" s="380">
        <f>tabItens[[#This Row],[QTDE ATUAL]] + tabItens[[#This Row],[RC QTDE]] + tabItens[[#This Row],[AF SALDO]] + tabItens[[#This Row],[Recentes]]</f>
        <v>3500</v>
      </c>
      <c r="AX177" s="404">
        <v>850</v>
      </c>
      <c r="AY177" s="404">
        <v>4</v>
      </c>
      <c r="AZ177" s="404">
        <f>IF(ISBLANK(tabItens[[#This Row],[CÓDIGO]]),"",tabItens[[#This Row],[PontoMês]] * (AZ$2+tabItens[[#This Row],[PontoQtM]]))</f>
        <v>3400</v>
      </c>
      <c r="BA177" s="403">
        <f>tabItens[[#This Row],[PontoPed]] - tabItens[[#This Row],[Saldo]] + (1/10)</f>
        <v>-99.9</v>
      </c>
      <c r="BB177" s="403">
        <f xml:space="preserve"> tabItens[[#This Row],[PontoMês]] * BB$2 - tabItens[[#This Row],[QTDE ATUAL]] - (1/10)</f>
        <v>849.9</v>
      </c>
      <c r="BC177" s="335">
        <f>IF( tabItens[[#This Row],[PontoPed]]&gt;0, IF(tabItens[[#This Row],[PontoPed]]&lt;1, 1, IF( tabItens[[#This Row],[Saldo]]&gt;tabItens[[#This Row],[PontoPed]], 0, (tabItens[[#This Row],[PontoPed]]-tabItens[[#This Row],[Saldo]])/tabItens[[#This Row],[PontoPed]] ) ), 0 )</f>
        <v>0</v>
      </c>
      <c r="BD177" s="405">
        <f>ROUNDDOWN(IF( OR( AND(tabItens[[#This Row],[PontoPed]]&lt;tabItens[[#This Row],[Saldo]],tabItens[[#This Row],[Saldo]]&gt;0), tabItens[[#This Row],[PontoPed]]=0), 99, IF(AND(tabItens[[#This Row],[Saldo]]=0,tabItens[[#This Row],[PontoPed]]&gt;0), 0, (1-tabItens[[#This Row],[PctAb]])*10 ) ),0)</f>
        <v>99</v>
      </c>
      <c r="BE177" s="406">
        <f>MAX(ROUNDDOWN( IF(tabItens[[#This Row],[Abaixo]] &gt; 0,   tabItens[[#This Row],[Abaixo]] + (tabItens[[#This Row],[PontoMês]] * IF( OR( ISBLANK(tabItens[[#This Row],[ATA Nº/ANO]]), tabItens[[#This Row],[ATA Nº/ANO]] = ""),BE$2,BE$1)),0),0),0)</f>
        <v>0</v>
      </c>
      <c r="BF17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7" s="338">
        <f>SUMIF(Consumo!$C$3:$C$862,tabItens[[#This Row],[CÓDIGO]],Consumo!$E$3:$E$862)</f>
        <v>837</v>
      </c>
      <c r="BH177" s="339">
        <f>IF(AND(tabItens[[#This Row],[Pend]] &gt; 0,tabItens[[#This Row],[Consumo]] &lt;&gt; 0), tabItens[[#This Row],[Pend]] / tabItens[[#This Row],[Consumo]], 0 )</f>
        <v>0.13473921442369607</v>
      </c>
      <c r="BI177" s="338"/>
      <c r="BJ177" s="407"/>
      <c r="BK177" s="408" t="s">
        <v>2086</v>
      </c>
    </row>
    <row r="178" spans="1:63" x14ac:dyDescent="0.3">
      <c r="A178" s="375">
        <v>93456</v>
      </c>
      <c r="B178" s="376" t="s">
        <v>1547</v>
      </c>
      <c r="C178" s="377" t="s">
        <v>380</v>
      </c>
      <c r="D178" s="378">
        <v>0.24</v>
      </c>
      <c r="E178" s="305"/>
      <c r="F178" s="379"/>
      <c r="G178" s="379" t="s">
        <v>889</v>
      </c>
      <c r="H178" s="380">
        <v>0</v>
      </c>
      <c r="I178" s="307">
        <v>103003</v>
      </c>
      <c r="J178" s="308">
        <v>0.24</v>
      </c>
      <c r="K178" s="381">
        <v>4817</v>
      </c>
      <c r="L178" s="382">
        <f>IF(tabItens[[#This Row],[Média]] &gt; 0, tabItens[[#This Row],[QTDE ATUAL]] / tabItens[[#This Row],[Média]],999.9)</f>
        <v>0</v>
      </c>
      <c r="M178" s="383">
        <v>0</v>
      </c>
      <c r="N178" s="384">
        <f>tabItens[[#This Row],[VALOR UNIT.]] * tabItens[[#This Row],[LC]]</f>
        <v>0</v>
      </c>
      <c r="O178" s="385" t="s">
        <v>2088</v>
      </c>
      <c r="P178" s="386"/>
      <c r="Q178" s="387"/>
      <c r="R178" s="312"/>
      <c r="S178" s="388"/>
      <c r="T178" s="389">
        <f>ROUNDDOWN(IFERROR(tabItens[[#This Row],[ATA DT.VALID.]] - $D$1,0) / 30,0)</f>
        <v>-1474</v>
      </c>
      <c r="U178" s="302" t="s">
        <v>1136</v>
      </c>
      <c r="V178" s="318">
        <v>1</v>
      </c>
      <c r="W178" s="390" t="s">
        <v>2074</v>
      </c>
      <c r="X178" s="391">
        <v>57</v>
      </c>
      <c r="Y178" s="392">
        <v>2</v>
      </c>
      <c r="Z178" s="393">
        <v>6985</v>
      </c>
      <c r="AA178" s="394">
        <v>2023</v>
      </c>
      <c r="AB178" s="395">
        <v>2300</v>
      </c>
      <c r="AC178" s="395"/>
      <c r="AD178" s="394"/>
      <c r="AE178" s="395"/>
      <c r="AF178" s="317"/>
      <c r="AG178" s="396" t="s">
        <v>2072</v>
      </c>
      <c r="AH178" s="397"/>
      <c r="AI178" s="317">
        <v>2068</v>
      </c>
      <c r="AJ178" s="397">
        <v>44147</v>
      </c>
      <c r="AK178" s="326">
        <v>38930</v>
      </c>
      <c r="AL178" s="326">
        <v>44126</v>
      </c>
      <c r="AM178" s="316"/>
      <c r="AN178" s="305"/>
      <c r="AO178" s="327" t="str">
        <f>_xlfn.IFNA(IF(VLOOKUP(tabItens[[#This Row],[CÓDIGO]],tabExcluirDoEstoque[#Data],1,FALSE),"sim",""),"")</f>
        <v/>
      </c>
      <c r="AP178" s="398" t="str">
        <f ca="1">IF(OR(ISBLANK(tabItens[[#This Row],[ATA DT.VALID.]]),tabItens[[#This Row],[ATA DT.VALID.]]="",tabItens[[#This Row],[ATA DT.VALID.]]=" "),"",IF(TYPE(tabItens[[#This Row],[ATA DT.VALID.]])=1,ROUNDUP((tabItens[[#This Row],[ATA DT.VALID.]]-TODAY())/7,0),""))</f>
        <v/>
      </c>
      <c r="AQ178" s="399">
        <v>0</v>
      </c>
      <c r="AR178" s="400" t="str">
        <f>IF(ISBLANK(tabItens[[#This Row],[CÓDIGO]]),"",IFERROR(VLOOKUP(tabItens[[#This Row],[CÓDIGO]],Consumo!$C$2:$AC$862,26,FALSE),0))</f>
        <v>08.2023</v>
      </c>
      <c r="AS178" s="401">
        <f>SUMIF(Consumo!$C$3:$C$862,tabItens[[#This Row],[CÓDIGO]],Consumo!$N$3:$N$862) + SUMIF(Consumo!$C$3:$C$862,tabItens[[#This Row],[CÓDIGO]],Consumo!$O$3:$O$862) + SUMIF(Consumo!$C$3:$C$862,tabItens[[#This Row],[CÓDIGO]],Consumo!$P$3:$P$862) + SUMIF(Consumo!$C$3:$C$862,tabItens[[#This Row],[CÓDIGO]],Consumo!$Q$3:$Q$862)</f>
        <v>907</v>
      </c>
      <c r="AT178" s="401">
        <f>SUMIF(Consumo!$C$3:$C$862,tabItens[[#This Row],[CÓDIGO]],Consumo!$Z$3:$Z$862)</f>
        <v>6751</v>
      </c>
      <c r="AU178" s="402">
        <f>SUMIF(Consumo!$C$3:$C$862,tabItens[[#This Row],[CÓDIGO]],Consumo!$AA$3:$AA$862)</f>
        <v>1229</v>
      </c>
      <c r="AV178" s="403">
        <f>SUMIF(Consumo!$C$3:$C$862,tabItens[[#This Row],[CÓDIGO]],Consumo!$Y$3:$Y$862)</f>
        <v>562.58333333333337</v>
      </c>
      <c r="AW178" s="380">
        <f>tabItens[[#This Row],[QTDE ATUAL]] + tabItens[[#This Row],[RC QTDE]] + tabItens[[#This Row],[AF SALDO]] + tabItens[[#This Row],[Recentes]]</f>
        <v>2300</v>
      </c>
      <c r="AX178" s="404">
        <v>850</v>
      </c>
      <c r="AY178" s="404">
        <v>4</v>
      </c>
      <c r="AZ178" s="404">
        <f>IF(ISBLANK(tabItens[[#This Row],[CÓDIGO]]),"",tabItens[[#This Row],[PontoMês]] * (AZ$2+tabItens[[#This Row],[PontoQtM]]))</f>
        <v>3400</v>
      </c>
      <c r="BA178" s="403">
        <f>tabItens[[#This Row],[PontoPed]] - tabItens[[#This Row],[Saldo]] + (1/10)</f>
        <v>1100.0999999999999</v>
      </c>
      <c r="BB178" s="403">
        <f xml:space="preserve"> tabItens[[#This Row],[PontoMês]] * BB$2 - tabItens[[#This Row],[QTDE ATUAL]] - (1/10)</f>
        <v>849.9</v>
      </c>
      <c r="BC178" s="335">
        <f>IF( tabItens[[#This Row],[PontoPed]]&gt;0, IF(tabItens[[#This Row],[PontoPed]]&lt;1, 1, IF( tabItens[[#This Row],[Saldo]]&gt;tabItens[[#This Row],[PontoPed]], 0, (tabItens[[#This Row],[PontoPed]]-tabItens[[#This Row],[Saldo]])/tabItens[[#This Row],[PontoPed]] ) ), 0 )</f>
        <v>0.3235294117647059</v>
      </c>
      <c r="BD178" s="405">
        <f>ROUNDDOWN(IF( OR( AND(tabItens[[#This Row],[PontoPed]]&lt;tabItens[[#This Row],[Saldo]],tabItens[[#This Row],[Saldo]]&gt;0), tabItens[[#This Row],[PontoPed]]=0), 99, IF(AND(tabItens[[#This Row],[Saldo]]=0,tabItens[[#This Row],[PontoPed]]&gt;0), 0, (1-tabItens[[#This Row],[PctAb]])*10 ) ),0)</f>
        <v>6</v>
      </c>
      <c r="BE178" s="406">
        <f>MAX(ROUNDDOWN( IF(tabItens[[#This Row],[Abaixo]] &gt; 0,   tabItens[[#This Row],[Abaixo]] + (tabItens[[#This Row],[PontoMês]] * IF( OR( ISBLANK(tabItens[[#This Row],[ATA Nº/ANO]]), tabItens[[#This Row],[ATA Nº/ANO]] = ""),BE$2,BE$1)),0),0),0)</f>
        <v>3650</v>
      </c>
      <c r="BF17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8" s="338">
        <f>SUMIF(Consumo!$C$3:$C$862,tabItens[[#This Row],[CÓDIGO]],Consumo!$E$3:$E$862)</f>
        <v>549</v>
      </c>
      <c r="BH178" s="339">
        <f>IF(AND(tabItens[[#This Row],[Pend]] &gt; 0,tabItens[[#This Row],[Consumo]] &lt;&gt; 0), tabItens[[#This Row],[Pend]] / tabItens[[#This Row],[Consumo]], 0 )</f>
        <v>8.13212857354466E-2</v>
      </c>
      <c r="BI178" s="338"/>
      <c r="BJ178" s="407"/>
      <c r="BK178" s="408" t="s">
        <v>2086</v>
      </c>
    </row>
    <row r="179" spans="1:63" x14ac:dyDescent="0.3">
      <c r="A179" s="375">
        <v>93461</v>
      </c>
      <c r="B179" s="376" t="s">
        <v>1548</v>
      </c>
      <c r="C179" s="377" t="s">
        <v>380</v>
      </c>
      <c r="D179" s="378">
        <v>0.24</v>
      </c>
      <c r="E179" s="305"/>
      <c r="F179" s="379"/>
      <c r="G179" s="379" t="s">
        <v>889</v>
      </c>
      <c r="H179" s="380">
        <v>0</v>
      </c>
      <c r="I179" s="307">
        <v>103003</v>
      </c>
      <c r="J179" s="308">
        <v>0.24</v>
      </c>
      <c r="K179" s="381">
        <v>5217</v>
      </c>
      <c r="L179" s="382">
        <f>IF(tabItens[[#This Row],[Média]] &gt; 0, tabItens[[#This Row],[QTDE ATUAL]] / tabItens[[#This Row],[Média]],999.9)</f>
        <v>0</v>
      </c>
      <c r="M179" s="383">
        <v>0</v>
      </c>
      <c r="N179" s="384">
        <f>tabItens[[#This Row],[VALOR UNIT.]] * tabItens[[#This Row],[LC]]</f>
        <v>0</v>
      </c>
      <c r="O179" s="385" t="s">
        <v>2088</v>
      </c>
      <c r="P179" s="386"/>
      <c r="Q179" s="387"/>
      <c r="R179" s="312"/>
      <c r="S179" s="388"/>
      <c r="T179" s="389">
        <f>ROUNDDOWN(IFERROR(tabItens[[#This Row],[ATA DT.VALID.]] - $D$1,0) / 30,0)</f>
        <v>-1474</v>
      </c>
      <c r="U179" s="302" t="s">
        <v>1136</v>
      </c>
      <c r="V179" s="318">
        <v>1</v>
      </c>
      <c r="W179" s="390" t="s">
        <v>2074</v>
      </c>
      <c r="X179" s="391">
        <v>57</v>
      </c>
      <c r="Y179" s="392">
        <v>2</v>
      </c>
      <c r="Z179" s="393">
        <v>6217</v>
      </c>
      <c r="AA179" s="394">
        <v>2023</v>
      </c>
      <c r="AB179" s="395">
        <v>1000</v>
      </c>
      <c r="AC179" s="395"/>
      <c r="AD179" s="394"/>
      <c r="AE179" s="395"/>
      <c r="AF179" s="317"/>
      <c r="AG179" s="396" t="s">
        <v>2072</v>
      </c>
      <c r="AH179" s="397"/>
      <c r="AI179" s="317">
        <v>2720</v>
      </c>
      <c r="AJ179" s="397">
        <v>44147</v>
      </c>
      <c r="AK179" s="326">
        <v>38930</v>
      </c>
      <c r="AL179" s="326">
        <v>44126</v>
      </c>
      <c r="AM179" s="316"/>
      <c r="AN179" s="305"/>
      <c r="AO179" s="327" t="str">
        <f>_xlfn.IFNA(IF(VLOOKUP(tabItens[[#This Row],[CÓDIGO]],tabExcluirDoEstoque[#Data],1,FALSE),"sim",""),"")</f>
        <v/>
      </c>
      <c r="AP179" s="398" t="str">
        <f ca="1">IF(OR(ISBLANK(tabItens[[#This Row],[ATA DT.VALID.]]),tabItens[[#This Row],[ATA DT.VALID.]]="",tabItens[[#This Row],[ATA DT.VALID.]]=" "),"",IF(TYPE(tabItens[[#This Row],[ATA DT.VALID.]])=1,ROUNDUP((tabItens[[#This Row],[ATA DT.VALID.]]-TODAY())/7,0),""))</f>
        <v/>
      </c>
      <c r="AQ179" s="399">
        <v>0</v>
      </c>
      <c r="AR179" s="400" t="str">
        <f>IF(ISBLANK(tabItens[[#This Row],[CÓDIGO]]),"",IFERROR(VLOOKUP(tabItens[[#This Row],[CÓDIGO]],Consumo!$C$2:$AC$862,26,FALSE),0))</f>
        <v>09.2023</v>
      </c>
      <c r="AS179" s="401">
        <f>SUMIF(Consumo!$C$3:$C$862,tabItens[[#This Row],[CÓDIGO]],Consumo!$N$3:$N$862) + SUMIF(Consumo!$C$3:$C$862,tabItens[[#This Row],[CÓDIGO]],Consumo!$O$3:$O$862) + SUMIF(Consumo!$C$3:$C$862,tabItens[[#This Row],[CÓDIGO]],Consumo!$P$3:$P$862) + SUMIF(Consumo!$C$3:$C$862,tabItens[[#This Row],[CÓDIGO]],Consumo!$Q$3:$Q$862)</f>
        <v>2874</v>
      </c>
      <c r="AT179" s="401">
        <f>SUMIF(Consumo!$C$3:$C$862,tabItens[[#This Row],[CÓDIGO]],Consumo!$Z$3:$Z$862)</f>
        <v>8051</v>
      </c>
      <c r="AU179" s="402">
        <f>SUMIF(Consumo!$C$3:$C$862,tabItens[[#This Row],[CÓDIGO]],Consumo!$AA$3:$AA$862)</f>
        <v>1229</v>
      </c>
      <c r="AV179" s="403">
        <f>SUMIF(Consumo!$C$3:$C$862,tabItens[[#This Row],[CÓDIGO]],Consumo!$Y$3:$Y$862)</f>
        <v>667.91666666666663</v>
      </c>
      <c r="AW179" s="380">
        <f>tabItens[[#This Row],[QTDE ATUAL]] + tabItens[[#This Row],[RC QTDE]] + tabItens[[#This Row],[AF SALDO]] + tabItens[[#This Row],[Recentes]]</f>
        <v>1000</v>
      </c>
      <c r="AX179" s="404">
        <v>850</v>
      </c>
      <c r="AY179" s="404">
        <v>4</v>
      </c>
      <c r="AZ179" s="404">
        <f>IF(ISBLANK(tabItens[[#This Row],[CÓDIGO]]),"",tabItens[[#This Row],[PontoMês]] * (AZ$2+tabItens[[#This Row],[PontoQtM]]))</f>
        <v>3400</v>
      </c>
      <c r="BA179" s="403">
        <f>tabItens[[#This Row],[PontoPed]] - tabItens[[#This Row],[Saldo]] + (1/10)</f>
        <v>2400.1</v>
      </c>
      <c r="BB179" s="403">
        <f xml:space="preserve"> tabItens[[#This Row],[PontoMês]] * BB$2 - tabItens[[#This Row],[QTDE ATUAL]] - (1/10)</f>
        <v>849.9</v>
      </c>
      <c r="BC179" s="335">
        <f>IF( tabItens[[#This Row],[PontoPed]]&gt;0, IF(tabItens[[#This Row],[PontoPed]]&lt;1, 1, IF( tabItens[[#This Row],[Saldo]]&gt;tabItens[[#This Row],[PontoPed]], 0, (tabItens[[#This Row],[PontoPed]]-tabItens[[#This Row],[Saldo]])/tabItens[[#This Row],[PontoPed]] ) ), 0 )</f>
        <v>0.70588235294117652</v>
      </c>
      <c r="BD179" s="405">
        <f>ROUNDDOWN(IF( OR( AND(tabItens[[#This Row],[PontoPed]]&lt;tabItens[[#This Row],[Saldo]],tabItens[[#This Row],[Saldo]]&gt;0), tabItens[[#This Row],[PontoPed]]=0), 99, IF(AND(tabItens[[#This Row],[Saldo]]=0,tabItens[[#This Row],[PontoPed]]&gt;0), 0, (1-tabItens[[#This Row],[PctAb]])*10 ) ),0)</f>
        <v>2</v>
      </c>
      <c r="BE179" s="406">
        <f>MAX(ROUNDDOWN( IF(tabItens[[#This Row],[Abaixo]] &gt; 0,   tabItens[[#This Row],[Abaixo]] + (tabItens[[#This Row],[PontoMês]] * IF( OR( ISBLANK(tabItens[[#This Row],[ATA Nº/ANO]]), tabItens[[#This Row],[ATA Nº/ANO]] = ""),BE$2,BE$1)),0),0),0)</f>
        <v>4950</v>
      </c>
      <c r="BF17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9" s="338">
        <f>SUMIF(Consumo!$C$3:$C$862,tabItens[[#This Row],[CÓDIGO]],Consumo!$E$3:$E$862)</f>
        <v>0</v>
      </c>
      <c r="BH179" s="339">
        <f>IF(AND(tabItens[[#This Row],[Pend]] &gt; 0,tabItens[[#This Row],[Consumo]] &lt;&gt; 0), tabItens[[#This Row],[Pend]] / tabItens[[#This Row],[Consumo]], 0 )</f>
        <v>0</v>
      </c>
      <c r="BI179" s="338"/>
      <c r="BJ179" s="407"/>
      <c r="BK179" s="408" t="s">
        <v>2086</v>
      </c>
    </row>
    <row r="180" spans="1:63" x14ac:dyDescent="0.3">
      <c r="A180" s="375">
        <v>93462</v>
      </c>
      <c r="B180" s="376" t="s">
        <v>1549</v>
      </c>
      <c r="C180" s="377" t="s">
        <v>380</v>
      </c>
      <c r="D180" s="378">
        <v>0.24</v>
      </c>
      <c r="E180" s="305"/>
      <c r="F180" s="379"/>
      <c r="G180" s="379" t="s">
        <v>889</v>
      </c>
      <c r="H180" s="380">
        <v>0</v>
      </c>
      <c r="I180" s="307">
        <v>103003</v>
      </c>
      <c r="J180" s="308">
        <v>0.24</v>
      </c>
      <c r="K180" s="381">
        <v>4540</v>
      </c>
      <c r="L180" s="382">
        <f>IF(tabItens[[#This Row],[Média]] &gt; 0, tabItens[[#This Row],[QTDE ATUAL]] / tabItens[[#This Row],[Média]],999.9)</f>
        <v>0</v>
      </c>
      <c r="M180" s="383">
        <v>0</v>
      </c>
      <c r="N180" s="384">
        <f>tabItens[[#This Row],[VALOR UNIT.]] * tabItens[[#This Row],[LC]]</f>
        <v>0</v>
      </c>
      <c r="O180" s="385" t="s">
        <v>2088</v>
      </c>
      <c r="P180" s="386"/>
      <c r="Q180" s="387"/>
      <c r="R180" s="312"/>
      <c r="S180" s="388"/>
      <c r="T180" s="389">
        <f>ROUNDDOWN(IFERROR(tabItens[[#This Row],[ATA DT.VALID.]] - $D$1,0) / 30,0)</f>
        <v>-1474</v>
      </c>
      <c r="U180" s="302" t="s">
        <v>1136</v>
      </c>
      <c r="V180" s="318">
        <v>1</v>
      </c>
      <c r="W180" s="390" t="s">
        <v>2074</v>
      </c>
      <c r="X180" s="391">
        <v>57</v>
      </c>
      <c r="Y180" s="392">
        <v>2</v>
      </c>
      <c r="Z180" s="393">
        <v>6985</v>
      </c>
      <c r="AA180" s="394">
        <v>2023</v>
      </c>
      <c r="AB180" s="395">
        <v>3300</v>
      </c>
      <c r="AC180" s="395"/>
      <c r="AD180" s="394"/>
      <c r="AE180" s="395"/>
      <c r="AF180" s="317"/>
      <c r="AG180" s="396" t="s">
        <v>2072</v>
      </c>
      <c r="AH180" s="397"/>
      <c r="AI180" s="317">
        <v>1892</v>
      </c>
      <c r="AJ180" s="397">
        <v>44147</v>
      </c>
      <c r="AK180" s="326">
        <v>38930</v>
      </c>
      <c r="AL180" s="326">
        <v>44126</v>
      </c>
      <c r="AM180" s="316"/>
      <c r="AN180" s="305"/>
      <c r="AO180" s="327" t="str">
        <f>_xlfn.IFNA(IF(VLOOKUP(tabItens[[#This Row],[CÓDIGO]],tabExcluirDoEstoque[#Data],1,FALSE),"sim",""),"")</f>
        <v/>
      </c>
      <c r="AP180" s="398" t="str">
        <f ca="1">IF(OR(ISBLANK(tabItens[[#This Row],[ATA DT.VALID.]]),tabItens[[#This Row],[ATA DT.VALID.]]="",tabItens[[#This Row],[ATA DT.VALID.]]=" "),"",IF(TYPE(tabItens[[#This Row],[ATA DT.VALID.]])=1,ROUNDUP((tabItens[[#This Row],[ATA DT.VALID.]]-TODAY())/7,0),""))</f>
        <v/>
      </c>
      <c r="AQ180" s="399">
        <v>0</v>
      </c>
      <c r="AR180" s="400" t="str">
        <f>IF(ISBLANK(tabItens[[#This Row],[CÓDIGO]]),"",IFERROR(VLOOKUP(tabItens[[#This Row],[CÓDIGO]],Consumo!$C$2:$AC$862,26,FALSE),0))</f>
        <v>07.2023</v>
      </c>
      <c r="AS180" s="401">
        <f>SUMIF(Consumo!$C$3:$C$862,tabItens[[#This Row],[CÓDIGO]],Consumo!$N$3:$N$862) + SUMIF(Consumo!$C$3:$C$862,tabItens[[#This Row],[CÓDIGO]],Consumo!$O$3:$O$862) + SUMIF(Consumo!$C$3:$C$862,tabItens[[#This Row],[CÓDIGO]],Consumo!$P$3:$P$862) + SUMIF(Consumo!$C$3:$C$862,tabItens[[#This Row],[CÓDIGO]],Consumo!$Q$3:$Q$862)</f>
        <v>354</v>
      </c>
      <c r="AT180" s="401">
        <f>SUMIF(Consumo!$C$3:$C$862,tabItens[[#This Row],[CÓDIGO]],Consumo!$Z$3:$Z$862)</f>
        <v>6181</v>
      </c>
      <c r="AU180" s="402">
        <f>SUMIF(Consumo!$C$3:$C$862,tabItens[[#This Row],[CÓDIGO]],Consumo!$AA$3:$AA$862)</f>
        <v>1233</v>
      </c>
      <c r="AV180" s="403">
        <f>SUMIF(Consumo!$C$3:$C$862,tabItens[[#This Row],[CÓDIGO]],Consumo!$Y$3:$Y$862)</f>
        <v>515.08333333333337</v>
      </c>
      <c r="AW180" s="380">
        <f>tabItens[[#This Row],[QTDE ATUAL]] + tabItens[[#This Row],[RC QTDE]] + tabItens[[#This Row],[AF SALDO]] + tabItens[[#This Row],[Recentes]]</f>
        <v>3300</v>
      </c>
      <c r="AX180" s="404">
        <v>850</v>
      </c>
      <c r="AY180" s="404">
        <v>4</v>
      </c>
      <c r="AZ180" s="404">
        <f>IF(ISBLANK(tabItens[[#This Row],[CÓDIGO]]),"",tabItens[[#This Row],[PontoMês]] * (AZ$2+tabItens[[#This Row],[PontoQtM]]))</f>
        <v>3400</v>
      </c>
      <c r="BA180" s="403">
        <f>tabItens[[#This Row],[PontoPed]] - tabItens[[#This Row],[Saldo]] + (1/10)</f>
        <v>100.1</v>
      </c>
      <c r="BB180" s="403">
        <f xml:space="preserve"> tabItens[[#This Row],[PontoMês]] * BB$2 - tabItens[[#This Row],[QTDE ATUAL]] - (1/10)</f>
        <v>849.9</v>
      </c>
      <c r="BC180" s="335">
        <f>IF( tabItens[[#This Row],[PontoPed]]&gt;0, IF(tabItens[[#This Row],[PontoPed]]&lt;1, 1, IF( tabItens[[#This Row],[Saldo]]&gt;tabItens[[#This Row],[PontoPed]], 0, (tabItens[[#This Row],[PontoPed]]-tabItens[[#This Row],[Saldo]])/tabItens[[#This Row],[PontoPed]] ) ), 0 )</f>
        <v>2.9411764705882353E-2</v>
      </c>
      <c r="BD180" s="405">
        <f>ROUNDDOWN(IF( OR( AND(tabItens[[#This Row],[PontoPed]]&lt;tabItens[[#This Row],[Saldo]],tabItens[[#This Row],[Saldo]]&gt;0), tabItens[[#This Row],[PontoPed]]=0), 99, IF(AND(tabItens[[#This Row],[Saldo]]=0,tabItens[[#This Row],[PontoPed]]&gt;0), 0, (1-tabItens[[#This Row],[PctAb]])*10 ) ),0)</f>
        <v>9</v>
      </c>
      <c r="BE180" s="406">
        <f>MAX(ROUNDDOWN( IF(tabItens[[#This Row],[Abaixo]] &gt; 0,   tabItens[[#This Row],[Abaixo]] + (tabItens[[#This Row],[PontoMês]] * IF( OR( ISBLANK(tabItens[[#This Row],[ATA Nº/ANO]]), tabItens[[#This Row],[ATA Nº/ANO]] = ""),BE$2,BE$1)),0),0),0)</f>
        <v>2650</v>
      </c>
      <c r="BF18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0" s="338">
        <f>SUMIF(Consumo!$C$3:$C$862,tabItens[[#This Row],[CÓDIGO]],Consumo!$E$3:$E$862)</f>
        <v>507</v>
      </c>
      <c r="BH180" s="339">
        <f>IF(AND(tabItens[[#This Row],[Pend]] &gt; 0,tabItens[[#This Row],[Consumo]] &lt;&gt; 0), tabItens[[#This Row],[Pend]] / tabItens[[#This Row],[Consumo]], 0 )</f>
        <v>8.2025562206762659E-2</v>
      </c>
      <c r="BI180" s="338"/>
      <c r="BJ180" s="407"/>
      <c r="BK180" s="408" t="s">
        <v>2086</v>
      </c>
    </row>
    <row r="181" spans="1:63" x14ac:dyDescent="0.3">
      <c r="A181" s="375">
        <v>29956</v>
      </c>
      <c r="B181" s="376" t="s">
        <v>1240</v>
      </c>
      <c r="C181" s="377" t="s">
        <v>380</v>
      </c>
      <c r="D181" s="378">
        <v>1</v>
      </c>
      <c r="E181" s="305"/>
      <c r="F181" s="379"/>
      <c r="G181" s="379" t="s">
        <v>889</v>
      </c>
      <c r="H181" s="380">
        <v>0</v>
      </c>
      <c r="I181" s="307">
        <v>103003</v>
      </c>
      <c r="J181" s="308">
        <v>1</v>
      </c>
      <c r="K181" s="381">
        <v>4945</v>
      </c>
      <c r="L181" s="382">
        <f>IF(tabItens[[#This Row],[Média]] &gt; 0, tabItens[[#This Row],[QTDE ATUAL]] / tabItens[[#This Row],[Média]],999.9)</f>
        <v>0</v>
      </c>
      <c r="M181" s="383">
        <v>0</v>
      </c>
      <c r="N181" s="384">
        <f>tabItens[[#This Row],[VALOR UNIT.]] * tabItens[[#This Row],[LC]]</f>
        <v>0</v>
      </c>
      <c r="O181" s="385" t="s">
        <v>2088</v>
      </c>
      <c r="P181" s="386"/>
      <c r="Q181" s="387"/>
      <c r="R181" s="312"/>
      <c r="S181" s="388"/>
      <c r="T181" s="389">
        <f>ROUNDDOWN(IFERROR(tabItens[[#This Row],[ATA DT.VALID.]] - $D$1,0) / 30,0)</f>
        <v>-1474</v>
      </c>
      <c r="U181" s="302" t="s">
        <v>1130</v>
      </c>
      <c r="V181" s="318">
        <v>1</v>
      </c>
      <c r="W181" s="390" t="s">
        <v>2074</v>
      </c>
      <c r="X181" s="391">
        <v>57</v>
      </c>
      <c r="Y181" s="392">
        <v>15</v>
      </c>
      <c r="Z181" s="393">
        <v>6984</v>
      </c>
      <c r="AA181" s="394">
        <v>2023</v>
      </c>
      <c r="AB181" s="395">
        <v>500</v>
      </c>
      <c r="AC181" s="395"/>
      <c r="AD181" s="394"/>
      <c r="AE181" s="395"/>
      <c r="AF181" s="317"/>
      <c r="AG181" s="396" t="s">
        <v>2072</v>
      </c>
      <c r="AH181" s="397"/>
      <c r="AI181" s="317">
        <v>2632</v>
      </c>
      <c r="AJ181" s="397">
        <v>44994</v>
      </c>
      <c r="AK181" s="326" t="s">
        <v>889</v>
      </c>
      <c r="AL181" s="326">
        <v>44959</v>
      </c>
      <c r="AM181" s="316"/>
      <c r="AN181" s="305"/>
      <c r="AO181" s="327" t="str">
        <f>_xlfn.IFNA(IF(VLOOKUP(tabItens[[#This Row],[CÓDIGO]],tabExcluirDoEstoque[#Data],1,FALSE),"sim",""),"")</f>
        <v/>
      </c>
      <c r="AP181" s="398" t="str">
        <f ca="1">IF(OR(ISBLANK(tabItens[[#This Row],[ATA DT.VALID.]]),tabItens[[#This Row],[ATA DT.VALID.]]="",tabItens[[#This Row],[ATA DT.VALID.]]=" "),"",IF(TYPE(tabItens[[#This Row],[ATA DT.VALID.]])=1,ROUNDUP((tabItens[[#This Row],[ATA DT.VALID.]]-TODAY())/7,0),""))</f>
        <v/>
      </c>
      <c r="AQ181" s="399">
        <v>0</v>
      </c>
      <c r="AR181" s="400" t="str">
        <f>IF(ISBLANK(tabItens[[#This Row],[CÓDIGO]]),"",IFERROR(VLOOKUP(tabItens[[#This Row],[CÓDIGO]],Consumo!$C$2:$AC$862,26,FALSE),0))</f>
        <v>09.2023</v>
      </c>
      <c r="AS181" s="401">
        <f>SUMIF(Consumo!$C$3:$C$862,tabItens[[#This Row],[CÓDIGO]],Consumo!$N$3:$N$862) + SUMIF(Consumo!$C$3:$C$862,tabItens[[#This Row],[CÓDIGO]],Consumo!$O$3:$O$862) + SUMIF(Consumo!$C$3:$C$862,tabItens[[#This Row],[CÓDIGO]],Consumo!$P$3:$P$862) + SUMIF(Consumo!$C$3:$C$862,tabItens[[#This Row],[CÓDIGO]],Consumo!$Q$3:$Q$862)</f>
        <v>2949</v>
      </c>
      <c r="AT181" s="401">
        <f>SUMIF(Consumo!$C$3:$C$862,tabItens[[#This Row],[CÓDIGO]],Consumo!$Z$3:$Z$862)</f>
        <v>7908</v>
      </c>
      <c r="AU181" s="402">
        <f>SUMIF(Consumo!$C$3:$C$862,tabItens[[#This Row],[CÓDIGO]],Consumo!$AA$3:$AA$862)</f>
        <v>1120</v>
      </c>
      <c r="AV181" s="403">
        <f>SUMIF(Consumo!$C$3:$C$862,tabItens[[#This Row],[CÓDIGO]],Consumo!$Y$3:$Y$862)</f>
        <v>659</v>
      </c>
      <c r="AW181" s="380">
        <f>tabItens[[#This Row],[QTDE ATUAL]] + tabItens[[#This Row],[RC QTDE]] + tabItens[[#This Row],[AF SALDO]] + tabItens[[#This Row],[Recentes]]</f>
        <v>500</v>
      </c>
      <c r="AX181" s="404">
        <v>834</v>
      </c>
      <c r="AY181" s="404">
        <v>4</v>
      </c>
      <c r="AZ181" s="404">
        <f>IF(ISBLANK(tabItens[[#This Row],[CÓDIGO]]),"",tabItens[[#This Row],[PontoMês]] * (AZ$2+tabItens[[#This Row],[PontoQtM]]))</f>
        <v>3336</v>
      </c>
      <c r="BA181" s="403">
        <f>tabItens[[#This Row],[PontoPed]] - tabItens[[#This Row],[Saldo]] + (1/10)</f>
        <v>2836.1</v>
      </c>
      <c r="BB181" s="403">
        <f xml:space="preserve"> tabItens[[#This Row],[PontoMês]] * BB$2 - tabItens[[#This Row],[QTDE ATUAL]] - (1/10)</f>
        <v>833.9</v>
      </c>
      <c r="BC181" s="335">
        <f>IF( tabItens[[#This Row],[PontoPed]]&gt;0, IF(tabItens[[#This Row],[PontoPed]]&lt;1, 1, IF( tabItens[[#This Row],[Saldo]]&gt;tabItens[[#This Row],[PontoPed]], 0, (tabItens[[#This Row],[PontoPed]]-tabItens[[#This Row],[Saldo]])/tabItens[[#This Row],[PontoPed]] ) ), 0 )</f>
        <v>0.85011990407673865</v>
      </c>
      <c r="BD181" s="405">
        <f>ROUNDDOWN(IF( OR( AND(tabItens[[#This Row],[PontoPed]]&lt;tabItens[[#This Row],[Saldo]],tabItens[[#This Row],[Saldo]]&gt;0), tabItens[[#This Row],[PontoPed]]=0), 99, IF(AND(tabItens[[#This Row],[Saldo]]=0,tabItens[[#This Row],[PontoPed]]&gt;0), 0, (1-tabItens[[#This Row],[PctAb]])*10 ) ),0)</f>
        <v>1</v>
      </c>
      <c r="BE181" s="406">
        <f>MAX(ROUNDDOWN( IF(tabItens[[#This Row],[Abaixo]] &gt; 0,   tabItens[[#This Row],[Abaixo]] + (tabItens[[#This Row],[PontoMês]] * IF( OR( ISBLANK(tabItens[[#This Row],[ATA Nº/ANO]]), tabItens[[#This Row],[ATA Nº/ANO]] = ""),BE$2,BE$1)),0),0),0)</f>
        <v>5338</v>
      </c>
      <c r="BF18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1" s="338">
        <f>SUMIF(Consumo!$C$3:$C$862,tabItens[[#This Row],[CÓDIGO]],Consumo!$E$3:$E$862)</f>
        <v>10</v>
      </c>
      <c r="BH181" s="339">
        <f>IF(AND(tabItens[[#This Row],[Pend]] &gt; 0,tabItens[[#This Row],[Consumo]] &lt;&gt; 0), tabItens[[#This Row],[Pend]] / tabItens[[#This Row],[Consumo]], 0 )</f>
        <v>1.2645422357106728E-3</v>
      </c>
      <c r="BI181" s="338"/>
      <c r="BJ181" s="407"/>
      <c r="BK181" s="408" t="s">
        <v>2086</v>
      </c>
    </row>
    <row r="182" spans="1:63" x14ac:dyDescent="0.3">
      <c r="A182" s="375">
        <v>29959</v>
      </c>
      <c r="B182" s="376" t="s">
        <v>1241</v>
      </c>
      <c r="C182" s="377" t="s">
        <v>380</v>
      </c>
      <c r="D182" s="378">
        <v>1.02</v>
      </c>
      <c r="E182" s="305"/>
      <c r="F182" s="379"/>
      <c r="G182" s="379" t="s">
        <v>889</v>
      </c>
      <c r="H182" s="380">
        <v>0</v>
      </c>
      <c r="I182" s="307">
        <v>103003</v>
      </c>
      <c r="J182" s="308">
        <v>1.02</v>
      </c>
      <c r="K182" s="381">
        <v>5461</v>
      </c>
      <c r="L182" s="382">
        <f>IF(tabItens[[#This Row],[Média]] &gt; 0, tabItens[[#This Row],[QTDE ATUAL]] / tabItens[[#This Row],[Média]],999.9)</f>
        <v>0</v>
      </c>
      <c r="M182" s="383">
        <v>0</v>
      </c>
      <c r="N182" s="384">
        <f>tabItens[[#This Row],[VALOR UNIT.]] * tabItens[[#This Row],[LC]]</f>
        <v>0</v>
      </c>
      <c r="O182" s="385" t="s">
        <v>2088</v>
      </c>
      <c r="P182" s="386"/>
      <c r="Q182" s="387"/>
      <c r="R182" s="312"/>
      <c r="S182" s="388"/>
      <c r="T182" s="389">
        <f>ROUNDDOWN(IFERROR(tabItens[[#This Row],[ATA DT.VALID.]] - $D$1,0) / 30,0)</f>
        <v>-1474</v>
      </c>
      <c r="U182" s="302" t="s">
        <v>1130</v>
      </c>
      <c r="V182" s="318">
        <v>1</v>
      </c>
      <c r="W182" s="390" t="s">
        <v>2074</v>
      </c>
      <c r="X182" s="391">
        <v>57</v>
      </c>
      <c r="Y182" s="392">
        <v>15</v>
      </c>
      <c r="Z182" s="393">
        <v>6984</v>
      </c>
      <c r="AA182" s="394">
        <v>2023</v>
      </c>
      <c r="AB182" s="395">
        <v>1200</v>
      </c>
      <c r="AC182" s="395"/>
      <c r="AD182" s="394"/>
      <c r="AE182" s="395"/>
      <c r="AF182" s="317"/>
      <c r="AG182" s="396" t="s">
        <v>2072</v>
      </c>
      <c r="AH182" s="397"/>
      <c r="AI182" s="317">
        <v>2594</v>
      </c>
      <c r="AJ182" s="397">
        <v>45014</v>
      </c>
      <c r="AK182" s="326" t="s">
        <v>889</v>
      </c>
      <c r="AL182" s="326">
        <v>44959</v>
      </c>
      <c r="AM182" s="316"/>
      <c r="AN182" s="305"/>
      <c r="AO182" s="327" t="str">
        <f>_xlfn.IFNA(IF(VLOOKUP(tabItens[[#This Row],[CÓDIGO]],tabExcluirDoEstoque[#Data],1,FALSE),"sim",""),"")</f>
        <v/>
      </c>
      <c r="AP182" s="398" t="str">
        <f ca="1">IF(OR(ISBLANK(tabItens[[#This Row],[ATA DT.VALID.]]),tabItens[[#This Row],[ATA DT.VALID.]]="",tabItens[[#This Row],[ATA DT.VALID.]]=" "),"",IF(TYPE(tabItens[[#This Row],[ATA DT.VALID.]])=1,ROUNDUP((tabItens[[#This Row],[ATA DT.VALID.]]-TODAY())/7,0),""))</f>
        <v/>
      </c>
      <c r="AQ182" s="399">
        <v>0</v>
      </c>
      <c r="AR182" s="400" t="str">
        <f>IF(ISBLANK(tabItens[[#This Row],[CÓDIGO]]),"",IFERROR(VLOOKUP(tabItens[[#This Row],[CÓDIGO]],Consumo!$C$2:$AC$862,26,FALSE),0))</f>
        <v>09.2023</v>
      </c>
      <c r="AS182" s="401">
        <f>SUMIF(Consumo!$C$3:$C$862,tabItens[[#This Row],[CÓDIGO]],Consumo!$N$3:$N$862) + SUMIF(Consumo!$C$3:$C$862,tabItens[[#This Row],[CÓDIGO]],Consumo!$O$3:$O$862) + SUMIF(Consumo!$C$3:$C$862,tabItens[[#This Row],[CÓDIGO]],Consumo!$P$3:$P$862) + SUMIF(Consumo!$C$3:$C$862,tabItens[[#This Row],[CÓDIGO]],Consumo!$Q$3:$Q$862)</f>
        <v>2995</v>
      </c>
      <c r="AT182" s="401">
        <f>SUMIF(Consumo!$C$3:$C$862,tabItens[[#This Row],[CÓDIGO]],Consumo!$Z$3:$Z$862)</f>
        <v>8769</v>
      </c>
      <c r="AU182" s="402">
        <f>SUMIF(Consumo!$C$3:$C$862,tabItens[[#This Row],[CÓDIGO]],Consumo!$AA$3:$AA$862)</f>
        <v>1120</v>
      </c>
      <c r="AV182" s="403">
        <f>SUMIF(Consumo!$C$3:$C$862,tabItens[[#This Row],[CÓDIGO]],Consumo!$Y$3:$Y$862)</f>
        <v>730.75</v>
      </c>
      <c r="AW182" s="380">
        <f>tabItens[[#This Row],[QTDE ATUAL]] + tabItens[[#This Row],[RC QTDE]] + tabItens[[#This Row],[AF SALDO]] + tabItens[[#This Row],[Recentes]]</f>
        <v>1200</v>
      </c>
      <c r="AX182" s="404">
        <v>834</v>
      </c>
      <c r="AY182" s="404">
        <v>4</v>
      </c>
      <c r="AZ182" s="404">
        <f>IF(ISBLANK(tabItens[[#This Row],[CÓDIGO]]),"",tabItens[[#This Row],[PontoMês]] * (AZ$2+tabItens[[#This Row],[PontoQtM]]))</f>
        <v>3336</v>
      </c>
      <c r="BA182" s="403">
        <f>tabItens[[#This Row],[PontoPed]] - tabItens[[#This Row],[Saldo]] + (1/10)</f>
        <v>2136.1</v>
      </c>
      <c r="BB182" s="403">
        <f xml:space="preserve"> tabItens[[#This Row],[PontoMês]] * BB$2 - tabItens[[#This Row],[QTDE ATUAL]] - (1/10)</f>
        <v>833.9</v>
      </c>
      <c r="BC182" s="335">
        <f>IF( tabItens[[#This Row],[PontoPed]]&gt;0, IF(tabItens[[#This Row],[PontoPed]]&lt;1, 1, IF( tabItens[[#This Row],[Saldo]]&gt;tabItens[[#This Row],[PontoPed]], 0, (tabItens[[#This Row],[PontoPed]]-tabItens[[#This Row],[Saldo]])/tabItens[[#This Row],[PontoPed]] ) ), 0 )</f>
        <v>0.64028776978417268</v>
      </c>
      <c r="BD182" s="405">
        <f>ROUNDDOWN(IF( OR( AND(tabItens[[#This Row],[PontoPed]]&lt;tabItens[[#This Row],[Saldo]],tabItens[[#This Row],[Saldo]]&gt;0), tabItens[[#This Row],[PontoPed]]=0), 99, IF(AND(tabItens[[#This Row],[Saldo]]=0,tabItens[[#This Row],[PontoPed]]&gt;0), 0, (1-tabItens[[#This Row],[PctAb]])*10 ) ),0)</f>
        <v>3</v>
      </c>
      <c r="BE182" s="406">
        <f>MAX(ROUNDDOWN( IF(tabItens[[#This Row],[Abaixo]] &gt; 0,   tabItens[[#This Row],[Abaixo]] + (tabItens[[#This Row],[PontoMês]] * IF( OR( ISBLANK(tabItens[[#This Row],[ATA Nº/ANO]]), tabItens[[#This Row],[ATA Nº/ANO]] = ""),BE$2,BE$1)),0),0),0)</f>
        <v>4638</v>
      </c>
      <c r="BF18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2" s="338">
        <f>SUMIF(Consumo!$C$3:$C$862,tabItens[[#This Row],[CÓDIGO]],Consumo!$E$3:$E$862)</f>
        <v>988</v>
      </c>
      <c r="BH182" s="339">
        <f>IF(AND(tabItens[[#This Row],[Pend]] &gt; 0,tabItens[[#This Row],[Consumo]] &lt;&gt; 0), tabItens[[#This Row],[Pend]] / tabItens[[#This Row],[Consumo]], 0 )</f>
        <v>0.11266963165697343</v>
      </c>
      <c r="BI182" s="338"/>
      <c r="BJ182" s="407"/>
      <c r="BK182" s="408" t="s">
        <v>2086</v>
      </c>
    </row>
    <row r="183" spans="1:63" x14ac:dyDescent="0.3">
      <c r="A183" s="375">
        <v>29961</v>
      </c>
      <c r="B183" s="376" t="s">
        <v>1242</v>
      </c>
      <c r="C183" s="377" t="s">
        <v>380</v>
      </c>
      <c r="D183" s="378">
        <v>1.02</v>
      </c>
      <c r="E183" s="305"/>
      <c r="F183" s="379"/>
      <c r="G183" s="379" t="s">
        <v>889</v>
      </c>
      <c r="H183" s="380">
        <v>0</v>
      </c>
      <c r="I183" s="307">
        <v>103003</v>
      </c>
      <c r="J183" s="308">
        <v>1.02</v>
      </c>
      <c r="K183" s="381">
        <v>4953</v>
      </c>
      <c r="L183" s="382">
        <f>IF(tabItens[[#This Row],[Média]] &gt; 0, tabItens[[#This Row],[QTDE ATUAL]] / tabItens[[#This Row],[Média]],999.9)</f>
        <v>0</v>
      </c>
      <c r="M183" s="383">
        <v>0</v>
      </c>
      <c r="N183" s="384">
        <f>tabItens[[#This Row],[VALOR UNIT.]] * tabItens[[#This Row],[LC]]</f>
        <v>0</v>
      </c>
      <c r="O183" s="385" t="s">
        <v>2088</v>
      </c>
      <c r="P183" s="386"/>
      <c r="Q183" s="387"/>
      <c r="R183" s="312"/>
      <c r="S183" s="388"/>
      <c r="T183" s="389">
        <f>ROUNDDOWN(IFERROR(tabItens[[#This Row],[ATA DT.VALID.]] - $D$1,0) / 30,0)</f>
        <v>-1474</v>
      </c>
      <c r="U183" s="302" t="s">
        <v>1130</v>
      </c>
      <c r="V183" s="318">
        <v>1</v>
      </c>
      <c r="W183" s="390" t="s">
        <v>2074</v>
      </c>
      <c r="X183" s="391">
        <v>57</v>
      </c>
      <c r="Y183" s="392">
        <v>15</v>
      </c>
      <c r="Z183" s="393">
        <v>6984</v>
      </c>
      <c r="AA183" s="394">
        <v>2023</v>
      </c>
      <c r="AB183" s="395">
        <v>1500</v>
      </c>
      <c r="AC183" s="395"/>
      <c r="AD183" s="394"/>
      <c r="AE183" s="395"/>
      <c r="AF183" s="317"/>
      <c r="AG183" s="396" t="s">
        <v>2072</v>
      </c>
      <c r="AH183" s="397"/>
      <c r="AI183" s="317">
        <v>2556</v>
      </c>
      <c r="AJ183" s="397">
        <v>45014</v>
      </c>
      <c r="AK183" s="326" t="s">
        <v>889</v>
      </c>
      <c r="AL183" s="326">
        <v>44959</v>
      </c>
      <c r="AM183" s="316"/>
      <c r="AN183" s="305"/>
      <c r="AO183" s="327" t="str">
        <f>_xlfn.IFNA(IF(VLOOKUP(tabItens[[#This Row],[CÓDIGO]],tabExcluirDoEstoque[#Data],1,FALSE),"sim",""),"")</f>
        <v/>
      </c>
      <c r="AP183" s="398" t="str">
        <f ca="1">IF(OR(ISBLANK(tabItens[[#This Row],[ATA DT.VALID.]]),tabItens[[#This Row],[ATA DT.VALID.]]="",tabItens[[#This Row],[ATA DT.VALID.]]=" "),"",IF(TYPE(tabItens[[#This Row],[ATA DT.VALID.]])=1,ROUNDUP((tabItens[[#This Row],[ATA DT.VALID.]]-TODAY())/7,0),""))</f>
        <v/>
      </c>
      <c r="AQ183" s="399">
        <v>0</v>
      </c>
      <c r="AR183" s="400" t="str">
        <f>IF(ISBLANK(tabItens[[#This Row],[CÓDIGO]]),"",IFERROR(VLOOKUP(tabItens[[#This Row],[CÓDIGO]],Consumo!$C$2:$AC$862,26,FALSE),0))</f>
        <v>08.2023</v>
      </c>
      <c r="AS183" s="401">
        <f>SUMIF(Consumo!$C$3:$C$862,tabItens[[#This Row],[CÓDIGO]],Consumo!$N$3:$N$862) + SUMIF(Consumo!$C$3:$C$862,tabItens[[#This Row],[CÓDIGO]],Consumo!$O$3:$O$862) + SUMIF(Consumo!$C$3:$C$862,tabItens[[#This Row],[CÓDIGO]],Consumo!$P$3:$P$862) + SUMIF(Consumo!$C$3:$C$862,tabItens[[#This Row],[CÓDIGO]],Consumo!$Q$3:$Q$862)</f>
        <v>2217</v>
      </c>
      <c r="AT183" s="401">
        <f>SUMIF(Consumo!$C$3:$C$862,tabItens[[#This Row],[CÓDIGO]],Consumo!$Z$3:$Z$862)</f>
        <v>7781</v>
      </c>
      <c r="AU183" s="402">
        <f>SUMIF(Consumo!$C$3:$C$862,tabItens[[#This Row],[CÓDIGO]],Consumo!$AA$3:$AA$862)</f>
        <v>1090</v>
      </c>
      <c r="AV183" s="403">
        <f>SUMIF(Consumo!$C$3:$C$862,tabItens[[#This Row],[CÓDIGO]],Consumo!$Y$3:$Y$862)</f>
        <v>648.41666666666663</v>
      </c>
      <c r="AW183" s="380">
        <f>tabItens[[#This Row],[QTDE ATUAL]] + tabItens[[#This Row],[RC QTDE]] + tabItens[[#This Row],[AF SALDO]] + tabItens[[#This Row],[Recentes]]</f>
        <v>1500</v>
      </c>
      <c r="AX183" s="404">
        <v>834</v>
      </c>
      <c r="AY183" s="404">
        <v>4</v>
      </c>
      <c r="AZ183" s="404">
        <f>IF(ISBLANK(tabItens[[#This Row],[CÓDIGO]]),"",tabItens[[#This Row],[PontoMês]] * (AZ$2+tabItens[[#This Row],[PontoQtM]]))</f>
        <v>3336</v>
      </c>
      <c r="BA183" s="403">
        <f>tabItens[[#This Row],[PontoPed]] - tabItens[[#This Row],[Saldo]] + (1/10)</f>
        <v>1836.1</v>
      </c>
      <c r="BB183" s="403">
        <f xml:space="preserve"> tabItens[[#This Row],[PontoMês]] * BB$2 - tabItens[[#This Row],[QTDE ATUAL]] - (1/10)</f>
        <v>833.9</v>
      </c>
      <c r="BC183" s="335">
        <f>IF( tabItens[[#This Row],[PontoPed]]&gt;0, IF(tabItens[[#This Row],[PontoPed]]&lt;1, 1, IF( tabItens[[#This Row],[Saldo]]&gt;tabItens[[#This Row],[PontoPed]], 0, (tabItens[[#This Row],[PontoPed]]-tabItens[[#This Row],[Saldo]])/tabItens[[#This Row],[PontoPed]] ) ), 0 )</f>
        <v>0.55035971223021585</v>
      </c>
      <c r="BD183" s="405">
        <f>ROUNDDOWN(IF( OR( AND(tabItens[[#This Row],[PontoPed]]&lt;tabItens[[#This Row],[Saldo]],tabItens[[#This Row],[Saldo]]&gt;0), tabItens[[#This Row],[PontoPed]]=0), 99, IF(AND(tabItens[[#This Row],[Saldo]]=0,tabItens[[#This Row],[PontoPed]]&gt;0), 0, (1-tabItens[[#This Row],[PctAb]])*10 ) ),0)</f>
        <v>4</v>
      </c>
      <c r="BE183" s="406">
        <f>MAX(ROUNDDOWN( IF(tabItens[[#This Row],[Abaixo]] &gt; 0,   tabItens[[#This Row],[Abaixo]] + (tabItens[[#This Row],[PontoMês]] * IF( OR( ISBLANK(tabItens[[#This Row],[ATA Nº/ANO]]), tabItens[[#This Row],[ATA Nº/ANO]] = ""),BE$2,BE$1)),0),0),0)</f>
        <v>4338</v>
      </c>
      <c r="BF18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3" s="338">
        <f>SUMIF(Consumo!$C$3:$C$862,tabItens[[#This Row],[CÓDIGO]],Consumo!$E$3:$E$862)</f>
        <v>257</v>
      </c>
      <c r="BH183" s="339">
        <f>IF(AND(tabItens[[#This Row],[Pend]] &gt; 0,tabItens[[#This Row],[Consumo]] &lt;&gt; 0), tabItens[[#This Row],[Pend]] / tabItens[[#This Row],[Consumo]], 0 )</f>
        <v>3.302917362806837E-2</v>
      </c>
      <c r="BI183" s="338"/>
      <c r="BJ183" s="407"/>
      <c r="BK183" s="408" t="s">
        <v>2086</v>
      </c>
    </row>
    <row r="184" spans="1:63" x14ac:dyDescent="0.3">
      <c r="A184" s="375">
        <v>29962</v>
      </c>
      <c r="B184" s="376" t="s">
        <v>1243</v>
      </c>
      <c r="C184" s="377" t="s">
        <v>380</v>
      </c>
      <c r="D184" s="378">
        <v>0.86</v>
      </c>
      <c r="E184" s="305"/>
      <c r="F184" s="379"/>
      <c r="G184" s="379" t="s">
        <v>889</v>
      </c>
      <c r="H184" s="380">
        <v>0</v>
      </c>
      <c r="I184" s="307">
        <v>103003</v>
      </c>
      <c r="J184" s="308">
        <v>0.86</v>
      </c>
      <c r="K184" s="381">
        <v>4726</v>
      </c>
      <c r="L184" s="382">
        <f>IF(tabItens[[#This Row],[Média]] &gt; 0, tabItens[[#This Row],[QTDE ATUAL]] / tabItens[[#This Row],[Média]],999.9)</f>
        <v>0</v>
      </c>
      <c r="M184" s="383">
        <v>0</v>
      </c>
      <c r="N184" s="384">
        <f>tabItens[[#This Row],[VALOR UNIT.]] * tabItens[[#This Row],[LC]]</f>
        <v>0</v>
      </c>
      <c r="O184" s="385" t="s">
        <v>2088</v>
      </c>
      <c r="P184" s="386"/>
      <c r="Q184" s="387"/>
      <c r="R184" s="312"/>
      <c r="S184" s="388"/>
      <c r="T184" s="389">
        <f>ROUNDDOWN(IFERROR(tabItens[[#This Row],[ATA DT.VALID.]] - $D$1,0) / 30,0)</f>
        <v>-1474</v>
      </c>
      <c r="U184" s="302" t="s">
        <v>1130</v>
      </c>
      <c r="V184" s="318">
        <v>1</v>
      </c>
      <c r="W184" s="390" t="s">
        <v>2074</v>
      </c>
      <c r="X184" s="391">
        <v>57</v>
      </c>
      <c r="Y184" s="392">
        <v>15</v>
      </c>
      <c r="Z184" s="393">
        <v>6216</v>
      </c>
      <c r="AA184" s="394">
        <v>2023</v>
      </c>
      <c r="AB184" s="395">
        <v>1000</v>
      </c>
      <c r="AC184" s="395"/>
      <c r="AD184" s="394"/>
      <c r="AE184" s="395"/>
      <c r="AF184" s="317"/>
      <c r="AG184" s="396" t="s">
        <v>2072</v>
      </c>
      <c r="AH184" s="397"/>
      <c r="AI184" s="317">
        <v>2222</v>
      </c>
      <c r="AJ184" s="397">
        <v>44974</v>
      </c>
      <c r="AK184" s="326" t="s">
        <v>889</v>
      </c>
      <c r="AL184" s="326">
        <v>44959</v>
      </c>
      <c r="AM184" s="316"/>
      <c r="AN184" s="305"/>
      <c r="AO184" s="327" t="str">
        <f>_xlfn.IFNA(IF(VLOOKUP(tabItens[[#This Row],[CÓDIGO]],tabExcluirDoEstoque[#Data],1,FALSE),"sim",""),"")</f>
        <v/>
      </c>
      <c r="AP184" s="398" t="str">
        <f ca="1">IF(OR(ISBLANK(tabItens[[#This Row],[ATA DT.VALID.]]),tabItens[[#This Row],[ATA DT.VALID.]]="",tabItens[[#This Row],[ATA DT.VALID.]]=" "),"",IF(TYPE(tabItens[[#This Row],[ATA DT.VALID.]])=1,ROUNDUP((tabItens[[#This Row],[ATA DT.VALID.]]-TODAY())/7,0),""))</f>
        <v/>
      </c>
      <c r="AQ184" s="399">
        <v>0</v>
      </c>
      <c r="AR184" s="400" t="str">
        <f>IF(ISBLANK(tabItens[[#This Row],[CÓDIGO]]),"",IFERROR(VLOOKUP(tabItens[[#This Row],[CÓDIGO]],Consumo!$C$2:$AC$862,26,FALSE),0))</f>
        <v>09.2023</v>
      </c>
      <c r="AS184" s="401">
        <f>SUMIF(Consumo!$C$3:$C$862,tabItens[[#This Row],[CÓDIGO]],Consumo!$N$3:$N$862) + SUMIF(Consumo!$C$3:$C$862,tabItens[[#This Row],[CÓDIGO]],Consumo!$O$3:$O$862) + SUMIF(Consumo!$C$3:$C$862,tabItens[[#This Row],[CÓDIGO]],Consumo!$P$3:$P$862) + SUMIF(Consumo!$C$3:$C$862,tabItens[[#This Row],[CÓDIGO]],Consumo!$Q$3:$Q$862)</f>
        <v>2618</v>
      </c>
      <c r="AT184" s="401">
        <f>SUMIF(Consumo!$C$3:$C$862,tabItens[[#This Row],[CÓDIGO]],Consumo!$Z$3:$Z$862)</f>
        <v>6925</v>
      </c>
      <c r="AU184" s="402">
        <f>SUMIF(Consumo!$C$3:$C$862,tabItens[[#This Row],[CÓDIGO]],Consumo!$AA$3:$AA$862)</f>
        <v>1050</v>
      </c>
      <c r="AV184" s="403">
        <f>SUMIF(Consumo!$C$3:$C$862,tabItens[[#This Row],[CÓDIGO]],Consumo!$Y$3:$Y$862)</f>
        <v>577.08333333333337</v>
      </c>
      <c r="AW184" s="380">
        <f>tabItens[[#This Row],[QTDE ATUAL]] + tabItens[[#This Row],[RC QTDE]] + tabItens[[#This Row],[AF SALDO]] + tabItens[[#This Row],[Recentes]]</f>
        <v>1000</v>
      </c>
      <c r="AX184" s="404">
        <v>834</v>
      </c>
      <c r="AY184" s="404">
        <v>4</v>
      </c>
      <c r="AZ184" s="404">
        <f>IF(ISBLANK(tabItens[[#This Row],[CÓDIGO]]),"",tabItens[[#This Row],[PontoMês]] * (AZ$2+tabItens[[#This Row],[PontoQtM]]))</f>
        <v>3336</v>
      </c>
      <c r="BA184" s="403">
        <f>tabItens[[#This Row],[PontoPed]] - tabItens[[#This Row],[Saldo]] + (1/10)</f>
        <v>2336.1</v>
      </c>
      <c r="BB184" s="403">
        <f xml:space="preserve"> tabItens[[#This Row],[PontoMês]] * BB$2 - tabItens[[#This Row],[QTDE ATUAL]] - (1/10)</f>
        <v>833.9</v>
      </c>
      <c r="BC184" s="335">
        <f>IF( tabItens[[#This Row],[PontoPed]]&gt;0, IF(tabItens[[#This Row],[PontoPed]]&lt;1, 1, IF( tabItens[[#This Row],[Saldo]]&gt;tabItens[[#This Row],[PontoPed]], 0, (tabItens[[#This Row],[PontoPed]]-tabItens[[#This Row],[Saldo]])/tabItens[[#This Row],[PontoPed]] ) ), 0 )</f>
        <v>0.70023980815347719</v>
      </c>
      <c r="BD184" s="405">
        <f>ROUNDDOWN(IF( OR( AND(tabItens[[#This Row],[PontoPed]]&lt;tabItens[[#This Row],[Saldo]],tabItens[[#This Row],[Saldo]]&gt;0), tabItens[[#This Row],[PontoPed]]=0), 99, IF(AND(tabItens[[#This Row],[Saldo]]=0,tabItens[[#This Row],[PontoPed]]&gt;0), 0, (1-tabItens[[#This Row],[PctAb]])*10 ) ),0)</f>
        <v>2</v>
      </c>
      <c r="BE184" s="406">
        <f>MAX(ROUNDDOWN( IF(tabItens[[#This Row],[Abaixo]] &gt; 0,   tabItens[[#This Row],[Abaixo]] + (tabItens[[#This Row],[PontoMês]] * IF( OR( ISBLANK(tabItens[[#This Row],[ATA Nº/ANO]]), tabItens[[#This Row],[ATA Nº/ANO]] = ""),BE$2,BE$1)),0),0),0)</f>
        <v>4838</v>
      </c>
      <c r="BF18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4" s="338">
        <f>SUMIF(Consumo!$C$3:$C$862,tabItens[[#This Row],[CÓDIGO]],Consumo!$E$3:$E$862)</f>
        <v>261</v>
      </c>
      <c r="BH184" s="339">
        <f>IF(AND(tabItens[[#This Row],[Pend]] &gt; 0,tabItens[[#This Row],[Consumo]] &lt;&gt; 0), tabItens[[#This Row],[Pend]] / tabItens[[#This Row],[Consumo]], 0 )</f>
        <v>3.7689530685920576E-2</v>
      </c>
      <c r="BI184" s="338"/>
      <c r="BJ184" s="407"/>
      <c r="BK184" s="408" t="s">
        <v>2086</v>
      </c>
    </row>
    <row r="185" spans="1:63" x14ac:dyDescent="0.3">
      <c r="A185" s="375">
        <v>29964</v>
      </c>
      <c r="B185" s="376" t="s">
        <v>1244</v>
      </c>
      <c r="C185" s="377" t="s">
        <v>380</v>
      </c>
      <c r="D185" s="378">
        <v>0.86</v>
      </c>
      <c r="E185" s="305"/>
      <c r="F185" s="379"/>
      <c r="G185" s="379" t="s">
        <v>889</v>
      </c>
      <c r="H185" s="380">
        <v>0</v>
      </c>
      <c r="I185" s="307">
        <v>103003</v>
      </c>
      <c r="J185" s="308">
        <v>0.86</v>
      </c>
      <c r="K185" s="381">
        <v>4668</v>
      </c>
      <c r="L185" s="382">
        <f>IF(tabItens[[#This Row],[Média]] &gt; 0, tabItens[[#This Row],[QTDE ATUAL]] / tabItens[[#This Row],[Média]],999.9)</f>
        <v>0</v>
      </c>
      <c r="M185" s="383">
        <v>0</v>
      </c>
      <c r="N185" s="384">
        <f>tabItens[[#This Row],[VALOR UNIT.]] * tabItens[[#This Row],[LC]]</f>
        <v>0</v>
      </c>
      <c r="O185" s="385" t="s">
        <v>2088</v>
      </c>
      <c r="P185" s="386"/>
      <c r="Q185" s="387"/>
      <c r="R185" s="312"/>
      <c r="S185" s="388"/>
      <c r="T185" s="389">
        <f>ROUNDDOWN(IFERROR(tabItens[[#This Row],[ATA DT.VALID.]] - $D$1,0) / 30,0)</f>
        <v>-1474</v>
      </c>
      <c r="U185" s="302" t="s">
        <v>1130</v>
      </c>
      <c r="V185" s="318">
        <v>1</v>
      </c>
      <c r="W185" s="390" t="s">
        <v>2074</v>
      </c>
      <c r="X185" s="391">
        <v>57</v>
      </c>
      <c r="Y185" s="392">
        <v>15</v>
      </c>
      <c r="Z185" s="393">
        <v>6216</v>
      </c>
      <c r="AA185" s="394">
        <v>2023</v>
      </c>
      <c r="AB185" s="395">
        <v>1000</v>
      </c>
      <c r="AC185" s="395"/>
      <c r="AD185" s="394"/>
      <c r="AE185" s="395"/>
      <c r="AF185" s="317"/>
      <c r="AG185" s="396" t="s">
        <v>2072</v>
      </c>
      <c r="AH185" s="397"/>
      <c r="AI185" s="317">
        <v>2414</v>
      </c>
      <c r="AJ185" s="397">
        <v>44974</v>
      </c>
      <c r="AK185" s="326" t="s">
        <v>889</v>
      </c>
      <c r="AL185" s="326">
        <v>44959</v>
      </c>
      <c r="AM185" s="316"/>
      <c r="AN185" s="305"/>
      <c r="AO185" s="327" t="str">
        <f>_xlfn.IFNA(IF(VLOOKUP(tabItens[[#This Row],[CÓDIGO]],tabExcluirDoEstoque[#Data],1,FALSE),"sim",""),"")</f>
        <v/>
      </c>
      <c r="AP185" s="398" t="str">
        <f ca="1">IF(OR(ISBLANK(tabItens[[#This Row],[ATA DT.VALID.]]),tabItens[[#This Row],[ATA DT.VALID.]]="",tabItens[[#This Row],[ATA DT.VALID.]]=" "),"",IF(TYPE(tabItens[[#This Row],[ATA DT.VALID.]])=1,ROUNDUP((tabItens[[#This Row],[ATA DT.VALID.]]-TODAY())/7,0),""))</f>
        <v/>
      </c>
      <c r="AQ185" s="399">
        <v>0</v>
      </c>
      <c r="AR185" s="400" t="str">
        <f>IF(ISBLANK(tabItens[[#This Row],[CÓDIGO]]),"",IFERROR(VLOOKUP(tabItens[[#This Row],[CÓDIGO]],Consumo!$C$2:$AC$862,26,FALSE),0))</f>
        <v>09.2023</v>
      </c>
      <c r="AS185" s="401">
        <f>SUMIF(Consumo!$C$3:$C$862,tabItens[[#This Row],[CÓDIGO]],Consumo!$N$3:$N$862) + SUMIF(Consumo!$C$3:$C$862,tabItens[[#This Row],[CÓDIGO]],Consumo!$O$3:$O$862) + SUMIF(Consumo!$C$3:$C$862,tabItens[[#This Row],[CÓDIGO]],Consumo!$P$3:$P$862) + SUMIF(Consumo!$C$3:$C$862,tabItens[[#This Row],[CÓDIGO]],Consumo!$Q$3:$Q$862)</f>
        <v>2601</v>
      </c>
      <c r="AT185" s="401">
        <f>SUMIF(Consumo!$C$3:$C$862,tabItens[[#This Row],[CÓDIGO]],Consumo!$Z$3:$Z$862)</f>
        <v>7390</v>
      </c>
      <c r="AU185" s="402">
        <f>SUMIF(Consumo!$C$3:$C$862,tabItens[[#This Row],[CÓDIGO]],Consumo!$AA$3:$AA$862)</f>
        <v>1115</v>
      </c>
      <c r="AV185" s="403">
        <f>SUMIF(Consumo!$C$3:$C$862,tabItens[[#This Row],[CÓDIGO]],Consumo!$Y$3:$Y$862)</f>
        <v>615.83333333333337</v>
      </c>
      <c r="AW185" s="380">
        <f>tabItens[[#This Row],[QTDE ATUAL]] + tabItens[[#This Row],[RC QTDE]] + tabItens[[#This Row],[AF SALDO]] + tabItens[[#This Row],[Recentes]]</f>
        <v>1000</v>
      </c>
      <c r="AX185" s="404">
        <v>834</v>
      </c>
      <c r="AY185" s="404">
        <v>4</v>
      </c>
      <c r="AZ185" s="404">
        <f>IF(ISBLANK(tabItens[[#This Row],[CÓDIGO]]),"",tabItens[[#This Row],[PontoMês]] * (AZ$2+tabItens[[#This Row],[PontoQtM]]))</f>
        <v>3336</v>
      </c>
      <c r="BA185" s="403">
        <f>tabItens[[#This Row],[PontoPed]] - tabItens[[#This Row],[Saldo]] + (1/10)</f>
        <v>2336.1</v>
      </c>
      <c r="BB185" s="403">
        <f xml:space="preserve"> tabItens[[#This Row],[PontoMês]] * BB$2 - tabItens[[#This Row],[QTDE ATUAL]] - (1/10)</f>
        <v>833.9</v>
      </c>
      <c r="BC185" s="335">
        <f>IF( tabItens[[#This Row],[PontoPed]]&gt;0, IF(tabItens[[#This Row],[PontoPed]]&lt;1, 1, IF( tabItens[[#This Row],[Saldo]]&gt;tabItens[[#This Row],[PontoPed]], 0, (tabItens[[#This Row],[PontoPed]]-tabItens[[#This Row],[Saldo]])/tabItens[[#This Row],[PontoPed]] ) ), 0 )</f>
        <v>0.70023980815347719</v>
      </c>
      <c r="BD185" s="405">
        <f>ROUNDDOWN(IF( OR( AND(tabItens[[#This Row],[PontoPed]]&lt;tabItens[[#This Row],[Saldo]],tabItens[[#This Row],[Saldo]]&gt;0), tabItens[[#This Row],[PontoPed]]=0), 99, IF(AND(tabItens[[#This Row],[Saldo]]=0,tabItens[[#This Row],[PontoPed]]&gt;0), 0, (1-tabItens[[#This Row],[PctAb]])*10 ) ),0)</f>
        <v>2</v>
      </c>
      <c r="BE185" s="406">
        <f>MAX(ROUNDDOWN( IF(tabItens[[#This Row],[Abaixo]] &gt; 0,   tabItens[[#This Row],[Abaixo]] + (tabItens[[#This Row],[PontoMês]] * IF( OR( ISBLANK(tabItens[[#This Row],[ATA Nº/ANO]]), tabItens[[#This Row],[ATA Nº/ANO]] = ""),BE$2,BE$1)),0),0),0)</f>
        <v>4838</v>
      </c>
      <c r="BF18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5" s="338">
        <f>SUMIF(Consumo!$C$3:$C$862,tabItens[[#This Row],[CÓDIGO]],Consumo!$E$3:$E$862)</f>
        <v>150</v>
      </c>
      <c r="BH185" s="339">
        <f>IF(AND(tabItens[[#This Row],[Pend]] &gt; 0,tabItens[[#This Row],[Consumo]] &lt;&gt; 0), tabItens[[#This Row],[Pend]] / tabItens[[#This Row],[Consumo]], 0 )</f>
        <v>2.0297699594046009E-2</v>
      </c>
      <c r="BI185" s="338"/>
      <c r="BJ185" s="407"/>
      <c r="BK185" s="408" t="s">
        <v>2086</v>
      </c>
    </row>
    <row r="186" spans="1:63" x14ac:dyDescent="0.3">
      <c r="A186" s="375">
        <v>75938</v>
      </c>
      <c r="B186" s="376" t="s">
        <v>1420</v>
      </c>
      <c r="C186" s="377" t="s">
        <v>380</v>
      </c>
      <c r="D186" s="378">
        <v>1.02</v>
      </c>
      <c r="E186" s="305"/>
      <c r="F186" s="379"/>
      <c r="G186" s="379" t="s">
        <v>889</v>
      </c>
      <c r="H186" s="380">
        <v>0</v>
      </c>
      <c r="I186" s="307">
        <v>103003</v>
      </c>
      <c r="J186" s="308">
        <v>1.02</v>
      </c>
      <c r="K186" s="381">
        <v>4923</v>
      </c>
      <c r="L186" s="382">
        <f>IF(tabItens[[#This Row],[Média]] &gt; 0, tabItens[[#This Row],[QTDE ATUAL]] / tabItens[[#This Row],[Média]],999.9)</f>
        <v>0</v>
      </c>
      <c r="M186" s="383">
        <v>0</v>
      </c>
      <c r="N186" s="384">
        <f>tabItens[[#This Row],[VALOR UNIT.]] * tabItens[[#This Row],[LC]]</f>
        <v>0</v>
      </c>
      <c r="O186" s="385" t="s">
        <v>2088</v>
      </c>
      <c r="P186" s="386"/>
      <c r="Q186" s="387"/>
      <c r="R186" s="312"/>
      <c r="S186" s="388"/>
      <c r="T186" s="389">
        <f>ROUNDDOWN(IFERROR(tabItens[[#This Row],[ATA DT.VALID.]] - $D$1,0) / 30,0)</f>
        <v>-1474</v>
      </c>
      <c r="U186" s="302" t="s">
        <v>1130</v>
      </c>
      <c r="V186" s="318">
        <v>1</v>
      </c>
      <c r="W186" s="390" t="s">
        <v>2074</v>
      </c>
      <c r="X186" s="391">
        <v>57</v>
      </c>
      <c r="Y186" s="392">
        <v>15</v>
      </c>
      <c r="Z186" s="393">
        <v>6984</v>
      </c>
      <c r="AA186" s="394">
        <v>2023</v>
      </c>
      <c r="AB186" s="395">
        <v>1300</v>
      </c>
      <c r="AC186" s="395"/>
      <c r="AD186" s="394"/>
      <c r="AE186" s="395"/>
      <c r="AF186" s="317"/>
      <c r="AG186" s="396" t="s">
        <v>2072</v>
      </c>
      <c r="AH186" s="397"/>
      <c r="AI186" s="317">
        <v>2432</v>
      </c>
      <c r="AJ186" s="397">
        <v>44974</v>
      </c>
      <c r="AK186" s="326">
        <v>37931</v>
      </c>
      <c r="AL186" s="326">
        <v>44959</v>
      </c>
      <c r="AM186" s="316"/>
      <c r="AN186" s="305"/>
      <c r="AO186" s="327" t="str">
        <f>_xlfn.IFNA(IF(VLOOKUP(tabItens[[#This Row],[CÓDIGO]],tabExcluirDoEstoque[#Data],1,FALSE),"sim",""),"")</f>
        <v/>
      </c>
      <c r="AP186" s="398" t="str">
        <f ca="1">IF(OR(ISBLANK(tabItens[[#This Row],[ATA DT.VALID.]]),tabItens[[#This Row],[ATA DT.VALID.]]="",tabItens[[#This Row],[ATA DT.VALID.]]=" "),"",IF(TYPE(tabItens[[#This Row],[ATA DT.VALID.]])=1,ROUNDUP((tabItens[[#This Row],[ATA DT.VALID.]]-TODAY())/7,0),""))</f>
        <v/>
      </c>
      <c r="AQ186" s="399">
        <v>0</v>
      </c>
      <c r="AR186" s="400" t="str">
        <f>IF(ISBLANK(tabItens[[#This Row],[CÓDIGO]]),"",IFERROR(VLOOKUP(tabItens[[#This Row],[CÓDIGO]],Consumo!$C$2:$AC$862,26,FALSE),0))</f>
        <v>09.2023</v>
      </c>
      <c r="AS186" s="401">
        <f>SUMIF(Consumo!$C$3:$C$862,tabItens[[#This Row],[CÓDIGO]],Consumo!$N$3:$N$862) + SUMIF(Consumo!$C$3:$C$862,tabItens[[#This Row],[CÓDIGO]],Consumo!$O$3:$O$862) + SUMIF(Consumo!$C$3:$C$862,tabItens[[#This Row],[CÓDIGO]],Consumo!$P$3:$P$862) + SUMIF(Consumo!$C$3:$C$862,tabItens[[#This Row],[CÓDIGO]],Consumo!$Q$3:$Q$862)</f>
        <v>2469</v>
      </c>
      <c r="AT186" s="401">
        <f>SUMIF(Consumo!$C$3:$C$862,tabItens[[#This Row],[CÓDIGO]],Consumo!$Z$3:$Z$862)</f>
        <v>7718</v>
      </c>
      <c r="AU186" s="402">
        <f>SUMIF(Consumo!$C$3:$C$862,tabItens[[#This Row],[CÓDIGO]],Consumo!$AA$3:$AA$862)</f>
        <v>1055</v>
      </c>
      <c r="AV186" s="403">
        <f>SUMIF(Consumo!$C$3:$C$862,tabItens[[#This Row],[CÓDIGO]],Consumo!$Y$3:$Y$862)</f>
        <v>643.16666666666663</v>
      </c>
      <c r="AW186" s="380">
        <f>tabItens[[#This Row],[QTDE ATUAL]] + tabItens[[#This Row],[RC QTDE]] + tabItens[[#This Row],[AF SALDO]] + tabItens[[#This Row],[Recentes]]</f>
        <v>1300</v>
      </c>
      <c r="AX186" s="404">
        <v>834</v>
      </c>
      <c r="AY186" s="404">
        <v>4</v>
      </c>
      <c r="AZ186" s="404">
        <f>IF(ISBLANK(tabItens[[#This Row],[CÓDIGO]]),"",tabItens[[#This Row],[PontoMês]] * (AZ$2+tabItens[[#This Row],[PontoQtM]]))</f>
        <v>3336</v>
      </c>
      <c r="BA186" s="403">
        <f>tabItens[[#This Row],[PontoPed]] - tabItens[[#This Row],[Saldo]] + (1/10)</f>
        <v>2036.1</v>
      </c>
      <c r="BB186" s="403">
        <f xml:space="preserve"> tabItens[[#This Row],[PontoMês]] * BB$2 - tabItens[[#This Row],[QTDE ATUAL]] - (1/10)</f>
        <v>833.9</v>
      </c>
      <c r="BC186" s="335">
        <f>IF( tabItens[[#This Row],[PontoPed]]&gt;0, IF(tabItens[[#This Row],[PontoPed]]&lt;1, 1, IF( tabItens[[#This Row],[Saldo]]&gt;tabItens[[#This Row],[PontoPed]], 0, (tabItens[[#This Row],[PontoPed]]-tabItens[[#This Row],[Saldo]])/tabItens[[#This Row],[PontoPed]] ) ), 0 )</f>
        <v>0.61031175059952036</v>
      </c>
      <c r="BD186" s="405">
        <f>ROUNDDOWN(IF( OR( AND(tabItens[[#This Row],[PontoPed]]&lt;tabItens[[#This Row],[Saldo]],tabItens[[#This Row],[Saldo]]&gt;0), tabItens[[#This Row],[PontoPed]]=0), 99, IF(AND(tabItens[[#This Row],[Saldo]]=0,tabItens[[#This Row],[PontoPed]]&gt;0), 0, (1-tabItens[[#This Row],[PctAb]])*10 ) ),0)</f>
        <v>3</v>
      </c>
      <c r="BE186" s="406">
        <f>MAX(ROUNDDOWN( IF(tabItens[[#This Row],[Abaixo]] &gt; 0,   tabItens[[#This Row],[Abaixo]] + (tabItens[[#This Row],[PontoMês]] * IF( OR( ISBLANK(tabItens[[#This Row],[ATA Nº/ANO]]), tabItens[[#This Row],[ATA Nº/ANO]] = ""),BE$2,BE$1)),0),0),0)</f>
        <v>4538</v>
      </c>
      <c r="BF18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6" s="338">
        <f>SUMIF(Consumo!$C$3:$C$862,tabItens[[#This Row],[CÓDIGO]],Consumo!$E$3:$E$862)</f>
        <v>420</v>
      </c>
      <c r="BH186" s="339">
        <f>IF(AND(tabItens[[#This Row],[Pend]] &gt; 0,tabItens[[#This Row],[Consumo]] &lt;&gt; 0), tabItens[[#This Row],[Pend]] / tabItens[[#This Row],[Consumo]], 0 )</f>
        <v>5.4418243068152371E-2</v>
      </c>
      <c r="BI186" s="338"/>
      <c r="BJ186" s="407"/>
      <c r="BK186" s="408" t="s">
        <v>2086</v>
      </c>
    </row>
    <row r="187" spans="1:63" x14ac:dyDescent="0.3">
      <c r="A187" s="375">
        <v>124261</v>
      </c>
      <c r="B187" s="376" t="s">
        <v>1764</v>
      </c>
      <c r="C187" s="377" t="s">
        <v>380</v>
      </c>
      <c r="D187" s="378">
        <v>0.86</v>
      </c>
      <c r="E187" s="305"/>
      <c r="F187" s="379"/>
      <c r="G187" s="379" t="s">
        <v>889</v>
      </c>
      <c r="H187" s="380">
        <v>310</v>
      </c>
      <c r="I187" s="307">
        <v>103003</v>
      </c>
      <c r="J187" s="308">
        <v>0.86</v>
      </c>
      <c r="K187" s="381">
        <v>5210</v>
      </c>
      <c r="L187" s="382">
        <f>IF(tabItens[[#This Row],[Média]] &gt; 0, tabItens[[#This Row],[QTDE ATUAL]] / tabItens[[#This Row],[Média]],999.9)</f>
        <v>0.44609665427509299</v>
      </c>
      <c r="M187" s="383">
        <v>0</v>
      </c>
      <c r="N187" s="384">
        <f>tabItens[[#This Row],[VALOR UNIT.]] * tabItens[[#This Row],[LC]]</f>
        <v>0</v>
      </c>
      <c r="O187" s="385" t="s">
        <v>2088</v>
      </c>
      <c r="P187" s="386"/>
      <c r="Q187" s="387"/>
      <c r="R187" s="312"/>
      <c r="S187" s="388"/>
      <c r="T187" s="389">
        <f>ROUNDDOWN(IFERROR(tabItens[[#This Row],[ATA DT.VALID.]] - $D$1,0) / 30,0)</f>
        <v>-1474</v>
      </c>
      <c r="U187" s="302" t="s">
        <v>1130</v>
      </c>
      <c r="V187" s="318">
        <v>1</v>
      </c>
      <c r="W187" s="390" t="s">
        <v>2074</v>
      </c>
      <c r="X187" s="391">
        <v>57</v>
      </c>
      <c r="Y187" s="392">
        <v>15</v>
      </c>
      <c r="Z187" s="393">
        <v>6216</v>
      </c>
      <c r="AA187" s="394">
        <v>2023</v>
      </c>
      <c r="AB187" s="395">
        <v>500</v>
      </c>
      <c r="AC187" s="395"/>
      <c r="AD187" s="394"/>
      <c r="AE187" s="395"/>
      <c r="AF187" s="317"/>
      <c r="AG187" s="396" t="s">
        <v>2072</v>
      </c>
      <c r="AH187" s="397"/>
      <c r="AI187" s="317">
        <v>2786</v>
      </c>
      <c r="AJ187" s="397">
        <v>44974</v>
      </c>
      <c r="AK187" s="326">
        <v>41170</v>
      </c>
      <c r="AL187" s="326">
        <v>44959</v>
      </c>
      <c r="AM187" s="316"/>
      <c r="AN187" s="305"/>
      <c r="AO187" s="327" t="str">
        <f>_xlfn.IFNA(IF(VLOOKUP(tabItens[[#This Row],[CÓDIGO]],tabExcluirDoEstoque[#Data],1,FALSE),"sim",""),"")</f>
        <v/>
      </c>
      <c r="AP187" s="398" t="str">
        <f ca="1">IF(OR(ISBLANK(tabItens[[#This Row],[ATA DT.VALID.]]),tabItens[[#This Row],[ATA DT.VALID.]]="",tabItens[[#This Row],[ATA DT.VALID.]]=" "),"",IF(TYPE(tabItens[[#This Row],[ATA DT.VALID.]])=1,ROUNDUP((tabItens[[#This Row],[ATA DT.VALID.]]-TODAY())/7,0),""))</f>
        <v/>
      </c>
      <c r="AQ187" s="399">
        <v>0</v>
      </c>
      <c r="AR187" s="400" t="str">
        <f>IF(ISBLANK(tabItens[[#This Row],[CÓDIGO]]),"",IFERROR(VLOOKUP(tabItens[[#This Row],[CÓDIGO]],Consumo!$C$2:$AC$862,26,FALSE),0))</f>
        <v>09.2023</v>
      </c>
      <c r="AS187" s="401">
        <f>SUMIF(Consumo!$C$3:$C$862,tabItens[[#This Row],[CÓDIGO]],Consumo!$N$3:$N$862) + SUMIF(Consumo!$C$3:$C$862,tabItens[[#This Row],[CÓDIGO]],Consumo!$O$3:$O$862) + SUMIF(Consumo!$C$3:$C$862,tabItens[[#This Row],[CÓDIGO]],Consumo!$P$3:$P$862) + SUMIF(Consumo!$C$3:$C$862,tabItens[[#This Row],[CÓDIGO]],Consumo!$Q$3:$Q$862)</f>
        <v>3119</v>
      </c>
      <c r="AT187" s="401">
        <f>SUMIF(Consumo!$C$3:$C$862,tabItens[[#This Row],[CÓDIGO]],Consumo!$Z$3:$Z$862)</f>
        <v>8339</v>
      </c>
      <c r="AU187" s="402">
        <f>SUMIF(Consumo!$C$3:$C$862,tabItens[[#This Row],[CÓDIGO]],Consumo!$AA$3:$AA$862)</f>
        <v>1171</v>
      </c>
      <c r="AV187" s="403">
        <f>SUMIF(Consumo!$C$3:$C$862,tabItens[[#This Row],[CÓDIGO]],Consumo!$Y$3:$Y$862)</f>
        <v>694.91666666666663</v>
      </c>
      <c r="AW187" s="380">
        <f>tabItens[[#This Row],[QTDE ATUAL]] + tabItens[[#This Row],[RC QTDE]] + tabItens[[#This Row],[AF SALDO]] + tabItens[[#This Row],[Recentes]]</f>
        <v>810</v>
      </c>
      <c r="AX187" s="404">
        <v>834</v>
      </c>
      <c r="AY187" s="404">
        <v>4</v>
      </c>
      <c r="AZ187" s="404">
        <f>IF(ISBLANK(tabItens[[#This Row],[CÓDIGO]]),"",tabItens[[#This Row],[PontoMês]] * (AZ$2+tabItens[[#This Row],[PontoQtM]]))</f>
        <v>3336</v>
      </c>
      <c r="BA187" s="403">
        <f>tabItens[[#This Row],[PontoPed]] - tabItens[[#This Row],[Saldo]] + (1/10)</f>
        <v>2526.1</v>
      </c>
      <c r="BB187" s="403">
        <f xml:space="preserve"> tabItens[[#This Row],[PontoMês]] * BB$2 - tabItens[[#This Row],[QTDE ATUAL]] - (1/10)</f>
        <v>523.9</v>
      </c>
      <c r="BC187" s="335">
        <f>IF( tabItens[[#This Row],[PontoPed]]&gt;0, IF(tabItens[[#This Row],[PontoPed]]&lt;1, 1, IF( tabItens[[#This Row],[Saldo]]&gt;tabItens[[#This Row],[PontoPed]], 0, (tabItens[[#This Row],[PontoPed]]-tabItens[[#This Row],[Saldo]])/tabItens[[#This Row],[PontoPed]] ) ), 0 )</f>
        <v>0.7571942446043165</v>
      </c>
      <c r="BD187" s="405">
        <f>ROUNDDOWN(IF( OR( AND(tabItens[[#This Row],[PontoPed]]&lt;tabItens[[#This Row],[Saldo]],tabItens[[#This Row],[Saldo]]&gt;0), tabItens[[#This Row],[PontoPed]]=0), 99, IF(AND(tabItens[[#This Row],[Saldo]]=0,tabItens[[#This Row],[PontoPed]]&gt;0), 0, (1-tabItens[[#This Row],[PctAb]])*10 ) ),0)</f>
        <v>2</v>
      </c>
      <c r="BE187" s="406">
        <f>MAX(ROUNDDOWN( IF(tabItens[[#This Row],[Abaixo]] &gt; 0,   tabItens[[#This Row],[Abaixo]] + (tabItens[[#This Row],[PontoMês]] * IF( OR( ISBLANK(tabItens[[#This Row],[ATA Nº/ANO]]), tabItens[[#This Row],[ATA Nº/ANO]] = ""),BE$2,BE$1)),0),0),0)</f>
        <v>5028</v>
      </c>
      <c r="BF18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7" s="338">
        <f>SUMIF(Consumo!$C$3:$C$862,tabItens[[#This Row],[CÓDIGO]],Consumo!$E$3:$E$862)</f>
        <v>10</v>
      </c>
      <c r="BH187" s="339">
        <f>IF(AND(tabItens[[#This Row],[Pend]] &gt; 0,tabItens[[#This Row],[Consumo]] &lt;&gt; 0), tabItens[[#This Row],[Pend]] / tabItens[[#This Row],[Consumo]], 0 )</f>
        <v>1.199184554502938E-3</v>
      </c>
      <c r="BI187" s="338"/>
      <c r="BJ187" s="407"/>
      <c r="BK187" s="408" t="s">
        <v>2086</v>
      </c>
    </row>
    <row r="188" spans="1:63" x14ac:dyDescent="0.3">
      <c r="A188" s="375">
        <v>12623</v>
      </c>
      <c r="B188" s="376" t="s">
        <v>946</v>
      </c>
      <c r="C188" s="377" t="s">
        <v>380</v>
      </c>
      <c r="D188" s="378">
        <v>1.1499999999999999</v>
      </c>
      <c r="E188" s="305"/>
      <c r="F188" s="379"/>
      <c r="G188" s="379" t="s">
        <v>889</v>
      </c>
      <c r="H188" s="380">
        <v>28187</v>
      </c>
      <c r="I188" s="307">
        <v>103003</v>
      </c>
      <c r="J188" s="308">
        <v>1.1499999999999999</v>
      </c>
      <c r="K188" s="381">
        <v>45100</v>
      </c>
      <c r="L188" s="382">
        <f>IF(tabItens[[#This Row],[Média]] &gt; 0, tabItens[[#This Row],[QTDE ATUAL]] / tabItens[[#This Row],[Média]],999.9)</f>
        <v>7.8544491919004278</v>
      </c>
      <c r="M188" s="383">
        <v>0</v>
      </c>
      <c r="N188" s="384">
        <f>tabItens[[#This Row],[VALOR UNIT.]] * tabItens[[#This Row],[LC]]</f>
        <v>0</v>
      </c>
      <c r="O188" s="385" t="s">
        <v>2088</v>
      </c>
      <c r="P188" s="386"/>
      <c r="Q188" s="387"/>
      <c r="R188" s="312"/>
      <c r="S188" s="388"/>
      <c r="T188" s="389">
        <f>ROUNDDOWN(IFERROR(tabItens[[#This Row],[ATA DT.VALID.]] - $D$1,0) / 30,0)</f>
        <v>-1474</v>
      </c>
      <c r="U188" s="302" t="s">
        <v>947</v>
      </c>
      <c r="V188" s="318">
        <v>1</v>
      </c>
      <c r="W188" s="390" t="s">
        <v>2074</v>
      </c>
      <c r="X188" s="391">
        <v>57</v>
      </c>
      <c r="Y188" s="392">
        <v>16</v>
      </c>
      <c r="Z188" s="393"/>
      <c r="AA188" s="394"/>
      <c r="AB188" s="395"/>
      <c r="AC188" s="395"/>
      <c r="AD188" s="394"/>
      <c r="AE188" s="395"/>
      <c r="AF188" s="317"/>
      <c r="AG188" s="396" t="s">
        <v>2072</v>
      </c>
      <c r="AH188" s="397"/>
      <c r="AI188" s="317">
        <v>16506</v>
      </c>
      <c r="AJ188" s="397">
        <v>44971</v>
      </c>
      <c r="AK188" s="326" t="s">
        <v>889</v>
      </c>
      <c r="AL188" s="326">
        <v>45089</v>
      </c>
      <c r="AM188" s="316"/>
      <c r="AN188" s="305"/>
      <c r="AO188" s="327" t="str">
        <f>_xlfn.IFNA(IF(VLOOKUP(tabItens[[#This Row],[CÓDIGO]],tabExcluirDoEstoque[#Data],1,FALSE),"sim",""),"")</f>
        <v/>
      </c>
      <c r="AP188" s="398" t="str">
        <f ca="1">IF(OR(ISBLANK(tabItens[[#This Row],[ATA DT.VALID.]]),tabItens[[#This Row],[ATA DT.VALID.]]="",tabItens[[#This Row],[ATA DT.VALID.]]=" "),"",IF(TYPE(tabItens[[#This Row],[ATA DT.VALID.]])=1,ROUNDUP((tabItens[[#This Row],[ATA DT.VALID.]]-TODAY())/7,0),""))</f>
        <v/>
      </c>
      <c r="AQ188" s="399">
        <v>0</v>
      </c>
      <c r="AR188" s="400" t="str">
        <f>IF(ISBLANK(tabItens[[#This Row],[CÓDIGO]]),"",IFERROR(VLOOKUP(tabItens[[#This Row],[CÓDIGO]],Consumo!$C$2:$AC$862,26,FALSE),0))</f>
        <v>09.2023</v>
      </c>
      <c r="AS188" s="401">
        <f>SUMIF(Consumo!$C$3:$C$862,tabItens[[#This Row],[CÓDIGO]],Consumo!$N$3:$N$862) + SUMIF(Consumo!$C$3:$C$862,tabItens[[#This Row],[CÓDIGO]],Consumo!$O$3:$O$862) + SUMIF(Consumo!$C$3:$C$862,tabItens[[#This Row],[CÓDIGO]],Consumo!$P$3:$P$862) + SUMIF(Consumo!$C$3:$C$862,tabItens[[#This Row],[CÓDIGO]],Consumo!$Q$3:$Q$862)</f>
        <v>35279</v>
      </c>
      <c r="AT188" s="401">
        <f>SUMIF(Consumo!$C$3:$C$862,tabItens[[#This Row],[CÓDIGO]],Consumo!$Z$3:$Z$862)</f>
        <v>49915</v>
      </c>
      <c r="AU188" s="402">
        <f>SUMIF(Consumo!$C$3:$C$862,tabItens[[#This Row],[CÓDIGO]],Consumo!$AA$3:$AA$862)</f>
        <v>23574</v>
      </c>
      <c r="AV188" s="403">
        <f>SUMIF(Consumo!$C$3:$C$862,tabItens[[#This Row],[CÓDIGO]],Consumo!$Y$3:$Y$862)</f>
        <v>3588.6666666666665</v>
      </c>
      <c r="AW188" s="380">
        <f>tabItens[[#This Row],[QTDE ATUAL]] + tabItens[[#This Row],[RC QTDE]] + tabItens[[#This Row],[AF SALDO]] + tabItens[[#This Row],[Recentes]]</f>
        <v>28187</v>
      </c>
      <c r="AX188" s="404">
        <v>3334</v>
      </c>
      <c r="AY188" s="404">
        <v>4</v>
      </c>
      <c r="AZ188" s="404">
        <f>IF(ISBLANK(tabItens[[#This Row],[CÓDIGO]]),"",tabItens[[#This Row],[PontoMês]] * (AZ$2+tabItens[[#This Row],[PontoQtM]]))</f>
        <v>13336</v>
      </c>
      <c r="BA188" s="403">
        <f>tabItens[[#This Row],[PontoPed]] - tabItens[[#This Row],[Saldo]] + (1/10)</f>
        <v>-14850.9</v>
      </c>
      <c r="BB188" s="403">
        <f xml:space="preserve"> tabItens[[#This Row],[PontoMês]] * BB$2 - tabItens[[#This Row],[QTDE ATUAL]] - (1/10)</f>
        <v>-24853.1</v>
      </c>
      <c r="BC188" s="335">
        <f>IF( tabItens[[#This Row],[PontoPed]]&gt;0, IF(tabItens[[#This Row],[PontoPed]]&lt;1, 1, IF( tabItens[[#This Row],[Saldo]]&gt;tabItens[[#This Row],[PontoPed]], 0, (tabItens[[#This Row],[PontoPed]]-tabItens[[#This Row],[Saldo]])/tabItens[[#This Row],[PontoPed]] ) ), 0 )</f>
        <v>0</v>
      </c>
      <c r="BD188" s="405">
        <f>ROUNDDOWN(IF( OR( AND(tabItens[[#This Row],[PontoPed]]&lt;tabItens[[#This Row],[Saldo]],tabItens[[#This Row],[Saldo]]&gt;0), tabItens[[#This Row],[PontoPed]]=0), 99, IF(AND(tabItens[[#This Row],[Saldo]]=0,tabItens[[#This Row],[PontoPed]]&gt;0), 0, (1-tabItens[[#This Row],[PctAb]])*10 ) ),0)</f>
        <v>99</v>
      </c>
      <c r="BE188" s="406">
        <f>MAX(ROUNDDOWN( IF(tabItens[[#This Row],[Abaixo]] &gt; 0,   tabItens[[#This Row],[Abaixo]] + (tabItens[[#This Row],[PontoMês]] * IF( OR( ISBLANK(tabItens[[#This Row],[ATA Nº/ANO]]), tabItens[[#This Row],[ATA Nº/ANO]] = ""),BE$2,BE$1)),0),0),0)</f>
        <v>0</v>
      </c>
      <c r="BF18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8" s="338">
        <f>SUMIF(Consumo!$C$3:$C$862,tabItens[[#This Row],[CÓDIGO]],Consumo!$E$3:$E$862)</f>
        <v>857</v>
      </c>
      <c r="BH188" s="339">
        <f>IF(AND(tabItens[[#This Row],[Pend]] &gt; 0,tabItens[[#This Row],[Consumo]] &lt;&gt; 0), tabItens[[#This Row],[Pend]] / tabItens[[#This Row],[Consumo]], 0 )</f>
        <v>1.7169187618952218E-2</v>
      </c>
      <c r="BI188" s="338"/>
      <c r="BJ188" s="407"/>
      <c r="BK188" s="408" t="s">
        <v>2086</v>
      </c>
    </row>
    <row r="189" spans="1:63" x14ac:dyDescent="0.3">
      <c r="A189" s="375">
        <v>12635</v>
      </c>
      <c r="B189" s="376" t="s">
        <v>948</v>
      </c>
      <c r="C189" s="377" t="s">
        <v>380</v>
      </c>
      <c r="D189" s="378">
        <v>0.93</v>
      </c>
      <c r="E189" s="305"/>
      <c r="F189" s="379"/>
      <c r="G189" s="379" t="s">
        <v>889</v>
      </c>
      <c r="H189" s="380">
        <v>0</v>
      </c>
      <c r="I189" s="307">
        <v>103003</v>
      </c>
      <c r="J189" s="308">
        <v>0.93</v>
      </c>
      <c r="K189" s="381">
        <v>11203</v>
      </c>
      <c r="L189" s="382">
        <f>IF(tabItens[[#This Row],[Média]] &gt; 0, tabItens[[#This Row],[QTDE ATUAL]] / tabItens[[#This Row],[Média]],999.9)</f>
        <v>0</v>
      </c>
      <c r="M189" s="383">
        <v>0</v>
      </c>
      <c r="N189" s="384">
        <f>tabItens[[#This Row],[VALOR UNIT.]] * tabItens[[#This Row],[LC]]</f>
        <v>0</v>
      </c>
      <c r="O189" s="385" t="s">
        <v>2088</v>
      </c>
      <c r="P189" s="386"/>
      <c r="Q189" s="387"/>
      <c r="R189" s="312"/>
      <c r="S189" s="388"/>
      <c r="T189" s="389">
        <f>ROUNDDOWN(IFERROR(tabItens[[#This Row],[ATA DT.VALID.]] - $D$1,0) / 30,0)</f>
        <v>-1474</v>
      </c>
      <c r="U189" s="302" t="s">
        <v>947</v>
      </c>
      <c r="V189" s="318">
        <v>1</v>
      </c>
      <c r="W189" s="390" t="s">
        <v>2074</v>
      </c>
      <c r="X189" s="391">
        <v>57</v>
      </c>
      <c r="Y189" s="392">
        <v>16</v>
      </c>
      <c r="Z189" s="393">
        <v>6984</v>
      </c>
      <c r="AA189" s="394">
        <v>2023</v>
      </c>
      <c r="AB189" s="395">
        <v>500</v>
      </c>
      <c r="AC189" s="395"/>
      <c r="AD189" s="394"/>
      <c r="AE189" s="395"/>
      <c r="AF189" s="317"/>
      <c r="AG189" s="396" t="s">
        <v>2072</v>
      </c>
      <c r="AH189" s="397"/>
      <c r="AI189" s="317">
        <v>6040</v>
      </c>
      <c r="AJ189" s="397">
        <v>44425</v>
      </c>
      <c r="AK189" s="326" t="s">
        <v>889</v>
      </c>
      <c r="AL189" s="326">
        <v>45048</v>
      </c>
      <c r="AM189" s="316"/>
      <c r="AN189" s="305"/>
      <c r="AO189" s="327" t="str">
        <f>_xlfn.IFNA(IF(VLOOKUP(tabItens[[#This Row],[CÓDIGO]],tabExcluirDoEstoque[#Data],1,FALSE),"sim",""),"")</f>
        <v/>
      </c>
      <c r="AP189" s="398" t="str">
        <f ca="1">IF(OR(ISBLANK(tabItens[[#This Row],[ATA DT.VALID.]]),tabItens[[#This Row],[ATA DT.VALID.]]="",tabItens[[#This Row],[ATA DT.VALID.]]=" "),"",IF(TYPE(tabItens[[#This Row],[ATA DT.VALID.]])=1,ROUNDUP((tabItens[[#This Row],[ATA DT.VALID.]]-TODAY())/7,0),""))</f>
        <v/>
      </c>
      <c r="AQ189" s="399">
        <v>0</v>
      </c>
      <c r="AR189" s="400" t="str">
        <f>IF(ISBLANK(tabItens[[#This Row],[CÓDIGO]]),"",IFERROR(VLOOKUP(tabItens[[#This Row],[CÓDIGO]],Consumo!$C$2:$AC$862,26,FALSE),0))</f>
        <v>09.2023</v>
      </c>
      <c r="AS189" s="401">
        <f>SUMIF(Consumo!$C$3:$C$862,tabItens[[#This Row],[CÓDIGO]],Consumo!$N$3:$N$862) + SUMIF(Consumo!$C$3:$C$862,tabItens[[#This Row],[CÓDIGO]],Consumo!$O$3:$O$862) + SUMIF(Consumo!$C$3:$C$862,tabItens[[#This Row],[CÓDIGO]],Consumo!$P$3:$P$862) + SUMIF(Consumo!$C$3:$C$862,tabItens[[#This Row],[CÓDIGO]],Consumo!$Q$3:$Q$862)</f>
        <v>7117</v>
      </c>
      <c r="AT189" s="401">
        <f>SUMIF(Consumo!$C$3:$C$862,tabItens[[#This Row],[CÓDIGO]],Consumo!$Z$3:$Z$862)</f>
        <v>18202</v>
      </c>
      <c r="AU189" s="402">
        <f>SUMIF(Consumo!$C$3:$C$862,tabItens[[#This Row],[CÓDIGO]],Consumo!$AA$3:$AA$862)</f>
        <v>2431</v>
      </c>
      <c r="AV189" s="403">
        <f>SUMIF(Consumo!$C$3:$C$862,tabItens[[#This Row],[CÓDIGO]],Consumo!$Y$3:$Y$862)</f>
        <v>1516.8333333333333</v>
      </c>
      <c r="AW189" s="380">
        <f>tabItens[[#This Row],[QTDE ATUAL]] + tabItens[[#This Row],[RC QTDE]] + tabItens[[#This Row],[AF SALDO]] + tabItens[[#This Row],[Recentes]]</f>
        <v>500</v>
      </c>
      <c r="AX189" s="404">
        <v>2084</v>
      </c>
      <c r="AY189" s="404">
        <v>4</v>
      </c>
      <c r="AZ189" s="404">
        <f>IF(ISBLANK(tabItens[[#This Row],[CÓDIGO]]),"",tabItens[[#This Row],[PontoMês]] * (AZ$2+tabItens[[#This Row],[PontoQtM]]))</f>
        <v>8336</v>
      </c>
      <c r="BA189" s="403">
        <f>tabItens[[#This Row],[PontoPed]] - tabItens[[#This Row],[Saldo]] + (1/10)</f>
        <v>7836.1</v>
      </c>
      <c r="BB189" s="403">
        <f xml:space="preserve"> tabItens[[#This Row],[PontoMês]] * BB$2 - tabItens[[#This Row],[QTDE ATUAL]] - (1/10)</f>
        <v>2083.9</v>
      </c>
      <c r="BC189" s="335">
        <f>IF( tabItens[[#This Row],[PontoPed]]&gt;0, IF(tabItens[[#This Row],[PontoPed]]&lt;1, 1, IF( tabItens[[#This Row],[Saldo]]&gt;tabItens[[#This Row],[PontoPed]], 0, (tabItens[[#This Row],[PontoPed]]-tabItens[[#This Row],[Saldo]])/tabItens[[#This Row],[PontoPed]] ) ), 0 )</f>
        <v>0.9400191938579654</v>
      </c>
      <c r="BD189" s="405">
        <f>ROUNDDOWN(IF( OR( AND(tabItens[[#This Row],[PontoPed]]&lt;tabItens[[#This Row],[Saldo]],tabItens[[#This Row],[Saldo]]&gt;0), tabItens[[#This Row],[PontoPed]]=0), 99, IF(AND(tabItens[[#This Row],[Saldo]]=0,tabItens[[#This Row],[PontoPed]]&gt;0), 0, (1-tabItens[[#This Row],[PctAb]])*10 ) ),0)</f>
        <v>0</v>
      </c>
      <c r="BE189" s="406">
        <f>MAX(ROUNDDOWN( IF(tabItens[[#This Row],[Abaixo]] &gt; 0,   tabItens[[#This Row],[Abaixo]] + (tabItens[[#This Row],[PontoMês]] * IF( OR( ISBLANK(tabItens[[#This Row],[ATA Nº/ANO]]), tabItens[[#This Row],[ATA Nº/ANO]] = ""),BE$2,BE$1)),0),0),0)</f>
        <v>14088</v>
      </c>
      <c r="BF18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9" s="338">
        <f>SUMIF(Consumo!$C$3:$C$862,tabItens[[#This Row],[CÓDIGO]],Consumo!$E$3:$E$862)</f>
        <v>80</v>
      </c>
      <c r="BH189" s="339">
        <f>IF(AND(tabItens[[#This Row],[Pend]] &gt; 0,tabItens[[#This Row],[Consumo]] &lt;&gt; 0), tabItens[[#This Row],[Pend]] / tabItens[[#This Row],[Consumo]], 0 )</f>
        <v>4.395121415229096E-3</v>
      </c>
      <c r="BI189" s="338"/>
      <c r="BJ189" s="407"/>
      <c r="BK189" s="408" t="s">
        <v>2086</v>
      </c>
    </row>
    <row r="190" spans="1:63" x14ac:dyDescent="0.3">
      <c r="A190" s="375">
        <v>23687</v>
      </c>
      <c r="B190" s="376" t="s">
        <v>1181</v>
      </c>
      <c r="C190" s="377" t="s">
        <v>380</v>
      </c>
      <c r="D190" s="378">
        <v>1.55</v>
      </c>
      <c r="E190" s="305"/>
      <c r="F190" s="379"/>
      <c r="G190" s="379" t="s">
        <v>889</v>
      </c>
      <c r="H190" s="380">
        <v>6899</v>
      </c>
      <c r="I190" s="307">
        <v>103003</v>
      </c>
      <c r="J190" s="308">
        <v>1.55</v>
      </c>
      <c r="K190" s="381">
        <v>14091</v>
      </c>
      <c r="L190" s="382">
        <f>IF(tabItens[[#This Row],[Média]] &gt; 0, tabItens[[#This Row],[QTDE ATUAL]] / tabItens[[#This Row],[Média]],999.9)</f>
        <v>3.9001271964950299</v>
      </c>
      <c r="M190" s="383">
        <v>0</v>
      </c>
      <c r="N190" s="384">
        <f>tabItens[[#This Row],[VALOR UNIT.]] * tabItens[[#This Row],[LC]]</f>
        <v>0</v>
      </c>
      <c r="O190" s="385" t="s">
        <v>2088</v>
      </c>
      <c r="P190" s="386"/>
      <c r="Q190" s="387"/>
      <c r="R190" s="312"/>
      <c r="S190" s="388"/>
      <c r="T190" s="389">
        <f>ROUNDDOWN(IFERROR(tabItens[[#This Row],[ATA DT.VALID.]] - $D$1,0) / 30,0)</f>
        <v>-1474</v>
      </c>
      <c r="U190" s="302" t="s">
        <v>947</v>
      </c>
      <c r="V190" s="318">
        <v>1</v>
      </c>
      <c r="W190" s="390" t="s">
        <v>2074</v>
      </c>
      <c r="X190" s="391">
        <v>57</v>
      </c>
      <c r="Y190" s="392">
        <v>16</v>
      </c>
      <c r="Z190" s="393"/>
      <c r="AA190" s="394"/>
      <c r="AB190" s="395"/>
      <c r="AC190" s="395"/>
      <c r="AD190" s="394"/>
      <c r="AE190" s="395"/>
      <c r="AF190" s="317"/>
      <c r="AG190" s="396" t="s">
        <v>2072</v>
      </c>
      <c r="AH190" s="397"/>
      <c r="AI190" s="317">
        <v>7092</v>
      </c>
      <c r="AJ190" s="397">
        <v>44971</v>
      </c>
      <c r="AK190" s="326" t="s">
        <v>889</v>
      </c>
      <c r="AL190" s="326">
        <v>44971</v>
      </c>
      <c r="AM190" s="316"/>
      <c r="AN190" s="305"/>
      <c r="AO190" s="327" t="str">
        <f>_xlfn.IFNA(IF(VLOOKUP(tabItens[[#This Row],[CÓDIGO]],tabExcluirDoEstoque[#Data],1,FALSE),"sim",""),"")</f>
        <v/>
      </c>
      <c r="AP190" s="398" t="str">
        <f ca="1">IF(OR(ISBLANK(tabItens[[#This Row],[ATA DT.VALID.]]),tabItens[[#This Row],[ATA DT.VALID.]]="",tabItens[[#This Row],[ATA DT.VALID.]]=" "),"",IF(TYPE(tabItens[[#This Row],[ATA DT.VALID.]])=1,ROUNDUP((tabItens[[#This Row],[ATA DT.VALID.]]-TODAY())/7,0),""))</f>
        <v/>
      </c>
      <c r="AQ190" s="399">
        <v>0</v>
      </c>
      <c r="AR190" s="400" t="str">
        <f>IF(ISBLANK(tabItens[[#This Row],[CÓDIGO]]),"",IFERROR(VLOOKUP(tabItens[[#This Row],[CÓDIGO]],Consumo!$C$2:$AC$862,26,FALSE),0))</f>
        <v>09.2023</v>
      </c>
      <c r="AS190" s="401">
        <f>SUMIF(Consumo!$C$3:$C$862,tabItens[[#This Row],[CÓDIGO]],Consumo!$N$3:$N$862) + SUMIF(Consumo!$C$3:$C$862,tabItens[[#This Row],[CÓDIGO]],Consumo!$O$3:$O$862) + SUMIF(Consumo!$C$3:$C$862,tabItens[[#This Row],[CÓDIGO]],Consumo!$P$3:$P$862) + SUMIF(Consumo!$C$3:$C$862,tabItens[[#This Row],[CÓDIGO]],Consumo!$Q$3:$Q$862)</f>
        <v>7843</v>
      </c>
      <c r="AT190" s="401">
        <f>SUMIF(Consumo!$C$3:$C$862,tabItens[[#This Row],[CÓDIGO]],Consumo!$Z$3:$Z$862)</f>
        <v>21347</v>
      </c>
      <c r="AU190" s="402">
        <f>SUMIF(Consumo!$C$3:$C$862,tabItens[[#This Row],[CÓDIGO]],Consumo!$AA$3:$AA$862)</f>
        <v>3767</v>
      </c>
      <c r="AV190" s="403">
        <f>SUMIF(Consumo!$C$3:$C$862,tabItens[[#This Row],[CÓDIGO]],Consumo!$Y$3:$Y$862)</f>
        <v>1768.9166666666667</v>
      </c>
      <c r="AW190" s="380">
        <f>tabItens[[#This Row],[QTDE ATUAL]] + tabItens[[#This Row],[RC QTDE]] + tabItens[[#This Row],[AF SALDO]] + tabItens[[#This Row],[Recentes]]</f>
        <v>6899</v>
      </c>
      <c r="AX190" s="404">
        <v>2084</v>
      </c>
      <c r="AY190" s="404">
        <v>4</v>
      </c>
      <c r="AZ190" s="404">
        <f>IF(ISBLANK(tabItens[[#This Row],[CÓDIGO]]),"",tabItens[[#This Row],[PontoMês]] * (AZ$2+tabItens[[#This Row],[PontoQtM]]))</f>
        <v>8336</v>
      </c>
      <c r="BA190" s="403">
        <f>tabItens[[#This Row],[PontoPed]] - tabItens[[#This Row],[Saldo]] + (1/10)</f>
        <v>1437.1</v>
      </c>
      <c r="BB190" s="403">
        <f xml:space="preserve"> tabItens[[#This Row],[PontoMês]] * BB$2 - tabItens[[#This Row],[QTDE ATUAL]] - (1/10)</f>
        <v>-4815.1000000000004</v>
      </c>
      <c r="BC190" s="335">
        <f>IF( tabItens[[#This Row],[PontoPed]]&gt;0, IF(tabItens[[#This Row],[PontoPed]]&lt;1, 1, IF( tabItens[[#This Row],[Saldo]]&gt;tabItens[[#This Row],[PontoPed]], 0, (tabItens[[#This Row],[PontoPed]]-tabItens[[#This Row],[Saldo]])/tabItens[[#This Row],[PontoPed]] ) ), 0 )</f>
        <v>0.17238483685220729</v>
      </c>
      <c r="BD190" s="405">
        <f>ROUNDDOWN(IF( OR( AND(tabItens[[#This Row],[PontoPed]]&lt;tabItens[[#This Row],[Saldo]],tabItens[[#This Row],[Saldo]]&gt;0), tabItens[[#This Row],[PontoPed]]=0), 99, IF(AND(tabItens[[#This Row],[Saldo]]=0,tabItens[[#This Row],[PontoPed]]&gt;0), 0, (1-tabItens[[#This Row],[PctAb]])*10 ) ),0)</f>
        <v>8</v>
      </c>
      <c r="BE190" s="406">
        <f>MAX(ROUNDDOWN( IF(tabItens[[#This Row],[Abaixo]] &gt; 0,   tabItens[[#This Row],[Abaixo]] + (tabItens[[#This Row],[PontoMês]] * IF( OR( ISBLANK(tabItens[[#This Row],[ATA Nº/ANO]]), tabItens[[#This Row],[ATA Nº/ANO]] = ""),BE$2,BE$1)),0),0),0)</f>
        <v>7689</v>
      </c>
      <c r="BF19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0" s="338">
        <f>SUMIF(Consumo!$C$3:$C$862,tabItens[[#This Row],[CÓDIGO]],Consumo!$E$3:$E$862)</f>
        <v>70</v>
      </c>
      <c r="BH190" s="339">
        <f>IF(AND(tabItens[[#This Row],[Pend]] &gt; 0,tabItens[[#This Row],[Consumo]] &lt;&gt; 0), tabItens[[#This Row],[Pend]] / tabItens[[#This Row],[Consumo]], 0 )</f>
        <v>3.2791492949829017E-3</v>
      </c>
      <c r="BI190" s="338"/>
      <c r="BJ190" s="407"/>
      <c r="BK190" s="408" t="s">
        <v>2086</v>
      </c>
    </row>
    <row r="191" spans="1:63" x14ac:dyDescent="0.3">
      <c r="A191" s="375">
        <v>23692</v>
      </c>
      <c r="B191" s="376" t="s">
        <v>1182</v>
      </c>
      <c r="C191" s="377" t="s">
        <v>380</v>
      </c>
      <c r="D191" s="378">
        <v>1.55</v>
      </c>
      <c r="E191" s="305"/>
      <c r="F191" s="379"/>
      <c r="G191" s="379" t="s">
        <v>889</v>
      </c>
      <c r="H191" s="380">
        <v>10439</v>
      </c>
      <c r="I191" s="307">
        <v>103003</v>
      </c>
      <c r="J191" s="308">
        <v>1.55</v>
      </c>
      <c r="K191" s="381">
        <v>9773</v>
      </c>
      <c r="L191" s="382">
        <f>IF(tabItens[[#This Row],[Média]] &gt; 0, tabItens[[#This Row],[QTDE ATUAL]] / tabItens[[#This Row],[Média]],999.9)</f>
        <v>8.0610038610038615</v>
      </c>
      <c r="M191" s="383">
        <v>0</v>
      </c>
      <c r="N191" s="384">
        <f>tabItens[[#This Row],[VALOR UNIT.]] * tabItens[[#This Row],[LC]]</f>
        <v>0</v>
      </c>
      <c r="O191" s="385" t="s">
        <v>2088</v>
      </c>
      <c r="P191" s="386"/>
      <c r="Q191" s="387"/>
      <c r="R191" s="312"/>
      <c r="S191" s="388"/>
      <c r="T191" s="389">
        <f>ROUNDDOWN(IFERROR(tabItens[[#This Row],[ATA DT.VALID.]] - $D$1,0) / 30,0)</f>
        <v>-1474</v>
      </c>
      <c r="U191" s="302" t="s">
        <v>947</v>
      </c>
      <c r="V191" s="318">
        <v>1</v>
      </c>
      <c r="W191" s="390" t="s">
        <v>2074</v>
      </c>
      <c r="X191" s="391">
        <v>57</v>
      </c>
      <c r="Y191" s="392">
        <v>16</v>
      </c>
      <c r="Z191" s="393"/>
      <c r="AA191" s="394"/>
      <c r="AB191" s="395"/>
      <c r="AC191" s="395"/>
      <c r="AD191" s="394"/>
      <c r="AE191" s="395"/>
      <c r="AF191" s="317"/>
      <c r="AG191" s="396" t="s">
        <v>2072</v>
      </c>
      <c r="AH191" s="397"/>
      <c r="AI191" s="317">
        <v>5166</v>
      </c>
      <c r="AJ191" s="397">
        <v>44425</v>
      </c>
      <c r="AK191" s="326" t="s">
        <v>889</v>
      </c>
      <c r="AL191" s="326">
        <v>44971</v>
      </c>
      <c r="AM191" s="316"/>
      <c r="AN191" s="305"/>
      <c r="AO191" s="327" t="str">
        <f>_xlfn.IFNA(IF(VLOOKUP(tabItens[[#This Row],[CÓDIGO]],tabExcluirDoEstoque[#Data],1,FALSE),"sim",""),"")</f>
        <v/>
      </c>
      <c r="AP191" s="398" t="str">
        <f ca="1">IF(OR(ISBLANK(tabItens[[#This Row],[ATA DT.VALID.]]),tabItens[[#This Row],[ATA DT.VALID.]]="",tabItens[[#This Row],[ATA DT.VALID.]]=" "),"",IF(TYPE(tabItens[[#This Row],[ATA DT.VALID.]])=1,ROUNDUP((tabItens[[#This Row],[ATA DT.VALID.]]-TODAY())/7,0),""))</f>
        <v/>
      </c>
      <c r="AQ191" s="399">
        <v>0</v>
      </c>
      <c r="AR191" s="400" t="str">
        <f>IF(ISBLANK(tabItens[[#This Row],[CÓDIGO]]),"",IFERROR(VLOOKUP(tabItens[[#This Row],[CÓDIGO]],Consumo!$C$2:$AC$862,26,FALSE),0))</f>
        <v>09.2023</v>
      </c>
      <c r="AS191" s="401">
        <f>SUMIF(Consumo!$C$3:$C$862,tabItens[[#This Row],[CÓDIGO]],Consumo!$N$3:$N$862) + SUMIF(Consumo!$C$3:$C$862,tabItens[[#This Row],[CÓDIGO]],Consumo!$O$3:$O$862) + SUMIF(Consumo!$C$3:$C$862,tabItens[[#This Row],[CÓDIGO]],Consumo!$P$3:$P$862) + SUMIF(Consumo!$C$3:$C$862,tabItens[[#This Row],[CÓDIGO]],Consumo!$Q$3:$Q$862)</f>
        <v>6292</v>
      </c>
      <c r="AT191" s="401">
        <f>SUMIF(Consumo!$C$3:$C$862,tabItens[[#This Row],[CÓDIGO]],Consumo!$Z$3:$Z$862)</f>
        <v>15540</v>
      </c>
      <c r="AU191" s="402">
        <f>SUMIF(Consumo!$C$3:$C$862,tabItens[[#This Row],[CÓDIGO]],Consumo!$AA$3:$AA$862)</f>
        <v>2340</v>
      </c>
      <c r="AV191" s="403">
        <f>SUMIF(Consumo!$C$3:$C$862,tabItens[[#This Row],[CÓDIGO]],Consumo!$Y$3:$Y$862)</f>
        <v>1295</v>
      </c>
      <c r="AW191" s="380">
        <f>tabItens[[#This Row],[QTDE ATUAL]] + tabItens[[#This Row],[RC QTDE]] + tabItens[[#This Row],[AF SALDO]] + tabItens[[#This Row],[Recentes]]</f>
        <v>10439</v>
      </c>
      <c r="AX191" s="404">
        <v>2084</v>
      </c>
      <c r="AY191" s="404">
        <v>4</v>
      </c>
      <c r="AZ191" s="404">
        <f>IF(ISBLANK(tabItens[[#This Row],[CÓDIGO]]),"",tabItens[[#This Row],[PontoMês]] * (AZ$2+tabItens[[#This Row],[PontoQtM]]))</f>
        <v>8336</v>
      </c>
      <c r="BA191" s="403">
        <f>tabItens[[#This Row],[PontoPed]] - tabItens[[#This Row],[Saldo]] + (1/10)</f>
        <v>-2102.9</v>
      </c>
      <c r="BB191" s="403">
        <f xml:space="preserve"> tabItens[[#This Row],[PontoMês]] * BB$2 - tabItens[[#This Row],[QTDE ATUAL]] - (1/10)</f>
        <v>-8355.1</v>
      </c>
      <c r="BC191" s="335">
        <f>IF( tabItens[[#This Row],[PontoPed]]&gt;0, IF(tabItens[[#This Row],[PontoPed]]&lt;1, 1, IF( tabItens[[#This Row],[Saldo]]&gt;tabItens[[#This Row],[PontoPed]], 0, (tabItens[[#This Row],[PontoPed]]-tabItens[[#This Row],[Saldo]])/tabItens[[#This Row],[PontoPed]] ) ), 0 )</f>
        <v>0</v>
      </c>
      <c r="BD191" s="405">
        <f>ROUNDDOWN(IF( OR( AND(tabItens[[#This Row],[PontoPed]]&lt;tabItens[[#This Row],[Saldo]],tabItens[[#This Row],[Saldo]]&gt;0), tabItens[[#This Row],[PontoPed]]=0), 99, IF(AND(tabItens[[#This Row],[Saldo]]=0,tabItens[[#This Row],[PontoPed]]&gt;0), 0, (1-tabItens[[#This Row],[PctAb]])*10 ) ),0)</f>
        <v>99</v>
      </c>
      <c r="BE191" s="406">
        <f>MAX(ROUNDDOWN( IF(tabItens[[#This Row],[Abaixo]] &gt; 0,   tabItens[[#This Row],[Abaixo]] + (tabItens[[#This Row],[PontoMês]] * IF( OR( ISBLANK(tabItens[[#This Row],[ATA Nº/ANO]]), tabItens[[#This Row],[ATA Nº/ANO]] = ""),BE$2,BE$1)),0),0),0)</f>
        <v>0</v>
      </c>
      <c r="BF19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1" s="338">
        <f>SUMIF(Consumo!$C$3:$C$862,tabItens[[#This Row],[CÓDIGO]],Consumo!$E$3:$E$862)</f>
        <v>40</v>
      </c>
      <c r="BH191" s="339">
        <f>IF(AND(tabItens[[#This Row],[Pend]] &gt; 0,tabItens[[#This Row],[Consumo]] &lt;&gt; 0), tabItens[[#This Row],[Pend]] / tabItens[[#This Row],[Consumo]], 0 )</f>
        <v>2.5740025740025739E-3</v>
      </c>
      <c r="BI191" s="338"/>
      <c r="BJ191" s="407"/>
      <c r="BK191" s="408" t="s">
        <v>2086</v>
      </c>
    </row>
    <row r="192" spans="1:63" x14ac:dyDescent="0.3">
      <c r="A192" s="375">
        <v>23846</v>
      </c>
      <c r="B192" s="376" t="s">
        <v>1185</v>
      </c>
      <c r="C192" s="377" t="s">
        <v>380</v>
      </c>
      <c r="D192" s="378">
        <v>1.5</v>
      </c>
      <c r="E192" s="305"/>
      <c r="F192" s="379"/>
      <c r="G192" s="379" t="s">
        <v>889</v>
      </c>
      <c r="H192" s="380">
        <v>0</v>
      </c>
      <c r="I192" s="307">
        <v>103003</v>
      </c>
      <c r="J192" s="308">
        <v>1.5</v>
      </c>
      <c r="K192" s="381">
        <v>9077</v>
      </c>
      <c r="L192" s="382">
        <f>IF(tabItens[[#This Row],[Média]] &gt; 0, tabItens[[#This Row],[QTDE ATUAL]] / tabItens[[#This Row],[Média]],999.9)</f>
        <v>0</v>
      </c>
      <c r="M192" s="383">
        <v>0</v>
      </c>
      <c r="N192" s="384">
        <f>tabItens[[#This Row],[VALOR UNIT.]] * tabItens[[#This Row],[LC]]</f>
        <v>0</v>
      </c>
      <c r="O192" s="385" t="s">
        <v>2088</v>
      </c>
      <c r="P192" s="386"/>
      <c r="Q192" s="387"/>
      <c r="R192" s="312"/>
      <c r="S192" s="388"/>
      <c r="T192" s="389">
        <f>ROUNDDOWN(IFERROR(tabItens[[#This Row],[ATA DT.VALID.]] - $D$1,0) / 30,0)</f>
        <v>-1474</v>
      </c>
      <c r="U192" s="302" t="s">
        <v>947</v>
      </c>
      <c r="V192" s="318">
        <v>1</v>
      </c>
      <c r="W192" s="390" t="s">
        <v>2074</v>
      </c>
      <c r="X192" s="391">
        <v>57</v>
      </c>
      <c r="Y192" s="392">
        <v>16</v>
      </c>
      <c r="Z192" s="393">
        <v>6984</v>
      </c>
      <c r="AA192" s="394">
        <v>2023</v>
      </c>
      <c r="AB192" s="395">
        <v>6300</v>
      </c>
      <c r="AC192" s="395"/>
      <c r="AD192" s="394"/>
      <c r="AE192" s="395"/>
      <c r="AF192" s="317"/>
      <c r="AG192" s="396" t="s">
        <v>2072</v>
      </c>
      <c r="AH192" s="397"/>
      <c r="AI192" s="317">
        <v>4536</v>
      </c>
      <c r="AJ192" s="397">
        <v>44960</v>
      </c>
      <c r="AK192" s="326" t="s">
        <v>889</v>
      </c>
      <c r="AL192" s="326">
        <v>45054</v>
      </c>
      <c r="AM192" s="316"/>
      <c r="AN192" s="305"/>
      <c r="AO192" s="327" t="str">
        <f>_xlfn.IFNA(IF(VLOOKUP(tabItens[[#This Row],[CÓDIGO]],tabExcluirDoEstoque[#Data],1,FALSE),"sim",""),"")</f>
        <v/>
      </c>
      <c r="AP192" s="398" t="str">
        <f ca="1">IF(OR(ISBLANK(tabItens[[#This Row],[ATA DT.VALID.]]),tabItens[[#This Row],[ATA DT.VALID.]]="",tabItens[[#This Row],[ATA DT.VALID.]]=" "),"",IF(TYPE(tabItens[[#This Row],[ATA DT.VALID.]])=1,ROUNDUP((tabItens[[#This Row],[ATA DT.VALID.]]-TODAY())/7,0),""))</f>
        <v/>
      </c>
      <c r="AQ192" s="399">
        <v>0</v>
      </c>
      <c r="AR192" s="400" t="str">
        <f>IF(ISBLANK(tabItens[[#This Row],[CÓDIGO]]),"",IFERROR(VLOOKUP(tabItens[[#This Row],[CÓDIGO]],Consumo!$C$2:$AC$862,26,FALSE),0))</f>
        <v>08.2023</v>
      </c>
      <c r="AS192" s="401">
        <f>SUMIF(Consumo!$C$3:$C$862,tabItens[[#This Row],[CÓDIGO]],Consumo!$N$3:$N$862) + SUMIF(Consumo!$C$3:$C$862,tabItens[[#This Row],[CÓDIGO]],Consumo!$O$3:$O$862) + SUMIF(Consumo!$C$3:$C$862,tabItens[[#This Row],[CÓDIGO]],Consumo!$P$3:$P$862) + SUMIF(Consumo!$C$3:$C$862,tabItens[[#This Row],[CÓDIGO]],Consumo!$Q$3:$Q$862)</f>
        <v>1568</v>
      </c>
      <c r="AT192" s="401">
        <f>SUMIF(Consumo!$C$3:$C$862,tabItens[[#This Row],[CÓDIGO]],Consumo!$Z$3:$Z$862)</f>
        <v>12561</v>
      </c>
      <c r="AU192" s="402">
        <f>SUMIF(Consumo!$C$3:$C$862,tabItens[[#This Row],[CÓDIGO]],Consumo!$AA$3:$AA$862)</f>
        <v>2275</v>
      </c>
      <c r="AV192" s="403">
        <f>SUMIF(Consumo!$C$3:$C$862,tabItens[[#This Row],[CÓDIGO]],Consumo!$Y$3:$Y$862)</f>
        <v>1046.75</v>
      </c>
      <c r="AW192" s="380">
        <f>tabItens[[#This Row],[QTDE ATUAL]] + tabItens[[#This Row],[RC QTDE]] + tabItens[[#This Row],[AF SALDO]] + tabItens[[#This Row],[Recentes]]</f>
        <v>6300</v>
      </c>
      <c r="AX192" s="404">
        <v>2084</v>
      </c>
      <c r="AY192" s="404">
        <v>4</v>
      </c>
      <c r="AZ192" s="404">
        <f>IF(ISBLANK(tabItens[[#This Row],[CÓDIGO]]),"",tabItens[[#This Row],[PontoMês]] * (AZ$2+tabItens[[#This Row],[PontoQtM]]))</f>
        <v>8336</v>
      </c>
      <c r="BA192" s="403">
        <f>tabItens[[#This Row],[PontoPed]] - tabItens[[#This Row],[Saldo]] + (1/10)</f>
        <v>2036.1</v>
      </c>
      <c r="BB192" s="403">
        <f xml:space="preserve"> tabItens[[#This Row],[PontoMês]] * BB$2 - tabItens[[#This Row],[QTDE ATUAL]] - (1/10)</f>
        <v>2083.9</v>
      </c>
      <c r="BC192" s="335">
        <f>IF( tabItens[[#This Row],[PontoPed]]&gt;0, IF(tabItens[[#This Row],[PontoPed]]&lt;1, 1, IF( tabItens[[#This Row],[Saldo]]&gt;tabItens[[#This Row],[PontoPed]], 0, (tabItens[[#This Row],[PontoPed]]-tabItens[[#This Row],[Saldo]])/tabItens[[#This Row],[PontoPed]] ) ), 0 )</f>
        <v>0.24424184261036469</v>
      </c>
      <c r="BD192" s="405">
        <f>ROUNDDOWN(IF( OR( AND(tabItens[[#This Row],[PontoPed]]&lt;tabItens[[#This Row],[Saldo]],tabItens[[#This Row],[Saldo]]&gt;0), tabItens[[#This Row],[PontoPed]]=0), 99, IF(AND(tabItens[[#This Row],[Saldo]]=0,tabItens[[#This Row],[PontoPed]]&gt;0), 0, (1-tabItens[[#This Row],[PctAb]])*10 ) ),0)</f>
        <v>7</v>
      </c>
      <c r="BE192" s="406">
        <f>MAX(ROUNDDOWN( IF(tabItens[[#This Row],[Abaixo]] &gt; 0,   tabItens[[#This Row],[Abaixo]] + (tabItens[[#This Row],[PontoMês]] * IF( OR( ISBLANK(tabItens[[#This Row],[ATA Nº/ANO]]), tabItens[[#This Row],[ATA Nº/ANO]] = ""),BE$2,BE$1)),0),0),0)</f>
        <v>8288</v>
      </c>
      <c r="BF19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2" s="338">
        <f>SUMIF(Consumo!$C$3:$C$862,tabItens[[#This Row],[CÓDIGO]],Consumo!$E$3:$E$862)</f>
        <v>953</v>
      </c>
      <c r="BH192" s="339">
        <f>IF(AND(tabItens[[#This Row],[Pend]] &gt; 0,tabItens[[#This Row],[Consumo]] &lt;&gt; 0), tabItens[[#This Row],[Pend]] / tabItens[[#This Row],[Consumo]], 0 )</f>
        <v>7.5869755592707588E-2</v>
      </c>
      <c r="BI192" s="338"/>
      <c r="BJ192" s="407"/>
      <c r="BK192" s="408" t="s">
        <v>2086</v>
      </c>
    </row>
    <row r="193" spans="1:63" x14ac:dyDescent="0.3">
      <c r="A193" s="375">
        <v>23862</v>
      </c>
      <c r="B193" s="376" t="s">
        <v>1186</v>
      </c>
      <c r="C193" s="377" t="s">
        <v>380</v>
      </c>
      <c r="D193" s="378">
        <v>1.5</v>
      </c>
      <c r="E193" s="305"/>
      <c r="F193" s="379"/>
      <c r="G193" s="379" t="s">
        <v>889</v>
      </c>
      <c r="H193" s="380">
        <v>0</v>
      </c>
      <c r="I193" s="307">
        <v>103003</v>
      </c>
      <c r="J193" s="308">
        <v>1.5</v>
      </c>
      <c r="K193" s="381">
        <v>9754</v>
      </c>
      <c r="L193" s="382">
        <f>IF(tabItens[[#This Row],[Média]] &gt; 0, tabItens[[#This Row],[QTDE ATUAL]] / tabItens[[#This Row],[Média]],999.9)</f>
        <v>0</v>
      </c>
      <c r="M193" s="383">
        <v>0</v>
      </c>
      <c r="N193" s="384">
        <f>tabItens[[#This Row],[VALOR UNIT.]] * tabItens[[#This Row],[LC]]</f>
        <v>0</v>
      </c>
      <c r="O193" s="385" t="s">
        <v>2088</v>
      </c>
      <c r="P193" s="386"/>
      <c r="Q193" s="387"/>
      <c r="R193" s="312"/>
      <c r="S193" s="388"/>
      <c r="T193" s="389">
        <f>ROUNDDOWN(IFERROR(tabItens[[#This Row],[ATA DT.VALID.]] - $D$1,0) / 30,0)</f>
        <v>-1474</v>
      </c>
      <c r="U193" s="302" t="s">
        <v>947</v>
      </c>
      <c r="V193" s="318">
        <v>1</v>
      </c>
      <c r="W193" s="390" t="s">
        <v>2074</v>
      </c>
      <c r="X193" s="391">
        <v>57</v>
      </c>
      <c r="Y193" s="392">
        <v>16</v>
      </c>
      <c r="Z193" s="393">
        <v>6984</v>
      </c>
      <c r="AA193" s="394">
        <v>2023</v>
      </c>
      <c r="AB193" s="395">
        <v>5000</v>
      </c>
      <c r="AC193" s="395"/>
      <c r="AD193" s="394"/>
      <c r="AE193" s="395"/>
      <c r="AF193" s="317"/>
      <c r="AG193" s="396" t="s">
        <v>2072</v>
      </c>
      <c r="AH193" s="397"/>
      <c r="AI193" s="317">
        <v>5166</v>
      </c>
      <c r="AJ193" s="397">
        <v>44960</v>
      </c>
      <c r="AK193" s="326" t="s">
        <v>889</v>
      </c>
      <c r="AL193" s="326">
        <v>45054</v>
      </c>
      <c r="AM193" s="316"/>
      <c r="AN193" s="305"/>
      <c r="AO193" s="327" t="str">
        <f>_xlfn.IFNA(IF(VLOOKUP(tabItens[[#This Row],[CÓDIGO]],tabExcluirDoEstoque[#Data],1,FALSE),"sim",""),"")</f>
        <v/>
      </c>
      <c r="AP193" s="398" t="str">
        <f ca="1">IF(OR(ISBLANK(tabItens[[#This Row],[ATA DT.VALID.]]),tabItens[[#This Row],[ATA DT.VALID.]]="",tabItens[[#This Row],[ATA DT.VALID.]]=" "),"",IF(TYPE(tabItens[[#This Row],[ATA DT.VALID.]])=1,ROUNDUP((tabItens[[#This Row],[ATA DT.VALID.]]-TODAY())/7,0),""))</f>
        <v/>
      </c>
      <c r="AQ193" s="399">
        <v>0</v>
      </c>
      <c r="AR193" s="400" t="str">
        <f>IF(ISBLANK(tabItens[[#This Row],[CÓDIGO]]),"",IFERROR(VLOOKUP(tabItens[[#This Row],[CÓDIGO]],Consumo!$C$2:$AC$862,26,FALSE),0))</f>
        <v>08.2023</v>
      </c>
      <c r="AS193" s="401">
        <f>SUMIF(Consumo!$C$3:$C$862,tabItens[[#This Row],[CÓDIGO]],Consumo!$N$3:$N$862) + SUMIF(Consumo!$C$3:$C$862,tabItens[[#This Row],[CÓDIGO]],Consumo!$O$3:$O$862) + SUMIF(Consumo!$C$3:$C$862,tabItens[[#This Row],[CÓDIGO]],Consumo!$P$3:$P$862) + SUMIF(Consumo!$C$3:$C$862,tabItens[[#This Row],[CÓDIGO]],Consumo!$Q$3:$Q$862)</f>
        <v>2936</v>
      </c>
      <c r="AT193" s="401">
        <f>SUMIF(Consumo!$C$3:$C$862,tabItens[[#This Row],[CÓDIGO]],Consumo!$Z$3:$Z$862)</f>
        <v>14289</v>
      </c>
      <c r="AU193" s="402">
        <f>SUMIF(Consumo!$C$3:$C$862,tabItens[[#This Row],[CÓDIGO]],Consumo!$AA$3:$AA$862)</f>
        <v>2402</v>
      </c>
      <c r="AV193" s="403">
        <f>SUMIF(Consumo!$C$3:$C$862,tabItens[[#This Row],[CÓDIGO]],Consumo!$Y$3:$Y$862)</f>
        <v>1190.75</v>
      </c>
      <c r="AW193" s="380">
        <f>tabItens[[#This Row],[QTDE ATUAL]] + tabItens[[#This Row],[RC QTDE]] + tabItens[[#This Row],[AF SALDO]] + tabItens[[#This Row],[Recentes]]</f>
        <v>5000</v>
      </c>
      <c r="AX193" s="404">
        <v>2084</v>
      </c>
      <c r="AY193" s="404">
        <v>4</v>
      </c>
      <c r="AZ193" s="404">
        <f>IF(ISBLANK(tabItens[[#This Row],[CÓDIGO]]),"",tabItens[[#This Row],[PontoMês]] * (AZ$2+tabItens[[#This Row],[PontoQtM]]))</f>
        <v>8336</v>
      </c>
      <c r="BA193" s="403">
        <f>tabItens[[#This Row],[PontoPed]] - tabItens[[#This Row],[Saldo]] + (1/10)</f>
        <v>3336.1</v>
      </c>
      <c r="BB193" s="403">
        <f xml:space="preserve"> tabItens[[#This Row],[PontoMês]] * BB$2 - tabItens[[#This Row],[QTDE ATUAL]] - (1/10)</f>
        <v>2083.9</v>
      </c>
      <c r="BC193" s="335">
        <f>IF( tabItens[[#This Row],[PontoPed]]&gt;0, IF(tabItens[[#This Row],[PontoPed]]&lt;1, 1, IF( tabItens[[#This Row],[Saldo]]&gt;tabItens[[#This Row],[PontoPed]], 0, (tabItens[[#This Row],[PontoPed]]-tabItens[[#This Row],[Saldo]])/tabItens[[#This Row],[PontoPed]] ) ), 0 )</f>
        <v>0.40019193857965452</v>
      </c>
      <c r="BD193" s="405">
        <f>ROUNDDOWN(IF( OR( AND(tabItens[[#This Row],[PontoPed]]&lt;tabItens[[#This Row],[Saldo]],tabItens[[#This Row],[Saldo]]&gt;0), tabItens[[#This Row],[PontoPed]]=0), 99, IF(AND(tabItens[[#This Row],[Saldo]]=0,tabItens[[#This Row],[PontoPed]]&gt;0), 0, (1-tabItens[[#This Row],[PctAb]])*10 ) ),0)</f>
        <v>5</v>
      </c>
      <c r="BE193" s="406">
        <f>MAX(ROUNDDOWN( IF(tabItens[[#This Row],[Abaixo]] &gt; 0,   tabItens[[#This Row],[Abaixo]] + (tabItens[[#This Row],[PontoMês]] * IF( OR( ISBLANK(tabItens[[#This Row],[ATA Nº/ANO]]), tabItens[[#This Row],[ATA Nº/ANO]] = ""),BE$2,BE$1)),0),0),0)</f>
        <v>9588</v>
      </c>
      <c r="BF19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3" s="338">
        <f>SUMIF(Consumo!$C$3:$C$862,tabItens[[#This Row],[CÓDIGO]],Consumo!$E$3:$E$862)</f>
        <v>815</v>
      </c>
      <c r="BH193" s="339">
        <f>IF(AND(tabItens[[#This Row],[Pend]] &gt; 0,tabItens[[#This Row],[Consumo]] &lt;&gt; 0), tabItens[[#This Row],[Pend]] / tabItens[[#This Row],[Consumo]], 0 )</f>
        <v>5.7036881517251031E-2</v>
      </c>
      <c r="BI193" s="338"/>
      <c r="BJ193" s="407"/>
      <c r="BK193" s="408" t="s">
        <v>2086</v>
      </c>
    </row>
    <row r="194" spans="1:63" x14ac:dyDescent="0.3">
      <c r="A194" s="375">
        <v>23875</v>
      </c>
      <c r="B194" s="376" t="s">
        <v>1187</v>
      </c>
      <c r="C194" s="377" t="s">
        <v>380</v>
      </c>
      <c r="D194" s="378">
        <v>1.5</v>
      </c>
      <c r="E194" s="305"/>
      <c r="F194" s="379"/>
      <c r="G194" s="379" t="s">
        <v>889</v>
      </c>
      <c r="H194" s="380">
        <v>0</v>
      </c>
      <c r="I194" s="307">
        <v>103003</v>
      </c>
      <c r="J194" s="308">
        <v>1.5</v>
      </c>
      <c r="K194" s="381">
        <v>9055</v>
      </c>
      <c r="L194" s="382">
        <f>IF(tabItens[[#This Row],[Média]] &gt; 0, tabItens[[#This Row],[QTDE ATUAL]] / tabItens[[#This Row],[Média]],999.9)</f>
        <v>0</v>
      </c>
      <c r="M194" s="383">
        <v>0</v>
      </c>
      <c r="N194" s="384">
        <f>tabItens[[#This Row],[VALOR UNIT.]] * tabItens[[#This Row],[LC]]</f>
        <v>0</v>
      </c>
      <c r="O194" s="385" t="s">
        <v>2088</v>
      </c>
      <c r="P194" s="386"/>
      <c r="Q194" s="387"/>
      <c r="R194" s="312"/>
      <c r="S194" s="388"/>
      <c r="T194" s="389">
        <f>ROUNDDOWN(IFERROR(tabItens[[#This Row],[ATA DT.VALID.]] - $D$1,0) / 30,0)</f>
        <v>-1474</v>
      </c>
      <c r="U194" s="302" t="s">
        <v>947</v>
      </c>
      <c r="V194" s="318">
        <v>1</v>
      </c>
      <c r="W194" s="390" t="s">
        <v>2074</v>
      </c>
      <c r="X194" s="391">
        <v>57</v>
      </c>
      <c r="Y194" s="392">
        <v>16</v>
      </c>
      <c r="Z194" s="393">
        <v>6984</v>
      </c>
      <c r="AA194" s="394">
        <v>2023</v>
      </c>
      <c r="AB194" s="395">
        <v>3500</v>
      </c>
      <c r="AC194" s="395"/>
      <c r="AD194" s="394"/>
      <c r="AE194" s="395"/>
      <c r="AF194" s="317"/>
      <c r="AG194" s="396" t="s">
        <v>2072</v>
      </c>
      <c r="AH194" s="397"/>
      <c r="AI194" s="317">
        <v>4590</v>
      </c>
      <c r="AJ194" s="397">
        <v>44960</v>
      </c>
      <c r="AK194" s="326" t="s">
        <v>889</v>
      </c>
      <c r="AL194" s="326">
        <v>45054</v>
      </c>
      <c r="AM194" s="316"/>
      <c r="AN194" s="305"/>
      <c r="AO194" s="327" t="str">
        <f>_xlfn.IFNA(IF(VLOOKUP(tabItens[[#This Row],[CÓDIGO]],tabExcluirDoEstoque[#Data],1,FALSE),"sim",""),"")</f>
        <v/>
      </c>
      <c r="AP194" s="398" t="str">
        <f ca="1">IF(OR(ISBLANK(tabItens[[#This Row],[ATA DT.VALID.]]),tabItens[[#This Row],[ATA DT.VALID.]]="",tabItens[[#This Row],[ATA DT.VALID.]]=" "),"",IF(TYPE(tabItens[[#This Row],[ATA DT.VALID.]])=1,ROUNDUP((tabItens[[#This Row],[ATA DT.VALID.]]-TODAY())/7,0),""))</f>
        <v/>
      </c>
      <c r="AQ194" s="399">
        <v>0</v>
      </c>
      <c r="AR194" s="400" t="str">
        <f>IF(ISBLANK(tabItens[[#This Row],[CÓDIGO]]),"",IFERROR(VLOOKUP(tabItens[[#This Row],[CÓDIGO]],Consumo!$C$2:$AC$862,26,FALSE),0))</f>
        <v>08.2023</v>
      </c>
      <c r="AS194" s="401">
        <f>SUMIF(Consumo!$C$3:$C$862,tabItens[[#This Row],[CÓDIGO]],Consumo!$N$3:$N$862) + SUMIF(Consumo!$C$3:$C$862,tabItens[[#This Row],[CÓDIGO]],Consumo!$O$3:$O$862) + SUMIF(Consumo!$C$3:$C$862,tabItens[[#This Row],[CÓDIGO]],Consumo!$P$3:$P$862) + SUMIF(Consumo!$C$3:$C$862,tabItens[[#This Row],[CÓDIGO]],Consumo!$Q$3:$Q$862)</f>
        <v>3861</v>
      </c>
      <c r="AT194" s="401">
        <f>SUMIF(Consumo!$C$3:$C$862,tabItens[[#This Row],[CÓDIGO]],Consumo!$Z$3:$Z$862)</f>
        <v>14147</v>
      </c>
      <c r="AU194" s="402">
        <f>SUMIF(Consumo!$C$3:$C$862,tabItens[[#This Row],[CÓDIGO]],Consumo!$AA$3:$AA$862)</f>
        <v>2175</v>
      </c>
      <c r="AV194" s="403">
        <f>SUMIF(Consumo!$C$3:$C$862,tabItens[[#This Row],[CÓDIGO]],Consumo!$Y$3:$Y$862)</f>
        <v>1178.9166666666667</v>
      </c>
      <c r="AW194" s="380">
        <f>tabItens[[#This Row],[QTDE ATUAL]] + tabItens[[#This Row],[RC QTDE]] + tabItens[[#This Row],[AF SALDO]] + tabItens[[#This Row],[Recentes]]</f>
        <v>3500</v>
      </c>
      <c r="AX194" s="404">
        <v>2084</v>
      </c>
      <c r="AY194" s="404">
        <v>4</v>
      </c>
      <c r="AZ194" s="404">
        <f>IF(ISBLANK(tabItens[[#This Row],[CÓDIGO]]),"",tabItens[[#This Row],[PontoMês]] * (AZ$2+tabItens[[#This Row],[PontoQtM]]))</f>
        <v>8336</v>
      </c>
      <c r="BA194" s="403">
        <f>tabItens[[#This Row],[PontoPed]] - tabItens[[#This Row],[Saldo]] + (1/10)</f>
        <v>4836.1000000000004</v>
      </c>
      <c r="BB194" s="403">
        <f xml:space="preserve"> tabItens[[#This Row],[PontoMês]] * BB$2 - tabItens[[#This Row],[QTDE ATUAL]] - (1/10)</f>
        <v>2083.9</v>
      </c>
      <c r="BC194" s="335">
        <f>IF( tabItens[[#This Row],[PontoPed]]&gt;0, IF(tabItens[[#This Row],[PontoPed]]&lt;1, 1, IF( tabItens[[#This Row],[Saldo]]&gt;tabItens[[#This Row],[PontoPed]], 0, (tabItens[[#This Row],[PontoPed]]-tabItens[[#This Row],[Saldo]])/tabItens[[#This Row],[PontoPed]] ) ), 0 )</f>
        <v>0.58013435700575811</v>
      </c>
      <c r="BD194" s="405">
        <f>ROUNDDOWN(IF( OR( AND(tabItens[[#This Row],[PontoPed]]&lt;tabItens[[#This Row],[Saldo]],tabItens[[#This Row],[Saldo]]&gt;0), tabItens[[#This Row],[PontoPed]]=0), 99, IF(AND(tabItens[[#This Row],[Saldo]]=0,tabItens[[#This Row],[PontoPed]]&gt;0), 0, (1-tabItens[[#This Row],[PctAb]])*10 ) ),0)</f>
        <v>4</v>
      </c>
      <c r="BE194" s="406">
        <f>MAX(ROUNDDOWN( IF(tabItens[[#This Row],[Abaixo]] &gt; 0,   tabItens[[#This Row],[Abaixo]] + (tabItens[[#This Row],[PontoMês]] * IF( OR( ISBLANK(tabItens[[#This Row],[ATA Nº/ANO]]), tabItens[[#This Row],[ATA Nº/ANO]] = ""),BE$2,BE$1)),0),0),0)</f>
        <v>11088</v>
      </c>
      <c r="BF19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4" s="338">
        <f>SUMIF(Consumo!$C$3:$C$862,tabItens[[#This Row],[CÓDIGO]],Consumo!$E$3:$E$862)</f>
        <v>393</v>
      </c>
      <c r="BH194" s="339">
        <f>IF(AND(tabItens[[#This Row],[Pend]] &gt; 0,tabItens[[#This Row],[Consumo]] &lt;&gt; 0), tabItens[[#This Row],[Pend]] / tabItens[[#This Row],[Consumo]], 0 )</f>
        <v>2.7779741287905564E-2</v>
      </c>
      <c r="BI194" s="338"/>
      <c r="BJ194" s="407"/>
      <c r="BK194" s="408" t="s">
        <v>2086</v>
      </c>
    </row>
    <row r="195" spans="1:63" x14ac:dyDescent="0.3">
      <c r="A195" s="375">
        <v>30165</v>
      </c>
      <c r="B195" s="376" t="s">
        <v>1245</v>
      </c>
      <c r="C195" s="377" t="s">
        <v>380</v>
      </c>
      <c r="D195" s="378">
        <v>0.98</v>
      </c>
      <c r="E195" s="305"/>
      <c r="F195" s="379"/>
      <c r="G195" s="379" t="s">
        <v>889</v>
      </c>
      <c r="H195" s="380">
        <v>0</v>
      </c>
      <c r="I195" s="307">
        <v>103003</v>
      </c>
      <c r="J195" s="308">
        <v>0.98</v>
      </c>
      <c r="K195" s="381">
        <v>9596</v>
      </c>
      <c r="L195" s="382">
        <f>IF(tabItens[[#This Row],[Média]] &gt; 0, tabItens[[#This Row],[QTDE ATUAL]] / tabItens[[#This Row],[Média]],999.9)</f>
        <v>0</v>
      </c>
      <c r="M195" s="383">
        <v>0</v>
      </c>
      <c r="N195" s="384">
        <f>tabItens[[#This Row],[VALOR UNIT.]] * tabItens[[#This Row],[LC]]</f>
        <v>0</v>
      </c>
      <c r="O195" s="385" t="s">
        <v>2088</v>
      </c>
      <c r="P195" s="386"/>
      <c r="Q195" s="387"/>
      <c r="R195" s="312"/>
      <c r="S195" s="388"/>
      <c r="T195" s="389">
        <f>ROUNDDOWN(IFERROR(tabItens[[#This Row],[ATA DT.VALID.]] - $D$1,0) / 30,0)</f>
        <v>-1474</v>
      </c>
      <c r="U195" s="302" t="s">
        <v>947</v>
      </c>
      <c r="V195" s="318">
        <v>1</v>
      </c>
      <c r="W195" s="390" t="s">
        <v>2074</v>
      </c>
      <c r="X195" s="391">
        <v>57</v>
      </c>
      <c r="Y195" s="392">
        <v>16</v>
      </c>
      <c r="Z195" s="393">
        <v>6984</v>
      </c>
      <c r="AA195" s="394">
        <v>2023</v>
      </c>
      <c r="AB195" s="395">
        <v>7300</v>
      </c>
      <c r="AC195" s="395"/>
      <c r="AD195" s="394"/>
      <c r="AE195" s="395"/>
      <c r="AF195" s="317"/>
      <c r="AG195" s="396" t="s">
        <v>2072</v>
      </c>
      <c r="AH195" s="397"/>
      <c r="AI195" s="317">
        <v>4152</v>
      </c>
      <c r="AJ195" s="397">
        <v>44960</v>
      </c>
      <c r="AK195" s="326" t="s">
        <v>889</v>
      </c>
      <c r="AL195" s="326">
        <v>44910</v>
      </c>
      <c r="AM195" s="316"/>
      <c r="AN195" s="305"/>
      <c r="AO195" s="327" t="str">
        <f>_xlfn.IFNA(IF(VLOOKUP(tabItens[[#This Row],[CÓDIGO]],tabExcluirDoEstoque[#Data],1,FALSE),"sim",""),"")</f>
        <v/>
      </c>
      <c r="AP195" s="398" t="str">
        <f ca="1">IF(OR(ISBLANK(tabItens[[#This Row],[ATA DT.VALID.]]),tabItens[[#This Row],[ATA DT.VALID.]]="",tabItens[[#This Row],[ATA DT.VALID.]]=" "),"",IF(TYPE(tabItens[[#This Row],[ATA DT.VALID.]])=1,ROUNDUP((tabItens[[#This Row],[ATA DT.VALID.]]-TODAY())/7,0),""))</f>
        <v/>
      </c>
      <c r="AQ195" s="399">
        <v>0</v>
      </c>
      <c r="AR195" s="400" t="str">
        <f>IF(ISBLANK(tabItens[[#This Row],[CÓDIGO]]),"",IFERROR(VLOOKUP(tabItens[[#This Row],[CÓDIGO]],Consumo!$C$2:$AC$862,26,FALSE),0))</f>
        <v>07.2023</v>
      </c>
      <c r="AS195" s="401">
        <f>SUMIF(Consumo!$C$3:$C$862,tabItens[[#This Row],[CÓDIGO]],Consumo!$N$3:$N$862) + SUMIF(Consumo!$C$3:$C$862,tabItens[[#This Row],[CÓDIGO]],Consumo!$O$3:$O$862) + SUMIF(Consumo!$C$3:$C$862,tabItens[[#This Row],[CÓDIGO]],Consumo!$P$3:$P$862) + SUMIF(Consumo!$C$3:$C$862,tabItens[[#This Row],[CÓDIGO]],Consumo!$Q$3:$Q$862)</f>
        <v>761</v>
      </c>
      <c r="AT195" s="401">
        <f>SUMIF(Consumo!$C$3:$C$862,tabItens[[#This Row],[CÓDIGO]],Consumo!$Z$3:$Z$862)</f>
        <v>12012</v>
      </c>
      <c r="AU195" s="402">
        <f>SUMIF(Consumo!$C$3:$C$862,tabItens[[#This Row],[CÓDIGO]],Consumo!$AA$3:$AA$862)</f>
        <v>2435</v>
      </c>
      <c r="AV195" s="403">
        <f>SUMIF(Consumo!$C$3:$C$862,tabItens[[#This Row],[CÓDIGO]],Consumo!$Y$3:$Y$862)</f>
        <v>1001</v>
      </c>
      <c r="AW195" s="380">
        <f>tabItens[[#This Row],[QTDE ATUAL]] + tabItens[[#This Row],[RC QTDE]] + tabItens[[#This Row],[AF SALDO]] + tabItens[[#This Row],[Recentes]]</f>
        <v>7300</v>
      </c>
      <c r="AX195" s="404">
        <v>2084</v>
      </c>
      <c r="AY195" s="404">
        <v>4</v>
      </c>
      <c r="AZ195" s="404">
        <f>IF(ISBLANK(tabItens[[#This Row],[CÓDIGO]]),"",tabItens[[#This Row],[PontoMês]] * (AZ$2+tabItens[[#This Row],[PontoQtM]]))</f>
        <v>8336</v>
      </c>
      <c r="BA195" s="403">
        <f>tabItens[[#This Row],[PontoPed]] - tabItens[[#This Row],[Saldo]] + (1/10)</f>
        <v>1036.0999999999999</v>
      </c>
      <c r="BB195" s="403">
        <f xml:space="preserve"> tabItens[[#This Row],[PontoMês]] * BB$2 - tabItens[[#This Row],[QTDE ATUAL]] - (1/10)</f>
        <v>2083.9</v>
      </c>
      <c r="BC195" s="335">
        <f>IF( tabItens[[#This Row],[PontoPed]]&gt;0, IF(tabItens[[#This Row],[PontoPed]]&lt;1, 1, IF( tabItens[[#This Row],[Saldo]]&gt;tabItens[[#This Row],[PontoPed]], 0, (tabItens[[#This Row],[PontoPed]]-tabItens[[#This Row],[Saldo]])/tabItens[[#This Row],[PontoPed]] ) ), 0 )</f>
        <v>0.12428023032629558</v>
      </c>
      <c r="BD195" s="405">
        <f>ROUNDDOWN(IF( OR( AND(tabItens[[#This Row],[PontoPed]]&lt;tabItens[[#This Row],[Saldo]],tabItens[[#This Row],[Saldo]]&gt;0), tabItens[[#This Row],[PontoPed]]=0), 99, IF(AND(tabItens[[#This Row],[Saldo]]=0,tabItens[[#This Row],[PontoPed]]&gt;0), 0, (1-tabItens[[#This Row],[PctAb]])*10 ) ),0)</f>
        <v>8</v>
      </c>
      <c r="BE195" s="406">
        <f>MAX(ROUNDDOWN( IF(tabItens[[#This Row],[Abaixo]] &gt; 0,   tabItens[[#This Row],[Abaixo]] + (tabItens[[#This Row],[PontoMês]] * IF( OR( ISBLANK(tabItens[[#This Row],[ATA Nº/ANO]]), tabItens[[#This Row],[ATA Nº/ANO]] = ""),BE$2,BE$1)),0),0),0)</f>
        <v>7288</v>
      </c>
      <c r="BF19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5" s="338">
        <f>SUMIF(Consumo!$C$3:$C$862,tabItens[[#This Row],[CÓDIGO]],Consumo!$E$3:$E$862)</f>
        <v>1159</v>
      </c>
      <c r="BH195" s="339">
        <f>IF(AND(tabItens[[#This Row],[Pend]] &gt; 0,tabItens[[#This Row],[Consumo]] &lt;&gt; 0), tabItens[[#This Row],[Pend]] / tabItens[[#This Row],[Consumo]], 0 )</f>
        <v>9.6486846486846481E-2</v>
      </c>
      <c r="BI195" s="338"/>
      <c r="BJ195" s="407"/>
      <c r="BK195" s="408" t="s">
        <v>2086</v>
      </c>
    </row>
    <row r="196" spans="1:63" x14ac:dyDescent="0.3">
      <c r="A196" s="375">
        <v>32933</v>
      </c>
      <c r="B196" s="376" t="s">
        <v>1250</v>
      </c>
      <c r="C196" s="377" t="s">
        <v>380</v>
      </c>
      <c r="D196" s="378">
        <v>0.98</v>
      </c>
      <c r="E196" s="305"/>
      <c r="F196" s="379"/>
      <c r="G196" s="379" t="s">
        <v>889</v>
      </c>
      <c r="H196" s="380">
        <v>0</v>
      </c>
      <c r="I196" s="307">
        <v>103003</v>
      </c>
      <c r="J196" s="308">
        <v>0.98</v>
      </c>
      <c r="K196" s="381">
        <v>9496</v>
      </c>
      <c r="L196" s="382">
        <f>IF(tabItens[[#This Row],[Média]] &gt; 0, tabItens[[#This Row],[QTDE ATUAL]] / tabItens[[#This Row],[Média]],999.9)</f>
        <v>0</v>
      </c>
      <c r="M196" s="383">
        <v>0</v>
      </c>
      <c r="N196" s="384">
        <f>tabItens[[#This Row],[VALOR UNIT.]] * tabItens[[#This Row],[LC]]</f>
        <v>0</v>
      </c>
      <c r="O196" s="385" t="s">
        <v>2088</v>
      </c>
      <c r="P196" s="386"/>
      <c r="Q196" s="387"/>
      <c r="R196" s="312"/>
      <c r="S196" s="388"/>
      <c r="T196" s="389">
        <f>ROUNDDOWN(IFERROR(tabItens[[#This Row],[ATA DT.VALID.]] - $D$1,0) / 30,0)</f>
        <v>-1474</v>
      </c>
      <c r="U196" s="302" t="s">
        <v>947</v>
      </c>
      <c r="V196" s="318">
        <v>1</v>
      </c>
      <c r="W196" s="390" t="s">
        <v>2074</v>
      </c>
      <c r="X196" s="391">
        <v>57</v>
      </c>
      <c r="Y196" s="392">
        <v>16</v>
      </c>
      <c r="Z196" s="393">
        <v>6984</v>
      </c>
      <c r="AA196" s="394">
        <v>2023</v>
      </c>
      <c r="AB196" s="395">
        <v>5700</v>
      </c>
      <c r="AC196" s="395"/>
      <c r="AD196" s="394"/>
      <c r="AE196" s="395"/>
      <c r="AF196" s="317"/>
      <c r="AG196" s="396" t="s">
        <v>2072</v>
      </c>
      <c r="AH196" s="397"/>
      <c r="AI196" s="317">
        <v>3836</v>
      </c>
      <c r="AJ196" s="397">
        <v>44960</v>
      </c>
      <c r="AK196" s="326" t="s">
        <v>889</v>
      </c>
      <c r="AL196" s="326">
        <v>44910</v>
      </c>
      <c r="AM196" s="316"/>
      <c r="AN196" s="305"/>
      <c r="AO196" s="327" t="str">
        <f>_xlfn.IFNA(IF(VLOOKUP(tabItens[[#This Row],[CÓDIGO]],tabExcluirDoEstoque[#Data],1,FALSE),"sim",""),"")</f>
        <v/>
      </c>
      <c r="AP196" s="398" t="str">
        <f ca="1">IF(OR(ISBLANK(tabItens[[#This Row],[ATA DT.VALID.]]),tabItens[[#This Row],[ATA DT.VALID.]]="",tabItens[[#This Row],[ATA DT.VALID.]]=" "),"",IF(TYPE(tabItens[[#This Row],[ATA DT.VALID.]])=1,ROUNDUP((tabItens[[#This Row],[ATA DT.VALID.]]-TODAY())/7,0),""))</f>
        <v/>
      </c>
      <c r="AQ196" s="399">
        <v>0</v>
      </c>
      <c r="AR196" s="400" t="str">
        <f>IF(ISBLANK(tabItens[[#This Row],[CÓDIGO]]),"",IFERROR(VLOOKUP(tabItens[[#This Row],[CÓDIGO]],Consumo!$C$2:$AC$862,26,FALSE),0))</f>
        <v>08.2023</v>
      </c>
      <c r="AS196" s="401">
        <f>SUMIF(Consumo!$C$3:$C$862,tabItens[[#This Row],[CÓDIGO]],Consumo!$N$3:$N$862) + SUMIF(Consumo!$C$3:$C$862,tabItens[[#This Row],[CÓDIGO]],Consumo!$O$3:$O$862) + SUMIF(Consumo!$C$3:$C$862,tabItens[[#This Row],[CÓDIGO]],Consumo!$P$3:$P$862) + SUMIF(Consumo!$C$3:$C$862,tabItens[[#This Row],[CÓDIGO]],Consumo!$Q$3:$Q$862)</f>
        <v>1816</v>
      </c>
      <c r="AT196" s="401">
        <f>SUMIF(Consumo!$C$3:$C$862,tabItens[[#This Row],[CÓDIGO]],Consumo!$Z$3:$Z$862)</f>
        <v>12340</v>
      </c>
      <c r="AU196" s="402">
        <f>SUMIF(Consumo!$C$3:$C$862,tabItens[[#This Row],[CÓDIGO]],Consumo!$AA$3:$AA$862)</f>
        <v>2250</v>
      </c>
      <c r="AV196" s="403">
        <f>SUMIF(Consumo!$C$3:$C$862,tabItens[[#This Row],[CÓDIGO]],Consumo!$Y$3:$Y$862)</f>
        <v>1028.3333333333333</v>
      </c>
      <c r="AW196" s="380">
        <f>tabItens[[#This Row],[QTDE ATUAL]] + tabItens[[#This Row],[RC QTDE]] + tabItens[[#This Row],[AF SALDO]] + tabItens[[#This Row],[Recentes]]</f>
        <v>5700</v>
      </c>
      <c r="AX196" s="404">
        <v>2084</v>
      </c>
      <c r="AY196" s="404">
        <v>4</v>
      </c>
      <c r="AZ196" s="404">
        <f>IF(ISBLANK(tabItens[[#This Row],[CÓDIGO]]),"",tabItens[[#This Row],[PontoMês]] * (AZ$2+tabItens[[#This Row],[PontoQtM]]))</f>
        <v>8336</v>
      </c>
      <c r="BA196" s="403">
        <f>tabItens[[#This Row],[PontoPed]] - tabItens[[#This Row],[Saldo]] + (1/10)</f>
        <v>2636.1</v>
      </c>
      <c r="BB196" s="403">
        <f xml:space="preserve"> tabItens[[#This Row],[PontoMês]] * BB$2 - tabItens[[#This Row],[QTDE ATUAL]] - (1/10)</f>
        <v>2083.9</v>
      </c>
      <c r="BC196" s="335">
        <f>IF( tabItens[[#This Row],[PontoPed]]&gt;0, IF(tabItens[[#This Row],[PontoPed]]&lt;1, 1, IF( tabItens[[#This Row],[Saldo]]&gt;tabItens[[#This Row],[PontoPed]], 0, (tabItens[[#This Row],[PontoPed]]-tabItens[[#This Row],[Saldo]])/tabItens[[#This Row],[PontoPed]] ) ), 0 )</f>
        <v>0.31621880998080615</v>
      </c>
      <c r="BD196" s="405">
        <f>ROUNDDOWN(IF( OR( AND(tabItens[[#This Row],[PontoPed]]&lt;tabItens[[#This Row],[Saldo]],tabItens[[#This Row],[Saldo]]&gt;0), tabItens[[#This Row],[PontoPed]]=0), 99, IF(AND(tabItens[[#This Row],[Saldo]]=0,tabItens[[#This Row],[PontoPed]]&gt;0), 0, (1-tabItens[[#This Row],[PctAb]])*10 ) ),0)</f>
        <v>6</v>
      </c>
      <c r="BE196" s="406">
        <f>MAX(ROUNDDOWN( IF(tabItens[[#This Row],[Abaixo]] &gt; 0,   tabItens[[#This Row],[Abaixo]] + (tabItens[[#This Row],[PontoMês]] * IF( OR( ISBLANK(tabItens[[#This Row],[ATA Nº/ANO]]), tabItens[[#This Row],[ATA Nº/ANO]] = ""),BE$2,BE$1)),0),0),0)</f>
        <v>8888</v>
      </c>
      <c r="BF19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6" s="338">
        <f>SUMIF(Consumo!$C$3:$C$862,tabItens[[#This Row],[CÓDIGO]],Consumo!$E$3:$E$862)</f>
        <v>831</v>
      </c>
      <c r="BH196" s="339">
        <f>IF(AND(tabItens[[#This Row],[Pend]] &gt; 0,tabItens[[#This Row],[Consumo]] &lt;&gt; 0), tabItens[[#This Row],[Pend]] / tabItens[[#This Row],[Consumo]], 0 )</f>
        <v>6.7341977309562401E-2</v>
      </c>
      <c r="BI196" s="338"/>
      <c r="BJ196" s="407"/>
      <c r="BK196" s="408" t="s">
        <v>2086</v>
      </c>
    </row>
    <row r="197" spans="1:63" x14ac:dyDescent="0.3">
      <c r="A197" s="375">
        <v>47447</v>
      </c>
      <c r="B197" s="376" t="s">
        <v>1291</v>
      </c>
      <c r="C197" s="377" t="s">
        <v>380</v>
      </c>
      <c r="D197" s="378">
        <v>1.55</v>
      </c>
      <c r="E197" s="305"/>
      <c r="F197" s="379"/>
      <c r="G197" s="379" t="s">
        <v>889</v>
      </c>
      <c r="H197" s="380">
        <v>10908</v>
      </c>
      <c r="I197" s="307">
        <v>103003</v>
      </c>
      <c r="J197" s="308">
        <v>1.55</v>
      </c>
      <c r="K197" s="381">
        <v>11074</v>
      </c>
      <c r="L197" s="382">
        <f>IF(tabItens[[#This Row],[Média]] &gt; 0, tabItens[[#This Row],[QTDE ATUAL]] / tabItens[[#This Row],[Média]],999.9)</f>
        <v>7.3508170944010782</v>
      </c>
      <c r="M197" s="383">
        <v>0</v>
      </c>
      <c r="N197" s="384">
        <f>tabItens[[#This Row],[VALOR UNIT.]] * tabItens[[#This Row],[LC]]</f>
        <v>0</v>
      </c>
      <c r="O197" s="385" t="s">
        <v>2088</v>
      </c>
      <c r="P197" s="386"/>
      <c r="Q197" s="387"/>
      <c r="R197" s="312"/>
      <c r="S197" s="388"/>
      <c r="T197" s="389">
        <f>ROUNDDOWN(IFERROR(tabItens[[#This Row],[ATA DT.VALID.]] - $D$1,0) / 30,0)</f>
        <v>-1474</v>
      </c>
      <c r="U197" s="302" t="s">
        <v>947</v>
      </c>
      <c r="V197" s="318">
        <v>1</v>
      </c>
      <c r="W197" s="390" t="s">
        <v>2074</v>
      </c>
      <c r="X197" s="391">
        <v>57</v>
      </c>
      <c r="Y197" s="392">
        <v>16</v>
      </c>
      <c r="Z197" s="393"/>
      <c r="AA197" s="394"/>
      <c r="AB197" s="395"/>
      <c r="AC197" s="395"/>
      <c r="AD197" s="394"/>
      <c r="AE197" s="395"/>
      <c r="AF197" s="317"/>
      <c r="AG197" s="396" t="s">
        <v>2072</v>
      </c>
      <c r="AH197" s="397"/>
      <c r="AI197" s="317">
        <v>6054</v>
      </c>
      <c r="AJ197" s="397">
        <v>44960</v>
      </c>
      <c r="AK197" s="326" t="s">
        <v>889</v>
      </c>
      <c r="AL197" s="326">
        <v>44971</v>
      </c>
      <c r="AM197" s="316"/>
      <c r="AN197" s="305"/>
      <c r="AO197" s="327" t="str">
        <f>_xlfn.IFNA(IF(VLOOKUP(tabItens[[#This Row],[CÓDIGO]],tabExcluirDoEstoque[#Data],1,FALSE),"sim",""),"")</f>
        <v/>
      </c>
      <c r="AP197" s="398" t="str">
        <f ca="1">IF(OR(ISBLANK(tabItens[[#This Row],[ATA DT.VALID.]]),tabItens[[#This Row],[ATA DT.VALID.]]="",tabItens[[#This Row],[ATA DT.VALID.]]=" "),"",IF(TYPE(tabItens[[#This Row],[ATA DT.VALID.]])=1,ROUNDUP((tabItens[[#This Row],[ATA DT.VALID.]]-TODAY())/7,0),""))</f>
        <v/>
      </c>
      <c r="AQ197" s="399">
        <v>0</v>
      </c>
      <c r="AR197" s="400" t="str">
        <f>IF(ISBLANK(tabItens[[#This Row],[CÓDIGO]]),"",IFERROR(VLOOKUP(tabItens[[#This Row],[CÓDIGO]],Consumo!$C$2:$AC$862,26,FALSE),0))</f>
        <v>09.2023</v>
      </c>
      <c r="AS197" s="401">
        <f>SUMIF(Consumo!$C$3:$C$862,tabItens[[#This Row],[CÓDIGO]],Consumo!$N$3:$N$862) + SUMIF(Consumo!$C$3:$C$862,tabItens[[#This Row],[CÓDIGO]],Consumo!$O$3:$O$862) + SUMIF(Consumo!$C$3:$C$862,tabItens[[#This Row],[CÓDIGO]],Consumo!$P$3:$P$862) + SUMIF(Consumo!$C$3:$C$862,tabItens[[#This Row],[CÓDIGO]],Consumo!$Q$3:$Q$862)</f>
        <v>7078</v>
      </c>
      <c r="AT197" s="401">
        <f>SUMIF(Consumo!$C$3:$C$862,tabItens[[#This Row],[CÓDIGO]],Consumo!$Z$3:$Z$862)</f>
        <v>17807</v>
      </c>
      <c r="AU197" s="402">
        <f>SUMIF(Consumo!$C$3:$C$862,tabItens[[#This Row],[CÓDIGO]],Consumo!$AA$3:$AA$862)</f>
        <v>2463</v>
      </c>
      <c r="AV197" s="403">
        <f>SUMIF(Consumo!$C$3:$C$862,tabItens[[#This Row],[CÓDIGO]],Consumo!$Y$3:$Y$862)</f>
        <v>1483.9166666666667</v>
      </c>
      <c r="AW197" s="380">
        <f>tabItens[[#This Row],[QTDE ATUAL]] + tabItens[[#This Row],[RC QTDE]] + tabItens[[#This Row],[AF SALDO]] + tabItens[[#This Row],[Recentes]]</f>
        <v>10908</v>
      </c>
      <c r="AX197" s="404">
        <v>2084</v>
      </c>
      <c r="AY197" s="404">
        <v>4</v>
      </c>
      <c r="AZ197" s="404">
        <f>IF(ISBLANK(tabItens[[#This Row],[CÓDIGO]]),"",tabItens[[#This Row],[PontoMês]] * (AZ$2+tabItens[[#This Row],[PontoQtM]]))</f>
        <v>8336</v>
      </c>
      <c r="BA197" s="403">
        <f>tabItens[[#This Row],[PontoPed]] - tabItens[[#This Row],[Saldo]] + (1/10)</f>
        <v>-2571.9</v>
      </c>
      <c r="BB197" s="403">
        <f xml:space="preserve"> tabItens[[#This Row],[PontoMês]] * BB$2 - tabItens[[#This Row],[QTDE ATUAL]] - (1/10)</f>
        <v>-8824.1</v>
      </c>
      <c r="BC197" s="335">
        <f>IF( tabItens[[#This Row],[PontoPed]]&gt;0, IF(tabItens[[#This Row],[PontoPed]]&lt;1, 1, IF( tabItens[[#This Row],[Saldo]]&gt;tabItens[[#This Row],[PontoPed]], 0, (tabItens[[#This Row],[PontoPed]]-tabItens[[#This Row],[Saldo]])/tabItens[[#This Row],[PontoPed]] ) ), 0 )</f>
        <v>0</v>
      </c>
      <c r="BD197" s="405">
        <f>ROUNDDOWN(IF( OR( AND(tabItens[[#This Row],[PontoPed]]&lt;tabItens[[#This Row],[Saldo]],tabItens[[#This Row],[Saldo]]&gt;0), tabItens[[#This Row],[PontoPed]]=0), 99, IF(AND(tabItens[[#This Row],[Saldo]]=0,tabItens[[#This Row],[PontoPed]]&gt;0), 0, (1-tabItens[[#This Row],[PctAb]])*10 ) ),0)</f>
        <v>99</v>
      </c>
      <c r="BE197" s="406">
        <f>MAX(ROUNDDOWN( IF(tabItens[[#This Row],[Abaixo]] &gt; 0,   tabItens[[#This Row],[Abaixo]] + (tabItens[[#This Row],[PontoMês]] * IF( OR( ISBLANK(tabItens[[#This Row],[ATA Nº/ANO]]), tabItens[[#This Row],[ATA Nº/ANO]] = ""),BE$2,BE$1)),0),0),0)</f>
        <v>0</v>
      </c>
      <c r="BF19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7" s="338">
        <f>SUMIF(Consumo!$C$3:$C$862,tabItens[[#This Row],[CÓDIGO]],Consumo!$E$3:$E$862)</f>
        <v>80</v>
      </c>
      <c r="BH197" s="339">
        <f>IF(AND(tabItens[[#This Row],[Pend]] &gt; 0,tabItens[[#This Row],[Consumo]] &lt;&gt; 0), tabItens[[#This Row],[Pend]] / tabItens[[#This Row],[Consumo]], 0 )</f>
        <v>4.4926152636603585E-3</v>
      </c>
      <c r="BI197" s="338"/>
      <c r="BJ197" s="407"/>
      <c r="BK197" s="408" t="s">
        <v>2086</v>
      </c>
    </row>
    <row r="198" spans="1:63" x14ac:dyDescent="0.3">
      <c r="A198" s="375">
        <v>133843</v>
      </c>
      <c r="B198" s="376" t="s">
        <v>1863</v>
      </c>
      <c r="C198" s="377" t="s">
        <v>380</v>
      </c>
      <c r="D198" s="378">
        <v>0.69</v>
      </c>
      <c r="E198" s="305"/>
      <c r="F198" s="379"/>
      <c r="G198" s="379" t="s">
        <v>889</v>
      </c>
      <c r="H198" s="380">
        <v>0</v>
      </c>
      <c r="I198" s="307">
        <v>103003</v>
      </c>
      <c r="J198" s="308">
        <v>0.69</v>
      </c>
      <c r="K198" s="381">
        <v>10985</v>
      </c>
      <c r="L198" s="382">
        <f>IF(tabItens[[#This Row],[Média]] &gt; 0, tabItens[[#This Row],[QTDE ATUAL]] / tabItens[[#This Row],[Média]],999.9)</f>
        <v>0</v>
      </c>
      <c r="M198" s="383">
        <v>0</v>
      </c>
      <c r="N198" s="384">
        <f>tabItens[[#This Row],[VALOR UNIT.]] * tabItens[[#This Row],[LC]]</f>
        <v>0</v>
      </c>
      <c r="O198" s="385" t="s">
        <v>2088</v>
      </c>
      <c r="P198" s="386"/>
      <c r="Q198" s="387"/>
      <c r="R198" s="312"/>
      <c r="S198" s="388"/>
      <c r="T198" s="389">
        <f>ROUNDDOWN(IFERROR(tabItens[[#This Row],[ATA DT.VALID.]] - $D$1,0) / 30,0)</f>
        <v>-1474</v>
      </c>
      <c r="U198" s="302" t="s">
        <v>947</v>
      </c>
      <c r="V198" s="318">
        <v>1</v>
      </c>
      <c r="W198" s="390" t="s">
        <v>2074</v>
      </c>
      <c r="X198" s="391">
        <v>57</v>
      </c>
      <c r="Y198" s="392">
        <v>16</v>
      </c>
      <c r="Z198" s="393">
        <v>6985</v>
      </c>
      <c r="AA198" s="394">
        <v>2023</v>
      </c>
      <c r="AB198" s="395">
        <v>2200</v>
      </c>
      <c r="AC198" s="395"/>
      <c r="AD198" s="394"/>
      <c r="AE198" s="395"/>
      <c r="AF198" s="317"/>
      <c r="AG198" s="396" t="s">
        <v>2072</v>
      </c>
      <c r="AH198" s="397"/>
      <c r="AI198" s="317">
        <v>6166</v>
      </c>
      <c r="AJ198" s="397">
        <v>44973</v>
      </c>
      <c r="AK198" s="326">
        <v>43074</v>
      </c>
      <c r="AL198" s="326">
        <v>44959</v>
      </c>
      <c r="AM198" s="316"/>
      <c r="AN198" s="305"/>
      <c r="AO198" s="327" t="str">
        <f>_xlfn.IFNA(IF(VLOOKUP(tabItens[[#This Row],[CÓDIGO]],tabExcluirDoEstoque[#Data],1,FALSE),"sim",""),"")</f>
        <v/>
      </c>
      <c r="AP198" s="398" t="str">
        <f ca="1">IF(OR(ISBLANK(tabItens[[#This Row],[ATA DT.VALID.]]),tabItens[[#This Row],[ATA DT.VALID.]]="",tabItens[[#This Row],[ATA DT.VALID.]]=" "),"",IF(TYPE(tabItens[[#This Row],[ATA DT.VALID.]])=1,ROUNDUP((tabItens[[#This Row],[ATA DT.VALID.]]-TODAY())/7,0),""))</f>
        <v/>
      </c>
      <c r="AQ198" s="399">
        <v>0</v>
      </c>
      <c r="AR198" s="400" t="str">
        <f>IF(ISBLANK(tabItens[[#This Row],[CÓDIGO]]),"",IFERROR(VLOOKUP(tabItens[[#This Row],[CÓDIGO]],Consumo!$C$2:$AC$862,26,FALSE),0))</f>
        <v>09.2023</v>
      </c>
      <c r="AS198" s="401">
        <f>SUMIF(Consumo!$C$3:$C$862,tabItens[[#This Row],[CÓDIGO]],Consumo!$N$3:$N$862) + SUMIF(Consumo!$C$3:$C$862,tabItens[[#This Row],[CÓDIGO]],Consumo!$O$3:$O$862) + SUMIF(Consumo!$C$3:$C$862,tabItens[[#This Row],[CÓDIGO]],Consumo!$P$3:$P$862) + SUMIF(Consumo!$C$3:$C$862,tabItens[[#This Row],[CÓDIGO]],Consumo!$Q$3:$Q$862)</f>
        <v>6709</v>
      </c>
      <c r="AT198" s="401">
        <f>SUMIF(Consumo!$C$3:$C$862,tabItens[[#This Row],[CÓDIGO]],Consumo!$Z$3:$Z$862)</f>
        <v>18517</v>
      </c>
      <c r="AU198" s="402">
        <f>SUMIF(Consumo!$C$3:$C$862,tabItens[[#This Row],[CÓDIGO]],Consumo!$AA$3:$AA$862)</f>
        <v>2310</v>
      </c>
      <c r="AV198" s="403">
        <f>SUMIF(Consumo!$C$3:$C$862,tabItens[[#This Row],[CÓDIGO]],Consumo!$Y$3:$Y$862)</f>
        <v>1543.0833333333333</v>
      </c>
      <c r="AW198" s="380">
        <f>tabItens[[#This Row],[QTDE ATUAL]] + tabItens[[#This Row],[RC QTDE]] + tabItens[[#This Row],[AF SALDO]] + tabItens[[#This Row],[Recentes]]</f>
        <v>2200</v>
      </c>
      <c r="AX198" s="404">
        <v>2084</v>
      </c>
      <c r="AY198" s="404">
        <v>4</v>
      </c>
      <c r="AZ198" s="404">
        <f>IF(ISBLANK(tabItens[[#This Row],[CÓDIGO]]),"",tabItens[[#This Row],[PontoMês]] * (AZ$2+tabItens[[#This Row],[PontoQtM]]))</f>
        <v>8336</v>
      </c>
      <c r="BA198" s="403">
        <f>tabItens[[#This Row],[PontoPed]] - tabItens[[#This Row],[Saldo]] + (1/10)</f>
        <v>6136.1</v>
      </c>
      <c r="BB198" s="403">
        <f xml:space="preserve"> tabItens[[#This Row],[PontoMês]] * BB$2 - tabItens[[#This Row],[QTDE ATUAL]] - (1/10)</f>
        <v>2083.9</v>
      </c>
      <c r="BC198" s="335">
        <f>IF( tabItens[[#This Row],[PontoPed]]&gt;0, IF(tabItens[[#This Row],[PontoPed]]&lt;1, 1, IF( tabItens[[#This Row],[Saldo]]&gt;tabItens[[#This Row],[PontoPed]], 0, (tabItens[[#This Row],[PontoPed]]-tabItens[[#This Row],[Saldo]])/tabItens[[#This Row],[PontoPed]] ) ), 0 )</f>
        <v>0.73608445297504799</v>
      </c>
      <c r="BD198" s="405">
        <f>ROUNDDOWN(IF( OR( AND(tabItens[[#This Row],[PontoPed]]&lt;tabItens[[#This Row],[Saldo]],tabItens[[#This Row],[Saldo]]&gt;0), tabItens[[#This Row],[PontoPed]]=0), 99, IF(AND(tabItens[[#This Row],[Saldo]]=0,tabItens[[#This Row],[PontoPed]]&gt;0), 0, (1-tabItens[[#This Row],[PctAb]])*10 ) ),0)</f>
        <v>2</v>
      </c>
      <c r="BE198" s="406">
        <f>MAX(ROUNDDOWN( IF(tabItens[[#This Row],[Abaixo]] &gt; 0,   tabItens[[#This Row],[Abaixo]] + (tabItens[[#This Row],[PontoMês]] * IF( OR( ISBLANK(tabItens[[#This Row],[ATA Nº/ANO]]), tabItens[[#This Row],[ATA Nº/ANO]] = ""),BE$2,BE$1)),0),0),0)</f>
        <v>12388</v>
      </c>
      <c r="BF19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8" s="338">
        <f>SUMIF(Consumo!$C$3:$C$862,tabItens[[#This Row],[CÓDIGO]],Consumo!$E$3:$E$862)</f>
        <v>20</v>
      </c>
      <c r="BH198" s="339">
        <f>IF(AND(tabItens[[#This Row],[Pend]] &gt; 0,tabItens[[#This Row],[Consumo]] &lt;&gt; 0), tabItens[[#This Row],[Pend]] / tabItens[[#This Row],[Consumo]], 0 )</f>
        <v>1.0800885672625155E-3</v>
      </c>
      <c r="BI198" s="338"/>
      <c r="BJ198" s="407"/>
      <c r="BK198" s="408" t="s">
        <v>2086</v>
      </c>
    </row>
    <row r="199" spans="1:63" x14ac:dyDescent="0.3">
      <c r="A199" s="375">
        <v>133844</v>
      </c>
      <c r="B199" s="376" t="s">
        <v>1864</v>
      </c>
      <c r="C199" s="377" t="s">
        <v>380</v>
      </c>
      <c r="D199" s="378">
        <v>0.69</v>
      </c>
      <c r="E199" s="305"/>
      <c r="F199" s="379"/>
      <c r="G199" s="379" t="s">
        <v>889</v>
      </c>
      <c r="H199" s="380">
        <v>0</v>
      </c>
      <c r="I199" s="307">
        <v>103003</v>
      </c>
      <c r="J199" s="308">
        <v>0.69</v>
      </c>
      <c r="K199" s="381">
        <v>11806</v>
      </c>
      <c r="L199" s="382">
        <f>IF(tabItens[[#This Row],[Média]] &gt; 0, tabItens[[#This Row],[QTDE ATUAL]] / tabItens[[#This Row],[Média]],999.9)</f>
        <v>0</v>
      </c>
      <c r="M199" s="383">
        <v>0</v>
      </c>
      <c r="N199" s="384">
        <f>tabItens[[#This Row],[VALOR UNIT.]] * tabItens[[#This Row],[LC]]</f>
        <v>0</v>
      </c>
      <c r="O199" s="385" t="s">
        <v>2088</v>
      </c>
      <c r="P199" s="386"/>
      <c r="Q199" s="387"/>
      <c r="R199" s="312"/>
      <c r="S199" s="388"/>
      <c r="T199" s="389">
        <f>ROUNDDOWN(IFERROR(tabItens[[#This Row],[ATA DT.VALID.]] - $D$1,0) / 30,0)</f>
        <v>-1474</v>
      </c>
      <c r="U199" s="302" t="s">
        <v>947</v>
      </c>
      <c r="V199" s="318">
        <v>1</v>
      </c>
      <c r="W199" s="390" t="s">
        <v>2074</v>
      </c>
      <c r="X199" s="391">
        <v>57</v>
      </c>
      <c r="Y199" s="392">
        <v>16</v>
      </c>
      <c r="Z199" s="393">
        <v>6985</v>
      </c>
      <c r="AA199" s="394">
        <v>2023</v>
      </c>
      <c r="AB199" s="395">
        <v>4300</v>
      </c>
      <c r="AC199" s="395"/>
      <c r="AD199" s="394"/>
      <c r="AE199" s="395"/>
      <c r="AF199" s="317"/>
      <c r="AG199" s="396" t="s">
        <v>2072</v>
      </c>
      <c r="AH199" s="397"/>
      <c r="AI199" s="317">
        <v>6048</v>
      </c>
      <c r="AJ199" s="397">
        <v>44973</v>
      </c>
      <c r="AK199" s="326">
        <v>43074</v>
      </c>
      <c r="AL199" s="326">
        <v>44959</v>
      </c>
      <c r="AM199" s="316"/>
      <c r="AN199" s="305"/>
      <c r="AO199" s="327" t="str">
        <f>_xlfn.IFNA(IF(VLOOKUP(tabItens[[#This Row],[CÓDIGO]],tabExcluirDoEstoque[#Data],1,FALSE),"sim",""),"")</f>
        <v/>
      </c>
      <c r="AP199" s="398" t="str">
        <f ca="1">IF(OR(ISBLANK(tabItens[[#This Row],[ATA DT.VALID.]]),tabItens[[#This Row],[ATA DT.VALID.]]="",tabItens[[#This Row],[ATA DT.VALID.]]=" "),"",IF(TYPE(tabItens[[#This Row],[ATA DT.VALID.]])=1,ROUNDUP((tabItens[[#This Row],[ATA DT.VALID.]]-TODAY())/7,0),""))</f>
        <v/>
      </c>
      <c r="AQ199" s="399">
        <v>0</v>
      </c>
      <c r="AR199" s="400" t="str">
        <f>IF(ISBLANK(tabItens[[#This Row],[CÓDIGO]]),"",IFERROR(VLOOKUP(tabItens[[#This Row],[CÓDIGO]],Consumo!$C$2:$AC$862,26,FALSE),0))</f>
        <v>09.2023</v>
      </c>
      <c r="AS199" s="401">
        <f>SUMIF(Consumo!$C$3:$C$862,tabItens[[#This Row],[CÓDIGO]],Consumo!$N$3:$N$862) + SUMIF(Consumo!$C$3:$C$862,tabItens[[#This Row],[CÓDIGO]],Consumo!$O$3:$O$862) + SUMIF(Consumo!$C$3:$C$862,tabItens[[#This Row],[CÓDIGO]],Consumo!$P$3:$P$862) + SUMIF(Consumo!$C$3:$C$862,tabItens[[#This Row],[CÓDIGO]],Consumo!$Q$3:$Q$862)</f>
        <v>5713</v>
      </c>
      <c r="AT199" s="401">
        <f>SUMIF(Consumo!$C$3:$C$862,tabItens[[#This Row],[CÓDIGO]],Consumo!$Z$3:$Z$862)</f>
        <v>19106</v>
      </c>
      <c r="AU199" s="402">
        <f>SUMIF(Consumo!$C$3:$C$862,tabItens[[#This Row],[CÓDIGO]],Consumo!$AA$3:$AA$862)</f>
        <v>2515</v>
      </c>
      <c r="AV199" s="403">
        <f>SUMIF(Consumo!$C$3:$C$862,tabItens[[#This Row],[CÓDIGO]],Consumo!$Y$3:$Y$862)</f>
        <v>1592.1666666666667</v>
      </c>
      <c r="AW199" s="380">
        <f>tabItens[[#This Row],[QTDE ATUAL]] + tabItens[[#This Row],[RC QTDE]] + tabItens[[#This Row],[AF SALDO]] + tabItens[[#This Row],[Recentes]]</f>
        <v>4300</v>
      </c>
      <c r="AX199" s="404">
        <v>2084</v>
      </c>
      <c r="AY199" s="404">
        <v>4</v>
      </c>
      <c r="AZ199" s="404">
        <f>IF(ISBLANK(tabItens[[#This Row],[CÓDIGO]]),"",tabItens[[#This Row],[PontoMês]] * (AZ$2+tabItens[[#This Row],[PontoQtM]]))</f>
        <v>8336</v>
      </c>
      <c r="BA199" s="403">
        <f>tabItens[[#This Row],[PontoPed]] - tabItens[[#This Row],[Saldo]] + (1/10)</f>
        <v>4036.1</v>
      </c>
      <c r="BB199" s="403">
        <f xml:space="preserve"> tabItens[[#This Row],[PontoMês]] * BB$2 - tabItens[[#This Row],[QTDE ATUAL]] - (1/10)</f>
        <v>2083.9</v>
      </c>
      <c r="BC199" s="335">
        <f>IF( tabItens[[#This Row],[PontoPed]]&gt;0, IF(tabItens[[#This Row],[PontoPed]]&lt;1, 1, IF( tabItens[[#This Row],[Saldo]]&gt;tabItens[[#This Row],[PontoPed]], 0, (tabItens[[#This Row],[PontoPed]]-tabItens[[#This Row],[Saldo]])/tabItens[[#This Row],[PontoPed]] ) ), 0 )</f>
        <v>0.48416506717850288</v>
      </c>
      <c r="BD199" s="405">
        <f>ROUNDDOWN(IF( OR( AND(tabItens[[#This Row],[PontoPed]]&lt;tabItens[[#This Row],[Saldo]],tabItens[[#This Row],[Saldo]]&gt;0), tabItens[[#This Row],[PontoPed]]=0), 99, IF(AND(tabItens[[#This Row],[Saldo]]=0,tabItens[[#This Row],[PontoPed]]&gt;0), 0, (1-tabItens[[#This Row],[PctAb]])*10 ) ),0)</f>
        <v>5</v>
      </c>
      <c r="BE199" s="406">
        <f>MAX(ROUNDDOWN( IF(tabItens[[#This Row],[Abaixo]] &gt; 0,   tabItens[[#This Row],[Abaixo]] + (tabItens[[#This Row],[PontoMês]] * IF( OR( ISBLANK(tabItens[[#This Row],[ATA Nº/ANO]]), tabItens[[#This Row],[ATA Nº/ANO]] = ""),BE$2,BE$1)),0),0),0)</f>
        <v>10288</v>
      </c>
      <c r="BF19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9" s="338">
        <f>SUMIF(Consumo!$C$3:$C$862,tabItens[[#This Row],[CÓDIGO]],Consumo!$E$3:$E$862)</f>
        <v>965</v>
      </c>
      <c r="BH199" s="339">
        <f>IF(AND(tabItens[[#This Row],[Pend]] &gt; 0,tabItens[[#This Row],[Consumo]] &lt;&gt; 0), tabItens[[#This Row],[Pend]] / tabItens[[#This Row],[Consumo]], 0 )</f>
        <v>5.0507693918140896E-2</v>
      </c>
      <c r="BI199" s="338"/>
      <c r="BJ199" s="407"/>
      <c r="BK199" s="408" t="s">
        <v>2086</v>
      </c>
    </row>
    <row r="200" spans="1:63" x14ac:dyDescent="0.3">
      <c r="A200" s="375">
        <v>133845</v>
      </c>
      <c r="B200" s="376" t="s">
        <v>1865</v>
      </c>
      <c r="C200" s="377" t="s">
        <v>380</v>
      </c>
      <c r="D200" s="378">
        <v>0.69</v>
      </c>
      <c r="E200" s="305"/>
      <c r="F200" s="379"/>
      <c r="G200" s="379" t="s">
        <v>889</v>
      </c>
      <c r="H200" s="380">
        <v>1230</v>
      </c>
      <c r="I200" s="307">
        <v>103003</v>
      </c>
      <c r="J200" s="308">
        <v>0.69</v>
      </c>
      <c r="K200" s="381">
        <v>10600</v>
      </c>
      <c r="L200" s="382">
        <f>IF(tabItens[[#This Row],[Média]] &gt; 0, tabItens[[#This Row],[QTDE ATUAL]] / tabItens[[#This Row],[Média]],999.9)</f>
        <v>0.84045097369320121</v>
      </c>
      <c r="M200" s="383">
        <v>0</v>
      </c>
      <c r="N200" s="384">
        <f>tabItens[[#This Row],[VALOR UNIT.]] * tabItens[[#This Row],[LC]]</f>
        <v>0</v>
      </c>
      <c r="O200" s="385" t="s">
        <v>2088</v>
      </c>
      <c r="P200" s="386"/>
      <c r="Q200" s="387"/>
      <c r="R200" s="312"/>
      <c r="S200" s="388"/>
      <c r="T200" s="389">
        <f>ROUNDDOWN(IFERROR(tabItens[[#This Row],[ATA DT.VALID.]] - $D$1,0) / 30,0)</f>
        <v>-1474</v>
      </c>
      <c r="U200" s="302" t="s">
        <v>947</v>
      </c>
      <c r="V200" s="318">
        <v>1</v>
      </c>
      <c r="W200" s="390" t="s">
        <v>2074</v>
      </c>
      <c r="X200" s="391">
        <v>57</v>
      </c>
      <c r="Y200" s="392">
        <v>16</v>
      </c>
      <c r="Z200" s="393">
        <v>6216</v>
      </c>
      <c r="AA200" s="394">
        <v>2023</v>
      </c>
      <c r="AB200" s="395">
        <v>1000</v>
      </c>
      <c r="AC200" s="395"/>
      <c r="AD200" s="394"/>
      <c r="AE200" s="395"/>
      <c r="AF200" s="317"/>
      <c r="AG200" s="396" t="s">
        <v>2072</v>
      </c>
      <c r="AH200" s="397"/>
      <c r="AI200" s="317">
        <v>5874</v>
      </c>
      <c r="AJ200" s="397">
        <v>44973</v>
      </c>
      <c r="AK200" s="326">
        <v>43074</v>
      </c>
      <c r="AL200" s="326">
        <v>44959</v>
      </c>
      <c r="AM200" s="316"/>
      <c r="AN200" s="305"/>
      <c r="AO200" s="327" t="str">
        <f>_xlfn.IFNA(IF(VLOOKUP(tabItens[[#This Row],[CÓDIGO]],tabExcluirDoEstoque[#Data],1,FALSE),"sim",""),"")</f>
        <v/>
      </c>
      <c r="AP200" s="398" t="str">
        <f ca="1">IF(OR(ISBLANK(tabItens[[#This Row],[ATA DT.VALID.]]),tabItens[[#This Row],[ATA DT.VALID.]]="",tabItens[[#This Row],[ATA DT.VALID.]]=" "),"",IF(TYPE(tabItens[[#This Row],[ATA DT.VALID.]])=1,ROUNDUP((tabItens[[#This Row],[ATA DT.VALID.]]-TODAY())/7,0),""))</f>
        <v/>
      </c>
      <c r="AQ200" s="399">
        <v>0</v>
      </c>
      <c r="AR200" s="400" t="str">
        <f>IF(ISBLANK(tabItens[[#This Row],[CÓDIGO]]),"",IFERROR(VLOOKUP(tabItens[[#This Row],[CÓDIGO]],Consumo!$C$2:$AC$862,26,FALSE),0))</f>
        <v>09.2023</v>
      </c>
      <c r="AS200" s="401">
        <f>SUMIF(Consumo!$C$3:$C$862,tabItens[[#This Row],[CÓDIGO]],Consumo!$N$3:$N$862) + SUMIF(Consumo!$C$3:$C$862,tabItens[[#This Row],[CÓDIGO]],Consumo!$O$3:$O$862) + SUMIF(Consumo!$C$3:$C$862,tabItens[[#This Row],[CÓDIGO]],Consumo!$P$3:$P$862) + SUMIF(Consumo!$C$3:$C$862,tabItens[[#This Row],[CÓDIGO]],Consumo!$Q$3:$Q$862)</f>
        <v>6400</v>
      </c>
      <c r="AT200" s="401">
        <f>SUMIF(Consumo!$C$3:$C$862,tabItens[[#This Row],[CÓDIGO]],Consumo!$Z$3:$Z$862)</f>
        <v>17562</v>
      </c>
      <c r="AU200" s="402">
        <f>SUMIF(Consumo!$C$3:$C$862,tabItens[[#This Row],[CÓDIGO]],Consumo!$AA$3:$AA$862)</f>
        <v>2325</v>
      </c>
      <c r="AV200" s="403">
        <f>SUMIF(Consumo!$C$3:$C$862,tabItens[[#This Row],[CÓDIGO]],Consumo!$Y$3:$Y$862)</f>
        <v>1463.5</v>
      </c>
      <c r="AW200" s="380">
        <f>tabItens[[#This Row],[QTDE ATUAL]] + tabItens[[#This Row],[RC QTDE]] + tabItens[[#This Row],[AF SALDO]] + tabItens[[#This Row],[Recentes]]</f>
        <v>2230</v>
      </c>
      <c r="AX200" s="404">
        <v>2084</v>
      </c>
      <c r="AY200" s="404">
        <v>4</v>
      </c>
      <c r="AZ200" s="404">
        <f>IF(ISBLANK(tabItens[[#This Row],[CÓDIGO]]),"",tabItens[[#This Row],[PontoMês]] * (AZ$2+tabItens[[#This Row],[PontoQtM]]))</f>
        <v>8336</v>
      </c>
      <c r="BA200" s="403">
        <f>tabItens[[#This Row],[PontoPed]] - tabItens[[#This Row],[Saldo]] + (1/10)</f>
        <v>6106.1</v>
      </c>
      <c r="BB200" s="403">
        <f xml:space="preserve"> tabItens[[#This Row],[PontoMês]] * BB$2 - tabItens[[#This Row],[QTDE ATUAL]] - (1/10)</f>
        <v>853.9</v>
      </c>
      <c r="BC200" s="335">
        <f>IF( tabItens[[#This Row],[PontoPed]]&gt;0, IF(tabItens[[#This Row],[PontoPed]]&lt;1, 1, IF( tabItens[[#This Row],[Saldo]]&gt;tabItens[[#This Row],[PontoPed]], 0, (tabItens[[#This Row],[PontoPed]]-tabItens[[#This Row],[Saldo]])/tabItens[[#This Row],[PontoPed]] ) ), 0 )</f>
        <v>0.7324856046065259</v>
      </c>
      <c r="BD200" s="405">
        <f>ROUNDDOWN(IF( OR( AND(tabItens[[#This Row],[PontoPed]]&lt;tabItens[[#This Row],[Saldo]],tabItens[[#This Row],[Saldo]]&gt;0), tabItens[[#This Row],[PontoPed]]=0), 99, IF(AND(tabItens[[#This Row],[Saldo]]=0,tabItens[[#This Row],[PontoPed]]&gt;0), 0, (1-tabItens[[#This Row],[PctAb]])*10 ) ),0)</f>
        <v>2</v>
      </c>
      <c r="BE200" s="406">
        <f>MAX(ROUNDDOWN( IF(tabItens[[#This Row],[Abaixo]] &gt; 0,   tabItens[[#This Row],[Abaixo]] + (tabItens[[#This Row],[PontoMês]] * IF( OR( ISBLANK(tabItens[[#This Row],[ATA Nº/ANO]]), tabItens[[#This Row],[ATA Nº/ANO]] = ""),BE$2,BE$1)),0),0),0)</f>
        <v>12358</v>
      </c>
      <c r="BF20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0" s="338">
        <f>SUMIF(Consumo!$C$3:$C$862,tabItens[[#This Row],[CÓDIGO]],Consumo!$E$3:$E$862)</f>
        <v>15</v>
      </c>
      <c r="BH200" s="339">
        <f>IF(AND(tabItens[[#This Row],[Pend]] &gt; 0,tabItens[[#This Row],[Consumo]] &lt;&gt; 0), tabItens[[#This Row],[Pend]] / tabItens[[#This Row],[Consumo]], 0 )</f>
        <v>8.5411684318414764E-4</v>
      </c>
      <c r="BI200" s="338"/>
      <c r="BJ200" s="407"/>
      <c r="BK200" s="408" t="s">
        <v>2086</v>
      </c>
    </row>
    <row r="201" spans="1:63" x14ac:dyDescent="0.3">
      <c r="A201" s="375">
        <v>133846</v>
      </c>
      <c r="B201" s="376" t="s">
        <v>1866</v>
      </c>
      <c r="C201" s="377" t="s">
        <v>380</v>
      </c>
      <c r="D201" s="378">
        <v>0.53</v>
      </c>
      <c r="E201" s="305"/>
      <c r="F201" s="379"/>
      <c r="G201" s="379" t="s">
        <v>889</v>
      </c>
      <c r="H201" s="380">
        <v>0</v>
      </c>
      <c r="I201" s="307">
        <v>103003</v>
      </c>
      <c r="J201" s="308">
        <v>0.53</v>
      </c>
      <c r="K201" s="381">
        <v>8799</v>
      </c>
      <c r="L201" s="382">
        <f>IF(tabItens[[#This Row],[Média]] &gt; 0, tabItens[[#This Row],[QTDE ATUAL]] / tabItens[[#This Row],[Média]],999.9)</f>
        <v>0</v>
      </c>
      <c r="M201" s="383">
        <v>0</v>
      </c>
      <c r="N201" s="384">
        <f>tabItens[[#This Row],[VALOR UNIT.]] * tabItens[[#This Row],[LC]]</f>
        <v>0</v>
      </c>
      <c r="O201" s="385" t="s">
        <v>2088</v>
      </c>
      <c r="P201" s="386"/>
      <c r="Q201" s="387"/>
      <c r="R201" s="312"/>
      <c r="S201" s="388"/>
      <c r="T201" s="389">
        <f>ROUNDDOWN(IFERROR(tabItens[[#This Row],[ATA DT.VALID.]] - $D$1,0) / 30,0)</f>
        <v>-1474</v>
      </c>
      <c r="U201" s="302" t="s">
        <v>947</v>
      </c>
      <c r="V201" s="318">
        <v>1</v>
      </c>
      <c r="W201" s="390" t="s">
        <v>2074</v>
      </c>
      <c r="X201" s="391">
        <v>57</v>
      </c>
      <c r="Y201" s="392">
        <v>16</v>
      </c>
      <c r="Z201" s="393">
        <v>6984</v>
      </c>
      <c r="AA201" s="394">
        <v>2023</v>
      </c>
      <c r="AB201" s="395">
        <v>4500</v>
      </c>
      <c r="AC201" s="395"/>
      <c r="AD201" s="394"/>
      <c r="AE201" s="395"/>
      <c r="AF201" s="317"/>
      <c r="AG201" s="396" t="s">
        <v>2072</v>
      </c>
      <c r="AH201" s="397"/>
      <c r="AI201" s="317">
        <v>4424</v>
      </c>
      <c r="AJ201" s="397">
        <v>44441</v>
      </c>
      <c r="AK201" s="326">
        <v>43074</v>
      </c>
      <c r="AL201" s="326">
        <v>44412</v>
      </c>
      <c r="AM201" s="316"/>
      <c r="AN201" s="305"/>
      <c r="AO201" s="327" t="str">
        <f>_xlfn.IFNA(IF(VLOOKUP(tabItens[[#This Row],[CÓDIGO]],tabExcluirDoEstoque[#Data],1,FALSE),"sim",""),"")</f>
        <v/>
      </c>
      <c r="AP201" s="398" t="str">
        <f ca="1">IF(OR(ISBLANK(tabItens[[#This Row],[ATA DT.VALID.]]),tabItens[[#This Row],[ATA DT.VALID.]]="",tabItens[[#This Row],[ATA DT.VALID.]]=" "),"",IF(TYPE(tabItens[[#This Row],[ATA DT.VALID.]])=1,ROUNDUP((tabItens[[#This Row],[ATA DT.VALID.]]-TODAY())/7,0),""))</f>
        <v/>
      </c>
      <c r="AQ201" s="399">
        <v>0</v>
      </c>
      <c r="AR201" s="400" t="str">
        <f>IF(ISBLANK(tabItens[[#This Row],[CÓDIGO]]),"",IFERROR(VLOOKUP(tabItens[[#This Row],[CÓDIGO]],Consumo!$C$2:$AC$862,26,FALSE),0))</f>
        <v>08.2023</v>
      </c>
      <c r="AS201" s="401">
        <f>SUMIF(Consumo!$C$3:$C$862,tabItens[[#This Row],[CÓDIGO]],Consumo!$N$3:$N$862) + SUMIF(Consumo!$C$3:$C$862,tabItens[[#This Row],[CÓDIGO]],Consumo!$O$3:$O$862) + SUMIF(Consumo!$C$3:$C$862,tabItens[[#This Row],[CÓDIGO]],Consumo!$P$3:$P$862) + SUMIF(Consumo!$C$3:$C$862,tabItens[[#This Row],[CÓDIGO]],Consumo!$Q$3:$Q$862)</f>
        <v>3290</v>
      </c>
      <c r="AT201" s="401">
        <f>SUMIF(Consumo!$C$3:$C$862,tabItens[[#This Row],[CÓDIGO]],Consumo!$Z$3:$Z$862)</f>
        <v>13774</v>
      </c>
      <c r="AU201" s="402">
        <f>SUMIF(Consumo!$C$3:$C$862,tabItens[[#This Row],[CÓDIGO]],Consumo!$AA$3:$AA$862)</f>
        <v>2025</v>
      </c>
      <c r="AV201" s="403">
        <f>SUMIF(Consumo!$C$3:$C$862,tabItens[[#This Row],[CÓDIGO]],Consumo!$Y$3:$Y$862)</f>
        <v>1147.8333333333333</v>
      </c>
      <c r="AW201" s="380">
        <f>tabItens[[#This Row],[QTDE ATUAL]] + tabItens[[#This Row],[RC QTDE]] + tabItens[[#This Row],[AF SALDO]] + tabItens[[#This Row],[Recentes]]</f>
        <v>4500</v>
      </c>
      <c r="AX201" s="404">
        <v>2084</v>
      </c>
      <c r="AY201" s="404">
        <v>4</v>
      </c>
      <c r="AZ201" s="404">
        <f>IF(ISBLANK(tabItens[[#This Row],[CÓDIGO]]),"",tabItens[[#This Row],[PontoMês]] * (AZ$2+tabItens[[#This Row],[PontoQtM]]))</f>
        <v>8336</v>
      </c>
      <c r="BA201" s="403">
        <f>tabItens[[#This Row],[PontoPed]] - tabItens[[#This Row],[Saldo]] + (1/10)</f>
        <v>3836.1</v>
      </c>
      <c r="BB201" s="403">
        <f xml:space="preserve"> tabItens[[#This Row],[PontoMês]] * BB$2 - tabItens[[#This Row],[QTDE ATUAL]] - (1/10)</f>
        <v>2083.9</v>
      </c>
      <c r="BC201" s="335">
        <f>IF( tabItens[[#This Row],[PontoPed]]&gt;0, IF(tabItens[[#This Row],[PontoPed]]&lt;1, 1, IF( tabItens[[#This Row],[Saldo]]&gt;tabItens[[#This Row],[PontoPed]], 0, (tabItens[[#This Row],[PontoPed]]-tabItens[[#This Row],[Saldo]])/tabItens[[#This Row],[PontoPed]] ) ), 0 )</f>
        <v>0.46017274472168906</v>
      </c>
      <c r="BD201" s="405">
        <f>ROUNDDOWN(IF( OR( AND(tabItens[[#This Row],[PontoPed]]&lt;tabItens[[#This Row],[Saldo]],tabItens[[#This Row],[Saldo]]&gt;0), tabItens[[#This Row],[PontoPed]]=0), 99, IF(AND(tabItens[[#This Row],[Saldo]]=0,tabItens[[#This Row],[PontoPed]]&gt;0), 0, (1-tabItens[[#This Row],[PctAb]])*10 ) ),0)</f>
        <v>5</v>
      </c>
      <c r="BE201" s="406">
        <f>MAX(ROUNDDOWN( IF(tabItens[[#This Row],[Abaixo]] &gt; 0,   tabItens[[#This Row],[Abaixo]] + (tabItens[[#This Row],[PontoMês]] * IF( OR( ISBLANK(tabItens[[#This Row],[ATA Nº/ANO]]), tabItens[[#This Row],[ATA Nº/ANO]] = ""),BE$2,BE$1)),0),0),0)</f>
        <v>10088</v>
      </c>
      <c r="BF20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1" s="338">
        <f>SUMIF(Consumo!$C$3:$C$862,tabItens[[#This Row],[CÓDIGO]],Consumo!$E$3:$E$862)</f>
        <v>545</v>
      </c>
      <c r="BH201" s="339">
        <f>IF(AND(tabItens[[#This Row],[Pend]] &gt; 0,tabItens[[#This Row],[Consumo]] &lt;&gt; 0), tabItens[[#This Row],[Pend]] / tabItens[[#This Row],[Consumo]], 0 )</f>
        <v>3.9567300711485405E-2</v>
      </c>
      <c r="BI201" s="338"/>
      <c r="BJ201" s="407"/>
      <c r="BK201" s="408" t="s">
        <v>2086</v>
      </c>
    </row>
    <row r="202" spans="1:63" x14ac:dyDescent="0.3">
      <c r="A202" s="375">
        <v>133847</v>
      </c>
      <c r="B202" s="376" t="s">
        <v>1867</v>
      </c>
      <c r="C202" s="377" t="s">
        <v>380</v>
      </c>
      <c r="D202" s="378">
        <v>0.69</v>
      </c>
      <c r="E202" s="305"/>
      <c r="F202" s="379"/>
      <c r="G202" s="379" t="s">
        <v>889</v>
      </c>
      <c r="H202" s="380">
        <v>0</v>
      </c>
      <c r="I202" s="307">
        <v>103003</v>
      </c>
      <c r="J202" s="308">
        <v>0.69</v>
      </c>
      <c r="K202" s="381">
        <v>12070</v>
      </c>
      <c r="L202" s="382">
        <f>IF(tabItens[[#This Row],[Média]] &gt; 0, tabItens[[#This Row],[QTDE ATUAL]] / tabItens[[#This Row],[Média]],999.9)</f>
        <v>0</v>
      </c>
      <c r="M202" s="383">
        <v>0</v>
      </c>
      <c r="N202" s="384">
        <f>tabItens[[#This Row],[VALOR UNIT.]] * tabItens[[#This Row],[LC]]</f>
        <v>0</v>
      </c>
      <c r="O202" s="385" t="s">
        <v>2088</v>
      </c>
      <c r="P202" s="386"/>
      <c r="Q202" s="387"/>
      <c r="R202" s="312"/>
      <c r="S202" s="388"/>
      <c r="T202" s="389">
        <f>ROUNDDOWN(IFERROR(tabItens[[#This Row],[ATA DT.VALID.]] - $D$1,0) / 30,0)</f>
        <v>-1474</v>
      </c>
      <c r="U202" s="302" t="s">
        <v>947</v>
      </c>
      <c r="V202" s="318">
        <v>1</v>
      </c>
      <c r="W202" s="390" t="s">
        <v>2074</v>
      </c>
      <c r="X202" s="391">
        <v>57</v>
      </c>
      <c r="Y202" s="392">
        <v>16</v>
      </c>
      <c r="Z202" s="393">
        <v>6984</v>
      </c>
      <c r="AA202" s="394">
        <v>2023</v>
      </c>
      <c r="AB202" s="395">
        <v>6500</v>
      </c>
      <c r="AC202" s="395"/>
      <c r="AD202" s="394"/>
      <c r="AE202" s="395"/>
      <c r="AF202" s="317"/>
      <c r="AG202" s="396" t="s">
        <v>2072</v>
      </c>
      <c r="AH202" s="397"/>
      <c r="AI202" s="317">
        <v>4936</v>
      </c>
      <c r="AJ202" s="397">
        <v>44970</v>
      </c>
      <c r="AK202" s="326">
        <v>43074</v>
      </c>
      <c r="AL202" s="326">
        <v>44910</v>
      </c>
      <c r="AM202" s="316"/>
      <c r="AN202" s="305"/>
      <c r="AO202" s="327" t="str">
        <f>_xlfn.IFNA(IF(VLOOKUP(tabItens[[#This Row],[CÓDIGO]],tabExcluirDoEstoque[#Data],1,FALSE),"sim",""),"")</f>
        <v/>
      </c>
      <c r="AP202" s="398" t="str">
        <f ca="1">IF(OR(ISBLANK(tabItens[[#This Row],[ATA DT.VALID.]]),tabItens[[#This Row],[ATA DT.VALID.]]="",tabItens[[#This Row],[ATA DT.VALID.]]=" "),"",IF(TYPE(tabItens[[#This Row],[ATA DT.VALID.]])=1,ROUNDUP((tabItens[[#This Row],[ATA DT.VALID.]]-TODAY())/7,0),""))</f>
        <v/>
      </c>
      <c r="AQ202" s="399">
        <v>0</v>
      </c>
      <c r="AR202" s="400" t="str">
        <f>IF(ISBLANK(tabItens[[#This Row],[CÓDIGO]]),"",IFERROR(VLOOKUP(tabItens[[#This Row],[CÓDIGO]],Consumo!$C$2:$AC$862,26,FALSE),0))</f>
        <v>08.2023</v>
      </c>
      <c r="AS202" s="401">
        <f>SUMIF(Consumo!$C$3:$C$862,tabItens[[#This Row],[CÓDIGO]],Consumo!$N$3:$N$862) + SUMIF(Consumo!$C$3:$C$862,tabItens[[#This Row],[CÓDIGO]],Consumo!$O$3:$O$862) + SUMIF(Consumo!$C$3:$C$862,tabItens[[#This Row],[CÓDIGO]],Consumo!$P$3:$P$862) + SUMIF(Consumo!$C$3:$C$862,tabItens[[#This Row],[CÓDIGO]],Consumo!$Q$3:$Q$862)</f>
        <v>3580</v>
      </c>
      <c r="AT202" s="401">
        <f>SUMIF(Consumo!$C$3:$C$862,tabItens[[#This Row],[CÓDIGO]],Consumo!$Z$3:$Z$862)</f>
        <v>16172</v>
      </c>
      <c r="AU202" s="402">
        <f>SUMIF(Consumo!$C$3:$C$862,tabItens[[#This Row],[CÓDIGO]],Consumo!$AA$3:$AA$862)</f>
        <v>2700</v>
      </c>
      <c r="AV202" s="403">
        <f>SUMIF(Consumo!$C$3:$C$862,tabItens[[#This Row],[CÓDIGO]],Consumo!$Y$3:$Y$862)</f>
        <v>1347.6666666666667</v>
      </c>
      <c r="AW202" s="380">
        <f>tabItens[[#This Row],[QTDE ATUAL]] + tabItens[[#This Row],[RC QTDE]] + tabItens[[#This Row],[AF SALDO]] + tabItens[[#This Row],[Recentes]]</f>
        <v>6500</v>
      </c>
      <c r="AX202" s="404">
        <v>2084</v>
      </c>
      <c r="AY202" s="404">
        <v>4</v>
      </c>
      <c r="AZ202" s="404">
        <f>IF(ISBLANK(tabItens[[#This Row],[CÓDIGO]]),"",tabItens[[#This Row],[PontoMês]] * (AZ$2+tabItens[[#This Row],[PontoQtM]]))</f>
        <v>8336</v>
      </c>
      <c r="BA202" s="403">
        <f>tabItens[[#This Row],[PontoPed]] - tabItens[[#This Row],[Saldo]] + (1/10)</f>
        <v>1836.1</v>
      </c>
      <c r="BB202" s="403">
        <f xml:space="preserve"> tabItens[[#This Row],[PontoMês]] * BB$2 - tabItens[[#This Row],[QTDE ATUAL]] - (1/10)</f>
        <v>2083.9</v>
      </c>
      <c r="BC202" s="335">
        <f>IF( tabItens[[#This Row],[PontoPed]]&gt;0, IF(tabItens[[#This Row],[PontoPed]]&lt;1, 1, IF( tabItens[[#This Row],[Saldo]]&gt;tabItens[[#This Row],[PontoPed]], 0, (tabItens[[#This Row],[PontoPed]]-tabItens[[#This Row],[Saldo]])/tabItens[[#This Row],[PontoPed]] ) ), 0 )</f>
        <v>0.22024952015355087</v>
      </c>
      <c r="BD202" s="405">
        <f>ROUNDDOWN(IF( OR( AND(tabItens[[#This Row],[PontoPed]]&lt;tabItens[[#This Row],[Saldo]],tabItens[[#This Row],[Saldo]]&gt;0), tabItens[[#This Row],[PontoPed]]=0), 99, IF(AND(tabItens[[#This Row],[Saldo]]=0,tabItens[[#This Row],[PontoPed]]&gt;0), 0, (1-tabItens[[#This Row],[PctAb]])*10 ) ),0)</f>
        <v>7</v>
      </c>
      <c r="BE202" s="406">
        <f>MAX(ROUNDDOWN( IF(tabItens[[#This Row],[Abaixo]] &gt; 0,   tabItens[[#This Row],[Abaixo]] + (tabItens[[#This Row],[PontoMês]] * IF( OR( ISBLANK(tabItens[[#This Row],[ATA Nº/ANO]]), tabItens[[#This Row],[ATA Nº/ANO]] = ""),BE$2,BE$1)),0),0),0)</f>
        <v>8088</v>
      </c>
      <c r="BF20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2" s="338">
        <f>SUMIF(Consumo!$C$3:$C$862,tabItens[[#This Row],[CÓDIGO]],Consumo!$E$3:$E$862)</f>
        <v>1365</v>
      </c>
      <c r="BH202" s="339">
        <f>IF(AND(tabItens[[#This Row],[Pend]] &gt; 0,tabItens[[#This Row],[Consumo]] &lt;&gt; 0), tabItens[[#This Row],[Pend]] / tabItens[[#This Row],[Consumo]], 0 )</f>
        <v>8.4405144694533765E-2</v>
      </c>
      <c r="BI202" s="338"/>
      <c r="BJ202" s="407"/>
      <c r="BK202" s="408" t="s">
        <v>2086</v>
      </c>
    </row>
    <row r="203" spans="1:63" x14ac:dyDescent="0.3">
      <c r="A203" s="375">
        <v>133848</v>
      </c>
      <c r="B203" s="376" t="s">
        <v>1868</v>
      </c>
      <c r="C203" s="377" t="s">
        <v>380</v>
      </c>
      <c r="D203" s="378">
        <v>0.53</v>
      </c>
      <c r="E203" s="305"/>
      <c r="F203" s="379"/>
      <c r="G203" s="379" t="s">
        <v>889</v>
      </c>
      <c r="H203" s="380">
        <v>0</v>
      </c>
      <c r="I203" s="307">
        <v>103003</v>
      </c>
      <c r="J203" s="308">
        <v>0.53</v>
      </c>
      <c r="K203" s="381">
        <v>9179</v>
      </c>
      <c r="L203" s="382">
        <f>IF(tabItens[[#This Row],[Média]] &gt; 0, tabItens[[#This Row],[QTDE ATUAL]] / tabItens[[#This Row],[Média]],999.9)</f>
        <v>0</v>
      </c>
      <c r="M203" s="383">
        <v>0</v>
      </c>
      <c r="N203" s="384">
        <f>tabItens[[#This Row],[VALOR UNIT.]] * tabItens[[#This Row],[LC]]</f>
        <v>0</v>
      </c>
      <c r="O203" s="385" t="s">
        <v>2088</v>
      </c>
      <c r="P203" s="386"/>
      <c r="Q203" s="387"/>
      <c r="R203" s="312"/>
      <c r="S203" s="388"/>
      <c r="T203" s="389">
        <f>ROUNDDOWN(IFERROR(tabItens[[#This Row],[ATA DT.VALID.]] - $D$1,0) / 30,0)</f>
        <v>-1474</v>
      </c>
      <c r="U203" s="302" t="s">
        <v>947</v>
      </c>
      <c r="V203" s="318">
        <v>1</v>
      </c>
      <c r="W203" s="390" t="s">
        <v>2074</v>
      </c>
      <c r="X203" s="391">
        <v>57</v>
      </c>
      <c r="Y203" s="392">
        <v>16</v>
      </c>
      <c r="Z203" s="393">
        <v>6984</v>
      </c>
      <c r="AA203" s="394">
        <v>2023</v>
      </c>
      <c r="AB203" s="395">
        <v>6200</v>
      </c>
      <c r="AC203" s="395"/>
      <c r="AD203" s="394"/>
      <c r="AE203" s="395"/>
      <c r="AF203" s="317"/>
      <c r="AG203" s="396" t="s">
        <v>2072</v>
      </c>
      <c r="AH203" s="397"/>
      <c r="AI203" s="317">
        <v>4202</v>
      </c>
      <c r="AJ203" s="397">
        <v>44441</v>
      </c>
      <c r="AK203" s="326">
        <v>43074</v>
      </c>
      <c r="AL203" s="326">
        <v>44412</v>
      </c>
      <c r="AM203" s="316"/>
      <c r="AN203" s="305"/>
      <c r="AO203" s="327" t="str">
        <f>_xlfn.IFNA(IF(VLOOKUP(tabItens[[#This Row],[CÓDIGO]],tabExcluirDoEstoque[#Data],1,FALSE),"sim",""),"")</f>
        <v/>
      </c>
      <c r="AP203" s="398" t="str">
        <f ca="1">IF(OR(ISBLANK(tabItens[[#This Row],[ATA DT.VALID.]]),tabItens[[#This Row],[ATA DT.VALID.]]="",tabItens[[#This Row],[ATA DT.VALID.]]=" "),"",IF(TYPE(tabItens[[#This Row],[ATA DT.VALID.]])=1,ROUNDUP((tabItens[[#This Row],[ATA DT.VALID.]]-TODAY())/7,0),""))</f>
        <v/>
      </c>
      <c r="AQ203" s="399">
        <v>0</v>
      </c>
      <c r="AR203" s="400" t="str">
        <f>IF(ISBLANK(tabItens[[#This Row],[CÓDIGO]]),"",IFERROR(VLOOKUP(tabItens[[#This Row],[CÓDIGO]],Consumo!$C$2:$AC$862,26,FALSE),0))</f>
        <v>07.2023</v>
      </c>
      <c r="AS203" s="401">
        <f>SUMIF(Consumo!$C$3:$C$862,tabItens[[#This Row],[CÓDIGO]],Consumo!$N$3:$N$862) + SUMIF(Consumo!$C$3:$C$862,tabItens[[#This Row],[CÓDIGO]],Consumo!$O$3:$O$862) + SUMIF(Consumo!$C$3:$C$862,tabItens[[#This Row],[CÓDIGO]],Consumo!$P$3:$P$862) + SUMIF(Consumo!$C$3:$C$862,tabItens[[#This Row],[CÓDIGO]],Consumo!$Q$3:$Q$862)</f>
        <v>1700</v>
      </c>
      <c r="AT203" s="401">
        <f>SUMIF(Consumo!$C$3:$C$862,tabItens[[#This Row],[CÓDIGO]],Consumo!$Z$3:$Z$862)</f>
        <v>13134</v>
      </c>
      <c r="AU203" s="402">
        <f>SUMIF(Consumo!$C$3:$C$862,tabItens[[#This Row],[CÓDIGO]],Consumo!$AA$3:$AA$862)</f>
        <v>2020</v>
      </c>
      <c r="AV203" s="403">
        <f>SUMIF(Consumo!$C$3:$C$862,tabItens[[#This Row],[CÓDIGO]],Consumo!$Y$3:$Y$862)</f>
        <v>1094.5</v>
      </c>
      <c r="AW203" s="380">
        <f>tabItens[[#This Row],[QTDE ATUAL]] + tabItens[[#This Row],[RC QTDE]] + tabItens[[#This Row],[AF SALDO]] + tabItens[[#This Row],[Recentes]]</f>
        <v>6200</v>
      </c>
      <c r="AX203" s="404">
        <v>2084</v>
      </c>
      <c r="AY203" s="404">
        <v>4</v>
      </c>
      <c r="AZ203" s="404">
        <f>IF(ISBLANK(tabItens[[#This Row],[CÓDIGO]]),"",tabItens[[#This Row],[PontoMês]] * (AZ$2+tabItens[[#This Row],[PontoQtM]]))</f>
        <v>8336</v>
      </c>
      <c r="BA203" s="403">
        <f>tabItens[[#This Row],[PontoPed]] - tabItens[[#This Row],[Saldo]] + (1/10)</f>
        <v>2136.1</v>
      </c>
      <c r="BB203" s="403">
        <f xml:space="preserve"> tabItens[[#This Row],[PontoMês]] * BB$2 - tabItens[[#This Row],[QTDE ATUAL]] - (1/10)</f>
        <v>2083.9</v>
      </c>
      <c r="BC203" s="335">
        <f>IF( tabItens[[#This Row],[PontoPed]]&gt;0, IF(tabItens[[#This Row],[PontoPed]]&lt;1, 1, IF( tabItens[[#This Row],[Saldo]]&gt;tabItens[[#This Row],[PontoPed]], 0, (tabItens[[#This Row],[PontoPed]]-tabItens[[#This Row],[Saldo]])/tabItens[[#This Row],[PontoPed]] ) ), 0 )</f>
        <v>0.2562380038387716</v>
      </c>
      <c r="BD203" s="405">
        <f>ROUNDDOWN(IF( OR( AND(tabItens[[#This Row],[PontoPed]]&lt;tabItens[[#This Row],[Saldo]],tabItens[[#This Row],[Saldo]]&gt;0), tabItens[[#This Row],[PontoPed]]=0), 99, IF(AND(tabItens[[#This Row],[Saldo]]=0,tabItens[[#This Row],[PontoPed]]&gt;0), 0, (1-tabItens[[#This Row],[PctAb]])*10 ) ),0)</f>
        <v>7</v>
      </c>
      <c r="BE203" s="406">
        <f>MAX(ROUNDDOWN( IF(tabItens[[#This Row],[Abaixo]] &gt; 0,   tabItens[[#This Row],[Abaixo]] + (tabItens[[#This Row],[PontoMês]] * IF( OR( ISBLANK(tabItens[[#This Row],[ATA Nº/ANO]]), tabItens[[#This Row],[ATA Nº/ANO]] = ""),BE$2,BE$1)),0),0),0)</f>
        <v>8388</v>
      </c>
      <c r="BF20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3" s="338">
        <f>SUMIF(Consumo!$C$3:$C$862,tabItens[[#This Row],[CÓDIGO]],Consumo!$E$3:$E$862)</f>
        <v>965</v>
      </c>
      <c r="BH203" s="339">
        <f>IF(AND(tabItens[[#This Row],[Pend]] &gt; 0,tabItens[[#This Row],[Consumo]] &lt;&gt; 0), tabItens[[#This Row],[Pend]] / tabItens[[#This Row],[Consumo]], 0 )</f>
        <v>7.3473427744784534E-2</v>
      </c>
      <c r="BI203" s="338"/>
      <c r="BJ203" s="407"/>
      <c r="BK203" s="408" t="s">
        <v>2086</v>
      </c>
    </row>
    <row r="204" spans="1:63" x14ac:dyDescent="0.3">
      <c r="A204" s="375">
        <v>133849</v>
      </c>
      <c r="B204" s="376" t="s">
        <v>1869</v>
      </c>
      <c r="C204" s="377" t="s">
        <v>380</v>
      </c>
      <c r="D204" s="378">
        <v>0.69</v>
      </c>
      <c r="E204" s="305"/>
      <c r="F204" s="379"/>
      <c r="G204" s="379" t="s">
        <v>889</v>
      </c>
      <c r="H204" s="380">
        <v>735</v>
      </c>
      <c r="I204" s="307">
        <v>103003</v>
      </c>
      <c r="J204" s="308">
        <v>0.69</v>
      </c>
      <c r="K204" s="381">
        <v>10781</v>
      </c>
      <c r="L204" s="382">
        <f>IF(tabItens[[#This Row],[Média]] &gt; 0, tabItens[[#This Row],[QTDE ATUAL]] / tabItens[[#This Row],[Média]],999.9)</f>
        <v>0.48464201329743395</v>
      </c>
      <c r="M204" s="383">
        <v>0</v>
      </c>
      <c r="N204" s="384">
        <f>tabItens[[#This Row],[VALOR UNIT.]] * tabItens[[#This Row],[LC]]</f>
        <v>0</v>
      </c>
      <c r="O204" s="385" t="s">
        <v>2088</v>
      </c>
      <c r="P204" s="386"/>
      <c r="Q204" s="387"/>
      <c r="R204" s="312"/>
      <c r="S204" s="388"/>
      <c r="T204" s="389">
        <f>ROUNDDOWN(IFERROR(tabItens[[#This Row],[ATA DT.VALID.]] - $D$1,0) / 30,0)</f>
        <v>-1474</v>
      </c>
      <c r="U204" s="302" t="s">
        <v>947</v>
      </c>
      <c r="V204" s="318">
        <v>1</v>
      </c>
      <c r="W204" s="390" t="s">
        <v>2074</v>
      </c>
      <c r="X204" s="391">
        <v>57</v>
      </c>
      <c r="Y204" s="392">
        <v>16</v>
      </c>
      <c r="Z204" s="393">
        <v>6217</v>
      </c>
      <c r="AA204" s="394">
        <v>2023</v>
      </c>
      <c r="AB204" s="395">
        <v>2500</v>
      </c>
      <c r="AC204" s="395"/>
      <c r="AD204" s="394"/>
      <c r="AE204" s="395"/>
      <c r="AF204" s="317"/>
      <c r="AG204" s="396" t="s">
        <v>2072</v>
      </c>
      <c r="AH204" s="397"/>
      <c r="AI204" s="317">
        <v>6056</v>
      </c>
      <c r="AJ204" s="397">
        <v>44973</v>
      </c>
      <c r="AK204" s="326">
        <v>43074</v>
      </c>
      <c r="AL204" s="326">
        <v>44959</v>
      </c>
      <c r="AM204" s="316"/>
      <c r="AN204" s="305"/>
      <c r="AO204" s="327" t="str">
        <f>_xlfn.IFNA(IF(VLOOKUP(tabItens[[#This Row],[CÓDIGO]],tabExcluirDoEstoque[#Data],1,FALSE),"sim",""),"")</f>
        <v/>
      </c>
      <c r="AP204" s="398" t="str">
        <f ca="1">IF(OR(ISBLANK(tabItens[[#This Row],[ATA DT.VALID.]]),tabItens[[#This Row],[ATA DT.VALID.]]="",tabItens[[#This Row],[ATA DT.VALID.]]=" "),"",IF(TYPE(tabItens[[#This Row],[ATA DT.VALID.]])=1,ROUNDUP((tabItens[[#This Row],[ATA DT.VALID.]]-TODAY())/7,0),""))</f>
        <v/>
      </c>
      <c r="AQ204" s="399">
        <v>0</v>
      </c>
      <c r="AR204" s="400" t="str">
        <f>IF(ISBLANK(tabItens[[#This Row],[CÓDIGO]]),"",IFERROR(VLOOKUP(tabItens[[#This Row],[CÓDIGO]],Consumo!$C$2:$AC$862,26,FALSE),0))</f>
        <v>09.2023</v>
      </c>
      <c r="AS204" s="401">
        <f>SUMIF(Consumo!$C$3:$C$862,tabItens[[#This Row],[CÓDIGO]],Consumo!$N$3:$N$862) + SUMIF(Consumo!$C$3:$C$862,tabItens[[#This Row],[CÓDIGO]],Consumo!$O$3:$O$862) + SUMIF(Consumo!$C$3:$C$862,tabItens[[#This Row],[CÓDIGO]],Consumo!$P$3:$P$862) + SUMIF(Consumo!$C$3:$C$862,tabItens[[#This Row],[CÓDIGO]],Consumo!$Q$3:$Q$862)</f>
        <v>6513</v>
      </c>
      <c r="AT204" s="401">
        <f>SUMIF(Consumo!$C$3:$C$862,tabItens[[#This Row],[CÓDIGO]],Consumo!$Z$3:$Z$862)</f>
        <v>18199</v>
      </c>
      <c r="AU204" s="402">
        <f>SUMIF(Consumo!$C$3:$C$862,tabItens[[#This Row],[CÓDIGO]],Consumo!$AA$3:$AA$862)</f>
        <v>2320</v>
      </c>
      <c r="AV204" s="403">
        <f>SUMIF(Consumo!$C$3:$C$862,tabItens[[#This Row],[CÓDIGO]],Consumo!$Y$3:$Y$862)</f>
        <v>1516.5833333333333</v>
      </c>
      <c r="AW204" s="380">
        <f>tabItens[[#This Row],[QTDE ATUAL]] + tabItens[[#This Row],[RC QTDE]] + tabItens[[#This Row],[AF SALDO]] + tabItens[[#This Row],[Recentes]]</f>
        <v>3235</v>
      </c>
      <c r="AX204" s="404">
        <v>2084</v>
      </c>
      <c r="AY204" s="404">
        <v>4</v>
      </c>
      <c r="AZ204" s="404">
        <f>IF(ISBLANK(tabItens[[#This Row],[CÓDIGO]]),"",tabItens[[#This Row],[PontoMês]] * (AZ$2+tabItens[[#This Row],[PontoQtM]]))</f>
        <v>8336</v>
      </c>
      <c r="BA204" s="403">
        <f>tabItens[[#This Row],[PontoPed]] - tabItens[[#This Row],[Saldo]] + (1/10)</f>
        <v>5101.1000000000004</v>
      </c>
      <c r="BB204" s="403">
        <f xml:space="preserve"> tabItens[[#This Row],[PontoMês]] * BB$2 - tabItens[[#This Row],[QTDE ATUAL]] - (1/10)</f>
        <v>1348.9</v>
      </c>
      <c r="BC204" s="335">
        <f>IF( tabItens[[#This Row],[PontoPed]]&gt;0, IF(tabItens[[#This Row],[PontoPed]]&lt;1, 1, IF( tabItens[[#This Row],[Saldo]]&gt;tabItens[[#This Row],[PontoPed]], 0, (tabItens[[#This Row],[PontoPed]]-tabItens[[#This Row],[Saldo]])/tabItens[[#This Row],[PontoPed]] ) ), 0 )</f>
        <v>0.61192418426103645</v>
      </c>
      <c r="BD204" s="405">
        <f>ROUNDDOWN(IF( OR( AND(tabItens[[#This Row],[PontoPed]]&lt;tabItens[[#This Row],[Saldo]],tabItens[[#This Row],[Saldo]]&gt;0), tabItens[[#This Row],[PontoPed]]=0), 99, IF(AND(tabItens[[#This Row],[Saldo]]=0,tabItens[[#This Row],[PontoPed]]&gt;0), 0, (1-tabItens[[#This Row],[PctAb]])*10 ) ),0)</f>
        <v>3</v>
      </c>
      <c r="BE204" s="406">
        <f>MAX(ROUNDDOWN( IF(tabItens[[#This Row],[Abaixo]] &gt; 0,   tabItens[[#This Row],[Abaixo]] + (tabItens[[#This Row],[PontoMês]] * IF( OR( ISBLANK(tabItens[[#This Row],[ATA Nº/ANO]]), tabItens[[#This Row],[ATA Nº/ANO]] = ""),BE$2,BE$1)),0),0),0)</f>
        <v>11353</v>
      </c>
      <c r="BF20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4" s="338">
        <f>SUMIF(Consumo!$C$3:$C$862,tabItens[[#This Row],[CÓDIGO]],Consumo!$E$3:$E$862)</f>
        <v>35</v>
      </c>
      <c r="BH204" s="339">
        <f>IF(AND(tabItens[[#This Row],[Pend]] &gt; 0,tabItens[[#This Row],[Consumo]] &lt;&gt; 0), tabItens[[#This Row],[Pend]] / tabItens[[#This Row],[Consumo]], 0 )</f>
        <v>1.9231825924501346E-3</v>
      </c>
      <c r="BI204" s="338"/>
      <c r="BJ204" s="407"/>
      <c r="BK204" s="408" t="s">
        <v>2086</v>
      </c>
    </row>
    <row r="205" spans="1:63" x14ac:dyDescent="0.3">
      <c r="A205" s="375">
        <v>133850</v>
      </c>
      <c r="B205" s="376" t="s">
        <v>1870</v>
      </c>
      <c r="C205" s="377" t="s">
        <v>380</v>
      </c>
      <c r="D205" s="378">
        <v>0.69</v>
      </c>
      <c r="E205" s="305"/>
      <c r="F205" s="379"/>
      <c r="G205" s="379" t="s">
        <v>889</v>
      </c>
      <c r="H205" s="380">
        <v>0</v>
      </c>
      <c r="I205" s="307">
        <v>103003</v>
      </c>
      <c r="J205" s="308">
        <v>0.69</v>
      </c>
      <c r="K205" s="381">
        <v>10601</v>
      </c>
      <c r="L205" s="382">
        <f>IF(tabItens[[#This Row],[Média]] &gt; 0, tabItens[[#This Row],[QTDE ATUAL]] / tabItens[[#This Row],[Média]],999.9)</f>
        <v>0</v>
      </c>
      <c r="M205" s="383">
        <v>0</v>
      </c>
      <c r="N205" s="384">
        <f>tabItens[[#This Row],[VALOR UNIT.]] * tabItens[[#This Row],[LC]]</f>
        <v>0</v>
      </c>
      <c r="O205" s="385" t="s">
        <v>2088</v>
      </c>
      <c r="P205" s="386"/>
      <c r="Q205" s="387"/>
      <c r="R205" s="312"/>
      <c r="S205" s="388"/>
      <c r="T205" s="389">
        <f>ROUNDDOWN(IFERROR(tabItens[[#This Row],[ATA DT.VALID.]] - $D$1,0) / 30,0)</f>
        <v>-1474</v>
      </c>
      <c r="U205" s="302" t="s">
        <v>947</v>
      </c>
      <c r="V205" s="318">
        <v>1</v>
      </c>
      <c r="W205" s="390" t="s">
        <v>2074</v>
      </c>
      <c r="X205" s="391">
        <v>57</v>
      </c>
      <c r="Y205" s="392">
        <v>16</v>
      </c>
      <c r="Z205" s="393">
        <v>6985</v>
      </c>
      <c r="AA205" s="394">
        <v>2023</v>
      </c>
      <c r="AB205" s="395">
        <v>5700</v>
      </c>
      <c r="AC205" s="395"/>
      <c r="AD205" s="394"/>
      <c r="AE205" s="395"/>
      <c r="AF205" s="317"/>
      <c r="AG205" s="396" t="s">
        <v>2072</v>
      </c>
      <c r="AH205" s="397"/>
      <c r="AI205" s="317">
        <v>5012</v>
      </c>
      <c r="AJ205" s="397">
        <v>44928</v>
      </c>
      <c r="AK205" s="326">
        <v>43074</v>
      </c>
      <c r="AL205" s="326">
        <v>44910</v>
      </c>
      <c r="AM205" s="316"/>
      <c r="AN205" s="305"/>
      <c r="AO205" s="327" t="str">
        <f>_xlfn.IFNA(IF(VLOOKUP(tabItens[[#This Row],[CÓDIGO]],tabExcluirDoEstoque[#Data],1,FALSE),"sim",""),"")</f>
        <v/>
      </c>
      <c r="AP205" s="398" t="str">
        <f ca="1">IF(OR(ISBLANK(tabItens[[#This Row],[ATA DT.VALID.]]),tabItens[[#This Row],[ATA DT.VALID.]]="",tabItens[[#This Row],[ATA DT.VALID.]]=" "),"",IF(TYPE(tabItens[[#This Row],[ATA DT.VALID.]])=1,ROUNDUP((tabItens[[#This Row],[ATA DT.VALID.]]-TODAY())/7,0),""))</f>
        <v/>
      </c>
      <c r="AQ205" s="399">
        <v>0</v>
      </c>
      <c r="AR205" s="400" t="str">
        <f>IF(ISBLANK(tabItens[[#This Row],[CÓDIGO]]),"",IFERROR(VLOOKUP(tabItens[[#This Row],[CÓDIGO]],Consumo!$C$2:$AC$862,26,FALSE),0))</f>
        <v>08.2023</v>
      </c>
      <c r="AS205" s="401">
        <f>SUMIF(Consumo!$C$3:$C$862,tabItens[[#This Row],[CÓDIGO]],Consumo!$N$3:$N$862) + SUMIF(Consumo!$C$3:$C$862,tabItens[[#This Row],[CÓDIGO]],Consumo!$O$3:$O$862) + SUMIF(Consumo!$C$3:$C$862,tabItens[[#This Row],[CÓDIGO]],Consumo!$P$3:$P$862) + SUMIF(Consumo!$C$3:$C$862,tabItens[[#This Row],[CÓDIGO]],Consumo!$Q$3:$Q$862)</f>
        <v>3423</v>
      </c>
      <c r="AT205" s="401">
        <f>SUMIF(Consumo!$C$3:$C$862,tabItens[[#This Row],[CÓDIGO]],Consumo!$Z$3:$Z$862)</f>
        <v>15877</v>
      </c>
      <c r="AU205" s="402">
        <f>SUMIF(Consumo!$C$3:$C$862,tabItens[[#This Row],[CÓDIGO]],Consumo!$AA$3:$AA$862)</f>
        <v>2255</v>
      </c>
      <c r="AV205" s="403">
        <f>SUMIF(Consumo!$C$3:$C$862,tabItens[[#This Row],[CÓDIGO]],Consumo!$Y$3:$Y$862)</f>
        <v>1323.0833333333333</v>
      </c>
      <c r="AW205" s="380">
        <f>tabItens[[#This Row],[QTDE ATUAL]] + tabItens[[#This Row],[RC QTDE]] + tabItens[[#This Row],[AF SALDO]] + tabItens[[#This Row],[Recentes]]</f>
        <v>5700</v>
      </c>
      <c r="AX205" s="404">
        <v>2084</v>
      </c>
      <c r="AY205" s="404">
        <v>4</v>
      </c>
      <c r="AZ205" s="404">
        <f>IF(ISBLANK(tabItens[[#This Row],[CÓDIGO]]),"",tabItens[[#This Row],[PontoMês]] * (AZ$2+tabItens[[#This Row],[PontoQtM]]))</f>
        <v>8336</v>
      </c>
      <c r="BA205" s="403">
        <f>tabItens[[#This Row],[PontoPed]] - tabItens[[#This Row],[Saldo]] + (1/10)</f>
        <v>2636.1</v>
      </c>
      <c r="BB205" s="403">
        <f xml:space="preserve"> tabItens[[#This Row],[PontoMês]] * BB$2 - tabItens[[#This Row],[QTDE ATUAL]] - (1/10)</f>
        <v>2083.9</v>
      </c>
      <c r="BC205" s="335">
        <f>IF( tabItens[[#This Row],[PontoPed]]&gt;0, IF(tabItens[[#This Row],[PontoPed]]&lt;1, 1, IF( tabItens[[#This Row],[Saldo]]&gt;tabItens[[#This Row],[PontoPed]], 0, (tabItens[[#This Row],[PontoPed]]-tabItens[[#This Row],[Saldo]])/tabItens[[#This Row],[PontoPed]] ) ), 0 )</f>
        <v>0.31621880998080615</v>
      </c>
      <c r="BD205" s="405">
        <f>ROUNDDOWN(IF( OR( AND(tabItens[[#This Row],[PontoPed]]&lt;tabItens[[#This Row],[Saldo]],tabItens[[#This Row],[Saldo]]&gt;0), tabItens[[#This Row],[PontoPed]]=0), 99, IF(AND(tabItens[[#This Row],[Saldo]]=0,tabItens[[#This Row],[PontoPed]]&gt;0), 0, (1-tabItens[[#This Row],[PctAb]])*10 ) ),0)</f>
        <v>6</v>
      </c>
      <c r="BE205" s="406">
        <f>MAX(ROUNDDOWN( IF(tabItens[[#This Row],[Abaixo]] &gt; 0,   tabItens[[#This Row],[Abaixo]] + (tabItens[[#This Row],[PontoMês]] * IF( OR( ISBLANK(tabItens[[#This Row],[ATA Nº/ANO]]), tabItens[[#This Row],[ATA Nº/ANO]] = ""),BE$2,BE$1)),0),0),0)</f>
        <v>8888</v>
      </c>
      <c r="BF20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5" s="338">
        <f>SUMIF(Consumo!$C$3:$C$862,tabItens[[#This Row],[CÓDIGO]],Consumo!$E$3:$E$862)</f>
        <v>843</v>
      </c>
      <c r="BH205" s="339">
        <f>IF(AND(tabItens[[#This Row],[Pend]] &gt; 0,tabItens[[#This Row],[Consumo]] &lt;&gt; 0), tabItens[[#This Row],[Pend]] / tabItens[[#This Row],[Consumo]], 0 )</f>
        <v>5.3095672986080492E-2</v>
      </c>
      <c r="BI205" s="338"/>
      <c r="BJ205" s="407"/>
      <c r="BK205" s="408" t="s">
        <v>2086</v>
      </c>
    </row>
    <row r="206" spans="1:63" x14ac:dyDescent="0.3">
      <c r="A206" s="375">
        <v>70379</v>
      </c>
      <c r="B206" s="376" t="s">
        <v>1400</v>
      </c>
      <c r="C206" s="377" t="s">
        <v>900</v>
      </c>
      <c r="D206" s="378">
        <v>39.15</v>
      </c>
      <c r="E206" s="305"/>
      <c r="F206" s="379"/>
      <c r="G206" s="379" t="s">
        <v>889</v>
      </c>
      <c r="H206" s="380">
        <v>2268</v>
      </c>
      <c r="I206" s="307">
        <v>103003</v>
      </c>
      <c r="J206" s="308">
        <v>39.15</v>
      </c>
      <c r="K206" s="381">
        <v>3140</v>
      </c>
      <c r="L206" s="382">
        <f>IF(tabItens[[#This Row],[Média]] &gt; 0, tabItens[[#This Row],[QTDE ATUAL]] / tabItens[[#This Row],[Média]],999.9)</f>
        <v>8.2849315068493148</v>
      </c>
      <c r="M206" s="383">
        <v>0</v>
      </c>
      <c r="N206" s="384">
        <f>tabItens[[#This Row],[VALOR UNIT.]] * tabItens[[#This Row],[LC]]</f>
        <v>0</v>
      </c>
      <c r="O206" s="385" t="s">
        <v>2088</v>
      </c>
      <c r="P206" s="386"/>
      <c r="Q206" s="387"/>
      <c r="R206" s="312"/>
      <c r="S206" s="388"/>
      <c r="T206" s="389">
        <f>ROUNDDOWN(IFERROR(tabItens[[#This Row],[ATA DT.VALID.]] - $D$1,0) / 30,0)</f>
        <v>-1474</v>
      </c>
      <c r="U206" s="302" t="s">
        <v>1364</v>
      </c>
      <c r="V206" s="318">
        <v>1</v>
      </c>
      <c r="W206" s="390" t="s">
        <v>2074</v>
      </c>
      <c r="X206" s="391">
        <v>57</v>
      </c>
      <c r="Y206" s="392">
        <v>17</v>
      </c>
      <c r="Z206" s="393"/>
      <c r="AA206" s="394"/>
      <c r="AB206" s="395"/>
      <c r="AC206" s="395"/>
      <c r="AD206" s="394"/>
      <c r="AE206" s="395"/>
      <c r="AF206" s="317"/>
      <c r="AG206" s="396" t="s">
        <v>2072</v>
      </c>
      <c r="AH206" s="397"/>
      <c r="AI206" s="317">
        <v>1130</v>
      </c>
      <c r="AJ206" s="397">
        <v>45090</v>
      </c>
      <c r="AK206" s="326" t="s">
        <v>889</v>
      </c>
      <c r="AL206" s="326">
        <v>45002</v>
      </c>
      <c r="AM206" s="316"/>
      <c r="AN206" s="305"/>
      <c r="AO206" s="327" t="str">
        <f>_xlfn.IFNA(IF(VLOOKUP(tabItens[[#This Row],[CÓDIGO]],tabExcluirDoEstoque[#Data],1,FALSE),"sim",""),"")</f>
        <v/>
      </c>
      <c r="AP206" s="398" t="str">
        <f ca="1">IF(OR(ISBLANK(tabItens[[#This Row],[ATA DT.VALID.]]),tabItens[[#This Row],[ATA DT.VALID.]]="",tabItens[[#This Row],[ATA DT.VALID.]]=" "),"",IF(TYPE(tabItens[[#This Row],[ATA DT.VALID.]])=1,ROUNDUP((tabItens[[#This Row],[ATA DT.VALID.]]-TODAY())/7,0),""))</f>
        <v/>
      </c>
      <c r="AQ206" s="399">
        <v>0</v>
      </c>
      <c r="AR206" s="400" t="str">
        <f>IF(ISBLANK(tabItens[[#This Row],[CÓDIGO]]),"",IFERROR(VLOOKUP(tabItens[[#This Row],[CÓDIGO]],Consumo!$C$2:$AC$862,26,FALSE),0))</f>
        <v>09.2023</v>
      </c>
      <c r="AS206" s="401">
        <f>SUMIF(Consumo!$C$3:$C$862,tabItens[[#This Row],[CÓDIGO]],Consumo!$N$3:$N$862) + SUMIF(Consumo!$C$3:$C$862,tabItens[[#This Row],[CÓDIGO]],Consumo!$O$3:$O$862) + SUMIF(Consumo!$C$3:$C$862,tabItens[[#This Row],[CÓDIGO]],Consumo!$P$3:$P$862) + SUMIF(Consumo!$C$3:$C$862,tabItens[[#This Row],[CÓDIGO]],Consumo!$Q$3:$Q$862)</f>
        <v>699</v>
      </c>
      <c r="AT206" s="401">
        <f>SUMIF(Consumo!$C$3:$C$862,tabItens[[#This Row],[CÓDIGO]],Consumo!$Z$3:$Z$862)</f>
        <v>3414</v>
      </c>
      <c r="AU206" s="402">
        <f>SUMIF(Consumo!$C$3:$C$862,tabItens[[#This Row],[CÓDIGO]],Consumo!$AA$3:$AA$862)</f>
        <v>1285</v>
      </c>
      <c r="AV206" s="403">
        <f>SUMIF(Consumo!$C$3:$C$862,tabItens[[#This Row],[CÓDIGO]],Consumo!$Y$3:$Y$862)</f>
        <v>273.75</v>
      </c>
      <c r="AW206" s="380">
        <f>tabItens[[#This Row],[QTDE ATUAL]] + tabItens[[#This Row],[RC QTDE]] + tabItens[[#This Row],[AF SALDO]] + tabItens[[#This Row],[Recentes]]</f>
        <v>2268</v>
      </c>
      <c r="AX206" s="404">
        <v>275</v>
      </c>
      <c r="AY206" s="404">
        <v>4</v>
      </c>
      <c r="AZ206" s="404">
        <f>IF(ISBLANK(tabItens[[#This Row],[CÓDIGO]]),"",tabItens[[#This Row],[PontoMês]] * (AZ$2+tabItens[[#This Row],[PontoQtM]]))</f>
        <v>1100</v>
      </c>
      <c r="BA206" s="403">
        <f>tabItens[[#This Row],[PontoPed]] - tabItens[[#This Row],[Saldo]] + (1/10)</f>
        <v>-1167.9000000000001</v>
      </c>
      <c r="BB206" s="403">
        <f xml:space="preserve"> tabItens[[#This Row],[PontoMês]] * BB$2 - tabItens[[#This Row],[QTDE ATUAL]] - (1/10)</f>
        <v>-1993.1</v>
      </c>
      <c r="BC206" s="335">
        <f>IF( tabItens[[#This Row],[PontoPed]]&gt;0, IF(tabItens[[#This Row],[PontoPed]]&lt;1, 1, IF( tabItens[[#This Row],[Saldo]]&gt;tabItens[[#This Row],[PontoPed]], 0, (tabItens[[#This Row],[PontoPed]]-tabItens[[#This Row],[Saldo]])/tabItens[[#This Row],[PontoPed]] ) ), 0 )</f>
        <v>0</v>
      </c>
      <c r="BD206" s="405">
        <f>ROUNDDOWN(IF( OR( AND(tabItens[[#This Row],[PontoPed]]&lt;tabItens[[#This Row],[Saldo]],tabItens[[#This Row],[Saldo]]&gt;0), tabItens[[#This Row],[PontoPed]]=0), 99, IF(AND(tabItens[[#This Row],[Saldo]]=0,tabItens[[#This Row],[PontoPed]]&gt;0), 0, (1-tabItens[[#This Row],[PctAb]])*10 ) ),0)</f>
        <v>99</v>
      </c>
      <c r="BE206" s="406">
        <f>MAX(ROUNDDOWN( IF(tabItens[[#This Row],[Abaixo]] &gt; 0,   tabItens[[#This Row],[Abaixo]] + (tabItens[[#This Row],[PontoMês]] * IF( OR( ISBLANK(tabItens[[#This Row],[ATA Nº/ANO]]), tabItens[[#This Row],[ATA Nº/ANO]] = ""),BE$2,BE$1)),0),0),0)</f>
        <v>0</v>
      </c>
      <c r="BF20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6" s="338">
        <f>SUMIF(Consumo!$C$3:$C$862,tabItens[[#This Row],[CÓDIGO]],Consumo!$E$3:$E$862)</f>
        <v>25</v>
      </c>
      <c r="BH206" s="339">
        <f>IF(AND(tabItens[[#This Row],[Pend]] &gt; 0,tabItens[[#This Row],[Consumo]] &lt;&gt; 0), tabItens[[#This Row],[Pend]] / tabItens[[#This Row],[Consumo]], 0 )</f>
        <v>7.322788517867604E-3</v>
      </c>
      <c r="BI206" s="338"/>
      <c r="BJ206" s="407"/>
      <c r="BK206" s="408" t="s">
        <v>2086</v>
      </c>
    </row>
    <row r="207" spans="1:63" x14ac:dyDescent="0.3">
      <c r="A207" s="375">
        <v>92907</v>
      </c>
      <c r="B207" s="376" t="s">
        <v>1535</v>
      </c>
      <c r="C207" s="377" t="s">
        <v>267</v>
      </c>
      <c r="D207" s="378">
        <v>38</v>
      </c>
      <c r="E207" s="305"/>
      <c r="F207" s="379"/>
      <c r="G207" s="379" t="s">
        <v>889</v>
      </c>
      <c r="H207" s="380">
        <v>2381</v>
      </c>
      <c r="I207" s="307">
        <v>103003</v>
      </c>
      <c r="J207" s="308">
        <v>38</v>
      </c>
      <c r="K207" s="381">
        <v>2939</v>
      </c>
      <c r="L207" s="382">
        <f>IF(tabItens[[#This Row],[Média]] &gt; 0, tabItens[[#This Row],[QTDE ATUAL]] / tabItens[[#This Row],[Média]],999.9)</f>
        <v>8.9483244597557157</v>
      </c>
      <c r="M207" s="383">
        <v>0</v>
      </c>
      <c r="N207" s="384">
        <f>tabItens[[#This Row],[VALOR UNIT.]] * tabItens[[#This Row],[LC]]</f>
        <v>0</v>
      </c>
      <c r="O207" s="385" t="s">
        <v>2088</v>
      </c>
      <c r="P207" s="386"/>
      <c r="Q207" s="387"/>
      <c r="R207" s="312"/>
      <c r="S207" s="388"/>
      <c r="T207" s="389">
        <f>ROUNDDOWN(IFERROR(tabItens[[#This Row],[ATA DT.VALID.]] - $D$1,0) / 30,0)</f>
        <v>-1474</v>
      </c>
      <c r="U207" s="302" t="s">
        <v>1364</v>
      </c>
      <c r="V207" s="318">
        <v>1</v>
      </c>
      <c r="W207" s="390" t="s">
        <v>2074</v>
      </c>
      <c r="X207" s="391">
        <v>57</v>
      </c>
      <c r="Y207" s="392">
        <v>17</v>
      </c>
      <c r="Z207" s="393"/>
      <c r="AA207" s="394"/>
      <c r="AB207" s="395"/>
      <c r="AC207" s="395"/>
      <c r="AD207" s="394"/>
      <c r="AE207" s="395"/>
      <c r="AF207" s="317"/>
      <c r="AG207" s="396" t="s">
        <v>2072</v>
      </c>
      <c r="AH207" s="397"/>
      <c r="AI207" s="317">
        <v>1264</v>
      </c>
      <c r="AJ207" s="397">
        <v>44131</v>
      </c>
      <c r="AK207" s="326">
        <v>38904</v>
      </c>
      <c r="AL207" s="326">
        <v>45049</v>
      </c>
      <c r="AM207" s="316"/>
      <c r="AN207" s="305"/>
      <c r="AO207" s="327" t="str">
        <f>_xlfn.IFNA(IF(VLOOKUP(tabItens[[#This Row],[CÓDIGO]],tabExcluirDoEstoque[#Data],1,FALSE),"sim",""),"")</f>
        <v/>
      </c>
      <c r="AP207" s="398" t="str">
        <f ca="1">IF(OR(ISBLANK(tabItens[[#This Row],[ATA DT.VALID.]]),tabItens[[#This Row],[ATA DT.VALID.]]="",tabItens[[#This Row],[ATA DT.VALID.]]=" "),"",IF(TYPE(tabItens[[#This Row],[ATA DT.VALID.]])=1,ROUNDUP((tabItens[[#This Row],[ATA DT.VALID.]]-TODAY())/7,0),""))</f>
        <v/>
      </c>
      <c r="AQ207" s="399">
        <v>0</v>
      </c>
      <c r="AR207" s="400" t="str">
        <f>IF(ISBLANK(tabItens[[#This Row],[CÓDIGO]]),"",IFERROR(VLOOKUP(tabItens[[#This Row],[CÓDIGO]],Consumo!$C$2:$AC$862,26,FALSE),0))</f>
        <v>09.2023</v>
      </c>
      <c r="AS207" s="401">
        <f>SUMIF(Consumo!$C$3:$C$862,tabItens[[#This Row],[CÓDIGO]],Consumo!$N$3:$N$862) + SUMIF(Consumo!$C$3:$C$862,tabItens[[#This Row],[CÓDIGO]],Consumo!$O$3:$O$862) + SUMIF(Consumo!$C$3:$C$862,tabItens[[#This Row],[CÓDIGO]],Consumo!$P$3:$P$862) + SUMIF(Consumo!$C$3:$C$862,tabItens[[#This Row],[CÓDIGO]],Consumo!$Q$3:$Q$862)</f>
        <v>852</v>
      </c>
      <c r="AT207" s="401">
        <f>SUMIF(Consumo!$C$3:$C$862,tabItens[[#This Row],[CÓDIGO]],Consumo!$Z$3:$Z$862)</f>
        <v>3793</v>
      </c>
      <c r="AU207" s="402">
        <f>SUMIF(Consumo!$C$3:$C$862,tabItens[[#This Row],[CÓDIGO]],Consumo!$AA$3:$AA$862)</f>
        <v>1876</v>
      </c>
      <c r="AV207" s="403">
        <f>SUMIF(Consumo!$C$3:$C$862,tabItens[[#This Row],[CÓDIGO]],Consumo!$Y$3:$Y$862)</f>
        <v>266.08333333333331</v>
      </c>
      <c r="AW207" s="380">
        <f>tabItens[[#This Row],[QTDE ATUAL]] + tabItens[[#This Row],[RC QTDE]] + tabItens[[#This Row],[AF SALDO]] + tabItens[[#This Row],[Recentes]]</f>
        <v>2381</v>
      </c>
      <c r="AX207" s="404">
        <v>325</v>
      </c>
      <c r="AY207" s="404">
        <v>4</v>
      </c>
      <c r="AZ207" s="404">
        <f>IF(ISBLANK(tabItens[[#This Row],[CÓDIGO]]),"",tabItens[[#This Row],[PontoMês]] * (AZ$2+tabItens[[#This Row],[PontoQtM]]))</f>
        <v>1300</v>
      </c>
      <c r="BA207" s="403">
        <f>tabItens[[#This Row],[PontoPed]] - tabItens[[#This Row],[Saldo]] + (1/10)</f>
        <v>-1080.9000000000001</v>
      </c>
      <c r="BB207" s="403">
        <f xml:space="preserve"> tabItens[[#This Row],[PontoMês]] * BB$2 - tabItens[[#This Row],[QTDE ATUAL]] - (1/10)</f>
        <v>-2056.1</v>
      </c>
      <c r="BC207" s="335">
        <f>IF( tabItens[[#This Row],[PontoPed]]&gt;0, IF(tabItens[[#This Row],[PontoPed]]&lt;1, 1, IF( tabItens[[#This Row],[Saldo]]&gt;tabItens[[#This Row],[PontoPed]], 0, (tabItens[[#This Row],[PontoPed]]-tabItens[[#This Row],[Saldo]])/tabItens[[#This Row],[PontoPed]] ) ), 0 )</f>
        <v>0</v>
      </c>
      <c r="BD207" s="405">
        <f>ROUNDDOWN(IF( OR( AND(tabItens[[#This Row],[PontoPed]]&lt;tabItens[[#This Row],[Saldo]],tabItens[[#This Row],[Saldo]]&gt;0), tabItens[[#This Row],[PontoPed]]=0), 99, IF(AND(tabItens[[#This Row],[Saldo]]=0,tabItens[[#This Row],[PontoPed]]&gt;0), 0, (1-tabItens[[#This Row],[PctAb]])*10 ) ),0)</f>
        <v>99</v>
      </c>
      <c r="BE207" s="406">
        <f>MAX(ROUNDDOWN( IF(tabItens[[#This Row],[Abaixo]] &gt; 0,   tabItens[[#This Row],[Abaixo]] + (tabItens[[#This Row],[PontoMês]] * IF( OR( ISBLANK(tabItens[[#This Row],[ATA Nº/ANO]]), tabItens[[#This Row],[ATA Nº/ANO]] = ""),BE$2,BE$1)),0),0),0)</f>
        <v>0</v>
      </c>
      <c r="BF20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7" s="338">
        <f>SUMIF(Consumo!$C$3:$C$862,tabItens[[#This Row],[CÓDIGO]],Consumo!$E$3:$E$862)</f>
        <v>2</v>
      </c>
      <c r="BH207" s="339">
        <f>IF(AND(tabItens[[#This Row],[Pend]] &gt; 0,tabItens[[#This Row],[Consumo]] &lt;&gt; 0), tabItens[[#This Row],[Pend]] / tabItens[[#This Row],[Consumo]], 0 )</f>
        <v>5.272871078302136E-4</v>
      </c>
      <c r="BI207" s="338"/>
      <c r="BJ207" s="407"/>
      <c r="BK207" s="408" t="s">
        <v>2086</v>
      </c>
    </row>
    <row r="208" spans="1:63" x14ac:dyDescent="0.3">
      <c r="A208" s="375">
        <v>92908</v>
      </c>
      <c r="B208" s="376" t="s">
        <v>1536</v>
      </c>
      <c r="C208" s="377" t="s">
        <v>267</v>
      </c>
      <c r="D208" s="378">
        <v>38</v>
      </c>
      <c r="E208" s="305"/>
      <c r="F208" s="379"/>
      <c r="G208" s="379" t="s">
        <v>889</v>
      </c>
      <c r="H208" s="380">
        <v>1822</v>
      </c>
      <c r="I208" s="307">
        <v>103003</v>
      </c>
      <c r="J208" s="308">
        <v>38</v>
      </c>
      <c r="K208" s="381">
        <v>3092</v>
      </c>
      <c r="L208" s="382">
        <f>IF(tabItens[[#This Row],[Média]] &gt; 0, tabItens[[#This Row],[QTDE ATUAL]] / tabItens[[#This Row],[Média]],999.9)</f>
        <v>6.4343731606827541</v>
      </c>
      <c r="M208" s="383">
        <v>0</v>
      </c>
      <c r="N208" s="384">
        <f>tabItens[[#This Row],[VALOR UNIT.]] * tabItens[[#This Row],[LC]]</f>
        <v>0</v>
      </c>
      <c r="O208" s="385" t="s">
        <v>2088</v>
      </c>
      <c r="P208" s="386"/>
      <c r="Q208" s="387"/>
      <c r="R208" s="312"/>
      <c r="S208" s="388"/>
      <c r="T208" s="389">
        <f>ROUNDDOWN(IFERROR(tabItens[[#This Row],[ATA DT.VALID.]] - $D$1,0) / 30,0)</f>
        <v>-1474</v>
      </c>
      <c r="U208" s="302" t="s">
        <v>1364</v>
      </c>
      <c r="V208" s="318">
        <v>1</v>
      </c>
      <c r="W208" s="390" t="s">
        <v>2074</v>
      </c>
      <c r="X208" s="391">
        <v>57</v>
      </c>
      <c r="Y208" s="392">
        <v>17</v>
      </c>
      <c r="Z208" s="393"/>
      <c r="AA208" s="394"/>
      <c r="AB208" s="395"/>
      <c r="AC208" s="395"/>
      <c r="AD208" s="394"/>
      <c r="AE208" s="395"/>
      <c r="AF208" s="317"/>
      <c r="AG208" s="396" t="s">
        <v>2072</v>
      </c>
      <c r="AH208" s="397"/>
      <c r="AI208" s="317">
        <v>1328</v>
      </c>
      <c r="AJ208" s="397">
        <v>44141</v>
      </c>
      <c r="AK208" s="326">
        <v>38904</v>
      </c>
      <c r="AL208" s="326">
        <v>45049</v>
      </c>
      <c r="AM208" s="316"/>
      <c r="AN208" s="305"/>
      <c r="AO208" s="327" t="str">
        <f>_xlfn.IFNA(IF(VLOOKUP(tabItens[[#This Row],[CÓDIGO]],tabExcluirDoEstoque[#Data],1,FALSE),"sim",""),"")</f>
        <v/>
      </c>
      <c r="AP208" s="398" t="str">
        <f ca="1">IF(OR(ISBLANK(tabItens[[#This Row],[ATA DT.VALID.]]),tabItens[[#This Row],[ATA DT.VALID.]]="",tabItens[[#This Row],[ATA DT.VALID.]]=" "),"",IF(TYPE(tabItens[[#This Row],[ATA DT.VALID.]])=1,ROUNDUP((tabItens[[#This Row],[ATA DT.VALID.]]-TODAY())/7,0),""))</f>
        <v/>
      </c>
      <c r="AQ208" s="399">
        <v>0</v>
      </c>
      <c r="AR208" s="400" t="str">
        <f>IF(ISBLANK(tabItens[[#This Row],[CÓDIGO]]),"",IFERROR(VLOOKUP(tabItens[[#This Row],[CÓDIGO]],Consumo!$C$2:$AC$862,26,FALSE),0))</f>
        <v>09.2023</v>
      </c>
      <c r="AS208" s="401">
        <f>SUMIF(Consumo!$C$3:$C$862,tabItens[[#This Row],[CÓDIGO]],Consumo!$N$3:$N$862) + SUMIF(Consumo!$C$3:$C$862,tabItens[[#This Row],[CÓDIGO]],Consumo!$O$3:$O$862) + SUMIF(Consumo!$C$3:$C$862,tabItens[[#This Row],[CÓDIGO]],Consumo!$P$3:$P$862) + SUMIF(Consumo!$C$3:$C$862,tabItens[[#This Row],[CÓDIGO]],Consumo!$Q$3:$Q$862)</f>
        <v>951</v>
      </c>
      <c r="AT208" s="401">
        <f>SUMIF(Consumo!$C$3:$C$862,tabItens[[#This Row],[CÓDIGO]],Consumo!$Z$3:$Z$862)</f>
        <v>3998</v>
      </c>
      <c r="AU208" s="402">
        <f>SUMIF(Consumo!$C$3:$C$862,tabItens[[#This Row],[CÓDIGO]],Consumo!$AA$3:$AA$862)</f>
        <v>1900</v>
      </c>
      <c r="AV208" s="403">
        <f>SUMIF(Consumo!$C$3:$C$862,tabItens[[#This Row],[CÓDIGO]],Consumo!$Y$3:$Y$862)</f>
        <v>283.16666666666669</v>
      </c>
      <c r="AW208" s="380">
        <f>tabItens[[#This Row],[QTDE ATUAL]] + tabItens[[#This Row],[RC QTDE]] + tabItens[[#This Row],[AF SALDO]] + tabItens[[#This Row],[Recentes]]</f>
        <v>1822</v>
      </c>
      <c r="AX208" s="404">
        <v>327</v>
      </c>
      <c r="AY208" s="404">
        <v>4</v>
      </c>
      <c r="AZ208" s="404">
        <f>IF(ISBLANK(tabItens[[#This Row],[CÓDIGO]]),"",tabItens[[#This Row],[PontoMês]] * (AZ$2+tabItens[[#This Row],[PontoQtM]]))</f>
        <v>1308</v>
      </c>
      <c r="BA208" s="403">
        <f>tabItens[[#This Row],[PontoPed]] - tabItens[[#This Row],[Saldo]] + (1/10)</f>
        <v>-513.9</v>
      </c>
      <c r="BB208" s="403">
        <f xml:space="preserve"> tabItens[[#This Row],[PontoMês]] * BB$2 - tabItens[[#This Row],[QTDE ATUAL]] - (1/10)</f>
        <v>-1495.1</v>
      </c>
      <c r="BC208" s="335">
        <f>IF( tabItens[[#This Row],[PontoPed]]&gt;0, IF(tabItens[[#This Row],[PontoPed]]&lt;1, 1, IF( tabItens[[#This Row],[Saldo]]&gt;tabItens[[#This Row],[PontoPed]], 0, (tabItens[[#This Row],[PontoPed]]-tabItens[[#This Row],[Saldo]])/tabItens[[#This Row],[PontoPed]] ) ), 0 )</f>
        <v>0</v>
      </c>
      <c r="BD208" s="405">
        <f>ROUNDDOWN(IF( OR( AND(tabItens[[#This Row],[PontoPed]]&lt;tabItens[[#This Row],[Saldo]],tabItens[[#This Row],[Saldo]]&gt;0), tabItens[[#This Row],[PontoPed]]=0), 99, IF(AND(tabItens[[#This Row],[Saldo]]=0,tabItens[[#This Row],[PontoPed]]&gt;0), 0, (1-tabItens[[#This Row],[PctAb]])*10 ) ),0)</f>
        <v>99</v>
      </c>
      <c r="BE208" s="406">
        <f>MAX(ROUNDDOWN( IF(tabItens[[#This Row],[Abaixo]] &gt; 0,   tabItens[[#This Row],[Abaixo]] + (tabItens[[#This Row],[PontoMês]] * IF( OR( ISBLANK(tabItens[[#This Row],[ATA Nº/ANO]]), tabItens[[#This Row],[ATA Nº/ANO]] = ""),BE$2,BE$1)),0),0),0)</f>
        <v>0</v>
      </c>
      <c r="BF20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8" s="338">
        <f>SUMIF(Consumo!$C$3:$C$862,tabItens[[#This Row],[CÓDIGO]],Consumo!$E$3:$E$862)</f>
        <v>13</v>
      </c>
      <c r="BH208" s="339">
        <f>IF(AND(tabItens[[#This Row],[Pend]] &gt; 0,tabItens[[#This Row],[Consumo]] &lt;&gt; 0), tabItens[[#This Row],[Pend]] / tabItens[[#This Row],[Consumo]], 0 )</f>
        <v>3.2516258129064533E-3</v>
      </c>
      <c r="BI208" s="338"/>
      <c r="BJ208" s="407"/>
      <c r="BK208" s="408" t="s">
        <v>2086</v>
      </c>
    </row>
    <row r="209" spans="1:63" x14ac:dyDescent="0.3">
      <c r="A209" s="375">
        <v>130624</v>
      </c>
      <c r="B209" s="376" t="s">
        <v>1807</v>
      </c>
      <c r="C209" s="377" t="s">
        <v>267</v>
      </c>
      <c r="D209" s="378">
        <v>9.5500000000000007</v>
      </c>
      <c r="E209" s="305"/>
      <c r="F209" s="379"/>
      <c r="G209" s="379" t="s">
        <v>889</v>
      </c>
      <c r="H209" s="380">
        <v>6998</v>
      </c>
      <c r="I209" s="307">
        <v>103003</v>
      </c>
      <c r="J209" s="308">
        <v>9.5500000000000007</v>
      </c>
      <c r="K209" s="381">
        <v>21534</v>
      </c>
      <c r="L209" s="382">
        <f>IF(tabItens[[#This Row],[Média]] &gt; 0, tabItens[[#This Row],[QTDE ATUAL]] / tabItens[[#This Row],[Média]],999.9)</f>
        <v>3.7236608726498761</v>
      </c>
      <c r="M209" s="383">
        <v>0</v>
      </c>
      <c r="N209" s="384">
        <f>tabItens[[#This Row],[VALOR UNIT.]] * tabItens[[#This Row],[LC]]</f>
        <v>0</v>
      </c>
      <c r="O209" s="385" t="s">
        <v>2088</v>
      </c>
      <c r="P209" s="386"/>
      <c r="Q209" s="387"/>
      <c r="R209" s="312"/>
      <c r="S209" s="388"/>
      <c r="T209" s="389">
        <f>ROUNDDOWN(IFERROR(tabItens[[#This Row],[ATA DT.VALID.]] - $D$1,0) / 30,0)</f>
        <v>-1474</v>
      </c>
      <c r="U209" s="302" t="s">
        <v>1364</v>
      </c>
      <c r="V209" s="318">
        <v>1</v>
      </c>
      <c r="W209" s="390" t="s">
        <v>2074</v>
      </c>
      <c r="X209" s="391">
        <v>57</v>
      </c>
      <c r="Y209" s="392">
        <v>17</v>
      </c>
      <c r="Z209" s="393">
        <v>6217</v>
      </c>
      <c r="AA209" s="394">
        <v>2023</v>
      </c>
      <c r="AB209" s="395">
        <v>1000</v>
      </c>
      <c r="AC209" s="395"/>
      <c r="AD209" s="394"/>
      <c r="AE209" s="395"/>
      <c r="AF209" s="317"/>
      <c r="AG209" s="396" t="s">
        <v>2072</v>
      </c>
      <c r="AH209" s="397"/>
      <c r="AI209" s="317">
        <v>9120</v>
      </c>
      <c r="AJ209" s="397">
        <v>44991</v>
      </c>
      <c r="AK209" s="326">
        <v>42205</v>
      </c>
      <c r="AL209" s="326">
        <v>45043</v>
      </c>
      <c r="AM209" s="316"/>
      <c r="AN209" s="305"/>
      <c r="AO209" s="327" t="str">
        <f>_xlfn.IFNA(IF(VLOOKUP(tabItens[[#This Row],[CÓDIGO]],tabExcluirDoEstoque[#Data],1,FALSE),"sim",""),"")</f>
        <v/>
      </c>
      <c r="AP209" s="398" t="str">
        <f ca="1">IF(OR(ISBLANK(tabItens[[#This Row],[ATA DT.VALID.]]),tabItens[[#This Row],[ATA DT.VALID.]]="",tabItens[[#This Row],[ATA DT.VALID.]]=" "),"",IF(TYPE(tabItens[[#This Row],[ATA DT.VALID.]])=1,ROUNDUP((tabItens[[#This Row],[ATA DT.VALID.]]-TODAY())/7,0),""))</f>
        <v/>
      </c>
      <c r="AQ209" s="399">
        <v>0</v>
      </c>
      <c r="AR209" s="400" t="str">
        <f>IF(ISBLANK(tabItens[[#This Row],[CÓDIGO]]),"",IFERROR(VLOOKUP(tabItens[[#This Row],[CÓDIGO]],Consumo!$C$2:$AC$862,26,FALSE),0))</f>
        <v>09.2023</v>
      </c>
      <c r="AS209" s="401">
        <f>SUMIF(Consumo!$C$3:$C$862,tabItens[[#This Row],[CÓDIGO]],Consumo!$N$3:$N$862) + SUMIF(Consumo!$C$3:$C$862,tabItens[[#This Row],[CÓDIGO]],Consumo!$O$3:$O$862) + SUMIF(Consumo!$C$3:$C$862,tabItens[[#This Row],[CÓDIGO]],Consumo!$P$3:$P$862) + SUMIF(Consumo!$C$3:$C$862,tabItens[[#This Row],[CÓDIGO]],Consumo!$Q$3:$Q$862)</f>
        <v>4878</v>
      </c>
      <c r="AT209" s="401">
        <f>SUMIF(Consumo!$C$3:$C$862,tabItens[[#This Row],[CÓDIGO]],Consumo!$Z$3:$Z$862)</f>
        <v>27391</v>
      </c>
      <c r="AU209" s="402">
        <f>SUMIF(Consumo!$C$3:$C$862,tabItens[[#This Row],[CÓDIGO]],Consumo!$AA$3:$AA$862)</f>
        <v>14769</v>
      </c>
      <c r="AV209" s="403">
        <f>SUMIF(Consumo!$C$3:$C$862,tabItens[[#This Row],[CÓDIGO]],Consumo!$Y$3:$Y$862)</f>
        <v>1879.3333333333333</v>
      </c>
      <c r="AW209" s="380">
        <f>tabItens[[#This Row],[QTDE ATUAL]] + tabItens[[#This Row],[RC QTDE]] + tabItens[[#This Row],[AF SALDO]] + tabItens[[#This Row],[Recentes]]</f>
        <v>7998</v>
      </c>
      <c r="AX209" s="404">
        <v>2667</v>
      </c>
      <c r="AY209" s="404">
        <v>4</v>
      </c>
      <c r="AZ209" s="404">
        <f>IF(ISBLANK(tabItens[[#This Row],[CÓDIGO]]),"",tabItens[[#This Row],[PontoMês]] * (AZ$2+tabItens[[#This Row],[PontoQtM]]))</f>
        <v>10668</v>
      </c>
      <c r="BA209" s="403">
        <f>tabItens[[#This Row],[PontoPed]] - tabItens[[#This Row],[Saldo]] + (1/10)</f>
        <v>2670.1</v>
      </c>
      <c r="BB209" s="403">
        <f xml:space="preserve"> tabItens[[#This Row],[PontoMês]] * BB$2 - tabItens[[#This Row],[QTDE ATUAL]] - (1/10)</f>
        <v>-4331.1000000000004</v>
      </c>
      <c r="BC209" s="335">
        <f>IF( tabItens[[#This Row],[PontoPed]]&gt;0, IF(tabItens[[#This Row],[PontoPed]]&lt;1, 1, IF( tabItens[[#This Row],[Saldo]]&gt;tabItens[[#This Row],[PontoPed]], 0, (tabItens[[#This Row],[PontoPed]]-tabItens[[#This Row],[Saldo]])/tabItens[[#This Row],[PontoPed]] ) ), 0 )</f>
        <v>0.25028121484814397</v>
      </c>
      <c r="BD209" s="405">
        <f>ROUNDDOWN(IF( OR( AND(tabItens[[#This Row],[PontoPed]]&lt;tabItens[[#This Row],[Saldo]],tabItens[[#This Row],[Saldo]]&gt;0), tabItens[[#This Row],[PontoPed]]=0), 99, IF(AND(tabItens[[#This Row],[Saldo]]=0,tabItens[[#This Row],[PontoPed]]&gt;0), 0, (1-tabItens[[#This Row],[PctAb]])*10 ) ),0)</f>
        <v>7</v>
      </c>
      <c r="BE209" s="406">
        <f>MAX(ROUNDDOWN( IF(tabItens[[#This Row],[Abaixo]] &gt; 0,   tabItens[[#This Row],[Abaixo]] + (tabItens[[#This Row],[PontoMês]] * IF( OR( ISBLANK(tabItens[[#This Row],[ATA Nº/ANO]]), tabItens[[#This Row],[ATA Nº/ANO]] = ""),BE$2,BE$1)),0),0),0)</f>
        <v>10671</v>
      </c>
      <c r="BF20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9" s="338">
        <f>SUMIF(Consumo!$C$3:$C$862,tabItens[[#This Row],[CÓDIGO]],Consumo!$E$3:$E$862)</f>
        <v>30</v>
      </c>
      <c r="BH209" s="339">
        <f>IF(AND(tabItens[[#This Row],[Pend]] &gt; 0,tabItens[[#This Row],[Consumo]] &lt;&gt; 0), tabItens[[#This Row],[Pend]] / tabItens[[#This Row],[Consumo]], 0 )</f>
        <v>1.0952502646854807E-3</v>
      </c>
      <c r="BI209" s="338"/>
      <c r="BJ209" s="407"/>
      <c r="BK209" s="408" t="s">
        <v>2086</v>
      </c>
    </row>
    <row r="210" spans="1:63" x14ac:dyDescent="0.3">
      <c r="A210" s="375">
        <v>132303</v>
      </c>
      <c r="B210" s="376" t="s">
        <v>1831</v>
      </c>
      <c r="C210" s="377" t="s">
        <v>1343</v>
      </c>
      <c r="D210" s="378">
        <v>6.22</v>
      </c>
      <c r="E210" s="305"/>
      <c r="F210" s="379"/>
      <c r="G210" s="379" t="s">
        <v>889</v>
      </c>
      <c r="H210" s="380">
        <v>6832</v>
      </c>
      <c r="I210" s="307">
        <v>103003</v>
      </c>
      <c r="J210" s="308">
        <v>6.22</v>
      </c>
      <c r="K210" s="381">
        <v>15996</v>
      </c>
      <c r="L210" s="382">
        <f>IF(tabItens[[#This Row],[Média]] &gt; 0, tabItens[[#This Row],[QTDE ATUAL]] / tabItens[[#This Row],[Média]],999.9)</f>
        <v>4.5435601862114829</v>
      </c>
      <c r="M210" s="383">
        <v>0</v>
      </c>
      <c r="N210" s="384">
        <f>tabItens[[#This Row],[VALOR UNIT.]] * tabItens[[#This Row],[LC]]</f>
        <v>0</v>
      </c>
      <c r="O210" s="385" t="s">
        <v>2088</v>
      </c>
      <c r="P210" s="386"/>
      <c r="Q210" s="387"/>
      <c r="R210" s="312"/>
      <c r="S210" s="388"/>
      <c r="T210" s="389">
        <f>ROUNDDOWN(IFERROR(tabItens[[#This Row],[ATA DT.VALID.]] - $D$1,0) / 30,0)</f>
        <v>-1474</v>
      </c>
      <c r="U210" s="302" t="s">
        <v>1364</v>
      </c>
      <c r="V210" s="318">
        <v>1</v>
      </c>
      <c r="W210" s="390" t="s">
        <v>2074</v>
      </c>
      <c r="X210" s="391">
        <v>57</v>
      </c>
      <c r="Y210" s="392">
        <v>17</v>
      </c>
      <c r="Z210" s="393"/>
      <c r="AA210" s="394"/>
      <c r="AB210" s="395"/>
      <c r="AC210" s="395"/>
      <c r="AD210" s="394"/>
      <c r="AE210" s="395"/>
      <c r="AF210" s="317"/>
      <c r="AG210" s="396" t="s">
        <v>2072</v>
      </c>
      <c r="AH210" s="397"/>
      <c r="AI210" s="317">
        <v>6952</v>
      </c>
      <c r="AJ210" s="397">
        <v>44466</v>
      </c>
      <c r="AK210" s="326">
        <v>42685</v>
      </c>
      <c r="AL210" s="326">
        <v>44460</v>
      </c>
      <c r="AM210" s="316"/>
      <c r="AN210" s="305"/>
      <c r="AO210" s="327" t="str">
        <f>_xlfn.IFNA(IF(VLOOKUP(tabItens[[#This Row],[CÓDIGO]],tabExcluirDoEstoque[#Data],1,FALSE),"sim",""),"")</f>
        <v/>
      </c>
      <c r="AP210" s="398" t="str">
        <f ca="1">IF(OR(ISBLANK(tabItens[[#This Row],[ATA DT.VALID.]]),tabItens[[#This Row],[ATA DT.VALID.]]="",tabItens[[#This Row],[ATA DT.VALID.]]=" "),"",IF(TYPE(tabItens[[#This Row],[ATA DT.VALID.]])=1,ROUNDUP((tabItens[[#This Row],[ATA DT.VALID.]]-TODAY())/7,0),""))</f>
        <v/>
      </c>
      <c r="AQ210" s="399">
        <v>0</v>
      </c>
      <c r="AR210" s="400" t="str">
        <f>IF(ISBLANK(tabItens[[#This Row],[CÓDIGO]]),"",IFERROR(VLOOKUP(tabItens[[#This Row],[CÓDIGO]],Consumo!$C$2:$AC$862,26,FALSE),0))</f>
        <v>09.2023</v>
      </c>
      <c r="AS210" s="401">
        <f>SUMIF(Consumo!$C$3:$C$862,tabItens[[#This Row],[CÓDIGO]],Consumo!$N$3:$N$862) + SUMIF(Consumo!$C$3:$C$862,tabItens[[#This Row],[CÓDIGO]],Consumo!$O$3:$O$862) + SUMIF(Consumo!$C$3:$C$862,tabItens[[#This Row],[CÓDIGO]],Consumo!$P$3:$P$862) + SUMIF(Consumo!$C$3:$C$862,tabItens[[#This Row],[CÓDIGO]],Consumo!$Q$3:$Q$862)</f>
        <v>5161</v>
      </c>
      <c r="AT210" s="401">
        <f>SUMIF(Consumo!$C$3:$C$862,tabItens[[#This Row],[CÓDIGO]],Consumo!$Z$3:$Z$862)</f>
        <v>20874</v>
      </c>
      <c r="AU210" s="402">
        <f>SUMIF(Consumo!$C$3:$C$862,tabItens[[#This Row],[CÓDIGO]],Consumo!$AA$3:$AA$862)</f>
        <v>9277</v>
      </c>
      <c r="AV210" s="403">
        <f>SUMIF(Consumo!$C$3:$C$862,tabItens[[#This Row],[CÓDIGO]],Consumo!$Y$3:$Y$862)</f>
        <v>1503.6666666666667</v>
      </c>
      <c r="AW210" s="380">
        <f>tabItens[[#This Row],[QTDE ATUAL]] + tabItens[[#This Row],[RC QTDE]] + tabItens[[#This Row],[AF SALDO]] + tabItens[[#This Row],[Recentes]]</f>
        <v>6832</v>
      </c>
      <c r="AX210" s="404">
        <v>2084</v>
      </c>
      <c r="AY210" s="404">
        <v>4</v>
      </c>
      <c r="AZ210" s="404">
        <f>IF(ISBLANK(tabItens[[#This Row],[CÓDIGO]]),"",tabItens[[#This Row],[PontoMês]] * (AZ$2+tabItens[[#This Row],[PontoQtM]]))</f>
        <v>8336</v>
      </c>
      <c r="BA210" s="403">
        <f>tabItens[[#This Row],[PontoPed]] - tabItens[[#This Row],[Saldo]] + (1/10)</f>
        <v>1504.1</v>
      </c>
      <c r="BB210" s="403">
        <f xml:space="preserve"> tabItens[[#This Row],[PontoMês]] * BB$2 - tabItens[[#This Row],[QTDE ATUAL]] - (1/10)</f>
        <v>-4748.1000000000004</v>
      </c>
      <c r="BC210" s="335">
        <f>IF( tabItens[[#This Row],[PontoPed]]&gt;0, IF(tabItens[[#This Row],[PontoPed]]&lt;1, 1, IF( tabItens[[#This Row],[Saldo]]&gt;tabItens[[#This Row],[PontoPed]], 0, (tabItens[[#This Row],[PontoPed]]-tabItens[[#This Row],[Saldo]])/tabItens[[#This Row],[PontoPed]] ) ), 0 )</f>
        <v>0.18042226487523993</v>
      </c>
      <c r="BD210" s="405">
        <f>ROUNDDOWN(IF( OR( AND(tabItens[[#This Row],[PontoPed]]&lt;tabItens[[#This Row],[Saldo]],tabItens[[#This Row],[Saldo]]&gt;0), tabItens[[#This Row],[PontoPed]]=0), 99, IF(AND(tabItens[[#This Row],[Saldo]]=0,tabItens[[#This Row],[PontoPed]]&gt;0), 0, (1-tabItens[[#This Row],[PctAb]])*10 ) ),0)</f>
        <v>8</v>
      </c>
      <c r="BE210" s="406">
        <f>MAX(ROUNDDOWN( IF(tabItens[[#This Row],[Abaixo]] &gt; 0,   tabItens[[#This Row],[Abaixo]] + (tabItens[[#This Row],[PontoMês]] * IF( OR( ISBLANK(tabItens[[#This Row],[ATA Nº/ANO]]), tabItens[[#This Row],[ATA Nº/ANO]] = ""),BE$2,BE$1)),0),0),0)</f>
        <v>7756</v>
      </c>
      <c r="BF21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0" s="338">
        <f>SUMIF(Consumo!$C$3:$C$862,tabItens[[#This Row],[CÓDIGO]],Consumo!$E$3:$E$862)</f>
        <v>20</v>
      </c>
      <c r="BH210" s="339">
        <f>IF(AND(tabItens[[#This Row],[Pend]] &gt; 0,tabItens[[#This Row],[Consumo]] &lt;&gt; 0), tabItens[[#This Row],[Pend]] / tabItens[[#This Row],[Consumo]], 0 )</f>
        <v>9.5812973076554568E-4</v>
      </c>
      <c r="BI210" s="338"/>
      <c r="BJ210" s="407"/>
      <c r="BK210" s="408" t="s">
        <v>2086</v>
      </c>
    </row>
    <row r="211" spans="1:63" x14ac:dyDescent="0.3">
      <c r="A211" s="375">
        <v>10302</v>
      </c>
      <c r="B211" s="376" t="s">
        <v>899</v>
      </c>
      <c r="C211" s="377" t="s">
        <v>900</v>
      </c>
      <c r="D211" s="378">
        <v>15.86</v>
      </c>
      <c r="E211" s="305"/>
      <c r="F211" s="379"/>
      <c r="G211" s="379" t="s">
        <v>889</v>
      </c>
      <c r="H211" s="380">
        <v>7683</v>
      </c>
      <c r="I211" s="307">
        <v>103003</v>
      </c>
      <c r="J211" s="308">
        <v>15.86</v>
      </c>
      <c r="K211" s="381">
        <v>2830</v>
      </c>
      <c r="L211" s="382">
        <f>IF(tabItens[[#This Row],[Média]] &gt; 0, tabItens[[#This Row],[QTDE ATUAL]] / tabItens[[#This Row],[Média]],999.9)</f>
        <v>31.12626603646185</v>
      </c>
      <c r="M211" s="383">
        <v>0</v>
      </c>
      <c r="N211" s="384">
        <f>tabItens[[#This Row],[VALOR UNIT.]] * tabItens[[#This Row],[LC]]</f>
        <v>0</v>
      </c>
      <c r="O211" s="385" t="s">
        <v>2088</v>
      </c>
      <c r="P211" s="386"/>
      <c r="Q211" s="387"/>
      <c r="R211" s="312"/>
      <c r="S211" s="388"/>
      <c r="T211" s="389">
        <f>ROUNDDOWN(IFERROR(tabItens[[#This Row],[ATA DT.VALID.]] - $D$1,0) / 30,0)</f>
        <v>-1474</v>
      </c>
      <c r="U211" s="302" t="s">
        <v>901</v>
      </c>
      <c r="V211" s="318">
        <v>1</v>
      </c>
      <c r="W211" s="390" t="s">
        <v>2074</v>
      </c>
      <c r="X211" s="391">
        <v>57</v>
      </c>
      <c r="Y211" s="392">
        <v>19</v>
      </c>
      <c r="Z211" s="393"/>
      <c r="AA211" s="394"/>
      <c r="AB211" s="395"/>
      <c r="AC211" s="395"/>
      <c r="AD211" s="394"/>
      <c r="AE211" s="395"/>
      <c r="AF211" s="317"/>
      <c r="AG211" s="396" t="s">
        <v>2072</v>
      </c>
      <c r="AH211" s="397"/>
      <c r="AI211" s="317">
        <v>1178</v>
      </c>
      <c r="AJ211" s="397">
        <v>43826</v>
      </c>
      <c r="AK211" s="326" t="s">
        <v>889</v>
      </c>
      <c r="AL211" s="326">
        <v>43815</v>
      </c>
      <c r="AM211" s="316"/>
      <c r="AN211" s="305"/>
      <c r="AO211" s="327" t="str">
        <f>_xlfn.IFNA(IF(VLOOKUP(tabItens[[#This Row],[CÓDIGO]],tabExcluirDoEstoque[#Data],1,FALSE),"sim",""),"")</f>
        <v/>
      </c>
      <c r="AP211" s="398" t="str">
        <f ca="1">IF(OR(ISBLANK(tabItens[[#This Row],[ATA DT.VALID.]]),tabItens[[#This Row],[ATA DT.VALID.]]="",tabItens[[#This Row],[ATA DT.VALID.]]=" "),"",IF(TYPE(tabItens[[#This Row],[ATA DT.VALID.]])=1,ROUNDUP((tabItens[[#This Row],[ATA DT.VALID.]]-TODAY())/7,0),""))</f>
        <v/>
      </c>
      <c r="AQ211" s="399">
        <v>0</v>
      </c>
      <c r="AR211" s="400" t="str">
        <f>IF(ISBLANK(tabItens[[#This Row],[CÓDIGO]]),"",IFERROR(VLOOKUP(tabItens[[#This Row],[CÓDIGO]],Consumo!$C$2:$AC$862,26,FALSE),0))</f>
        <v>09.2023</v>
      </c>
      <c r="AS211" s="401">
        <f>SUMIF(Consumo!$C$3:$C$862,tabItens[[#This Row],[CÓDIGO]],Consumo!$N$3:$N$862) + SUMIF(Consumo!$C$3:$C$862,tabItens[[#This Row],[CÓDIGO]],Consumo!$O$3:$O$862) + SUMIF(Consumo!$C$3:$C$862,tabItens[[#This Row],[CÓDIGO]],Consumo!$P$3:$P$862) + SUMIF(Consumo!$C$3:$C$862,tabItens[[#This Row],[CÓDIGO]],Consumo!$Q$3:$Q$862)</f>
        <v>698</v>
      </c>
      <c r="AT211" s="401">
        <f>SUMIF(Consumo!$C$3:$C$862,tabItens[[#This Row],[CÓDIGO]],Consumo!$Z$3:$Z$862)</f>
        <v>3557</v>
      </c>
      <c r="AU211" s="402">
        <f>SUMIF(Consumo!$C$3:$C$862,tabItens[[#This Row],[CÓDIGO]],Consumo!$AA$3:$AA$862)</f>
        <v>1839</v>
      </c>
      <c r="AV211" s="403">
        <f>SUMIF(Consumo!$C$3:$C$862,tabItens[[#This Row],[CÓDIGO]],Consumo!$Y$3:$Y$862)</f>
        <v>246.83333333333334</v>
      </c>
      <c r="AW211" s="380">
        <f>tabItens[[#This Row],[QTDE ATUAL]] + tabItens[[#This Row],[RC QTDE]] + tabItens[[#This Row],[AF SALDO]] + tabItens[[#This Row],[Recentes]]</f>
        <v>7683</v>
      </c>
      <c r="AX211" s="404">
        <v>316</v>
      </c>
      <c r="AY211" s="404">
        <v>4</v>
      </c>
      <c r="AZ211" s="404">
        <f>IF(ISBLANK(tabItens[[#This Row],[CÓDIGO]]),"",tabItens[[#This Row],[PontoMês]] * (AZ$2+tabItens[[#This Row],[PontoQtM]]))</f>
        <v>1264</v>
      </c>
      <c r="BA211" s="403">
        <f>tabItens[[#This Row],[PontoPed]] - tabItens[[#This Row],[Saldo]] + (1/10)</f>
        <v>-6418.9</v>
      </c>
      <c r="BB211" s="403">
        <f xml:space="preserve"> tabItens[[#This Row],[PontoMês]] * BB$2 - tabItens[[#This Row],[QTDE ATUAL]] - (1/10)</f>
        <v>-7367.1</v>
      </c>
      <c r="BC211" s="335">
        <f>IF( tabItens[[#This Row],[PontoPed]]&gt;0, IF(tabItens[[#This Row],[PontoPed]]&lt;1, 1, IF( tabItens[[#This Row],[Saldo]]&gt;tabItens[[#This Row],[PontoPed]], 0, (tabItens[[#This Row],[PontoPed]]-tabItens[[#This Row],[Saldo]])/tabItens[[#This Row],[PontoPed]] ) ), 0 )</f>
        <v>0</v>
      </c>
      <c r="BD211" s="405">
        <f>ROUNDDOWN(IF( OR( AND(tabItens[[#This Row],[PontoPed]]&lt;tabItens[[#This Row],[Saldo]],tabItens[[#This Row],[Saldo]]&gt;0), tabItens[[#This Row],[PontoPed]]=0), 99, IF(AND(tabItens[[#This Row],[Saldo]]=0,tabItens[[#This Row],[PontoPed]]&gt;0), 0, (1-tabItens[[#This Row],[PctAb]])*10 ) ),0)</f>
        <v>99</v>
      </c>
      <c r="BE211" s="406">
        <f>MAX(ROUNDDOWN( IF(tabItens[[#This Row],[Abaixo]] &gt; 0,   tabItens[[#This Row],[Abaixo]] + (tabItens[[#This Row],[PontoMês]] * IF( OR( ISBLANK(tabItens[[#This Row],[ATA Nº/ANO]]), tabItens[[#This Row],[ATA Nº/ANO]] = ""),BE$2,BE$1)),0),0),0)</f>
        <v>0</v>
      </c>
      <c r="BF21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1" s="338">
        <f>SUMIF(Consumo!$C$3:$C$862,tabItens[[#This Row],[CÓDIGO]],Consumo!$E$3:$E$862)</f>
        <v>24</v>
      </c>
      <c r="BH211" s="339">
        <f>IF(AND(tabItens[[#This Row],[Pend]] &gt; 0,tabItens[[#This Row],[Consumo]] &lt;&gt; 0), tabItens[[#This Row],[Pend]] / tabItens[[#This Row],[Consumo]], 0 )</f>
        <v>6.7472589260612875E-3</v>
      </c>
      <c r="BI211" s="338"/>
      <c r="BJ211" s="407"/>
      <c r="BK211" s="408" t="s">
        <v>2086</v>
      </c>
    </row>
    <row r="212" spans="1:63" x14ac:dyDescent="0.3">
      <c r="A212" s="375">
        <v>83838</v>
      </c>
      <c r="B212" s="376" t="s">
        <v>1491</v>
      </c>
      <c r="C212" s="377" t="s">
        <v>269</v>
      </c>
      <c r="D212" s="378">
        <v>11.87</v>
      </c>
      <c r="E212" s="305"/>
      <c r="F212" s="379"/>
      <c r="G212" s="379" t="s">
        <v>889</v>
      </c>
      <c r="H212" s="380">
        <v>3775</v>
      </c>
      <c r="I212" s="307">
        <v>103003</v>
      </c>
      <c r="J212" s="308">
        <v>11.87</v>
      </c>
      <c r="K212" s="381">
        <v>12812</v>
      </c>
      <c r="L212" s="382">
        <f>IF(tabItens[[#This Row],[Média]] &gt; 0, tabItens[[#This Row],[QTDE ATUAL]] / tabItens[[#This Row],[Média]],999.9)</f>
        <v>2.1129716871122719</v>
      </c>
      <c r="M212" s="383">
        <v>0</v>
      </c>
      <c r="N212" s="384">
        <f>tabItens[[#This Row],[VALOR UNIT.]] * tabItens[[#This Row],[LC]]</f>
        <v>0</v>
      </c>
      <c r="O212" s="385" t="s">
        <v>2166</v>
      </c>
      <c r="P212" s="386"/>
      <c r="Q212" s="387"/>
      <c r="R212" s="312"/>
      <c r="S212" s="388"/>
      <c r="T212" s="389">
        <f>ROUNDDOWN(IFERROR(tabItens[[#This Row],[ATA DT.VALID.]] - $D$1,0) / 30,0)</f>
        <v>-1474</v>
      </c>
      <c r="U212" s="302" t="s">
        <v>1492</v>
      </c>
      <c r="V212" s="318">
        <v>1</v>
      </c>
      <c r="W212" s="390" t="s">
        <v>2081</v>
      </c>
      <c r="X212" s="391">
        <v>54</v>
      </c>
      <c r="Y212" s="392">
        <v>4</v>
      </c>
      <c r="Z212" s="393"/>
      <c r="AA212" s="394"/>
      <c r="AB212" s="395"/>
      <c r="AC212" s="395"/>
      <c r="AD212" s="394"/>
      <c r="AE212" s="395"/>
      <c r="AF212" s="317"/>
      <c r="AG212" s="396" t="s">
        <v>2072</v>
      </c>
      <c r="AH212" s="397"/>
      <c r="AI212" s="317">
        <v>7168</v>
      </c>
      <c r="AJ212" s="397">
        <v>44876</v>
      </c>
      <c r="AK212" s="326">
        <v>38384</v>
      </c>
      <c r="AL212" s="326">
        <v>44833</v>
      </c>
      <c r="AM212" s="316"/>
      <c r="AN212" s="305"/>
      <c r="AO212" s="327" t="str">
        <f>_xlfn.IFNA(IF(VLOOKUP(tabItens[[#This Row],[CÓDIGO]],tabExcluirDoEstoque[#Data],1,FALSE),"sim",""),"")</f>
        <v/>
      </c>
      <c r="AP212" s="398" t="str">
        <f ca="1">IF(OR(ISBLANK(tabItens[[#This Row],[ATA DT.VALID.]]),tabItens[[#This Row],[ATA DT.VALID.]]="",tabItens[[#This Row],[ATA DT.VALID.]]=" "),"",IF(TYPE(tabItens[[#This Row],[ATA DT.VALID.]])=1,ROUNDUP((tabItens[[#This Row],[ATA DT.VALID.]]-TODAY())/7,0),""))</f>
        <v/>
      </c>
      <c r="AQ212" s="399">
        <v>0</v>
      </c>
      <c r="AR212" s="400" t="str">
        <f>IF(ISBLANK(tabItens[[#This Row],[CÓDIGO]]),"",IFERROR(VLOOKUP(tabItens[[#This Row],[CÓDIGO]],Consumo!$C$2:$AC$862,26,FALSE),0))</f>
        <v>09.2023</v>
      </c>
      <c r="AS212" s="401">
        <f>SUMIF(Consumo!$C$3:$C$862,tabItens[[#This Row],[CÓDIGO]],Consumo!$N$3:$N$862) + SUMIF(Consumo!$C$3:$C$862,tabItens[[#This Row],[CÓDIGO]],Consumo!$O$3:$O$862) + SUMIF(Consumo!$C$3:$C$862,tabItens[[#This Row],[CÓDIGO]],Consumo!$P$3:$P$862) + SUMIF(Consumo!$C$3:$C$862,tabItens[[#This Row],[CÓDIGO]],Consumo!$Q$3:$Q$862)</f>
        <v>8278</v>
      </c>
      <c r="AT212" s="401">
        <f>SUMIF(Consumo!$C$3:$C$862,tabItens[[#This Row],[CÓDIGO]],Consumo!$Z$3:$Z$862)</f>
        <v>21439</v>
      </c>
      <c r="AU212" s="402">
        <f>SUMIF(Consumo!$C$3:$C$862,tabItens[[#This Row],[CÓDIGO]],Consumo!$AA$3:$AA$862)</f>
        <v>2515</v>
      </c>
      <c r="AV212" s="403">
        <f>SUMIF(Consumo!$C$3:$C$862,tabItens[[#This Row],[CÓDIGO]],Consumo!$Y$3:$Y$862)</f>
        <v>1786.5833333333333</v>
      </c>
      <c r="AW212" s="380">
        <f>tabItens[[#This Row],[QTDE ATUAL]] + tabItens[[#This Row],[RC QTDE]] + tabItens[[#This Row],[AF SALDO]] + tabItens[[#This Row],[Recentes]]</f>
        <v>3775</v>
      </c>
      <c r="AX212" s="404">
        <v>1501</v>
      </c>
      <c r="AY212" s="404">
        <v>4</v>
      </c>
      <c r="AZ212" s="404">
        <f>IF(ISBLANK(tabItens[[#This Row],[CÓDIGO]]),"",tabItens[[#This Row],[PontoMês]] * (AZ$2+tabItens[[#This Row],[PontoQtM]]))</f>
        <v>6004</v>
      </c>
      <c r="BA212" s="403">
        <f>tabItens[[#This Row],[PontoPed]] - tabItens[[#This Row],[Saldo]] + (1/10)</f>
        <v>2229.1</v>
      </c>
      <c r="BB212" s="403">
        <f xml:space="preserve"> tabItens[[#This Row],[PontoMês]] * BB$2 - tabItens[[#This Row],[QTDE ATUAL]] - (1/10)</f>
        <v>-2274.1</v>
      </c>
      <c r="BC212" s="335">
        <f>IF( tabItens[[#This Row],[PontoPed]]&gt;0, IF(tabItens[[#This Row],[PontoPed]]&lt;1, 1, IF( tabItens[[#This Row],[Saldo]]&gt;tabItens[[#This Row],[PontoPed]], 0, (tabItens[[#This Row],[PontoPed]]-tabItens[[#This Row],[Saldo]])/tabItens[[#This Row],[PontoPed]] ) ), 0 )</f>
        <v>0.37125249833444368</v>
      </c>
      <c r="BD212" s="405">
        <f>ROUNDDOWN(IF( OR( AND(tabItens[[#This Row],[PontoPed]]&lt;tabItens[[#This Row],[Saldo]],tabItens[[#This Row],[Saldo]]&gt;0), tabItens[[#This Row],[PontoPed]]=0), 99, IF(AND(tabItens[[#This Row],[Saldo]]=0,tabItens[[#This Row],[PontoPed]]&gt;0), 0, (1-tabItens[[#This Row],[PctAb]])*10 ) ),0)</f>
        <v>6</v>
      </c>
      <c r="BE212" s="406">
        <f>MAX(ROUNDDOWN( IF(tabItens[[#This Row],[Abaixo]] &gt; 0,   tabItens[[#This Row],[Abaixo]] + (tabItens[[#This Row],[PontoMês]] * IF( OR( ISBLANK(tabItens[[#This Row],[ATA Nº/ANO]]), tabItens[[#This Row],[ATA Nº/ANO]] = ""),BE$2,BE$1)),0),0),0)</f>
        <v>6732</v>
      </c>
      <c r="BF21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2" s="338">
        <f>SUMIF(Consumo!$C$3:$C$862,tabItens[[#This Row],[CÓDIGO]],Consumo!$E$3:$E$862)</f>
        <v>35</v>
      </c>
      <c r="BH212" s="339">
        <f>IF(AND(tabItens[[#This Row],[Pend]] &gt; 0,tabItens[[#This Row],[Consumo]] &lt;&gt; 0), tabItens[[#This Row],[Pend]] / tabItens[[#This Row],[Consumo]], 0 )</f>
        <v>1.6325388311021968E-3</v>
      </c>
      <c r="BI212" s="338"/>
      <c r="BJ212" s="407"/>
      <c r="BK212" s="408" t="s">
        <v>2086</v>
      </c>
    </row>
    <row r="213" spans="1:63" x14ac:dyDescent="0.3">
      <c r="A213" s="375">
        <v>83839</v>
      </c>
      <c r="B213" s="376" t="s">
        <v>1493</v>
      </c>
      <c r="C213" s="377" t="s">
        <v>269</v>
      </c>
      <c r="D213" s="378">
        <v>20.85</v>
      </c>
      <c r="E213" s="305"/>
      <c r="F213" s="379"/>
      <c r="G213" s="379" t="s">
        <v>889</v>
      </c>
      <c r="H213" s="380">
        <v>0</v>
      </c>
      <c r="I213" s="307">
        <v>103003</v>
      </c>
      <c r="J213" s="308">
        <v>20.85</v>
      </c>
      <c r="K213" s="381">
        <v>3308</v>
      </c>
      <c r="L213" s="382">
        <f>IF(tabItens[[#This Row],[Média]] &gt; 0, tabItens[[#This Row],[QTDE ATUAL]] / tabItens[[#This Row],[Média]],999.9)</f>
        <v>0</v>
      </c>
      <c r="M213" s="383">
        <v>0</v>
      </c>
      <c r="N213" s="384">
        <f>tabItens[[#This Row],[VALOR UNIT.]] * tabItens[[#This Row],[LC]]</f>
        <v>0</v>
      </c>
      <c r="O213" s="385" t="s">
        <v>2166</v>
      </c>
      <c r="P213" s="386"/>
      <c r="Q213" s="387"/>
      <c r="R213" s="312"/>
      <c r="S213" s="388"/>
      <c r="T213" s="389">
        <f>ROUNDDOWN(IFERROR(tabItens[[#This Row],[ATA DT.VALID.]] - $D$1,0) / 30,0)</f>
        <v>-1474</v>
      </c>
      <c r="U213" s="302" t="s">
        <v>1492</v>
      </c>
      <c r="V213" s="318">
        <v>1</v>
      </c>
      <c r="W213" s="390" t="s">
        <v>2081</v>
      </c>
      <c r="X213" s="391">
        <v>54</v>
      </c>
      <c r="Y213" s="392">
        <v>4</v>
      </c>
      <c r="Z213" s="393"/>
      <c r="AA213" s="394"/>
      <c r="AB213" s="395"/>
      <c r="AC213" s="395"/>
      <c r="AD213" s="394"/>
      <c r="AE213" s="395"/>
      <c r="AF213" s="317"/>
      <c r="AG213" s="396" t="s">
        <v>2072</v>
      </c>
      <c r="AH213" s="397"/>
      <c r="AI213" s="317">
        <v>1906</v>
      </c>
      <c r="AJ213" s="397">
        <v>44558</v>
      </c>
      <c r="AK213" s="326">
        <v>38384</v>
      </c>
      <c r="AL213" s="326">
        <v>44538</v>
      </c>
      <c r="AM213" s="316"/>
      <c r="AN213" s="305"/>
      <c r="AO213" s="327" t="str">
        <f>_xlfn.IFNA(IF(VLOOKUP(tabItens[[#This Row],[CÓDIGO]],tabExcluirDoEstoque[#Data],1,FALSE),"sim",""),"")</f>
        <v/>
      </c>
      <c r="AP213" s="398" t="str">
        <f ca="1">IF(OR(ISBLANK(tabItens[[#This Row],[ATA DT.VALID.]]),tabItens[[#This Row],[ATA DT.VALID.]]="",tabItens[[#This Row],[ATA DT.VALID.]]=" "),"",IF(TYPE(tabItens[[#This Row],[ATA DT.VALID.]])=1,ROUNDUP((tabItens[[#This Row],[ATA DT.VALID.]]-TODAY())/7,0),""))</f>
        <v/>
      </c>
      <c r="AQ213" s="399">
        <v>0</v>
      </c>
      <c r="AR213" s="400" t="str">
        <f>IF(ISBLANK(tabItens[[#This Row],[CÓDIGO]]),"",IFERROR(VLOOKUP(tabItens[[#This Row],[CÓDIGO]],Consumo!$C$2:$AC$862,26,FALSE),0))</f>
        <v>09.2023</v>
      </c>
      <c r="AS213" s="401">
        <f>SUMIF(Consumo!$C$3:$C$862,tabItens[[#This Row],[CÓDIGO]],Consumo!$N$3:$N$862) + SUMIF(Consumo!$C$3:$C$862,tabItens[[#This Row],[CÓDIGO]],Consumo!$O$3:$O$862) + SUMIF(Consumo!$C$3:$C$862,tabItens[[#This Row],[CÓDIGO]],Consumo!$P$3:$P$862) + SUMIF(Consumo!$C$3:$C$862,tabItens[[#This Row],[CÓDIGO]],Consumo!$Q$3:$Q$862)</f>
        <v>2037</v>
      </c>
      <c r="AT213" s="401">
        <f>SUMIF(Consumo!$C$3:$C$862,tabItens[[#This Row],[CÓDIGO]],Consumo!$Z$3:$Z$862)</f>
        <v>5584</v>
      </c>
      <c r="AU213" s="402">
        <f>SUMIF(Consumo!$C$3:$C$862,tabItens[[#This Row],[CÓDIGO]],Consumo!$AA$3:$AA$862)</f>
        <v>726</v>
      </c>
      <c r="AV213" s="403">
        <f>SUMIF(Consumo!$C$3:$C$862,tabItens[[#This Row],[CÓDIGO]],Consumo!$Y$3:$Y$862)</f>
        <v>465.33333333333331</v>
      </c>
      <c r="AW213" s="380">
        <f>tabItens[[#This Row],[QTDE ATUAL]] + tabItens[[#This Row],[RC QTDE]] + tabItens[[#This Row],[AF SALDO]] + tabItens[[#This Row],[Recentes]]</f>
        <v>0</v>
      </c>
      <c r="AX213" s="404">
        <v>382</v>
      </c>
      <c r="AY213" s="404">
        <v>4</v>
      </c>
      <c r="AZ213" s="404">
        <f>IF(ISBLANK(tabItens[[#This Row],[CÓDIGO]]),"",tabItens[[#This Row],[PontoMês]] * (AZ$2+tabItens[[#This Row],[PontoQtM]]))</f>
        <v>1528</v>
      </c>
      <c r="BA213" s="403">
        <f>tabItens[[#This Row],[PontoPed]] - tabItens[[#This Row],[Saldo]] + (1/10)</f>
        <v>1528.1</v>
      </c>
      <c r="BB213" s="403">
        <f xml:space="preserve"> tabItens[[#This Row],[PontoMês]] * BB$2 - tabItens[[#This Row],[QTDE ATUAL]] - (1/10)</f>
        <v>381.9</v>
      </c>
      <c r="BC213" s="335">
        <f>IF( tabItens[[#This Row],[PontoPed]]&gt;0, IF(tabItens[[#This Row],[PontoPed]]&lt;1, 1, IF( tabItens[[#This Row],[Saldo]]&gt;tabItens[[#This Row],[PontoPed]], 0, (tabItens[[#This Row],[PontoPed]]-tabItens[[#This Row],[Saldo]])/tabItens[[#This Row],[PontoPed]] ) ), 0 )</f>
        <v>1</v>
      </c>
      <c r="BD213" s="405">
        <f>ROUNDDOWN(IF( OR( AND(tabItens[[#This Row],[PontoPed]]&lt;tabItens[[#This Row],[Saldo]],tabItens[[#This Row],[Saldo]]&gt;0), tabItens[[#This Row],[PontoPed]]=0), 99, IF(AND(tabItens[[#This Row],[Saldo]]=0,tabItens[[#This Row],[PontoPed]]&gt;0), 0, (1-tabItens[[#This Row],[PctAb]])*10 ) ),0)</f>
        <v>0</v>
      </c>
      <c r="BE213" s="406">
        <f>MAX(ROUNDDOWN( IF(tabItens[[#This Row],[Abaixo]] &gt; 0,   tabItens[[#This Row],[Abaixo]] + (tabItens[[#This Row],[PontoMês]] * IF( OR( ISBLANK(tabItens[[#This Row],[ATA Nº/ANO]]), tabItens[[#This Row],[ATA Nº/ANO]] = ""),BE$2,BE$1)),0),0),0)</f>
        <v>2674</v>
      </c>
      <c r="BF21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3" s="338">
        <f>SUMIF(Consumo!$C$3:$C$862,tabItens[[#This Row],[CÓDIGO]],Consumo!$E$3:$E$862)</f>
        <v>1</v>
      </c>
      <c r="BH213" s="339">
        <f>IF(AND(tabItens[[#This Row],[Pend]] &gt; 0,tabItens[[#This Row],[Consumo]] &lt;&gt; 0), tabItens[[#This Row],[Pend]] / tabItens[[#This Row],[Consumo]], 0 )</f>
        <v>1.7908309455587392E-4</v>
      </c>
      <c r="BI213" s="338"/>
      <c r="BJ213" s="407"/>
      <c r="BK213" s="408" t="s">
        <v>2086</v>
      </c>
    </row>
    <row r="214" spans="1:63" x14ac:dyDescent="0.3">
      <c r="A214" s="375">
        <v>135013</v>
      </c>
      <c r="B214" s="376" t="s">
        <v>1907</v>
      </c>
      <c r="C214" s="377" t="s">
        <v>436</v>
      </c>
      <c r="D214" s="378">
        <v>51.52</v>
      </c>
      <c r="E214" s="305"/>
      <c r="F214" s="379"/>
      <c r="G214" s="379" t="s">
        <v>889</v>
      </c>
      <c r="H214" s="380">
        <v>1</v>
      </c>
      <c r="I214" s="307">
        <v>103003</v>
      </c>
      <c r="J214" s="308">
        <v>51.52</v>
      </c>
      <c r="K214" s="381"/>
      <c r="L214" s="382">
        <f>IF(tabItens[[#This Row],[Média]] &gt; 0, tabItens[[#This Row],[QTDE ATUAL]] / tabItens[[#This Row],[Média]],999.9)</f>
        <v>999.9</v>
      </c>
      <c r="M214" s="383">
        <v>0</v>
      </c>
      <c r="N214" s="384">
        <f>tabItens[[#This Row],[VALOR UNIT.]] * tabItens[[#This Row],[LC]]</f>
        <v>0</v>
      </c>
      <c r="O214" s="385" t="s">
        <v>2206</v>
      </c>
      <c r="P214" s="386"/>
      <c r="Q214" s="387"/>
      <c r="R214" s="312"/>
      <c r="S214" s="388"/>
      <c r="T214" s="389">
        <f>ROUNDDOWN(IFERROR(tabItens[[#This Row],[ATA DT.VALID.]] - $D$1,0) / 30,0)</f>
        <v>-1474</v>
      </c>
      <c r="U214" s="302" t="s">
        <v>1492</v>
      </c>
      <c r="V214" s="318">
        <v>1</v>
      </c>
      <c r="W214" s="390" t="s">
        <v>2081</v>
      </c>
      <c r="X214" s="391">
        <v>54</v>
      </c>
      <c r="Y214" s="392">
        <v>4</v>
      </c>
      <c r="Z214" s="393"/>
      <c r="AA214" s="394"/>
      <c r="AB214" s="395"/>
      <c r="AC214" s="395"/>
      <c r="AD214" s="394"/>
      <c r="AE214" s="395"/>
      <c r="AF214" s="317"/>
      <c r="AG214" s="396" t="s">
        <v>2072</v>
      </c>
      <c r="AH214" s="397"/>
      <c r="AI214" s="317">
        <v>0</v>
      </c>
      <c r="AJ214" s="397">
        <v>43818</v>
      </c>
      <c r="AK214" s="326">
        <v>43235</v>
      </c>
      <c r="AL214" s="326">
        <v>43780</v>
      </c>
      <c r="AM214" s="316"/>
      <c r="AN214" s="305"/>
      <c r="AO214" s="327" t="str">
        <f>_xlfn.IFNA(IF(VLOOKUP(tabItens[[#This Row],[CÓDIGO]],tabExcluirDoEstoque[#Data],1,FALSE),"sim",""),"")</f>
        <v/>
      </c>
      <c r="AP214" s="398" t="str">
        <f ca="1">IF(OR(ISBLANK(tabItens[[#This Row],[ATA DT.VALID.]]),tabItens[[#This Row],[ATA DT.VALID.]]="",tabItens[[#This Row],[ATA DT.VALID.]]=" "),"",IF(TYPE(tabItens[[#This Row],[ATA DT.VALID.]])=1,ROUNDUP((tabItens[[#This Row],[ATA DT.VALID.]]-TODAY())/7,0),""))</f>
        <v/>
      </c>
      <c r="AQ214" s="399">
        <v>0</v>
      </c>
      <c r="AR214" s="400">
        <f>IF(ISBLANK(tabItens[[#This Row],[CÓDIGO]]),"",IFERROR(VLOOKUP(tabItens[[#This Row],[CÓDIGO]],Consumo!$C$2:$AC$862,26,FALSE),0))</f>
        <v>0</v>
      </c>
      <c r="AS214" s="401">
        <f>SUMIF(Consumo!$C$3:$C$862,tabItens[[#This Row],[CÓDIGO]],Consumo!$N$3:$N$862) + SUMIF(Consumo!$C$3:$C$862,tabItens[[#This Row],[CÓDIGO]],Consumo!$O$3:$O$862) + SUMIF(Consumo!$C$3:$C$862,tabItens[[#This Row],[CÓDIGO]],Consumo!$P$3:$P$862) + SUMIF(Consumo!$C$3:$C$862,tabItens[[#This Row],[CÓDIGO]],Consumo!$Q$3:$Q$862)</f>
        <v>0</v>
      </c>
      <c r="AT214" s="401">
        <f>SUMIF(Consumo!$C$3:$C$862,tabItens[[#This Row],[CÓDIGO]],Consumo!$Z$3:$Z$862)</f>
        <v>0</v>
      </c>
      <c r="AU214" s="402">
        <f>SUMIF(Consumo!$C$3:$C$862,tabItens[[#This Row],[CÓDIGO]],Consumo!$AA$3:$AA$862)</f>
        <v>0</v>
      </c>
      <c r="AV214" s="403">
        <f>SUMIF(Consumo!$C$3:$C$862,tabItens[[#This Row],[CÓDIGO]],Consumo!$Y$3:$Y$862)</f>
        <v>0</v>
      </c>
      <c r="AW214" s="380">
        <f>tabItens[[#This Row],[QTDE ATUAL]] + tabItens[[#This Row],[RC QTDE]] + tabItens[[#This Row],[AF SALDO]] + tabItens[[#This Row],[Recentes]]</f>
        <v>1</v>
      </c>
      <c r="AX214" s="404">
        <v>0</v>
      </c>
      <c r="AY214" s="404">
        <v>4</v>
      </c>
      <c r="AZ214" s="404">
        <f>IF(ISBLANK(tabItens[[#This Row],[CÓDIGO]]),"",tabItens[[#This Row],[PontoMês]] * (AZ$2+tabItens[[#This Row],[PontoQtM]]))</f>
        <v>0</v>
      </c>
      <c r="BA214" s="403">
        <f>tabItens[[#This Row],[PontoPed]] - tabItens[[#This Row],[Saldo]] + (1/10)</f>
        <v>-0.9</v>
      </c>
      <c r="BB214" s="403">
        <f xml:space="preserve"> tabItens[[#This Row],[PontoMês]] * BB$2 - tabItens[[#This Row],[QTDE ATUAL]] - (1/10)</f>
        <v>-1.1000000000000001</v>
      </c>
      <c r="BC214" s="335">
        <f>IF( tabItens[[#This Row],[PontoPed]]&gt;0, IF(tabItens[[#This Row],[PontoPed]]&lt;1, 1, IF( tabItens[[#This Row],[Saldo]]&gt;tabItens[[#This Row],[PontoPed]], 0, (tabItens[[#This Row],[PontoPed]]-tabItens[[#This Row],[Saldo]])/tabItens[[#This Row],[PontoPed]] ) ), 0 )</f>
        <v>0</v>
      </c>
      <c r="BD214" s="405">
        <f>ROUNDDOWN(IF( OR( AND(tabItens[[#This Row],[PontoPed]]&lt;tabItens[[#This Row],[Saldo]],tabItens[[#This Row],[Saldo]]&gt;0), tabItens[[#This Row],[PontoPed]]=0), 99, IF(AND(tabItens[[#This Row],[Saldo]]=0,tabItens[[#This Row],[PontoPed]]&gt;0), 0, (1-tabItens[[#This Row],[PctAb]])*10 ) ),0)</f>
        <v>99</v>
      </c>
      <c r="BE214" s="406">
        <f>MAX(ROUNDDOWN( IF(tabItens[[#This Row],[Abaixo]] &gt; 0,   tabItens[[#This Row],[Abaixo]] + (tabItens[[#This Row],[PontoMês]] * IF( OR( ISBLANK(tabItens[[#This Row],[ATA Nº/ANO]]), tabItens[[#This Row],[ATA Nº/ANO]] = ""),BE$2,BE$1)),0),0),0)</f>
        <v>0</v>
      </c>
      <c r="BF21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4" s="338">
        <f>SUMIF(Consumo!$C$3:$C$862,tabItens[[#This Row],[CÓDIGO]],Consumo!$E$3:$E$862)</f>
        <v>0</v>
      </c>
      <c r="BH214" s="339">
        <f>IF(AND(tabItens[[#This Row],[Pend]] &gt; 0,tabItens[[#This Row],[Consumo]] &lt;&gt; 0), tabItens[[#This Row],[Pend]] / tabItens[[#This Row],[Consumo]], 0 )</f>
        <v>0</v>
      </c>
      <c r="BI214" s="338"/>
      <c r="BJ214" s="407"/>
      <c r="BK214" s="408" t="s">
        <v>2086</v>
      </c>
    </row>
    <row r="215" spans="1:63" x14ac:dyDescent="0.3">
      <c r="A215" s="375">
        <v>135014</v>
      </c>
      <c r="B215" s="376" t="s">
        <v>1908</v>
      </c>
      <c r="C215" s="377" t="s">
        <v>436</v>
      </c>
      <c r="D215" s="378">
        <v>51.52</v>
      </c>
      <c r="E215" s="305"/>
      <c r="F215" s="379"/>
      <c r="G215" s="379" t="s">
        <v>889</v>
      </c>
      <c r="H215" s="380">
        <v>0</v>
      </c>
      <c r="I215" s="307">
        <v>103003</v>
      </c>
      <c r="J215" s="308">
        <v>51.52</v>
      </c>
      <c r="K215" s="381">
        <v>4</v>
      </c>
      <c r="L215" s="382">
        <f>IF(tabItens[[#This Row],[Média]] &gt; 0, tabItens[[#This Row],[QTDE ATUAL]] / tabItens[[#This Row],[Média]],999.9)</f>
        <v>0</v>
      </c>
      <c r="M215" s="383">
        <v>0</v>
      </c>
      <c r="N215" s="384">
        <f>tabItens[[#This Row],[VALOR UNIT.]] * tabItens[[#This Row],[LC]]</f>
        <v>0</v>
      </c>
      <c r="O215" s="385" t="s">
        <v>2206</v>
      </c>
      <c r="P215" s="386"/>
      <c r="Q215" s="387"/>
      <c r="R215" s="312"/>
      <c r="S215" s="388"/>
      <c r="T215" s="389">
        <f>ROUNDDOWN(IFERROR(tabItens[[#This Row],[ATA DT.VALID.]] - $D$1,0) / 30,0)</f>
        <v>-1474</v>
      </c>
      <c r="U215" s="302" t="s">
        <v>1492</v>
      </c>
      <c r="V215" s="318">
        <v>1</v>
      </c>
      <c r="W215" s="390" t="s">
        <v>2081</v>
      </c>
      <c r="X215" s="391">
        <v>54</v>
      </c>
      <c r="Y215" s="392">
        <v>4</v>
      </c>
      <c r="Z215" s="393"/>
      <c r="AA215" s="394"/>
      <c r="AB215" s="395"/>
      <c r="AC215" s="395"/>
      <c r="AD215" s="394"/>
      <c r="AE215" s="395"/>
      <c r="AF215" s="317"/>
      <c r="AG215" s="396" t="s">
        <v>2072</v>
      </c>
      <c r="AH215" s="397"/>
      <c r="AI215" s="317">
        <v>2</v>
      </c>
      <c r="AJ215" s="397">
        <v>43819</v>
      </c>
      <c r="AK215" s="326">
        <v>43235</v>
      </c>
      <c r="AL215" s="326">
        <v>43780</v>
      </c>
      <c r="AM215" s="316"/>
      <c r="AN215" s="305"/>
      <c r="AO215" s="327" t="str">
        <f>_xlfn.IFNA(IF(VLOOKUP(tabItens[[#This Row],[CÓDIGO]],tabExcluirDoEstoque[#Data],1,FALSE),"sim",""),"")</f>
        <v/>
      </c>
      <c r="AP215" s="398" t="str">
        <f ca="1">IF(OR(ISBLANK(tabItens[[#This Row],[ATA DT.VALID.]]),tabItens[[#This Row],[ATA DT.VALID.]]="",tabItens[[#This Row],[ATA DT.VALID.]]=" "),"",IF(TYPE(tabItens[[#This Row],[ATA DT.VALID.]])=1,ROUNDUP((tabItens[[#This Row],[ATA DT.VALID.]]-TODAY())/7,0),""))</f>
        <v/>
      </c>
      <c r="AQ215" s="399">
        <v>0</v>
      </c>
      <c r="AR215" s="400" t="str">
        <f>IF(ISBLANK(tabItens[[#This Row],[CÓDIGO]]),"",IFERROR(VLOOKUP(tabItens[[#This Row],[CÓDIGO]],Consumo!$C$2:$AC$862,26,FALSE),0))</f>
        <v>04.2023</v>
      </c>
      <c r="AS215" s="401">
        <f>SUMIF(Consumo!$C$3:$C$862,tabItens[[#This Row],[CÓDIGO]],Consumo!$N$3:$N$862) + SUMIF(Consumo!$C$3:$C$862,tabItens[[#This Row],[CÓDIGO]],Consumo!$O$3:$O$862) + SUMIF(Consumo!$C$3:$C$862,tabItens[[#This Row],[CÓDIGO]],Consumo!$P$3:$P$862) + SUMIF(Consumo!$C$3:$C$862,tabItens[[#This Row],[CÓDIGO]],Consumo!$Q$3:$Q$862)</f>
        <v>0</v>
      </c>
      <c r="AT215" s="401">
        <f>SUMIF(Consumo!$C$3:$C$862,tabItens[[#This Row],[CÓDIGO]],Consumo!$Z$3:$Z$862)</f>
        <v>4</v>
      </c>
      <c r="AU215" s="402">
        <f>SUMIF(Consumo!$C$3:$C$862,tabItens[[#This Row],[CÓDIGO]],Consumo!$AA$3:$AA$862)</f>
        <v>2</v>
      </c>
      <c r="AV215" s="403">
        <f>SUMIF(Consumo!$C$3:$C$862,tabItens[[#This Row],[CÓDIGO]],Consumo!$Y$3:$Y$862)</f>
        <v>0.25</v>
      </c>
      <c r="AW215" s="380">
        <f>tabItens[[#This Row],[QTDE ATUAL]] + tabItens[[#This Row],[RC QTDE]] + tabItens[[#This Row],[AF SALDO]] + tabItens[[#This Row],[Recentes]]</f>
        <v>0</v>
      </c>
      <c r="AX215" s="404">
        <v>0</v>
      </c>
      <c r="AY215" s="404">
        <v>4</v>
      </c>
      <c r="AZ215" s="404">
        <f>IF(ISBLANK(tabItens[[#This Row],[CÓDIGO]]),"",tabItens[[#This Row],[PontoMês]] * (AZ$2+tabItens[[#This Row],[PontoQtM]]))</f>
        <v>0</v>
      </c>
      <c r="BA215" s="403">
        <f>tabItens[[#This Row],[PontoPed]] - tabItens[[#This Row],[Saldo]] + (1/10)</f>
        <v>0.1</v>
      </c>
      <c r="BB215" s="403">
        <f xml:space="preserve"> tabItens[[#This Row],[PontoMês]] * BB$2 - tabItens[[#This Row],[QTDE ATUAL]] - (1/10)</f>
        <v>-0.1</v>
      </c>
      <c r="BC215" s="335">
        <f>IF( tabItens[[#This Row],[PontoPed]]&gt;0, IF(tabItens[[#This Row],[PontoPed]]&lt;1, 1, IF( tabItens[[#This Row],[Saldo]]&gt;tabItens[[#This Row],[PontoPed]], 0, (tabItens[[#This Row],[PontoPed]]-tabItens[[#This Row],[Saldo]])/tabItens[[#This Row],[PontoPed]] ) ), 0 )</f>
        <v>0</v>
      </c>
      <c r="BD215" s="405">
        <f>ROUNDDOWN(IF( OR( AND(tabItens[[#This Row],[PontoPed]]&lt;tabItens[[#This Row],[Saldo]],tabItens[[#This Row],[Saldo]]&gt;0), tabItens[[#This Row],[PontoPed]]=0), 99, IF(AND(tabItens[[#This Row],[Saldo]]=0,tabItens[[#This Row],[PontoPed]]&gt;0), 0, (1-tabItens[[#This Row],[PctAb]])*10 ) ),0)</f>
        <v>99</v>
      </c>
      <c r="BE215" s="406">
        <f>MAX(ROUNDDOWN( IF(tabItens[[#This Row],[Abaixo]] &gt; 0,   tabItens[[#This Row],[Abaixo]] + (tabItens[[#This Row],[PontoMês]] * IF( OR( ISBLANK(tabItens[[#This Row],[ATA Nº/ANO]]), tabItens[[#This Row],[ATA Nº/ANO]] = ""),BE$2,BE$1)),0),0),0)</f>
        <v>0</v>
      </c>
      <c r="BF21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5" s="338">
        <f>SUMIF(Consumo!$C$3:$C$862,tabItens[[#This Row],[CÓDIGO]],Consumo!$E$3:$E$862)</f>
        <v>0</v>
      </c>
      <c r="BH215" s="339">
        <f>IF(AND(tabItens[[#This Row],[Pend]] &gt; 0,tabItens[[#This Row],[Consumo]] &lt;&gt; 0), tabItens[[#This Row],[Pend]] / tabItens[[#This Row],[Consumo]], 0 )</f>
        <v>0</v>
      </c>
      <c r="BI215" s="338"/>
      <c r="BJ215" s="407"/>
      <c r="BK215" s="408" t="s">
        <v>2086</v>
      </c>
    </row>
    <row r="216" spans="1:63" x14ac:dyDescent="0.3">
      <c r="A216" s="375">
        <v>106914</v>
      </c>
      <c r="B216" s="376" t="s">
        <v>1646</v>
      </c>
      <c r="C216" s="377" t="s">
        <v>263</v>
      </c>
      <c r="D216" s="378">
        <v>86.54</v>
      </c>
      <c r="E216" s="305"/>
      <c r="F216" s="379"/>
      <c r="G216" s="379" t="s">
        <v>889</v>
      </c>
      <c r="H216" s="380">
        <v>3</v>
      </c>
      <c r="I216" s="307">
        <v>103003</v>
      </c>
      <c r="J216" s="308">
        <v>86.54</v>
      </c>
      <c r="K216" s="381"/>
      <c r="L216" s="382">
        <f>IF(tabItens[[#This Row],[Média]] &gt; 0, tabItens[[#This Row],[QTDE ATUAL]] / tabItens[[#This Row],[Média]],999.9)</f>
        <v>999.9</v>
      </c>
      <c r="M216" s="383">
        <v>0</v>
      </c>
      <c r="N216" s="384">
        <f>tabItens[[#This Row],[VALOR UNIT.]] * tabItens[[#This Row],[LC]]</f>
        <v>0</v>
      </c>
      <c r="O216" s="385" t="s">
        <v>2175</v>
      </c>
      <c r="P216" s="386"/>
      <c r="Q216" s="387"/>
      <c r="R216" s="312"/>
      <c r="S216" s="388"/>
      <c r="T216" s="389">
        <f>ROUNDDOWN(IFERROR(tabItens[[#This Row],[ATA DT.VALID.]] - $D$1,0) / 30,0)</f>
        <v>-1474</v>
      </c>
      <c r="U216" s="302" t="s">
        <v>1492</v>
      </c>
      <c r="V216" s="318">
        <v>1</v>
      </c>
      <c r="W216" s="390" t="s">
        <v>2081</v>
      </c>
      <c r="X216" s="391">
        <v>54</v>
      </c>
      <c r="Y216" s="392">
        <v>4</v>
      </c>
      <c r="Z216" s="393"/>
      <c r="AA216" s="394"/>
      <c r="AB216" s="395"/>
      <c r="AC216" s="395"/>
      <c r="AD216" s="394"/>
      <c r="AE216" s="395"/>
      <c r="AF216" s="317"/>
      <c r="AG216" s="396" t="s">
        <v>2072</v>
      </c>
      <c r="AH216" s="397"/>
      <c r="AI216" s="317">
        <v>0</v>
      </c>
      <c r="AJ216" s="397">
        <v>43703</v>
      </c>
      <c r="AK216" s="326">
        <v>39624</v>
      </c>
      <c r="AL216" s="326">
        <v>43677</v>
      </c>
      <c r="AM216" s="316"/>
      <c r="AN216" s="305"/>
      <c r="AO216" s="327" t="str">
        <f>_xlfn.IFNA(IF(VLOOKUP(tabItens[[#This Row],[CÓDIGO]],tabExcluirDoEstoque[#Data],1,FALSE),"sim",""),"")</f>
        <v/>
      </c>
      <c r="AP216" s="398" t="str">
        <f ca="1">IF(OR(ISBLANK(tabItens[[#This Row],[ATA DT.VALID.]]),tabItens[[#This Row],[ATA DT.VALID.]]="",tabItens[[#This Row],[ATA DT.VALID.]]=" "),"",IF(TYPE(tabItens[[#This Row],[ATA DT.VALID.]])=1,ROUNDUP((tabItens[[#This Row],[ATA DT.VALID.]]-TODAY())/7,0),""))</f>
        <v/>
      </c>
      <c r="AQ216" s="399">
        <v>0</v>
      </c>
      <c r="AR216" s="400">
        <f>IF(ISBLANK(tabItens[[#This Row],[CÓDIGO]]),"",IFERROR(VLOOKUP(tabItens[[#This Row],[CÓDIGO]],Consumo!$C$2:$AC$862,26,FALSE),0))</f>
        <v>0</v>
      </c>
      <c r="AS216" s="401">
        <f>SUMIF(Consumo!$C$3:$C$862,tabItens[[#This Row],[CÓDIGO]],Consumo!$N$3:$N$862) + SUMIF(Consumo!$C$3:$C$862,tabItens[[#This Row],[CÓDIGO]],Consumo!$O$3:$O$862) + SUMIF(Consumo!$C$3:$C$862,tabItens[[#This Row],[CÓDIGO]],Consumo!$P$3:$P$862) + SUMIF(Consumo!$C$3:$C$862,tabItens[[#This Row],[CÓDIGO]],Consumo!$Q$3:$Q$862)</f>
        <v>0</v>
      </c>
      <c r="AT216" s="401">
        <f>SUMIF(Consumo!$C$3:$C$862,tabItens[[#This Row],[CÓDIGO]],Consumo!$Z$3:$Z$862)</f>
        <v>0</v>
      </c>
      <c r="AU216" s="402">
        <f>SUMIF(Consumo!$C$3:$C$862,tabItens[[#This Row],[CÓDIGO]],Consumo!$AA$3:$AA$862)</f>
        <v>0</v>
      </c>
      <c r="AV216" s="403">
        <f>SUMIF(Consumo!$C$3:$C$862,tabItens[[#This Row],[CÓDIGO]],Consumo!$Y$3:$Y$862)</f>
        <v>0</v>
      </c>
      <c r="AW216" s="380">
        <f>tabItens[[#This Row],[QTDE ATUAL]] + tabItens[[#This Row],[RC QTDE]] + tabItens[[#This Row],[AF SALDO]] + tabItens[[#This Row],[Recentes]]</f>
        <v>3</v>
      </c>
      <c r="AX216" s="404">
        <v>0</v>
      </c>
      <c r="AY216" s="404">
        <v>4</v>
      </c>
      <c r="AZ216" s="404">
        <f>IF(ISBLANK(tabItens[[#This Row],[CÓDIGO]]),"",tabItens[[#This Row],[PontoMês]] * (AZ$2+tabItens[[#This Row],[PontoQtM]]))</f>
        <v>0</v>
      </c>
      <c r="BA216" s="403">
        <f>tabItens[[#This Row],[PontoPed]] - tabItens[[#This Row],[Saldo]] + (1/10)</f>
        <v>-2.9</v>
      </c>
      <c r="BB216" s="403">
        <f xml:space="preserve"> tabItens[[#This Row],[PontoMês]] * BB$2 - tabItens[[#This Row],[QTDE ATUAL]] - (1/10)</f>
        <v>-3.1</v>
      </c>
      <c r="BC216" s="335">
        <f>IF( tabItens[[#This Row],[PontoPed]]&gt;0, IF(tabItens[[#This Row],[PontoPed]]&lt;1, 1, IF( tabItens[[#This Row],[Saldo]]&gt;tabItens[[#This Row],[PontoPed]], 0, (tabItens[[#This Row],[PontoPed]]-tabItens[[#This Row],[Saldo]])/tabItens[[#This Row],[PontoPed]] ) ), 0 )</f>
        <v>0</v>
      </c>
      <c r="BD216" s="405">
        <f>ROUNDDOWN(IF( OR( AND(tabItens[[#This Row],[PontoPed]]&lt;tabItens[[#This Row],[Saldo]],tabItens[[#This Row],[Saldo]]&gt;0), tabItens[[#This Row],[PontoPed]]=0), 99, IF(AND(tabItens[[#This Row],[Saldo]]=0,tabItens[[#This Row],[PontoPed]]&gt;0), 0, (1-tabItens[[#This Row],[PctAb]])*10 ) ),0)</f>
        <v>99</v>
      </c>
      <c r="BE216" s="406">
        <f>MAX(ROUNDDOWN( IF(tabItens[[#This Row],[Abaixo]] &gt; 0,   tabItens[[#This Row],[Abaixo]] + (tabItens[[#This Row],[PontoMês]] * IF( OR( ISBLANK(tabItens[[#This Row],[ATA Nº/ANO]]), tabItens[[#This Row],[ATA Nº/ANO]] = ""),BE$2,BE$1)),0),0),0)</f>
        <v>0</v>
      </c>
      <c r="BF21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6" s="338">
        <f>SUMIF(Consumo!$C$3:$C$862,tabItens[[#This Row],[CÓDIGO]],Consumo!$E$3:$E$862)</f>
        <v>0</v>
      </c>
      <c r="BH216" s="339">
        <f>IF(AND(tabItens[[#This Row],[Pend]] &gt; 0,tabItens[[#This Row],[Consumo]] &lt;&gt; 0), tabItens[[#This Row],[Pend]] / tabItens[[#This Row],[Consumo]], 0 )</f>
        <v>0</v>
      </c>
      <c r="BI216" s="338"/>
      <c r="BJ216" s="407"/>
      <c r="BK216" s="408" t="s">
        <v>2086</v>
      </c>
    </row>
    <row r="217" spans="1:63" x14ac:dyDescent="0.3">
      <c r="A217" s="375">
        <v>106916</v>
      </c>
      <c r="B217" s="376" t="s">
        <v>1647</v>
      </c>
      <c r="C217" s="377" t="s">
        <v>263</v>
      </c>
      <c r="D217" s="378">
        <v>86.54</v>
      </c>
      <c r="E217" s="305"/>
      <c r="F217" s="379"/>
      <c r="G217" s="379" t="s">
        <v>889</v>
      </c>
      <c r="H217" s="380">
        <v>8</v>
      </c>
      <c r="I217" s="307">
        <v>103003</v>
      </c>
      <c r="J217" s="308">
        <v>86.54</v>
      </c>
      <c r="K217" s="381"/>
      <c r="L217" s="382">
        <f>IF(tabItens[[#This Row],[Média]] &gt; 0, tabItens[[#This Row],[QTDE ATUAL]] / tabItens[[#This Row],[Média]],999.9)</f>
        <v>999.9</v>
      </c>
      <c r="M217" s="383">
        <v>0</v>
      </c>
      <c r="N217" s="384">
        <f>tabItens[[#This Row],[VALOR UNIT.]] * tabItens[[#This Row],[LC]]</f>
        <v>0</v>
      </c>
      <c r="O217" s="385" t="s">
        <v>2175</v>
      </c>
      <c r="P217" s="386"/>
      <c r="Q217" s="387"/>
      <c r="R217" s="312"/>
      <c r="S217" s="388"/>
      <c r="T217" s="389">
        <f>ROUNDDOWN(IFERROR(tabItens[[#This Row],[ATA DT.VALID.]] - $D$1,0) / 30,0)</f>
        <v>-1474</v>
      </c>
      <c r="U217" s="302" t="s">
        <v>1492</v>
      </c>
      <c r="V217" s="318">
        <v>1</v>
      </c>
      <c r="W217" s="390" t="s">
        <v>2081</v>
      </c>
      <c r="X217" s="391">
        <v>54</v>
      </c>
      <c r="Y217" s="392">
        <v>4</v>
      </c>
      <c r="Z217" s="393"/>
      <c r="AA217" s="394"/>
      <c r="AB217" s="395"/>
      <c r="AC217" s="395"/>
      <c r="AD217" s="394"/>
      <c r="AE217" s="395"/>
      <c r="AF217" s="317"/>
      <c r="AG217" s="396" t="s">
        <v>2072</v>
      </c>
      <c r="AH217" s="397"/>
      <c r="AI217" s="317">
        <v>0</v>
      </c>
      <c r="AJ217" s="397">
        <v>43703</v>
      </c>
      <c r="AK217" s="326">
        <v>39624</v>
      </c>
      <c r="AL217" s="326">
        <v>43677</v>
      </c>
      <c r="AM217" s="316"/>
      <c r="AN217" s="305"/>
      <c r="AO217" s="327" t="str">
        <f>_xlfn.IFNA(IF(VLOOKUP(tabItens[[#This Row],[CÓDIGO]],tabExcluirDoEstoque[#Data],1,FALSE),"sim",""),"")</f>
        <v/>
      </c>
      <c r="AP217" s="398" t="str">
        <f ca="1">IF(OR(ISBLANK(tabItens[[#This Row],[ATA DT.VALID.]]),tabItens[[#This Row],[ATA DT.VALID.]]="",tabItens[[#This Row],[ATA DT.VALID.]]=" "),"",IF(TYPE(tabItens[[#This Row],[ATA DT.VALID.]])=1,ROUNDUP((tabItens[[#This Row],[ATA DT.VALID.]]-TODAY())/7,0),""))</f>
        <v/>
      </c>
      <c r="AQ217" s="399">
        <v>0</v>
      </c>
      <c r="AR217" s="400">
        <f>IF(ISBLANK(tabItens[[#This Row],[CÓDIGO]]),"",IFERROR(VLOOKUP(tabItens[[#This Row],[CÓDIGO]],Consumo!$C$2:$AC$862,26,FALSE),0))</f>
        <v>0</v>
      </c>
      <c r="AS217" s="401">
        <f>SUMIF(Consumo!$C$3:$C$862,tabItens[[#This Row],[CÓDIGO]],Consumo!$N$3:$N$862) + SUMIF(Consumo!$C$3:$C$862,tabItens[[#This Row],[CÓDIGO]],Consumo!$O$3:$O$862) + SUMIF(Consumo!$C$3:$C$862,tabItens[[#This Row],[CÓDIGO]],Consumo!$P$3:$P$862) + SUMIF(Consumo!$C$3:$C$862,tabItens[[#This Row],[CÓDIGO]],Consumo!$Q$3:$Q$862)</f>
        <v>0</v>
      </c>
      <c r="AT217" s="401">
        <f>SUMIF(Consumo!$C$3:$C$862,tabItens[[#This Row],[CÓDIGO]],Consumo!$Z$3:$Z$862)</f>
        <v>0</v>
      </c>
      <c r="AU217" s="402">
        <f>SUMIF(Consumo!$C$3:$C$862,tabItens[[#This Row],[CÓDIGO]],Consumo!$AA$3:$AA$862)</f>
        <v>0</v>
      </c>
      <c r="AV217" s="403">
        <f>SUMIF(Consumo!$C$3:$C$862,tabItens[[#This Row],[CÓDIGO]],Consumo!$Y$3:$Y$862)</f>
        <v>0</v>
      </c>
      <c r="AW217" s="380">
        <f>tabItens[[#This Row],[QTDE ATUAL]] + tabItens[[#This Row],[RC QTDE]] + tabItens[[#This Row],[AF SALDO]] + tabItens[[#This Row],[Recentes]]</f>
        <v>8</v>
      </c>
      <c r="AX217" s="404">
        <v>0</v>
      </c>
      <c r="AY217" s="404">
        <v>4</v>
      </c>
      <c r="AZ217" s="404">
        <f>IF(ISBLANK(tabItens[[#This Row],[CÓDIGO]]),"",tabItens[[#This Row],[PontoMês]] * (AZ$2+tabItens[[#This Row],[PontoQtM]]))</f>
        <v>0</v>
      </c>
      <c r="BA217" s="403">
        <f>tabItens[[#This Row],[PontoPed]] - tabItens[[#This Row],[Saldo]] + (1/10)</f>
        <v>-7.9</v>
      </c>
      <c r="BB217" s="403">
        <f xml:space="preserve"> tabItens[[#This Row],[PontoMês]] * BB$2 - tabItens[[#This Row],[QTDE ATUAL]] - (1/10)</f>
        <v>-8.1</v>
      </c>
      <c r="BC217" s="335">
        <f>IF( tabItens[[#This Row],[PontoPed]]&gt;0, IF(tabItens[[#This Row],[PontoPed]]&lt;1, 1, IF( tabItens[[#This Row],[Saldo]]&gt;tabItens[[#This Row],[PontoPed]], 0, (tabItens[[#This Row],[PontoPed]]-tabItens[[#This Row],[Saldo]])/tabItens[[#This Row],[PontoPed]] ) ), 0 )</f>
        <v>0</v>
      </c>
      <c r="BD217" s="405">
        <f>ROUNDDOWN(IF( OR( AND(tabItens[[#This Row],[PontoPed]]&lt;tabItens[[#This Row],[Saldo]],tabItens[[#This Row],[Saldo]]&gt;0), tabItens[[#This Row],[PontoPed]]=0), 99, IF(AND(tabItens[[#This Row],[Saldo]]=0,tabItens[[#This Row],[PontoPed]]&gt;0), 0, (1-tabItens[[#This Row],[PctAb]])*10 ) ),0)</f>
        <v>99</v>
      </c>
      <c r="BE217" s="406">
        <f>MAX(ROUNDDOWN( IF(tabItens[[#This Row],[Abaixo]] &gt; 0,   tabItens[[#This Row],[Abaixo]] + (tabItens[[#This Row],[PontoMês]] * IF( OR( ISBLANK(tabItens[[#This Row],[ATA Nº/ANO]]), tabItens[[#This Row],[ATA Nº/ANO]] = ""),BE$2,BE$1)),0),0),0)</f>
        <v>0</v>
      </c>
      <c r="BF21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7" s="338">
        <f>SUMIF(Consumo!$C$3:$C$862,tabItens[[#This Row],[CÓDIGO]],Consumo!$E$3:$E$862)</f>
        <v>0</v>
      </c>
      <c r="BH217" s="339">
        <f>IF(AND(tabItens[[#This Row],[Pend]] &gt; 0,tabItens[[#This Row],[Consumo]] &lt;&gt; 0), tabItens[[#This Row],[Pend]] / tabItens[[#This Row],[Consumo]], 0 )</f>
        <v>0</v>
      </c>
      <c r="BI217" s="338"/>
      <c r="BJ217" s="407"/>
      <c r="BK217" s="408" t="s">
        <v>2086</v>
      </c>
    </row>
    <row r="218" spans="1:63" x14ac:dyDescent="0.3">
      <c r="A218" s="375">
        <v>106917</v>
      </c>
      <c r="B218" s="376" t="s">
        <v>1648</v>
      </c>
      <c r="C218" s="377" t="s">
        <v>263</v>
      </c>
      <c r="D218" s="378">
        <v>86.56</v>
      </c>
      <c r="E218" s="305"/>
      <c r="F218" s="379"/>
      <c r="G218" s="379" t="s">
        <v>889</v>
      </c>
      <c r="H218" s="380">
        <v>0</v>
      </c>
      <c r="I218" s="307">
        <v>103003</v>
      </c>
      <c r="J218" s="308">
        <v>86.56</v>
      </c>
      <c r="K218" s="381">
        <v>1</v>
      </c>
      <c r="L218" s="382">
        <f>IF(tabItens[[#This Row],[Média]] &gt; 0, tabItens[[#This Row],[QTDE ATUAL]] / tabItens[[#This Row],[Média]],999.9)</f>
        <v>0</v>
      </c>
      <c r="M218" s="383">
        <v>0</v>
      </c>
      <c r="N218" s="384">
        <f>tabItens[[#This Row],[VALOR UNIT.]] * tabItens[[#This Row],[LC]]</f>
        <v>0</v>
      </c>
      <c r="O218" s="385" t="s">
        <v>2175</v>
      </c>
      <c r="P218" s="386"/>
      <c r="Q218" s="387"/>
      <c r="R218" s="312"/>
      <c r="S218" s="388"/>
      <c r="T218" s="389">
        <f>ROUNDDOWN(IFERROR(tabItens[[#This Row],[ATA DT.VALID.]] - $D$1,0) / 30,0)</f>
        <v>-1474</v>
      </c>
      <c r="U218" s="302" t="s">
        <v>1492</v>
      </c>
      <c r="V218" s="318">
        <v>1</v>
      </c>
      <c r="W218" s="390" t="s">
        <v>2081</v>
      </c>
      <c r="X218" s="391">
        <v>54</v>
      </c>
      <c r="Y218" s="392">
        <v>4</v>
      </c>
      <c r="Z218" s="393">
        <v>2813</v>
      </c>
      <c r="AA218" s="394">
        <v>2023</v>
      </c>
      <c r="AB218" s="395">
        <v>4</v>
      </c>
      <c r="AC218" s="395"/>
      <c r="AD218" s="394"/>
      <c r="AE218" s="395"/>
      <c r="AF218" s="317"/>
      <c r="AG218" s="396" t="s">
        <v>2072</v>
      </c>
      <c r="AH218" s="397"/>
      <c r="AI218" s="317">
        <v>0</v>
      </c>
      <c r="AJ218" s="397">
        <v>43703</v>
      </c>
      <c r="AK218" s="326">
        <v>39624</v>
      </c>
      <c r="AL218" s="326">
        <v>43677</v>
      </c>
      <c r="AM218" s="316"/>
      <c r="AN218" s="305"/>
      <c r="AO218" s="327" t="str">
        <f>_xlfn.IFNA(IF(VLOOKUP(tabItens[[#This Row],[CÓDIGO]],tabExcluirDoEstoque[#Data],1,FALSE),"sim",""),"")</f>
        <v/>
      </c>
      <c r="AP218" s="398" t="str">
        <f ca="1">IF(OR(ISBLANK(tabItens[[#This Row],[ATA DT.VALID.]]),tabItens[[#This Row],[ATA DT.VALID.]]="",tabItens[[#This Row],[ATA DT.VALID.]]=" "),"",IF(TYPE(tabItens[[#This Row],[ATA DT.VALID.]])=1,ROUNDUP((tabItens[[#This Row],[ATA DT.VALID.]]-TODAY())/7,0),""))</f>
        <v/>
      </c>
      <c r="AQ218" s="399">
        <v>0</v>
      </c>
      <c r="AR218" s="400" t="str">
        <f>IF(ISBLANK(tabItens[[#This Row],[CÓDIGO]]),"",IFERROR(VLOOKUP(tabItens[[#This Row],[CÓDIGO]],Consumo!$C$2:$AC$862,26,FALSE),0))</f>
        <v>10.2022</v>
      </c>
      <c r="AS218" s="401">
        <f>SUMIF(Consumo!$C$3:$C$862,tabItens[[#This Row],[CÓDIGO]],Consumo!$N$3:$N$862) + SUMIF(Consumo!$C$3:$C$862,tabItens[[#This Row],[CÓDIGO]],Consumo!$O$3:$O$862) + SUMIF(Consumo!$C$3:$C$862,tabItens[[#This Row],[CÓDIGO]],Consumo!$P$3:$P$862) + SUMIF(Consumo!$C$3:$C$862,tabItens[[#This Row],[CÓDIGO]],Consumo!$Q$3:$Q$862)</f>
        <v>0</v>
      </c>
      <c r="AT218" s="401">
        <f>SUMIF(Consumo!$C$3:$C$862,tabItens[[#This Row],[CÓDIGO]],Consumo!$Z$3:$Z$862)</f>
        <v>2</v>
      </c>
      <c r="AU218" s="402">
        <f>SUMIF(Consumo!$C$3:$C$862,tabItens[[#This Row],[CÓDIGO]],Consumo!$AA$3:$AA$862)</f>
        <v>1</v>
      </c>
      <c r="AV218" s="403">
        <f>SUMIF(Consumo!$C$3:$C$862,tabItens[[#This Row],[CÓDIGO]],Consumo!$Y$3:$Y$862)</f>
        <v>8.3333333333333329E-2</v>
      </c>
      <c r="AW218" s="380">
        <f>tabItens[[#This Row],[QTDE ATUAL]] + tabItens[[#This Row],[RC QTDE]] + tabItens[[#This Row],[AF SALDO]] + tabItens[[#This Row],[Recentes]]</f>
        <v>4</v>
      </c>
      <c r="AX218" s="404">
        <v>0</v>
      </c>
      <c r="AY218" s="404">
        <v>4</v>
      </c>
      <c r="AZ218" s="404">
        <f>IF(ISBLANK(tabItens[[#This Row],[CÓDIGO]]),"",tabItens[[#This Row],[PontoMês]] * (AZ$2+tabItens[[#This Row],[PontoQtM]]))</f>
        <v>0</v>
      </c>
      <c r="BA218" s="403">
        <f>tabItens[[#This Row],[PontoPed]] - tabItens[[#This Row],[Saldo]] + (1/10)</f>
        <v>-3.9</v>
      </c>
      <c r="BB218" s="403">
        <f xml:space="preserve"> tabItens[[#This Row],[PontoMês]] * BB$2 - tabItens[[#This Row],[QTDE ATUAL]] - (1/10)</f>
        <v>-0.1</v>
      </c>
      <c r="BC218" s="335">
        <f>IF( tabItens[[#This Row],[PontoPed]]&gt;0, IF(tabItens[[#This Row],[PontoPed]]&lt;1, 1, IF( tabItens[[#This Row],[Saldo]]&gt;tabItens[[#This Row],[PontoPed]], 0, (tabItens[[#This Row],[PontoPed]]-tabItens[[#This Row],[Saldo]])/tabItens[[#This Row],[PontoPed]] ) ), 0 )</f>
        <v>0</v>
      </c>
      <c r="BD218" s="405">
        <f>ROUNDDOWN(IF( OR( AND(tabItens[[#This Row],[PontoPed]]&lt;tabItens[[#This Row],[Saldo]],tabItens[[#This Row],[Saldo]]&gt;0), tabItens[[#This Row],[PontoPed]]=0), 99, IF(AND(tabItens[[#This Row],[Saldo]]=0,tabItens[[#This Row],[PontoPed]]&gt;0), 0, (1-tabItens[[#This Row],[PctAb]])*10 ) ),0)</f>
        <v>99</v>
      </c>
      <c r="BE218" s="406">
        <f>MAX(ROUNDDOWN( IF(tabItens[[#This Row],[Abaixo]] &gt; 0,   tabItens[[#This Row],[Abaixo]] + (tabItens[[#This Row],[PontoMês]] * IF( OR( ISBLANK(tabItens[[#This Row],[ATA Nº/ANO]]), tabItens[[#This Row],[ATA Nº/ANO]] = ""),BE$2,BE$1)),0),0),0)</f>
        <v>0</v>
      </c>
      <c r="BF21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8" s="338">
        <f>SUMIF(Consumo!$C$3:$C$862,tabItens[[#This Row],[CÓDIGO]],Consumo!$E$3:$E$862)</f>
        <v>1</v>
      </c>
      <c r="BH218" s="339">
        <f>IF(AND(tabItens[[#This Row],[Pend]] &gt; 0,tabItens[[#This Row],[Consumo]] &lt;&gt; 0), tabItens[[#This Row],[Pend]] / tabItens[[#This Row],[Consumo]], 0 )</f>
        <v>0.5</v>
      </c>
      <c r="BI218" s="338"/>
      <c r="BJ218" s="407"/>
      <c r="BK218" s="408" t="s">
        <v>2086</v>
      </c>
    </row>
    <row r="219" spans="1:63" x14ac:dyDescent="0.3">
      <c r="A219" s="375">
        <v>106918</v>
      </c>
      <c r="B219" s="376" t="s">
        <v>1649</v>
      </c>
      <c r="C219" s="377" t="s">
        <v>263</v>
      </c>
      <c r="D219" s="378">
        <v>86.54</v>
      </c>
      <c r="E219" s="305"/>
      <c r="F219" s="379"/>
      <c r="G219" s="379" t="s">
        <v>889</v>
      </c>
      <c r="H219" s="380">
        <v>6</v>
      </c>
      <c r="I219" s="307">
        <v>103003</v>
      </c>
      <c r="J219" s="308">
        <v>86.54</v>
      </c>
      <c r="K219" s="381">
        <v>4</v>
      </c>
      <c r="L219" s="382">
        <f>IF(tabItens[[#This Row],[Média]] &gt; 0, tabItens[[#This Row],[QTDE ATUAL]] / tabItens[[#This Row],[Média]],999.9)</f>
        <v>36</v>
      </c>
      <c r="M219" s="383">
        <v>0</v>
      </c>
      <c r="N219" s="384">
        <f>tabItens[[#This Row],[VALOR UNIT.]] * tabItens[[#This Row],[LC]]</f>
        <v>0</v>
      </c>
      <c r="O219" s="385" t="s">
        <v>2175</v>
      </c>
      <c r="P219" s="386"/>
      <c r="Q219" s="387"/>
      <c r="R219" s="312"/>
      <c r="S219" s="388"/>
      <c r="T219" s="389">
        <f>ROUNDDOWN(IFERROR(tabItens[[#This Row],[ATA DT.VALID.]] - $D$1,0) / 30,0)</f>
        <v>-1474</v>
      </c>
      <c r="U219" s="302" t="s">
        <v>1492</v>
      </c>
      <c r="V219" s="318">
        <v>1</v>
      </c>
      <c r="W219" s="390" t="s">
        <v>2081</v>
      </c>
      <c r="X219" s="391">
        <v>54</v>
      </c>
      <c r="Y219" s="392">
        <v>4</v>
      </c>
      <c r="Z219" s="393"/>
      <c r="AA219" s="394"/>
      <c r="AB219" s="395"/>
      <c r="AC219" s="395"/>
      <c r="AD219" s="394"/>
      <c r="AE219" s="395"/>
      <c r="AF219" s="317"/>
      <c r="AG219" s="396" t="s">
        <v>2072</v>
      </c>
      <c r="AH219" s="397"/>
      <c r="AI219" s="317">
        <v>0</v>
      </c>
      <c r="AJ219" s="397">
        <v>43703</v>
      </c>
      <c r="AK219" s="326">
        <v>39624</v>
      </c>
      <c r="AL219" s="326">
        <v>43677</v>
      </c>
      <c r="AM219" s="316"/>
      <c r="AN219" s="305"/>
      <c r="AO219" s="327" t="str">
        <f>_xlfn.IFNA(IF(VLOOKUP(tabItens[[#This Row],[CÓDIGO]],tabExcluirDoEstoque[#Data],1,FALSE),"sim",""),"")</f>
        <v/>
      </c>
      <c r="AP219" s="398" t="str">
        <f ca="1">IF(OR(ISBLANK(tabItens[[#This Row],[ATA DT.VALID.]]),tabItens[[#This Row],[ATA DT.VALID.]]="",tabItens[[#This Row],[ATA DT.VALID.]]=" "),"",IF(TYPE(tabItens[[#This Row],[ATA DT.VALID.]])=1,ROUNDUP((tabItens[[#This Row],[ATA DT.VALID.]]-TODAY())/7,0),""))</f>
        <v/>
      </c>
      <c r="AQ219" s="399">
        <v>0</v>
      </c>
      <c r="AR219" s="400" t="str">
        <f>IF(ISBLANK(tabItens[[#This Row],[CÓDIGO]]),"",IFERROR(VLOOKUP(tabItens[[#This Row],[CÓDIGO]],Consumo!$C$2:$AC$862,26,FALSE),0))</f>
        <v>09.2023</v>
      </c>
      <c r="AS219" s="401">
        <f>SUMIF(Consumo!$C$3:$C$862,tabItens[[#This Row],[CÓDIGO]],Consumo!$N$3:$N$862) + SUMIF(Consumo!$C$3:$C$862,tabItens[[#This Row],[CÓDIGO]],Consumo!$O$3:$O$862) + SUMIF(Consumo!$C$3:$C$862,tabItens[[#This Row],[CÓDIGO]],Consumo!$P$3:$P$862) + SUMIF(Consumo!$C$3:$C$862,tabItens[[#This Row],[CÓDIGO]],Consumo!$Q$3:$Q$862)</f>
        <v>4</v>
      </c>
      <c r="AT219" s="401">
        <f>SUMIF(Consumo!$C$3:$C$862,tabItens[[#This Row],[CÓDIGO]],Consumo!$Z$3:$Z$862)</f>
        <v>4</v>
      </c>
      <c r="AU219" s="402">
        <f>SUMIF(Consumo!$C$3:$C$862,tabItens[[#This Row],[CÓDIGO]],Consumo!$AA$3:$AA$862)</f>
        <v>2</v>
      </c>
      <c r="AV219" s="403">
        <f>SUMIF(Consumo!$C$3:$C$862,tabItens[[#This Row],[CÓDIGO]],Consumo!$Y$3:$Y$862)</f>
        <v>0.16666666666666666</v>
      </c>
      <c r="AW219" s="380">
        <f>tabItens[[#This Row],[QTDE ATUAL]] + tabItens[[#This Row],[RC QTDE]] + tabItens[[#This Row],[AF SALDO]] + tabItens[[#This Row],[Recentes]]</f>
        <v>6</v>
      </c>
      <c r="AX219" s="404">
        <v>0</v>
      </c>
      <c r="AY219" s="404">
        <v>4</v>
      </c>
      <c r="AZ219" s="404">
        <f>IF(ISBLANK(tabItens[[#This Row],[CÓDIGO]]),"",tabItens[[#This Row],[PontoMês]] * (AZ$2+tabItens[[#This Row],[PontoQtM]]))</f>
        <v>0</v>
      </c>
      <c r="BA219" s="403">
        <f>tabItens[[#This Row],[PontoPed]] - tabItens[[#This Row],[Saldo]] + (1/10)</f>
        <v>-5.9</v>
      </c>
      <c r="BB219" s="403">
        <f xml:space="preserve"> tabItens[[#This Row],[PontoMês]] * BB$2 - tabItens[[#This Row],[QTDE ATUAL]] - (1/10)</f>
        <v>-6.1</v>
      </c>
      <c r="BC219" s="335">
        <f>IF( tabItens[[#This Row],[PontoPed]]&gt;0, IF(tabItens[[#This Row],[PontoPed]]&lt;1, 1, IF( tabItens[[#This Row],[Saldo]]&gt;tabItens[[#This Row],[PontoPed]], 0, (tabItens[[#This Row],[PontoPed]]-tabItens[[#This Row],[Saldo]])/tabItens[[#This Row],[PontoPed]] ) ), 0 )</f>
        <v>0</v>
      </c>
      <c r="BD219" s="405">
        <f>ROUNDDOWN(IF( OR( AND(tabItens[[#This Row],[PontoPed]]&lt;tabItens[[#This Row],[Saldo]],tabItens[[#This Row],[Saldo]]&gt;0), tabItens[[#This Row],[PontoPed]]=0), 99, IF(AND(tabItens[[#This Row],[Saldo]]=0,tabItens[[#This Row],[PontoPed]]&gt;0), 0, (1-tabItens[[#This Row],[PctAb]])*10 ) ),0)</f>
        <v>99</v>
      </c>
      <c r="BE219" s="406">
        <f>MAX(ROUNDDOWN( IF(tabItens[[#This Row],[Abaixo]] &gt; 0,   tabItens[[#This Row],[Abaixo]] + (tabItens[[#This Row],[PontoMês]] * IF( OR( ISBLANK(tabItens[[#This Row],[ATA Nº/ANO]]), tabItens[[#This Row],[ATA Nº/ANO]] = ""),BE$2,BE$1)),0),0),0)</f>
        <v>0</v>
      </c>
      <c r="BF21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9" s="338">
        <f>SUMIF(Consumo!$C$3:$C$862,tabItens[[#This Row],[CÓDIGO]],Consumo!$E$3:$E$862)</f>
        <v>0</v>
      </c>
      <c r="BH219" s="339">
        <f>IF(AND(tabItens[[#This Row],[Pend]] &gt; 0,tabItens[[#This Row],[Consumo]] &lt;&gt; 0), tabItens[[#This Row],[Pend]] / tabItens[[#This Row],[Consumo]], 0 )</f>
        <v>0</v>
      </c>
      <c r="BI219" s="338"/>
      <c r="BJ219" s="407"/>
      <c r="BK219" s="408" t="s">
        <v>2086</v>
      </c>
    </row>
    <row r="220" spans="1:63" x14ac:dyDescent="0.3">
      <c r="A220" s="375">
        <v>106919</v>
      </c>
      <c r="B220" s="376" t="s">
        <v>1650</v>
      </c>
      <c r="C220" s="377" t="s">
        <v>263</v>
      </c>
      <c r="D220" s="378">
        <v>86.54</v>
      </c>
      <c r="E220" s="305"/>
      <c r="F220" s="379"/>
      <c r="G220" s="379" t="s">
        <v>889</v>
      </c>
      <c r="H220" s="380">
        <v>1</v>
      </c>
      <c r="I220" s="307">
        <v>103003</v>
      </c>
      <c r="J220" s="308">
        <v>86.54</v>
      </c>
      <c r="K220" s="381"/>
      <c r="L220" s="382">
        <f>IF(tabItens[[#This Row],[Média]] &gt; 0, tabItens[[#This Row],[QTDE ATUAL]] / tabItens[[#This Row],[Média]],999.9)</f>
        <v>999.9</v>
      </c>
      <c r="M220" s="383">
        <v>0</v>
      </c>
      <c r="N220" s="384">
        <f>tabItens[[#This Row],[VALOR UNIT.]] * tabItens[[#This Row],[LC]]</f>
        <v>0</v>
      </c>
      <c r="O220" s="385" t="s">
        <v>2175</v>
      </c>
      <c r="P220" s="386"/>
      <c r="Q220" s="387"/>
      <c r="R220" s="312"/>
      <c r="S220" s="388"/>
      <c r="T220" s="389">
        <f>ROUNDDOWN(IFERROR(tabItens[[#This Row],[ATA DT.VALID.]] - $D$1,0) / 30,0)</f>
        <v>-1474</v>
      </c>
      <c r="U220" s="302" t="s">
        <v>1492</v>
      </c>
      <c r="V220" s="318">
        <v>1</v>
      </c>
      <c r="W220" s="390" t="s">
        <v>2081</v>
      </c>
      <c r="X220" s="391">
        <v>54</v>
      </c>
      <c r="Y220" s="392">
        <v>4</v>
      </c>
      <c r="Z220" s="393">
        <v>2813</v>
      </c>
      <c r="AA220" s="394">
        <v>2023</v>
      </c>
      <c r="AB220" s="395">
        <v>2</v>
      </c>
      <c r="AC220" s="395"/>
      <c r="AD220" s="394"/>
      <c r="AE220" s="395"/>
      <c r="AF220" s="317"/>
      <c r="AG220" s="396" t="s">
        <v>2072</v>
      </c>
      <c r="AH220" s="397"/>
      <c r="AI220" s="317">
        <v>0</v>
      </c>
      <c r="AJ220" s="397">
        <v>43703</v>
      </c>
      <c r="AK220" s="326">
        <v>39624</v>
      </c>
      <c r="AL220" s="326">
        <v>43677</v>
      </c>
      <c r="AM220" s="316"/>
      <c r="AN220" s="305"/>
      <c r="AO220" s="327" t="str">
        <f>_xlfn.IFNA(IF(VLOOKUP(tabItens[[#This Row],[CÓDIGO]],tabExcluirDoEstoque[#Data],1,FALSE),"sim",""),"")</f>
        <v/>
      </c>
      <c r="AP220" s="398" t="str">
        <f ca="1">IF(OR(ISBLANK(tabItens[[#This Row],[ATA DT.VALID.]]),tabItens[[#This Row],[ATA DT.VALID.]]="",tabItens[[#This Row],[ATA DT.VALID.]]=" "),"",IF(TYPE(tabItens[[#This Row],[ATA DT.VALID.]])=1,ROUNDUP((tabItens[[#This Row],[ATA DT.VALID.]]-TODAY())/7,0),""))</f>
        <v/>
      </c>
      <c r="AQ220" s="399">
        <v>0</v>
      </c>
      <c r="AR220" s="400">
        <f>IF(ISBLANK(tabItens[[#This Row],[CÓDIGO]]),"",IFERROR(VLOOKUP(tabItens[[#This Row],[CÓDIGO]],Consumo!$C$2:$AC$862,26,FALSE),0))</f>
        <v>0</v>
      </c>
      <c r="AS220" s="401">
        <f>SUMIF(Consumo!$C$3:$C$862,tabItens[[#This Row],[CÓDIGO]],Consumo!$N$3:$N$862) + SUMIF(Consumo!$C$3:$C$862,tabItens[[#This Row],[CÓDIGO]],Consumo!$O$3:$O$862) + SUMIF(Consumo!$C$3:$C$862,tabItens[[#This Row],[CÓDIGO]],Consumo!$P$3:$P$862) + SUMIF(Consumo!$C$3:$C$862,tabItens[[#This Row],[CÓDIGO]],Consumo!$Q$3:$Q$862)</f>
        <v>0</v>
      </c>
      <c r="AT220" s="401">
        <f>SUMIF(Consumo!$C$3:$C$862,tabItens[[#This Row],[CÓDIGO]],Consumo!$Z$3:$Z$862)</f>
        <v>0</v>
      </c>
      <c r="AU220" s="402">
        <f>SUMIF(Consumo!$C$3:$C$862,tabItens[[#This Row],[CÓDIGO]],Consumo!$AA$3:$AA$862)</f>
        <v>0</v>
      </c>
      <c r="AV220" s="403">
        <f>SUMIF(Consumo!$C$3:$C$862,tabItens[[#This Row],[CÓDIGO]],Consumo!$Y$3:$Y$862)</f>
        <v>0</v>
      </c>
      <c r="AW220" s="380">
        <f>tabItens[[#This Row],[QTDE ATUAL]] + tabItens[[#This Row],[RC QTDE]] + tabItens[[#This Row],[AF SALDO]] + tabItens[[#This Row],[Recentes]]</f>
        <v>3</v>
      </c>
      <c r="AX220" s="404">
        <v>0</v>
      </c>
      <c r="AY220" s="404">
        <v>4</v>
      </c>
      <c r="AZ220" s="404">
        <f>IF(ISBLANK(tabItens[[#This Row],[CÓDIGO]]),"",tabItens[[#This Row],[PontoMês]] * (AZ$2+tabItens[[#This Row],[PontoQtM]]))</f>
        <v>0</v>
      </c>
      <c r="BA220" s="403">
        <f>tabItens[[#This Row],[PontoPed]] - tabItens[[#This Row],[Saldo]] + (1/10)</f>
        <v>-2.9</v>
      </c>
      <c r="BB220" s="403">
        <f xml:space="preserve"> tabItens[[#This Row],[PontoMês]] * BB$2 - tabItens[[#This Row],[QTDE ATUAL]] - (1/10)</f>
        <v>-1.1000000000000001</v>
      </c>
      <c r="BC220" s="335">
        <f>IF( tabItens[[#This Row],[PontoPed]]&gt;0, IF(tabItens[[#This Row],[PontoPed]]&lt;1, 1, IF( tabItens[[#This Row],[Saldo]]&gt;tabItens[[#This Row],[PontoPed]], 0, (tabItens[[#This Row],[PontoPed]]-tabItens[[#This Row],[Saldo]])/tabItens[[#This Row],[PontoPed]] ) ), 0 )</f>
        <v>0</v>
      </c>
      <c r="BD220" s="405">
        <f>ROUNDDOWN(IF( OR( AND(tabItens[[#This Row],[PontoPed]]&lt;tabItens[[#This Row],[Saldo]],tabItens[[#This Row],[Saldo]]&gt;0), tabItens[[#This Row],[PontoPed]]=0), 99, IF(AND(tabItens[[#This Row],[Saldo]]=0,tabItens[[#This Row],[PontoPed]]&gt;0), 0, (1-tabItens[[#This Row],[PctAb]])*10 ) ),0)</f>
        <v>99</v>
      </c>
      <c r="BE220" s="406">
        <f>MAX(ROUNDDOWN( IF(tabItens[[#This Row],[Abaixo]] &gt; 0,   tabItens[[#This Row],[Abaixo]] + (tabItens[[#This Row],[PontoMês]] * IF( OR( ISBLANK(tabItens[[#This Row],[ATA Nº/ANO]]), tabItens[[#This Row],[ATA Nº/ANO]] = ""),BE$2,BE$1)),0),0),0)</f>
        <v>0</v>
      </c>
      <c r="BF22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0" s="338">
        <f>SUMIF(Consumo!$C$3:$C$862,tabItens[[#This Row],[CÓDIGO]],Consumo!$E$3:$E$862)</f>
        <v>0</v>
      </c>
      <c r="BH220" s="339">
        <f>IF(AND(tabItens[[#This Row],[Pend]] &gt; 0,tabItens[[#This Row],[Consumo]] &lt;&gt; 0), tabItens[[#This Row],[Pend]] / tabItens[[#This Row],[Consumo]], 0 )</f>
        <v>0</v>
      </c>
      <c r="BI220" s="338"/>
      <c r="BJ220" s="407"/>
      <c r="BK220" s="408" t="s">
        <v>2086</v>
      </c>
    </row>
    <row r="221" spans="1:63" x14ac:dyDescent="0.3">
      <c r="A221" s="375">
        <v>14977</v>
      </c>
      <c r="B221" s="376" t="s">
        <v>1080</v>
      </c>
      <c r="C221" s="377" t="s">
        <v>263</v>
      </c>
      <c r="D221" s="378">
        <v>41</v>
      </c>
      <c r="E221" s="305"/>
      <c r="F221" s="379"/>
      <c r="G221" s="379" t="s">
        <v>889</v>
      </c>
      <c r="H221" s="380">
        <v>178</v>
      </c>
      <c r="I221" s="307">
        <v>103003</v>
      </c>
      <c r="J221" s="308">
        <v>41</v>
      </c>
      <c r="K221" s="381">
        <v>86</v>
      </c>
      <c r="L221" s="382">
        <f>IF(tabItens[[#This Row],[Média]] &gt; 0, tabItens[[#This Row],[QTDE ATUAL]] / tabItens[[#This Row],[Média]],999.9)</f>
        <v>22.020618556701031</v>
      </c>
      <c r="M221" s="383">
        <v>0</v>
      </c>
      <c r="N221" s="384">
        <f>tabItens[[#This Row],[VALOR UNIT.]] * tabItens[[#This Row],[LC]]</f>
        <v>0</v>
      </c>
      <c r="O221" s="385" t="s">
        <v>2122</v>
      </c>
      <c r="P221" s="386"/>
      <c r="Q221" s="387"/>
      <c r="R221" s="312"/>
      <c r="S221" s="388"/>
      <c r="T221" s="389">
        <f>ROUNDDOWN(IFERROR(tabItens[[#This Row],[ATA DT.VALID.]] - $D$1,0) / 30,0)</f>
        <v>-1474</v>
      </c>
      <c r="U221" s="302" t="s">
        <v>1081</v>
      </c>
      <c r="V221" s="318">
        <v>1</v>
      </c>
      <c r="W221" s="390" t="s">
        <v>2071</v>
      </c>
      <c r="X221" s="391">
        <v>51</v>
      </c>
      <c r="Y221" s="392">
        <v>37</v>
      </c>
      <c r="Z221" s="393"/>
      <c r="AA221" s="394"/>
      <c r="AB221" s="395"/>
      <c r="AC221" s="395"/>
      <c r="AD221" s="394"/>
      <c r="AE221" s="395"/>
      <c r="AF221" s="317"/>
      <c r="AG221" s="396" t="s">
        <v>2072</v>
      </c>
      <c r="AH221" s="397"/>
      <c r="AI221" s="317">
        <v>32</v>
      </c>
      <c r="AJ221" s="397">
        <v>45180</v>
      </c>
      <c r="AK221" s="326" t="s">
        <v>889</v>
      </c>
      <c r="AL221" s="326">
        <v>45160</v>
      </c>
      <c r="AM221" s="316"/>
      <c r="AN221" s="305"/>
      <c r="AO221" s="327" t="str">
        <f>_xlfn.IFNA(IF(VLOOKUP(tabItens[[#This Row],[CÓDIGO]],tabExcluirDoEstoque[#Data],1,FALSE),"sim",""),"")</f>
        <v/>
      </c>
      <c r="AP221" s="398" t="str">
        <f ca="1">IF(OR(ISBLANK(tabItens[[#This Row],[ATA DT.VALID.]]),tabItens[[#This Row],[ATA DT.VALID.]]="",tabItens[[#This Row],[ATA DT.VALID.]]=" "),"",IF(TYPE(tabItens[[#This Row],[ATA DT.VALID.]])=1,ROUNDUP((tabItens[[#This Row],[ATA DT.VALID.]]-TODAY())/7,0),""))</f>
        <v/>
      </c>
      <c r="AQ221" s="399">
        <v>0</v>
      </c>
      <c r="AR221" s="400" t="str">
        <f>IF(ISBLANK(tabItens[[#This Row],[CÓDIGO]]),"",IFERROR(VLOOKUP(tabItens[[#This Row],[CÓDIGO]],Consumo!$C$2:$AC$862,26,FALSE),0))</f>
        <v>09.2023</v>
      </c>
      <c r="AS221" s="401">
        <f>SUMIF(Consumo!$C$3:$C$862,tabItens[[#This Row],[CÓDIGO]],Consumo!$N$3:$N$862) + SUMIF(Consumo!$C$3:$C$862,tabItens[[#This Row],[CÓDIGO]],Consumo!$O$3:$O$862) + SUMIF(Consumo!$C$3:$C$862,tabItens[[#This Row],[CÓDIGO]],Consumo!$P$3:$P$862) + SUMIF(Consumo!$C$3:$C$862,tabItens[[#This Row],[CÓDIGO]],Consumo!$Q$3:$Q$862)</f>
        <v>22</v>
      </c>
      <c r="AT221" s="401">
        <f>SUMIF(Consumo!$C$3:$C$862,tabItens[[#This Row],[CÓDIGO]],Consumo!$Z$3:$Z$862)</f>
        <v>97</v>
      </c>
      <c r="AU221" s="402">
        <f>SUMIF(Consumo!$C$3:$C$862,tabItens[[#This Row],[CÓDIGO]],Consumo!$AA$3:$AA$862)</f>
        <v>20</v>
      </c>
      <c r="AV221" s="403">
        <f>SUMIF(Consumo!$C$3:$C$862,tabItens[[#This Row],[CÓDIGO]],Consumo!$Y$3:$Y$862)</f>
        <v>8.0833333333333339</v>
      </c>
      <c r="AW221" s="380">
        <f>tabItens[[#This Row],[QTDE ATUAL]] + tabItens[[#This Row],[RC QTDE]] + tabItens[[#This Row],[AF SALDO]] + tabItens[[#This Row],[Recentes]]</f>
        <v>178</v>
      </c>
      <c r="AX221" s="404">
        <v>15</v>
      </c>
      <c r="AY221" s="404">
        <v>4</v>
      </c>
      <c r="AZ221" s="404">
        <f>IF(ISBLANK(tabItens[[#This Row],[CÓDIGO]]),"",tabItens[[#This Row],[PontoMês]] * (AZ$2+tabItens[[#This Row],[PontoQtM]]))</f>
        <v>60</v>
      </c>
      <c r="BA221" s="403">
        <f>tabItens[[#This Row],[PontoPed]] - tabItens[[#This Row],[Saldo]] + (1/10)</f>
        <v>-117.9</v>
      </c>
      <c r="BB221" s="403">
        <f xml:space="preserve"> tabItens[[#This Row],[PontoMês]] * BB$2 - tabItens[[#This Row],[QTDE ATUAL]] - (1/10)</f>
        <v>-163.1</v>
      </c>
      <c r="BC221" s="335">
        <f>IF( tabItens[[#This Row],[PontoPed]]&gt;0, IF(tabItens[[#This Row],[PontoPed]]&lt;1, 1, IF( tabItens[[#This Row],[Saldo]]&gt;tabItens[[#This Row],[PontoPed]], 0, (tabItens[[#This Row],[PontoPed]]-tabItens[[#This Row],[Saldo]])/tabItens[[#This Row],[PontoPed]] ) ), 0 )</f>
        <v>0</v>
      </c>
      <c r="BD221" s="405">
        <f>ROUNDDOWN(IF( OR( AND(tabItens[[#This Row],[PontoPed]]&lt;tabItens[[#This Row],[Saldo]],tabItens[[#This Row],[Saldo]]&gt;0), tabItens[[#This Row],[PontoPed]]=0), 99, IF(AND(tabItens[[#This Row],[Saldo]]=0,tabItens[[#This Row],[PontoPed]]&gt;0), 0, (1-tabItens[[#This Row],[PctAb]])*10 ) ),0)</f>
        <v>99</v>
      </c>
      <c r="BE221" s="406">
        <f>MAX(ROUNDDOWN( IF(tabItens[[#This Row],[Abaixo]] &gt; 0,   tabItens[[#This Row],[Abaixo]] + (tabItens[[#This Row],[PontoMês]] * IF( OR( ISBLANK(tabItens[[#This Row],[ATA Nº/ANO]]), tabItens[[#This Row],[ATA Nº/ANO]] = ""),BE$2,BE$1)),0),0),0)</f>
        <v>0</v>
      </c>
      <c r="BF22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1" s="338">
        <f>SUMIF(Consumo!$C$3:$C$862,tabItens[[#This Row],[CÓDIGO]],Consumo!$E$3:$E$862)</f>
        <v>0</v>
      </c>
      <c r="BH221" s="339">
        <f>IF(AND(tabItens[[#This Row],[Pend]] &gt; 0,tabItens[[#This Row],[Consumo]] &lt;&gt; 0), tabItens[[#This Row],[Pend]] / tabItens[[#This Row],[Consumo]], 0 )</f>
        <v>0</v>
      </c>
      <c r="BI221" s="338"/>
      <c r="BJ221" s="407"/>
      <c r="BK221" s="408" t="s">
        <v>2086</v>
      </c>
    </row>
    <row r="222" spans="1:63" x14ac:dyDescent="0.3">
      <c r="A222" s="375">
        <v>132465</v>
      </c>
      <c r="B222" s="376" t="s">
        <v>1837</v>
      </c>
      <c r="C222" s="377" t="s">
        <v>31</v>
      </c>
      <c r="D222" s="378">
        <v>20.45</v>
      </c>
      <c r="E222" s="305"/>
      <c r="F222" s="379"/>
      <c r="G222" s="379" t="s">
        <v>889</v>
      </c>
      <c r="H222" s="380">
        <v>50</v>
      </c>
      <c r="I222" s="307">
        <v>103003</v>
      </c>
      <c r="J222" s="308">
        <v>20.45</v>
      </c>
      <c r="K222" s="381">
        <v>123</v>
      </c>
      <c r="L222" s="382">
        <f>IF(tabItens[[#This Row],[Média]] &gt; 0, tabItens[[#This Row],[QTDE ATUAL]] / tabItens[[#This Row],[Média]],999.9)</f>
        <v>4.0816326530612246</v>
      </c>
      <c r="M222" s="383">
        <v>0</v>
      </c>
      <c r="N222" s="384">
        <f>tabItens[[#This Row],[VALOR UNIT.]] * tabItens[[#This Row],[LC]]</f>
        <v>0</v>
      </c>
      <c r="O222" s="385" t="s">
        <v>2200</v>
      </c>
      <c r="P222" s="386"/>
      <c r="Q222" s="387"/>
      <c r="R222" s="312"/>
      <c r="S222" s="388"/>
      <c r="T222" s="389">
        <f>ROUNDDOWN(IFERROR(tabItens[[#This Row],[ATA DT.VALID.]] - $D$1,0) / 30,0)</f>
        <v>-1474</v>
      </c>
      <c r="U222" s="302" t="s">
        <v>1005</v>
      </c>
      <c r="V222" s="318">
        <v>1</v>
      </c>
      <c r="W222" s="390" t="s">
        <v>2079</v>
      </c>
      <c r="X222" s="391">
        <v>51</v>
      </c>
      <c r="Y222" s="392">
        <v>11</v>
      </c>
      <c r="Z222" s="393"/>
      <c r="AA222" s="394"/>
      <c r="AB222" s="395"/>
      <c r="AC222" s="395"/>
      <c r="AD222" s="394"/>
      <c r="AE222" s="395"/>
      <c r="AF222" s="317"/>
      <c r="AG222" s="396" t="s">
        <v>2072</v>
      </c>
      <c r="AH222" s="397"/>
      <c r="AI222" s="317">
        <v>42</v>
      </c>
      <c r="AJ222" s="397">
        <v>45195</v>
      </c>
      <c r="AK222" s="326">
        <v>42796</v>
      </c>
      <c r="AL222" s="326">
        <v>45189</v>
      </c>
      <c r="AM222" s="316"/>
      <c r="AN222" s="305"/>
      <c r="AO222" s="327" t="str">
        <f>_xlfn.IFNA(IF(VLOOKUP(tabItens[[#This Row],[CÓDIGO]],tabExcluirDoEstoque[#Data],1,FALSE),"sim",""),"")</f>
        <v/>
      </c>
      <c r="AP222" s="398" t="str">
        <f ca="1">IF(OR(ISBLANK(tabItens[[#This Row],[ATA DT.VALID.]]),tabItens[[#This Row],[ATA DT.VALID.]]="",tabItens[[#This Row],[ATA DT.VALID.]]=" "),"",IF(TYPE(tabItens[[#This Row],[ATA DT.VALID.]])=1,ROUNDUP((tabItens[[#This Row],[ATA DT.VALID.]]-TODAY())/7,0),""))</f>
        <v/>
      </c>
      <c r="AQ222" s="399">
        <v>0</v>
      </c>
      <c r="AR222" s="400" t="str">
        <f>IF(ISBLANK(tabItens[[#This Row],[CÓDIGO]]),"",IFERROR(VLOOKUP(tabItens[[#This Row],[CÓDIGO]],Consumo!$C$2:$AC$862,26,FALSE),0))</f>
        <v>09.2023</v>
      </c>
      <c r="AS222" s="401">
        <f>SUMIF(Consumo!$C$3:$C$862,tabItens[[#This Row],[CÓDIGO]],Consumo!$N$3:$N$862) + SUMIF(Consumo!$C$3:$C$862,tabItens[[#This Row],[CÓDIGO]],Consumo!$O$3:$O$862) + SUMIF(Consumo!$C$3:$C$862,tabItens[[#This Row],[CÓDIGO]],Consumo!$P$3:$P$862) + SUMIF(Consumo!$C$3:$C$862,tabItens[[#This Row],[CÓDIGO]],Consumo!$Q$3:$Q$862)</f>
        <v>25</v>
      </c>
      <c r="AT222" s="401">
        <f>SUMIF(Consumo!$C$3:$C$862,tabItens[[#This Row],[CÓDIGO]],Consumo!$Z$3:$Z$862)</f>
        <v>158</v>
      </c>
      <c r="AU222" s="402">
        <f>SUMIF(Consumo!$C$3:$C$862,tabItens[[#This Row],[CÓDIGO]],Consumo!$AA$3:$AA$862)</f>
        <v>60</v>
      </c>
      <c r="AV222" s="403">
        <f>SUMIF(Consumo!$C$3:$C$862,tabItens[[#This Row],[CÓDIGO]],Consumo!$Y$3:$Y$862)</f>
        <v>12.25</v>
      </c>
      <c r="AW222" s="380">
        <f>tabItens[[#This Row],[QTDE ATUAL]] + tabItens[[#This Row],[RC QTDE]] + tabItens[[#This Row],[AF SALDO]] + tabItens[[#This Row],[Recentes]]</f>
        <v>50</v>
      </c>
      <c r="AX222" s="404">
        <v>50</v>
      </c>
      <c r="AY222" s="404">
        <v>4</v>
      </c>
      <c r="AZ222" s="404">
        <f>IF(ISBLANK(tabItens[[#This Row],[CÓDIGO]]),"",tabItens[[#This Row],[PontoMês]] * (AZ$2+tabItens[[#This Row],[PontoQtM]]))</f>
        <v>200</v>
      </c>
      <c r="BA222" s="403">
        <f>tabItens[[#This Row],[PontoPed]] - tabItens[[#This Row],[Saldo]] + (1/10)</f>
        <v>150.1</v>
      </c>
      <c r="BB222" s="403">
        <f xml:space="preserve"> tabItens[[#This Row],[PontoMês]] * BB$2 - tabItens[[#This Row],[QTDE ATUAL]] - (1/10)</f>
        <v>-0.1</v>
      </c>
      <c r="BC222" s="335">
        <f>IF( tabItens[[#This Row],[PontoPed]]&gt;0, IF(tabItens[[#This Row],[PontoPed]]&lt;1, 1, IF( tabItens[[#This Row],[Saldo]]&gt;tabItens[[#This Row],[PontoPed]], 0, (tabItens[[#This Row],[PontoPed]]-tabItens[[#This Row],[Saldo]])/tabItens[[#This Row],[PontoPed]] ) ), 0 )</f>
        <v>0.75</v>
      </c>
      <c r="BD222" s="405">
        <f>ROUNDDOWN(IF( OR( AND(tabItens[[#This Row],[PontoPed]]&lt;tabItens[[#This Row],[Saldo]],tabItens[[#This Row],[Saldo]]&gt;0), tabItens[[#This Row],[PontoPed]]=0), 99, IF(AND(tabItens[[#This Row],[Saldo]]=0,tabItens[[#This Row],[PontoPed]]&gt;0), 0, (1-tabItens[[#This Row],[PctAb]])*10 ) ),0)</f>
        <v>2</v>
      </c>
      <c r="BE222" s="406">
        <f>MAX(ROUNDDOWN( IF(tabItens[[#This Row],[Abaixo]] &gt; 0,   tabItens[[#This Row],[Abaixo]] + (tabItens[[#This Row],[PontoMês]] * IF( OR( ISBLANK(tabItens[[#This Row],[ATA Nº/ANO]]), tabItens[[#This Row],[ATA Nº/ANO]] = ""),BE$2,BE$1)),0),0),0)</f>
        <v>300</v>
      </c>
      <c r="BF22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2" s="338">
        <f>SUMIF(Consumo!$C$3:$C$862,tabItens[[#This Row],[CÓDIGO]],Consumo!$E$3:$E$862)</f>
        <v>35</v>
      </c>
      <c r="BH222" s="339">
        <f>IF(AND(tabItens[[#This Row],[Pend]] &gt; 0,tabItens[[#This Row],[Consumo]] &lt;&gt; 0), tabItens[[#This Row],[Pend]] / tabItens[[#This Row],[Consumo]], 0 )</f>
        <v>0.22151898734177214</v>
      </c>
      <c r="BI222" s="338"/>
      <c r="BJ222" s="407"/>
      <c r="BK222" s="408" t="s">
        <v>2086</v>
      </c>
    </row>
    <row r="223" spans="1:63" x14ac:dyDescent="0.3">
      <c r="A223" s="375">
        <v>20037</v>
      </c>
      <c r="B223" s="376" t="s">
        <v>1159</v>
      </c>
      <c r="C223" s="377" t="s">
        <v>263</v>
      </c>
      <c r="D223" s="378">
        <v>9.98</v>
      </c>
      <c r="E223" s="305"/>
      <c r="F223" s="379"/>
      <c r="G223" s="379" t="s">
        <v>889</v>
      </c>
      <c r="H223" s="380">
        <v>148</v>
      </c>
      <c r="I223" s="307">
        <v>103003</v>
      </c>
      <c r="J223" s="308">
        <v>9.98</v>
      </c>
      <c r="K223" s="381">
        <v>110</v>
      </c>
      <c r="L223" s="382">
        <f>IF(tabItens[[#This Row],[Média]] &gt; 0, tabItens[[#This Row],[QTDE ATUAL]] / tabItens[[#This Row],[Média]],999.9)</f>
        <v>15.578947368421053</v>
      </c>
      <c r="M223" s="383">
        <v>0</v>
      </c>
      <c r="N223" s="384">
        <f>tabItens[[#This Row],[VALOR UNIT.]] * tabItens[[#This Row],[LC]]</f>
        <v>0</v>
      </c>
      <c r="O223" s="385" t="s">
        <v>2134</v>
      </c>
      <c r="P223" s="386"/>
      <c r="Q223" s="387"/>
      <c r="R223" s="312"/>
      <c r="S223" s="388"/>
      <c r="T223" s="389">
        <f>ROUNDDOWN(IFERROR(tabItens[[#This Row],[ATA DT.VALID.]] - $D$1,0) / 30,0)</f>
        <v>-1474</v>
      </c>
      <c r="U223" s="302" t="s">
        <v>1152</v>
      </c>
      <c r="V223" s="318">
        <v>1</v>
      </c>
      <c r="W223" s="390" t="s">
        <v>2078</v>
      </c>
      <c r="X223" s="391">
        <v>70</v>
      </c>
      <c r="Y223" s="392">
        <v>31</v>
      </c>
      <c r="Z223" s="393"/>
      <c r="AA223" s="394"/>
      <c r="AB223" s="395"/>
      <c r="AC223" s="395"/>
      <c r="AD223" s="394"/>
      <c r="AE223" s="395"/>
      <c r="AF223" s="317"/>
      <c r="AG223" s="396" t="s">
        <v>2072</v>
      </c>
      <c r="AH223" s="397"/>
      <c r="AI223" s="317">
        <v>40</v>
      </c>
      <c r="AJ223" s="397">
        <v>44607</v>
      </c>
      <c r="AK223" s="326" t="s">
        <v>889</v>
      </c>
      <c r="AL223" s="326">
        <v>44592</v>
      </c>
      <c r="AM223" s="316"/>
      <c r="AN223" s="305"/>
      <c r="AO223" s="327" t="str">
        <f>_xlfn.IFNA(IF(VLOOKUP(tabItens[[#This Row],[CÓDIGO]],tabExcluirDoEstoque[#Data],1,FALSE),"sim",""),"")</f>
        <v/>
      </c>
      <c r="AP223" s="398" t="str">
        <f ca="1">IF(OR(ISBLANK(tabItens[[#This Row],[ATA DT.VALID.]]),tabItens[[#This Row],[ATA DT.VALID.]]="",tabItens[[#This Row],[ATA DT.VALID.]]=" "),"",IF(TYPE(tabItens[[#This Row],[ATA DT.VALID.]])=1,ROUNDUP((tabItens[[#This Row],[ATA DT.VALID.]]-TODAY())/7,0),""))</f>
        <v/>
      </c>
      <c r="AQ223" s="399">
        <v>0</v>
      </c>
      <c r="AR223" s="400" t="str">
        <f>IF(ISBLANK(tabItens[[#This Row],[CÓDIGO]]),"",IFERROR(VLOOKUP(tabItens[[#This Row],[CÓDIGO]],Consumo!$C$2:$AC$862,26,FALSE),0))</f>
        <v>09.2023</v>
      </c>
      <c r="AS223" s="401">
        <f>SUMIF(Consumo!$C$3:$C$862,tabItens[[#This Row],[CÓDIGO]],Consumo!$N$3:$N$862) + SUMIF(Consumo!$C$3:$C$862,tabItens[[#This Row],[CÓDIGO]],Consumo!$O$3:$O$862) + SUMIF(Consumo!$C$3:$C$862,tabItens[[#This Row],[CÓDIGO]],Consumo!$P$3:$P$862) + SUMIF(Consumo!$C$3:$C$862,tabItens[[#This Row],[CÓDIGO]],Consumo!$Q$3:$Q$862)</f>
        <v>10</v>
      </c>
      <c r="AT223" s="401">
        <f>SUMIF(Consumo!$C$3:$C$862,tabItens[[#This Row],[CÓDIGO]],Consumo!$Z$3:$Z$862)</f>
        <v>118</v>
      </c>
      <c r="AU223" s="402">
        <f>SUMIF(Consumo!$C$3:$C$862,tabItens[[#This Row],[CÓDIGO]],Consumo!$AA$3:$AA$862)</f>
        <v>36</v>
      </c>
      <c r="AV223" s="403">
        <f>SUMIF(Consumo!$C$3:$C$862,tabItens[[#This Row],[CÓDIGO]],Consumo!$Y$3:$Y$862)</f>
        <v>9.5</v>
      </c>
      <c r="AW223" s="380">
        <f>tabItens[[#This Row],[QTDE ATUAL]] + tabItens[[#This Row],[RC QTDE]] + tabItens[[#This Row],[AF SALDO]] + tabItens[[#This Row],[Recentes]]</f>
        <v>148</v>
      </c>
      <c r="AX223" s="404">
        <v>13</v>
      </c>
      <c r="AY223" s="404">
        <v>4</v>
      </c>
      <c r="AZ223" s="404">
        <f>IF(ISBLANK(tabItens[[#This Row],[CÓDIGO]]),"",tabItens[[#This Row],[PontoMês]] * (AZ$2+tabItens[[#This Row],[PontoQtM]]))</f>
        <v>52</v>
      </c>
      <c r="BA223" s="403">
        <f>tabItens[[#This Row],[PontoPed]] - tabItens[[#This Row],[Saldo]] + (1/10)</f>
        <v>-95.9</v>
      </c>
      <c r="BB223" s="403">
        <f xml:space="preserve"> tabItens[[#This Row],[PontoMês]] * BB$2 - tabItens[[#This Row],[QTDE ATUAL]] - (1/10)</f>
        <v>-135.1</v>
      </c>
      <c r="BC223" s="335">
        <f>IF( tabItens[[#This Row],[PontoPed]]&gt;0, IF(tabItens[[#This Row],[PontoPed]]&lt;1, 1, IF( tabItens[[#This Row],[Saldo]]&gt;tabItens[[#This Row],[PontoPed]], 0, (tabItens[[#This Row],[PontoPed]]-tabItens[[#This Row],[Saldo]])/tabItens[[#This Row],[PontoPed]] ) ), 0 )</f>
        <v>0</v>
      </c>
      <c r="BD223" s="405">
        <f>ROUNDDOWN(IF( OR( AND(tabItens[[#This Row],[PontoPed]]&lt;tabItens[[#This Row],[Saldo]],tabItens[[#This Row],[Saldo]]&gt;0), tabItens[[#This Row],[PontoPed]]=0), 99, IF(AND(tabItens[[#This Row],[Saldo]]=0,tabItens[[#This Row],[PontoPed]]&gt;0), 0, (1-tabItens[[#This Row],[PctAb]])*10 ) ),0)</f>
        <v>99</v>
      </c>
      <c r="BE223" s="406">
        <f>MAX(ROUNDDOWN( IF(tabItens[[#This Row],[Abaixo]] &gt; 0,   tabItens[[#This Row],[Abaixo]] + (tabItens[[#This Row],[PontoMês]] * IF( OR( ISBLANK(tabItens[[#This Row],[ATA Nº/ANO]]), tabItens[[#This Row],[ATA Nº/ANO]] = ""),BE$2,BE$1)),0),0),0)</f>
        <v>0</v>
      </c>
      <c r="BF22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3" s="338">
        <f>SUMIF(Consumo!$C$3:$C$862,tabItens[[#This Row],[CÓDIGO]],Consumo!$E$3:$E$862)</f>
        <v>0</v>
      </c>
      <c r="BH223" s="339">
        <f>IF(AND(tabItens[[#This Row],[Pend]] &gt; 0,tabItens[[#This Row],[Consumo]] &lt;&gt; 0), tabItens[[#This Row],[Pend]] / tabItens[[#This Row],[Consumo]], 0 )</f>
        <v>0</v>
      </c>
      <c r="BI223" s="338"/>
      <c r="BJ223" s="407"/>
      <c r="BK223" s="408" t="s">
        <v>2086</v>
      </c>
    </row>
    <row r="224" spans="1:63" x14ac:dyDescent="0.3">
      <c r="A224" s="375">
        <v>14737</v>
      </c>
      <c r="B224" s="376" t="s">
        <v>1069</v>
      </c>
      <c r="C224" s="377" t="s">
        <v>1070</v>
      </c>
      <c r="D224" s="378">
        <v>430</v>
      </c>
      <c r="E224" s="305"/>
      <c r="F224" s="379"/>
      <c r="G224" s="379" t="s">
        <v>889</v>
      </c>
      <c r="H224" s="380">
        <v>20</v>
      </c>
      <c r="I224" s="307">
        <v>103003</v>
      </c>
      <c r="J224" s="308">
        <v>430</v>
      </c>
      <c r="K224" s="381">
        <v>23</v>
      </c>
      <c r="L224" s="382">
        <f>IF(tabItens[[#This Row],[Média]] &gt; 0, tabItens[[#This Row],[QTDE ATUAL]] / tabItens[[#This Row],[Média]],999.9)</f>
        <v>12.631578947368421</v>
      </c>
      <c r="M224" s="383">
        <v>0</v>
      </c>
      <c r="N224" s="384">
        <f>tabItens[[#This Row],[VALOR UNIT.]] * tabItens[[#This Row],[LC]]</f>
        <v>0</v>
      </c>
      <c r="O224" s="385" t="s">
        <v>2118</v>
      </c>
      <c r="P224" s="386"/>
      <c r="Q224" s="387"/>
      <c r="R224" s="312"/>
      <c r="S224" s="388"/>
      <c r="T224" s="389">
        <f>ROUNDDOWN(IFERROR(tabItens[[#This Row],[ATA DT.VALID.]] - $D$1,0) / 30,0)</f>
        <v>-1474</v>
      </c>
      <c r="U224" s="302" t="s">
        <v>1071</v>
      </c>
      <c r="V224" s="318">
        <v>1</v>
      </c>
      <c r="W224" s="390" t="s">
        <v>2075</v>
      </c>
      <c r="X224" s="391">
        <v>76</v>
      </c>
      <c r="Y224" s="392">
        <v>5</v>
      </c>
      <c r="Z224" s="393"/>
      <c r="AA224" s="394"/>
      <c r="AB224" s="395"/>
      <c r="AC224" s="395"/>
      <c r="AD224" s="394"/>
      <c r="AE224" s="395"/>
      <c r="AF224" s="317"/>
      <c r="AG224" s="396" t="s">
        <v>2072</v>
      </c>
      <c r="AH224" s="397"/>
      <c r="AI224" s="317">
        <v>8</v>
      </c>
      <c r="AJ224" s="397">
        <v>44986</v>
      </c>
      <c r="AK224" s="326" t="s">
        <v>889</v>
      </c>
      <c r="AL224" s="326">
        <v>44916</v>
      </c>
      <c r="AM224" s="316"/>
      <c r="AN224" s="305"/>
      <c r="AO224" s="327" t="str">
        <f>_xlfn.IFNA(IF(VLOOKUP(tabItens[[#This Row],[CÓDIGO]],tabExcluirDoEstoque[#Data],1,FALSE),"sim",""),"")</f>
        <v/>
      </c>
      <c r="AP224" s="398" t="str">
        <f ca="1">IF(OR(ISBLANK(tabItens[[#This Row],[ATA DT.VALID.]]),tabItens[[#This Row],[ATA DT.VALID.]]="",tabItens[[#This Row],[ATA DT.VALID.]]=" "),"",IF(TYPE(tabItens[[#This Row],[ATA DT.VALID.]])=1,ROUNDUP((tabItens[[#This Row],[ATA DT.VALID.]]-TODAY())/7,0),""))</f>
        <v/>
      </c>
      <c r="AQ224" s="399">
        <v>0</v>
      </c>
      <c r="AR224" s="400" t="str">
        <f>IF(ISBLANK(tabItens[[#This Row],[CÓDIGO]]),"",IFERROR(VLOOKUP(tabItens[[#This Row],[CÓDIGO]],Consumo!$C$2:$AC$862,26,FALSE),0))</f>
        <v>08.2023</v>
      </c>
      <c r="AS224" s="401">
        <f>SUMIF(Consumo!$C$3:$C$862,tabItens[[#This Row],[CÓDIGO]],Consumo!$N$3:$N$862) + SUMIF(Consumo!$C$3:$C$862,tabItens[[#This Row],[CÓDIGO]],Consumo!$O$3:$O$862) + SUMIF(Consumo!$C$3:$C$862,tabItens[[#This Row],[CÓDIGO]],Consumo!$P$3:$P$862) + SUMIF(Consumo!$C$3:$C$862,tabItens[[#This Row],[CÓDIGO]],Consumo!$Q$3:$Q$862)</f>
        <v>13</v>
      </c>
      <c r="AT224" s="401">
        <f>SUMIF(Consumo!$C$3:$C$862,tabItens[[#This Row],[CÓDIGO]],Consumo!$Z$3:$Z$862)</f>
        <v>23</v>
      </c>
      <c r="AU224" s="402">
        <f>SUMIF(Consumo!$C$3:$C$862,tabItens[[#This Row],[CÓDIGO]],Consumo!$AA$3:$AA$862)</f>
        <v>13</v>
      </c>
      <c r="AV224" s="403">
        <f>SUMIF(Consumo!$C$3:$C$862,tabItens[[#This Row],[CÓDIGO]],Consumo!$Y$3:$Y$862)</f>
        <v>1.5833333333333333</v>
      </c>
      <c r="AW224" s="380">
        <f>tabItens[[#This Row],[QTDE ATUAL]] + tabItens[[#This Row],[RC QTDE]] + tabItens[[#This Row],[AF SALDO]] + tabItens[[#This Row],[Recentes]]</f>
        <v>20</v>
      </c>
      <c r="AX224" s="404">
        <v>1</v>
      </c>
      <c r="AY224" s="404">
        <v>4</v>
      </c>
      <c r="AZ224" s="404">
        <f>IF(ISBLANK(tabItens[[#This Row],[CÓDIGO]]),"",tabItens[[#This Row],[PontoMês]] * (AZ$2+tabItens[[#This Row],[PontoQtM]]))</f>
        <v>4</v>
      </c>
      <c r="BA224" s="403">
        <f>tabItens[[#This Row],[PontoPed]] - tabItens[[#This Row],[Saldo]] + (1/10)</f>
        <v>-15.9</v>
      </c>
      <c r="BB224" s="403">
        <f xml:space="preserve"> tabItens[[#This Row],[PontoMês]] * BB$2 - tabItens[[#This Row],[QTDE ATUAL]] - (1/10)</f>
        <v>-19.100000000000001</v>
      </c>
      <c r="BC224" s="335">
        <f>IF( tabItens[[#This Row],[PontoPed]]&gt;0, IF(tabItens[[#This Row],[PontoPed]]&lt;1, 1, IF( tabItens[[#This Row],[Saldo]]&gt;tabItens[[#This Row],[PontoPed]], 0, (tabItens[[#This Row],[PontoPed]]-tabItens[[#This Row],[Saldo]])/tabItens[[#This Row],[PontoPed]] ) ), 0 )</f>
        <v>0</v>
      </c>
      <c r="BD224" s="405">
        <f>ROUNDDOWN(IF( OR( AND(tabItens[[#This Row],[PontoPed]]&lt;tabItens[[#This Row],[Saldo]],tabItens[[#This Row],[Saldo]]&gt;0), tabItens[[#This Row],[PontoPed]]=0), 99, IF(AND(tabItens[[#This Row],[Saldo]]=0,tabItens[[#This Row],[PontoPed]]&gt;0), 0, (1-tabItens[[#This Row],[PctAb]])*10 ) ),0)</f>
        <v>99</v>
      </c>
      <c r="BE224" s="406">
        <f>MAX(ROUNDDOWN( IF(tabItens[[#This Row],[Abaixo]] &gt; 0,   tabItens[[#This Row],[Abaixo]] + (tabItens[[#This Row],[PontoMês]] * IF( OR( ISBLANK(tabItens[[#This Row],[ATA Nº/ANO]]), tabItens[[#This Row],[ATA Nº/ANO]] = ""),BE$2,BE$1)),0),0),0)</f>
        <v>0</v>
      </c>
      <c r="BF22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4" s="338">
        <f>SUMIF(Consumo!$C$3:$C$862,tabItens[[#This Row],[CÓDIGO]],Consumo!$E$3:$E$862)</f>
        <v>0</v>
      </c>
      <c r="BH224" s="339">
        <f>IF(AND(tabItens[[#This Row],[Pend]] &gt; 0,tabItens[[#This Row],[Consumo]] &lt;&gt; 0), tabItens[[#This Row],[Pend]] / tabItens[[#This Row],[Consumo]], 0 )</f>
        <v>0</v>
      </c>
      <c r="BI224" s="338"/>
      <c r="BJ224" s="407"/>
      <c r="BK224" s="408" t="s">
        <v>2086</v>
      </c>
    </row>
    <row r="225" spans="1:63" x14ac:dyDescent="0.3">
      <c r="A225" s="375">
        <v>20760</v>
      </c>
      <c r="B225" s="376" t="s">
        <v>1174</v>
      </c>
      <c r="C225" s="377" t="s">
        <v>1070</v>
      </c>
      <c r="D225" s="378">
        <v>281.64999999999998</v>
      </c>
      <c r="E225" s="305"/>
      <c r="F225" s="379"/>
      <c r="G225" s="379" t="s">
        <v>889</v>
      </c>
      <c r="H225" s="380">
        <v>0</v>
      </c>
      <c r="I225" s="307">
        <v>103003</v>
      </c>
      <c r="J225" s="308">
        <v>281.64999999999998</v>
      </c>
      <c r="K225" s="381">
        <v>113</v>
      </c>
      <c r="L225" s="382">
        <f>IF(tabItens[[#This Row],[Média]] &gt; 0, tabItens[[#This Row],[QTDE ATUAL]] / tabItens[[#This Row],[Média]],999.9)</f>
        <v>0</v>
      </c>
      <c r="M225" s="383">
        <v>0</v>
      </c>
      <c r="N225" s="384">
        <f>tabItens[[#This Row],[VALOR UNIT.]] * tabItens[[#This Row],[LC]]</f>
        <v>0</v>
      </c>
      <c r="O225" s="385" t="s">
        <v>2118</v>
      </c>
      <c r="P225" s="386"/>
      <c r="Q225" s="387"/>
      <c r="R225" s="312"/>
      <c r="S225" s="388"/>
      <c r="T225" s="389">
        <f>ROUNDDOWN(IFERROR(tabItens[[#This Row],[ATA DT.VALID.]] - $D$1,0) / 30,0)</f>
        <v>-1474</v>
      </c>
      <c r="U225" s="302" t="s">
        <v>1071</v>
      </c>
      <c r="V225" s="318">
        <v>1</v>
      </c>
      <c r="W225" s="390" t="s">
        <v>2075</v>
      </c>
      <c r="X225" s="391">
        <v>76</v>
      </c>
      <c r="Y225" s="392">
        <v>5</v>
      </c>
      <c r="Z225" s="393"/>
      <c r="AA225" s="394"/>
      <c r="AB225" s="395"/>
      <c r="AC225" s="395">
        <v>11620</v>
      </c>
      <c r="AD225" s="394">
        <v>2023</v>
      </c>
      <c r="AE225" s="395">
        <v>60</v>
      </c>
      <c r="AF225" s="317">
        <v>60</v>
      </c>
      <c r="AG225" s="396" t="s">
        <v>2059</v>
      </c>
      <c r="AH225" s="397">
        <v>45247</v>
      </c>
      <c r="AI225" s="317">
        <v>48</v>
      </c>
      <c r="AJ225" s="397">
        <v>45043</v>
      </c>
      <c r="AK225" s="326" t="s">
        <v>889</v>
      </c>
      <c r="AL225" s="326">
        <v>45181</v>
      </c>
      <c r="AM225" s="316"/>
      <c r="AN225" s="305"/>
      <c r="AO225" s="327" t="str">
        <f>_xlfn.IFNA(IF(VLOOKUP(tabItens[[#This Row],[CÓDIGO]],tabExcluirDoEstoque[#Data],1,FALSE),"sim",""),"")</f>
        <v/>
      </c>
      <c r="AP225" s="398" t="str">
        <f ca="1">IF(OR(ISBLANK(tabItens[[#This Row],[ATA DT.VALID.]]),tabItens[[#This Row],[ATA DT.VALID.]]="",tabItens[[#This Row],[ATA DT.VALID.]]=" "),"",IF(TYPE(tabItens[[#This Row],[ATA DT.VALID.]])=1,ROUNDUP((tabItens[[#This Row],[ATA DT.VALID.]]-TODAY())/7,0),""))</f>
        <v/>
      </c>
      <c r="AQ225" s="399">
        <v>0</v>
      </c>
      <c r="AR225" s="400" t="str">
        <f>IF(ISBLANK(tabItens[[#This Row],[CÓDIGO]]),"",IFERROR(VLOOKUP(tabItens[[#This Row],[CÓDIGO]],Consumo!$C$2:$AC$862,26,FALSE),0))</f>
        <v>09.2023</v>
      </c>
      <c r="AS225" s="401">
        <f>SUMIF(Consumo!$C$3:$C$862,tabItens[[#This Row],[CÓDIGO]],Consumo!$N$3:$N$862) + SUMIF(Consumo!$C$3:$C$862,tabItens[[#This Row],[CÓDIGO]],Consumo!$O$3:$O$862) + SUMIF(Consumo!$C$3:$C$862,tabItens[[#This Row],[CÓDIGO]],Consumo!$P$3:$P$862) + SUMIF(Consumo!$C$3:$C$862,tabItens[[#This Row],[CÓDIGO]],Consumo!$Q$3:$Q$862)</f>
        <v>58</v>
      </c>
      <c r="AT225" s="401">
        <f>SUMIF(Consumo!$C$3:$C$862,tabItens[[#This Row],[CÓDIGO]],Consumo!$Z$3:$Z$862)</f>
        <v>143</v>
      </c>
      <c r="AU225" s="402">
        <f>SUMIF(Consumo!$C$3:$C$862,tabItens[[#This Row],[CÓDIGO]],Consumo!$AA$3:$AA$862)</f>
        <v>35</v>
      </c>
      <c r="AV225" s="403">
        <f>SUMIF(Consumo!$C$3:$C$862,tabItens[[#This Row],[CÓDIGO]],Consumo!$Y$3:$Y$862)</f>
        <v>11.666666666666666</v>
      </c>
      <c r="AW225" s="380">
        <f>tabItens[[#This Row],[QTDE ATUAL]] + tabItens[[#This Row],[RC QTDE]] + tabItens[[#This Row],[AF SALDO]] + tabItens[[#This Row],[Recentes]]</f>
        <v>60</v>
      </c>
      <c r="AX225" s="404">
        <v>8</v>
      </c>
      <c r="AY225" s="404">
        <v>3</v>
      </c>
      <c r="AZ225" s="404">
        <f>IF(ISBLANK(tabItens[[#This Row],[CÓDIGO]]),"",tabItens[[#This Row],[PontoMês]] * (AZ$2+tabItens[[#This Row],[PontoQtM]]))</f>
        <v>24</v>
      </c>
      <c r="BA225" s="403">
        <f>tabItens[[#This Row],[PontoPed]] - tabItens[[#This Row],[Saldo]] + (1/10)</f>
        <v>-35.9</v>
      </c>
      <c r="BB225" s="403">
        <f xml:space="preserve"> tabItens[[#This Row],[PontoMês]] * BB$2 - tabItens[[#This Row],[QTDE ATUAL]] - (1/10)</f>
        <v>7.9</v>
      </c>
      <c r="BC225" s="335">
        <f>IF( tabItens[[#This Row],[PontoPed]]&gt;0, IF(tabItens[[#This Row],[PontoPed]]&lt;1, 1, IF( tabItens[[#This Row],[Saldo]]&gt;tabItens[[#This Row],[PontoPed]], 0, (tabItens[[#This Row],[PontoPed]]-tabItens[[#This Row],[Saldo]])/tabItens[[#This Row],[PontoPed]] ) ), 0 )</f>
        <v>0</v>
      </c>
      <c r="BD225" s="405">
        <f>ROUNDDOWN(IF( OR( AND(tabItens[[#This Row],[PontoPed]]&lt;tabItens[[#This Row],[Saldo]],tabItens[[#This Row],[Saldo]]&gt;0), tabItens[[#This Row],[PontoPed]]=0), 99, IF(AND(tabItens[[#This Row],[Saldo]]=0,tabItens[[#This Row],[PontoPed]]&gt;0), 0, (1-tabItens[[#This Row],[PctAb]])*10 ) ),0)</f>
        <v>99</v>
      </c>
      <c r="BE225" s="406">
        <f>MAX(ROUNDDOWN( IF(tabItens[[#This Row],[Abaixo]] &gt; 0,   tabItens[[#This Row],[Abaixo]] + (tabItens[[#This Row],[PontoMês]] * IF( OR( ISBLANK(tabItens[[#This Row],[ATA Nº/ANO]]), tabItens[[#This Row],[ATA Nº/ANO]] = ""),BE$2,BE$1)),0),0),0)</f>
        <v>0</v>
      </c>
      <c r="BF22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5" s="338">
        <f>SUMIF(Consumo!$C$3:$C$862,tabItens[[#This Row],[CÓDIGO]],Consumo!$E$3:$E$862)</f>
        <v>1</v>
      </c>
      <c r="BH225" s="339">
        <f>IF(AND(tabItens[[#This Row],[Pend]] &gt; 0,tabItens[[#This Row],[Consumo]] &lt;&gt; 0), tabItens[[#This Row],[Pend]] / tabItens[[#This Row],[Consumo]], 0 )</f>
        <v>6.993006993006993E-3</v>
      </c>
      <c r="BI225" s="338"/>
      <c r="BJ225" s="407"/>
      <c r="BK225" s="408" t="s">
        <v>2086</v>
      </c>
    </row>
    <row r="226" spans="1:63" x14ac:dyDescent="0.3">
      <c r="A226" s="375">
        <v>20763</v>
      </c>
      <c r="B226" s="376" t="s">
        <v>1175</v>
      </c>
      <c r="C226" s="377" t="s">
        <v>1070</v>
      </c>
      <c r="D226" s="378">
        <v>275.47000000000003</v>
      </c>
      <c r="E226" s="305"/>
      <c r="F226" s="379"/>
      <c r="G226" s="379" t="s">
        <v>889</v>
      </c>
      <c r="H226" s="380">
        <v>0</v>
      </c>
      <c r="I226" s="307">
        <v>103003</v>
      </c>
      <c r="J226" s="308">
        <v>275.47000000000003</v>
      </c>
      <c r="K226" s="381">
        <v>36</v>
      </c>
      <c r="L226" s="382">
        <f>IF(tabItens[[#This Row],[Média]] &gt; 0, tabItens[[#This Row],[QTDE ATUAL]] / tabItens[[#This Row],[Média]],999.9)</f>
        <v>0</v>
      </c>
      <c r="M226" s="383">
        <v>0</v>
      </c>
      <c r="N226" s="384">
        <f>tabItens[[#This Row],[VALOR UNIT.]] * tabItens[[#This Row],[LC]]</f>
        <v>0</v>
      </c>
      <c r="O226" s="385" t="s">
        <v>2118</v>
      </c>
      <c r="P226" s="386"/>
      <c r="Q226" s="387"/>
      <c r="R226" s="312"/>
      <c r="S226" s="388"/>
      <c r="T226" s="389">
        <f>ROUNDDOWN(IFERROR(tabItens[[#This Row],[ATA DT.VALID.]] - $D$1,0) / 30,0)</f>
        <v>-1474</v>
      </c>
      <c r="U226" s="302" t="s">
        <v>1071</v>
      </c>
      <c r="V226" s="318">
        <v>1</v>
      </c>
      <c r="W226" s="390" t="s">
        <v>2075</v>
      </c>
      <c r="X226" s="391">
        <v>76</v>
      </c>
      <c r="Y226" s="392">
        <v>5</v>
      </c>
      <c r="Z226" s="393"/>
      <c r="AA226" s="394"/>
      <c r="AB226" s="395"/>
      <c r="AC226" s="395">
        <v>11622</v>
      </c>
      <c r="AD226" s="394">
        <v>2023</v>
      </c>
      <c r="AE226" s="395">
        <v>40</v>
      </c>
      <c r="AF226" s="317">
        <v>40</v>
      </c>
      <c r="AG226" s="396" t="s">
        <v>2059</v>
      </c>
      <c r="AH226" s="397">
        <v>45247</v>
      </c>
      <c r="AI226" s="317">
        <v>12</v>
      </c>
      <c r="AJ226" s="397">
        <v>44986</v>
      </c>
      <c r="AK226" s="326" t="s">
        <v>889</v>
      </c>
      <c r="AL226" s="326">
        <v>45182</v>
      </c>
      <c r="AM226" s="316"/>
      <c r="AN226" s="305"/>
      <c r="AO226" s="327" t="str">
        <f>_xlfn.IFNA(IF(VLOOKUP(tabItens[[#This Row],[CÓDIGO]],tabExcluirDoEstoque[#Data],1,FALSE),"sim",""),"")</f>
        <v/>
      </c>
      <c r="AP226" s="398" t="str">
        <f ca="1">IF(OR(ISBLANK(tabItens[[#This Row],[ATA DT.VALID.]]),tabItens[[#This Row],[ATA DT.VALID.]]="",tabItens[[#This Row],[ATA DT.VALID.]]=" "),"",IF(TYPE(tabItens[[#This Row],[ATA DT.VALID.]])=1,ROUNDUP((tabItens[[#This Row],[ATA DT.VALID.]]-TODAY())/7,0),""))</f>
        <v/>
      </c>
      <c r="AQ226" s="399">
        <v>0</v>
      </c>
      <c r="AR226" s="400" t="str">
        <f>IF(ISBLANK(tabItens[[#This Row],[CÓDIGO]]),"",IFERROR(VLOOKUP(tabItens[[#This Row],[CÓDIGO]],Consumo!$C$2:$AC$862,26,FALSE),0))</f>
        <v>08.2023</v>
      </c>
      <c r="AS226" s="401">
        <f>SUMIF(Consumo!$C$3:$C$862,tabItens[[#This Row],[CÓDIGO]],Consumo!$N$3:$N$862) + SUMIF(Consumo!$C$3:$C$862,tabItens[[#This Row],[CÓDIGO]],Consumo!$O$3:$O$862) + SUMIF(Consumo!$C$3:$C$862,tabItens[[#This Row],[CÓDIGO]],Consumo!$P$3:$P$862) + SUMIF(Consumo!$C$3:$C$862,tabItens[[#This Row],[CÓDIGO]],Consumo!$Q$3:$Q$862)</f>
        <v>25</v>
      </c>
      <c r="AT226" s="401">
        <f>SUMIF(Consumo!$C$3:$C$862,tabItens[[#This Row],[CÓDIGO]],Consumo!$Z$3:$Z$862)</f>
        <v>37</v>
      </c>
      <c r="AU226" s="402">
        <f>SUMIF(Consumo!$C$3:$C$862,tabItens[[#This Row],[CÓDIGO]],Consumo!$AA$3:$AA$862)</f>
        <v>17</v>
      </c>
      <c r="AV226" s="403">
        <f>SUMIF(Consumo!$C$3:$C$862,tabItens[[#This Row],[CÓDIGO]],Consumo!$Y$3:$Y$862)</f>
        <v>2.75</v>
      </c>
      <c r="AW226" s="380">
        <f>tabItens[[#This Row],[QTDE ATUAL]] + tabItens[[#This Row],[RC QTDE]] + tabItens[[#This Row],[AF SALDO]] + tabItens[[#This Row],[Recentes]]</f>
        <v>40</v>
      </c>
      <c r="AX226" s="404">
        <v>5</v>
      </c>
      <c r="AY226" s="404">
        <v>4</v>
      </c>
      <c r="AZ226" s="404">
        <f>IF(ISBLANK(tabItens[[#This Row],[CÓDIGO]]),"",tabItens[[#This Row],[PontoMês]] * (AZ$2+tabItens[[#This Row],[PontoQtM]]))</f>
        <v>20</v>
      </c>
      <c r="BA226" s="403">
        <f>tabItens[[#This Row],[PontoPed]] - tabItens[[#This Row],[Saldo]] + (1/10)</f>
        <v>-19.899999999999999</v>
      </c>
      <c r="BB226" s="403">
        <f xml:space="preserve"> tabItens[[#This Row],[PontoMês]] * BB$2 - tabItens[[#This Row],[QTDE ATUAL]] - (1/10)</f>
        <v>4.9000000000000004</v>
      </c>
      <c r="BC226" s="335">
        <f>IF( tabItens[[#This Row],[PontoPed]]&gt;0, IF(tabItens[[#This Row],[PontoPed]]&lt;1, 1, IF( tabItens[[#This Row],[Saldo]]&gt;tabItens[[#This Row],[PontoPed]], 0, (tabItens[[#This Row],[PontoPed]]-tabItens[[#This Row],[Saldo]])/tabItens[[#This Row],[PontoPed]] ) ), 0 )</f>
        <v>0</v>
      </c>
      <c r="BD226" s="405">
        <f>ROUNDDOWN(IF( OR( AND(tabItens[[#This Row],[PontoPed]]&lt;tabItens[[#This Row],[Saldo]],tabItens[[#This Row],[Saldo]]&gt;0), tabItens[[#This Row],[PontoPed]]=0), 99, IF(AND(tabItens[[#This Row],[Saldo]]=0,tabItens[[#This Row],[PontoPed]]&gt;0), 0, (1-tabItens[[#This Row],[PctAb]])*10 ) ),0)</f>
        <v>99</v>
      </c>
      <c r="BE226" s="406">
        <f>MAX(ROUNDDOWN( IF(tabItens[[#This Row],[Abaixo]] &gt; 0,   tabItens[[#This Row],[Abaixo]] + (tabItens[[#This Row],[PontoMês]] * IF( OR( ISBLANK(tabItens[[#This Row],[ATA Nº/ANO]]), tabItens[[#This Row],[ATA Nº/ANO]] = ""),BE$2,BE$1)),0),0),0)</f>
        <v>0</v>
      </c>
      <c r="BF22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6" s="338">
        <f>SUMIF(Consumo!$C$3:$C$862,tabItens[[#This Row],[CÓDIGO]],Consumo!$E$3:$E$862)</f>
        <v>0</v>
      </c>
      <c r="BH226" s="339">
        <f>IF(AND(tabItens[[#This Row],[Pend]] &gt; 0,tabItens[[#This Row],[Consumo]] &lt;&gt; 0), tabItens[[#This Row],[Pend]] / tabItens[[#This Row],[Consumo]], 0 )</f>
        <v>0</v>
      </c>
      <c r="BI226" s="338"/>
      <c r="BJ226" s="407"/>
      <c r="BK226" s="408" t="s">
        <v>2086</v>
      </c>
    </row>
    <row r="227" spans="1:63" x14ac:dyDescent="0.3">
      <c r="A227" s="375">
        <v>69229</v>
      </c>
      <c r="B227" s="376" t="s">
        <v>1174</v>
      </c>
      <c r="C227" s="377" t="s">
        <v>1070</v>
      </c>
      <c r="D227" s="378">
        <v>279.98</v>
      </c>
      <c r="E227" s="305"/>
      <c r="F227" s="379"/>
      <c r="G227" s="379" t="s">
        <v>889</v>
      </c>
      <c r="H227" s="380">
        <v>46</v>
      </c>
      <c r="I227" s="307">
        <v>103003</v>
      </c>
      <c r="J227" s="308">
        <v>279.98</v>
      </c>
      <c r="K227" s="381">
        <v>74</v>
      </c>
      <c r="L227" s="382">
        <f>IF(tabItens[[#This Row],[Média]] &gt; 0, tabItens[[#This Row],[QTDE ATUAL]] / tabItens[[#This Row],[Média]],999.9)</f>
        <v>7.666666666666667</v>
      </c>
      <c r="M227" s="383">
        <v>0</v>
      </c>
      <c r="N227" s="384">
        <f>tabItens[[#This Row],[VALOR UNIT.]] * tabItens[[#This Row],[LC]]</f>
        <v>0</v>
      </c>
      <c r="O227" s="385" t="s">
        <v>2118</v>
      </c>
      <c r="P227" s="386"/>
      <c r="Q227" s="387"/>
      <c r="R227" s="312"/>
      <c r="S227" s="388"/>
      <c r="T227" s="389">
        <f>ROUNDDOWN(IFERROR(tabItens[[#This Row],[ATA DT.VALID.]] - $D$1,0) / 30,0)</f>
        <v>-1474</v>
      </c>
      <c r="U227" s="302" t="s">
        <v>1071</v>
      </c>
      <c r="V227" s="318">
        <v>1</v>
      </c>
      <c r="W227" s="390" t="s">
        <v>2075</v>
      </c>
      <c r="X227" s="391">
        <v>76</v>
      </c>
      <c r="Y227" s="392">
        <v>5</v>
      </c>
      <c r="Z227" s="393"/>
      <c r="AA227" s="394"/>
      <c r="AB227" s="395"/>
      <c r="AC227" s="395">
        <v>11620</v>
      </c>
      <c r="AD227" s="394">
        <v>2023</v>
      </c>
      <c r="AE227" s="395">
        <v>60</v>
      </c>
      <c r="AF227" s="317">
        <v>60</v>
      </c>
      <c r="AG227" s="396" t="s">
        <v>2059</v>
      </c>
      <c r="AH227" s="397">
        <v>45247</v>
      </c>
      <c r="AI227" s="317">
        <v>24</v>
      </c>
      <c r="AJ227" s="397">
        <v>45043</v>
      </c>
      <c r="AK227" s="326" t="s">
        <v>889</v>
      </c>
      <c r="AL227" s="326">
        <v>45181</v>
      </c>
      <c r="AM227" s="316"/>
      <c r="AN227" s="305"/>
      <c r="AO227" s="327" t="str">
        <f>_xlfn.IFNA(IF(VLOOKUP(tabItens[[#This Row],[CÓDIGO]],tabExcluirDoEstoque[#Data],1,FALSE),"sim",""),"")</f>
        <v/>
      </c>
      <c r="AP227" s="398" t="str">
        <f ca="1">IF(OR(ISBLANK(tabItens[[#This Row],[ATA DT.VALID.]]),tabItens[[#This Row],[ATA DT.VALID.]]="",tabItens[[#This Row],[ATA DT.VALID.]]=" "),"",IF(TYPE(tabItens[[#This Row],[ATA DT.VALID.]])=1,ROUNDUP((tabItens[[#This Row],[ATA DT.VALID.]]-TODAY())/7,0),""))</f>
        <v/>
      </c>
      <c r="AQ227" s="399">
        <v>0</v>
      </c>
      <c r="AR227" s="400" t="str">
        <f>IF(ISBLANK(tabItens[[#This Row],[CÓDIGO]]),"",IFERROR(VLOOKUP(tabItens[[#This Row],[CÓDIGO]],Consumo!$C$2:$AC$862,26,FALSE),0))</f>
        <v>08.2023</v>
      </c>
      <c r="AS227" s="401">
        <f>SUMIF(Consumo!$C$3:$C$862,tabItens[[#This Row],[CÓDIGO]],Consumo!$N$3:$N$862) + SUMIF(Consumo!$C$3:$C$862,tabItens[[#This Row],[CÓDIGO]],Consumo!$O$3:$O$862) + SUMIF(Consumo!$C$3:$C$862,tabItens[[#This Row],[CÓDIGO]],Consumo!$P$3:$P$862) + SUMIF(Consumo!$C$3:$C$862,tabItens[[#This Row],[CÓDIGO]],Consumo!$Q$3:$Q$862)</f>
        <v>37</v>
      </c>
      <c r="AT227" s="401">
        <f>SUMIF(Consumo!$C$3:$C$862,tabItens[[#This Row],[CÓDIGO]],Consumo!$Z$3:$Z$862)</f>
        <v>74</v>
      </c>
      <c r="AU227" s="402">
        <f>SUMIF(Consumo!$C$3:$C$862,tabItens[[#This Row],[CÓDIGO]],Consumo!$AA$3:$AA$862)</f>
        <v>28</v>
      </c>
      <c r="AV227" s="403">
        <f>SUMIF(Consumo!$C$3:$C$862,tabItens[[#This Row],[CÓDIGO]],Consumo!$Y$3:$Y$862)</f>
        <v>6</v>
      </c>
      <c r="AW227" s="380">
        <f>tabItens[[#This Row],[QTDE ATUAL]] + tabItens[[#This Row],[RC QTDE]] + tabItens[[#This Row],[AF SALDO]] + tabItens[[#This Row],[Recentes]]</f>
        <v>106</v>
      </c>
      <c r="AX227" s="404">
        <v>8</v>
      </c>
      <c r="AY227" s="404">
        <v>3</v>
      </c>
      <c r="AZ227" s="404">
        <f>IF(ISBLANK(tabItens[[#This Row],[CÓDIGO]]),"",tabItens[[#This Row],[PontoMês]] * (AZ$2+tabItens[[#This Row],[PontoQtM]]))</f>
        <v>24</v>
      </c>
      <c r="BA227" s="403">
        <f>tabItens[[#This Row],[PontoPed]] - tabItens[[#This Row],[Saldo]] + (1/10)</f>
        <v>-81.900000000000006</v>
      </c>
      <c r="BB227" s="403">
        <f xml:space="preserve"> tabItens[[#This Row],[PontoMês]] * BB$2 - tabItens[[#This Row],[QTDE ATUAL]] - (1/10)</f>
        <v>-38.1</v>
      </c>
      <c r="BC227" s="335">
        <f>IF( tabItens[[#This Row],[PontoPed]]&gt;0, IF(tabItens[[#This Row],[PontoPed]]&lt;1, 1, IF( tabItens[[#This Row],[Saldo]]&gt;tabItens[[#This Row],[PontoPed]], 0, (tabItens[[#This Row],[PontoPed]]-tabItens[[#This Row],[Saldo]])/tabItens[[#This Row],[PontoPed]] ) ), 0 )</f>
        <v>0</v>
      </c>
      <c r="BD227" s="405">
        <f>ROUNDDOWN(IF( OR( AND(tabItens[[#This Row],[PontoPed]]&lt;tabItens[[#This Row],[Saldo]],tabItens[[#This Row],[Saldo]]&gt;0), tabItens[[#This Row],[PontoPed]]=0), 99, IF(AND(tabItens[[#This Row],[Saldo]]=0,tabItens[[#This Row],[PontoPed]]&gt;0), 0, (1-tabItens[[#This Row],[PctAb]])*10 ) ),0)</f>
        <v>99</v>
      </c>
      <c r="BE227" s="406">
        <f>MAX(ROUNDDOWN( IF(tabItens[[#This Row],[Abaixo]] &gt; 0,   tabItens[[#This Row],[Abaixo]] + (tabItens[[#This Row],[PontoMês]] * IF( OR( ISBLANK(tabItens[[#This Row],[ATA Nº/ANO]]), tabItens[[#This Row],[ATA Nº/ANO]] = ""),BE$2,BE$1)),0),0),0)</f>
        <v>0</v>
      </c>
      <c r="BF22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7" s="338">
        <f>SUMIF(Consumo!$C$3:$C$862,tabItens[[#This Row],[CÓDIGO]],Consumo!$E$3:$E$862)</f>
        <v>0</v>
      </c>
      <c r="BH227" s="339">
        <f>IF(AND(tabItens[[#This Row],[Pend]] &gt; 0,tabItens[[#This Row],[Consumo]] &lt;&gt; 0), tabItens[[#This Row],[Pend]] / tabItens[[#This Row],[Consumo]], 0 )</f>
        <v>0</v>
      </c>
      <c r="BI227" s="338"/>
      <c r="BJ227" s="407"/>
      <c r="BK227" s="408" t="s">
        <v>2086</v>
      </c>
    </row>
    <row r="228" spans="1:63" x14ac:dyDescent="0.3">
      <c r="A228" s="375">
        <v>87586</v>
      </c>
      <c r="B228" s="376" t="s">
        <v>1497</v>
      </c>
      <c r="C228" s="377" t="s">
        <v>1070</v>
      </c>
      <c r="D228" s="378">
        <v>428.15</v>
      </c>
      <c r="E228" s="305"/>
      <c r="F228" s="379"/>
      <c r="G228" s="379" t="s">
        <v>889</v>
      </c>
      <c r="H228" s="380">
        <v>0</v>
      </c>
      <c r="I228" s="307">
        <v>103003</v>
      </c>
      <c r="J228" s="308">
        <v>428.15</v>
      </c>
      <c r="K228" s="381">
        <v>26</v>
      </c>
      <c r="L228" s="382">
        <f>IF(tabItens[[#This Row],[Média]] &gt; 0, tabItens[[#This Row],[QTDE ATUAL]] / tabItens[[#This Row],[Média]],999.9)</f>
        <v>0</v>
      </c>
      <c r="M228" s="383">
        <v>0</v>
      </c>
      <c r="N228" s="384">
        <f>tabItens[[#This Row],[VALOR UNIT.]] * tabItens[[#This Row],[LC]]</f>
        <v>0</v>
      </c>
      <c r="O228" s="385" t="s">
        <v>2118</v>
      </c>
      <c r="P228" s="386"/>
      <c r="Q228" s="387"/>
      <c r="R228" s="312"/>
      <c r="S228" s="388"/>
      <c r="T228" s="389">
        <f>ROUNDDOWN(IFERROR(tabItens[[#This Row],[ATA DT.VALID.]] - $D$1,0) / 30,0)</f>
        <v>-1474</v>
      </c>
      <c r="U228" s="302" t="s">
        <v>1071</v>
      </c>
      <c r="V228" s="318">
        <v>1</v>
      </c>
      <c r="W228" s="390" t="s">
        <v>2075</v>
      </c>
      <c r="X228" s="391">
        <v>76</v>
      </c>
      <c r="Y228" s="392">
        <v>5</v>
      </c>
      <c r="Z228" s="393"/>
      <c r="AA228" s="394"/>
      <c r="AB228" s="395"/>
      <c r="AC228" s="395">
        <v>11601</v>
      </c>
      <c r="AD228" s="394">
        <v>2023</v>
      </c>
      <c r="AE228" s="395">
        <v>10</v>
      </c>
      <c r="AF228" s="317">
        <v>10</v>
      </c>
      <c r="AG228" s="396" t="s">
        <v>2060</v>
      </c>
      <c r="AH228" s="397">
        <v>45247</v>
      </c>
      <c r="AI228" s="317">
        <v>8</v>
      </c>
      <c r="AJ228" s="397">
        <v>44986</v>
      </c>
      <c r="AK228" s="326">
        <v>38603</v>
      </c>
      <c r="AL228" s="326">
        <v>45181</v>
      </c>
      <c r="AM228" s="316"/>
      <c r="AN228" s="305"/>
      <c r="AO228" s="327" t="str">
        <f>_xlfn.IFNA(IF(VLOOKUP(tabItens[[#This Row],[CÓDIGO]],tabExcluirDoEstoque[#Data],1,FALSE),"sim",""),"")</f>
        <v/>
      </c>
      <c r="AP228" s="398" t="str">
        <f ca="1">IF(OR(ISBLANK(tabItens[[#This Row],[ATA DT.VALID.]]),tabItens[[#This Row],[ATA DT.VALID.]]="",tabItens[[#This Row],[ATA DT.VALID.]]=" "),"",IF(TYPE(tabItens[[#This Row],[ATA DT.VALID.]])=1,ROUNDUP((tabItens[[#This Row],[ATA DT.VALID.]]-TODAY())/7,0),""))</f>
        <v/>
      </c>
      <c r="AQ228" s="399">
        <v>0</v>
      </c>
      <c r="AR228" s="400" t="str">
        <f>IF(ISBLANK(tabItens[[#This Row],[CÓDIGO]]),"",IFERROR(VLOOKUP(tabItens[[#This Row],[CÓDIGO]],Consumo!$C$2:$AC$862,26,FALSE),0))</f>
        <v>08.2023</v>
      </c>
      <c r="AS228" s="401">
        <f>SUMIF(Consumo!$C$3:$C$862,tabItens[[#This Row],[CÓDIGO]],Consumo!$N$3:$N$862) + SUMIF(Consumo!$C$3:$C$862,tabItens[[#This Row],[CÓDIGO]],Consumo!$O$3:$O$862) + SUMIF(Consumo!$C$3:$C$862,tabItens[[#This Row],[CÓDIGO]],Consumo!$P$3:$P$862) + SUMIF(Consumo!$C$3:$C$862,tabItens[[#This Row],[CÓDIGO]],Consumo!$Q$3:$Q$862)</f>
        <v>15</v>
      </c>
      <c r="AT228" s="401">
        <f>SUMIF(Consumo!$C$3:$C$862,tabItens[[#This Row],[CÓDIGO]],Consumo!$Z$3:$Z$862)</f>
        <v>26</v>
      </c>
      <c r="AU228" s="402">
        <f>SUMIF(Consumo!$C$3:$C$862,tabItens[[#This Row],[CÓDIGO]],Consumo!$AA$3:$AA$862)</f>
        <v>15</v>
      </c>
      <c r="AV228" s="403">
        <f>SUMIF(Consumo!$C$3:$C$862,tabItens[[#This Row],[CÓDIGO]],Consumo!$Y$3:$Y$862)</f>
        <v>1.9166666666666667</v>
      </c>
      <c r="AW228" s="380">
        <f>tabItens[[#This Row],[QTDE ATUAL]] + tabItens[[#This Row],[RC QTDE]] + tabItens[[#This Row],[AF SALDO]] + tabItens[[#This Row],[Recentes]]</f>
        <v>10</v>
      </c>
      <c r="AX228" s="404">
        <v>2</v>
      </c>
      <c r="AY228" s="404">
        <v>4</v>
      </c>
      <c r="AZ228" s="404">
        <f>IF(ISBLANK(tabItens[[#This Row],[CÓDIGO]]),"",tabItens[[#This Row],[PontoMês]] * (AZ$2+tabItens[[#This Row],[PontoQtM]]))</f>
        <v>8</v>
      </c>
      <c r="BA228" s="403">
        <f>tabItens[[#This Row],[PontoPed]] - tabItens[[#This Row],[Saldo]] + (1/10)</f>
        <v>-1.9</v>
      </c>
      <c r="BB228" s="403">
        <f xml:space="preserve"> tabItens[[#This Row],[PontoMês]] * BB$2 - tabItens[[#This Row],[QTDE ATUAL]] - (1/10)</f>
        <v>1.9</v>
      </c>
      <c r="BC228" s="335">
        <f>IF( tabItens[[#This Row],[PontoPed]]&gt;0, IF(tabItens[[#This Row],[PontoPed]]&lt;1, 1, IF( tabItens[[#This Row],[Saldo]]&gt;tabItens[[#This Row],[PontoPed]], 0, (tabItens[[#This Row],[PontoPed]]-tabItens[[#This Row],[Saldo]])/tabItens[[#This Row],[PontoPed]] ) ), 0 )</f>
        <v>0</v>
      </c>
      <c r="BD228" s="405">
        <f>ROUNDDOWN(IF( OR( AND(tabItens[[#This Row],[PontoPed]]&lt;tabItens[[#This Row],[Saldo]],tabItens[[#This Row],[Saldo]]&gt;0), tabItens[[#This Row],[PontoPed]]=0), 99, IF(AND(tabItens[[#This Row],[Saldo]]=0,tabItens[[#This Row],[PontoPed]]&gt;0), 0, (1-tabItens[[#This Row],[PctAb]])*10 ) ),0)</f>
        <v>99</v>
      </c>
      <c r="BE228" s="406">
        <f>MAX(ROUNDDOWN( IF(tabItens[[#This Row],[Abaixo]] &gt; 0,   tabItens[[#This Row],[Abaixo]] + (tabItens[[#This Row],[PontoMês]] * IF( OR( ISBLANK(tabItens[[#This Row],[ATA Nº/ANO]]), tabItens[[#This Row],[ATA Nº/ANO]] = ""),BE$2,BE$1)),0),0),0)</f>
        <v>0</v>
      </c>
      <c r="BF22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8" s="338">
        <f>SUMIF(Consumo!$C$3:$C$862,tabItens[[#This Row],[CÓDIGO]],Consumo!$E$3:$E$862)</f>
        <v>0</v>
      </c>
      <c r="BH228" s="339">
        <f>IF(AND(tabItens[[#This Row],[Pend]] &gt; 0,tabItens[[#This Row],[Consumo]] &lt;&gt; 0), tabItens[[#This Row],[Pend]] / tabItens[[#This Row],[Consumo]], 0 )</f>
        <v>0</v>
      </c>
      <c r="BI228" s="338"/>
      <c r="BJ228" s="407"/>
      <c r="BK228" s="408" t="s">
        <v>2086</v>
      </c>
    </row>
    <row r="229" spans="1:63" x14ac:dyDescent="0.3">
      <c r="A229" s="375">
        <v>23778</v>
      </c>
      <c r="B229" s="376" t="s">
        <v>1183</v>
      </c>
      <c r="C229" s="377" t="s">
        <v>1070</v>
      </c>
      <c r="D229" s="378">
        <v>235.4</v>
      </c>
      <c r="E229" s="305"/>
      <c r="F229" s="379"/>
      <c r="G229" s="379" t="s">
        <v>889</v>
      </c>
      <c r="H229" s="380">
        <v>41</v>
      </c>
      <c r="I229" s="307">
        <v>103003</v>
      </c>
      <c r="J229" s="308">
        <v>235.4</v>
      </c>
      <c r="K229" s="381">
        <v>134</v>
      </c>
      <c r="L229" s="382">
        <f>IF(tabItens[[#This Row],[Média]] &gt; 0, tabItens[[#This Row],[QTDE ATUAL]] / tabItens[[#This Row],[Média]],999.9)</f>
        <v>2.8771929824561404</v>
      </c>
      <c r="M229" s="383">
        <v>0</v>
      </c>
      <c r="N229" s="384">
        <f>tabItens[[#This Row],[VALOR UNIT.]] * tabItens[[#This Row],[LC]]</f>
        <v>0</v>
      </c>
      <c r="O229" s="385" t="s">
        <v>2118</v>
      </c>
      <c r="P229" s="386"/>
      <c r="Q229" s="387"/>
      <c r="R229" s="312"/>
      <c r="S229" s="388"/>
      <c r="T229" s="389">
        <f>ROUNDDOWN(IFERROR(tabItens[[#This Row],[ATA DT.VALID.]] - $D$1,0) / 30,0)</f>
        <v>-1474</v>
      </c>
      <c r="U229" s="302" t="s">
        <v>1184</v>
      </c>
      <c r="V229" s="318">
        <v>1</v>
      </c>
      <c r="W229" s="390" t="s">
        <v>2075</v>
      </c>
      <c r="X229" s="391">
        <v>76</v>
      </c>
      <c r="Y229" s="392">
        <v>16</v>
      </c>
      <c r="Z229" s="393"/>
      <c r="AA229" s="394"/>
      <c r="AB229" s="395"/>
      <c r="AC229" s="395">
        <v>11600</v>
      </c>
      <c r="AD229" s="394">
        <v>2023</v>
      </c>
      <c r="AE229" s="395">
        <v>50</v>
      </c>
      <c r="AF229" s="317">
        <v>50</v>
      </c>
      <c r="AG229" s="396" t="s">
        <v>2060</v>
      </c>
      <c r="AH229" s="397">
        <v>45247</v>
      </c>
      <c r="AI229" s="317">
        <v>62</v>
      </c>
      <c r="AJ229" s="397">
        <v>44986</v>
      </c>
      <c r="AK229" s="326" t="s">
        <v>889</v>
      </c>
      <c r="AL229" s="326">
        <v>45181</v>
      </c>
      <c r="AM229" s="316"/>
      <c r="AN229" s="305"/>
      <c r="AO229" s="327" t="str">
        <f>_xlfn.IFNA(IF(VLOOKUP(tabItens[[#This Row],[CÓDIGO]],tabExcluirDoEstoque[#Data],1,FALSE),"sim",""),"")</f>
        <v/>
      </c>
      <c r="AP229" s="398" t="str">
        <f ca="1">IF(OR(ISBLANK(tabItens[[#This Row],[ATA DT.VALID.]]),tabItens[[#This Row],[ATA DT.VALID.]]="",tabItens[[#This Row],[ATA DT.VALID.]]=" "),"",IF(TYPE(tabItens[[#This Row],[ATA DT.VALID.]])=1,ROUNDUP((tabItens[[#This Row],[ATA DT.VALID.]]-TODAY())/7,0),""))</f>
        <v/>
      </c>
      <c r="AQ229" s="399">
        <v>0</v>
      </c>
      <c r="AR229" s="400" t="str">
        <f>IF(ISBLANK(tabItens[[#This Row],[CÓDIGO]]),"",IFERROR(VLOOKUP(tabItens[[#This Row],[CÓDIGO]],Consumo!$C$2:$AC$862,26,FALSE),0))</f>
        <v>09.2023</v>
      </c>
      <c r="AS229" s="401">
        <f>SUMIF(Consumo!$C$3:$C$862,tabItens[[#This Row],[CÓDIGO]],Consumo!$N$3:$N$862) + SUMIF(Consumo!$C$3:$C$862,tabItens[[#This Row],[CÓDIGO]],Consumo!$O$3:$O$862) + SUMIF(Consumo!$C$3:$C$862,tabItens[[#This Row],[CÓDIGO]],Consumo!$P$3:$P$862) + SUMIF(Consumo!$C$3:$C$862,tabItens[[#This Row],[CÓDIGO]],Consumo!$Q$3:$Q$862)</f>
        <v>105</v>
      </c>
      <c r="AT229" s="401">
        <f>SUMIF(Consumo!$C$3:$C$862,tabItens[[#This Row],[CÓDIGO]],Consumo!$Z$3:$Z$862)</f>
        <v>185</v>
      </c>
      <c r="AU229" s="402">
        <f>SUMIF(Consumo!$C$3:$C$862,tabItens[[#This Row],[CÓDIGO]],Consumo!$AA$3:$AA$862)</f>
        <v>56</v>
      </c>
      <c r="AV229" s="403">
        <f>SUMIF(Consumo!$C$3:$C$862,tabItens[[#This Row],[CÓDIGO]],Consumo!$Y$3:$Y$862)</f>
        <v>14.25</v>
      </c>
      <c r="AW229" s="380">
        <f>tabItens[[#This Row],[QTDE ATUAL]] + tabItens[[#This Row],[RC QTDE]] + tabItens[[#This Row],[AF SALDO]] + tabItens[[#This Row],[Recentes]]</f>
        <v>91</v>
      </c>
      <c r="AX229" s="404">
        <v>10</v>
      </c>
      <c r="AY229" s="404">
        <v>4</v>
      </c>
      <c r="AZ229" s="404">
        <f>IF(ISBLANK(tabItens[[#This Row],[CÓDIGO]]),"",tabItens[[#This Row],[PontoMês]] * (AZ$2+tabItens[[#This Row],[PontoQtM]]))</f>
        <v>40</v>
      </c>
      <c r="BA229" s="403">
        <f>tabItens[[#This Row],[PontoPed]] - tabItens[[#This Row],[Saldo]] + (1/10)</f>
        <v>-50.9</v>
      </c>
      <c r="BB229" s="403">
        <f xml:space="preserve"> tabItens[[#This Row],[PontoMês]] * BB$2 - tabItens[[#This Row],[QTDE ATUAL]] - (1/10)</f>
        <v>-31.1</v>
      </c>
      <c r="BC229" s="335">
        <f>IF( tabItens[[#This Row],[PontoPed]]&gt;0, IF(tabItens[[#This Row],[PontoPed]]&lt;1, 1, IF( tabItens[[#This Row],[Saldo]]&gt;tabItens[[#This Row],[PontoPed]], 0, (tabItens[[#This Row],[PontoPed]]-tabItens[[#This Row],[Saldo]])/tabItens[[#This Row],[PontoPed]] ) ), 0 )</f>
        <v>0</v>
      </c>
      <c r="BD229" s="405">
        <f>ROUNDDOWN(IF( OR( AND(tabItens[[#This Row],[PontoPed]]&lt;tabItens[[#This Row],[Saldo]],tabItens[[#This Row],[Saldo]]&gt;0), tabItens[[#This Row],[PontoPed]]=0), 99, IF(AND(tabItens[[#This Row],[Saldo]]=0,tabItens[[#This Row],[PontoPed]]&gt;0), 0, (1-tabItens[[#This Row],[PctAb]])*10 ) ),0)</f>
        <v>99</v>
      </c>
      <c r="BE229" s="406">
        <f>MAX(ROUNDDOWN( IF(tabItens[[#This Row],[Abaixo]] &gt; 0,   tabItens[[#This Row],[Abaixo]] + (tabItens[[#This Row],[PontoMês]] * IF( OR( ISBLANK(tabItens[[#This Row],[ATA Nº/ANO]]), tabItens[[#This Row],[ATA Nº/ANO]] = ""),BE$2,BE$1)),0),0),0)</f>
        <v>0</v>
      </c>
      <c r="BF22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9" s="338">
        <f>SUMIF(Consumo!$C$3:$C$862,tabItens[[#This Row],[CÓDIGO]],Consumo!$E$3:$E$862)</f>
        <v>0</v>
      </c>
      <c r="BH229" s="339">
        <f>IF(AND(tabItens[[#This Row],[Pend]] &gt; 0,tabItens[[#This Row],[Consumo]] &lt;&gt; 0), tabItens[[#This Row],[Pend]] / tabItens[[#This Row],[Consumo]], 0 )</f>
        <v>0</v>
      </c>
      <c r="BI229" s="338"/>
      <c r="BJ229" s="407"/>
      <c r="BK229" s="408" t="s">
        <v>2086</v>
      </c>
    </row>
    <row r="230" spans="1:63" x14ac:dyDescent="0.3">
      <c r="A230" s="375">
        <v>114430</v>
      </c>
      <c r="B230" s="376" t="s">
        <v>1703</v>
      </c>
      <c r="C230" s="377" t="s">
        <v>31</v>
      </c>
      <c r="D230" s="378">
        <v>25.14</v>
      </c>
      <c r="E230" s="305"/>
      <c r="F230" s="379"/>
      <c r="G230" s="379" t="s">
        <v>889</v>
      </c>
      <c r="H230" s="380">
        <v>132</v>
      </c>
      <c r="I230" s="307">
        <v>103003</v>
      </c>
      <c r="J230" s="308">
        <v>18.645340000000001</v>
      </c>
      <c r="K230" s="381">
        <v>269</v>
      </c>
      <c r="L230" s="382">
        <f>IF(tabItens[[#This Row],[Média]] &gt; 0, tabItens[[#This Row],[QTDE ATUAL]] / tabItens[[#This Row],[Média]],999.9)</f>
        <v>4.071979434447301</v>
      </c>
      <c r="M230" s="383">
        <v>0</v>
      </c>
      <c r="N230" s="384">
        <f>tabItens[[#This Row],[VALOR UNIT.]] * tabItens[[#This Row],[LC]]</f>
        <v>0</v>
      </c>
      <c r="O230" s="385" t="s">
        <v>2180</v>
      </c>
      <c r="P230" s="386"/>
      <c r="Q230" s="387"/>
      <c r="R230" s="312"/>
      <c r="S230" s="388"/>
      <c r="T230" s="389">
        <f>ROUNDDOWN(IFERROR(tabItens[[#This Row],[ATA DT.VALID.]] - $D$1,0) / 30,0)</f>
        <v>-1474</v>
      </c>
      <c r="U230" s="302" t="s">
        <v>1704</v>
      </c>
      <c r="V230" s="318">
        <v>1</v>
      </c>
      <c r="W230" s="390" t="s">
        <v>2073</v>
      </c>
      <c r="X230" s="391">
        <v>62</v>
      </c>
      <c r="Y230" s="392">
        <v>25</v>
      </c>
      <c r="Z230" s="393"/>
      <c r="AA230" s="394"/>
      <c r="AB230" s="395"/>
      <c r="AC230" s="395"/>
      <c r="AD230" s="394"/>
      <c r="AE230" s="395"/>
      <c r="AF230" s="317"/>
      <c r="AG230" s="396" t="s">
        <v>2072</v>
      </c>
      <c r="AH230" s="397"/>
      <c r="AI230" s="317">
        <v>134</v>
      </c>
      <c r="AJ230" s="397">
        <v>45167</v>
      </c>
      <c r="AK230" s="326">
        <v>40249</v>
      </c>
      <c r="AL230" s="326">
        <v>45153</v>
      </c>
      <c r="AM230" s="316"/>
      <c r="AN230" s="305"/>
      <c r="AO230" s="327" t="str">
        <f>_xlfn.IFNA(IF(VLOOKUP(tabItens[[#This Row],[CÓDIGO]],tabExcluirDoEstoque[#Data],1,FALSE),"sim",""),"")</f>
        <v/>
      </c>
      <c r="AP230" s="398" t="str">
        <f ca="1">IF(OR(ISBLANK(tabItens[[#This Row],[ATA DT.VALID.]]),tabItens[[#This Row],[ATA DT.VALID.]]="",tabItens[[#This Row],[ATA DT.VALID.]]=" "),"",IF(TYPE(tabItens[[#This Row],[ATA DT.VALID.]])=1,ROUNDUP((tabItens[[#This Row],[ATA DT.VALID.]]-TODAY())/7,0),""))</f>
        <v/>
      </c>
      <c r="AQ230" s="399">
        <v>0</v>
      </c>
      <c r="AR230" s="400" t="str">
        <f>IF(ISBLANK(tabItens[[#This Row],[CÓDIGO]]),"",IFERROR(VLOOKUP(tabItens[[#This Row],[CÓDIGO]],Consumo!$C$2:$AC$862,26,FALSE),0))</f>
        <v>09.2023</v>
      </c>
      <c r="AS230" s="401">
        <f>SUMIF(Consumo!$C$3:$C$862,tabItens[[#This Row],[CÓDIGO]],Consumo!$N$3:$N$862) + SUMIF(Consumo!$C$3:$C$862,tabItens[[#This Row],[CÓDIGO]],Consumo!$O$3:$O$862) + SUMIF(Consumo!$C$3:$C$862,tabItens[[#This Row],[CÓDIGO]],Consumo!$P$3:$P$862) + SUMIF(Consumo!$C$3:$C$862,tabItens[[#This Row],[CÓDIGO]],Consumo!$Q$3:$Q$862)</f>
        <v>124</v>
      </c>
      <c r="AT230" s="401">
        <f>SUMIF(Consumo!$C$3:$C$862,tabItens[[#This Row],[CÓDIGO]],Consumo!$Z$3:$Z$862)</f>
        <v>399</v>
      </c>
      <c r="AU230" s="402">
        <f>SUMIF(Consumo!$C$3:$C$862,tabItens[[#This Row],[CÓDIGO]],Consumo!$AA$3:$AA$862)</f>
        <v>76</v>
      </c>
      <c r="AV230" s="403">
        <f>SUMIF(Consumo!$C$3:$C$862,tabItens[[#This Row],[CÓDIGO]],Consumo!$Y$3:$Y$862)</f>
        <v>32.416666666666664</v>
      </c>
      <c r="AW230" s="380">
        <f>tabItens[[#This Row],[QTDE ATUAL]] + tabItens[[#This Row],[RC QTDE]] + tabItens[[#This Row],[AF SALDO]] + tabItens[[#This Row],[Recentes]]</f>
        <v>132</v>
      </c>
      <c r="AX230" s="404">
        <v>15</v>
      </c>
      <c r="AY230" s="404">
        <v>4</v>
      </c>
      <c r="AZ230" s="404">
        <f>IF(ISBLANK(tabItens[[#This Row],[CÓDIGO]]),"",tabItens[[#This Row],[PontoMês]] * (AZ$2+tabItens[[#This Row],[PontoQtM]]))</f>
        <v>60</v>
      </c>
      <c r="BA230" s="403">
        <f>tabItens[[#This Row],[PontoPed]] - tabItens[[#This Row],[Saldo]] + (1/10)</f>
        <v>-71.900000000000006</v>
      </c>
      <c r="BB230" s="403">
        <f xml:space="preserve"> tabItens[[#This Row],[PontoMês]] * BB$2 - tabItens[[#This Row],[QTDE ATUAL]] - (1/10)</f>
        <v>-117.1</v>
      </c>
      <c r="BC230" s="335">
        <f>IF( tabItens[[#This Row],[PontoPed]]&gt;0, IF(tabItens[[#This Row],[PontoPed]]&lt;1, 1, IF( tabItens[[#This Row],[Saldo]]&gt;tabItens[[#This Row],[PontoPed]], 0, (tabItens[[#This Row],[PontoPed]]-tabItens[[#This Row],[Saldo]])/tabItens[[#This Row],[PontoPed]] ) ), 0 )</f>
        <v>0</v>
      </c>
      <c r="BD230" s="405">
        <f>ROUNDDOWN(IF( OR( AND(tabItens[[#This Row],[PontoPed]]&lt;tabItens[[#This Row],[Saldo]],tabItens[[#This Row],[Saldo]]&gt;0), tabItens[[#This Row],[PontoPed]]=0), 99, IF(AND(tabItens[[#This Row],[Saldo]]=0,tabItens[[#This Row],[PontoPed]]&gt;0), 0, (1-tabItens[[#This Row],[PctAb]])*10 ) ),0)</f>
        <v>99</v>
      </c>
      <c r="BE230" s="406">
        <f>MAX(ROUNDDOWN( IF(tabItens[[#This Row],[Abaixo]] &gt; 0,   tabItens[[#This Row],[Abaixo]] + (tabItens[[#This Row],[PontoMês]] * IF( OR( ISBLANK(tabItens[[#This Row],[ATA Nº/ANO]]), tabItens[[#This Row],[ATA Nº/ANO]] = ""),BE$2,BE$1)),0),0),0)</f>
        <v>0</v>
      </c>
      <c r="BF23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0" s="338">
        <f>SUMIF(Consumo!$C$3:$C$862,tabItens[[#This Row],[CÓDIGO]],Consumo!$E$3:$E$862)</f>
        <v>0</v>
      </c>
      <c r="BH230" s="339">
        <f>IF(AND(tabItens[[#This Row],[Pend]] &gt; 0,tabItens[[#This Row],[Consumo]] &lt;&gt; 0), tabItens[[#This Row],[Pend]] / tabItens[[#This Row],[Consumo]], 0 )</f>
        <v>0</v>
      </c>
      <c r="BI230" s="338"/>
      <c r="BJ230" s="407"/>
      <c r="BK230" s="408" t="s">
        <v>2086</v>
      </c>
    </row>
    <row r="231" spans="1:63" x14ac:dyDescent="0.3">
      <c r="A231" s="375">
        <v>81493</v>
      </c>
      <c r="B231" s="376" t="s">
        <v>1477</v>
      </c>
      <c r="C231" s="377" t="s">
        <v>287</v>
      </c>
      <c r="D231" s="378">
        <v>14.8</v>
      </c>
      <c r="E231" s="305"/>
      <c r="F231" s="379"/>
      <c r="G231" s="379" t="s">
        <v>889</v>
      </c>
      <c r="H231" s="380">
        <v>0</v>
      </c>
      <c r="I231" s="307">
        <v>103003</v>
      </c>
      <c r="J231" s="308">
        <v>14.8</v>
      </c>
      <c r="K231" s="381">
        <v>96</v>
      </c>
      <c r="L231" s="382">
        <f>IF(tabItens[[#This Row],[Média]] &gt; 0, tabItens[[#This Row],[QTDE ATUAL]] / tabItens[[#This Row],[Média]],999.9)</f>
        <v>0</v>
      </c>
      <c r="M231" s="383">
        <v>0</v>
      </c>
      <c r="N231" s="384">
        <f>tabItens[[#This Row],[VALOR UNIT.]] * tabItens[[#This Row],[LC]]</f>
        <v>0</v>
      </c>
      <c r="O231" s="385" t="s">
        <v>2165</v>
      </c>
      <c r="P231" s="386"/>
      <c r="Q231" s="387"/>
      <c r="R231" s="312"/>
      <c r="S231" s="388"/>
      <c r="T231" s="389">
        <f>ROUNDDOWN(IFERROR(tabItens[[#This Row],[ATA DT.VALID.]] - $D$1,0) / 30,0)</f>
        <v>-1474</v>
      </c>
      <c r="U231" s="302" t="s">
        <v>1478</v>
      </c>
      <c r="V231" s="318">
        <v>1</v>
      </c>
      <c r="W231" s="390" t="s">
        <v>2075</v>
      </c>
      <c r="X231" s="391">
        <v>76</v>
      </c>
      <c r="Y231" s="392">
        <v>6</v>
      </c>
      <c r="Z231" s="393"/>
      <c r="AA231" s="394"/>
      <c r="AB231" s="395"/>
      <c r="AC231" s="395"/>
      <c r="AD231" s="394"/>
      <c r="AE231" s="395"/>
      <c r="AF231" s="317"/>
      <c r="AG231" s="396" t="s">
        <v>2072</v>
      </c>
      <c r="AH231" s="397"/>
      <c r="AI231" s="317">
        <v>38</v>
      </c>
      <c r="AJ231" s="397">
        <v>44742</v>
      </c>
      <c r="AK231" s="326">
        <v>38225</v>
      </c>
      <c r="AL231" s="326">
        <v>44713</v>
      </c>
      <c r="AM231" s="316"/>
      <c r="AN231" s="305"/>
      <c r="AO231" s="327" t="str">
        <f>_xlfn.IFNA(IF(VLOOKUP(tabItens[[#This Row],[CÓDIGO]],tabExcluirDoEstoque[#Data],1,FALSE),"sim",""),"")</f>
        <v/>
      </c>
      <c r="AP231" s="398" t="str">
        <f ca="1">IF(OR(ISBLANK(tabItens[[#This Row],[ATA DT.VALID.]]),tabItens[[#This Row],[ATA DT.VALID.]]="",tabItens[[#This Row],[ATA DT.VALID.]]=" "),"",IF(TYPE(tabItens[[#This Row],[ATA DT.VALID.]])=1,ROUNDUP((tabItens[[#This Row],[ATA DT.VALID.]]-TODAY())/7,0),""))</f>
        <v/>
      </c>
      <c r="AQ231" s="399">
        <v>0</v>
      </c>
      <c r="AR231" s="400" t="str">
        <f>IF(ISBLANK(tabItens[[#This Row],[CÓDIGO]]),"",IFERROR(VLOOKUP(tabItens[[#This Row],[CÓDIGO]],Consumo!$C$2:$AC$862,26,FALSE),0))</f>
        <v>09.2023</v>
      </c>
      <c r="AS231" s="401">
        <f>SUMIF(Consumo!$C$3:$C$862,tabItens[[#This Row],[CÓDIGO]],Consumo!$N$3:$N$862) + SUMIF(Consumo!$C$3:$C$862,tabItens[[#This Row],[CÓDIGO]],Consumo!$O$3:$O$862) + SUMIF(Consumo!$C$3:$C$862,tabItens[[#This Row],[CÓDIGO]],Consumo!$P$3:$P$862) + SUMIF(Consumo!$C$3:$C$862,tabItens[[#This Row],[CÓDIGO]],Consumo!$Q$3:$Q$862)</f>
        <v>25</v>
      </c>
      <c r="AT231" s="401">
        <f>SUMIF(Consumo!$C$3:$C$862,tabItens[[#This Row],[CÓDIGO]],Consumo!$Z$3:$Z$862)</f>
        <v>130</v>
      </c>
      <c r="AU231" s="402">
        <f>SUMIF(Consumo!$C$3:$C$862,tabItens[[#This Row],[CÓDIGO]],Consumo!$AA$3:$AA$862)</f>
        <v>23</v>
      </c>
      <c r="AV231" s="403">
        <f>SUMIF(Consumo!$C$3:$C$862,tabItens[[#This Row],[CÓDIGO]],Consumo!$Y$3:$Y$862)</f>
        <v>10.833333333333334</v>
      </c>
      <c r="AW231" s="380">
        <f>tabItens[[#This Row],[QTDE ATUAL]] + tabItens[[#This Row],[RC QTDE]] + tabItens[[#This Row],[AF SALDO]] + tabItens[[#This Row],[Recentes]]</f>
        <v>0</v>
      </c>
      <c r="AX231" s="404">
        <v>17</v>
      </c>
      <c r="AY231" s="404">
        <v>3</v>
      </c>
      <c r="AZ231" s="404">
        <f>IF(ISBLANK(tabItens[[#This Row],[CÓDIGO]]),"",tabItens[[#This Row],[PontoMês]] * (AZ$2+tabItens[[#This Row],[PontoQtM]]))</f>
        <v>51</v>
      </c>
      <c r="BA231" s="403">
        <f>tabItens[[#This Row],[PontoPed]] - tabItens[[#This Row],[Saldo]] + (1/10)</f>
        <v>51.1</v>
      </c>
      <c r="BB231" s="403">
        <f xml:space="preserve"> tabItens[[#This Row],[PontoMês]] * BB$2 - tabItens[[#This Row],[QTDE ATUAL]] - (1/10)</f>
        <v>16.899999999999999</v>
      </c>
      <c r="BC231" s="335">
        <f>IF( tabItens[[#This Row],[PontoPed]]&gt;0, IF(tabItens[[#This Row],[PontoPed]]&lt;1, 1, IF( tabItens[[#This Row],[Saldo]]&gt;tabItens[[#This Row],[PontoPed]], 0, (tabItens[[#This Row],[PontoPed]]-tabItens[[#This Row],[Saldo]])/tabItens[[#This Row],[PontoPed]] ) ), 0 )</f>
        <v>1</v>
      </c>
      <c r="BD231" s="405">
        <f>ROUNDDOWN(IF( OR( AND(tabItens[[#This Row],[PontoPed]]&lt;tabItens[[#This Row],[Saldo]],tabItens[[#This Row],[Saldo]]&gt;0), tabItens[[#This Row],[PontoPed]]=0), 99, IF(AND(tabItens[[#This Row],[Saldo]]=0,tabItens[[#This Row],[PontoPed]]&gt;0), 0, (1-tabItens[[#This Row],[PctAb]])*10 ) ),0)</f>
        <v>0</v>
      </c>
      <c r="BE231" s="406">
        <f>MAX(ROUNDDOWN( IF(tabItens[[#This Row],[Abaixo]] &gt; 0,   tabItens[[#This Row],[Abaixo]] + (tabItens[[#This Row],[PontoMês]] * IF( OR( ISBLANK(tabItens[[#This Row],[ATA Nº/ANO]]), tabItens[[#This Row],[ATA Nº/ANO]] = ""),BE$2,BE$1)),0),0),0)</f>
        <v>102</v>
      </c>
      <c r="BF23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1" s="338">
        <f>SUMIF(Consumo!$C$3:$C$862,tabItens[[#This Row],[CÓDIGO]],Consumo!$E$3:$E$862)</f>
        <v>15</v>
      </c>
      <c r="BH231" s="339">
        <f>IF(AND(tabItens[[#This Row],[Pend]] &gt; 0,tabItens[[#This Row],[Consumo]] &lt;&gt; 0), tabItens[[#This Row],[Pend]] / tabItens[[#This Row],[Consumo]], 0 )</f>
        <v>0.11538461538461539</v>
      </c>
      <c r="BI231" s="338"/>
      <c r="BJ231" s="407"/>
      <c r="BK231" s="408" t="s">
        <v>2086</v>
      </c>
    </row>
    <row r="232" spans="1:63" x14ac:dyDescent="0.3">
      <c r="A232" s="375">
        <v>20135</v>
      </c>
      <c r="B232" s="376" t="s">
        <v>1162</v>
      </c>
      <c r="C232" s="377" t="s">
        <v>263</v>
      </c>
      <c r="D232" s="378">
        <v>124</v>
      </c>
      <c r="E232" s="305"/>
      <c r="F232" s="379"/>
      <c r="G232" s="379" t="s">
        <v>889</v>
      </c>
      <c r="H232" s="380">
        <v>140</v>
      </c>
      <c r="I232" s="307">
        <v>103003</v>
      </c>
      <c r="J232" s="308">
        <v>124</v>
      </c>
      <c r="K232" s="381">
        <v>350</v>
      </c>
      <c r="L232" s="382">
        <f>IF(tabItens[[#This Row],[Média]] &gt; 0, tabItens[[#This Row],[QTDE ATUAL]] / tabItens[[#This Row],[Média]],999.9)</f>
        <v>5.1219512195121952</v>
      </c>
      <c r="M232" s="383">
        <v>0</v>
      </c>
      <c r="N232" s="384">
        <f>tabItens[[#This Row],[VALOR UNIT.]] * tabItens[[#This Row],[LC]]</f>
        <v>0</v>
      </c>
      <c r="O232" s="385" t="s">
        <v>2135</v>
      </c>
      <c r="P232" s="386"/>
      <c r="Q232" s="387"/>
      <c r="R232" s="312"/>
      <c r="S232" s="388"/>
      <c r="T232" s="389">
        <f>ROUNDDOWN(IFERROR(tabItens[[#This Row],[ATA DT.VALID.]] - $D$1,0) / 30,0)</f>
        <v>-1474</v>
      </c>
      <c r="U232" s="302" t="s">
        <v>1163</v>
      </c>
      <c r="V232" s="318">
        <v>1</v>
      </c>
      <c r="W232" s="390" t="s">
        <v>2078</v>
      </c>
      <c r="X232" s="391">
        <v>69</v>
      </c>
      <c r="Y232" s="392">
        <v>1</v>
      </c>
      <c r="Z232" s="393"/>
      <c r="AA232" s="394"/>
      <c r="AB232" s="395"/>
      <c r="AC232" s="395"/>
      <c r="AD232" s="394"/>
      <c r="AE232" s="395"/>
      <c r="AF232" s="317"/>
      <c r="AG232" s="396" t="s">
        <v>2072</v>
      </c>
      <c r="AH232" s="397"/>
      <c r="AI232" s="317">
        <v>122</v>
      </c>
      <c r="AJ232" s="397">
        <v>45173</v>
      </c>
      <c r="AK232" s="326" t="s">
        <v>889</v>
      </c>
      <c r="AL232" s="326">
        <v>45128</v>
      </c>
      <c r="AM232" s="316"/>
      <c r="AN232" s="305"/>
      <c r="AO232" s="327" t="str">
        <f>_xlfn.IFNA(IF(VLOOKUP(tabItens[[#This Row],[CÓDIGO]],tabExcluirDoEstoque[#Data],1,FALSE),"sim",""),"")</f>
        <v/>
      </c>
      <c r="AP232" s="398" t="str">
        <f ca="1">IF(OR(ISBLANK(tabItens[[#This Row],[ATA DT.VALID.]]),tabItens[[#This Row],[ATA DT.VALID.]]="",tabItens[[#This Row],[ATA DT.VALID.]]=" "),"",IF(TYPE(tabItens[[#This Row],[ATA DT.VALID.]])=1,ROUNDUP((tabItens[[#This Row],[ATA DT.VALID.]]-TODAY())/7,0),""))</f>
        <v/>
      </c>
      <c r="AQ232" s="399">
        <v>0</v>
      </c>
      <c r="AR232" s="400" t="str">
        <f>IF(ISBLANK(tabItens[[#This Row],[CÓDIGO]]),"",IFERROR(VLOOKUP(tabItens[[#This Row],[CÓDIGO]],Consumo!$C$2:$AC$862,26,FALSE),0))</f>
        <v>09.2023</v>
      </c>
      <c r="AS232" s="401">
        <f>SUMIF(Consumo!$C$3:$C$862,tabItens[[#This Row],[CÓDIGO]],Consumo!$N$3:$N$862) + SUMIF(Consumo!$C$3:$C$862,tabItens[[#This Row],[CÓDIGO]],Consumo!$O$3:$O$862) + SUMIF(Consumo!$C$3:$C$862,tabItens[[#This Row],[CÓDIGO]],Consumo!$P$3:$P$862) + SUMIF(Consumo!$C$3:$C$862,tabItens[[#This Row],[CÓDIGO]],Consumo!$Q$3:$Q$862)</f>
        <v>160</v>
      </c>
      <c r="AT232" s="401">
        <f>SUMIF(Consumo!$C$3:$C$862,tabItens[[#This Row],[CÓDIGO]],Consumo!$Z$3:$Z$862)</f>
        <v>369</v>
      </c>
      <c r="AU232" s="402">
        <f>SUMIF(Consumo!$C$3:$C$862,tabItens[[#This Row],[CÓDIGO]],Consumo!$AA$3:$AA$862)</f>
        <v>160</v>
      </c>
      <c r="AV232" s="403">
        <f>SUMIF(Consumo!$C$3:$C$862,tabItens[[#This Row],[CÓDIGO]],Consumo!$Y$3:$Y$862)</f>
        <v>27.333333333333332</v>
      </c>
      <c r="AW232" s="380">
        <f>tabItens[[#This Row],[QTDE ATUAL]] + tabItens[[#This Row],[RC QTDE]] + tabItens[[#This Row],[AF SALDO]] + tabItens[[#This Row],[Recentes]]</f>
        <v>140</v>
      </c>
      <c r="AX232" s="404">
        <v>50</v>
      </c>
      <c r="AY232" s="404">
        <v>4</v>
      </c>
      <c r="AZ232" s="404">
        <f>IF(ISBLANK(tabItens[[#This Row],[CÓDIGO]]),"",tabItens[[#This Row],[PontoMês]] * (AZ$2+tabItens[[#This Row],[PontoQtM]]))</f>
        <v>200</v>
      </c>
      <c r="BA232" s="403">
        <f>tabItens[[#This Row],[PontoPed]] - tabItens[[#This Row],[Saldo]] + (1/10)</f>
        <v>60.1</v>
      </c>
      <c r="BB232" s="403">
        <f xml:space="preserve"> tabItens[[#This Row],[PontoMês]] * BB$2 - tabItens[[#This Row],[QTDE ATUAL]] - (1/10)</f>
        <v>-90.1</v>
      </c>
      <c r="BC232" s="335">
        <f>IF( tabItens[[#This Row],[PontoPed]]&gt;0, IF(tabItens[[#This Row],[PontoPed]]&lt;1, 1, IF( tabItens[[#This Row],[Saldo]]&gt;tabItens[[#This Row],[PontoPed]], 0, (tabItens[[#This Row],[PontoPed]]-tabItens[[#This Row],[Saldo]])/tabItens[[#This Row],[PontoPed]] ) ), 0 )</f>
        <v>0.3</v>
      </c>
      <c r="BD232" s="405">
        <f>ROUNDDOWN(IF( OR( AND(tabItens[[#This Row],[PontoPed]]&lt;tabItens[[#This Row],[Saldo]],tabItens[[#This Row],[Saldo]]&gt;0), tabItens[[#This Row],[PontoPed]]=0), 99, IF(AND(tabItens[[#This Row],[Saldo]]=0,tabItens[[#This Row],[PontoPed]]&gt;0), 0, (1-tabItens[[#This Row],[PctAb]])*10 ) ),0)</f>
        <v>7</v>
      </c>
      <c r="BE232" s="406">
        <f>MAX(ROUNDDOWN( IF(tabItens[[#This Row],[Abaixo]] &gt; 0,   tabItens[[#This Row],[Abaixo]] + (tabItens[[#This Row],[PontoMês]] * IF( OR( ISBLANK(tabItens[[#This Row],[ATA Nº/ANO]]), tabItens[[#This Row],[ATA Nº/ANO]] = ""),BE$2,BE$1)),0),0),0)</f>
        <v>210</v>
      </c>
      <c r="BF23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2" s="338">
        <f>SUMIF(Consumo!$C$3:$C$862,tabItens[[#This Row],[CÓDIGO]],Consumo!$E$3:$E$862)</f>
        <v>5</v>
      </c>
      <c r="BH232" s="339">
        <f>IF(AND(tabItens[[#This Row],[Pend]] &gt; 0,tabItens[[#This Row],[Consumo]] &lt;&gt; 0), tabItens[[#This Row],[Pend]] / tabItens[[#This Row],[Consumo]], 0 )</f>
        <v>1.3550135501355014E-2</v>
      </c>
      <c r="BI232" s="338"/>
      <c r="BJ232" s="407"/>
      <c r="BK232" s="408" t="s">
        <v>2086</v>
      </c>
    </row>
    <row r="233" spans="1:63" x14ac:dyDescent="0.3">
      <c r="A233" s="375">
        <v>64253</v>
      </c>
      <c r="B233" s="376" t="s">
        <v>1370</v>
      </c>
      <c r="C233" s="377" t="s">
        <v>345</v>
      </c>
      <c r="D233" s="378">
        <v>56.66</v>
      </c>
      <c r="E233" s="305"/>
      <c r="F233" s="379"/>
      <c r="G233" s="379" t="s">
        <v>889</v>
      </c>
      <c r="H233" s="380">
        <v>1590</v>
      </c>
      <c r="I233" s="307">
        <v>103003</v>
      </c>
      <c r="J233" s="308">
        <v>56.66</v>
      </c>
      <c r="K233" s="381">
        <v>1320</v>
      </c>
      <c r="L233" s="382">
        <f>IF(tabItens[[#This Row],[Média]] &gt; 0, tabItens[[#This Row],[QTDE ATUAL]] / tabItens[[#This Row],[Média]],999.9)</f>
        <v>14.454545454545455</v>
      </c>
      <c r="M233" s="383">
        <v>0</v>
      </c>
      <c r="N233" s="384">
        <f>tabItens[[#This Row],[VALOR UNIT.]] * tabItens[[#This Row],[LC]]</f>
        <v>0</v>
      </c>
      <c r="O233" s="385" t="s">
        <v>2135</v>
      </c>
      <c r="P233" s="386"/>
      <c r="Q233" s="387"/>
      <c r="R233" s="312"/>
      <c r="S233" s="388"/>
      <c r="T233" s="389">
        <f>ROUNDDOWN(IFERROR(tabItens[[#This Row],[ATA DT.VALID.]] - $D$1,0) / 30,0)</f>
        <v>-1474</v>
      </c>
      <c r="U233" s="302" t="s">
        <v>1371</v>
      </c>
      <c r="V233" s="318">
        <v>1</v>
      </c>
      <c r="W233" s="390" t="s">
        <v>2078</v>
      </c>
      <c r="X233" s="391">
        <v>69</v>
      </c>
      <c r="Y233" s="392">
        <v>17</v>
      </c>
      <c r="Z233" s="393"/>
      <c r="AA233" s="394"/>
      <c r="AB233" s="395"/>
      <c r="AC233" s="395"/>
      <c r="AD233" s="394"/>
      <c r="AE233" s="395"/>
      <c r="AF233" s="317"/>
      <c r="AG233" s="396" t="s">
        <v>2072</v>
      </c>
      <c r="AH233" s="397"/>
      <c r="AI233" s="317">
        <v>446</v>
      </c>
      <c r="AJ233" s="397">
        <v>44895</v>
      </c>
      <c r="AK233" s="326" t="s">
        <v>889</v>
      </c>
      <c r="AL233" s="326">
        <v>44881</v>
      </c>
      <c r="AM233" s="316"/>
      <c r="AN233" s="305"/>
      <c r="AO233" s="327" t="str">
        <f>_xlfn.IFNA(IF(VLOOKUP(tabItens[[#This Row],[CÓDIGO]],tabExcluirDoEstoque[#Data],1,FALSE),"sim",""),"")</f>
        <v/>
      </c>
      <c r="AP233" s="398" t="str">
        <f ca="1">IF(OR(ISBLANK(tabItens[[#This Row],[ATA DT.VALID.]]),tabItens[[#This Row],[ATA DT.VALID.]]="",tabItens[[#This Row],[ATA DT.VALID.]]=" "),"",IF(TYPE(tabItens[[#This Row],[ATA DT.VALID.]])=1,ROUNDUP((tabItens[[#This Row],[ATA DT.VALID.]]-TODAY())/7,0),""))</f>
        <v/>
      </c>
      <c r="AQ233" s="399">
        <v>0</v>
      </c>
      <c r="AR233" s="400" t="str">
        <f>IF(ISBLANK(tabItens[[#This Row],[CÓDIGO]]),"",IFERROR(VLOOKUP(tabItens[[#This Row],[CÓDIGO]],Consumo!$C$2:$AC$862,26,FALSE),0))</f>
        <v>08.2023</v>
      </c>
      <c r="AS233" s="401">
        <f>SUMIF(Consumo!$C$3:$C$862,tabItens[[#This Row],[CÓDIGO]],Consumo!$N$3:$N$862) + SUMIF(Consumo!$C$3:$C$862,tabItens[[#This Row],[CÓDIGO]],Consumo!$O$3:$O$862) + SUMIF(Consumo!$C$3:$C$862,tabItens[[#This Row],[CÓDIGO]],Consumo!$P$3:$P$862) + SUMIF(Consumo!$C$3:$C$862,tabItens[[#This Row],[CÓDIGO]],Consumo!$Q$3:$Q$862)</f>
        <v>522</v>
      </c>
      <c r="AT233" s="401">
        <f>SUMIF(Consumo!$C$3:$C$862,tabItens[[#This Row],[CÓDIGO]],Consumo!$Z$3:$Z$862)</f>
        <v>1320</v>
      </c>
      <c r="AU233" s="402">
        <f>SUMIF(Consumo!$C$3:$C$862,tabItens[[#This Row],[CÓDIGO]],Consumo!$AA$3:$AA$862)</f>
        <v>352</v>
      </c>
      <c r="AV233" s="403">
        <f>SUMIF(Consumo!$C$3:$C$862,tabItens[[#This Row],[CÓDIGO]],Consumo!$Y$3:$Y$862)</f>
        <v>110</v>
      </c>
      <c r="AW233" s="380">
        <f>tabItens[[#This Row],[QTDE ATUAL]] + tabItens[[#This Row],[RC QTDE]] + tabItens[[#This Row],[AF SALDO]] + tabItens[[#This Row],[Recentes]]</f>
        <v>1590</v>
      </c>
      <c r="AX233" s="404">
        <v>167</v>
      </c>
      <c r="AY233" s="404">
        <v>4</v>
      </c>
      <c r="AZ233" s="404">
        <f>IF(ISBLANK(tabItens[[#This Row],[CÓDIGO]]),"",tabItens[[#This Row],[PontoMês]] * (AZ$2+tabItens[[#This Row],[PontoQtM]]))</f>
        <v>668</v>
      </c>
      <c r="BA233" s="403">
        <f>tabItens[[#This Row],[PontoPed]] - tabItens[[#This Row],[Saldo]] + (1/10)</f>
        <v>-921.9</v>
      </c>
      <c r="BB233" s="403">
        <f xml:space="preserve"> tabItens[[#This Row],[PontoMês]] * BB$2 - tabItens[[#This Row],[QTDE ATUAL]] - (1/10)</f>
        <v>-1423.1</v>
      </c>
      <c r="BC233" s="335">
        <f>IF( tabItens[[#This Row],[PontoPed]]&gt;0, IF(tabItens[[#This Row],[PontoPed]]&lt;1, 1, IF( tabItens[[#This Row],[Saldo]]&gt;tabItens[[#This Row],[PontoPed]], 0, (tabItens[[#This Row],[PontoPed]]-tabItens[[#This Row],[Saldo]])/tabItens[[#This Row],[PontoPed]] ) ), 0 )</f>
        <v>0</v>
      </c>
      <c r="BD233" s="405">
        <f>ROUNDDOWN(IF( OR( AND(tabItens[[#This Row],[PontoPed]]&lt;tabItens[[#This Row],[Saldo]],tabItens[[#This Row],[Saldo]]&gt;0), tabItens[[#This Row],[PontoPed]]=0), 99, IF(AND(tabItens[[#This Row],[Saldo]]=0,tabItens[[#This Row],[PontoPed]]&gt;0), 0, (1-tabItens[[#This Row],[PctAb]])*10 ) ),0)</f>
        <v>99</v>
      </c>
      <c r="BE233" s="406">
        <f>MAX(ROUNDDOWN( IF(tabItens[[#This Row],[Abaixo]] &gt; 0,   tabItens[[#This Row],[Abaixo]] + (tabItens[[#This Row],[PontoMês]] * IF( OR( ISBLANK(tabItens[[#This Row],[ATA Nº/ANO]]), tabItens[[#This Row],[ATA Nº/ANO]] = ""),BE$2,BE$1)),0),0),0)</f>
        <v>0</v>
      </c>
      <c r="BF23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3" s="338">
        <f>SUMIF(Consumo!$C$3:$C$862,tabItens[[#This Row],[CÓDIGO]],Consumo!$E$3:$E$862)</f>
        <v>0</v>
      </c>
      <c r="BH233" s="339">
        <f>IF(AND(tabItens[[#This Row],[Pend]] &gt; 0,tabItens[[#This Row],[Consumo]] &lt;&gt; 0), tabItens[[#This Row],[Pend]] / tabItens[[#This Row],[Consumo]], 0 )</f>
        <v>0</v>
      </c>
      <c r="BI233" s="338"/>
      <c r="BJ233" s="407"/>
      <c r="BK233" s="408" t="s">
        <v>2086</v>
      </c>
    </row>
    <row r="234" spans="1:63" x14ac:dyDescent="0.3">
      <c r="A234" s="375">
        <v>64610</v>
      </c>
      <c r="B234" s="376" t="s">
        <v>1379</v>
      </c>
      <c r="C234" s="377" t="s">
        <v>263</v>
      </c>
      <c r="D234" s="378">
        <v>96.6</v>
      </c>
      <c r="E234" s="305"/>
      <c r="F234" s="379"/>
      <c r="G234" s="379" t="s">
        <v>889</v>
      </c>
      <c r="H234" s="380">
        <v>806</v>
      </c>
      <c r="I234" s="307">
        <v>103003</v>
      </c>
      <c r="J234" s="308">
        <v>96.6</v>
      </c>
      <c r="K234" s="381">
        <v>357</v>
      </c>
      <c r="L234" s="382">
        <f>IF(tabItens[[#This Row],[Média]] &gt; 0, tabItens[[#This Row],[QTDE ATUAL]] / tabItens[[#This Row],[Média]],999.9)</f>
        <v>30.511041009463721</v>
      </c>
      <c r="M234" s="383">
        <v>0</v>
      </c>
      <c r="N234" s="384">
        <f>tabItens[[#This Row],[VALOR UNIT.]] * tabItens[[#This Row],[LC]]</f>
        <v>0</v>
      </c>
      <c r="O234" s="385" t="s">
        <v>2155</v>
      </c>
      <c r="P234" s="386"/>
      <c r="Q234" s="387"/>
      <c r="R234" s="312"/>
      <c r="S234" s="388"/>
      <c r="T234" s="389">
        <f>ROUNDDOWN(IFERROR(tabItens[[#This Row],[ATA DT.VALID.]] - $D$1,0) / 30,0)</f>
        <v>-1474</v>
      </c>
      <c r="U234" s="302" t="s">
        <v>1163</v>
      </c>
      <c r="V234" s="318">
        <v>1</v>
      </c>
      <c r="W234" s="390" t="s">
        <v>2078</v>
      </c>
      <c r="X234" s="391">
        <v>69</v>
      </c>
      <c r="Y234" s="392">
        <v>1</v>
      </c>
      <c r="Z234" s="393"/>
      <c r="AA234" s="394"/>
      <c r="AB234" s="395"/>
      <c r="AC234" s="395"/>
      <c r="AD234" s="394"/>
      <c r="AE234" s="395"/>
      <c r="AF234" s="317"/>
      <c r="AG234" s="396" t="s">
        <v>2072</v>
      </c>
      <c r="AH234" s="397"/>
      <c r="AI234" s="317">
        <v>120</v>
      </c>
      <c r="AJ234" s="397">
        <v>45184</v>
      </c>
      <c r="AK234" s="326" t="s">
        <v>889</v>
      </c>
      <c r="AL234" s="326">
        <v>45128</v>
      </c>
      <c r="AM234" s="316"/>
      <c r="AN234" s="305"/>
      <c r="AO234" s="327" t="str">
        <f>_xlfn.IFNA(IF(VLOOKUP(tabItens[[#This Row],[CÓDIGO]],tabExcluirDoEstoque[#Data],1,FALSE),"sim",""),"")</f>
        <v/>
      </c>
      <c r="AP234" s="398" t="str">
        <f ca="1">IF(OR(ISBLANK(tabItens[[#This Row],[ATA DT.VALID.]]),tabItens[[#This Row],[ATA DT.VALID.]]="",tabItens[[#This Row],[ATA DT.VALID.]]=" "),"",IF(TYPE(tabItens[[#This Row],[ATA DT.VALID.]])=1,ROUNDUP((tabItens[[#This Row],[ATA DT.VALID.]]-TODAY())/7,0),""))</f>
        <v/>
      </c>
      <c r="AQ234" s="399">
        <v>0</v>
      </c>
      <c r="AR234" s="400" t="str">
        <f>IF(ISBLANK(tabItens[[#This Row],[CÓDIGO]]),"",IFERROR(VLOOKUP(tabItens[[#This Row],[CÓDIGO]],Consumo!$C$2:$AC$862,26,FALSE),0))</f>
        <v>09.2023</v>
      </c>
      <c r="AS234" s="401">
        <f>SUMIF(Consumo!$C$3:$C$862,tabItens[[#This Row],[CÓDIGO]],Consumo!$N$3:$N$862) + SUMIF(Consumo!$C$3:$C$862,tabItens[[#This Row],[CÓDIGO]],Consumo!$O$3:$O$862) + SUMIF(Consumo!$C$3:$C$862,tabItens[[#This Row],[CÓDIGO]],Consumo!$P$3:$P$862) + SUMIF(Consumo!$C$3:$C$862,tabItens[[#This Row],[CÓDIGO]],Consumo!$Q$3:$Q$862)</f>
        <v>194</v>
      </c>
      <c r="AT234" s="401">
        <f>SUMIF(Consumo!$C$3:$C$862,tabItens[[#This Row],[CÓDIGO]],Consumo!$Z$3:$Z$862)</f>
        <v>369</v>
      </c>
      <c r="AU234" s="402">
        <f>SUMIF(Consumo!$C$3:$C$862,tabItens[[#This Row],[CÓDIGO]],Consumo!$AA$3:$AA$862)</f>
        <v>194</v>
      </c>
      <c r="AV234" s="403">
        <f>SUMIF(Consumo!$C$3:$C$862,tabItens[[#This Row],[CÓDIGO]],Consumo!$Y$3:$Y$862)</f>
        <v>26.416666666666668</v>
      </c>
      <c r="AW234" s="380">
        <f>tabItens[[#This Row],[QTDE ATUAL]] + tabItens[[#This Row],[RC QTDE]] + tabItens[[#This Row],[AF SALDO]] + tabItens[[#This Row],[Recentes]]</f>
        <v>806</v>
      </c>
      <c r="AX234" s="404">
        <v>84</v>
      </c>
      <c r="AY234" s="404">
        <v>4</v>
      </c>
      <c r="AZ234" s="404">
        <f>IF(ISBLANK(tabItens[[#This Row],[CÓDIGO]]),"",tabItens[[#This Row],[PontoMês]] * (AZ$2+tabItens[[#This Row],[PontoQtM]]))</f>
        <v>336</v>
      </c>
      <c r="BA234" s="403">
        <f>tabItens[[#This Row],[PontoPed]] - tabItens[[#This Row],[Saldo]] + (1/10)</f>
        <v>-469.9</v>
      </c>
      <c r="BB234" s="403">
        <f xml:space="preserve"> tabItens[[#This Row],[PontoMês]] * BB$2 - tabItens[[#This Row],[QTDE ATUAL]] - (1/10)</f>
        <v>-722.1</v>
      </c>
      <c r="BC234" s="335">
        <f>IF( tabItens[[#This Row],[PontoPed]]&gt;0, IF(tabItens[[#This Row],[PontoPed]]&lt;1, 1, IF( tabItens[[#This Row],[Saldo]]&gt;tabItens[[#This Row],[PontoPed]], 0, (tabItens[[#This Row],[PontoPed]]-tabItens[[#This Row],[Saldo]])/tabItens[[#This Row],[PontoPed]] ) ), 0 )</f>
        <v>0</v>
      </c>
      <c r="BD234" s="405">
        <f>ROUNDDOWN(IF( OR( AND(tabItens[[#This Row],[PontoPed]]&lt;tabItens[[#This Row],[Saldo]],tabItens[[#This Row],[Saldo]]&gt;0), tabItens[[#This Row],[PontoPed]]=0), 99, IF(AND(tabItens[[#This Row],[Saldo]]=0,tabItens[[#This Row],[PontoPed]]&gt;0), 0, (1-tabItens[[#This Row],[PctAb]])*10 ) ),0)</f>
        <v>99</v>
      </c>
      <c r="BE234" s="406">
        <f>MAX(ROUNDDOWN( IF(tabItens[[#This Row],[Abaixo]] &gt; 0,   tabItens[[#This Row],[Abaixo]] + (tabItens[[#This Row],[PontoMês]] * IF( OR( ISBLANK(tabItens[[#This Row],[ATA Nº/ANO]]), tabItens[[#This Row],[ATA Nº/ANO]] = ""),BE$2,BE$1)),0),0),0)</f>
        <v>0</v>
      </c>
      <c r="BF23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4" s="338">
        <f>SUMIF(Consumo!$C$3:$C$862,tabItens[[#This Row],[CÓDIGO]],Consumo!$E$3:$E$862)</f>
        <v>12</v>
      </c>
      <c r="BH234" s="339">
        <f>IF(AND(tabItens[[#This Row],[Pend]] &gt; 0,tabItens[[#This Row],[Consumo]] &lt;&gt; 0), tabItens[[#This Row],[Pend]] / tabItens[[#This Row],[Consumo]], 0 )</f>
        <v>3.2520325203252036E-2</v>
      </c>
      <c r="BI234" s="338"/>
      <c r="BJ234" s="407"/>
      <c r="BK234" s="408" t="s">
        <v>2086</v>
      </c>
    </row>
    <row r="235" spans="1:63" x14ac:dyDescent="0.3">
      <c r="A235" s="375">
        <v>116751</v>
      </c>
      <c r="B235" s="376" t="s">
        <v>1724</v>
      </c>
      <c r="C235" s="377" t="s">
        <v>345</v>
      </c>
      <c r="D235" s="378">
        <v>35.47</v>
      </c>
      <c r="E235" s="305"/>
      <c r="F235" s="379"/>
      <c r="G235" s="379" t="s">
        <v>889</v>
      </c>
      <c r="H235" s="380">
        <v>906</v>
      </c>
      <c r="I235" s="307">
        <v>103003</v>
      </c>
      <c r="J235" s="308">
        <v>35.47</v>
      </c>
      <c r="K235" s="381">
        <v>19</v>
      </c>
      <c r="L235" s="382">
        <f>IF(tabItens[[#This Row],[Média]] &gt; 0, tabItens[[#This Row],[QTDE ATUAL]] / tabItens[[#This Row],[Média]],999.9)</f>
        <v>906</v>
      </c>
      <c r="M235" s="383">
        <v>0</v>
      </c>
      <c r="N235" s="384">
        <f>tabItens[[#This Row],[VALOR UNIT.]] * tabItens[[#This Row],[LC]]</f>
        <v>0</v>
      </c>
      <c r="O235" s="385" t="s">
        <v>2155</v>
      </c>
      <c r="P235" s="386"/>
      <c r="Q235" s="387"/>
      <c r="R235" s="312"/>
      <c r="S235" s="388"/>
      <c r="T235" s="389">
        <f>ROUNDDOWN(IFERROR(tabItens[[#This Row],[ATA DT.VALID.]] - $D$1,0) / 30,0)</f>
        <v>-1474</v>
      </c>
      <c r="U235" s="302" t="s">
        <v>1337</v>
      </c>
      <c r="V235" s="318">
        <v>1</v>
      </c>
      <c r="W235" s="390" t="s">
        <v>2078</v>
      </c>
      <c r="X235" s="391">
        <v>69</v>
      </c>
      <c r="Y235" s="392">
        <v>2</v>
      </c>
      <c r="Z235" s="393"/>
      <c r="AA235" s="394"/>
      <c r="AB235" s="395"/>
      <c r="AC235" s="395"/>
      <c r="AD235" s="394"/>
      <c r="AE235" s="395"/>
      <c r="AF235" s="317"/>
      <c r="AG235" s="396" t="s">
        <v>2072</v>
      </c>
      <c r="AH235" s="397"/>
      <c r="AI235" s="317">
        <v>6</v>
      </c>
      <c r="AJ235" s="397">
        <v>43622</v>
      </c>
      <c r="AK235" s="326">
        <v>40395</v>
      </c>
      <c r="AL235" s="326">
        <v>43614</v>
      </c>
      <c r="AM235" s="316"/>
      <c r="AN235" s="305"/>
      <c r="AO235" s="327" t="str">
        <f>_xlfn.IFNA(IF(VLOOKUP(tabItens[[#This Row],[CÓDIGO]],tabExcluirDoEstoque[#Data],1,FALSE),"sim",""),"")</f>
        <v/>
      </c>
      <c r="AP235" s="398" t="str">
        <f ca="1">IF(OR(ISBLANK(tabItens[[#This Row],[ATA DT.VALID.]]),tabItens[[#This Row],[ATA DT.VALID.]]="",tabItens[[#This Row],[ATA DT.VALID.]]=" "),"",IF(TYPE(tabItens[[#This Row],[ATA DT.VALID.]])=1,ROUNDUP((tabItens[[#This Row],[ATA DT.VALID.]]-TODAY())/7,0),""))</f>
        <v/>
      </c>
      <c r="AQ235" s="399">
        <v>0</v>
      </c>
      <c r="AR235" s="400" t="str">
        <f>IF(ISBLANK(tabItens[[#This Row],[CÓDIGO]]),"",IFERROR(VLOOKUP(tabItens[[#This Row],[CÓDIGO]],Consumo!$C$2:$AC$862,26,FALSE),0))</f>
        <v>12.2022</v>
      </c>
      <c r="AS235" s="401">
        <f>SUMIF(Consumo!$C$3:$C$862,tabItens[[#This Row],[CÓDIGO]],Consumo!$N$3:$N$862) + SUMIF(Consumo!$C$3:$C$862,tabItens[[#This Row],[CÓDIGO]],Consumo!$O$3:$O$862) + SUMIF(Consumo!$C$3:$C$862,tabItens[[#This Row],[CÓDIGO]],Consumo!$P$3:$P$862) + SUMIF(Consumo!$C$3:$C$862,tabItens[[#This Row],[CÓDIGO]],Consumo!$Q$3:$Q$862)</f>
        <v>0</v>
      </c>
      <c r="AT235" s="401">
        <f>SUMIF(Consumo!$C$3:$C$862,tabItens[[#This Row],[CÓDIGO]],Consumo!$Z$3:$Z$862)</f>
        <v>19</v>
      </c>
      <c r="AU235" s="402">
        <f>SUMIF(Consumo!$C$3:$C$862,tabItens[[#This Row],[CÓDIGO]],Consumo!$AA$3:$AA$862)</f>
        <v>19</v>
      </c>
      <c r="AV235" s="403">
        <f>SUMIF(Consumo!$C$3:$C$862,tabItens[[#This Row],[CÓDIGO]],Consumo!$Y$3:$Y$862)</f>
        <v>1</v>
      </c>
      <c r="AW235" s="380">
        <f>tabItens[[#This Row],[QTDE ATUAL]] + tabItens[[#This Row],[RC QTDE]] + tabItens[[#This Row],[AF SALDO]] + tabItens[[#This Row],[Recentes]]</f>
        <v>906</v>
      </c>
      <c r="AX235" s="404">
        <v>9</v>
      </c>
      <c r="AY235" s="404">
        <v>4</v>
      </c>
      <c r="AZ235" s="404">
        <f>IF(ISBLANK(tabItens[[#This Row],[CÓDIGO]]),"",tabItens[[#This Row],[PontoMês]] * (AZ$2+tabItens[[#This Row],[PontoQtM]]))</f>
        <v>36</v>
      </c>
      <c r="BA235" s="403">
        <f>tabItens[[#This Row],[PontoPed]] - tabItens[[#This Row],[Saldo]] + (1/10)</f>
        <v>-869.9</v>
      </c>
      <c r="BB235" s="403">
        <f xml:space="preserve"> tabItens[[#This Row],[PontoMês]] * BB$2 - tabItens[[#This Row],[QTDE ATUAL]] - (1/10)</f>
        <v>-897.1</v>
      </c>
      <c r="BC235" s="335">
        <f>IF( tabItens[[#This Row],[PontoPed]]&gt;0, IF(tabItens[[#This Row],[PontoPed]]&lt;1, 1, IF( tabItens[[#This Row],[Saldo]]&gt;tabItens[[#This Row],[PontoPed]], 0, (tabItens[[#This Row],[PontoPed]]-tabItens[[#This Row],[Saldo]])/tabItens[[#This Row],[PontoPed]] ) ), 0 )</f>
        <v>0</v>
      </c>
      <c r="BD235" s="405">
        <f>ROUNDDOWN(IF( OR( AND(tabItens[[#This Row],[PontoPed]]&lt;tabItens[[#This Row],[Saldo]],tabItens[[#This Row],[Saldo]]&gt;0), tabItens[[#This Row],[PontoPed]]=0), 99, IF(AND(tabItens[[#This Row],[Saldo]]=0,tabItens[[#This Row],[PontoPed]]&gt;0), 0, (1-tabItens[[#This Row],[PctAb]])*10 ) ),0)</f>
        <v>99</v>
      </c>
      <c r="BE235" s="406">
        <f>MAX(ROUNDDOWN( IF(tabItens[[#This Row],[Abaixo]] &gt; 0,   tabItens[[#This Row],[Abaixo]] + (tabItens[[#This Row],[PontoMês]] * IF( OR( ISBLANK(tabItens[[#This Row],[ATA Nº/ANO]]), tabItens[[#This Row],[ATA Nº/ANO]] = ""),BE$2,BE$1)),0),0),0)</f>
        <v>0</v>
      </c>
      <c r="BF23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5" s="338">
        <f>SUMIF(Consumo!$C$3:$C$862,tabItens[[#This Row],[CÓDIGO]],Consumo!$E$3:$E$862)</f>
        <v>0</v>
      </c>
      <c r="BH235" s="339">
        <f>IF(AND(tabItens[[#This Row],[Pend]] &gt; 0,tabItens[[#This Row],[Consumo]] &lt;&gt; 0), tabItens[[#This Row],[Pend]] / tabItens[[#This Row],[Consumo]], 0 )</f>
        <v>0</v>
      </c>
      <c r="BI235" s="338"/>
      <c r="BJ235" s="407"/>
      <c r="BK235" s="408" t="s">
        <v>2086</v>
      </c>
    </row>
    <row r="236" spans="1:63" x14ac:dyDescent="0.3">
      <c r="A236" s="375">
        <v>116754</v>
      </c>
      <c r="B236" s="376" t="s">
        <v>1725</v>
      </c>
      <c r="C236" s="377" t="s">
        <v>345</v>
      </c>
      <c r="D236" s="378">
        <v>98.43</v>
      </c>
      <c r="E236" s="305"/>
      <c r="F236" s="379"/>
      <c r="G236" s="379" t="s">
        <v>889</v>
      </c>
      <c r="H236" s="380">
        <v>365</v>
      </c>
      <c r="I236" s="307">
        <v>103003</v>
      </c>
      <c r="J236" s="308">
        <v>98.43</v>
      </c>
      <c r="K236" s="381">
        <v>81</v>
      </c>
      <c r="L236" s="382">
        <f>IF(tabItens[[#This Row],[Média]] &gt; 0, tabItens[[#This Row],[QTDE ATUAL]] / tabItens[[#This Row],[Média]],999.9)</f>
        <v>82.641509433962256</v>
      </c>
      <c r="M236" s="383">
        <v>0</v>
      </c>
      <c r="N236" s="384">
        <f>tabItens[[#This Row],[VALOR UNIT.]] * tabItens[[#This Row],[LC]]</f>
        <v>0</v>
      </c>
      <c r="O236" s="385" t="s">
        <v>2155</v>
      </c>
      <c r="P236" s="386"/>
      <c r="Q236" s="387"/>
      <c r="R236" s="312"/>
      <c r="S236" s="388"/>
      <c r="T236" s="389">
        <f>ROUNDDOWN(IFERROR(tabItens[[#This Row],[ATA DT.VALID.]] - $D$1,0) / 30,0)</f>
        <v>-1474</v>
      </c>
      <c r="U236" s="302" t="s">
        <v>1337</v>
      </c>
      <c r="V236" s="318">
        <v>1</v>
      </c>
      <c r="W236" s="390" t="s">
        <v>2078</v>
      </c>
      <c r="X236" s="391">
        <v>69</v>
      </c>
      <c r="Y236" s="392">
        <v>2</v>
      </c>
      <c r="Z236" s="393"/>
      <c r="AA236" s="394"/>
      <c r="AB236" s="395"/>
      <c r="AC236" s="395"/>
      <c r="AD236" s="394"/>
      <c r="AE236" s="395"/>
      <c r="AF236" s="317"/>
      <c r="AG236" s="396" t="s">
        <v>2072</v>
      </c>
      <c r="AH236" s="397"/>
      <c r="AI236" s="317">
        <v>28</v>
      </c>
      <c r="AJ236" s="397">
        <v>44526</v>
      </c>
      <c r="AK236" s="326">
        <v>40395</v>
      </c>
      <c r="AL236" s="326">
        <v>44483</v>
      </c>
      <c r="AM236" s="316"/>
      <c r="AN236" s="305"/>
      <c r="AO236" s="327" t="str">
        <f>_xlfn.IFNA(IF(VLOOKUP(tabItens[[#This Row],[CÓDIGO]],tabExcluirDoEstoque[#Data],1,FALSE),"sim",""),"")</f>
        <v/>
      </c>
      <c r="AP236" s="398" t="str">
        <f ca="1">IF(OR(ISBLANK(tabItens[[#This Row],[ATA DT.VALID.]]),tabItens[[#This Row],[ATA DT.VALID.]]="",tabItens[[#This Row],[ATA DT.VALID.]]=" "),"",IF(TYPE(tabItens[[#This Row],[ATA DT.VALID.]])=1,ROUNDUP((tabItens[[#This Row],[ATA DT.VALID.]]-TODAY())/7,0),""))</f>
        <v/>
      </c>
      <c r="AQ236" s="399">
        <v>0</v>
      </c>
      <c r="AR236" s="400" t="str">
        <f>IF(ISBLANK(tabItens[[#This Row],[CÓDIGO]]),"",IFERROR(VLOOKUP(tabItens[[#This Row],[CÓDIGO]],Consumo!$C$2:$AC$862,26,FALSE),0))</f>
        <v>12.2022</v>
      </c>
      <c r="AS236" s="401">
        <f>SUMIF(Consumo!$C$3:$C$862,tabItens[[#This Row],[CÓDIGO]],Consumo!$N$3:$N$862) + SUMIF(Consumo!$C$3:$C$862,tabItens[[#This Row],[CÓDIGO]],Consumo!$O$3:$O$862) + SUMIF(Consumo!$C$3:$C$862,tabItens[[#This Row],[CÓDIGO]],Consumo!$P$3:$P$862) + SUMIF(Consumo!$C$3:$C$862,tabItens[[#This Row],[CÓDIGO]],Consumo!$Q$3:$Q$862)</f>
        <v>0</v>
      </c>
      <c r="AT236" s="401">
        <f>SUMIF(Consumo!$C$3:$C$862,tabItens[[#This Row],[CÓDIGO]],Consumo!$Z$3:$Z$862)</f>
        <v>81</v>
      </c>
      <c r="AU236" s="402">
        <f>SUMIF(Consumo!$C$3:$C$862,tabItens[[#This Row],[CÓDIGO]],Consumo!$AA$3:$AA$862)</f>
        <v>81</v>
      </c>
      <c r="AV236" s="403">
        <f>SUMIF(Consumo!$C$3:$C$862,tabItens[[#This Row],[CÓDIGO]],Consumo!$Y$3:$Y$862)</f>
        <v>4.416666666666667</v>
      </c>
      <c r="AW236" s="380">
        <f>tabItens[[#This Row],[QTDE ATUAL]] + tabItens[[#This Row],[RC QTDE]] + tabItens[[#This Row],[AF SALDO]] + tabItens[[#This Row],[Recentes]]</f>
        <v>365</v>
      </c>
      <c r="AX236" s="404">
        <v>10</v>
      </c>
      <c r="AY236" s="404">
        <v>4</v>
      </c>
      <c r="AZ236" s="404">
        <f>IF(ISBLANK(tabItens[[#This Row],[CÓDIGO]]),"",tabItens[[#This Row],[PontoMês]] * (AZ$2+tabItens[[#This Row],[PontoQtM]]))</f>
        <v>40</v>
      </c>
      <c r="BA236" s="403">
        <f>tabItens[[#This Row],[PontoPed]] - tabItens[[#This Row],[Saldo]] + (1/10)</f>
        <v>-324.89999999999998</v>
      </c>
      <c r="BB236" s="403">
        <f xml:space="preserve"> tabItens[[#This Row],[PontoMês]] * BB$2 - tabItens[[#This Row],[QTDE ATUAL]] - (1/10)</f>
        <v>-355.1</v>
      </c>
      <c r="BC236" s="335">
        <f>IF( tabItens[[#This Row],[PontoPed]]&gt;0, IF(tabItens[[#This Row],[PontoPed]]&lt;1, 1, IF( tabItens[[#This Row],[Saldo]]&gt;tabItens[[#This Row],[PontoPed]], 0, (tabItens[[#This Row],[PontoPed]]-tabItens[[#This Row],[Saldo]])/tabItens[[#This Row],[PontoPed]] ) ), 0 )</f>
        <v>0</v>
      </c>
      <c r="BD236" s="405">
        <f>ROUNDDOWN(IF( OR( AND(tabItens[[#This Row],[PontoPed]]&lt;tabItens[[#This Row],[Saldo]],tabItens[[#This Row],[Saldo]]&gt;0), tabItens[[#This Row],[PontoPed]]=0), 99, IF(AND(tabItens[[#This Row],[Saldo]]=0,tabItens[[#This Row],[PontoPed]]&gt;0), 0, (1-tabItens[[#This Row],[PctAb]])*10 ) ),0)</f>
        <v>99</v>
      </c>
      <c r="BE236" s="406">
        <f>MAX(ROUNDDOWN( IF(tabItens[[#This Row],[Abaixo]] &gt; 0,   tabItens[[#This Row],[Abaixo]] + (tabItens[[#This Row],[PontoMês]] * IF( OR( ISBLANK(tabItens[[#This Row],[ATA Nº/ANO]]), tabItens[[#This Row],[ATA Nº/ANO]] = ""),BE$2,BE$1)),0),0),0)</f>
        <v>0</v>
      </c>
      <c r="BF23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6" s="338">
        <f>SUMIF(Consumo!$C$3:$C$862,tabItens[[#This Row],[CÓDIGO]],Consumo!$E$3:$E$862)</f>
        <v>0</v>
      </c>
      <c r="BH236" s="339">
        <f>IF(AND(tabItens[[#This Row],[Pend]] &gt; 0,tabItens[[#This Row],[Consumo]] &lt;&gt; 0), tabItens[[#This Row],[Pend]] / tabItens[[#This Row],[Consumo]], 0 )</f>
        <v>0</v>
      </c>
      <c r="BI236" s="338"/>
      <c r="BJ236" s="407"/>
      <c r="BK236" s="408" t="s">
        <v>2086</v>
      </c>
    </row>
    <row r="237" spans="1:63" x14ac:dyDescent="0.3">
      <c r="A237" s="375">
        <v>13192</v>
      </c>
      <c r="B237" s="376" t="s">
        <v>1025</v>
      </c>
      <c r="C237" s="377" t="s">
        <v>263</v>
      </c>
      <c r="D237" s="378">
        <v>133.85</v>
      </c>
      <c r="E237" s="305"/>
      <c r="F237" s="379"/>
      <c r="G237" s="379" t="s">
        <v>889</v>
      </c>
      <c r="H237" s="380">
        <v>39</v>
      </c>
      <c r="I237" s="307">
        <v>103003</v>
      </c>
      <c r="J237" s="308">
        <v>133.85</v>
      </c>
      <c r="K237" s="381">
        <v>80</v>
      </c>
      <c r="L237" s="382">
        <f>IF(tabItens[[#This Row],[Média]] &gt; 0, tabItens[[#This Row],[QTDE ATUAL]] / tabItens[[#This Row],[Média]],999.9)</f>
        <v>5.6385542168674698</v>
      </c>
      <c r="M237" s="383">
        <v>0</v>
      </c>
      <c r="N237" s="384">
        <f>tabItens[[#This Row],[VALOR UNIT.]] * tabItens[[#This Row],[LC]]</f>
        <v>0</v>
      </c>
      <c r="O237" s="385" t="s">
        <v>2107</v>
      </c>
      <c r="P237" s="386"/>
      <c r="Q237" s="387"/>
      <c r="R237" s="312"/>
      <c r="S237" s="388"/>
      <c r="T237" s="389">
        <f>ROUNDDOWN(IFERROR(tabItens[[#This Row],[ATA DT.VALID.]] - $D$1,0) / 30,0)</f>
        <v>-1474</v>
      </c>
      <c r="U237" s="302" t="s">
        <v>1026</v>
      </c>
      <c r="V237" s="318">
        <v>1</v>
      </c>
      <c r="W237" s="390" t="s">
        <v>2071</v>
      </c>
      <c r="X237" s="391">
        <v>51</v>
      </c>
      <c r="Y237" s="392">
        <v>35</v>
      </c>
      <c r="Z237" s="393"/>
      <c r="AA237" s="394"/>
      <c r="AB237" s="395"/>
      <c r="AC237" s="395"/>
      <c r="AD237" s="394"/>
      <c r="AE237" s="395"/>
      <c r="AF237" s="317"/>
      <c r="AG237" s="396" t="s">
        <v>2072</v>
      </c>
      <c r="AH237" s="397"/>
      <c r="AI237" s="317">
        <v>28</v>
      </c>
      <c r="AJ237" s="397">
        <v>45156</v>
      </c>
      <c r="AK237" s="326" t="s">
        <v>889</v>
      </c>
      <c r="AL237" s="326">
        <v>45131</v>
      </c>
      <c r="AM237" s="316"/>
      <c r="AN237" s="305"/>
      <c r="AO237" s="327" t="str">
        <f>_xlfn.IFNA(IF(VLOOKUP(tabItens[[#This Row],[CÓDIGO]],tabExcluirDoEstoque[#Data],1,FALSE),"sim",""),"")</f>
        <v/>
      </c>
      <c r="AP237" s="398" t="str">
        <f ca="1">IF(OR(ISBLANK(tabItens[[#This Row],[ATA DT.VALID.]]),tabItens[[#This Row],[ATA DT.VALID.]]="",tabItens[[#This Row],[ATA DT.VALID.]]=" "),"",IF(TYPE(tabItens[[#This Row],[ATA DT.VALID.]])=1,ROUNDUP((tabItens[[#This Row],[ATA DT.VALID.]]-TODAY())/7,0),""))</f>
        <v/>
      </c>
      <c r="AQ237" s="399">
        <v>0</v>
      </c>
      <c r="AR237" s="400" t="str">
        <f>IF(ISBLANK(tabItens[[#This Row],[CÓDIGO]]),"",IFERROR(VLOOKUP(tabItens[[#This Row],[CÓDIGO]],Consumo!$C$2:$AC$862,26,FALSE),0))</f>
        <v>09.2023</v>
      </c>
      <c r="AS237" s="401">
        <f>SUMIF(Consumo!$C$3:$C$862,tabItens[[#This Row],[CÓDIGO]],Consumo!$N$3:$N$862) + SUMIF(Consumo!$C$3:$C$862,tabItens[[#This Row],[CÓDIGO]],Consumo!$O$3:$O$862) + SUMIF(Consumo!$C$3:$C$862,tabItens[[#This Row],[CÓDIGO]],Consumo!$P$3:$P$862) + SUMIF(Consumo!$C$3:$C$862,tabItens[[#This Row],[CÓDIGO]],Consumo!$Q$3:$Q$862)</f>
        <v>41</v>
      </c>
      <c r="AT237" s="401">
        <f>SUMIF(Consumo!$C$3:$C$862,tabItens[[#This Row],[CÓDIGO]],Consumo!$Z$3:$Z$862)</f>
        <v>88</v>
      </c>
      <c r="AU237" s="402">
        <f>SUMIF(Consumo!$C$3:$C$862,tabItens[[#This Row],[CÓDIGO]],Consumo!$AA$3:$AA$862)</f>
        <v>31</v>
      </c>
      <c r="AV237" s="403">
        <f>SUMIF(Consumo!$C$3:$C$862,tabItens[[#This Row],[CÓDIGO]],Consumo!$Y$3:$Y$862)</f>
        <v>6.916666666666667</v>
      </c>
      <c r="AW237" s="380">
        <f>tabItens[[#This Row],[QTDE ATUAL]] + tabItens[[#This Row],[RC QTDE]] + tabItens[[#This Row],[AF SALDO]] + tabItens[[#This Row],[Recentes]]</f>
        <v>39</v>
      </c>
      <c r="AX237" s="404">
        <v>3</v>
      </c>
      <c r="AY237" s="404">
        <v>4</v>
      </c>
      <c r="AZ237" s="404">
        <f>IF(ISBLANK(tabItens[[#This Row],[CÓDIGO]]),"",tabItens[[#This Row],[PontoMês]] * (AZ$2+tabItens[[#This Row],[PontoQtM]]))</f>
        <v>12</v>
      </c>
      <c r="BA237" s="403">
        <f>tabItens[[#This Row],[PontoPed]] - tabItens[[#This Row],[Saldo]] + (1/10)</f>
        <v>-26.9</v>
      </c>
      <c r="BB237" s="403">
        <f xml:space="preserve"> tabItens[[#This Row],[PontoMês]] * BB$2 - tabItens[[#This Row],[QTDE ATUAL]] - (1/10)</f>
        <v>-36.1</v>
      </c>
      <c r="BC237" s="335">
        <f>IF( tabItens[[#This Row],[PontoPed]]&gt;0, IF(tabItens[[#This Row],[PontoPed]]&lt;1, 1, IF( tabItens[[#This Row],[Saldo]]&gt;tabItens[[#This Row],[PontoPed]], 0, (tabItens[[#This Row],[PontoPed]]-tabItens[[#This Row],[Saldo]])/tabItens[[#This Row],[PontoPed]] ) ), 0 )</f>
        <v>0</v>
      </c>
      <c r="BD237" s="405">
        <f>ROUNDDOWN(IF( OR( AND(tabItens[[#This Row],[PontoPed]]&lt;tabItens[[#This Row],[Saldo]],tabItens[[#This Row],[Saldo]]&gt;0), tabItens[[#This Row],[PontoPed]]=0), 99, IF(AND(tabItens[[#This Row],[Saldo]]=0,tabItens[[#This Row],[PontoPed]]&gt;0), 0, (1-tabItens[[#This Row],[PctAb]])*10 ) ),0)</f>
        <v>99</v>
      </c>
      <c r="BE237" s="406">
        <f>MAX(ROUNDDOWN( IF(tabItens[[#This Row],[Abaixo]] &gt; 0,   tabItens[[#This Row],[Abaixo]] + (tabItens[[#This Row],[PontoMês]] * IF( OR( ISBLANK(tabItens[[#This Row],[ATA Nº/ANO]]), tabItens[[#This Row],[ATA Nº/ANO]] = ""),BE$2,BE$1)),0),0),0)</f>
        <v>0</v>
      </c>
      <c r="BF23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7" s="338">
        <f>SUMIF(Consumo!$C$3:$C$862,tabItens[[#This Row],[CÓDIGO]],Consumo!$E$3:$E$862)</f>
        <v>5</v>
      </c>
      <c r="BH237" s="339">
        <f>IF(AND(tabItens[[#This Row],[Pend]] &gt; 0,tabItens[[#This Row],[Consumo]] &lt;&gt; 0), tabItens[[#This Row],[Pend]] / tabItens[[#This Row],[Consumo]], 0 )</f>
        <v>5.6818181818181816E-2</v>
      </c>
      <c r="BI237" s="338"/>
      <c r="BJ237" s="407"/>
      <c r="BK237" s="408" t="s">
        <v>2086</v>
      </c>
    </row>
    <row r="238" spans="1:63" x14ac:dyDescent="0.3">
      <c r="A238" s="375">
        <v>77110</v>
      </c>
      <c r="B238" s="376" t="s">
        <v>1426</v>
      </c>
      <c r="C238" s="377" t="s">
        <v>263</v>
      </c>
      <c r="D238" s="378">
        <v>0.47</v>
      </c>
      <c r="E238" s="305"/>
      <c r="F238" s="379"/>
      <c r="G238" s="379" t="s">
        <v>889</v>
      </c>
      <c r="H238" s="380">
        <v>228</v>
      </c>
      <c r="I238" s="307">
        <v>103003</v>
      </c>
      <c r="J238" s="308">
        <v>0.47</v>
      </c>
      <c r="K238" s="381">
        <v>22</v>
      </c>
      <c r="L238" s="382">
        <f>IF(tabItens[[#This Row],[Média]] &gt; 0, tabItens[[#This Row],[QTDE ATUAL]] / tabItens[[#This Row],[Média]],999.9)</f>
        <v>144</v>
      </c>
      <c r="M238" s="383">
        <v>0</v>
      </c>
      <c r="N238" s="384">
        <f>tabItens[[#This Row],[VALOR UNIT.]] * tabItens[[#This Row],[LC]]</f>
        <v>0</v>
      </c>
      <c r="O238" s="385" t="s">
        <v>2107</v>
      </c>
      <c r="P238" s="386"/>
      <c r="Q238" s="387"/>
      <c r="R238" s="312"/>
      <c r="S238" s="388"/>
      <c r="T238" s="389">
        <f>ROUNDDOWN(IFERROR(tabItens[[#This Row],[ATA DT.VALID.]] - $D$1,0) / 30,0)</f>
        <v>-1474</v>
      </c>
      <c r="U238" s="302" t="s">
        <v>966</v>
      </c>
      <c r="V238" s="318">
        <v>1</v>
      </c>
      <c r="W238" s="390" t="s">
        <v>2076</v>
      </c>
      <c r="X238" s="391">
        <v>61</v>
      </c>
      <c r="Y238" s="392">
        <v>8</v>
      </c>
      <c r="Z238" s="393"/>
      <c r="AA238" s="394"/>
      <c r="AB238" s="395"/>
      <c r="AC238" s="395"/>
      <c r="AD238" s="394"/>
      <c r="AE238" s="395"/>
      <c r="AF238" s="317"/>
      <c r="AG238" s="396" t="s">
        <v>2072</v>
      </c>
      <c r="AH238" s="397"/>
      <c r="AI238" s="317">
        <v>8</v>
      </c>
      <c r="AJ238" s="397">
        <v>41942</v>
      </c>
      <c r="AK238" s="326">
        <v>38028</v>
      </c>
      <c r="AL238" s="326">
        <v>42594</v>
      </c>
      <c r="AM238" s="316"/>
      <c r="AN238" s="305"/>
      <c r="AO238" s="327" t="str">
        <f>_xlfn.IFNA(IF(VLOOKUP(tabItens[[#This Row],[CÓDIGO]],tabExcluirDoEstoque[#Data],1,FALSE),"sim",""),"")</f>
        <v/>
      </c>
      <c r="AP238" s="398" t="str">
        <f ca="1">IF(OR(ISBLANK(tabItens[[#This Row],[ATA DT.VALID.]]),tabItens[[#This Row],[ATA DT.VALID.]]="",tabItens[[#This Row],[ATA DT.VALID.]]=" "),"",IF(TYPE(tabItens[[#This Row],[ATA DT.VALID.]])=1,ROUNDUP((tabItens[[#This Row],[ATA DT.VALID.]]-TODAY())/7,0),""))</f>
        <v/>
      </c>
      <c r="AQ238" s="399">
        <v>0</v>
      </c>
      <c r="AR238" s="400" t="str">
        <f>IF(ISBLANK(tabItens[[#This Row],[CÓDIGO]]),"",IFERROR(VLOOKUP(tabItens[[#This Row],[CÓDIGO]],Consumo!$C$2:$AC$862,26,FALSE),0))</f>
        <v>04.2023</v>
      </c>
      <c r="AS238" s="401">
        <f>SUMIF(Consumo!$C$3:$C$862,tabItens[[#This Row],[CÓDIGO]],Consumo!$N$3:$N$862) + SUMIF(Consumo!$C$3:$C$862,tabItens[[#This Row],[CÓDIGO]],Consumo!$O$3:$O$862) + SUMIF(Consumo!$C$3:$C$862,tabItens[[#This Row],[CÓDIGO]],Consumo!$P$3:$P$862) + SUMIF(Consumo!$C$3:$C$862,tabItens[[#This Row],[CÓDIGO]],Consumo!$Q$3:$Q$862)</f>
        <v>0</v>
      </c>
      <c r="AT238" s="401">
        <f>SUMIF(Consumo!$C$3:$C$862,tabItens[[#This Row],[CÓDIGO]],Consumo!$Z$3:$Z$862)</f>
        <v>22</v>
      </c>
      <c r="AU238" s="402">
        <f>SUMIF(Consumo!$C$3:$C$862,tabItens[[#This Row],[CÓDIGO]],Consumo!$AA$3:$AA$862)</f>
        <v>12</v>
      </c>
      <c r="AV238" s="403">
        <f>SUMIF(Consumo!$C$3:$C$862,tabItens[[#This Row],[CÓDIGO]],Consumo!$Y$3:$Y$862)</f>
        <v>1.5833333333333333</v>
      </c>
      <c r="AW238" s="380">
        <f>tabItens[[#This Row],[QTDE ATUAL]] + tabItens[[#This Row],[RC QTDE]] + tabItens[[#This Row],[AF SALDO]] + tabItens[[#This Row],[Recentes]]</f>
        <v>228</v>
      </c>
      <c r="AX238" s="404">
        <v>5</v>
      </c>
      <c r="AY238" s="404">
        <v>4</v>
      </c>
      <c r="AZ238" s="404">
        <f>IF(ISBLANK(tabItens[[#This Row],[CÓDIGO]]),"",tabItens[[#This Row],[PontoMês]] * (AZ$2+tabItens[[#This Row],[PontoQtM]]))</f>
        <v>20</v>
      </c>
      <c r="BA238" s="403">
        <f>tabItens[[#This Row],[PontoPed]] - tabItens[[#This Row],[Saldo]] + (1/10)</f>
        <v>-207.9</v>
      </c>
      <c r="BB238" s="403">
        <f xml:space="preserve"> tabItens[[#This Row],[PontoMês]] * BB$2 - tabItens[[#This Row],[QTDE ATUAL]] - (1/10)</f>
        <v>-223.1</v>
      </c>
      <c r="BC238" s="335">
        <f>IF( tabItens[[#This Row],[PontoPed]]&gt;0, IF(tabItens[[#This Row],[PontoPed]]&lt;1, 1, IF( tabItens[[#This Row],[Saldo]]&gt;tabItens[[#This Row],[PontoPed]], 0, (tabItens[[#This Row],[PontoPed]]-tabItens[[#This Row],[Saldo]])/tabItens[[#This Row],[PontoPed]] ) ), 0 )</f>
        <v>0</v>
      </c>
      <c r="BD238" s="405">
        <f>ROUNDDOWN(IF( OR( AND(tabItens[[#This Row],[PontoPed]]&lt;tabItens[[#This Row],[Saldo]],tabItens[[#This Row],[Saldo]]&gt;0), tabItens[[#This Row],[PontoPed]]=0), 99, IF(AND(tabItens[[#This Row],[Saldo]]=0,tabItens[[#This Row],[PontoPed]]&gt;0), 0, (1-tabItens[[#This Row],[PctAb]])*10 ) ),0)</f>
        <v>99</v>
      </c>
      <c r="BE238" s="406">
        <f>MAX(ROUNDDOWN( IF(tabItens[[#This Row],[Abaixo]] &gt; 0,   tabItens[[#This Row],[Abaixo]] + (tabItens[[#This Row],[PontoMês]] * IF( OR( ISBLANK(tabItens[[#This Row],[ATA Nº/ANO]]), tabItens[[#This Row],[ATA Nº/ANO]] = ""),BE$2,BE$1)),0),0),0)</f>
        <v>0</v>
      </c>
      <c r="BF23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8" s="338">
        <f>SUMIF(Consumo!$C$3:$C$862,tabItens[[#This Row],[CÓDIGO]],Consumo!$E$3:$E$862)</f>
        <v>0</v>
      </c>
      <c r="BH238" s="339">
        <f>IF(AND(tabItens[[#This Row],[Pend]] &gt; 0,tabItens[[#This Row],[Consumo]] &lt;&gt; 0), tabItens[[#This Row],[Pend]] / tabItens[[#This Row],[Consumo]], 0 )</f>
        <v>0</v>
      </c>
      <c r="BI238" s="338"/>
      <c r="BJ238" s="407"/>
      <c r="BK238" s="408" t="s">
        <v>2086</v>
      </c>
    </row>
    <row r="239" spans="1:63" x14ac:dyDescent="0.3">
      <c r="A239" s="375">
        <v>13063</v>
      </c>
      <c r="B239" s="376" t="s">
        <v>992</v>
      </c>
      <c r="C239" s="377" t="s">
        <v>290</v>
      </c>
      <c r="D239" s="378">
        <v>3.63</v>
      </c>
      <c r="E239" s="305"/>
      <c r="F239" s="379"/>
      <c r="G239" s="379" t="s">
        <v>889</v>
      </c>
      <c r="H239" s="380">
        <v>1243</v>
      </c>
      <c r="I239" s="307">
        <v>103003</v>
      </c>
      <c r="J239" s="308">
        <v>3.63</v>
      </c>
      <c r="K239" s="381">
        <v>444</v>
      </c>
      <c r="L239" s="382">
        <f>IF(tabItens[[#This Row],[Média]] &gt; 0, tabItens[[#This Row],[QTDE ATUAL]] / tabItens[[#This Row],[Média]],999.9)</f>
        <v>23.789473684210527</v>
      </c>
      <c r="M239" s="383">
        <v>0</v>
      </c>
      <c r="N239" s="384">
        <f>tabItens[[#This Row],[VALOR UNIT.]] * tabItens[[#This Row],[LC]]</f>
        <v>0</v>
      </c>
      <c r="O239" s="385" t="s">
        <v>2107</v>
      </c>
      <c r="P239" s="386"/>
      <c r="Q239" s="387"/>
      <c r="R239" s="312"/>
      <c r="S239" s="388"/>
      <c r="T239" s="389">
        <f>ROUNDDOWN(IFERROR(tabItens[[#This Row],[ATA DT.VALID.]] - $D$1,0) / 30,0)</f>
        <v>-1474</v>
      </c>
      <c r="U239" s="302" t="s">
        <v>993</v>
      </c>
      <c r="V239" s="318">
        <v>1</v>
      </c>
      <c r="W239" s="390" t="s">
        <v>2076</v>
      </c>
      <c r="X239" s="391">
        <v>61</v>
      </c>
      <c r="Y239" s="392">
        <v>9</v>
      </c>
      <c r="Z239" s="393"/>
      <c r="AA239" s="394"/>
      <c r="AB239" s="395"/>
      <c r="AC239" s="395"/>
      <c r="AD239" s="394"/>
      <c r="AE239" s="395"/>
      <c r="AF239" s="317"/>
      <c r="AG239" s="396" t="s">
        <v>2072</v>
      </c>
      <c r="AH239" s="397"/>
      <c r="AI239" s="317">
        <v>210</v>
      </c>
      <c r="AJ239" s="397">
        <v>45184</v>
      </c>
      <c r="AK239" s="326" t="s">
        <v>889</v>
      </c>
      <c r="AL239" s="326">
        <v>45145</v>
      </c>
      <c r="AM239" s="316"/>
      <c r="AN239" s="305"/>
      <c r="AO239" s="327" t="str">
        <f>_xlfn.IFNA(IF(VLOOKUP(tabItens[[#This Row],[CÓDIGO]],tabExcluirDoEstoque[#Data],1,FALSE),"sim",""),"")</f>
        <v/>
      </c>
      <c r="AP239" s="398" t="str">
        <f ca="1">IF(OR(ISBLANK(tabItens[[#This Row],[ATA DT.VALID.]]),tabItens[[#This Row],[ATA DT.VALID.]]="",tabItens[[#This Row],[ATA DT.VALID.]]=" "),"",IF(TYPE(tabItens[[#This Row],[ATA DT.VALID.]])=1,ROUNDUP((tabItens[[#This Row],[ATA DT.VALID.]]-TODAY())/7,0),""))</f>
        <v/>
      </c>
      <c r="AQ239" s="399">
        <v>1000</v>
      </c>
      <c r="AR239" s="400" t="str">
        <f>IF(ISBLANK(tabItens[[#This Row],[CÓDIGO]]),"",IFERROR(VLOOKUP(tabItens[[#This Row],[CÓDIGO]],Consumo!$C$2:$AC$862,26,FALSE),0))</f>
        <v>09.2023</v>
      </c>
      <c r="AS239" s="401">
        <f>SUMIF(Consumo!$C$3:$C$862,tabItens[[#This Row],[CÓDIGO]],Consumo!$N$3:$N$862) + SUMIF(Consumo!$C$3:$C$862,tabItens[[#This Row],[CÓDIGO]],Consumo!$O$3:$O$862) + SUMIF(Consumo!$C$3:$C$862,tabItens[[#This Row],[CÓDIGO]],Consumo!$P$3:$P$862) + SUMIF(Consumo!$C$3:$C$862,tabItens[[#This Row],[CÓDIGO]],Consumo!$Q$3:$Q$862)</f>
        <v>143</v>
      </c>
      <c r="AT239" s="401">
        <f>SUMIF(Consumo!$C$3:$C$862,tabItens[[#This Row],[CÓDIGO]],Consumo!$Z$3:$Z$862)</f>
        <v>627</v>
      </c>
      <c r="AU239" s="402">
        <f>SUMIF(Consumo!$C$3:$C$862,tabItens[[#This Row],[CÓDIGO]],Consumo!$AA$3:$AA$862)</f>
        <v>80</v>
      </c>
      <c r="AV239" s="403">
        <f>SUMIF(Consumo!$C$3:$C$862,tabItens[[#This Row],[CÓDIGO]],Consumo!$Y$3:$Y$862)</f>
        <v>52.25</v>
      </c>
      <c r="AW239" s="380">
        <f>tabItens[[#This Row],[QTDE ATUAL]] + tabItens[[#This Row],[RC QTDE]] + tabItens[[#This Row],[AF SALDO]] + tabItens[[#This Row],[Recentes]]</f>
        <v>2243</v>
      </c>
      <c r="AX239" s="404">
        <v>63</v>
      </c>
      <c r="AY239" s="404">
        <v>4</v>
      </c>
      <c r="AZ239" s="404">
        <f>IF(ISBLANK(tabItens[[#This Row],[CÓDIGO]]),"",tabItens[[#This Row],[PontoMês]] * (AZ$2+tabItens[[#This Row],[PontoQtM]]))</f>
        <v>252</v>
      </c>
      <c r="BA239" s="403">
        <f>tabItens[[#This Row],[PontoPed]] - tabItens[[#This Row],[Saldo]] + (1/10)</f>
        <v>-1990.9</v>
      </c>
      <c r="BB239" s="403">
        <f xml:space="preserve"> tabItens[[#This Row],[PontoMês]] * BB$2 - tabItens[[#This Row],[QTDE ATUAL]] - (1/10)</f>
        <v>-1180.0999999999999</v>
      </c>
      <c r="BC239" s="335">
        <f>IF( tabItens[[#This Row],[PontoPed]]&gt;0, IF(tabItens[[#This Row],[PontoPed]]&lt;1, 1, IF( tabItens[[#This Row],[Saldo]]&gt;tabItens[[#This Row],[PontoPed]], 0, (tabItens[[#This Row],[PontoPed]]-tabItens[[#This Row],[Saldo]])/tabItens[[#This Row],[PontoPed]] ) ), 0 )</f>
        <v>0</v>
      </c>
      <c r="BD239" s="405">
        <f>ROUNDDOWN(IF( OR( AND(tabItens[[#This Row],[PontoPed]]&lt;tabItens[[#This Row],[Saldo]],tabItens[[#This Row],[Saldo]]&gt;0), tabItens[[#This Row],[PontoPed]]=0), 99, IF(AND(tabItens[[#This Row],[Saldo]]=0,tabItens[[#This Row],[PontoPed]]&gt;0), 0, (1-tabItens[[#This Row],[PctAb]])*10 ) ),0)</f>
        <v>99</v>
      </c>
      <c r="BE239" s="406">
        <f>MAX(ROUNDDOWN( IF(tabItens[[#This Row],[Abaixo]] &gt; 0,   tabItens[[#This Row],[Abaixo]] + (tabItens[[#This Row],[PontoMês]] * IF( OR( ISBLANK(tabItens[[#This Row],[ATA Nº/ANO]]), tabItens[[#This Row],[ATA Nº/ANO]] = ""),BE$2,BE$1)),0),0),0)</f>
        <v>0</v>
      </c>
      <c r="BF23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9" s="338">
        <f>SUMIF(Consumo!$C$3:$C$862,tabItens[[#This Row],[CÓDIGO]],Consumo!$E$3:$E$862)</f>
        <v>0</v>
      </c>
      <c r="BH239" s="339">
        <f>IF(AND(tabItens[[#This Row],[Pend]] &gt; 0,tabItens[[#This Row],[Consumo]] &lt;&gt; 0), tabItens[[#This Row],[Pend]] / tabItens[[#This Row],[Consumo]], 0 )</f>
        <v>0</v>
      </c>
      <c r="BI239" s="338"/>
      <c r="BJ239" s="407"/>
      <c r="BK239" s="408" t="s">
        <v>2086</v>
      </c>
    </row>
    <row r="240" spans="1:63" x14ac:dyDescent="0.3">
      <c r="A240" s="375">
        <v>13064</v>
      </c>
      <c r="B240" s="376" t="s">
        <v>994</v>
      </c>
      <c r="C240" s="377" t="s">
        <v>260</v>
      </c>
      <c r="D240" s="378">
        <v>2.5099999999999998</v>
      </c>
      <c r="E240" s="305"/>
      <c r="F240" s="379"/>
      <c r="G240" s="379" t="s">
        <v>889</v>
      </c>
      <c r="H240" s="380">
        <v>756</v>
      </c>
      <c r="I240" s="307">
        <v>103003</v>
      </c>
      <c r="J240" s="308">
        <v>2.5099999999999998</v>
      </c>
      <c r="K240" s="381">
        <v>1274</v>
      </c>
      <c r="L240" s="382">
        <f>IF(tabItens[[#This Row],[Média]] &gt; 0, tabItens[[#This Row],[QTDE ATUAL]] / tabItens[[#This Row],[Média]],999.9)</f>
        <v>4.5496489468405219</v>
      </c>
      <c r="M240" s="383">
        <v>0</v>
      </c>
      <c r="N240" s="384">
        <f>tabItens[[#This Row],[VALOR UNIT.]] * tabItens[[#This Row],[LC]]</f>
        <v>0</v>
      </c>
      <c r="O240" s="385" t="s">
        <v>2107</v>
      </c>
      <c r="P240" s="386"/>
      <c r="Q240" s="387"/>
      <c r="R240" s="312"/>
      <c r="S240" s="388"/>
      <c r="T240" s="389">
        <f>ROUNDDOWN(IFERROR(tabItens[[#This Row],[ATA DT.VALID.]] - $D$1,0) / 30,0)</f>
        <v>-1474</v>
      </c>
      <c r="U240" s="302" t="s">
        <v>993</v>
      </c>
      <c r="V240" s="318">
        <v>1</v>
      </c>
      <c r="W240" s="390" t="s">
        <v>2076</v>
      </c>
      <c r="X240" s="391">
        <v>61</v>
      </c>
      <c r="Y240" s="392">
        <v>9</v>
      </c>
      <c r="Z240" s="393"/>
      <c r="AA240" s="394"/>
      <c r="AB240" s="395"/>
      <c r="AC240" s="395"/>
      <c r="AD240" s="394"/>
      <c r="AE240" s="395"/>
      <c r="AF240" s="317"/>
      <c r="AG240" s="396" t="s">
        <v>2072</v>
      </c>
      <c r="AH240" s="397"/>
      <c r="AI240" s="317">
        <v>772</v>
      </c>
      <c r="AJ240" s="397">
        <v>45169</v>
      </c>
      <c r="AK240" s="326" t="s">
        <v>889</v>
      </c>
      <c r="AL240" s="326">
        <v>45145</v>
      </c>
      <c r="AM240" s="316"/>
      <c r="AN240" s="305"/>
      <c r="AO240" s="327" t="str">
        <f>_xlfn.IFNA(IF(VLOOKUP(tabItens[[#This Row],[CÓDIGO]],tabExcluirDoEstoque[#Data],1,FALSE),"sim",""),"")</f>
        <v/>
      </c>
      <c r="AP240" s="398" t="str">
        <f ca="1">IF(OR(ISBLANK(tabItens[[#This Row],[ATA DT.VALID.]]),tabItens[[#This Row],[ATA DT.VALID.]]="",tabItens[[#This Row],[ATA DT.VALID.]]=" "),"",IF(TYPE(tabItens[[#This Row],[ATA DT.VALID.]])=1,ROUNDUP((tabItens[[#This Row],[ATA DT.VALID.]]-TODAY())/7,0),""))</f>
        <v/>
      </c>
      <c r="AQ240" s="399">
        <v>0</v>
      </c>
      <c r="AR240" s="400" t="str">
        <f>IF(ISBLANK(tabItens[[#This Row],[CÓDIGO]]),"",IFERROR(VLOOKUP(tabItens[[#This Row],[CÓDIGO]],Consumo!$C$2:$AC$862,26,FALSE),0))</f>
        <v>09.2023</v>
      </c>
      <c r="AS240" s="401">
        <f>SUMIF(Consumo!$C$3:$C$862,tabItens[[#This Row],[CÓDIGO]],Consumo!$N$3:$N$862) + SUMIF(Consumo!$C$3:$C$862,tabItens[[#This Row],[CÓDIGO]],Consumo!$O$3:$O$862) + SUMIF(Consumo!$C$3:$C$862,tabItens[[#This Row],[CÓDIGO]],Consumo!$P$3:$P$862) + SUMIF(Consumo!$C$3:$C$862,tabItens[[#This Row],[CÓDIGO]],Consumo!$Q$3:$Q$862)</f>
        <v>723</v>
      </c>
      <c r="AT240" s="401">
        <f>SUMIF(Consumo!$C$3:$C$862,tabItens[[#This Row],[CÓDIGO]],Consumo!$Z$3:$Z$862)</f>
        <v>2017</v>
      </c>
      <c r="AU240" s="402">
        <f>SUMIF(Consumo!$C$3:$C$862,tabItens[[#This Row],[CÓDIGO]],Consumo!$AA$3:$AA$862)</f>
        <v>316</v>
      </c>
      <c r="AV240" s="403">
        <f>SUMIF(Consumo!$C$3:$C$862,tabItens[[#This Row],[CÓDIGO]],Consumo!$Y$3:$Y$862)</f>
        <v>166.16666666666666</v>
      </c>
      <c r="AW240" s="380">
        <f>tabItens[[#This Row],[QTDE ATUAL]] + tabItens[[#This Row],[RC QTDE]] + tabItens[[#This Row],[AF SALDO]] + tabItens[[#This Row],[Recentes]]</f>
        <v>756</v>
      </c>
      <c r="AX240" s="404">
        <v>138</v>
      </c>
      <c r="AY240" s="404">
        <v>4</v>
      </c>
      <c r="AZ240" s="404">
        <f>IF(ISBLANK(tabItens[[#This Row],[CÓDIGO]]),"",tabItens[[#This Row],[PontoMês]] * (AZ$2+tabItens[[#This Row],[PontoQtM]]))</f>
        <v>552</v>
      </c>
      <c r="BA240" s="403">
        <f>tabItens[[#This Row],[PontoPed]] - tabItens[[#This Row],[Saldo]] + (1/10)</f>
        <v>-203.9</v>
      </c>
      <c r="BB240" s="403">
        <f xml:space="preserve"> tabItens[[#This Row],[PontoMês]] * BB$2 - tabItens[[#This Row],[QTDE ATUAL]] - (1/10)</f>
        <v>-618.1</v>
      </c>
      <c r="BC240" s="335">
        <f>IF( tabItens[[#This Row],[PontoPed]]&gt;0, IF(tabItens[[#This Row],[PontoPed]]&lt;1, 1, IF( tabItens[[#This Row],[Saldo]]&gt;tabItens[[#This Row],[PontoPed]], 0, (tabItens[[#This Row],[PontoPed]]-tabItens[[#This Row],[Saldo]])/tabItens[[#This Row],[PontoPed]] ) ), 0 )</f>
        <v>0</v>
      </c>
      <c r="BD240" s="405">
        <f>ROUNDDOWN(IF( OR( AND(tabItens[[#This Row],[PontoPed]]&lt;tabItens[[#This Row],[Saldo]],tabItens[[#This Row],[Saldo]]&gt;0), tabItens[[#This Row],[PontoPed]]=0), 99, IF(AND(tabItens[[#This Row],[Saldo]]=0,tabItens[[#This Row],[PontoPed]]&gt;0), 0, (1-tabItens[[#This Row],[PctAb]])*10 ) ),0)</f>
        <v>99</v>
      </c>
      <c r="BE240" s="406">
        <f>MAX(ROUNDDOWN( IF(tabItens[[#This Row],[Abaixo]] &gt; 0,   tabItens[[#This Row],[Abaixo]] + (tabItens[[#This Row],[PontoMês]] * IF( OR( ISBLANK(tabItens[[#This Row],[ATA Nº/ANO]]), tabItens[[#This Row],[ATA Nº/ANO]] = ""),BE$2,BE$1)),0),0),0)</f>
        <v>0</v>
      </c>
      <c r="BF24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0" s="338">
        <f>SUMIF(Consumo!$C$3:$C$862,tabItens[[#This Row],[CÓDIGO]],Consumo!$E$3:$E$862)</f>
        <v>0</v>
      </c>
      <c r="BH240" s="339">
        <f>IF(AND(tabItens[[#This Row],[Pend]] &gt; 0,tabItens[[#This Row],[Consumo]] &lt;&gt; 0), tabItens[[#This Row],[Pend]] / tabItens[[#This Row],[Consumo]], 0 )</f>
        <v>0</v>
      </c>
      <c r="BI240" s="338"/>
      <c r="BJ240" s="407"/>
      <c r="BK240" s="408" t="s">
        <v>2086</v>
      </c>
    </row>
    <row r="241" spans="1:63" x14ac:dyDescent="0.3">
      <c r="A241" s="375">
        <v>13165</v>
      </c>
      <c r="B241" s="376" t="s">
        <v>1016</v>
      </c>
      <c r="C241" s="377" t="s">
        <v>263</v>
      </c>
      <c r="D241" s="378">
        <v>38.880000000000003</v>
      </c>
      <c r="E241" s="305"/>
      <c r="F241" s="379"/>
      <c r="G241" s="379" t="s">
        <v>889</v>
      </c>
      <c r="H241" s="380">
        <v>45</v>
      </c>
      <c r="I241" s="307">
        <v>103003</v>
      </c>
      <c r="J241" s="308">
        <v>38.880000000000003</v>
      </c>
      <c r="K241" s="381">
        <v>412</v>
      </c>
      <c r="L241" s="382">
        <f>IF(tabItens[[#This Row],[Média]] &gt; 0, tabItens[[#This Row],[QTDE ATUAL]] / tabItens[[#This Row],[Média]],999.9)</f>
        <v>0.90301003344481601</v>
      </c>
      <c r="M241" s="383">
        <v>0</v>
      </c>
      <c r="N241" s="384">
        <f>tabItens[[#This Row],[VALOR UNIT.]] * tabItens[[#This Row],[LC]]</f>
        <v>0</v>
      </c>
      <c r="O241" s="385" t="s">
        <v>2107</v>
      </c>
      <c r="P241" s="386"/>
      <c r="Q241" s="387"/>
      <c r="R241" s="312"/>
      <c r="S241" s="388"/>
      <c r="T241" s="389">
        <f>ROUNDDOWN(IFERROR(tabItens[[#This Row],[ATA DT.VALID.]] - $D$1,0) / 30,0)</f>
        <v>-1474</v>
      </c>
      <c r="U241" s="302" t="s">
        <v>1015</v>
      </c>
      <c r="V241" s="318">
        <v>1</v>
      </c>
      <c r="W241" s="390" t="s">
        <v>2076</v>
      </c>
      <c r="X241" s="391">
        <v>61</v>
      </c>
      <c r="Y241" s="392">
        <v>14</v>
      </c>
      <c r="Z241" s="393"/>
      <c r="AA241" s="394"/>
      <c r="AB241" s="395"/>
      <c r="AC241" s="395"/>
      <c r="AD241" s="394"/>
      <c r="AE241" s="395"/>
      <c r="AF241" s="317"/>
      <c r="AG241" s="396" t="s">
        <v>2072</v>
      </c>
      <c r="AH241" s="397"/>
      <c r="AI241" s="317">
        <v>196</v>
      </c>
      <c r="AJ241" s="397">
        <v>45184</v>
      </c>
      <c r="AK241" s="326" t="s">
        <v>889</v>
      </c>
      <c r="AL241" s="326">
        <v>45145</v>
      </c>
      <c r="AM241" s="316"/>
      <c r="AN241" s="305"/>
      <c r="AO241" s="327" t="str">
        <f>_xlfn.IFNA(IF(VLOOKUP(tabItens[[#This Row],[CÓDIGO]],tabExcluirDoEstoque[#Data],1,FALSE),"sim",""),"")</f>
        <v/>
      </c>
      <c r="AP241" s="398" t="str">
        <f ca="1">IF(OR(ISBLANK(tabItens[[#This Row],[ATA DT.VALID.]]),tabItens[[#This Row],[ATA DT.VALID.]]="",tabItens[[#This Row],[ATA DT.VALID.]]=" "),"",IF(TYPE(tabItens[[#This Row],[ATA DT.VALID.]])=1,ROUNDUP((tabItens[[#This Row],[ATA DT.VALID.]]-TODAY())/7,0),""))</f>
        <v/>
      </c>
      <c r="AQ241" s="399">
        <v>250</v>
      </c>
      <c r="AR241" s="400" t="str">
        <f>IF(ISBLANK(tabItens[[#This Row],[CÓDIGO]]),"",IFERROR(VLOOKUP(tabItens[[#This Row],[CÓDIGO]],Consumo!$C$2:$AC$862,26,FALSE),0))</f>
        <v>09.2023</v>
      </c>
      <c r="AS241" s="401">
        <f>SUMIF(Consumo!$C$3:$C$862,tabItens[[#This Row],[CÓDIGO]],Consumo!$N$3:$N$862) + SUMIF(Consumo!$C$3:$C$862,tabItens[[#This Row],[CÓDIGO]],Consumo!$O$3:$O$862) + SUMIF(Consumo!$C$3:$C$862,tabItens[[#This Row],[CÓDIGO]],Consumo!$P$3:$P$862) + SUMIF(Consumo!$C$3:$C$862,tabItens[[#This Row],[CÓDIGO]],Consumo!$Q$3:$Q$862)</f>
        <v>247</v>
      </c>
      <c r="AT241" s="401">
        <f>SUMIF(Consumo!$C$3:$C$862,tabItens[[#This Row],[CÓDIGO]],Consumo!$Z$3:$Z$862)</f>
        <v>599</v>
      </c>
      <c r="AU241" s="402">
        <f>SUMIF(Consumo!$C$3:$C$862,tabItens[[#This Row],[CÓDIGO]],Consumo!$AA$3:$AA$862)</f>
        <v>105</v>
      </c>
      <c r="AV241" s="403">
        <f>SUMIF(Consumo!$C$3:$C$862,tabItens[[#This Row],[CÓDIGO]],Consumo!$Y$3:$Y$862)</f>
        <v>49.833333333333336</v>
      </c>
      <c r="AW241" s="380">
        <f>tabItens[[#This Row],[QTDE ATUAL]] + tabItens[[#This Row],[RC QTDE]] + tabItens[[#This Row],[AF SALDO]] + tabItens[[#This Row],[Recentes]]</f>
        <v>295</v>
      </c>
      <c r="AX241" s="404">
        <v>61</v>
      </c>
      <c r="AY241" s="404">
        <v>4</v>
      </c>
      <c r="AZ241" s="404">
        <f>IF(ISBLANK(tabItens[[#This Row],[CÓDIGO]]),"",tabItens[[#This Row],[PontoMês]] * (AZ$2+tabItens[[#This Row],[PontoQtM]]))</f>
        <v>244</v>
      </c>
      <c r="BA241" s="403">
        <f>tabItens[[#This Row],[PontoPed]] - tabItens[[#This Row],[Saldo]] + (1/10)</f>
        <v>-50.9</v>
      </c>
      <c r="BB241" s="403">
        <f xml:space="preserve"> tabItens[[#This Row],[PontoMês]] * BB$2 - tabItens[[#This Row],[QTDE ATUAL]] - (1/10)</f>
        <v>15.9</v>
      </c>
      <c r="BC241" s="335">
        <f>IF( tabItens[[#This Row],[PontoPed]]&gt;0, IF(tabItens[[#This Row],[PontoPed]]&lt;1, 1, IF( tabItens[[#This Row],[Saldo]]&gt;tabItens[[#This Row],[PontoPed]], 0, (tabItens[[#This Row],[PontoPed]]-tabItens[[#This Row],[Saldo]])/tabItens[[#This Row],[PontoPed]] ) ), 0 )</f>
        <v>0</v>
      </c>
      <c r="BD241" s="405">
        <f>ROUNDDOWN(IF( OR( AND(tabItens[[#This Row],[PontoPed]]&lt;tabItens[[#This Row],[Saldo]],tabItens[[#This Row],[Saldo]]&gt;0), tabItens[[#This Row],[PontoPed]]=0), 99, IF(AND(tabItens[[#This Row],[Saldo]]=0,tabItens[[#This Row],[PontoPed]]&gt;0), 0, (1-tabItens[[#This Row],[PctAb]])*10 ) ),0)</f>
        <v>99</v>
      </c>
      <c r="BE241" s="406">
        <f>MAX(ROUNDDOWN( IF(tabItens[[#This Row],[Abaixo]] &gt; 0,   tabItens[[#This Row],[Abaixo]] + (tabItens[[#This Row],[PontoMês]] * IF( OR( ISBLANK(tabItens[[#This Row],[ATA Nº/ANO]]), tabItens[[#This Row],[ATA Nº/ANO]] = ""),BE$2,BE$1)),0),0),0)</f>
        <v>0</v>
      </c>
      <c r="BF24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1" s="338">
        <f>SUMIF(Consumo!$C$3:$C$862,tabItens[[#This Row],[CÓDIGO]],Consumo!$E$3:$E$862)</f>
        <v>10</v>
      </c>
      <c r="BH241" s="339">
        <f>IF(AND(tabItens[[#This Row],[Pend]] &gt; 0,tabItens[[#This Row],[Consumo]] &lt;&gt; 0), tabItens[[#This Row],[Pend]] / tabItens[[#This Row],[Consumo]], 0 )</f>
        <v>1.6694490818030049E-2</v>
      </c>
      <c r="BI241" s="338"/>
      <c r="BJ241" s="407"/>
      <c r="BK241" s="408" t="s">
        <v>2086</v>
      </c>
    </row>
    <row r="242" spans="1:63" x14ac:dyDescent="0.3">
      <c r="A242" s="375">
        <v>111524</v>
      </c>
      <c r="B242" s="376" t="s">
        <v>1682</v>
      </c>
      <c r="C242" s="377" t="s">
        <v>263</v>
      </c>
      <c r="D242" s="378">
        <v>40</v>
      </c>
      <c r="E242" s="305"/>
      <c r="F242" s="379"/>
      <c r="G242" s="379" t="s">
        <v>889</v>
      </c>
      <c r="H242" s="380">
        <v>89</v>
      </c>
      <c r="I242" s="307">
        <v>103003</v>
      </c>
      <c r="J242" s="308">
        <v>40</v>
      </c>
      <c r="K242" s="381">
        <v>330</v>
      </c>
      <c r="L242" s="382">
        <f>IF(tabItens[[#This Row],[Média]] &gt; 0, tabItens[[#This Row],[QTDE ATUAL]] / tabItens[[#This Row],[Média]],999.9)</f>
        <v>2.6305418719211819</v>
      </c>
      <c r="M242" s="383">
        <v>0</v>
      </c>
      <c r="N242" s="384">
        <f>tabItens[[#This Row],[VALOR UNIT.]] * tabItens[[#This Row],[LC]]</f>
        <v>0</v>
      </c>
      <c r="O242" s="385" t="s">
        <v>2107</v>
      </c>
      <c r="P242" s="386"/>
      <c r="Q242" s="387"/>
      <c r="R242" s="312"/>
      <c r="S242" s="388"/>
      <c r="T242" s="389">
        <f>ROUNDDOWN(IFERROR(tabItens[[#This Row],[ATA DT.VALID.]] - $D$1,0) / 30,0)</f>
        <v>-1474</v>
      </c>
      <c r="U242" s="302" t="s">
        <v>1015</v>
      </c>
      <c r="V242" s="318">
        <v>1</v>
      </c>
      <c r="W242" s="390" t="s">
        <v>2076</v>
      </c>
      <c r="X242" s="391">
        <v>61</v>
      </c>
      <c r="Y242" s="392">
        <v>14</v>
      </c>
      <c r="Z242" s="393"/>
      <c r="AA242" s="394"/>
      <c r="AB242" s="395"/>
      <c r="AC242" s="395"/>
      <c r="AD242" s="394"/>
      <c r="AE242" s="395"/>
      <c r="AF242" s="317"/>
      <c r="AG242" s="396" t="s">
        <v>2072</v>
      </c>
      <c r="AH242" s="397"/>
      <c r="AI242" s="317">
        <v>136</v>
      </c>
      <c r="AJ242" s="397">
        <v>45166</v>
      </c>
      <c r="AK242" s="326">
        <v>39988</v>
      </c>
      <c r="AL242" s="326">
        <v>45145</v>
      </c>
      <c r="AM242" s="316"/>
      <c r="AN242" s="305"/>
      <c r="AO242" s="327" t="str">
        <f>_xlfn.IFNA(IF(VLOOKUP(tabItens[[#This Row],[CÓDIGO]],tabExcluirDoEstoque[#Data],1,FALSE),"sim",""),"")</f>
        <v/>
      </c>
      <c r="AP242" s="398" t="str">
        <f ca="1">IF(OR(ISBLANK(tabItens[[#This Row],[ATA DT.VALID.]]),tabItens[[#This Row],[ATA DT.VALID.]]="",tabItens[[#This Row],[ATA DT.VALID.]]=" "),"",IF(TYPE(tabItens[[#This Row],[ATA DT.VALID.]])=1,ROUNDUP((tabItens[[#This Row],[ATA DT.VALID.]]-TODAY())/7,0),""))</f>
        <v/>
      </c>
      <c r="AQ242" s="399">
        <v>0</v>
      </c>
      <c r="AR242" s="400" t="str">
        <f>IF(ISBLANK(tabItens[[#This Row],[CÓDIGO]]),"",IFERROR(VLOOKUP(tabItens[[#This Row],[CÓDIGO]],Consumo!$C$2:$AC$862,26,FALSE),0))</f>
        <v>09.2023</v>
      </c>
      <c r="AS242" s="401">
        <f>SUMIF(Consumo!$C$3:$C$862,tabItens[[#This Row],[CÓDIGO]],Consumo!$N$3:$N$862) + SUMIF(Consumo!$C$3:$C$862,tabItens[[#This Row],[CÓDIGO]],Consumo!$O$3:$O$862) + SUMIF(Consumo!$C$3:$C$862,tabItens[[#This Row],[CÓDIGO]],Consumo!$P$3:$P$862) + SUMIF(Consumo!$C$3:$C$862,tabItens[[#This Row],[CÓDIGO]],Consumo!$Q$3:$Q$862)</f>
        <v>168</v>
      </c>
      <c r="AT242" s="401">
        <f>SUMIF(Consumo!$C$3:$C$862,tabItens[[#This Row],[CÓDIGO]],Consumo!$Z$3:$Z$862)</f>
        <v>406</v>
      </c>
      <c r="AU242" s="402">
        <f>SUMIF(Consumo!$C$3:$C$862,tabItens[[#This Row],[CÓDIGO]],Consumo!$AA$3:$AA$862)</f>
        <v>88</v>
      </c>
      <c r="AV242" s="403">
        <f>SUMIF(Consumo!$C$3:$C$862,tabItens[[#This Row],[CÓDIGO]],Consumo!$Y$3:$Y$862)</f>
        <v>33.833333333333336</v>
      </c>
      <c r="AW242" s="380">
        <f>tabItens[[#This Row],[QTDE ATUAL]] + tabItens[[#This Row],[RC QTDE]] + tabItens[[#This Row],[AF SALDO]] + tabItens[[#This Row],[Recentes]]</f>
        <v>89</v>
      </c>
      <c r="AX242" s="404">
        <v>24</v>
      </c>
      <c r="AY242" s="404">
        <v>4</v>
      </c>
      <c r="AZ242" s="404">
        <f>IF(ISBLANK(tabItens[[#This Row],[CÓDIGO]]),"",tabItens[[#This Row],[PontoMês]] * (AZ$2+tabItens[[#This Row],[PontoQtM]]))</f>
        <v>96</v>
      </c>
      <c r="BA242" s="403">
        <f>tabItens[[#This Row],[PontoPed]] - tabItens[[#This Row],[Saldo]] + (1/10)</f>
        <v>7.1</v>
      </c>
      <c r="BB242" s="403">
        <f xml:space="preserve"> tabItens[[#This Row],[PontoMês]] * BB$2 - tabItens[[#This Row],[QTDE ATUAL]] - (1/10)</f>
        <v>-65.099999999999994</v>
      </c>
      <c r="BC242" s="335">
        <f>IF( tabItens[[#This Row],[PontoPed]]&gt;0, IF(tabItens[[#This Row],[PontoPed]]&lt;1, 1, IF( tabItens[[#This Row],[Saldo]]&gt;tabItens[[#This Row],[PontoPed]], 0, (tabItens[[#This Row],[PontoPed]]-tabItens[[#This Row],[Saldo]])/tabItens[[#This Row],[PontoPed]] ) ), 0 )</f>
        <v>7.2916666666666671E-2</v>
      </c>
      <c r="BD242" s="405">
        <f>ROUNDDOWN(IF( OR( AND(tabItens[[#This Row],[PontoPed]]&lt;tabItens[[#This Row],[Saldo]],tabItens[[#This Row],[Saldo]]&gt;0), tabItens[[#This Row],[PontoPed]]=0), 99, IF(AND(tabItens[[#This Row],[Saldo]]=0,tabItens[[#This Row],[PontoPed]]&gt;0), 0, (1-tabItens[[#This Row],[PctAb]])*10 ) ),0)</f>
        <v>9</v>
      </c>
      <c r="BE242" s="406">
        <f>MAX(ROUNDDOWN( IF(tabItens[[#This Row],[Abaixo]] &gt; 0,   tabItens[[#This Row],[Abaixo]] + (tabItens[[#This Row],[PontoMês]] * IF( OR( ISBLANK(tabItens[[#This Row],[ATA Nº/ANO]]), tabItens[[#This Row],[ATA Nº/ANO]] = ""),BE$2,BE$1)),0),0),0)</f>
        <v>79</v>
      </c>
      <c r="BF24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2" s="338">
        <f>SUMIF(Consumo!$C$3:$C$862,tabItens[[#This Row],[CÓDIGO]],Consumo!$E$3:$E$862)</f>
        <v>0</v>
      </c>
      <c r="BH242" s="339">
        <f>IF(AND(tabItens[[#This Row],[Pend]] &gt; 0,tabItens[[#This Row],[Consumo]] &lt;&gt; 0), tabItens[[#This Row],[Pend]] / tabItens[[#This Row],[Consumo]], 0 )</f>
        <v>0</v>
      </c>
      <c r="BI242" s="338"/>
      <c r="BJ242" s="407"/>
      <c r="BK242" s="408" t="s">
        <v>2086</v>
      </c>
    </row>
    <row r="243" spans="1:63" x14ac:dyDescent="0.3">
      <c r="A243" s="375">
        <v>13120</v>
      </c>
      <c r="B243" s="376" t="s">
        <v>1013</v>
      </c>
      <c r="C243" s="377" t="s">
        <v>263</v>
      </c>
      <c r="D243" s="378">
        <v>24</v>
      </c>
      <c r="E243" s="305"/>
      <c r="F243" s="379"/>
      <c r="G243" s="379" t="s">
        <v>889</v>
      </c>
      <c r="H243" s="380">
        <v>54</v>
      </c>
      <c r="I243" s="307">
        <v>103003</v>
      </c>
      <c r="J243" s="308">
        <v>24</v>
      </c>
      <c r="K243" s="381">
        <v>24</v>
      </c>
      <c r="L243" s="382">
        <f>IF(tabItens[[#This Row],[Média]] &gt; 0, tabItens[[#This Row],[QTDE ATUAL]] / tabItens[[#This Row],[Média]],999.9)</f>
        <v>29.454545454545457</v>
      </c>
      <c r="M243" s="383">
        <v>0</v>
      </c>
      <c r="N243" s="384">
        <f>tabItens[[#This Row],[VALOR UNIT.]] * tabItens[[#This Row],[LC]]</f>
        <v>0</v>
      </c>
      <c r="O243" s="385" t="s">
        <v>2107</v>
      </c>
      <c r="P243" s="386"/>
      <c r="Q243" s="387"/>
      <c r="R243" s="312"/>
      <c r="S243" s="388"/>
      <c r="T243" s="389">
        <f>ROUNDDOWN(IFERROR(tabItens[[#This Row],[ATA DT.VALID.]] - $D$1,0) / 30,0)</f>
        <v>-1474</v>
      </c>
      <c r="U243" s="302" t="s">
        <v>1011</v>
      </c>
      <c r="V243" s="318">
        <v>1</v>
      </c>
      <c r="W243" s="390" t="s">
        <v>2076</v>
      </c>
      <c r="X243" s="391">
        <v>61</v>
      </c>
      <c r="Y243" s="392">
        <v>15</v>
      </c>
      <c r="Z243" s="393"/>
      <c r="AA243" s="394"/>
      <c r="AB243" s="395"/>
      <c r="AC243" s="395"/>
      <c r="AD243" s="394"/>
      <c r="AE243" s="395"/>
      <c r="AF243" s="317"/>
      <c r="AG243" s="396" t="s">
        <v>2072</v>
      </c>
      <c r="AH243" s="397"/>
      <c r="AI243" s="317">
        <v>8</v>
      </c>
      <c r="AJ243" s="397">
        <v>44174</v>
      </c>
      <c r="AK243" s="326" t="s">
        <v>889</v>
      </c>
      <c r="AL243" s="326">
        <v>44133</v>
      </c>
      <c r="AM243" s="316"/>
      <c r="AN243" s="305"/>
      <c r="AO243" s="327" t="str">
        <f>_xlfn.IFNA(IF(VLOOKUP(tabItens[[#This Row],[CÓDIGO]],tabExcluirDoEstoque[#Data],1,FALSE),"sim",""),"")</f>
        <v/>
      </c>
      <c r="AP243" s="398" t="str">
        <f ca="1">IF(OR(ISBLANK(tabItens[[#This Row],[ATA DT.VALID.]]),tabItens[[#This Row],[ATA DT.VALID.]]="",tabItens[[#This Row],[ATA DT.VALID.]]=" "),"",IF(TYPE(tabItens[[#This Row],[ATA DT.VALID.]])=1,ROUNDUP((tabItens[[#This Row],[ATA DT.VALID.]]-TODAY())/7,0),""))</f>
        <v/>
      </c>
      <c r="AQ243" s="399">
        <v>0</v>
      </c>
      <c r="AR243" s="400" t="str">
        <f>IF(ISBLANK(tabItens[[#This Row],[CÓDIGO]]),"",IFERROR(VLOOKUP(tabItens[[#This Row],[CÓDIGO]],Consumo!$C$2:$AC$862,26,FALSE),0))</f>
        <v>05.2023</v>
      </c>
      <c r="AS243" s="401">
        <f>SUMIF(Consumo!$C$3:$C$862,tabItens[[#This Row],[CÓDIGO]],Consumo!$N$3:$N$862) + SUMIF(Consumo!$C$3:$C$862,tabItens[[#This Row],[CÓDIGO]],Consumo!$O$3:$O$862) + SUMIF(Consumo!$C$3:$C$862,tabItens[[#This Row],[CÓDIGO]],Consumo!$P$3:$P$862) + SUMIF(Consumo!$C$3:$C$862,tabItens[[#This Row],[CÓDIGO]],Consumo!$Q$3:$Q$862)</f>
        <v>0</v>
      </c>
      <c r="AT243" s="401">
        <f>SUMIF(Consumo!$C$3:$C$862,tabItens[[#This Row],[CÓDIGO]],Consumo!$Z$3:$Z$862)</f>
        <v>24</v>
      </c>
      <c r="AU243" s="402">
        <f>SUMIF(Consumo!$C$3:$C$862,tabItens[[#This Row],[CÓDIGO]],Consumo!$AA$3:$AA$862)</f>
        <v>10</v>
      </c>
      <c r="AV243" s="403">
        <f>SUMIF(Consumo!$C$3:$C$862,tabItens[[#This Row],[CÓDIGO]],Consumo!$Y$3:$Y$862)</f>
        <v>1.8333333333333333</v>
      </c>
      <c r="AW243" s="380">
        <f>tabItens[[#This Row],[QTDE ATUAL]] + tabItens[[#This Row],[RC QTDE]] + tabItens[[#This Row],[AF SALDO]] + tabItens[[#This Row],[Recentes]]</f>
        <v>54</v>
      </c>
      <c r="AX243" s="404">
        <v>5</v>
      </c>
      <c r="AY243" s="404">
        <v>4</v>
      </c>
      <c r="AZ243" s="404">
        <f>IF(ISBLANK(tabItens[[#This Row],[CÓDIGO]]),"",tabItens[[#This Row],[PontoMês]] * (AZ$2+tabItens[[#This Row],[PontoQtM]]))</f>
        <v>20</v>
      </c>
      <c r="BA243" s="403">
        <f>tabItens[[#This Row],[PontoPed]] - tabItens[[#This Row],[Saldo]] + (1/10)</f>
        <v>-33.9</v>
      </c>
      <c r="BB243" s="403">
        <f xml:space="preserve"> tabItens[[#This Row],[PontoMês]] * BB$2 - tabItens[[#This Row],[QTDE ATUAL]] - (1/10)</f>
        <v>-49.1</v>
      </c>
      <c r="BC243" s="335">
        <f>IF( tabItens[[#This Row],[PontoPed]]&gt;0, IF(tabItens[[#This Row],[PontoPed]]&lt;1, 1, IF( tabItens[[#This Row],[Saldo]]&gt;tabItens[[#This Row],[PontoPed]], 0, (tabItens[[#This Row],[PontoPed]]-tabItens[[#This Row],[Saldo]])/tabItens[[#This Row],[PontoPed]] ) ), 0 )</f>
        <v>0</v>
      </c>
      <c r="BD243" s="405">
        <f>ROUNDDOWN(IF( OR( AND(tabItens[[#This Row],[PontoPed]]&lt;tabItens[[#This Row],[Saldo]],tabItens[[#This Row],[Saldo]]&gt;0), tabItens[[#This Row],[PontoPed]]=0), 99, IF(AND(tabItens[[#This Row],[Saldo]]=0,tabItens[[#This Row],[PontoPed]]&gt;0), 0, (1-tabItens[[#This Row],[PctAb]])*10 ) ),0)</f>
        <v>99</v>
      </c>
      <c r="BE243" s="406">
        <f>MAX(ROUNDDOWN( IF(tabItens[[#This Row],[Abaixo]] &gt; 0,   tabItens[[#This Row],[Abaixo]] + (tabItens[[#This Row],[PontoMês]] * IF( OR( ISBLANK(tabItens[[#This Row],[ATA Nº/ANO]]), tabItens[[#This Row],[ATA Nº/ANO]] = ""),BE$2,BE$1)),0),0),0)</f>
        <v>0</v>
      </c>
      <c r="BF24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3" s="338">
        <f>SUMIF(Consumo!$C$3:$C$862,tabItens[[#This Row],[CÓDIGO]],Consumo!$E$3:$E$862)</f>
        <v>0</v>
      </c>
      <c r="BH243" s="339">
        <f>IF(AND(tabItens[[#This Row],[Pend]] &gt; 0,tabItens[[#This Row],[Consumo]] &lt;&gt; 0), tabItens[[#This Row],[Pend]] / tabItens[[#This Row],[Consumo]], 0 )</f>
        <v>0</v>
      </c>
      <c r="BI243" s="338"/>
      <c r="BJ243" s="407"/>
      <c r="BK243" s="408" t="s">
        <v>2086</v>
      </c>
    </row>
    <row r="244" spans="1:63" x14ac:dyDescent="0.3">
      <c r="A244" s="375">
        <v>15085</v>
      </c>
      <c r="B244" s="376" t="s">
        <v>1084</v>
      </c>
      <c r="C244" s="377" t="s">
        <v>263</v>
      </c>
      <c r="D244" s="378">
        <v>0.14000000000000001</v>
      </c>
      <c r="E244" s="305"/>
      <c r="F244" s="379"/>
      <c r="G244" s="379" t="s">
        <v>889</v>
      </c>
      <c r="H244" s="380">
        <v>529</v>
      </c>
      <c r="I244" s="307">
        <v>103003</v>
      </c>
      <c r="J244" s="308">
        <v>0.14000000000000001</v>
      </c>
      <c r="K244" s="381">
        <v>86</v>
      </c>
      <c r="L244" s="382">
        <f>IF(tabItens[[#This Row],[Média]] &gt; 0, tabItens[[#This Row],[QTDE ATUAL]] / tabItens[[#This Row],[Média]],999.9)</f>
        <v>73.813953488372093</v>
      </c>
      <c r="M244" s="383">
        <v>0</v>
      </c>
      <c r="N244" s="384">
        <f>tabItens[[#This Row],[VALOR UNIT.]] * tabItens[[#This Row],[LC]]</f>
        <v>0</v>
      </c>
      <c r="O244" s="385" t="s">
        <v>2107</v>
      </c>
      <c r="P244" s="386"/>
      <c r="Q244" s="387"/>
      <c r="R244" s="312"/>
      <c r="S244" s="388"/>
      <c r="T244" s="389">
        <f>ROUNDDOWN(IFERROR(tabItens[[#This Row],[ATA DT.VALID.]] - $D$1,0) / 30,0)</f>
        <v>-1474</v>
      </c>
      <c r="U244" s="302" t="s">
        <v>1011</v>
      </c>
      <c r="V244" s="318">
        <v>1</v>
      </c>
      <c r="W244" s="390" t="s">
        <v>2076</v>
      </c>
      <c r="X244" s="391">
        <v>61</v>
      </c>
      <c r="Y244" s="392">
        <v>15</v>
      </c>
      <c r="Z244" s="393"/>
      <c r="AA244" s="394"/>
      <c r="AB244" s="395"/>
      <c r="AC244" s="395"/>
      <c r="AD244" s="394"/>
      <c r="AE244" s="395"/>
      <c r="AF244" s="317"/>
      <c r="AG244" s="396" t="s">
        <v>2072</v>
      </c>
      <c r="AH244" s="397"/>
      <c r="AI244" s="317">
        <v>28</v>
      </c>
      <c r="AJ244" s="397">
        <v>39752</v>
      </c>
      <c r="AK244" s="326" t="s">
        <v>889</v>
      </c>
      <c r="AL244" s="326">
        <v>42501</v>
      </c>
      <c r="AM244" s="316"/>
      <c r="AN244" s="305"/>
      <c r="AO244" s="327" t="str">
        <f>_xlfn.IFNA(IF(VLOOKUP(tabItens[[#This Row],[CÓDIGO]],tabExcluirDoEstoque[#Data],1,FALSE),"sim",""),"")</f>
        <v/>
      </c>
      <c r="AP244" s="398" t="str">
        <f ca="1">IF(OR(ISBLANK(tabItens[[#This Row],[ATA DT.VALID.]]),tabItens[[#This Row],[ATA DT.VALID.]]="",tabItens[[#This Row],[ATA DT.VALID.]]=" "),"",IF(TYPE(tabItens[[#This Row],[ATA DT.VALID.]])=1,ROUNDUP((tabItens[[#This Row],[ATA DT.VALID.]]-TODAY())/7,0),""))</f>
        <v/>
      </c>
      <c r="AQ244" s="399">
        <v>0</v>
      </c>
      <c r="AR244" s="400" t="str">
        <f>IF(ISBLANK(tabItens[[#This Row],[CÓDIGO]]),"",IFERROR(VLOOKUP(tabItens[[#This Row],[CÓDIGO]],Consumo!$C$2:$AC$862,26,FALSE),0))</f>
        <v>07.2023</v>
      </c>
      <c r="AS244" s="401">
        <f>SUMIF(Consumo!$C$3:$C$862,tabItens[[#This Row],[CÓDIGO]],Consumo!$N$3:$N$862) + SUMIF(Consumo!$C$3:$C$862,tabItens[[#This Row],[CÓDIGO]],Consumo!$O$3:$O$862) + SUMIF(Consumo!$C$3:$C$862,tabItens[[#This Row],[CÓDIGO]],Consumo!$P$3:$P$862) + SUMIF(Consumo!$C$3:$C$862,tabItens[[#This Row],[CÓDIGO]],Consumo!$Q$3:$Q$862)</f>
        <v>31</v>
      </c>
      <c r="AT244" s="401">
        <f>SUMIF(Consumo!$C$3:$C$862,tabItens[[#This Row],[CÓDIGO]],Consumo!$Z$3:$Z$862)</f>
        <v>86</v>
      </c>
      <c r="AU244" s="402">
        <f>SUMIF(Consumo!$C$3:$C$862,tabItens[[#This Row],[CÓDIGO]],Consumo!$AA$3:$AA$862)</f>
        <v>30</v>
      </c>
      <c r="AV244" s="403">
        <f>SUMIF(Consumo!$C$3:$C$862,tabItens[[#This Row],[CÓDIGO]],Consumo!$Y$3:$Y$862)</f>
        <v>7.166666666666667</v>
      </c>
      <c r="AW244" s="380">
        <f>tabItens[[#This Row],[QTDE ATUAL]] + tabItens[[#This Row],[RC QTDE]] + tabItens[[#This Row],[AF SALDO]] + tabItens[[#This Row],[Recentes]]</f>
        <v>529</v>
      </c>
      <c r="AX244" s="404">
        <v>11</v>
      </c>
      <c r="AY244" s="404">
        <v>4</v>
      </c>
      <c r="AZ244" s="404">
        <f>IF(ISBLANK(tabItens[[#This Row],[CÓDIGO]]),"",tabItens[[#This Row],[PontoMês]] * (AZ$2+tabItens[[#This Row],[PontoQtM]]))</f>
        <v>44</v>
      </c>
      <c r="BA244" s="403">
        <f>tabItens[[#This Row],[PontoPed]] - tabItens[[#This Row],[Saldo]] + (1/10)</f>
        <v>-484.9</v>
      </c>
      <c r="BB244" s="403">
        <f xml:space="preserve"> tabItens[[#This Row],[PontoMês]] * BB$2 - tabItens[[#This Row],[QTDE ATUAL]] - (1/10)</f>
        <v>-518.1</v>
      </c>
      <c r="BC244" s="335">
        <f>IF( tabItens[[#This Row],[PontoPed]]&gt;0, IF(tabItens[[#This Row],[PontoPed]]&lt;1, 1, IF( tabItens[[#This Row],[Saldo]]&gt;tabItens[[#This Row],[PontoPed]], 0, (tabItens[[#This Row],[PontoPed]]-tabItens[[#This Row],[Saldo]])/tabItens[[#This Row],[PontoPed]] ) ), 0 )</f>
        <v>0</v>
      </c>
      <c r="BD244" s="405">
        <f>ROUNDDOWN(IF( OR( AND(tabItens[[#This Row],[PontoPed]]&lt;tabItens[[#This Row],[Saldo]],tabItens[[#This Row],[Saldo]]&gt;0), tabItens[[#This Row],[PontoPed]]=0), 99, IF(AND(tabItens[[#This Row],[Saldo]]=0,tabItens[[#This Row],[PontoPed]]&gt;0), 0, (1-tabItens[[#This Row],[PctAb]])*10 ) ),0)</f>
        <v>99</v>
      </c>
      <c r="BE244" s="406">
        <f>MAX(ROUNDDOWN( IF(tabItens[[#This Row],[Abaixo]] &gt; 0,   tabItens[[#This Row],[Abaixo]] + (tabItens[[#This Row],[PontoMês]] * IF( OR( ISBLANK(tabItens[[#This Row],[ATA Nº/ANO]]), tabItens[[#This Row],[ATA Nº/ANO]] = ""),BE$2,BE$1)),0),0),0)</f>
        <v>0</v>
      </c>
      <c r="BF24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4" s="338">
        <f>SUMIF(Consumo!$C$3:$C$862,tabItens[[#This Row],[CÓDIGO]],Consumo!$E$3:$E$862)</f>
        <v>0</v>
      </c>
      <c r="BH244" s="339">
        <f>IF(AND(tabItens[[#This Row],[Pend]] &gt; 0,tabItens[[#This Row],[Consumo]] &lt;&gt; 0), tabItens[[#This Row],[Pend]] / tabItens[[#This Row],[Consumo]], 0 )</f>
        <v>0</v>
      </c>
      <c r="BI244" s="338"/>
      <c r="BJ244" s="407"/>
      <c r="BK244" s="408" t="s">
        <v>2086</v>
      </c>
    </row>
    <row r="245" spans="1:63" x14ac:dyDescent="0.3">
      <c r="A245" s="375">
        <v>27760</v>
      </c>
      <c r="B245" s="376" t="s">
        <v>1227</v>
      </c>
      <c r="C245" s="377" t="s">
        <v>263</v>
      </c>
      <c r="D245" s="378">
        <v>63.5</v>
      </c>
      <c r="E245" s="305"/>
      <c r="F245" s="379"/>
      <c r="G245" s="379" t="s">
        <v>889</v>
      </c>
      <c r="H245" s="380">
        <v>48</v>
      </c>
      <c r="I245" s="307">
        <v>103003</v>
      </c>
      <c r="J245" s="308">
        <v>63.5</v>
      </c>
      <c r="K245" s="381">
        <v>40</v>
      </c>
      <c r="L245" s="382">
        <f>IF(tabItens[[#This Row],[Média]] &gt; 0, tabItens[[#This Row],[QTDE ATUAL]] / tabItens[[#This Row],[Média]],999.9)</f>
        <v>16.457142857142859</v>
      </c>
      <c r="M245" s="383">
        <v>0</v>
      </c>
      <c r="N245" s="384">
        <f>tabItens[[#This Row],[VALOR UNIT.]] * tabItens[[#This Row],[LC]]</f>
        <v>0</v>
      </c>
      <c r="O245" s="385" t="s">
        <v>2107</v>
      </c>
      <c r="P245" s="386"/>
      <c r="Q245" s="387"/>
      <c r="R245" s="312"/>
      <c r="S245" s="388"/>
      <c r="T245" s="389">
        <f>ROUNDDOWN(IFERROR(tabItens[[#This Row],[ATA DT.VALID.]] - $D$1,0) / 30,0)</f>
        <v>-1474</v>
      </c>
      <c r="U245" s="302" t="s">
        <v>1011</v>
      </c>
      <c r="V245" s="318">
        <v>1</v>
      </c>
      <c r="W245" s="390" t="s">
        <v>2076</v>
      </c>
      <c r="X245" s="391">
        <v>61</v>
      </c>
      <c r="Y245" s="392">
        <v>15</v>
      </c>
      <c r="Z245" s="393"/>
      <c r="AA245" s="394"/>
      <c r="AB245" s="395"/>
      <c r="AC245" s="395"/>
      <c r="AD245" s="394"/>
      <c r="AE245" s="395"/>
      <c r="AF245" s="317"/>
      <c r="AG245" s="396" t="s">
        <v>2072</v>
      </c>
      <c r="AH245" s="397"/>
      <c r="AI245" s="317">
        <v>14</v>
      </c>
      <c r="AJ245" s="397">
        <v>45166</v>
      </c>
      <c r="AK245" s="326" t="s">
        <v>889</v>
      </c>
      <c r="AL245" s="326">
        <v>45145</v>
      </c>
      <c r="AM245" s="316"/>
      <c r="AN245" s="305"/>
      <c r="AO245" s="327" t="str">
        <f>_xlfn.IFNA(IF(VLOOKUP(tabItens[[#This Row],[CÓDIGO]],tabExcluirDoEstoque[#Data],1,FALSE),"sim",""),"")</f>
        <v/>
      </c>
      <c r="AP245" s="398" t="str">
        <f ca="1">IF(OR(ISBLANK(tabItens[[#This Row],[ATA DT.VALID.]]),tabItens[[#This Row],[ATA DT.VALID.]]="",tabItens[[#This Row],[ATA DT.VALID.]]=" "),"",IF(TYPE(tabItens[[#This Row],[ATA DT.VALID.]])=1,ROUNDUP((tabItens[[#This Row],[ATA DT.VALID.]]-TODAY())/7,0),""))</f>
        <v/>
      </c>
      <c r="AQ245" s="399">
        <v>0</v>
      </c>
      <c r="AR245" s="400" t="str">
        <f>IF(ISBLANK(tabItens[[#This Row],[CÓDIGO]]),"",IFERROR(VLOOKUP(tabItens[[#This Row],[CÓDIGO]],Consumo!$C$2:$AC$862,26,FALSE),0))</f>
        <v>06.2023</v>
      </c>
      <c r="AS245" s="401">
        <f>SUMIF(Consumo!$C$3:$C$862,tabItens[[#This Row],[CÓDIGO]],Consumo!$N$3:$N$862) + SUMIF(Consumo!$C$3:$C$862,tabItens[[#This Row],[CÓDIGO]],Consumo!$O$3:$O$862) + SUMIF(Consumo!$C$3:$C$862,tabItens[[#This Row],[CÓDIGO]],Consumo!$P$3:$P$862) + SUMIF(Consumo!$C$3:$C$862,tabItens[[#This Row],[CÓDIGO]],Consumo!$Q$3:$Q$862)</f>
        <v>20</v>
      </c>
      <c r="AT245" s="401">
        <f>SUMIF(Consumo!$C$3:$C$862,tabItens[[#This Row],[CÓDIGO]],Consumo!$Z$3:$Z$862)</f>
        <v>41</v>
      </c>
      <c r="AU245" s="402">
        <f>SUMIF(Consumo!$C$3:$C$862,tabItens[[#This Row],[CÓDIGO]],Consumo!$AA$3:$AA$862)</f>
        <v>20</v>
      </c>
      <c r="AV245" s="403">
        <f>SUMIF(Consumo!$C$3:$C$862,tabItens[[#This Row],[CÓDIGO]],Consumo!$Y$3:$Y$862)</f>
        <v>2.9166666666666665</v>
      </c>
      <c r="AW245" s="380">
        <f>tabItens[[#This Row],[QTDE ATUAL]] + tabItens[[#This Row],[RC QTDE]] + tabItens[[#This Row],[AF SALDO]] + tabItens[[#This Row],[Recentes]]</f>
        <v>48</v>
      </c>
      <c r="AX245" s="404">
        <v>5</v>
      </c>
      <c r="AY245" s="404">
        <v>4</v>
      </c>
      <c r="AZ245" s="404">
        <f>IF(ISBLANK(tabItens[[#This Row],[CÓDIGO]]),"",tabItens[[#This Row],[PontoMês]] * (AZ$2+tabItens[[#This Row],[PontoQtM]]))</f>
        <v>20</v>
      </c>
      <c r="BA245" s="403">
        <f>tabItens[[#This Row],[PontoPed]] - tabItens[[#This Row],[Saldo]] + (1/10)</f>
        <v>-27.9</v>
      </c>
      <c r="BB245" s="403">
        <f xml:space="preserve"> tabItens[[#This Row],[PontoMês]] * BB$2 - tabItens[[#This Row],[QTDE ATUAL]] - (1/10)</f>
        <v>-43.1</v>
      </c>
      <c r="BC245" s="335">
        <f>IF( tabItens[[#This Row],[PontoPed]]&gt;0, IF(tabItens[[#This Row],[PontoPed]]&lt;1, 1, IF( tabItens[[#This Row],[Saldo]]&gt;tabItens[[#This Row],[PontoPed]], 0, (tabItens[[#This Row],[PontoPed]]-tabItens[[#This Row],[Saldo]])/tabItens[[#This Row],[PontoPed]] ) ), 0 )</f>
        <v>0</v>
      </c>
      <c r="BD245" s="405">
        <f>ROUNDDOWN(IF( OR( AND(tabItens[[#This Row],[PontoPed]]&lt;tabItens[[#This Row],[Saldo]],tabItens[[#This Row],[Saldo]]&gt;0), tabItens[[#This Row],[PontoPed]]=0), 99, IF(AND(tabItens[[#This Row],[Saldo]]=0,tabItens[[#This Row],[PontoPed]]&gt;0), 0, (1-tabItens[[#This Row],[PctAb]])*10 ) ),0)</f>
        <v>99</v>
      </c>
      <c r="BE245" s="406">
        <f>MAX(ROUNDDOWN( IF(tabItens[[#This Row],[Abaixo]] &gt; 0,   tabItens[[#This Row],[Abaixo]] + (tabItens[[#This Row],[PontoMês]] * IF( OR( ISBLANK(tabItens[[#This Row],[ATA Nº/ANO]]), tabItens[[#This Row],[ATA Nº/ANO]] = ""),BE$2,BE$1)),0),0),0)</f>
        <v>0</v>
      </c>
      <c r="BF24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5" s="338">
        <f>SUMIF(Consumo!$C$3:$C$862,tabItens[[#This Row],[CÓDIGO]],Consumo!$E$3:$E$862)</f>
        <v>0</v>
      </c>
      <c r="BH245" s="339">
        <f>IF(AND(tabItens[[#This Row],[Pend]] &gt; 0,tabItens[[#This Row],[Consumo]] &lt;&gt; 0), tabItens[[#This Row],[Pend]] / tabItens[[#This Row],[Consumo]], 0 )</f>
        <v>0</v>
      </c>
      <c r="BI245" s="338"/>
      <c r="BJ245" s="407"/>
      <c r="BK245" s="408" t="s">
        <v>2086</v>
      </c>
    </row>
    <row r="246" spans="1:63" x14ac:dyDescent="0.3">
      <c r="A246" s="375">
        <v>35224</v>
      </c>
      <c r="B246" s="376" t="s">
        <v>1257</v>
      </c>
      <c r="C246" s="377" t="s">
        <v>263</v>
      </c>
      <c r="D246" s="378">
        <v>50</v>
      </c>
      <c r="E246" s="305"/>
      <c r="F246" s="379"/>
      <c r="G246" s="379" t="s">
        <v>889</v>
      </c>
      <c r="H246" s="380">
        <v>20</v>
      </c>
      <c r="I246" s="307">
        <v>103003</v>
      </c>
      <c r="J246" s="308">
        <v>50</v>
      </c>
      <c r="K246" s="381">
        <v>19</v>
      </c>
      <c r="L246" s="382">
        <f>IF(tabItens[[#This Row],[Média]] &gt; 0, tabItens[[#This Row],[QTDE ATUAL]] / tabItens[[#This Row],[Média]],999.9)</f>
        <v>6.1538461538461542</v>
      </c>
      <c r="M246" s="383">
        <v>0</v>
      </c>
      <c r="N246" s="384">
        <f>tabItens[[#This Row],[VALOR UNIT.]] * tabItens[[#This Row],[LC]]</f>
        <v>0</v>
      </c>
      <c r="O246" s="385" t="s">
        <v>2107</v>
      </c>
      <c r="P246" s="386"/>
      <c r="Q246" s="387"/>
      <c r="R246" s="312"/>
      <c r="S246" s="388"/>
      <c r="T246" s="389">
        <f>ROUNDDOWN(IFERROR(tabItens[[#This Row],[ATA DT.VALID.]] - $D$1,0) / 30,0)</f>
        <v>-1474</v>
      </c>
      <c r="U246" s="302" t="s">
        <v>1011</v>
      </c>
      <c r="V246" s="318">
        <v>1</v>
      </c>
      <c r="W246" s="390" t="s">
        <v>2076</v>
      </c>
      <c r="X246" s="391">
        <v>61</v>
      </c>
      <c r="Y246" s="392">
        <v>15</v>
      </c>
      <c r="Z246" s="393"/>
      <c r="AA246" s="394"/>
      <c r="AB246" s="395"/>
      <c r="AC246" s="395"/>
      <c r="AD246" s="394"/>
      <c r="AE246" s="395"/>
      <c r="AF246" s="317"/>
      <c r="AG246" s="396" t="s">
        <v>2072</v>
      </c>
      <c r="AH246" s="397"/>
      <c r="AI246" s="317">
        <v>8</v>
      </c>
      <c r="AJ246" s="397">
        <v>45166</v>
      </c>
      <c r="AK246" s="326" t="s">
        <v>889</v>
      </c>
      <c r="AL246" s="326">
        <v>45145</v>
      </c>
      <c r="AM246" s="316"/>
      <c r="AN246" s="305"/>
      <c r="AO246" s="327" t="str">
        <f>_xlfn.IFNA(IF(VLOOKUP(tabItens[[#This Row],[CÓDIGO]],tabExcluirDoEstoque[#Data],1,FALSE),"sim",""),"")</f>
        <v/>
      </c>
      <c r="AP246" s="398" t="str">
        <f ca="1">IF(OR(ISBLANK(tabItens[[#This Row],[ATA DT.VALID.]]),tabItens[[#This Row],[ATA DT.VALID.]]="",tabItens[[#This Row],[ATA DT.VALID.]]=" "),"",IF(TYPE(tabItens[[#This Row],[ATA DT.VALID.]])=1,ROUNDUP((tabItens[[#This Row],[ATA DT.VALID.]]-TODAY())/7,0),""))</f>
        <v/>
      </c>
      <c r="AQ246" s="399">
        <v>0</v>
      </c>
      <c r="AR246" s="400" t="str">
        <f>IF(ISBLANK(tabItens[[#This Row],[CÓDIGO]]),"",IFERROR(VLOOKUP(tabItens[[#This Row],[CÓDIGO]],Consumo!$C$2:$AC$862,26,FALSE),0))</f>
        <v>08.2023</v>
      </c>
      <c r="AS246" s="401">
        <f>SUMIF(Consumo!$C$3:$C$862,tabItens[[#This Row],[CÓDIGO]],Consumo!$N$3:$N$862) + SUMIF(Consumo!$C$3:$C$862,tabItens[[#This Row],[CÓDIGO]],Consumo!$O$3:$O$862) + SUMIF(Consumo!$C$3:$C$862,tabItens[[#This Row],[CÓDIGO]],Consumo!$P$3:$P$862) + SUMIF(Consumo!$C$3:$C$862,tabItens[[#This Row],[CÓDIGO]],Consumo!$Q$3:$Q$862)</f>
        <v>2</v>
      </c>
      <c r="AT246" s="401">
        <f>SUMIF(Consumo!$C$3:$C$862,tabItens[[#This Row],[CÓDIGO]],Consumo!$Z$3:$Z$862)</f>
        <v>39</v>
      </c>
      <c r="AU246" s="402">
        <f>SUMIF(Consumo!$C$3:$C$862,tabItens[[#This Row],[CÓDIGO]],Consumo!$AA$3:$AA$862)</f>
        <v>6</v>
      </c>
      <c r="AV246" s="403">
        <f>SUMIF(Consumo!$C$3:$C$862,tabItens[[#This Row],[CÓDIGO]],Consumo!$Y$3:$Y$862)</f>
        <v>3.25</v>
      </c>
      <c r="AW246" s="380">
        <f>tabItens[[#This Row],[QTDE ATUAL]] + tabItens[[#This Row],[RC QTDE]] + tabItens[[#This Row],[AF SALDO]] + tabItens[[#This Row],[Recentes]]</f>
        <v>20</v>
      </c>
      <c r="AX246" s="404">
        <v>3</v>
      </c>
      <c r="AY246" s="404">
        <v>4</v>
      </c>
      <c r="AZ246" s="404">
        <f>IF(ISBLANK(tabItens[[#This Row],[CÓDIGO]]),"",tabItens[[#This Row],[PontoMês]] * (AZ$2+tabItens[[#This Row],[PontoQtM]]))</f>
        <v>12</v>
      </c>
      <c r="BA246" s="403">
        <f>tabItens[[#This Row],[PontoPed]] - tabItens[[#This Row],[Saldo]] + (1/10)</f>
        <v>-7.9</v>
      </c>
      <c r="BB246" s="403">
        <f xml:space="preserve"> tabItens[[#This Row],[PontoMês]] * BB$2 - tabItens[[#This Row],[QTDE ATUAL]] - (1/10)</f>
        <v>-17.100000000000001</v>
      </c>
      <c r="BC246" s="335">
        <f>IF( tabItens[[#This Row],[PontoPed]]&gt;0, IF(tabItens[[#This Row],[PontoPed]]&lt;1, 1, IF( tabItens[[#This Row],[Saldo]]&gt;tabItens[[#This Row],[PontoPed]], 0, (tabItens[[#This Row],[PontoPed]]-tabItens[[#This Row],[Saldo]])/tabItens[[#This Row],[PontoPed]] ) ), 0 )</f>
        <v>0</v>
      </c>
      <c r="BD246" s="405">
        <f>ROUNDDOWN(IF( OR( AND(tabItens[[#This Row],[PontoPed]]&lt;tabItens[[#This Row],[Saldo]],tabItens[[#This Row],[Saldo]]&gt;0), tabItens[[#This Row],[PontoPed]]=0), 99, IF(AND(tabItens[[#This Row],[Saldo]]=0,tabItens[[#This Row],[PontoPed]]&gt;0), 0, (1-tabItens[[#This Row],[PctAb]])*10 ) ),0)</f>
        <v>99</v>
      </c>
      <c r="BE246" s="406">
        <f>MAX(ROUNDDOWN( IF(tabItens[[#This Row],[Abaixo]] &gt; 0,   tabItens[[#This Row],[Abaixo]] + (tabItens[[#This Row],[PontoMês]] * IF( OR( ISBLANK(tabItens[[#This Row],[ATA Nº/ANO]]), tabItens[[#This Row],[ATA Nº/ANO]] = ""),BE$2,BE$1)),0),0),0)</f>
        <v>0</v>
      </c>
      <c r="BF24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6" s="338">
        <f>SUMIF(Consumo!$C$3:$C$862,tabItens[[#This Row],[CÓDIGO]],Consumo!$E$3:$E$862)</f>
        <v>18</v>
      </c>
      <c r="BH246" s="339">
        <f>IF(AND(tabItens[[#This Row],[Pend]] &gt; 0,tabItens[[#This Row],[Consumo]] &lt;&gt; 0), tabItens[[#This Row],[Pend]] / tabItens[[#This Row],[Consumo]], 0 )</f>
        <v>0.46153846153846156</v>
      </c>
      <c r="BI246" s="338"/>
      <c r="BJ246" s="407"/>
      <c r="BK246" s="408" t="s">
        <v>2086</v>
      </c>
    </row>
    <row r="247" spans="1:63" x14ac:dyDescent="0.3">
      <c r="A247" s="375">
        <v>65173</v>
      </c>
      <c r="B247" s="376" t="s">
        <v>1394</v>
      </c>
      <c r="C247" s="377" t="s">
        <v>263</v>
      </c>
      <c r="D247" s="378">
        <v>72.959999999999994</v>
      </c>
      <c r="E247" s="305"/>
      <c r="F247" s="379"/>
      <c r="G247" s="379" t="s">
        <v>889</v>
      </c>
      <c r="H247" s="380">
        <v>50</v>
      </c>
      <c r="I247" s="307">
        <v>103003</v>
      </c>
      <c r="J247" s="308">
        <v>72.959999999999994</v>
      </c>
      <c r="K247" s="381">
        <v>125</v>
      </c>
      <c r="L247" s="382">
        <f>IF(tabItens[[#This Row],[Média]] &gt; 0, tabItens[[#This Row],[QTDE ATUAL]] / tabItens[[#This Row],[Média]],999.9)</f>
        <v>4.9586776859504127</v>
      </c>
      <c r="M247" s="383">
        <v>0</v>
      </c>
      <c r="N247" s="384">
        <f>tabItens[[#This Row],[VALOR UNIT.]] * tabItens[[#This Row],[LC]]</f>
        <v>0</v>
      </c>
      <c r="O247" s="385" t="s">
        <v>2107</v>
      </c>
      <c r="P247" s="386"/>
      <c r="Q247" s="387"/>
      <c r="R247" s="312"/>
      <c r="S247" s="388"/>
      <c r="T247" s="389">
        <f>ROUNDDOWN(IFERROR(tabItens[[#This Row],[ATA DT.VALID.]] - $D$1,0) / 30,0)</f>
        <v>-1474</v>
      </c>
      <c r="U247" s="302" t="s">
        <v>1011</v>
      </c>
      <c r="V247" s="318">
        <v>1</v>
      </c>
      <c r="W247" s="390" t="s">
        <v>2076</v>
      </c>
      <c r="X247" s="391">
        <v>61</v>
      </c>
      <c r="Y247" s="392">
        <v>15</v>
      </c>
      <c r="Z247" s="393"/>
      <c r="AA247" s="394"/>
      <c r="AB247" s="395"/>
      <c r="AC247" s="395"/>
      <c r="AD247" s="394"/>
      <c r="AE247" s="395"/>
      <c r="AF247" s="317"/>
      <c r="AG247" s="396" t="s">
        <v>2072</v>
      </c>
      <c r="AH247" s="397"/>
      <c r="AI247" s="317">
        <v>44</v>
      </c>
      <c r="AJ247" s="397">
        <v>45189</v>
      </c>
      <c r="AK247" s="326" t="s">
        <v>889</v>
      </c>
      <c r="AL247" s="326">
        <v>45145</v>
      </c>
      <c r="AM247" s="316"/>
      <c r="AN247" s="305"/>
      <c r="AO247" s="327" t="str">
        <f>_xlfn.IFNA(IF(VLOOKUP(tabItens[[#This Row],[CÓDIGO]],tabExcluirDoEstoque[#Data],1,FALSE),"sim",""),"")</f>
        <v/>
      </c>
      <c r="AP247" s="398" t="str">
        <f ca="1">IF(OR(ISBLANK(tabItens[[#This Row],[ATA DT.VALID.]]),tabItens[[#This Row],[ATA DT.VALID.]]="",tabItens[[#This Row],[ATA DT.VALID.]]=" "),"",IF(TYPE(tabItens[[#This Row],[ATA DT.VALID.]])=1,ROUNDUP((tabItens[[#This Row],[ATA DT.VALID.]]-TODAY())/7,0),""))</f>
        <v/>
      </c>
      <c r="AQ247" s="399">
        <v>0</v>
      </c>
      <c r="AR247" s="400" t="str">
        <f>IF(ISBLANK(tabItens[[#This Row],[CÓDIGO]]),"",IFERROR(VLOOKUP(tabItens[[#This Row],[CÓDIGO]],Consumo!$C$2:$AC$862,26,FALSE),0))</f>
        <v>09.2023</v>
      </c>
      <c r="AS247" s="401">
        <f>SUMIF(Consumo!$C$3:$C$862,tabItens[[#This Row],[CÓDIGO]],Consumo!$N$3:$N$862) + SUMIF(Consumo!$C$3:$C$862,tabItens[[#This Row],[CÓDIGO]],Consumo!$O$3:$O$862) + SUMIF(Consumo!$C$3:$C$862,tabItens[[#This Row],[CÓDIGO]],Consumo!$P$3:$P$862) + SUMIF(Consumo!$C$3:$C$862,tabItens[[#This Row],[CÓDIGO]],Consumo!$Q$3:$Q$862)</f>
        <v>54</v>
      </c>
      <c r="AT247" s="401">
        <f>SUMIF(Consumo!$C$3:$C$862,tabItens[[#This Row],[CÓDIGO]],Consumo!$Z$3:$Z$862)</f>
        <v>132</v>
      </c>
      <c r="AU247" s="402">
        <f>SUMIF(Consumo!$C$3:$C$862,tabItens[[#This Row],[CÓDIGO]],Consumo!$AA$3:$AA$862)</f>
        <v>54</v>
      </c>
      <c r="AV247" s="403">
        <f>SUMIF(Consumo!$C$3:$C$862,tabItens[[#This Row],[CÓDIGO]],Consumo!$Y$3:$Y$862)</f>
        <v>10.083333333333334</v>
      </c>
      <c r="AW247" s="380">
        <f>tabItens[[#This Row],[QTDE ATUAL]] + tabItens[[#This Row],[RC QTDE]] + tabItens[[#This Row],[AF SALDO]] + tabItens[[#This Row],[Recentes]]</f>
        <v>50</v>
      </c>
      <c r="AX247" s="404">
        <v>8</v>
      </c>
      <c r="AY247" s="404">
        <v>4</v>
      </c>
      <c r="AZ247" s="404">
        <f>IF(ISBLANK(tabItens[[#This Row],[CÓDIGO]]),"",tabItens[[#This Row],[PontoMês]] * (AZ$2+tabItens[[#This Row],[PontoQtM]]))</f>
        <v>32</v>
      </c>
      <c r="BA247" s="403">
        <f>tabItens[[#This Row],[PontoPed]] - tabItens[[#This Row],[Saldo]] + (1/10)</f>
        <v>-17.899999999999999</v>
      </c>
      <c r="BB247" s="403">
        <f xml:space="preserve"> tabItens[[#This Row],[PontoMês]] * BB$2 - tabItens[[#This Row],[QTDE ATUAL]] - (1/10)</f>
        <v>-42.1</v>
      </c>
      <c r="BC247" s="335">
        <f>IF( tabItens[[#This Row],[PontoPed]]&gt;0, IF(tabItens[[#This Row],[PontoPed]]&lt;1, 1, IF( tabItens[[#This Row],[Saldo]]&gt;tabItens[[#This Row],[PontoPed]], 0, (tabItens[[#This Row],[PontoPed]]-tabItens[[#This Row],[Saldo]])/tabItens[[#This Row],[PontoPed]] ) ), 0 )</f>
        <v>0</v>
      </c>
      <c r="BD247" s="405">
        <f>ROUNDDOWN(IF( OR( AND(tabItens[[#This Row],[PontoPed]]&lt;tabItens[[#This Row],[Saldo]],tabItens[[#This Row],[Saldo]]&gt;0), tabItens[[#This Row],[PontoPed]]=0), 99, IF(AND(tabItens[[#This Row],[Saldo]]=0,tabItens[[#This Row],[PontoPed]]&gt;0), 0, (1-tabItens[[#This Row],[PctAb]])*10 ) ),0)</f>
        <v>99</v>
      </c>
      <c r="BE247" s="406">
        <f>MAX(ROUNDDOWN( IF(tabItens[[#This Row],[Abaixo]] &gt; 0,   tabItens[[#This Row],[Abaixo]] + (tabItens[[#This Row],[PontoMês]] * IF( OR( ISBLANK(tabItens[[#This Row],[ATA Nº/ANO]]), tabItens[[#This Row],[ATA Nº/ANO]] = ""),BE$2,BE$1)),0),0),0)</f>
        <v>0</v>
      </c>
      <c r="BF24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7" s="338">
        <f>SUMIF(Consumo!$C$3:$C$862,tabItens[[#This Row],[CÓDIGO]],Consumo!$E$3:$E$862)</f>
        <v>0</v>
      </c>
      <c r="BH247" s="339">
        <f>IF(AND(tabItens[[#This Row],[Pend]] &gt; 0,tabItens[[#This Row],[Consumo]] &lt;&gt; 0), tabItens[[#This Row],[Pend]] / tabItens[[#This Row],[Consumo]], 0 )</f>
        <v>0</v>
      </c>
      <c r="BI247" s="338"/>
      <c r="BJ247" s="407"/>
      <c r="BK247" s="408" t="s">
        <v>2086</v>
      </c>
    </row>
    <row r="248" spans="1:63" x14ac:dyDescent="0.3">
      <c r="A248" s="375">
        <v>81563</v>
      </c>
      <c r="B248" s="376" t="s">
        <v>1481</v>
      </c>
      <c r="C248" s="377" t="s">
        <v>473</v>
      </c>
      <c r="D248" s="378">
        <v>24.87</v>
      </c>
      <c r="E248" s="305"/>
      <c r="F248" s="379"/>
      <c r="G248" s="379" t="s">
        <v>889</v>
      </c>
      <c r="H248" s="380">
        <v>47</v>
      </c>
      <c r="I248" s="307">
        <v>103003</v>
      </c>
      <c r="J248" s="308">
        <v>24.87</v>
      </c>
      <c r="K248" s="381"/>
      <c r="L248" s="382">
        <f>IF(tabItens[[#This Row],[Média]] &gt; 0, tabItens[[#This Row],[QTDE ATUAL]] / tabItens[[#This Row],[Média]],999.9)</f>
        <v>999.9</v>
      </c>
      <c r="M248" s="383">
        <v>0</v>
      </c>
      <c r="N248" s="384">
        <f>tabItens[[#This Row],[VALOR UNIT.]] * tabItens[[#This Row],[LC]]</f>
        <v>0</v>
      </c>
      <c r="O248" s="385" t="s">
        <v>2107</v>
      </c>
      <c r="P248" s="386"/>
      <c r="Q248" s="387"/>
      <c r="R248" s="312"/>
      <c r="S248" s="388"/>
      <c r="T248" s="389">
        <f>ROUNDDOWN(IFERROR(tabItens[[#This Row],[ATA DT.VALID.]] - $D$1,0) / 30,0)</f>
        <v>-1474</v>
      </c>
      <c r="U248" s="302" t="s">
        <v>1011</v>
      </c>
      <c r="V248" s="318">
        <v>1</v>
      </c>
      <c r="W248" s="390" t="s">
        <v>2076</v>
      </c>
      <c r="X248" s="391">
        <v>61</v>
      </c>
      <c r="Y248" s="392">
        <v>15</v>
      </c>
      <c r="Z248" s="393"/>
      <c r="AA248" s="394"/>
      <c r="AB248" s="395"/>
      <c r="AC248" s="395"/>
      <c r="AD248" s="394"/>
      <c r="AE248" s="395"/>
      <c r="AF248" s="317"/>
      <c r="AG248" s="396" t="s">
        <v>2072</v>
      </c>
      <c r="AH248" s="397"/>
      <c r="AI248" s="317">
        <v>0</v>
      </c>
      <c r="AJ248" s="397">
        <v>44281</v>
      </c>
      <c r="AK248" s="326">
        <v>38231</v>
      </c>
      <c r="AL248" s="326">
        <v>44211</v>
      </c>
      <c r="AM248" s="316"/>
      <c r="AN248" s="305"/>
      <c r="AO248" s="327" t="str">
        <f>_xlfn.IFNA(IF(VLOOKUP(tabItens[[#This Row],[CÓDIGO]],tabExcluirDoEstoque[#Data],1,FALSE),"sim",""),"")</f>
        <v/>
      </c>
      <c r="AP248" s="398" t="str">
        <f ca="1">IF(OR(ISBLANK(tabItens[[#This Row],[ATA DT.VALID.]]),tabItens[[#This Row],[ATA DT.VALID.]]="",tabItens[[#This Row],[ATA DT.VALID.]]=" "),"",IF(TYPE(tabItens[[#This Row],[ATA DT.VALID.]])=1,ROUNDUP((tabItens[[#This Row],[ATA DT.VALID.]]-TODAY())/7,0),""))</f>
        <v/>
      </c>
      <c r="AQ248" s="399">
        <v>0</v>
      </c>
      <c r="AR248" s="400">
        <f>IF(ISBLANK(tabItens[[#This Row],[CÓDIGO]]),"",IFERROR(VLOOKUP(tabItens[[#This Row],[CÓDIGO]],Consumo!$C$2:$AC$862,26,FALSE),0))</f>
        <v>0</v>
      </c>
      <c r="AS248" s="401">
        <f>SUMIF(Consumo!$C$3:$C$862,tabItens[[#This Row],[CÓDIGO]],Consumo!$N$3:$N$862) + SUMIF(Consumo!$C$3:$C$862,tabItens[[#This Row],[CÓDIGO]],Consumo!$O$3:$O$862) + SUMIF(Consumo!$C$3:$C$862,tabItens[[#This Row],[CÓDIGO]],Consumo!$P$3:$P$862) + SUMIF(Consumo!$C$3:$C$862,tabItens[[#This Row],[CÓDIGO]],Consumo!$Q$3:$Q$862)</f>
        <v>0</v>
      </c>
      <c r="AT248" s="401">
        <f>SUMIF(Consumo!$C$3:$C$862,tabItens[[#This Row],[CÓDIGO]],Consumo!$Z$3:$Z$862)</f>
        <v>0</v>
      </c>
      <c r="AU248" s="402">
        <f>SUMIF(Consumo!$C$3:$C$862,tabItens[[#This Row],[CÓDIGO]],Consumo!$AA$3:$AA$862)</f>
        <v>0</v>
      </c>
      <c r="AV248" s="403">
        <f>SUMIF(Consumo!$C$3:$C$862,tabItens[[#This Row],[CÓDIGO]],Consumo!$Y$3:$Y$862)</f>
        <v>0</v>
      </c>
      <c r="AW248" s="380">
        <f>tabItens[[#This Row],[QTDE ATUAL]] + tabItens[[#This Row],[RC QTDE]] + tabItens[[#This Row],[AF SALDO]] + tabItens[[#This Row],[Recentes]]</f>
        <v>47</v>
      </c>
      <c r="AX248" s="404">
        <v>5</v>
      </c>
      <c r="AY248" s="404">
        <v>4</v>
      </c>
      <c r="AZ248" s="404">
        <f>IF(ISBLANK(tabItens[[#This Row],[CÓDIGO]]),"",tabItens[[#This Row],[PontoMês]] * (AZ$2+tabItens[[#This Row],[PontoQtM]]))</f>
        <v>20</v>
      </c>
      <c r="BA248" s="403">
        <f>tabItens[[#This Row],[PontoPed]] - tabItens[[#This Row],[Saldo]] + (1/10)</f>
        <v>-26.9</v>
      </c>
      <c r="BB248" s="403">
        <f xml:space="preserve"> tabItens[[#This Row],[PontoMês]] * BB$2 - tabItens[[#This Row],[QTDE ATUAL]] - (1/10)</f>
        <v>-42.1</v>
      </c>
      <c r="BC248" s="335">
        <f>IF( tabItens[[#This Row],[PontoPed]]&gt;0, IF(tabItens[[#This Row],[PontoPed]]&lt;1, 1, IF( tabItens[[#This Row],[Saldo]]&gt;tabItens[[#This Row],[PontoPed]], 0, (tabItens[[#This Row],[PontoPed]]-tabItens[[#This Row],[Saldo]])/tabItens[[#This Row],[PontoPed]] ) ), 0 )</f>
        <v>0</v>
      </c>
      <c r="BD248" s="405">
        <f>ROUNDDOWN(IF( OR( AND(tabItens[[#This Row],[PontoPed]]&lt;tabItens[[#This Row],[Saldo]],tabItens[[#This Row],[Saldo]]&gt;0), tabItens[[#This Row],[PontoPed]]=0), 99, IF(AND(tabItens[[#This Row],[Saldo]]=0,tabItens[[#This Row],[PontoPed]]&gt;0), 0, (1-tabItens[[#This Row],[PctAb]])*10 ) ),0)</f>
        <v>99</v>
      </c>
      <c r="BE248" s="406">
        <f>MAX(ROUNDDOWN( IF(tabItens[[#This Row],[Abaixo]] &gt; 0,   tabItens[[#This Row],[Abaixo]] + (tabItens[[#This Row],[PontoMês]] * IF( OR( ISBLANK(tabItens[[#This Row],[ATA Nº/ANO]]), tabItens[[#This Row],[ATA Nº/ANO]] = ""),BE$2,BE$1)),0),0),0)</f>
        <v>0</v>
      </c>
      <c r="BF24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8" s="338">
        <f>SUMIF(Consumo!$C$3:$C$862,tabItens[[#This Row],[CÓDIGO]],Consumo!$E$3:$E$862)</f>
        <v>0</v>
      </c>
      <c r="BH248" s="339">
        <f>IF(AND(tabItens[[#This Row],[Pend]] &gt; 0,tabItens[[#This Row],[Consumo]] &lt;&gt; 0), tabItens[[#This Row],[Pend]] / tabItens[[#This Row],[Consumo]], 0 )</f>
        <v>0</v>
      </c>
      <c r="BI248" s="338"/>
      <c r="BJ248" s="407"/>
      <c r="BK248" s="408" t="s">
        <v>2086</v>
      </c>
    </row>
    <row r="249" spans="1:63" x14ac:dyDescent="0.3">
      <c r="A249" s="375">
        <v>81564</v>
      </c>
      <c r="B249" s="376" t="s">
        <v>1482</v>
      </c>
      <c r="C249" s="377" t="s">
        <v>473</v>
      </c>
      <c r="D249" s="378">
        <v>4.38</v>
      </c>
      <c r="E249" s="305"/>
      <c r="F249" s="379"/>
      <c r="G249" s="379" t="s">
        <v>889</v>
      </c>
      <c r="H249" s="380">
        <v>11</v>
      </c>
      <c r="I249" s="307">
        <v>103003</v>
      </c>
      <c r="J249" s="308">
        <v>4.38</v>
      </c>
      <c r="K249" s="381"/>
      <c r="L249" s="382">
        <f>IF(tabItens[[#This Row],[Média]] &gt; 0, tabItens[[#This Row],[QTDE ATUAL]] / tabItens[[#This Row],[Média]],999.9)</f>
        <v>999.9</v>
      </c>
      <c r="M249" s="383">
        <v>0</v>
      </c>
      <c r="N249" s="384">
        <f>tabItens[[#This Row],[VALOR UNIT.]] * tabItens[[#This Row],[LC]]</f>
        <v>0</v>
      </c>
      <c r="O249" s="385" t="s">
        <v>2107</v>
      </c>
      <c r="P249" s="386"/>
      <c r="Q249" s="387"/>
      <c r="R249" s="312"/>
      <c r="S249" s="388"/>
      <c r="T249" s="389">
        <f>ROUNDDOWN(IFERROR(tabItens[[#This Row],[ATA DT.VALID.]] - $D$1,0) / 30,0)</f>
        <v>-1474</v>
      </c>
      <c r="U249" s="302" t="s">
        <v>1011</v>
      </c>
      <c r="V249" s="318">
        <v>1</v>
      </c>
      <c r="W249" s="390" t="s">
        <v>2076</v>
      </c>
      <c r="X249" s="391">
        <v>61</v>
      </c>
      <c r="Y249" s="392">
        <v>15</v>
      </c>
      <c r="Z249" s="393"/>
      <c r="AA249" s="394"/>
      <c r="AB249" s="395"/>
      <c r="AC249" s="395"/>
      <c r="AD249" s="394"/>
      <c r="AE249" s="395"/>
      <c r="AF249" s="317"/>
      <c r="AG249" s="396" t="s">
        <v>2072</v>
      </c>
      <c r="AH249" s="397"/>
      <c r="AI249" s="317">
        <v>0</v>
      </c>
      <c r="AJ249" s="397">
        <v>41579</v>
      </c>
      <c r="AK249" s="326">
        <v>38231</v>
      </c>
      <c r="AL249" s="326">
        <v>41557</v>
      </c>
      <c r="AM249" s="316"/>
      <c r="AN249" s="305"/>
      <c r="AO249" s="327" t="str">
        <f>_xlfn.IFNA(IF(VLOOKUP(tabItens[[#This Row],[CÓDIGO]],tabExcluirDoEstoque[#Data],1,FALSE),"sim",""),"")</f>
        <v/>
      </c>
      <c r="AP249" s="398" t="str">
        <f ca="1">IF(OR(ISBLANK(tabItens[[#This Row],[ATA DT.VALID.]]),tabItens[[#This Row],[ATA DT.VALID.]]="",tabItens[[#This Row],[ATA DT.VALID.]]=" "),"",IF(TYPE(tabItens[[#This Row],[ATA DT.VALID.]])=1,ROUNDUP((tabItens[[#This Row],[ATA DT.VALID.]]-TODAY())/7,0),""))</f>
        <v/>
      </c>
      <c r="AQ249" s="399">
        <v>0</v>
      </c>
      <c r="AR249" s="400">
        <f>IF(ISBLANK(tabItens[[#This Row],[CÓDIGO]]),"",IFERROR(VLOOKUP(tabItens[[#This Row],[CÓDIGO]],Consumo!$C$2:$AC$862,26,FALSE),0))</f>
        <v>0</v>
      </c>
      <c r="AS249" s="401">
        <f>SUMIF(Consumo!$C$3:$C$862,tabItens[[#This Row],[CÓDIGO]],Consumo!$N$3:$N$862) + SUMIF(Consumo!$C$3:$C$862,tabItens[[#This Row],[CÓDIGO]],Consumo!$O$3:$O$862) + SUMIF(Consumo!$C$3:$C$862,tabItens[[#This Row],[CÓDIGO]],Consumo!$P$3:$P$862) + SUMIF(Consumo!$C$3:$C$862,tabItens[[#This Row],[CÓDIGO]],Consumo!$Q$3:$Q$862)</f>
        <v>0</v>
      </c>
      <c r="AT249" s="401">
        <f>SUMIF(Consumo!$C$3:$C$862,tabItens[[#This Row],[CÓDIGO]],Consumo!$Z$3:$Z$862)</f>
        <v>0</v>
      </c>
      <c r="AU249" s="402">
        <f>SUMIF(Consumo!$C$3:$C$862,tabItens[[#This Row],[CÓDIGO]],Consumo!$AA$3:$AA$862)</f>
        <v>0</v>
      </c>
      <c r="AV249" s="403">
        <f>SUMIF(Consumo!$C$3:$C$862,tabItens[[#This Row],[CÓDIGO]],Consumo!$Y$3:$Y$862)</f>
        <v>0</v>
      </c>
      <c r="AW249" s="380">
        <f>tabItens[[#This Row],[QTDE ATUAL]] + tabItens[[#This Row],[RC QTDE]] + tabItens[[#This Row],[AF SALDO]] + tabItens[[#This Row],[Recentes]]</f>
        <v>11</v>
      </c>
      <c r="AX249" s="404">
        <v>2</v>
      </c>
      <c r="AY249" s="404">
        <v>4</v>
      </c>
      <c r="AZ249" s="404">
        <f>IF(ISBLANK(tabItens[[#This Row],[CÓDIGO]]),"",tabItens[[#This Row],[PontoMês]] * (AZ$2+tabItens[[#This Row],[PontoQtM]]))</f>
        <v>8</v>
      </c>
      <c r="BA249" s="403">
        <f>tabItens[[#This Row],[PontoPed]] - tabItens[[#This Row],[Saldo]] + (1/10)</f>
        <v>-2.9</v>
      </c>
      <c r="BB249" s="403">
        <f xml:space="preserve"> tabItens[[#This Row],[PontoMês]] * BB$2 - tabItens[[#This Row],[QTDE ATUAL]] - (1/10)</f>
        <v>-9.1</v>
      </c>
      <c r="BC249" s="335">
        <f>IF( tabItens[[#This Row],[PontoPed]]&gt;0, IF(tabItens[[#This Row],[PontoPed]]&lt;1, 1, IF( tabItens[[#This Row],[Saldo]]&gt;tabItens[[#This Row],[PontoPed]], 0, (tabItens[[#This Row],[PontoPed]]-tabItens[[#This Row],[Saldo]])/tabItens[[#This Row],[PontoPed]] ) ), 0 )</f>
        <v>0</v>
      </c>
      <c r="BD249" s="405">
        <f>ROUNDDOWN(IF( OR( AND(tabItens[[#This Row],[PontoPed]]&lt;tabItens[[#This Row],[Saldo]],tabItens[[#This Row],[Saldo]]&gt;0), tabItens[[#This Row],[PontoPed]]=0), 99, IF(AND(tabItens[[#This Row],[Saldo]]=0,tabItens[[#This Row],[PontoPed]]&gt;0), 0, (1-tabItens[[#This Row],[PctAb]])*10 ) ),0)</f>
        <v>99</v>
      </c>
      <c r="BE249" s="406">
        <f>MAX(ROUNDDOWN( IF(tabItens[[#This Row],[Abaixo]] &gt; 0,   tabItens[[#This Row],[Abaixo]] + (tabItens[[#This Row],[PontoMês]] * IF( OR( ISBLANK(tabItens[[#This Row],[ATA Nº/ANO]]), tabItens[[#This Row],[ATA Nº/ANO]] = ""),BE$2,BE$1)),0),0),0)</f>
        <v>0</v>
      </c>
      <c r="BF24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9" s="338">
        <f>SUMIF(Consumo!$C$3:$C$862,tabItens[[#This Row],[CÓDIGO]],Consumo!$E$3:$E$862)</f>
        <v>0</v>
      </c>
      <c r="BH249" s="339">
        <f>IF(AND(tabItens[[#This Row],[Pend]] &gt; 0,tabItens[[#This Row],[Consumo]] &lt;&gt; 0), tabItens[[#This Row],[Pend]] / tabItens[[#This Row],[Consumo]], 0 )</f>
        <v>0</v>
      </c>
      <c r="BI249" s="338"/>
      <c r="BJ249" s="407"/>
      <c r="BK249" s="408" t="s">
        <v>2086</v>
      </c>
    </row>
    <row r="250" spans="1:63" x14ac:dyDescent="0.3">
      <c r="A250" s="375">
        <v>81565</v>
      </c>
      <c r="B250" s="376" t="s">
        <v>1483</v>
      </c>
      <c r="C250" s="377" t="s">
        <v>473</v>
      </c>
      <c r="D250" s="378">
        <v>19.690000000000001</v>
      </c>
      <c r="E250" s="305"/>
      <c r="F250" s="379"/>
      <c r="G250" s="379" t="s">
        <v>889</v>
      </c>
      <c r="H250" s="380">
        <v>19</v>
      </c>
      <c r="I250" s="307">
        <v>103003</v>
      </c>
      <c r="J250" s="308">
        <v>19.690000000000001</v>
      </c>
      <c r="K250" s="381"/>
      <c r="L250" s="382">
        <f>IF(tabItens[[#This Row],[Média]] &gt; 0, tabItens[[#This Row],[QTDE ATUAL]] / tabItens[[#This Row],[Média]],999.9)</f>
        <v>999.9</v>
      </c>
      <c r="M250" s="383">
        <v>0</v>
      </c>
      <c r="N250" s="384">
        <f>tabItens[[#This Row],[VALOR UNIT.]] * tabItens[[#This Row],[LC]]</f>
        <v>0</v>
      </c>
      <c r="O250" s="385" t="s">
        <v>2107</v>
      </c>
      <c r="P250" s="386"/>
      <c r="Q250" s="387"/>
      <c r="R250" s="312"/>
      <c r="S250" s="388"/>
      <c r="T250" s="389">
        <f>ROUNDDOWN(IFERROR(tabItens[[#This Row],[ATA DT.VALID.]] - $D$1,0) / 30,0)</f>
        <v>-1474</v>
      </c>
      <c r="U250" s="302" t="s">
        <v>1011</v>
      </c>
      <c r="V250" s="318">
        <v>1</v>
      </c>
      <c r="W250" s="390" t="s">
        <v>2076</v>
      </c>
      <c r="X250" s="391">
        <v>61</v>
      </c>
      <c r="Y250" s="392">
        <v>15</v>
      </c>
      <c r="Z250" s="393"/>
      <c r="AA250" s="394"/>
      <c r="AB250" s="395"/>
      <c r="AC250" s="395"/>
      <c r="AD250" s="394"/>
      <c r="AE250" s="395"/>
      <c r="AF250" s="317"/>
      <c r="AG250" s="396" t="s">
        <v>2072</v>
      </c>
      <c r="AH250" s="397"/>
      <c r="AI250" s="317">
        <v>0</v>
      </c>
      <c r="AJ250" s="397">
        <v>43810</v>
      </c>
      <c r="AK250" s="326">
        <v>38231</v>
      </c>
      <c r="AL250" s="326">
        <v>43788</v>
      </c>
      <c r="AM250" s="316"/>
      <c r="AN250" s="305"/>
      <c r="AO250" s="327" t="str">
        <f>_xlfn.IFNA(IF(VLOOKUP(tabItens[[#This Row],[CÓDIGO]],tabExcluirDoEstoque[#Data],1,FALSE),"sim",""),"")</f>
        <v/>
      </c>
      <c r="AP250" s="398" t="str">
        <f ca="1">IF(OR(ISBLANK(tabItens[[#This Row],[ATA DT.VALID.]]),tabItens[[#This Row],[ATA DT.VALID.]]="",tabItens[[#This Row],[ATA DT.VALID.]]=" "),"",IF(TYPE(tabItens[[#This Row],[ATA DT.VALID.]])=1,ROUNDUP((tabItens[[#This Row],[ATA DT.VALID.]]-TODAY())/7,0),""))</f>
        <v/>
      </c>
      <c r="AQ250" s="399">
        <v>0</v>
      </c>
      <c r="AR250" s="400">
        <f>IF(ISBLANK(tabItens[[#This Row],[CÓDIGO]]),"",IFERROR(VLOOKUP(tabItens[[#This Row],[CÓDIGO]],Consumo!$C$2:$AC$862,26,FALSE),0))</f>
        <v>0</v>
      </c>
      <c r="AS250" s="401">
        <f>SUMIF(Consumo!$C$3:$C$862,tabItens[[#This Row],[CÓDIGO]],Consumo!$N$3:$N$862) + SUMIF(Consumo!$C$3:$C$862,tabItens[[#This Row],[CÓDIGO]],Consumo!$O$3:$O$862) + SUMIF(Consumo!$C$3:$C$862,tabItens[[#This Row],[CÓDIGO]],Consumo!$P$3:$P$862) + SUMIF(Consumo!$C$3:$C$862,tabItens[[#This Row],[CÓDIGO]],Consumo!$Q$3:$Q$862)</f>
        <v>0</v>
      </c>
      <c r="AT250" s="401">
        <f>SUMIF(Consumo!$C$3:$C$862,tabItens[[#This Row],[CÓDIGO]],Consumo!$Z$3:$Z$862)</f>
        <v>0</v>
      </c>
      <c r="AU250" s="402">
        <f>SUMIF(Consumo!$C$3:$C$862,tabItens[[#This Row],[CÓDIGO]],Consumo!$AA$3:$AA$862)</f>
        <v>0</v>
      </c>
      <c r="AV250" s="403">
        <f>SUMIF(Consumo!$C$3:$C$862,tabItens[[#This Row],[CÓDIGO]],Consumo!$Y$3:$Y$862)</f>
        <v>0</v>
      </c>
      <c r="AW250" s="380">
        <f>tabItens[[#This Row],[QTDE ATUAL]] + tabItens[[#This Row],[RC QTDE]] + tabItens[[#This Row],[AF SALDO]] + tabItens[[#This Row],[Recentes]]</f>
        <v>19</v>
      </c>
      <c r="AX250" s="404">
        <v>2</v>
      </c>
      <c r="AY250" s="404">
        <v>4</v>
      </c>
      <c r="AZ250" s="404">
        <f>IF(ISBLANK(tabItens[[#This Row],[CÓDIGO]]),"",tabItens[[#This Row],[PontoMês]] * (AZ$2+tabItens[[#This Row],[PontoQtM]]))</f>
        <v>8</v>
      </c>
      <c r="BA250" s="403">
        <f>tabItens[[#This Row],[PontoPed]] - tabItens[[#This Row],[Saldo]] + (1/10)</f>
        <v>-10.9</v>
      </c>
      <c r="BB250" s="403">
        <f xml:space="preserve"> tabItens[[#This Row],[PontoMês]] * BB$2 - tabItens[[#This Row],[QTDE ATUAL]] - (1/10)</f>
        <v>-17.100000000000001</v>
      </c>
      <c r="BC250" s="335">
        <f>IF( tabItens[[#This Row],[PontoPed]]&gt;0, IF(tabItens[[#This Row],[PontoPed]]&lt;1, 1, IF( tabItens[[#This Row],[Saldo]]&gt;tabItens[[#This Row],[PontoPed]], 0, (tabItens[[#This Row],[PontoPed]]-tabItens[[#This Row],[Saldo]])/tabItens[[#This Row],[PontoPed]] ) ), 0 )</f>
        <v>0</v>
      </c>
      <c r="BD250" s="405">
        <f>ROUNDDOWN(IF( OR( AND(tabItens[[#This Row],[PontoPed]]&lt;tabItens[[#This Row],[Saldo]],tabItens[[#This Row],[Saldo]]&gt;0), tabItens[[#This Row],[PontoPed]]=0), 99, IF(AND(tabItens[[#This Row],[Saldo]]=0,tabItens[[#This Row],[PontoPed]]&gt;0), 0, (1-tabItens[[#This Row],[PctAb]])*10 ) ),0)</f>
        <v>99</v>
      </c>
      <c r="BE250" s="406">
        <f>MAX(ROUNDDOWN( IF(tabItens[[#This Row],[Abaixo]] &gt; 0,   tabItens[[#This Row],[Abaixo]] + (tabItens[[#This Row],[PontoMês]] * IF( OR( ISBLANK(tabItens[[#This Row],[ATA Nº/ANO]]), tabItens[[#This Row],[ATA Nº/ANO]] = ""),BE$2,BE$1)),0),0),0)</f>
        <v>0</v>
      </c>
      <c r="BF25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0" s="338">
        <f>SUMIF(Consumo!$C$3:$C$862,tabItens[[#This Row],[CÓDIGO]],Consumo!$E$3:$E$862)</f>
        <v>0</v>
      </c>
      <c r="BH250" s="339">
        <f>IF(AND(tabItens[[#This Row],[Pend]] &gt; 0,tabItens[[#This Row],[Consumo]] &lt;&gt; 0), tabItens[[#This Row],[Pend]] / tabItens[[#This Row],[Consumo]], 0 )</f>
        <v>0</v>
      </c>
      <c r="BI250" s="338"/>
      <c r="BJ250" s="407"/>
      <c r="BK250" s="408" t="s">
        <v>2086</v>
      </c>
    </row>
    <row r="251" spans="1:63" x14ac:dyDescent="0.3">
      <c r="A251" s="375">
        <v>52946</v>
      </c>
      <c r="B251" s="376" t="s">
        <v>1305</v>
      </c>
      <c r="C251" s="377" t="s">
        <v>263</v>
      </c>
      <c r="D251" s="378">
        <v>212</v>
      </c>
      <c r="E251" s="305"/>
      <c r="F251" s="379"/>
      <c r="G251" s="379" t="s">
        <v>889</v>
      </c>
      <c r="H251" s="380">
        <v>34</v>
      </c>
      <c r="I251" s="307">
        <v>103003</v>
      </c>
      <c r="J251" s="308">
        <v>212</v>
      </c>
      <c r="K251" s="381"/>
      <c r="L251" s="382">
        <f>IF(tabItens[[#This Row],[Média]] &gt; 0, tabItens[[#This Row],[QTDE ATUAL]] / tabItens[[#This Row],[Média]],999.9)</f>
        <v>999.9</v>
      </c>
      <c r="M251" s="383">
        <v>0</v>
      </c>
      <c r="N251" s="384">
        <f>tabItens[[#This Row],[VALOR UNIT.]] * tabItens[[#This Row],[LC]]</f>
        <v>0</v>
      </c>
      <c r="O251" s="385" t="s">
        <v>2145</v>
      </c>
      <c r="P251" s="386"/>
      <c r="Q251" s="387"/>
      <c r="R251" s="312"/>
      <c r="S251" s="388"/>
      <c r="T251" s="389">
        <f>ROUNDDOWN(IFERROR(tabItens[[#This Row],[ATA DT.VALID.]] - $D$1,0) / 30,0)</f>
        <v>-1474</v>
      </c>
      <c r="U251" s="302" t="s">
        <v>1212</v>
      </c>
      <c r="V251" s="318">
        <v>1</v>
      </c>
      <c r="W251" s="390" t="s">
        <v>2071</v>
      </c>
      <c r="X251" s="391">
        <v>51</v>
      </c>
      <c r="Y251" s="392">
        <v>26</v>
      </c>
      <c r="Z251" s="393"/>
      <c r="AA251" s="394"/>
      <c r="AB251" s="395"/>
      <c r="AC251" s="395"/>
      <c r="AD251" s="394"/>
      <c r="AE251" s="395"/>
      <c r="AF251" s="317"/>
      <c r="AG251" s="396" t="s">
        <v>2072</v>
      </c>
      <c r="AH251" s="397"/>
      <c r="AI251" s="317">
        <v>0</v>
      </c>
      <c r="AJ251" s="397">
        <v>43644</v>
      </c>
      <c r="AK251" s="326" t="s">
        <v>889</v>
      </c>
      <c r="AL251" s="326">
        <v>44111</v>
      </c>
      <c r="AM251" s="316"/>
      <c r="AN251" s="305"/>
      <c r="AO251" s="327" t="str">
        <f>_xlfn.IFNA(IF(VLOOKUP(tabItens[[#This Row],[CÓDIGO]],tabExcluirDoEstoque[#Data],1,FALSE),"sim",""),"")</f>
        <v/>
      </c>
      <c r="AP251" s="398" t="str">
        <f ca="1">IF(OR(ISBLANK(tabItens[[#This Row],[ATA DT.VALID.]]),tabItens[[#This Row],[ATA DT.VALID.]]="",tabItens[[#This Row],[ATA DT.VALID.]]=" "),"",IF(TYPE(tabItens[[#This Row],[ATA DT.VALID.]])=1,ROUNDUP((tabItens[[#This Row],[ATA DT.VALID.]]-TODAY())/7,0),""))</f>
        <v/>
      </c>
      <c r="AQ251" s="399">
        <v>0</v>
      </c>
      <c r="AR251" s="400">
        <f>IF(ISBLANK(tabItens[[#This Row],[CÓDIGO]]),"",IFERROR(VLOOKUP(tabItens[[#This Row],[CÓDIGO]],Consumo!$C$2:$AC$862,26,FALSE),0))</f>
        <v>0</v>
      </c>
      <c r="AS251" s="401">
        <f>SUMIF(Consumo!$C$3:$C$862,tabItens[[#This Row],[CÓDIGO]],Consumo!$N$3:$N$862) + SUMIF(Consumo!$C$3:$C$862,tabItens[[#This Row],[CÓDIGO]],Consumo!$O$3:$O$862) + SUMIF(Consumo!$C$3:$C$862,tabItens[[#This Row],[CÓDIGO]],Consumo!$P$3:$P$862) + SUMIF(Consumo!$C$3:$C$862,tabItens[[#This Row],[CÓDIGO]],Consumo!$Q$3:$Q$862)</f>
        <v>0</v>
      </c>
      <c r="AT251" s="401">
        <f>SUMIF(Consumo!$C$3:$C$862,tabItens[[#This Row],[CÓDIGO]],Consumo!$Z$3:$Z$862)</f>
        <v>0</v>
      </c>
      <c r="AU251" s="402">
        <f>SUMIF(Consumo!$C$3:$C$862,tabItens[[#This Row],[CÓDIGO]],Consumo!$AA$3:$AA$862)</f>
        <v>0</v>
      </c>
      <c r="AV251" s="403">
        <f>SUMIF(Consumo!$C$3:$C$862,tabItens[[#This Row],[CÓDIGO]],Consumo!$Y$3:$Y$862)</f>
        <v>0</v>
      </c>
      <c r="AW251" s="380">
        <f>tabItens[[#This Row],[QTDE ATUAL]] + tabItens[[#This Row],[RC QTDE]] + tabItens[[#This Row],[AF SALDO]] + tabItens[[#This Row],[Recentes]]</f>
        <v>34</v>
      </c>
      <c r="AX251" s="404">
        <v>6</v>
      </c>
      <c r="AY251" s="404">
        <v>4</v>
      </c>
      <c r="AZ251" s="404">
        <f>IF(ISBLANK(tabItens[[#This Row],[CÓDIGO]]),"",tabItens[[#This Row],[PontoMês]] * (AZ$2+tabItens[[#This Row],[PontoQtM]]))</f>
        <v>24</v>
      </c>
      <c r="BA251" s="403">
        <f>tabItens[[#This Row],[PontoPed]] - tabItens[[#This Row],[Saldo]] + (1/10)</f>
        <v>-9.9</v>
      </c>
      <c r="BB251" s="403">
        <f xml:space="preserve"> tabItens[[#This Row],[PontoMês]] * BB$2 - tabItens[[#This Row],[QTDE ATUAL]] - (1/10)</f>
        <v>-28.1</v>
      </c>
      <c r="BC251" s="335">
        <f>IF( tabItens[[#This Row],[PontoPed]]&gt;0, IF(tabItens[[#This Row],[PontoPed]]&lt;1, 1, IF( tabItens[[#This Row],[Saldo]]&gt;tabItens[[#This Row],[PontoPed]], 0, (tabItens[[#This Row],[PontoPed]]-tabItens[[#This Row],[Saldo]])/tabItens[[#This Row],[PontoPed]] ) ), 0 )</f>
        <v>0</v>
      </c>
      <c r="BD251" s="405">
        <f>ROUNDDOWN(IF( OR( AND(tabItens[[#This Row],[PontoPed]]&lt;tabItens[[#This Row],[Saldo]],tabItens[[#This Row],[Saldo]]&gt;0), tabItens[[#This Row],[PontoPed]]=0), 99, IF(AND(tabItens[[#This Row],[Saldo]]=0,tabItens[[#This Row],[PontoPed]]&gt;0), 0, (1-tabItens[[#This Row],[PctAb]])*10 ) ),0)</f>
        <v>99</v>
      </c>
      <c r="BE251" s="406">
        <f>MAX(ROUNDDOWN( IF(tabItens[[#This Row],[Abaixo]] &gt; 0,   tabItens[[#This Row],[Abaixo]] + (tabItens[[#This Row],[PontoMês]] * IF( OR( ISBLANK(tabItens[[#This Row],[ATA Nº/ANO]]), tabItens[[#This Row],[ATA Nº/ANO]] = ""),BE$2,BE$1)),0),0),0)</f>
        <v>0</v>
      </c>
      <c r="BF25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1" s="338">
        <f>SUMIF(Consumo!$C$3:$C$862,tabItens[[#This Row],[CÓDIGO]],Consumo!$E$3:$E$862)</f>
        <v>0</v>
      </c>
      <c r="BH251" s="339">
        <f>IF(AND(tabItens[[#This Row],[Pend]] &gt; 0,tabItens[[#This Row],[Consumo]] &lt;&gt; 0), tabItens[[#This Row],[Pend]] / tabItens[[#This Row],[Consumo]], 0 )</f>
        <v>0</v>
      </c>
      <c r="BI251" s="338"/>
      <c r="BJ251" s="407"/>
      <c r="BK251" s="408" t="s">
        <v>2086</v>
      </c>
    </row>
    <row r="252" spans="1:63" x14ac:dyDescent="0.3">
      <c r="A252" s="375">
        <v>123131</v>
      </c>
      <c r="B252" s="376" t="s">
        <v>1754</v>
      </c>
      <c r="C252" s="377" t="s">
        <v>345</v>
      </c>
      <c r="D252" s="378">
        <v>30</v>
      </c>
      <c r="E252" s="305"/>
      <c r="F252" s="379"/>
      <c r="G252" s="379" t="s">
        <v>889</v>
      </c>
      <c r="H252" s="380">
        <v>332</v>
      </c>
      <c r="I252" s="307">
        <v>103003</v>
      </c>
      <c r="J252" s="308">
        <v>30</v>
      </c>
      <c r="K252" s="381"/>
      <c r="L252" s="382">
        <f>IF(tabItens[[#This Row],[Média]] &gt; 0, tabItens[[#This Row],[QTDE ATUAL]] / tabItens[[#This Row],[Média]],999.9)</f>
        <v>999.9</v>
      </c>
      <c r="M252" s="383">
        <v>0</v>
      </c>
      <c r="N252" s="384">
        <f>tabItens[[#This Row],[VALOR UNIT.]] * tabItens[[#This Row],[LC]]</f>
        <v>0</v>
      </c>
      <c r="O252" s="385" t="s">
        <v>2145</v>
      </c>
      <c r="P252" s="386"/>
      <c r="Q252" s="387"/>
      <c r="R252" s="312"/>
      <c r="S252" s="388"/>
      <c r="T252" s="389">
        <f>ROUNDDOWN(IFERROR(tabItens[[#This Row],[ATA DT.VALID.]] - $D$1,0) / 30,0)</f>
        <v>-1474</v>
      </c>
      <c r="U252" s="302" t="s">
        <v>1337</v>
      </c>
      <c r="V252" s="318">
        <v>1</v>
      </c>
      <c r="W252" s="390" t="s">
        <v>2078</v>
      </c>
      <c r="X252" s="391">
        <v>69</v>
      </c>
      <c r="Y252" s="392">
        <v>2</v>
      </c>
      <c r="Z252" s="393"/>
      <c r="AA252" s="394"/>
      <c r="AB252" s="395"/>
      <c r="AC252" s="395"/>
      <c r="AD252" s="394"/>
      <c r="AE252" s="395"/>
      <c r="AF252" s="317"/>
      <c r="AG252" s="396" t="s">
        <v>2072</v>
      </c>
      <c r="AH252" s="397"/>
      <c r="AI252" s="317">
        <v>0</v>
      </c>
      <c r="AJ252" s="397">
        <v>43622</v>
      </c>
      <c r="AK252" s="326">
        <v>41053</v>
      </c>
      <c r="AL252" s="326">
        <v>43614</v>
      </c>
      <c r="AM252" s="316"/>
      <c r="AN252" s="305"/>
      <c r="AO252" s="327" t="str">
        <f>_xlfn.IFNA(IF(VLOOKUP(tabItens[[#This Row],[CÓDIGO]],tabExcluirDoEstoque[#Data],1,FALSE),"sim",""),"")</f>
        <v/>
      </c>
      <c r="AP252" s="398" t="str">
        <f ca="1">IF(OR(ISBLANK(tabItens[[#This Row],[ATA DT.VALID.]]),tabItens[[#This Row],[ATA DT.VALID.]]="",tabItens[[#This Row],[ATA DT.VALID.]]=" "),"",IF(TYPE(tabItens[[#This Row],[ATA DT.VALID.]])=1,ROUNDUP((tabItens[[#This Row],[ATA DT.VALID.]]-TODAY())/7,0),""))</f>
        <v/>
      </c>
      <c r="AQ252" s="399">
        <v>0</v>
      </c>
      <c r="AR252" s="400">
        <f>IF(ISBLANK(tabItens[[#This Row],[CÓDIGO]]),"",IFERROR(VLOOKUP(tabItens[[#This Row],[CÓDIGO]],Consumo!$C$2:$AC$862,26,FALSE),0))</f>
        <v>0</v>
      </c>
      <c r="AS252" s="401">
        <f>SUMIF(Consumo!$C$3:$C$862,tabItens[[#This Row],[CÓDIGO]],Consumo!$N$3:$N$862) + SUMIF(Consumo!$C$3:$C$862,tabItens[[#This Row],[CÓDIGO]],Consumo!$O$3:$O$862) + SUMIF(Consumo!$C$3:$C$862,tabItens[[#This Row],[CÓDIGO]],Consumo!$P$3:$P$862) + SUMIF(Consumo!$C$3:$C$862,tabItens[[#This Row],[CÓDIGO]],Consumo!$Q$3:$Q$862)</f>
        <v>0</v>
      </c>
      <c r="AT252" s="401">
        <f>SUMIF(Consumo!$C$3:$C$862,tabItens[[#This Row],[CÓDIGO]],Consumo!$Z$3:$Z$862)</f>
        <v>0</v>
      </c>
      <c r="AU252" s="402">
        <f>SUMIF(Consumo!$C$3:$C$862,tabItens[[#This Row],[CÓDIGO]],Consumo!$AA$3:$AA$862)</f>
        <v>0</v>
      </c>
      <c r="AV252" s="403">
        <f>SUMIF(Consumo!$C$3:$C$862,tabItens[[#This Row],[CÓDIGO]],Consumo!$Y$3:$Y$862)</f>
        <v>0</v>
      </c>
      <c r="AW252" s="380">
        <f>tabItens[[#This Row],[QTDE ATUAL]] + tabItens[[#This Row],[RC QTDE]] + tabItens[[#This Row],[AF SALDO]] + tabItens[[#This Row],[Recentes]]</f>
        <v>332</v>
      </c>
      <c r="AX252" s="404">
        <v>67</v>
      </c>
      <c r="AY252" s="404">
        <v>4</v>
      </c>
      <c r="AZ252" s="404">
        <f>IF(ISBLANK(tabItens[[#This Row],[CÓDIGO]]),"",tabItens[[#This Row],[PontoMês]] * (AZ$2+tabItens[[#This Row],[PontoQtM]]))</f>
        <v>268</v>
      </c>
      <c r="BA252" s="403">
        <f>tabItens[[#This Row],[PontoPed]] - tabItens[[#This Row],[Saldo]] + (1/10)</f>
        <v>-63.9</v>
      </c>
      <c r="BB252" s="403">
        <f xml:space="preserve"> tabItens[[#This Row],[PontoMês]] * BB$2 - tabItens[[#This Row],[QTDE ATUAL]] - (1/10)</f>
        <v>-265.10000000000002</v>
      </c>
      <c r="BC252" s="335">
        <f>IF( tabItens[[#This Row],[PontoPed]]&gt;0, IF(tabItens[[#This Row],[PontoPed]]&lt;1, 1, IF( tabItens[[#This Row],[Saldo]]&gt;tabItens[[#This Row],[PontoPed]], 0, (tabItens[[#This Row],[PontoPed]]-tabItens[[#This Row],[Saldo]])/tabItens[[#This Row],[PontoPed]] ) ), 0 )</f>
        <v>0</v>
      </c>
      <c r="BD252" s="405">
        <f>ROUNDDOWN(IF( OR( AND(tabItens[[#This Row],[PontoPed]]&lt;tabItens[[#This Row],[Saldo]],tabItens[[#This Row],[Saldo]]&gt;0), tabItens[[#This Row],[PontoPed]]=0), 99, IF(AND(tabItens[[#This Row],[Saldo]]=0,tabItens[[#This Row],[PontoPed]]&gt;0), 0, (1-tabItens[[#This Row],[PctAb]])*10 ) ),0)</f>
        <v>99</v>
      </c>
      <c r="BE252" s="406">
        <f>MAX(ROUNDDOWN( IF(tabItens[[#This Row],[Abaixo]] &gt; 0,   tabItens[[#This Row],[Abaixo]] + (tabItens[[#This Row],[PontoMês]] * IF( OR( ISBLANK(tabItens[[#This Row],[ATA Nº/ANO]]), tabItens[[#This Row],[ATA Nº/ANO]] = ""),BE$2,BE$1)),0),0),0)</f>
        <v>0</v>
      </c>
      <c r="BF25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2" s="338">
        <f>SUMIF(Consumo!$C$3:$C$862,tabItens[[#This Row],[CÓDIGO]],Consumo!$E$3:$E$862)</f>
        <v>0</v>
      </c>
      <c r="BH252" s="339">
        <f>IF(AND(tabItens[[#This Row],[Pend]] &gt; 0,tabItens[[#This Row],[Consumo]] &lt;&gt; 0), tabItens[[#This Row],[Pend]] / tabItens[[#This Row],[Consumo]], 0 )</f>
        <v>0</v>
      </c>
      <c r="BI252" s="338"/>
      <c r="BJ252" s="407"/>
      <c r="BK252" s="408" t="s">
        <v>2086</v>
      </c>
    </row>
    <row r="253" spans="1:63" x14ac:dyDescent="0.3">
      <c r="A253" s="375">
        <v>123132</v>
      </c>
      <c r="B253" s="376" t="s">
        <v>1755</v>
      </c>
      <c r="C253" s="377" t="s">
        <v>345</v>
      </c>
      <c r="D253" s="378">
        <v>53.47</v>
      </c>
      <c r="E253" s="305"/>
      <c r="F253" s="379"/>
      <c r="G253" s="379" t="s">
        <v>889</v>
      </c>
      <c r="H253" s="380">
        <v>527</v>
      </c>
      <c r="I253" s="307">
        <v>103003</v>
      </c>
      <c r="J253" s="308">
        <v>53.47</v>
      </c>
      <c r="K253" s="381"/>
      <c r="L253" s="382">
        <f>IF(tabItens[[#This Row],[Média]] &gt; 0, tabItens[[#This Row],[QTDE ATUAL]] / tabItens[[#This Row],[Média]],999.9)</f>
        <v>999.9</v>
      </c>
      <c r="M253" s="383">
        <v>0</v>
      </c>
      <c r="N253" s="384">
        <f>tabItens[[#This Row],[VALOR UNIT.]] * tabItens[[#This Row],[LC]]</f>
        <v>0</v>
      </c>
      <c r="O253" s="385" t="s">
        <v>2145</v>
      </c>
      <c r="P253" s="386"/>
      <c r="Q253" s="387"/>
      <c r="R253" s="312"/>
      <c r="S253" s="388"/>
      <c r="T253" s="389">
        <f>ROUNDDOWN(IFERROR(tabItens[[#This Row],[ATA DT.VALID.]] - $D$1,0) / 30,0)</f>
        <v>-1474</v>
      </c>
      <c r="U253" s="302" t="s">
        <v>1337</v>
      </c>
      <c r="V253" s="318">
        <v>1</v>
      </c>
      <c r="W253" s="390" t="s">
        <v>2078</v>
      </c>
      <c r="X253" s="391">
        <v>69</v>
      </c>
      <c r="Y253" s="392">
        <v>2</v>
      </c>
      <c r="Z253" s="393"/>
      <c r="AA253" s="394"/>
      <c r="AB253" s="395"/>
      <c r="AC253" s="395"/>
      <c r="AD253" s="394"/>
      <c r="AE253" s="395"/>
      <c r="AF253" s="317"/>
      <c r="AG253" s="396" t="s">
        <v>2072</v>
      </c>
      <c r="AH253" s="397"/>
      <c r="AI253" s="317">
        <v>0</v>
      </c>
      <c r="AJ253" s="397">
        <v>43690</v>
      </c>
      <c r="AK253" s="326">
        <v>41053</v>
      </c>
      <c r="AL253" s="326">
        <v>43671</v>
      </c>
      <c r="AM253" s="316"/>
      <c r="AN253" s="305"/>
      <c r="AO253" s="327" t="str">
        <f>_xlfn.IFNA(IF(VLOOKUP(tabItens[[#This Row],[CÓDIGO]],tabExcluirDoEstoque[#Data],1,FALSE),"sim",""),"")</f>
        <v/>
      </c>
      <c r="AP253" s="398" t="str">
        <f ca="1">IF(OR(ISBLANK(tabItens[[#This Row],[ATA DT.VALID.]]),tabItens[[#This Row],[ATA DT.VALID.]]="",tabItens[[#This Row],[ATA DT.VALID.]]=" "),"",IF(TYPE(tabItens[[#This Row],[ATA DT.VALID.]])=1,ROUNDUP((tabItens[[#This Row],[ATA DT.VALID.]]-TODAY())/7,0),""))</f>
        <v/>
      </c>
      <c r="AQ253" s="399">
        <v>0</v>
      </c>
      <c r="AR253" s="400">
        <f>IF(ISBLANK(tabItens[[#This Row],[CÓDIGO]]),"",IFERROR(VLOOKUP(tabItens[[#This Row],[CÓDIGO]],Consumo!$C$2:$AC$862,26,FALSE),0))</f>
        <v>0</v>
      </c>
      <c r="AS253" s="401">
        <f>SUMIF(Consumo!$C$3:$C$862,tabItens[[#This Row],[CÓDIGO]],Consumo!$N$3:$N$862) + SUMIF(Consumo!$C$3:$C$862,tabItens[[#This Row],[CÓDIGO]],Consumo!$O$3:$O$862) + SUMIF(Consumo!$C$3:$C$862,tabItens[[#This Row],[CÓDIGO]],Consumo!$P$3:$P$862) + SUMIF(Consumo!$C$3:$C$862,tabItens[[#This Row],[CÓDIGO]],Consumo!$Q$3:$Q$862)</f>
        <v>0</v>
      </c>
      <c r="AT253" s="401">
        <f>SUMIF(Consumo!$C$3:$C$862,tabItens[[#This Row],[CÓDIGO]],Consumo!$Z$3:$Z$862)</f>
        <v>0</v>
      </c>
      <c r="AU253" s="402">
        <f>SUMIF(Consumo!$C$3:$C$862,tabItens[[#This Row],[CÓDIGO]],Consumo!$AA$3:$AA$862)</f>
        <v>0</v>
      </c>
      <c r="AV253" s="403">
        <f>SUMIF(Consumo!$C$3:$C$862,tabItens[[#This Row],[CÓDIGO]],Consumo!$Y$3:$Y$862)</f>
        <v>0</v>
      </c>
      <c r="AW253" s="380">
        <f>tabItens[[#This Row],[QTDE ATUAL]] + tabItens[[#This Row],[RC QTDE]] + tabItens[[#This Row],[AF SALDO]] + tabItens[[#This Row],[Recentes]]</f>
        <v>527</v>
      </c>
      <c r="AX253" s="404">
        <v>50</v>
      </c>
      <c r="AY253" s="404">
        <v>4</v>
      </c>
      <c r="AZ253" s="404">
        <f>IF(ISBLANK(tabItens[[#This Row],[CÓDIGO]]),"",tabItens[[#This Row],[PontoMês]] * (AZ$2+tabItens[[#This Row],[PontoQtM]]))</f>
        <v>200</v>
      </c>
      <c r="BA253" s="403">
        <f>tabItens[[#This Row],[PontoPed]] - tabItens[[#This Row],[Saldo]] + (1/10)</f>
        <v>-326.89999999999998</v>
      </c>
      <c r="BB253" s="403">
        <f xml:space="preserve"> tabItens[[#This Row],[PontoMês]] * BB$2 - tabItens[[#This Row],[QTDE ATUAL]] - (1/10)</f>
        <v>-477.1</v>
      </c>
      <c r="BC253" s="335">
        <f>IF( tabItens[[#This Row],[PontoPed]]&gt;0, IF(tabItens[[#This Row],[PontoPed]]&lt;1, 1, IF( tabItens[[#This Row],[Saldo]]&gt;tabItens[[#This Row],[PontoPed]], 0, (tabItens[[#This Row],[PontoPed]]-tabItens[[#This Row],[Saldo]])/tabItens[[#This Row],[PontoPed]] ) ), 0 )</f>
        <v>0</v>
      </c>
      <c r="BD253" s="405">
        <f>ROUNDDOWN(IF( OR( AND(tabItens[[#This Row],[PontoPed]]&lt;tabItens[[#This Row],[Saldo]],tabItens[[#This Row],[Saldo]]&gt;0), tabItens[[#This Row],[PontoPed]]=0), 99, IF(AND(tabItens[[#This Row],[Saldo]]=0,tabItens[[#This Row],[PontoPed]]&gt;0), 0, (1-tabItens[[#This Row],[PctAb]])*10 ) ),0)</f>
        <v>99</v>
      </c>
      <c r="BE253" s="406">
        <f>MAX(ROUNDDOWN( IF(tabItens[[#This Row],[Abaixo]] &gt; 0,   tabItens[[#This Row],[Abaixo]] + (tabItens[[#This Row],[PontoMês]] * IF( OR( ISBLANK(tabItens[[#This Row],[ATA Nº/ANO]]), tabItens[[#This Row],[ATA Nº/ANO]] = ""),BE$2,BE$1)),0),0),0)</f>
        <v>0</v>
      </c>
      <c r="BF25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3" s="338">
        <f>SUMIF(Consumo!$C$3:$C$862,tabItens[[#This Row],[CÓDIGO]],Consumo!$E$3:$E$862)</f>
        <v>0</v>
      </c>
      <c r="BH253" s="339">
        <f>IF(AND(tabItens[[#This Row],[Pend]] &gt; 0,tabItens[[#This Row],[Consumo]] &lt;&gt; 0), tabItens[[#This Row],[Pend]] / tabItens[[#This Row],[Consumo]], 0 )</f>
        <v>0</v>
      </c>
      <c r="BI253" s="338"/>
      <c r="BJ253" s="407"/>
      <c r="BK253" s="408" t="s">
        <v>2086</v>
      </c>
    </row>
    <row r="254" spans="1:63" x14ac:dyDescent="0.3">
      <c r="A254" s="375">
        <v>123133</v>
      </c>
      <c r="B254" s="376" t="s">
        <v>1756</v>
      </c>
      <c r="C254" s="377" t="s">
        <v>345</v>
      </c>
      <c r="D254" s="378">
        <v>15.97</v>
      </c>
      <c r="E254" s="305"/>
      <c r="F254" s="379"/>
      <c r="G254" s="379" t="s">
        <v>889</v>
      </c>
      <c r="H254" s="380">
        <v>382</v>
      </c>
      <c r="I254" s="307">
        <v>103003</v>
      </c>
      <c r="J254" s="308">
        <v>15.97</v>
      </c>
      <c r="K254" s="381">
        <v>8</v>
      </c>
      <c r="L254" s="382">
        <f>IF(tabItens[[#This Row],[Média]] &gt; 0, tabItens[[#This Row],[QTDE ATUAL]] / tabItens[[#This Row],[Média]],999.9)</f>
        <v>916.8</v>
      </c>
      <c r="M254" s="383">
        <v>0</v>
      </c>
      <c r="N254" s="384">
        <f>tabItens[[#This Row],[VALOR UNIT.]] * tabItens[[#This Row],[LC]]</f>
        <v>0</v>
      </c>
      <c r="O254" s="385" t="s">
        <v>2145</v>
      </c>
      <c r="P254" s="386"/>
      <c r="Q254" s="387"/>
      <c r="R254" s="312"/>
      <c r="S254" s="388"/>
      <c r="T254" s="389">
        <f>ROUNDDOWN(IFERROR(tabItens[[#This Row],[ATA DT.VALID.]] - $D$1,0) / 30,0)</f>
        <v>-1474</v>
      </c>
      <c r="U254" s="302" t="s">
        <v>1337</v>
      </c>
      <c r="V254" s="318">
        <v>1</v>
      </c>
      <c r="W254" s="390" t="s">
        <v>2078</v>
      </c>
      <c r="X254" s="391">
        <v>69</v>
      </c>
      <c r="Y254" s="392">
        <v>2</v>
      </c>
      <c r="Z254" s="393"/>
      <c r="AA254" s="394"/>
      <c r="AB254" s="395"/>
      <c r="AC254" s="395"/>
      <c r="AD254" s="394"/>
      <c r="AE254" s="395"/>
      <c r="AF254" s="317"/>
      <c r="AG254" s="396" t="s">
        <v>2072</v>
      </c>
      <c r="AH254" s="397"/>
      <c r="AI254" s="317">
        <v>2</v>
      </c>
      <c r="AJ254" s="397">
        <v>43690</v>
      </c>
      <c r="AK254" s="326">
        <v>41053</v>
      </c>
      <c r="AL254" s="326">
        <v>43671</v>
      </c>
      <c r="AM254" s="316"/>
      <c r="AN254" s="305"/>
      <c r="AO254" s="327" t="str">
        <f>_xlfn.IFNA(IF(VLOOKUP(tabItens[[#This Row],[CÓDIGO]],tabExcluirDoEstoque[#Data],1,FALSE),"sim",""),"")</f>
        <v/>
      </c>
      <c r="AP254" s="398" t="str">
        <f ca="1">IF(OR(ISBLANK(tabItens[[#This Row],[ATA DT.VALID.]]),tabItens[[#This Row],[ATA DT.VALID.]]="",tabItens[[#This Row],[ATA DT.VALID.]]=" "),"",IF(TYPE(tabItens[[#This Row],[ATA DT.VALID.]])=1,ROUNDUP((tabItens[[#This Row],[ATA DT.VALID.]]-TODAY())/7,0),""))</f>
        <v/>
      </c>
      <c r="AQ254" s="399">
        <v>0</v>
      </c>
      <c r="AR254" s="400" t="str">
        <f>IF(ISBLANK(tabItens[[#This Row],[CÓDIGO]]),"",IFERROR(VLOOKUP(tabItens[[#This Row],[CÓDIGO]],Consumo!$C$2:$AC$862,26,FALSE),0))</f>
        <v>01.2023</v>
      </c>
      <c r="AS254" s="401">
        <f>SUMIF(Consumo!$C$3:$C$862,tabItens[[#This Row],[CÓDIGO]],Consumo!$N$3:$N$862) + SUMIF(Consumo!$C$3:$C$862,tabItens[[#This Row],[CÓDIGO]],Consumo!$O$3:$O$862) + SUMIF(Consumo!$C$3:$C$862,tabItens[[#This Row],[CÓDIGO]],Consumo!$P$3:$P$862) + SUMIF(Consumo!$C$3:$C$862,tabItens[[#This Row],[CÓDIGO]],Consumo!$Q$3:$Q$862)</f>
        <v>0</v>
      </c>
      <c r="AT254" s="401">
        <f>SUMIF(Consumo!$C$3:$C$862,tabItens[[#This Row],[CÓDIGO]],Consumo!$Z$3:$Z$862)</f>
        <v>8</v>
      </c>
      <c r="AU254" s="402">
        <f>SUMIF(Consumo!$C$3:$C$862,tabItens[[#This Row],[CÓDIGO]],Consumo!$AA$3:$AA$862)</f>
        <v>8</v>
      </c>
      <c r="AV254" s="403">
        <f>SUMIF(Consumo!$C$3:$C$862,tabItens[[#This Row],[CÓDIGO]],Consumo!$Y$3:$Y$862)</f>
        <v>0.41666666666666669</v>
      </c>
      <c r="AW254" s="380">
        <f>tabItens[[#This Row],[QTDE ATUAL]] + tabItens[[#This Row],[RC QTDE]] + tabItens[[#This Row],[AF SALDO]] + tabItens[[#This Row],[Recentes]]</f>
        <v>382</v>
      </c>
      <c r="AX254" s="404">
        <v>50</v>
      </c>
      <c r="AY254" s="404">
        <v>4</v>
      </c>
      <c r="AZ254" s="404">
        <f>IF(ISBLANK(tabItens[[#This Row],[CÓDIGO]]),"",tabItens[[#This Row],[PontoMês]] * (AZ$2+tabItens[[#This Row],[PontoQtM]]))</f>
        <v>200</v>
      </c>
      <c r="BA254" s="403">
        <f>tabItens[[#This Row],[PontoPed]] - tabItens[[#This Row],[Saldo]] + (1/10)</f>
        <v>-181.9</v>
      </c>
      <c r="BB254" s="403">
        <f xml:space="preserve"> tabItens[[#This Row],[PontoMês]] * BB$2 - tabItens[[#This Row],[QTDE ATUAL]] - (1/10)</f>
        <v>-332.1</v>
      </c>
      <c r="BC254" s="335">
        <f>IF( tabItens[[#This Row],[PontoPed]]&gt;0, IF(tabItens[[#This Row],[PontoPed]]&lt;1, 1, IF( tabItens[[#This Row],[Saldo]]&gt;tabItens[[#This Row],[PontoPed]], 0, (tabItens[[#This Row],[PontoPed]]-tabItens[[#This Row],[Saldo]])/tabItens[[#This Row],[PontoPed]] ) ), 0 )</f>
        <v>0</v>
      </c>
      <c r="BD254" s="405">
        <f>ROUNDDOWN(IF( OR( AND(tabItens[[#This Row],[PontoPed]]&lt;tabItens[[#This Row],[Saldo]],tabItens[[#This Row],[Saldo]]&gt;0), tabItens[[#This Row],[PontoPed]]=0), 99, IF(AND(tabItens[[#This Row],[Saldo]]=0,tabItens[[#This Row],[PontoPed]]&gt;0), 0, (1-tabItens[[#This Row],[PctAb]])*10 ) ),0)</f>
        <v>99</v>
      </c>
      <c r="BE254" s="406">
        <f>MAX(ROUNDDOWN( IF(tabItens[[#This Row],[Abaixo]] &gt; 0,   tabItens[[#This Row],[Abaixo]] + (tabItens[[#This Row],[PontoMês]] * IF( OR( ISBLANK(tabItens[[#This Row],[ATA Nº/ANO]]), tabItens[[#This Row],[ATA Nº/ANO]] = ""),BE$2,BE$1)),0),0),0)</f>
        <v>0</v>
      </c>
      <c r="BF25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4" s="338">
        <f>SUMIF(Consumo!$C$3:$C$862,tabItens[[#This Row],[CÓDIGO]],Consumo!$E$3:$E$862)</f>
        <v>0</v>
      </c>
      <c r="BH254" s="339">
        <f>IF(AND(tabItens[[#This Row],[Pend]] &gt; 0,tabItens[[#This Row],[Consumo]] &lt;&gt; 0), tabItens[[#This Row],[Pend]] / tabItens[[#This Row],[Consumo]], 0 )</f>
        <v>0</v>
      </c>
      <c r="BI254" s="338"/>
      <c r="BJ254" s="407"/>
      <c r="BK254" s="408" t="s">
        <v>2086</v>
      </c>
    </row>
    <row r="255" spans="1:63" x14ac:dyDescent="0.3">
      <c r="A255" s="375">
        <v>114822</v>
      </c>
      <c r="B255" s="376" t="s">
        <v>1708</v>
      </c>
      <c r="C255" s="377" t="s">
        <v>31</v>
      </c>
      <c r="D255" s="378">
        <v>280</v>
      </c>
      <c r="E255" s="305"/>
      <c r="F255" s="379"/>
      <c r="G255" s="379" t="s">
        <v>889</v>
      </c>
      <c r="H255" s="380">
        <v>39</v>
      </c>
      <c r="I255" s="307">
        <v>103003</v>
      </c>
      <c r="J255" s="308">
        <v>280</v>
      </c>
      <c r="K255" s="381">
        <v>24</v>
      </c>
      <c r="L255" s="382">
        <f>IF(tabItens[[#This Row],[Média]] &gt; 0, tabItens[[#This Row],[QTDE ATUAL]] / tabItens[[#This Row],[Média]],999.9)</f>
        <v>21.272727272727273</v>
      </c>
      <c r="M255" s="383">
        <v>0</v>
      </c>
      <c r="N255" s="384">
        <f>tabItens[[#This Row],[VALOR UNIT.]] * tabItens[[#This Row],[LC]]</f>
        <v>0</v>
      </c>
      <c r="O255" s="385" t="s">
        <v>2182</v>
      </c>
      <c r="P255" s="386"/>
      <c r="Q255" s="387"/>
      <c r="R255" s="312"/>
      <c r="S255" s="388"/>
      <c r="T255" s="389">
        <f>ROUNDDOWN(IFERROR(tabItens[[#This Row],[ATA DT.VALID.]] - $D$1,0) / 30,0)</f>
        <v>-1474</v>
      </c>
      <c r="U255" s="302" t="s">
        <v>966</v>
      </c>
      <c r="V255" s="318">
        <v>1</v>
      </c>
      <c r="W255" s="390" t="s">
        <v>2076</v>
      </c>
      <c r="X255" s="391">
        <v>61</v>
      </c>
      <c r="Y255" s="392">
        <v>8</v>
      </c>
      <c r="Z255" s="393"/>
      <c r="AA255" s="394"/>
      <c r="AB255" s="395"/>
      <c r="AC255" s="395"/>
      <c r="AD255" s="394"/>
      <c r="AE255" s="395"/>
      <c r="AF255" s="317"/>
      <c r="AG255" s="396" t="s">
        <v>2072</v>
      </c>
      <c r="AH255" s="397"/>
      <c r="AI255" s="317">
        <v>8</v>
      </c>
      <c r="AJ255" s="397">
        <v>43803</v>
      </c>
      <c r="AK255" s="326">
        <v>40277</v>
      </c>
      <c r="AL255" s="326">
        <v>43788</v>
      </c>
      <c r="AM255" s="316"/>
      <c r="AN255" s="305"/>
      <c r="AO255" s="327" t="str">
        <f>_xlfn.IFNA(IF(VLOOKUP(tabItens[[#This Row],[CÓDIGO]],tabExcluirDoEstoque[#Data],1,FALSE),"sim",""),"")</f>
        <v/>
      </c>
      <c r="AP255" s="398" t="str">
        <f ca="1">IF(OR(ISBLANK(tabItens[[#This Row],[ATA DT.VALID.]]),tabItens[[#This Row],[ATA DT.VALID.]]="",tabItens[[#This Row],[ATA DT.VALID.]]=" "),"",IF(TYPE(tabItens[[#This Row],[ATA DT.VALID.]])=1,ROUNDUP((tabItens[[#This Row],[ATA DT.VALID.]]-TODAY())/7,0),""))</f>
        <v/>
      </c>
      <c r="AQ255" s="399">
        <v>0</v>
      </c>
      <c r="AR255" s="400" t="str">
        <f>IF(ISBLANK(tabItens[[#This Row],[CÓDIGO]]),"",IFERROR(VLOOKUP(tabItens[[#This Row],[CÓDIGO]],Consumo!$C$2:$AC$862,26,FALSE),0))</f>
        <v>08.2023</v>
      </c>
      <c r="AS255" s="401">
        <f>SUMIF(Consumo!$C$3:$C$862,tabItens[[#This Row],[CÓDIGO]],Consumo!$N$3:$N$862) + SUMIF(Consumo!$C$3:$C$862,tabItens[[#This Row],[CÓDIGO]],Consumo!$O$3:$O$862) + SUMIF(Consumo!$C$3:$C$862,tabItens[[#This Row],[CÓDIGO]],Consumo!$P$3:$P$862) + SUMIF(Consumo!$C$3:$C$862,tabItens[[#This Row],[CÓDIGO]],Consumo!$Q$3:$Q$862)</f>
        <v>3</v>
      </c>
      <c r="AT255" s="401">
        <f>SUMIF(Consumo!$C$3:$C$862,tabItens[[#This Row],[CÓDIGO]],Consumo!$Z$3:$Z$862)</f>
        <v>24</v>
      </c>
      <c r="AU255" s="402">
        <f>SUMIF(Consumo!$C$3:$C$862,tabItens[[#This Row],[CÓDIGO]],Consumo!$AA$3:$AA$862)</f>
        <v>10</v>
      </c>
      <c r="AV255" s="403">
        <f>SUMIF(Consumo!$C$3:$C$862,tabItens[[#This Row],[CÓDIGO]],Consumo!$Y$3:$Y$862)</f>
        <v>1.8333333333333333</v>
      </c>
      <c r="AW255" s="380">
        <f>tabItens[[#This Row],[QTDE ATUAL]] + tabItens[[#This Row],[RC QTDE]] + tabItens[[#This Row],[AF SALDO]] + tabItens[[#This Row],[Recentes]]</f>
        <v>39</v>
      </c>
      <c r="AX255" s="404">
        <v>3</v>
      </c>
      <c r="AY255" s="404">
        <v>4</v>
      </c>
      <c r="AZ255" s="404">
        <f>IF(ISBLANK(tabItens[[#This Row],[CÓDIGO]]),"",tabItens[[#This Row],[PontoMês]] * (AZ$2+tabItens[[#This Row],[PontoQtM]]))</f>
        <v>12</v>
      </c>
      <c r="BA255" s="403">
        <f>tabItens[[#This Row],[PontoPed]] - tabItens[[#This Row],[Saldo]] + (1/10)</f>
        <v>-26.9</v>
      </c>
      <c r="BB255" s="403">
        <f xml:space="preserve"> tabItens[[#This Row],[PontoMês]] * BB$2 - tabItens[[#This Row],[QTDE ATUAL]] - (1/10)</f>
        <v>-36.1</v>
      </c>
      <c r="BC255" s="335">
        <f>IF( tabItens[[#This Row],[PontoPed]]&gt;0, IF(tabItens[[#This Row],[PontoPed]]&lt;1, 1, IF( tabItens[[#This Row],[Saldo]]&gt;tabItens[[#This Row],[PontoPed]], 0, (tabItens[[#This Row],[PontoPed]]-tabItens[[#This Row],[Saldo]])/tabItens[[#This Row],[PontoPed]] ) ), 0 )</f>
        <v>0</v>
      </c>
      <c r="BD255" s="405">
        <f>ROUNDDOWN(IF( OR( AND(tabItens[[#This Row],[PontoPed]]&lt;tabItens[[#This Row],[Saldo]],tabItens[[#This Row],[Saldo]]&gt;0), tabItens[[#This Row],[PontoPed]]=0), 99, IF(AND(tabItens[[#This Row],[Saldo]]=0,tabItens[[#This Row],[PontoPed]]&gt;0), 0, (1-tabItens[[#This Row],[PctAb]])*10 ) ),0)</f>
        <v>99</v>
      </c>
      <c r="BE255" s="406">
        <f>MAX(ROUNDDOWN( IF(tabItens[[#This Row],[Abaixo]] &gt; 0,   tabItens[[#This Row],[Abaixo]] + (tabItens[[#This Row],[PontoMês]] * IF( OR( ISBLANK(tabItens[[#This Row],[ATA Nº/ANO]]), tabItens[[#This Row],[ATA Nº/ANO]] = ""),BE$2,BE$1)),0),0),0)</f>
        <v>0</v>
      </c>
      <c r="BF25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5" s="338">
        <f>SUMIF(Consumo!$C$3:$C$862,tabItens[[#This Row],[CÓDIGO]],Consumo!$E$3:$E$862)</f>
        <v>0</v>
      </c>
      <c r="BH255" s="339">
        <f>IF(AND(tabItens[[#This Row],[Pend]] &gt; 0,tabItens[[#This Row],[Consumo]] &lt;&gt; 0), tabItens[[#This Row],[Pend]] / tabItens[[#This Row],[Consumo]], 0 )</f>
        <v>0</v>
      </c>
      <c r="BI255" s="338"/>
      <c r="BJ255" s="407"/>
      <c r="BK255" s="408" t="s">
        <v>2086</v>
      </c>
    </row>
    <row r="256" spans="1:63" x14ac:dyDescent="0.3">
      <c r="A256" s="375">
        <v>88726</v>
      </c>
      <c r="B256" s="376" t="s">
        <v>1503</v>
      </c>
      <c r="C256" s="377" t="s">
        <v>263</v>
      </c>
      <c r="D256" s="378">
        <v>20</v>
      </c>
      <c r="E256" s="305"/>
      <c r="F256" s="379"/>
      <c r="G256" s="379" t="s">
        <v>889</v>
      </c>
      <c r="H256" s="380">
        <v>130</v>
      </c>
      <c r="I256" s="307">
        <v>103003</v>
      </c>
      <c r="J256" s="308">
        <v>20</v>
      </c>
      <c r="K256" s="381">
        <v>46</v>
      </c>
      <c r="L256" s="382">
        <f>IF(tabItens[[#This Row],[Média]] &gt; 0, tabItens[[#This Row],[QTDE ATUAL]] / tabItens[[#This Row],[Média]],999.9)</f>
        <v>34.666666666666664</v>
      </c>
      <c r="M256" s="383">
        <v>0</v>
      </c>
      <c r="N256" s="384">
        <f>tabItens[[#This Row],[VALOR UNIT.]] * tabItens[[#This Row],[LC]]</f>
        <v>0</v>
      </c>
      <c r="O256" s="385" t="s">
        <v>2123</v>
      </c>
      <c r="P256" s="386"/>
      <c r="Q256" s="387"/>
      <c r="R256" s="312"/>
      <c r="S256" s="388"/>
      <c r="T256" s="389">
        <f>ROUNDDOWN(IFERROR(tabItens[[#This Row],[ATA DT.VALID.]] - $D$1,0) / 30,0)</f>
        <v>-1474</v>
      </c>
      <c r="U256" s="302" t="s">
        <v>1502</v>
      </c>
      <c r="V256" s="318">
        <v>1</v>
      </c>
      <c r="W256" s="390" t="s">
        <v>2077</v>
      </c>
      <c r="X256" s="391">
        <v>55</v>
      </c>
      <c r="Y256" s="392">
        <v>26</v>
      </c>
      <c r="Z256" s="393"/>
      <c r="AA256" s="394"/>
      <c r="AB256" s="395"/>
      <c r="AC256" s="395"/>
      <c r="AD256" s="394"/>
      <c r="AE256" s="395"/>
      <c r="AF256" s="317"/>
      <c r="AG256" s="396" t="s">
        <v>2072</v>
      </c>
      <c r="AH256" s="397"/>
      <c r="AI256" s="317">
        <v>16</v>
      </c>
      <c r="AJ256" s="397">
        <v>44336</v>
      </c>
      <c r="AK256" s="326">
        <v>38656</v>
      </c>
      <c r="AL256" s="326">
        <v>44333</v>
      </c>
      <c r="AM256" s="316"/>
      <c r="AN256" s="305"/>
      <c r="AO256" s="327" t="str">
        <f>_xlfn.IFNA(IF(VLOOKUP(tabItens[[#This Row],[CÓDIGO]],tabExcluirDoEstoque[#Data],1,FALSE),"sim",""),"")</f>
        <v/>
      </c>
      <c r="AP256" s="398" t="str">
        <f ca="1">IF(OR(ISBLANK(tabItens[[#This Row],[ATA DT.VALID.]]),tabItens[[#This Row],[ATA DT.VALID.]]="",tabItens[[#This Row],[ATA DT.VALID.]]=" "),"",IF(TYPE(tabItens[[#This Row],[ATA DT.VALID.]])=1,ROUNDUP((tabItens[[#This Row],[ATA DT.VALID.]]-TODAY())/7,0),""))</f>
        <v/>
      </c>
      <c r="AQ256" s="399">
        <v>0</v>
      </c>
      <c r="AR256" s="400" t="str">
        <f>IF(ISBLANK(tabItens[[#This Row],[CÓDIGO]]),"",IFERROR(VLOOKUP(tabItens[[#This Row],[CÓDIGO]],Consumo!$C$2:$AC$862,26,FALSE),0))</f>
        <v>09.2023</v>
      </c>
      <c r="AS256" s="401">
        <f>SUMIF(Consumo!$C$3:$C$862,tabItens[[#This Row],[CÓDIGO]],Consumo!$N$3:$N$862) + SUMIF(Consumo!$C$3:$C$862,tabItens[[#This Row],[CÓDIGO]],Consumo!$O$3:$O$862) + SUMIF(Consumo!$C$3:$C$862,tabItens[[#This Row],[CÓDIGO]],Consumo!$P$3:$P$862) + SUMIF(Consumo!$C$3:$C$862,tabItens[[#This Row],[CÓDIGO]],Consumo!$Q$3:$Q$862)</f>
        <v>20</v>
      </c>
      <c r="AT256" s="401">
        <f>SUMIF(Consumo!$C$3:$C$862,tabItens[[#This Row],[CÓDIGO]],Consumo!$Z$3:$Z$862)</f>
        <v>49</v>
      </c>
      <c r="AU256" s="402">
        <f>SUMIF(Consumo!$C$3:$C$862,tabItens[[#This Row],[CÓDIGO]],Consumo!$AA$3:$AA$862)</f>
        <v>20</v>
      </c>
      <c r="AV256" s="403">
        <f>SUMIF(Consumo!$C$3:$C$862,tabItens[[#This Row],[CÓDIGO]],Consumo!$Y$3:$Y$862)</f>
        <v>3.75</v>
      </c>
      <c r="AW256" s="380">
        <f>tabItens[[#This Row],[QTDE ATUAL]] + tabItens[[#This Row],[RC QTDE]] + tabItens[[#This Row],[AF SALDO]] + tabItens[[#This Row],[Recentes]]</f>
        <v>130</v>
      </c>
      <c r="AX256" s="404">
        <v>14</v>
      </c>
      <c r="AY256" s="404">
        <v>4</v>
      </c>
      <c r="AZ256" s="404">
        <f>IF(ISBLANK(tabItens[[#This Row],[CÓDIGO]]),"",tabItens[[#This Row],[PontoMês]] * (AZ$2+tabItens[[#This Row],[PontoQtM]]))</f>
        <v>56</v>
      </c>
      <c r="BA256" s="403">
        <f>tabItens[[#This Row],[PontoPed]] - tabItens[[#This Row],[Saldo]] + (1/10)</f>
        <v>-73.900000000000006</v>
      </c>
      <c r="BB256" s="403">
        <f xml:space="preserve"> tabItens[[#This Row],[PontoMês]] * BB$2 - tabItens[[#This Row],[QTDE ATUAL]] - (1/10)</f>
        <v>-116.1</v>
      </c>
      <c r="BC256" s="335">
        <f>IF( tabItens[[#This Row],[PontoPed]]&gt;0, IF(tabItens[[#This Row],[PontoPed]]&lt;1, 1, IF( tabItens[[#This Row],[Saldo]]&gt;tabItens[[#This Row],[PontoPed]], 0, (tabItens[[#This Row],[PontoPed]]-tabItens[[#This Row],[Saldo]])/tabItens[[#This Row],[PontoPed]] ) ), 0 )</f>
        <v>0</v>
      </c>
      <c r="BD256" s="405">
        <f>ROUNDDOWN(IF( OR( AND(tabItens[[#This Row],[PontoPed]]&lt;tabItens[[#This Row],[Saldo]],tabItens[[#This Row],[Saldo]]&gt;0), tabItens[[#This Row],[PontoPed]]=0), 99, IF(AND(tabItens[[#This Row],[Saldo]]=0,tabItens[[#This Row],[PontoPed]]&gt;0), 0, (1-tabItens[[#This Row],[PctAb]])*10 ) ),0)</f>
        <v>99</v>
      </c>
      <c r="BE256" s="406">
        <f>MAX(ROUNDDOWN( IF(tabItens[[#This Row],[Abaixo]] &gt; 0,   tabItens[[#This Row],[Abaixo]] + (tabItens[[#This Row],[PontoMês]] * IF( OR( ISBLANK(tabItens[[#This Row],[ATA Nº/ANO]]), tabItens[[#This Row],[ATA Nº/ANO]] = ""),BE$2,BE$1)),0),0),0)</f>
        <v>0</v>
      </c>
      <c r="BF25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6" s="338">
        <f>SUMIF(Consumo!$C$3:$C$862,tabItens[[#This Row],[CÓDIGO]],Consumo!$E$3:$E$862)</f>
        <v>0</v>
      </c>
      <c r="BH256" s="339">
        <f>IF(AND(tabItens[[#This Row],[Pend]] &gt; 0,tabItens[[#This Row],[Consumo]] &lt;&gt; 0), tabItens[[#This Row],[Pend]] / tabItens[[#This Row],[Consumo]], 0 )</f>
        <v>0</v>
      </c>
      <c r="BI256" s="338"/>
      <c r="BJ256" s="407"/>
      <c r="BK256" s="408" t="s">
        <v>2086</v>
      </c>
    </row>
    <row r="257" spans="1:63" x14ac:dyDescent="0.3">
      <c r="A257" s="375">
        <v>88727</v>
      </c>
      <c r="B257" s="376" t="s">
        <v>1504</v>
      </c>
      <c r="C257" s="377" t="s">
        <v>263</v>
      </c>
      <c r="D257" s="378">
        <v>20.61</v>
      </c>
      <c r="E257" s="305"/>
      <c r="F257" s="379"/>
      <c r="G257" s="379" t="s">
        <v>889</v>
      </c>
      <c r="H257" s="380">
        <v>218</v>
      </c>
      <c r="I257" s="307">
        <v>103003</v>
      </c>
      <c r="J257" s="308">
        <v>20.61</v>
      </c>
      <c r="K257" s="381">
        <v>165</v>
      </c>
      <c r="L257" s="382">
        <f>IF(tabItens[[#This Row],[Média]] &gt; 0, tabItens[[#This Row],[QTDE ATUAL]] / tabItens[[#This Row],[Média]],999.9)</f>
        <v>14.453038674033149</v>
      </c>
      <c r="M257" s="383">
        <v>0</v>
      </c>
      <c r="N257" s="384">
        <f>tabItens[[#This Row],[VALOR UNIT.]] * tabItens[[#This Row],[LC]]</f>
        <v>0</v>
      </c>
      <c r="O257" s="385" t="s">
        <v>2123</v>
      </c>
      <c r="P257" s="386"/>
      <c r="Q257" s="387"/>
      <c r="R257" s="312"/>
      <c r="S257" s="388"/>
      <c r="T257" s="389">
        <f>ROUNDDOWN(IFERROR(tabItens[[#This Row],[ATA DT.VALID.]] - $D$1,0) / 30,0)</f>
        <v>-1474</v>
      </c>
      <c r="U257" s="302" t="s">
        <v>1502</v>
      </c>
      <c r="V257" s="318">
        <v>1</v>
      </c>
      <c r="W257" s="390" t="s">
        <v>2077</v>
      </c>
      <c r="X257" s="391">
        <v>55</v>
      </c>
      <c r="Y257" s="392">
        <v>26</v>
      </c>
      <c r="Z257" s="393"/>
      <c r="AA257" s="394"/>
      <c r="AB257" s="395"/>
      <c r="AC257" s="395"/>
      <c r="AD257" s="394"/>
      <c r="AE257" s="395"/>
      <c r="AF257" s="317"/>
      <c r="AG257" s="396" t="s">
        <v>2072</v>
      </c>
      <c r="AH257" s="397"/>
      <c r="AI257" s="317">
        <v>62</v>
      </c>
      <c r="AJ257" s="397">
        <v>44545</v>
      </c>
      <c r="AK257" s="326">
        <v>38656</v>
      </c>
      <c r="AL257" s="326">
        <v>44516</v>
      </c>
      <c r="AM257" s="316"/>
      <c r="AN257" s="305"/>
      <c r="AO257" s="327" t="str">
        <f>_xlfn.IFNA(IF(VLOOKUP(tabItens[[#This Row],[CÓDIGO]],tabExcluirDoEstoque[#Data],1,FALSE),"sim",""),"")</f>
        <v/>
      </c>
      <c r="AP257" s="398" t="str">
        <f ca="1">IF(OR(ISBLANK(tabItens[[#This Row],[ATA DT.VALID.]]),tabItens[[#This Row],[ATA DT.VALID.]]="",tabItens[[#This Row],[ATA DT.VALID.]]=" "),"",IF(TYPE(tabItens[[#This Row],[ATA DT.VALID.]])=1,ROUNDUP((tabItens[[#This Row],[ATA DT.VALID.]]-TODAY())/7,0),""))</f>
        <v/>
      </c>
      <c r="AQ257" s="399">
        <v>0</v>
      </c>
      <c r="AR257" s="400" t="str">
        <f>IF(ISBLANK(tabItens[[#This Row],[CÓDIGO]]),"",IFERROR(VLOOKUP(tabItens[[#This Row],[CÓDIGO]],Consumo!$C$2:$AC$862,26,FALSE),0))</f>
        <v>09.2023</v>
      </c>
      <c r="AS257" s="401">
        <f>SUMIF(Consumo!$C$3:$C$862,tabItens[[#This Row],[CÓDIGO]],Consumo!$N$3:$N$862) + SUMIF(Consumo!$C$3:$C$862,tabItens[[#This Row],[CÓDIGO]],Consumo!$O$3:$O$862) + SUMIF(Consumo!$C$3:$C$862,tabItens[[#This Row],[CÓDIGO]],Consumo!$P$3:$P$862) + SUMIF(Consumo!$C$3:$C$862,tabItens[[#This Row],[CÓDIGO]],Consumo!$Q$3:$Q$862)</f>
        <v>40</v>
      </c>
      <c r="AT257" s="401">
        <f>SUMIF(Consumo!$C$3:$C$862,tabItens[[#This Row],[CÓDIGO]],Consumo!$Z$3:$Z$862)</f>
        <v>185</v>
      </c>
      <c r="AU257" s="402">
        <f>SUMIF(Consumo!$C$3:$C$862,tabItens[[#This Row],[CÓDIGO]],Consumo!$AA$3:$AA$862)</f>
        <v>51</v>
      </c>
      <c r="AV257" s="403">
        <f>SUMIF(Consumo!$C$3:$C$862,tabItens[[#This Row],[CÓDIGO]],Consumo!$Y$3:$Y$862)</f>
        <v>15.083333333333334</v>
      </c>
      <c r="AW257" s="380">
        <f>tabItens[[#This Row],[QTDE ATUAL]] + tabItens[[#This Row],[RC QTDE]] + tabItens[[#This Row],[AF SALDO]] + tabItens[[#This Row],[Recentes]]</f>
        <v>218</v>
      </c>
      <c r="AX257" s="404">
        <v>17</v>
      </c>
      <c r="AY257" s="404">
        <v>4</v>
      </c>
      <c r="AZ257" s="404">
        <f>IF(ISBLANK(tabItens[[#This Row],[CÓDIGO]]),"",tabItens[[#This Row],[PontoMês]] * (AZ$2+tabItens[[#This Row],[PontoQtM]]))</f>
        <v>68</v>
      </c>
      <c r="BA257" s="403">
        <f>tabItens[[#This Row],[PontoPed]] - tabItens[[#This Row],[Saldo]] + (1/10)</f>
        <v>-149.9</v>
      </c>
      <c r="BB257" s="403">
        <f xml:space="preserve"> tabItens[[#This Row],[PontoMês]] * BB$2 - tabItens[[#This Row],[QTDE ATUAL]] - (1/10)</f>
        <v>-201.1</v>
      </c>
      <c r="BC257" s="335">
        <f>IF( tabItens[[#This Row],[PontoPed]]&gt;0, IF(tabItens[[#This Row],[PontoPed]]&lt;1, 1, IF( tabItens[[#This Row],[Saldo]]&gt;tabItens[[#This Row],[PontoPed]], 0, (tabItens[[#This Row],[PontoPed]]-tabItens[[#This Row],[Saldo]])/tabItens[[#This Row],[PontoPed]] ) ), 0 )</f>
        <v>0</v>
      </c>
      <c r="BD257" s="405">
        <f>ROUNDDOWN(IF( OR( AND(tabItens[[#This Row],[PontoPed]]&lt;tabItens[[#This Row],[Saldo]],tabItens[[#This Row],[Saldo]]&gt;0), tabItens[[#This Row],[PontoPed]]=0), 99, IF(AND(tabItens[[#This Row],[Saldo]]=0,tabItens[[#This Row],[PontoPed]]&gt;0), 0, (1-tabItens[[#This Row],[PctAb]])*10 ) ),0)</f>
        <v>99</v>
      </c>
      <c r="BE257" s="406">
        <f>MAX(ROUNDDOWN( IF(tabItens[[#This Row],[Abaixo]] &gt; 0,   tabItens[[#This Row],[Abaixo]] + (tabItens[[#This Row],[PontoMês]] * IF( OR( ISBLANK(tabItens[[#This Row],[ATA Nº/ANO]]), tabItens[[#This Row],[ATA Nº/ANO]] = ""),BE$2,BE$1)),0),0),0)</f>
        <v>0</v>
      </c>
      <c r="BF25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7" s="338">
        <f>SUMIF(Consumo!$C$3:$C$862,tabItens[[#This Row],[CÓDIGO]],Consumo!$E$3:$E$862)</f>
        <v>0</v>
      </c>
      <c r="BH257" s="339">
        <f>IF(AND(tabItens[[#This Row],[Pend]] &gt; 0,tabItens[[#This Row],[Consumo]] &lt;&gt; 0), tabItens[[#This Row],[Pend]] / tabItens[[#This Row],[Consumo]], 0 )</f>
        <v>0</v>
      </c>
      <c r="BI257" s="338"/>
      <c r="BJ257" s="407"/>
      <c r="BK257" s="408" t="s">
        <v>2086</v>
      </c>
    </row>
    <row r="258" spans="1:63" x14ac:dyDescent="0.3">
      <c r="A258" s="375">
        <v>88728</v>
      </c>
      <c r="B258" s="376" t="s">
        <v>1505</v>
      </c>
      <c r="C258" s="377" t="s">
        <v>263</v>
      </c>
      <c r="D258" s="378">
        <v>28</v>
      </c>
      <c r="E258" s="305"/>
      <c r="F258" s="379"/>
      <c r="G258" s="379" t="s">
        <v>889</v>
      </c>
      <c r="H258" s="380">
        <v>186</v>
      </c>
      <c r="I258" s="307">
        <v>103003</v>
      </c>
      <c r="J258" s="308">
        <v>28</v>
      </c>
      <c r="K258" s="381">
        <v>87</v>
      </c>
      <c r="L258" s="382">
        <f>IF(tabItens[[#This Row],[Média]] &gt; 0, tabItens[[#This Row],[QTDE ATUAL]] / tabItens[[#This Row],[Média]],999.9)</f>
        <v>23.010309278350515</v>
      </c>
      <c r="M258" s="383">
        <v>0</v>
      </c>
      <c r="N258" s="384">
        <f>tabItens[[#This Row],[VALOR UNIT.]] * tabItens[[#This Row],[LC]]</f>
        <v>0</v>
      </c>
      <c r="O258" s="385" t="s">
        <v>2123</v>
      </c>
      <c r="P258" s="386"/>
      <c r="Q258" s="387"/>
      <c r="R258" s="312"/>
      <c r="S258" s="388"/>
      <c r="T258" s="389">
        <f>ROUNDDOWN(IFERROR(tabItens[[#This Row],[ATA DT.VALID.]] - $D$1,0) / 30,0)</f>
        <v>-1474</v>
      </c>
      <c r="U258" s="302" t="s">
        <v>1502</v>
      </c>
      <c r="V258" s="318">
        <v>1</v>
      </c>
      <c r="W258" s="390" t="s">
        <v>2077</v>
      </c>
      <c r="X258" s="391">
        <v>55</v>
      </c>
      <c r="Y258" s="392">
        <v>26</v>
      </c>
      <c r="Z258" s="393"/>
      <c r="AA258" s="394"/>
      <c r="AB258" s="395"/>
      <c r="AC258" s="395"/>
      <c r="AD258" s="394"/>
      <c r="AE258" s="395"/>
      <c r="AF258" s="317"/>
      <c r="AG258" s="396" t="s">
        <v>2072</v>
      </c>
      <c r="AH258" s="397"/>
      <c r="AI258" s="317">
        <v>32</v>
      </c>
      <c r="AJ258" s="397">
        <v>44336</v>
      </c>
      <c r="AK258" s="326">
        <v>38656</v>
      </c>
      <c r="AL258" s="326">
        <v>45075</v>
      </c>
      <c r="AM258" s="316"/>
      <c r="AN258" s="305"/>
      <c r="AO258" s="327" t="str">
        <f>_xlfn.IFNA(IF(VLOOKUP(tabItens[[#This Row],[CÓDIGO]],tabExcluirDoEstoque[#Data],1,FALSE),"sim",""),"")</f>
        <v/>
      </c>
      <c r="AP258" s="398" t="str">
        <f ca="1">IF(OR(ISBLANK(tabItens[[#This Row],[ATA DT.VALID.]]),tabItens[[#This Row],[ATA DT.VALID.]]="",tabItens[[#This Row],[ATA DT.VALID.]]=" "),"",IF(TYPE(tabItens[[#This Row],[ATA DT.VALID.]])=1,ROUNDUP((tabItens[[#This Row],[ATA DT.VALID.]]-TODAY())/7,0),""))</f>
        <v/>
      </c>
      <c r="AQ258" s="399">
        <v>0</v>
      </c>
      <c r="AR258" s="400" t="str">
        <f>IF(ISBLANK(tabItens[[#This Row],[CÓDIGO]]),"",IFERROR(VLOOKUP(tabItens[[#This Row],[CÓDIGO]],Consumo!$C$2:$AC$862,26,FALSE),0))</f>
        <v>07.2023</v>
      </c>
      <c r="AS258" s="401">
        <f>SUMIF(Consumo!$C$3:$C$862,tabItens[[#This Row],[CÓDIGO]],Consumo!$N$3:$N$862) + SUMIF(Consumo!$C$3:$C$862,tabItens[[#This Row],[CÓDIGO]],Consumo!$O$3:$O$862) + SUMIF(Consumo!$C$3:$C$862,tabItens[[#This Row],[CÓDIGO]],Consumo!$P$3:$P$862) + SUMIF(Consumo!$C$3:$C$862,tabItens[[#This Row],[CÓDIGO]],Consumo!$Q$3:$Q$862)</f>
        <v>20</v>
      </c>
      <c r="AT258" s="401">
        <f>SUMIF(Consumo!$C$3:$C$862,tabItens[[#This Row],[CÓDIGO]],Consumo!$Z$3:$Z$862)</f>
        <v>97</v>
      </c>
      <c r="AU258" s="402">
        <f>SUMIF(Consumo!$C$3:$C$862,tabItens[[#This Row],[CÓDIGO]],Consumo!$AA$3:$AA$862)</f>
        <v>24</v>
      </c>
      <c r="AV258" s="403">
        <f>SUMIF(Consumo!$C$3:$C$862,tabItens[[#This Row],[CÓDIGO]],Consumo!$Y$3:$Y$862)</f>
        <v>8.0833333333333339</v>
      </c>
      <c r="AW258" s="380">
        <f>tabItens[[#This Row],[QTDE ATUAL]] + tabItens[[#This Row],[RC QTDE]] + tabItens[[#This Row],[AF SALDO]] + tabItens[[#This Row],[Recentes]]</f>
        <v>186</v>
      </c>
      <c r="AX258" s="404">
        <v>13</v>
      </c>
      <c r="AY258" s="404">
        <v>4</v>
      </c>
      <c r="AZ258" s="404">
        <f>IF(ISBLANK(tabItens[[#This Row],[CÓDIGO]]),"",tabItens[[#This Row],[PontoMês]] * (AZ$2+tabItens[[#This Row],[PontoQtM]]))</f>
        <v>52</v>
      </c>
      <c r="BA258" s="403">
        <f>tabItens[[#This Row],[PontoPed]] - tabItens[[#This Row],[Saldo]] + (1/10)</f>
        <v>-133.9</v>
      </c>
      <c r="BB258" s="403">
        <f xml:space="preserve"> tabItens[[#This Row],[PontoMês]] * BB$2 - tabItens[[#This Row],[QTDE ATUAL]] - (1/10)</f>
        <v>-173.1</v>
      </c>
      <c r="BC258" s="335">
        <f>IF( tabItens[[#This Row],[PontoPed]]&gt;0, IF(tabItens[[#This Row],[PontoPed]]&lt;1, 1, IF( tabItens[[#This Row],[Saldo]]&gt;tabItens[[#This Row],[PontoPed]], 0, (tabItens[[#This Row],[PontoPed]]-tabItens[[#This Row],[Saldo]])/tabItens[[#This Row],[PontoPed]] ) ), 0 )</f>
        <v>0</v>
      </c>
      <c r="BD258" s="405">
        <f>ROUNDDOWN(IF( OR( AND(tabItens[[#This Row],[PontoPed]]&lt;tabItens[[#This Row],[Saldo]],tabItens[[#This Row],[Saldo]]&gt;0), tabItens[[#This Row],[PontoPed]]=0), 99, IF(AND(tabItens[[#This Row],[Saldo]]=0,tabItens[[#This Row],[PontoPed]]&gt;0), 0, (1-tabItens[[#This Row],[PctAb]])*10 ) ),0)</f>
        <v>99</v>
      </c>
      <c r="BE258" s="406">
        <f>MAX(ROUNDDOWN( IF(tabItens[[#This Row],[Abaixo]] &gt; 0,   tabItens[[#This Row],[Abaixo]] + (tabItens[[#This Row],[PontoMês]] * IF( OR( ISBLANK(tabItens[[#This Row],[ATA Nº/ANO]]), tabItens[[#This Row],[ATA Nº/ANO]] = ""),BE$2,BE$1)),0),0),0)</f>
        <v>0</v>
      </c>
      <c r="BF25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8" s="338">
        <f>SUMIF(Consumo!$C$3:$C$862,tabItens[[#This Row],[CÓDIGO]],Consumo!$E$3:$E$862)</f>
        <v>0</v>
      </c>
      <c r="BH258" s="339">
        <f>IF(AND(tabItens[[#This Row],[Pend]] &gt; 0,tabItens[[#This Row],[Consumo]] &lt;&gt; 0), tabItens[[#This Row],[Pend]] / tabItens[[#This Row],[Consumo]], 0 )</f>
        <v>0</v>
      </c>
      <c r="BI258" s="338"/>
      <c r="BJ258" s="407"/>
      <c r="BK258" s="408" t="s">
        <v>2086</v>
      </c>
    </row>
    <row r="259" spans="1:63" x14ac:dyDescent="0.3">
      <c r="A259" s="375">
        <v>88729</v>
      </c>
      <c r="B259" s="376" t="s">
        <v>1506</v>
      </c>
      <c r="C259" s="377" t="s">
        <v>263</v>
      </c>
      <c r="D259" s="378">
        <v>27.87</v>
      </c>
      <c r="E259" s="305"/>
      <c r="F259" s="379"/>
      <c r="G259" s="379" t="s">
        <v>889</v>
      </c>
      <c r="H259" s="380">
        <v>17</v>
      </c>
      <c r="I259" s="307">
        <v>103003</v>
      </c>
      <c r="J259" s="308">
        <v>27.87</v>
      </c>
      <c r="K259" s="381">
        <v>47</v>
      </c>
      <c r="L259" s="382">
        <f>IF(tabItens[[#This Row],[Média]] &gt; 0, tabItens[[#This Row],[QTDE ATUAL]] / tabItens[[#This Row],[Média]],999.9)</f>
        <v>4.6363636363636367</v>
      </c>
      <c r="M259" s="383">
        <v>0</v>
      </c>
      <c r="N259" s="384">
        <f>tabItens[[#This Row],[VALOR UNIT.]] * tabItens[[#This Row],[LC]]</f>
        <v>0</v>
      </c>
      <c r="O259" s="385" t="s">
        <v>2123</v>
      </c>
      <c r="P259" s="386"/>
      <c r="Q259" s="387"/>
      <c r="R259" s="312"/>
      <c r="S259" s="388"/>
      <c r="T259" s="389">
        <f>ROUNDDOWN(IFERROR(tabItens[[#This Row],[ATA DT.VALID.]] - $D$1,0) / 30,0)</f>
        <v>-1474</v>
      </c>
      <c r="U259" s="302" t="s">
        <v>1502</v>
      </c>
      <c r="V259" s="318">
        <v>1</v>
      </c>
      <c r="W259" s="390" t="s">
        <v>2077</v>
      </c>
      <c r="X259" s="391">
        <v>55</v>
      </c>
      <c r="Y259" s="392">
        <v>26</v>
      </c>
      <c r="Z259" s="393">
        <v>2442</v>
      </c>
      <c r="AA259" s="394">
        <v>2023</v>
      </c>
      <c r="AB259" s="395">
        <v>15</v>
      </c>
      <c r="AC259" s="395"/>
      <c r="AD259" s="394"/>
      <c r="AE259" s="395"/>
      <c r="AF259" s="317"/>
      <c r="AG259" s="396" t="s">
        <v>2072</v>
      </c>
      <c r="AH259" s="397"/>
      <c r="AI259" s="317">
        <v>16</v>
      </c>
      <c r="AJ259" s="397">
        <v>44175</v>
      </c>
      <c r="AK259" s="326">
        <v>38656</v>
      </c>
      <c r="AL259" s="326">
        <v>44865</v>
      </c>
      <c r="AM259" s="316"/>
      <c r="AN259" s="305"/>
      <c r="AO259" s="327" t="str">
        <f>_xlfn.IFNA(IF(VLOOKUP(tabItens[[#This Row],[CÓDIGO]],tabExcluirDoEstoque[#Data],1,FALSE),"sim",""),"")</f>
        <v/>
      </c>
      <c r="AP259" s="398" t="str">
        <f ca="1">IF(OR(ISBLANK(tabItens[[#This Row],[ATA DT.VALID.]]),tabItens[[#This Row],[ATA DT.VALID.]]="",tabItens[[#This Row],[ATA DT.VALID.]]=" "),"",IF(TYPE(tabItens[[#This Row],[ATA DT.VALID.]])=1,ROUNDUP((tabItens[[#This Row],[ATA DT.VALID.]]-TODAY())/7,0),""))</f>
        <v/>
      </c>
      <c r="AQ259" s="399">
        <v>0</v>
      </c>
      <c r="AR259" s="400" t="str">
        <f>IF(ISBLANK(tabItens[[#This Row],[CÓDIGO]]),"",IFERROR(VLOOKUP(tabItens[[#This Row],[CÓDIGO]],Consumo!$C$2:$AC$862,26,FALSE),0))</f>
        <v>06.2023</v>
      </c>
      <c r="AS259" s="401">
        <f>SUMIF(Consumo!$C$3:$C$862,tabItens[[#This Row],[CÓDIGO]],Consumo!$N$3:$N$862) + SUMIF(Consumo!$C$3:$C$862,tabItens[[#This Row],[CÓDIGO]],Consumo!$O$3:$O$862) + SUMIF(Consumo!$C$3:$C$862,tabItens[[#This Row],[CÓDIGO]],Consumo!$P$3:$P$862) + SUMIF(Consumo!$C$3:$C$862,tabItens[[#This Row],[CÓDIGO]],Consumo!$Q$3:$Q$862)</f>
        <v>20</v>
      </c>
      <c r="AT259" s="401">
        <f>SUMIF(Consumo!$C$3:$C$862,tabItens[[#This Row],[CÓDIGO]],Consumo!$Z$3:$Z$862)</f>
        <v>49</v>
      </c>
      <c r="AU259" s="402">
        <f>SUMIF(Consumo!$C$3:$C$862,tabItens[[#This Row],[CÓDIGO]],Consumo!$AA$3:$AA$862)</f>
        <v>20</v>
      </c>
      <c r="AV259" s="403">
        <f>SUMIF(Consumo!$C$3:$C$862,tabItens[[#This Row],[CÓDIGO]],Consumo!$Y$3:$Y$862)</f>
        <v>3.6666666666666665</v>
      </c>
      <c r="AW259" s="380">
        <f>tabItens[[#This Row],[QTDE ATUAL]] + tabItens[[#This Row],[RC QTDE]] + tabItens[[#This Row],[AF SALDO]] + tabItens[[#This Row],[Recentes]]</f>
        <v>32</v>
      </c>
      <c r="AX259" s="404">
        <v>9</v>
      </c>
      <c r="AY259" s="404">
        <v>4</v>
      </c>
      <c r="AZ259" s="404">
        <f>IF(ISBLANK(tabItens[[#This Row],[CÓDIGO]]),"",tabItens[[#This Row],[PontoMês]] * (AZ$2+tabItens[[#This Row],[PontoQtM]]))</f>
        <v>36</v>
      </c>
      <c r="BA259" s="403">
        <f>tabItens[[#This Row],[PontoPed]] - tabItens[[#This Row],[Saldo]] + (1/10)</f>
        <v>4.0999999999999996</v>
      </c>
      <c r="BB259" s="403">
        <f xml:space="preserve"> tabItens[[#This Row],[PontoMês]] * BB$2 - tabItens[[#This Row],[QTDE ATUAL]] - (1/10)</f>
        <v>-8.1</v>
      </c>
      <c r="BC259" s="335">
        <f>IF( tabItens[[#This Row],[PontoPed]]&gt;0, IF(tabItens[[#This Row],[PontoPed]]&lt;1, 1, IF( tabItens[[#This Row],[Saldo]]&gt;tabItens[[#This Row],[PontoPed]], 0, (tabItens[[#This Row],[PontoPed]]-tabItens[[#This Row],[Saldo]])/tabItens[[#This Row],[PontoPed]] ) ), 0 )</f>
        <v>0.1111111111111111</v>
      </c>
      <c r="BD259" s="405">
        <f>ROUNDDOWN(IF( OR( AND(tabItens[[#This Row],[PontoPed]]&lt;tabItens[[#This Row],[Saldo]],tabItens[[#This Row],[Saldo]]&gt;0), tabItens[[#This Row],[PontoPed]]=0), 99, IF(AND(tabItens[[#This Row],[Saldo]]=0,tabItens[[#This Row],[PontoPed]]&gt;0), 0, (1-tabItens[[#This Row],[PctAb]])*10 ) ),0)</f>
        <v>8</v>
      </c>
      <c r="BE259" s="406">
        <f>MAX(ROUNDDOWN( IF(tabItens[[#This Row],[Abaixo]] &gt; 0,   tabItens[[#This Row],[Abaixo]] + (tabItens[[#This Row],[PontoMês]] * IF( OR( ISBLANK(tabItens[[#This Row],[ATA Nº/ANO]]), tabItens[[#This Row],[ATA Nº/ANO]] = ""),BE$2,BE$1)),0),0),0)</f>
        <v>31</v>
      </c>
      <c r="BF25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9" s="338">
        <f>SUMIF(Consumo!$C$3:$C$862,tabItens[[#This Row],[CÓDIGO]],Consumo!$E$3:$E$862)</f>
        <v>0</v>
      </c>
      <c r="BH259" s="339">
        <f>IF(AND(tabItens[[#This Row],[Pend]] &gt; 0,tabItens[[#This Row],[Consumo]] &lt;&gt; 0), tabItens[[#This Row],[Pend]] / tabItens[[#This Row],[Consumo]], 0 )</f>
        <v>0</v>
      </c>
      <c r="BI259" s="338"/>
      <c r="BJ259" s="407"/>
      <c r="BK259" s="408" t="s">
        <v>2086</v>
      </c>
    </row>
    <row r="260" spans="1:63" x14ac:dyDescent="0.3">
      <c r="A260" s="375">
        <v>88730</v>
      </c>
      <c r="B260" s="376" t="s">
        <v>1507</v>
      </c>
      <c r="C260" s="377" t="s">
        <v>263</v>
      </c>
      <c r="D260" s="378">
        <v>22.5</v>
      </c>
      <c r="E260" s="305"/>
      <c r="F260" s="379"/>
      <c r="G260" s="379" t="s">
        <v>889</v>
      </c>
      <c r="H260" s="380">
        <v>18</v>
      </c>
      <c r="I260" s="307">
        <v>103003</v>
      </c>
      <c r="J260" s="308">
        <v>22.5</v>
      </c>
      <c r="K260" s="381">
        <v>30</v>
      </c>
      <c r="L260" s="382">
        <f>IF(tabItens[[#This Row],[Média]] &gt; 0, tabItens[[#This Row],[QTDE ATUAL]] / tabItens[[#This Row],[Média]],999.9)</f>
        <v>8.3076923076923084</v>
      </c>
      <c r="M260" s="383">
        <v>0</v>
      </c>
      <c r="N260" s="384">
        <f>tabItens[[#This Row],[VALOR UNIT.]] * tabItens[[#This Row],[LC]]</f>
        <v>0</v>
      </c>
      <c r="O260" s="385" t="s">
        <v>2123</v>
      </c>
      <c r="P260" s="386"/>
      <c r="Q260" s="387"/>
      <c r="R260" s="312"/>
      <c r="S260" s="388"/>
      <c r="T260" s="389">
        <f>ROUNDDOWN(IFERROR(tabItens[[#This Row],[ATA DT.VALID.]] - $D$1,0) / 30,0)</f>
        <v>-1474</v>
      </c>
      <c r="U260" s="302" t="s">
        <v>1502</v>
      </c>
      <c r="V260" s="318">
        <v>1</v>
      </c>
      <c r="W260" s="390" t="s">
        <v>2077</v>
      </c>
      <c r="X260" s="391">
        <v>55</v>
      </c>
      <c r="Y260" s="392">
        <v>26</v>
      </c>
      <c r="Z260" s="393">
        <v>2442</v>
      </c>
      <c r="AA260" s="394">
        <v>2023</v>
      </c>
      <c r="AB260" s="395">
        <v>10</v>
      </c>
      <c r="AC260" s="395"/>
      <c r="AD260" s="394"/>
      <c r="AE260" s="395"/>
      <c r="AF260" s="317"/>
      <c r="AG260" s="396" t="s">
        <v>2072</v>
      </c>
      <c r="AH260" s="397"/>
      <c r="AI260" s="317">
        <v>10</v>
      </c>
      <c r="AJ260" s="397">
        <v>44874</v>
      </c>
      <c r="AK260" s="326">
        <v>38656</v>
      </c>
      <c r="AL260" s="326">
        <v>44845</v>
      </c>
      <c r="AM260" s="316"/>
      <c r="AN260" s="305"/>
      <c r="AO260" s="327" t="str">
        <f>_xlfn.IFNA(IF(VLOOKUP(tabItens[[#This Row],[CÓDIGO]],tabExcluirDoEstoque[#Data],1,FALSE),"sim",""),"")</f>
        <v/>
      </c>
      <c r="AP260" s="398" t="str">
        <f ca="1">IF(OR(ISBLANK(tabItens[[#This Row],[ATA DT.VALID.]]),tabItens[[#This Row],[ATA DT.VALID.]]="",tabItens[[#This Row],[ATA DT.VALID.]]=" "),"",IF(TYPE(tabItens[[#This Row],[ATA DT.VALID.]])=1,ROUNDUP((tabItens[[#This Row],[ATA DT.VALID.]]-TODAY())/7,0),""))</f>
        <v/>
      </c>
      <c r="AQ260" s="399">
        <v>0</v>
      </c>
      <c r="AR260" s="400" t="str">
        <f>IF(ISBLANK(tabItens[[#This Row],[CÓDIGO]]),"",IFERROR(VLOOKUP(tabItens[[#This Row],[CÓDIGO]],Consumo!$C$2:$AC$862,26,FALSE),0))</f>
        <v>08.2023</v>
      </c>
      <c r="AS260" s="401">
        <f>SUMIF(Consumo!$C$3:$C$862,tabItens[[#This Row],[CÓDIGO]],Consumo!$N$3:$N$862) + SUMIF(Consumo!$C$3:$C$862,tabItens[[#This Row],[CÓDIGO]],Consumo!$O$3:$O$862) + SUMIF(Consumo!$C$3:$C$862,tabItens[[#This Row],[CÓDIGO]],Consumo!$P$3:$P$862) + SUMIF(Consumo!$C$3:$C$862,tabItens[[#This Row],[CÓDIGO]],Consumo!$Q$3:$Q$862)</f>
        <v>15</v>
      </c>
      <c r="AT260" s="401">
        <f>SUMIF(Consumo!$C$3:$C$862,tabItens[[#This Row],[CÓDIGO]],Consumo!$Z$3:$Z$862)</f>
        <v>30</v>
      </c>
      <c r="AU260" s="402">
        <f>SUMIF(Consumo!$C$3:$C$862,tabItens[[#This Row],[CÓDIGO]],Consumo!$AA$3:$AA$862)</f>
        <v>15</v>
      </c>
      <c r="AV260" s="403">
        <f>SUMIF(Consumo!$C$3:$C$862,tabItens[[#This Row],[CÓDIGO]],Consumo!$Y$3:$Y$862)</f>
        <v>2.1666666666666665</v>
      </c>
      <c r="AW260" s="380">
        <f>tabItens[[#This Row],[QTDE ATUAL]] + tabItens[[#This Row],[RC QTDE]] + tabItens[[#This Row],[AF SALDO]] + tabItens[[#This Row],[Recentes]]</f>
        <v>28</v>
      </c>
      <c r="AX260" s="404">
        <v>5</v>
      </c>
      <c r="AY260" s="404">
        <v>4</v>
      </c>
      <c r="AZ260" s="404">
        <f>IF(ISBLANK(tabItens[[#This Row],[CÓDIGO]]),"",tabItens[[#This Row],[PontoMês]] * (AZ$2+tabItens[[#This Row],[PontoQtM]]))</f>
        <v>20</v>
      </c>
      <c r="BA260" s="403">
        <f>tabItens[[#This Row],[PontoPed]] - tabItens[[#This Row],[Saldo]] + (1/10)</f>
        <v>-7.9</v>
      </c>
      <c r="BB260" s="403">
        <f xml:space="preserve"> tabItens[[#This Row],[PontoMês]] * BB$2 - tabItens[[#This Row],[QTDE ATUAL]] - (1/10)</f>
        <v>-13.1</v>
      </c>
      <c r="BC260" s="335">
        <f>IF( tabItens[[#This Row],[PontoPed]]&gt;0, IF(tabItens[[#This Row],[PontoPed]]&lt;1, 1, IF( tabItens[[#This Row],[Saldo]]&gt;tabItens[[#This Row],[PontoPed]], 0, (tabItens[[#This Row],[PontoPed]]-tabItens[[#This Row],[Saldo]])/tabItens[[#This Row],[PontoPed]] ) ), 0 )</f>
        <v>0</v>
      </c>
      <c r="BD260" s="405">
        <f>ROUNDDOWN(IF( OR( AND(tabItens[[#This Row],[PontoPed]]&lt;tabItens[[#This Row],[Saldo]],tabItens[[#This Row],[Saldo]]&gt;0), tabItens[[#This Row],[PontoPed]]=0), 99, IF(AND(tabItens[[#This Row],[Saldo]]=0,tabItens[[#This Row],[PontoPed]]&gt;0), 0, (1-tabItens[[#This Row],[PctAb]])*10 ) ),0)</f>
        <v>99</v>
      </c>
      <c r="BE260" s="406">
        <f>MAX(ROUNDDOWN( IF(tabItens[[#This Row],[Abaixo]] &gt; 0,   tabItens[[#This Row],[Abaixo]] + (tabItens[[#This Row],[PontoMês]] * IF( OR( ISBLANK(tabItens[[#This Row],[ATA Nº/ANO]]), tabItens[[#This Row],[ATA Nº/ANO]] = ""),BE$2,BE$1)),0),0),0)</f>
        <v>0</v>
      </c>
      <c r="BF26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0" s="338">
        <f>SUMIF(Consumo!$C$3:$C$862,tabItens[[#This Row],[CÓDIGO]],Consumo!$E$3:$E$862)</f>
        <v>0</v>
      </c>
      <c r="BH260" s="339">
        <f>IF(AND(tabItens[[#This Row],[Pend]] &gt; 0,tabItens[[#This Row],[Consumo]] &lt;&gt; 0), tabItens[[#This Row],[Pend]] / tabItens[[#This Row],[Consumo]], 0 )</f>
        <v>0</v>
      </c>
      <c r="BI260" s="338"/>
      <c r="BJ260" s="407"/>
      <c r="BK260" s="408" t="s">
        <v>2086</v>
      </c>
    </row>
    <row r="261" spans="1:63" x14ac:dyDescent="0.3">
      <c r="A261" s="375">
        <v>88732</v>
      </c>
      <c r="B261" s="376" t="s">
        <v>1509</v>
      </c>
      <c r="C261" s="377" t="s">
        <v>263</v>
      </c>
      <c r="D261" s="378">
        <v>19.5</v>
      </c>
      <c r="E261" s="305"/>
      <c r="F261" s="379"/>
      <c r="G261" s="379" t="s">
        <v>889</v>
      </c>
      <c r="H261" s="380">
        <v>24</v>
      </c>
      <c r="I261" s="307">
        <v>103003</v>
      </c>
      <c r="J261" s="308">
        <v>19.5</v>
      </c>
      <c r="K261" s="381">
        <v>32</v>
      </c>
      <c r="L261" s="382">
        <f>IF(tabItens[[#This Row],[Média]] &gt; 0, tabItens[[#This Row],[QTDE ATUAL]] / tabItens[[#This Row],[Média]],999.9)</f>
        <v>9</v>
      </c>
      <c r="M261" s="383">
        <v>0</v>
      </c>
      <c r="N261" s="384">
        <f>tabItens[[#This Row],[VALOR UNIT.]] * tabItens[[#This Row],[LC]]</f>
        <v>0</v>
      </c>
      <c r="O261" s="385" t="s">
        <v>2123</v>
      </c>
      <c r="P261" s="386"/>
      <c r="Q261" s="387"/>
      <c r="R261" s="312"/>
      <c r="S261" s="388"/>
      <c r="T261" s="389">
        <f>ROUNDDOWN(IFERROR(tabItens[[#This Row],[ATA DT.VALID.]] - $D$1,0) / 30,0)</f>
        <v>-1474</v>
      </c>
      <c r="U261" s="302" t="s">
        <v>1502</v>
      </c>
      <c r="V261" s="318">
        <v>1</v>
      </c>
      <c r="W261" s="390" t="s">
        <v>2077</v>
      </c>
      <c r="X261" s="391">
        <v>55</v>
      </c>
      <c r="Y261" s="392">
        <v>26</v>
      </c>
      <c r="Z261" s="393">
        <v>2442</v>
      </c>
      <c r="AA261" s="394">
        <v>2023</v>
      </c>
      <c r="AB261" s="395">
        <v>10</v>
      </c>
      <c r="AC261" s="395"/>
      <c r="AD261" s="394"/>
      <c r="AE261" s="395"/>
      <c r="AF261" s="317"/>
      <c r="AG261" s="396" t="s">
        <v>2072</v>
      </c>
      <c r="AH261" s="397"/>
      <c r="AI261" s="317">
        <v>10</v>
      </c>
      <c r="AJ261" s="397">
        <v>43903</v>
      </c>
      <c r="AK261" s="326">
        <v>38656</v>
      </c>
      <c r="AL261" s="326">
        <v>43892</v>
      </c>
      <c r="AM261" s="316"/>
      <c r="AN261" s="305"/>
      <c r="AO261" s="327" t="str">
        <f>_xlfn.IFNA(IF(VLOOKUP(tabItens[[#This Row],[CÓDIGO]],tabExcluirDoEstoque[#Data],1,FALSE),"sim",""),"")</f>
        <v/>
      </c>
      <c r="AP261" s="398" t="str">
        <f ca="1">IF(OR(ISBLANK(tabItens[[#This Row],[ATA DT.VALID.]]),tabItens[[#This Row],[ATA DT.VALID.]]="",tabItens[[#This Row],[ATA DT.VALID.]]=" "),"",IF(TYPE(tabItens[[#This Row],[ATA DT.VALID.]])=1,ROUNDUP((tabItens[[#This Row],[ATA DT.VALID.]]-TODAY())/7,0),""))</f>
        <v/>
      </c>
      <c r="AQ261" s="399">
        <v>0</v>
      </c>
      <c r="AR261" s="400" t="str">
        <f>IF(ISBLANK(tabItens[[#This Row],[CÓDIGO]]),"",IFERROR(VLOOKUP(tabItens[[#This Row],[CÓDIGO]],Consumo!$C$2:$AC$862,26,FALSE),0))</f>
        <v>04.2023</v>
      </c>
      <c r="AS261" s="401">
        <f>SUMIF(Consumo!$C$3:$C$862,tabItens[[#This Row],[CÓDIGO]],Consumo!$N$3:$N$862) + SUMIF(Consumo!$C$3:$C$862,tabItens[[#This Row],[CÓDIGO]],Consumo!$O$3:$O$862) + SUMIF(Consumo!$C$3:$C$862,tabItens[[#This Row],[CÓDIGO]],Consumo!$P$3:$P$862) + SUMIF(Consumo!$C$3:$C$862,tabItens[[#This Row],[CÓDIGO]],Consumo!$Q$3:$Q$862)</f>
        <v>0</v>
      </c>
      <c r="AT261" s="401">
        <f>SUMIF(Consumo!$C$3:$C$862,tabItens[[#This Row],[CÓDIGO]],Consumo!$Z$3:$Z$862)</f>
        <v>32</v>
      </c>
      <c r="AU261" s="402">
        <f>SUMIF(Consumo!$C$3:$C$862,tabItens[[#This Row],[CÓDIGO]],Consumo!$AA$3:$AA$862)</f>
        <v>10</v>
      </c>
      <c r="AV261" s="403">
        <f>SUMIF(Consumo!$C$3:$C$862,tabItens[[#This Row],[CÓDIGO]],Consumo!$Y$3:$Y$862)</f>
        <v>2.6666666666666665</v>
      </c>
      <c r="AW261" s="380">
        <f>tabItens[[#This Row],[QTDE ATUAL]] + tabItens[[#This Row],[RC QTDE]] + tabItens[[#This Row],[AF SALDO]] + tabItens[[#This Row],[Recentes]]</f>
        <v>34</v>
      </c>
      <c r="AX261" s="404">
        <v>11</v>
      </c>
      <c r="AY261" s="404">
        <v>4</v>
      </c>
      <c r="AZ261" s="404">
        <f>IF(ISBLANK(tabItens[[#This Row],[CÓDIGO]]),"",tabItens[[#This Row],[PontoMês]] * (AZ$2+tabItens[[#This Row],[PontoQtM]]))</f>
        <v>44</v>
      </c>
      <c r="BA261" s="403">
        <f>tabItens[[#This Row],[PontoPed]] - tabItens[[#This Row],[Saldo]] + (1/10)</f>
        <v>10.1</v>
      </c>
      <c r="BB261" s="403">
        <f xml:space="preserve"> tabItens[[#This Row],[PontoMês]] * BB$2 - tabItens[[#This Row],[QTDE ATUAL]] - (1/10)</f>
        <v>-13.1</v>
      </c>
      <c r="BC261" s="335">
        <f>IF( tabItens[[#This Row],[PontoPed]]&gt;0, IF(tabItens[[#This Row],[PontoPed]]&lt;1, 1, IF( tabItens[[#This Row],[Saldo]]&gt;tabItens[[#This Row],[PontoPed]], 0, (tabItens[[#This Row],[PontoPed]]-tabItens[[#This Row],[Saldo]])/tabItens[[#This Row],[PontoPed]] ) ), 0 )</f>
        <v>0.22727272727272727</v>
      </c>
      <c r="BD261" s="405">
        <f>ROUNDDOWN(IF( OR( AND(tabItens[[#This Row],[PontoPed]]&lt;tabItens[[#This Row],[Saldo]],tabItens[[#This Row],[Saldo]]&gt;0), tabItens[[#This Row],[PontoPed]]=0), 99, IF(AND(tabItens[[#This Row],[Saldo]]=0,tabItens[[#This Row],[PontoPed]]&gt;0), 0, (1-tabItens[[#This Row],[PctAb]])*10 ) ),0)</f>
        <v>7</v>
      </c>
      <c r="BE261" s="406">
        <f>MAX(ROUNDDOWN( IF(tabItens[[#This Row],[Abaixo]] &gt; 0,   tabItens[[#This Row],[Abaixo]] + (tabItens[[#This Row],[PontoMês]] * IF( OR( ISBLANK(tabItens[[#This Row],[ATA Nº/ANO]]), tabItens[[#This Row],[ATA Nº/ANO]] = ""),BE$2,BE$1)),0),0),0)</f>
        <v>43</v>
      </c>
      <c r="BF26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1" s="338">
        <f>SUMIF(Consumo!$C$3:$C$862,tabItens[[#This Row],[CÓDIGO]],Consumo!$E$3:$E$862)</f>
        <v>0</v>
      </c>
      <c r="BH261" s="339">
        <f>IF(AND(tabItens[[#This Row],[Pend]] &gt; 0,tabItens[[#This Row],[Consumo]] &lt;&gt; 0), tabItens[[#This Row],[Pend]] / tabItens[[#This Row],[Consumo]], 0 )</f>
        <v>0</v>
      </c>
      <c r="BI261" s="338"/>
      <c r="BJ261" s="407"/>
      <c r="BK261" s="408" t="s">
        <v>2086</v>
      </c>
    </row>
    <row r="262" spans="1:63" x14ac:dyDescent="0.3">
      <c r="A262" s="375">
        <v>88733</v>
      </c>
      <c r="B262" s="376" t="s">
        <v>1510</v>
      </c>
      <c r="C262" s="377" t="s">
        <v>263</v>
      </c>
      <c r="D262" s="378">
        <v>28.2</v>
      </c>
      <c r="E262" s="305"/>
      <c r="F262" s="379"/>
      <c r="G262" s="379" t="s">
        <v>889</v>
      </c>
      <c r="H262" s="380">
        <v>0</v>
      </c>
      <c r="I262" s="307">
        <v>103003</v>
      </c>
      <c r="J262" s="308">
        <v>28.2</v>
      </c>
      <c r="K262" s="381">
        <v>56</v>
      </c>
      <c r="L262" s="382">
        <f>IF(tabItens[[#This Row],[Média]] &gt; 0, tabItens[[#This Row],[QTDE ATUAL]] / tabItens[[#This Row],[Média]],999.9)</f>
        <v>0</v>
      </c>
      <c r="M262" s="383">
        <v>0</v>
      </c>
      <c r="N262" s="384">
        <f>tabItens[[#This Row],[VALOR UNIT.]] * tabItens[[#This Row],[LC]]</f>
        <v>0</v>
      </c>
      <c r="O262" s="385" t="s">
        <v>2123</v>
      </c>
      <c r="P262" s="386"/>
      <c r="Q262" s="387"/>
      <c r="R262" s="312"/>
      <c r="S262" s="388"/>
      <c r="T262" s="389">
        <f>ROUNDDOWN(IFERROR(tabItens[[#This Row],[ATA DT.VALID.]] - $D$1,0) / 30,0)</f>
        <v>-1474</v>
      </c>
      <c r="U262" s="302" t="s">
        <v>1502</v>
      </c>
      <c r="V262" s="318">
        <v>1</v>
      </c>
      <c r="W262" s="390" t="s">
        <v>2077</v>
      </c>
      <c r="X262" s="391">
        <v>55</v>
      </c>
      <c r="Y262" s="392">
        <v>26</v>
      </c>
      <c r="Z262" s="393">
        <v>2956</v>
      </c>
      <c r="AA262" s="394">
        <v>2023</v>
      </c>
      <c r="AB262" s="395">
        <v>20</v>
      </c>
      <c r="AC262" s="395"/>
      <c r="AD262" s="394"/>
      <c r="AE262" s="395"/>
      <c r="AF262" s="317"/>
      <c r="AG262" s="396" t="s">
        <v>2072</v>
      </c>
      <c r="AH262" s="397"/>
      <c r="AI262" s="317">
        <v>18</v>
      </c>
      <c r="AJ262" s="397">
        <v>44175</v>
      </c>
      <c r="AK262" s="326">
        <v>38656</v>
      </c>
      <c r="AL262" s="326">
        <v>44167</v>
      </c>
      <c r="AM262" s="316"/>
      <c r="AN262" s="305"/>
      <c r="AO262" s="327" t="str">
        <f>_xlfn.IFNA(IF(VLOOKUP(tabItens[[#This Row],[CÓDIGO]],tabExcluirDoEstoque[#Data],1,FALSE),"sim",""),"")</f>
        <v/>
      </c>
      <c r="AP262" s="398" t="str">
        <f ca="1">IF(OR(ISBLANK(tabItens[[#This Row],[ATA DT.VALID.]]),tabItens[[#This Row],[ATA DT.VALID.]]="",tabItens[[#This Row],[ATA DT.VALID.]]=" "),"",IF(TYPE(tabItens[[#This Row],[ATA DT.VALID.]])=1,ROUNDUP((tabItens[[#This Row],[ATA DT.VALID.]]-TODAY())/7,0),""))</f>
        <v/>
      </c>
      <c r="AQ262" s="399">
        <v>0</v>
      </c>
      <c r="AR262" s="400" t="str">
        <f>IF(ISBLANK(tabItens[[#This Row],[CÓDIGO]]),"",IFERROR(VLOOKUP(tabItens[[#This Row],[CÓDIGO]],Consumo!$C$2:$AC$862,26,FALSE),0))</f>
        <v>04.2023</v>
      </c>
      <c r="AS262" s="401">
        <f>SUMIF(Consumo!$C$3:$C$862,tabItens[[#This Row],[CÓDIGO]],Consumo!$N$3:$N$862) + SUMIF(Consumo!$C$3:$C$862,tabItens[[#This Row],[CÓDIGO]],Consumo!$O$3:$O$862) + SUMIF(Consumo!$C$3:$C$862,tabItens[[#This Row],[CÓDIGO]],Consumo!$P$3:$P$862) + SUMIF(Consumo!$C$3:$C$862,tabItens[[#This Row],[CÓDIGO]],Consumo!$Q$3:$Q$862)</f>
        <v>0</v>
      </c>
      <c r="AT262" s="401">
        <f>SUMIF(Consumo!$C$3:$C$862,tabItens[[#This Row],[CÓDIGO]],Consumo!$Z$3:$Z$862)</f>
        <v>58</v>
      </c>
      <c r="AU262" s="402">
        <f>SUMIF(Consumo!$C$3:$C$862,tabItens[[#This Row],[CÓDIGO]],Consumo!$AA$3:$AA$862)</f>
        <v>20</v>
      </c>
      <c r="AV262" s="403">
        <f>SUMIF(Consumo!$C$3:$C$862,tabItens[[#This Row],[CÓDIGO]],Consumo!$Y$3:$Y$862)</f>
        <v>4.583333333333333</v>
      </c>
      <c r="AW262" s="380">
        <f>tabItens[[#This Row],[QTDE ATUAL]] + tabItens[[#This Row],[RC QTDE]] + tabItens[[#This Row],[AF SALDO]] + tabItens[[#This Row],[Recentes]]</f>
        <v>20</v>
      </c>
      <c r="AX262" s="404">
        <v>6</v>
      </c>
      <c r="AY262" s="404">
        <v>4</v>
      </c>
      <c r="AZ262" s="404">
        <f>IF(ISBLANK(tabItens[[#This Row],[CÓDIGO]]),"",tabItens[[#This Row],[PontoMês]] * (AZ$2+tabItens[[#This Row],[PontoQtM]]))</f>
        <v>24</v>
      </c>
      <c r="BA262" s="403">
        <f>tabItens[[#This Row],[PontoPed]] - tabItens[[#This Row],[Saldo]] + (1/10)</f>
        <v>4.0999999999999996</v>
      </c>
      <c r="BB262" s="403">
        <f xml:space="preserve"> tabItens[[#This Row],[PontoMês]] * BB$2 - tabItens[[#This Row],[QTDE ATUAL]] - (1/10)</f>
        <v>5.9</v>
      </c>
      <c r="BC262" s="335">
        <f>IF( tabItens[[#This Row],[PontoPed]]&gt;0, IF(tabItens[[#This Row],[PontoPed]]&lt;1, 1, IF( tabItens[[#This Row],[Saldo]]&gt;tabItens[[#This Row],[PontoPed]], 0, (tabItens[[#This Row],[PontoPed]]-tabItens[[#This Row],[Saldo]])/tabItens[[#This Row],[PontoPed]] ) ), 0 )</f>
        <v>0.16666666666666666</v>
      </c>
      <c r="BD262" s="405">
        <f>ROUNDDOWN(IF( OR( AND(tabItens[[#This Row],[PontoPed]]&lt;tabItens[[#This Row],[Saldo]],tabItens[[#This Row],[Saldo]]&gt;0), tabItens[[#This Row],[PontoPed]]=0), 99, IF(AND(tabItens[[#This Row],[Saldo]]=0,tabItens[[#This Row],[PontoPed]]&gt;0), 0, (1-tabItens[[#This Row],[PctAb]])*10 ) ),0)</f>
        <v>8</v>
      </c>
      <c r="BE262" s="406">
        <f>MAX(ROUNDDOWN( IF(tabItens[[#This Row],[Abaixo]] &gt; 0,   tabItens[[#This Row],[Abaixo]] + (tabItens[[#This Row],[PontoMês]] * IF( OR( ISBLANK(tabItens[[#This Row],[ATA Nº/ANO]]), tabItens[[#This Row],[ATA Nº/ANO]] = ""),BE$2,BE$1)),0),0),0)</f>
        <v>22</v>
      </c>
      <c r="BF26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2" s="338">
        <f>SUMIF(Consumo!$C$3:$C$862,tabItens[[#This Row],[CÓDIGO]],Consumo!$E$3:$E$862)</f>
        <v>2</v>
      </c>
      <c r="BH262" s="339">
        <f>IF(AND(tabItens[[#This Row],[Pend]] &gt; 0,tabItens[[#This Row],[Consumo]] &lt;&gt; 0), tabItens[[#This Row],[Pend]] / tabItens[[#This Row],[Consumo]], 0 )</f>
        <v>3.4482758620689655E-2</v>
      </c>
      <c r="BI262" s="338"/>
      <c r="BJ262" s="407"/>
      <c r="BK262" s="408" t="s">
        <v>2086</v>
      </c>
    </row>
    <row r="263" spans="1:63" x14ac:dyDescent="0.3">
      <c r="A263" s="375">
        <v>88734</v>
      </c>
      <c r="B263" s="376" t="s">
        <v>1511</v>
      </c>
      <c r="C263" s="377" t="s">
        <v>263</v>
      </c>
      <c r="D263" s="378">
        <v>44</v>
      </c>
      <c r="E263" s="305"/>
      <c r="F263" s="379"/>
      <c r="G263" s="379" t="s">
        <v>889</v>
      </c>
      <c r="H263" s="380">
        <v>44</v>
      </c>
      <c r="I263" s="307">
        <v>103003</v>
      </c>
      <c r="J263" s="308">
        <v>44</v>
      </c>
      <c r="K263" s="381">
        <v>8</v>
      </c>
      <c r="L263" s="382">
        <f>IF(tabItens[[#This Row],[Média]] &gt; 0, tabItens[[#This Row],[QTDE ATUAL]] / tabItens[[#This Row],[Média]],999.9)</f>
        <v>88</v>
      </c>
      <c r="M263" s="383">
        <v>0</v>
      </c>
      <c r="N263" s="384">
        <f>tabItens[[#This Row],[VALOR UNIT.]] * tabItens[[#This Row],[LC]]</f>
        <v>0</v>
      </c>
      <c r="O263" s="385" t="s">
        <v>2123</v>
      </c>
      <c r="P263" s="386"/>
      <c r="Q263" s="387"/>
      <c r="R263" s="312"/>
      <c r="S263" s="388"/>
      <c r="T263" s="389">
        <f>ROUNDDOWN(IFERROR(tabItens[[#This Row],[ATA DT.VALID.]] - $D$1,0) / 30,0)</f>
        <v>-1474</v>
      </c>
      <c r="U263" s="302" t="s">
        <v>1502</v>
      </c>
      <c r="V263" s="318">
        <v>1</v>
      </c>
      <c r="W263" s="390" t="s">
        <v>2077</v>
      </c>
      <c r="X263" s="391">
        <v>55</v>
      </c>
      <c r="Y263" s="392">
        <v>26</v>
      </c>
      <c r="Z263" s="393"/>
      <c r="AA263" s="394"/>
      <c r="AB263" s="395"/>
      <c r="AC263" s="395"/>
      <c r="AD263" s="394"/>
      <c r="AE263" s="395"/>
      <c r="AF263" s="317"/>
      <c r="AG263" s="396" t="s">
        <v>2072</v>
      </c>
      <c r="AH263" s="397"/>
      <c r="AI263" s="317">
        <v>2</v>
      </c>
      <c r="AJ263" s="397">
        <v>43903</v>
      </c>
      <c r="AK263" s="326">
        <v>38656</v>
      </c>
      <c r="AL263" s="326">
        <v>44687</v>
      </c>
      <c r="AM263" s="316"/>
      <c r="AN263" s="305"/>
      <c r="AO263" s="327" t="str">
        <f>_xlfn.IFNA(IF(VLOOKUP(tabItens[[#This Row],[CÓDIGO]],tabExcluirDoEstoque[#Data],1,FALSE),"sim",""),"")</f>
        <v/>
      </c>
      <c r="AP263" s="398" t="str">
        <f ca="1">IF(OR(ISBLANK(tabItens[[#This Row],[ATA DT.VALID.]]),tabItens[[#This Row],[ATA DT.VALID.]]="",tabItens[[#This Row],[ATA DT.VALID.]]=" "),"",IF(TYPE(tabItens[[#This Row],[ATA DT.VALID.]])=1,ROUNDUP((tabItens[[#This Row],[ATA DT.VALID.]]-TODAY())/7,0),""))</f>
        <v/>
      </c>
      <c r="AQ263" s="399">
        <v>0</v>
      </c>
      <c r="AR263" s="400" t="str">
        <f>IF(ISBLANK(tabItens[[#This Row],[CÓDIGO]]),"",IFERROR(VLOOKUP(tabItens[[#This Row],[CÓDIGO]],Consumo!$C$2:$AC$862,26,FALSE),0))</f>
        <v>02.2023</v>
      </c>
      <c r="AS263" s="401">
        <f>SUMIF(Consumo!$C$3:$C$862,tabItens[[#This Row],[CÓDIGO]],Consumo!$N$3:$N$862) + SUMIF(Consumo!$C$3:$C$862,tabItens[[#This Row],[CÓDIGO]],Consumo!$O$3:$O$862) + SUMIF(Consumo!$C$3:$C$862,tabItens[[#This Row],[CÓDIGO]],Consumo!$P$3:$P$862) + SUMIF(Consumo!$C$3:$C$862,tabItens[[#This Row],[CÓDIGO]],Consumo!$Q$3:$Q$862)</f>
        <v>0</v>
      </c>
      <c r="AT263" s="401">
        <f>SUMIF(Consumo!$C$3:$C$862,tabItens[[#This Row],[CÓDIGO]],Consumo!$Z$3:$Z$862)</f>
        <v>8</v>
      </c>
      <c r="AU263" s="402">
        <f>SUMIF(Consumo!$C$3:$C$862,tabItens[[#This Row],[CÓDIGO]],Consumo!$AA$3:$AA$862)</f>
        <v>3</v>
      </c>
      <c r="AV263" s="403">
        <f>SUMIF(Consumo!$C$3:$C$862,tabItens[[#This Row],[CÓDIGO]],Consumo!$Y$3:$Y$862)</f>
        <v>0.5</v>
      </c>
      <c r="AW263" s="380">
        <f>tabItens[[#This Row],[QTDE ATUAL]] + tabItens[[#This Row],[RC QTDE]] + tabItens[[#This Row],[AF SALDO]] + tabItens[[#This Row],[Recentes]]</f>
        <v>44</v>
      </c>
      <c r="AX263" s="404">
        <v>8</v>
      </c>
      <c r="AY263" s="404">
        <v>4</v>
      </c>
      <c r="AZ263" s="404">
        <f>IF(ISBLANK(tabItens[[#This Row],[CÓDIGO]]),"",tabItens[[#This Row],[PontoMês]] * (AZ$2+tabItens[[#This Row],[PontoQtM]]))</f>
        <v>32</v>
      </c>
      <c r="BA263" s="403">
        <f>tabItens[[#This Row],[PontoPed]] - tabItens[[#This Row],[Saldo]] + (1/10)</f>
        <v>-11.9</v>
      </c>
      <c r="BB263" s="403">
        <f xml:space="preserve"> tabItens[[#This Row],[PontoMês]] * BB$2 - tabItens[[#This Row],[QTDE ATUAL]] - (1/10)</f>
        <v>-36.1</v>
      </c>
      <c r="BC263" s="335">
        <f>IF( tabItens[[#This Row],[PontoPed]]&gt;0, IF(tabItens[[#This Row],[PontoPed]]&lt;1, 1, IF( tabItens[[#This Row],[Saldo]]&gt;tabItens[[#This Row],[PontoPed]], 0, (tabItens[[#This Row],[PontoPed]]-tabItens[[#This Row],[Saldo]])/tabItens[[#This Row],[PontoPed]] ) ), 0 )</f>
        <v>0</v>
      </c>
      <c r="BD263" s="405">
        <f>ROUNDDOWN(IF( OR( AND(tabItens[[#This Row],[PontoPed]]&lt;tabItens[[#This Row],[Saldo]],tabItens[[#This Row],[Saldo]]&gt;0), tabItens[[#This Row],[PontoPed]]=0), 99, IF(AND(tabItens[[#This Row],[Saldo]]=0,tabItens[[#This Row],[PontoPed]]&gt;0), 0, (1-tabItens[[#This Row],[PctAb]])*10 ) ),0)</f>
        <v>99</v>
      </c>
      <c r="BE263" s="406">
        <f>MAX(ROUNDDOWN( IF(tabItens[[#This Row],[Abaixo]] &gt; 0,   tabItens[[#This Row],[Abaixo]] + (tabItens[[#This Row],[PontoMês]] * IF( OR( ISBLANK(tabItens[[#This Row],[ATA Nº/ANO]]), tabItens[[#This Row],[ATA Nº/ANO]] = ""),BE$2,BE$1)),0),0),0)</f>
        <v>0</v>
      </c>
      <c r="BF26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3" s="338">
        <f>SUMIF(Consumo!$C$3:$C$862,tabItens[[#This Row],[CÓDIGO]],Consumo!$E$3:$E$862)</f>
        <v>0</v>
      </c>
      <c r="BH263" s="339">
        <f>IF(AND(tabItens[[#This Row],[Pend]] &gt; 0,tabItens[[#This Row],[Consumo]] &lt;&gt; 0), tabItens[[#This Row],[Pend]] / tabItens[[#This Row],[Consumo]], 0 )</f>
        <v>0</v>
      </c>
      <c r="BI263" s="338"/>
      <c r="BJ263" s="407"/>
      <c r="BK263" s="408" t="s">
        <v>2086</v>
      </c>
    </row>
    <row r="264" spans="1:63" x14ac:dyDescent="0.3">
      <c r="A264" s="375">
        <v>88735</v>
      </c>
      <c r="B264" s="376" t="s">
        <v>1512</v>
      </c>
      <c r="C264" s="377" t="s">
        <v>263</v>
      </c>
      <c r="D264" s="378">
        <v>34.299999999999997</v>
      </c>
      <c r="E264" s="305"/>
      <c r="F264" s="379"/>
      <c r="G264" s="379" t="s">
        <v>889</v>
      </c>
      <c r="H264" s="380">
        <v>91</v>
      </c>
      <c r="I264" s="307">
        <v>103003</v>
      </c>
      <c r="J264" s="308">
        <v>34.299999999999997</v>
      </c>
      <c r="K264" s="381">
        <v>22</v>
      </c>
      <c r="L264" s="382">
        <f>IF(tabItens[[#This Row],[Média]] &gt; 0, tabItens[[#This Row],[QTDE ATUAL]] / tabItens[[#This Row],[Média]],999.9)</f>
        <v>47.478260869565219</v>
      </c>
      <c r="M264" s="383">
        <v>0</v>
      </c>
      <c r="N264" s="384">
        <f>tabItens[[#This Row],[VALOR UNIT.]] * tabItens[[#This Row],[LC]]</f>
        <v>0</v>
      </c>
      <c r="O264" s="385" t="s">
        <v>2123</v>
      </c>
      <c r="P264" s="386"/>
      <c r="Q264" s="387"/>
      <c r="R264" s="312"/>
      <c r="S264" s="388"/>
      <c r="T264" s="389">
        <f>ROUNDDOWN(IFERROR(tabItens[[#This Row],[ATA DT.VALID.]] - $D$1,0) / 30,0)</f>
        <v>-1474</v>
      </c>
      <c r="U264" s="302" t="s">
        <v>1502</v>
      </c>
      <c r="V264" s="318">
        <v>1</v>
      </c>
      <c r="W264" s="390" t="s">
        <v>2077</v>
      </c>
      <c r="X264" s="391">
        <v>55</v>
      </c>
      <c r="Y264" s="392">
        <v>26</v>
      </c>
      <c r="Z264" s="393"/>
      <c r="AA264" s="394"/>
      <c r="AB264" s="395"/>
      <c r="AC264" s="395"/>
      <c r="AD264" s="394"/>
      <c r="AE264" s="395"/>
      <c r="AF264" s="317"/>
      <c r="AG264" s="396" t="s">
        <v>2072</v>
      </c>
      <c r="AH264" s="397"/>
      <c r="AI264" s="317">
        <v>8</v>
      </c>
      <c r="AJ264" s="397">
        <v>44628</v>
      </c>
      <c r="AK264" s="326">
        <v>38656</v>
      </c>
      <c r="AL264" s="326">
        <v>44616</v>
      </c>
      <c r="AM264" s="316"/>
      <c r="AN264" s="305"/>
      <c r="AO264" s="327" t="str">
        <f>_xlfn.IFNA(IF(VLOOKUP(tabItens[[#This Row],[CÓDIGO]],tabExcluirDoEstoque[#Data],1,FALSE),"sim",""),"")</f>
        <v/>
      </c>
      <c r="AP264" s="398" t="str">
        <f ca="1">IF(OR(ISBLANK(tabItens[[#This Row],[ATA DT.VALID.]]),tabItens[[#This Row],[ATA DT.VALID.]]="",tabItens[[#This Row],[ATA DT.VALID.]]=" "),"",IF(TYPE(tabItens[[#This Row],[ATA DT.VALID.]])=1,ROUNDUP((tabItens[[#This Row],[ATA DT.VALID.]]-TODAY())/7,0),""))</f>
        <v/>
      </c>
      <c r="AQ264" s="399">
        <v>0</v>
      </c>
      <c r="AR264" s="400" t="str">
        <f>IF(ISBLANK(tabItens[[#This Row],[CÓDIGO]]),"",IFERROR(VLOOKUP(tabItens[[#This Row],[CÓDIGO]],Consumo!$C$2:$AC$862,26,FALSE),0))</f>
        <v>06.2023</v>
      </c>
      <c r="AS264" s="401">
        <f>SUMIF(Consumo!$C$3:$C$862,tabItens[[#This Row],[CÓDIGO]],Consumo!$N$3:$N$862) + SUMIF(Consumo!$C$3:$C$862,tabItens[[#This Row],[CÓDIGO]],Consumo!$O$3:$O$862) + SUMIF(Consumo!$C$3:$C$862,tabItens[[#This Row],[CÓDIGO]],Consumo!$P$3:$P$862) + SUMIF(Consumo!$C$3:$C$862,tabItens[[#This Row],[CÓDIGO]],Consumo!$Q$3:$Q$862)</f>
        <v>5</v>
      </c>
      <c r="AT264" s="401">
        <f>SUMIF(Consumo!$C$3:$C$862,tabItens[[#This Row],[CÓDIGO]],Consumo!$Z$3:$Z$862)</f>
        <v>23</v>
      </c>
      <c r="AU264" s="402">
        <f>SUMIF(Consumo!$C$3:$C$862,tabItens[[#This Row],[CÓDIGO]],Consumo!$AA$3:$AA$862)</f>
        <v>5</v>
      </c>
      <c r="AV264" s="403">
        <f>SUMIF(Consumo!$C$3:$C$862,tabItens[[#This Row],[CÓDIGO]],Consumo!$Y$3:$Y$862)</f>
        <v>1.9166666666666667</v>
      </c>
      <c r="AW264" s="380">
        <f>tabItens[[#This Row],[QTDE ATUAL]] + tabItens[[#This Row],[RC QTDE]] + tabItens[[#This Row],[AF SALDO]] + tabItens[[#This Row],[Recentes]]</f>
        <v>91</v>
      </c>
      <c r="AX264" s="404">
        <v>4</v>
      </c>
      <c r="AY264" s="404">
        <v>4</v>
      </c>
      <c r="AZ264" s="404">
        <f>IF(ISBLANK(tabItens[[#This Row],[CÓDIGO]]),"",tabItens[[#This Row],[PontoMês]] * (AZ$2+tabItens[[#This Row],[PontoQtM]]))</f>
        <v>16</v>
      </c>
      <c r="BA264" s="403">
        <f>tabItens[[#This Row],[PontoPed]] - tabItens[[#This Row],[Saldo]] + (1/10)</f>
        <v>-74.900000000000006</v>
      </c>
      <c r="BB264" s="403">
        <f xml:space="preserve"> tabItens[[#This Row],[PontoMês]] * BB$2 - tabItens[[#This Row],[QTDE ATUAL]] - (1/10)</f>
        <v>-87.1</v>
      </c>
      <c r="BC264" s="335">
        <f>IF( tabItens[[#This Row],[PontoPed]]&gt;0, IF(tabItens[[#This Row],[PontoPed]]&lt;1, 1, IF( tabItens[[#This Row],[Saldo]]&gt;tabItens[[#This Row],[PontoPed]], 0, (tabItens[[#This Row],[PontoPed]]-tabItens[[#This Row],[Saldo]])/tabItens[[#This Row],[PontoPed]] ) ), 0 )</f>
        <v>0</v>
      </c>
      <c r="BD264" s="405">
        <f>ROUNDDOWN(IF( OR( AND(tabItens[[#This Row],[PontoPed]]&lt;tabItens[[#This Row],[Saldo]],tabItens[[#This Row],[Saldo]]&gt;0), tabItens[[#This Row],[PontoPed]]=0), 99, IF(AND(tabItens[[#This Row],[Saldo]]=0,tabItens[[#This Row],[PontoPed]]&gt;0), 0, (1-tabItens[[#This Row],[PctAb]])*10 ) ),0)</f>
        <v>99</v>
      </c>
      <c r="BE264" s="406">
        <f>MAX(ROUNDDOWN( IF(tabItens[[#This Row],[Abaixo]] &gt; 0,   tabItens[[#This Row],[Abaixo]] + (tabItens[[#This Row],[PontoMês]] * IF( OR( ISBLANK(tabItens[[#This Row],[ATA Nº/ANO]]), tabItens[[#This Row],[ATA Nº/ANO]] = ""),BE$2,BE$1)),0),0),0)</f>
        <v>0</v>
      </c>
      <c r="BF26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4" s="338">
        <f>SUMIF(Consumo!$C$3:$C$862,tabItens[[#This Row],[CÓDIGO]],Consumo!$E$3:$E$862)</f>
        <v>0</v>
      </c>
      <c r="BH264" s="339">
        <f>IF(AND(tabItens[[#This Row],[Pend]] &gt; 0,tabItens[[#This Row],[Consumo]] &lt;&gt; 0), tabItens[[#This Row],[Pend]] / tabItens[[#This Row],[Consumo]], 0 )</f>
        <v>0</v>
      </c>
      <c r="BI264" s="338"/>
      <c r="BJ264" s="407"/>
      <c r="BK264" s="408" t="s">
        <v>2086</v>
      </c>
    </row>
    <row r="265" spans="1:63" x14ac:dyDescent="0.3">
      <c r="A265" s="375">
        <v>88747</v>
      </c>
      <c r="B265" s="376" t="s">
        <v>1517</v>
      </c>
      <c r="C265" s="377" t="s">
        <v>263</v>
      </c>
      <c r="D265" s="378">
        <v>205</v>
      </c>
      <c r="E265" s="305"/>
      <c r="F265" s="379"/>
      <c r="G265" s="379" t="s">
        <v>889</v>
      </c>
      <c r="H265" s="380">
        <v>5</v>
      </c>
      <c r="I265" s="307">
        <v>103003</v>
      </c>
      <c r="J265" s="308">
        <v>205</v>
      </c>
      <c r="K265" s="381">
        <v>5</v>
      </c>
      <c r="L265" s="382">
        <f>IF(tabItens[[#This Row],[Média]] &gt; 0, tabItens[[#This Row],[QTDE ATUAL]] / tabItens[[#This Row],[Média]],999.9)</f>
        <v>15</v>
      </c>
      <c r="M265" s="383">
        <v>0</v>
      </c>
      <c r="N265" s="384">
        <f>tabItens[[#This Row],[VALOR UNIT.]] * tabItens[[#This Row],[LC]]</f>
        <v>0</v>
      </c>
      <c r="O265" s="385" t="s">
        <v>2123</v>
      </c>
      <c r="P265" s="386"/>
      <c r="Q265" s="387"/>
      <c r="R265" s="312"/>
      <c r="S265" s="388"/>
      <c r="T265" s="389">
        <f>ROUNDDOWN(IFERROR(tabItens[[#This Row],[ATA DT.VALID.]] - $D$1,0) / 30,0)</f>
        <v>-1474</v>
      </c>
      <c r="U265" s="302" t="s">
        <v>1502</v>
      </c>
      <c r="V265" s="318">
        <v>1</v>
      </c>
      <c r="W265" s="390" t="s">
        <v>2077</v>
      </c>
      <c r="X265" s="391">
        <v>55</v>
      </c>
      <c r="Y265" s="392">
        <v>26</v>
      </c>
      <c r="Z265" s="393"/>
      <c r="AA265" s="394"/>
      <c r="AB265" s="395"/>
      <c r="AC265" s="395"/>
      <c r="AD265" s="394"/>
      <c r="AE265" s="395"/>
      <c r="AF265" s="317"/>
      <c r="AG265" s="396" t="s">
        <v>2072</v>
      </c>
      <c r="AH265" s="397"/>
      <c r="AI265" s="317">
        <v>2</v>
      </c>
      <c r="AJ265" s="397">
        <v>44649</v>
      </c>
      <c r="AK265" s="326">
        <v>38656</v>
      </c>
      <c r="AL265" s="326">
        <v>44687</v>
      </c>
      <c r="AM265" s="316"/>
      <c r="AN265" s="305"/>
      <c r="AO265" s="327" t="str">
        <f>_xlfn.IFNA(IF(VLOOKUP(tabItens[[#This Row],[CÓDIGO]],tabExcluirDoEstoque[#Data],1,FALSE),"sim",""),"")</f>
        <v/>
      </c>
      <c r="AP265" s="398" t="str">
        <f ca="1">IF(OR(ISBLANK(tabItens[[#This Row],[ATA DT.VALID.]]),tabItens[[#This Row],[ATA DT.VALID.]]="",tabItens[[#This Row],[ATA DT.VALID.]]=" "),"",IF(TYPE(tabItens[[#This Row],[ATA DT.VALID.]])=1,ROUNDUP((tabItens[[#This Row],[ATA DT.VALID.]]-TODAY())/7,0),""))</f>
        <v/>
      </c>
      <c r="AQ265" s="399">
        <v>0</v>
      </c>
      <c r="AR265" s="400" t="str">
        <f>IF(ISBLANK(tabItens[[#This Row],[CÓDIGO]]),"",IFERROR(VLOOKUP(tabItens[[#This Row],[CÓDIGO]],Consumo!$C$2:$AC$862,26,FALSE),0))</f>
        <v>04.2023</v>
      </c>
      <c r="AS265" s="401">
        <f>SUMIF(Consumo!$C$3:$C$862,tabItens[[#This Row],[CÓDIGO]],Consumo!$N$3:$N$862) + SUMIF(Consumo!$C$3:$C$862,tabItens[[#This Row],[CÓDIGO]],Consumo!$O$3:$O$862) + SUMIF(Consumo!$C$3:$C$862,tabItens[[#This Row],[CÓDIGO]],Consumo!$P$3:$P$862) + SUMIF(Consumo!$C$3:$C$862,tabItens[[#This Row],[CÓDIGO]],Consumo!$Q$3:$Q$862)</f>
        <v>0</v>
      </c>
      <c r="AT265" s="401">
        <f>SUMIF(Consumo!$C$3:$C$862,tabItens[[#This Row],[CÓDIGO]],Consumo!$Z$3:$Z$862)</f>
        <v>5</v>
      </c>
      <c r="AU265" s="402">
        <f>SUMIF(Consumo!$C$3:$C$862,tabItens[[#This Row],[CÓDIGO]],Consumo!$AA$3:$AA$862)</f>
        <v>3</v>
      </c>
      <c r="AV265" s="403">
        <f>SUMIF(Consumo!$C$3:$C$862,tabItens[[#This Row],[CÓDIGO]],Consumo!$Y$3:$Y$862)</f>
        <v>0.33333333333333331</v>
      </c>
      <c r="AW265" s="380">
        <f>tabItens[[#This Row],[QTDE ATUAL]] + tabItens[[#This Row],[RC QTDE]] + tabItens[[#This Row],[AF SALDO]] + tabItens[[#This Row],[Recentes]]</f>
        <v>5</v>
      </c>
      <c r="AX265" s="404">
        <v>1.5</v>
      </c>
      <c r="AY265" s="404">
        <v>4</v>
      </c>
      <c r="AZ265" s="404">
        <f>IF(ISBLANK(tabItens[[#This Row],[CÓDIGO]]),"",tabItens[[#This Row],[PontoMês]] * (AZ$2+tabItens[[#This Row],[PontoQtM]]))</f>
        <v>6</v>
      </c>
      <c r="BA265" s="403">
        <f>tabItens[[#This Row],[PontoPed]] - tabItens[[#This Row],[Saldo]] + (1/10)</f>
        <v>1.1000000000000001</v>
      </c>
      <c r="BB265" s="403">
        <f xml:space="preserve"> tabItens[[#This Row],[PontoMês]] * BB$2 - tabItens[[#This Row],[QTDE ATUAL]] - (1/10)</f>
        <v>-3.6</v>
      </c>
      <c r="BC265" s="335">
        <f>IF( tabItens[[#This Row],[PontoPed]]&gt;0, IF(tabItens[[#This Row],[PontoPed]]&lt;1, 1, IF( tabItens[[#This Row],[Saldo]]&gt;tabItens[[#This Row],[PontoPed]], 0, (tabItens[[#This Row],[PontoPed]]-tabItens[[#This Row],[Saldo]])/tabItens[[#This Row],[PontoPed]] ) ), 0 )</f>
        <v>0.16666666666666666</v>
      </c>
      <c r="BD265" s="405">
        <f>ROUNDDOWN(IF( OR( AND(tabItens[[#This Row],[PontoPed]]&lt;tabItens[[#This Row],[Saldo]],tabItens[[#This Row],[Saldo]]&gt;0), tabItens[[#This Row],[PontoPed]]=0), 99, IF(AND(tabItens[[#This Row],[Saldo]]=0,tabItens[[#This Row],[PontoPed]]&gt;0), 0, (1-tabItens[[#This Row],[PctAb]])*10 ) ),0)</f>
        <v>8</v>
      </c>
      <c r="BE265" s="406">
        <f>MAX(ROUNDDOWN( IF(tabItens[[#This Row],[Abaixo]] &gt; 0,   tabItens[[#This Row],[Abaixo]] + (tabItens[[#This Row],[PontoMês]] * IF( OR( ISBLANK(tabItens[[#This Row],[ATA Nº/ANO]]), tabItens[[#This Row],[ATA Nº/ANO]] = ""),BE$2,BE$1)),0),0),0)</f>
        <v>5</v>
      </c>
      <c r="BF26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5" s="338">
        <f>SUMIF(Consumo!$C$3:$C$862,tabItens[[#This Row],[CÓDIGO]],Consumo!$E$3:$E$862)</f>
        <v>0</v>
      </c>
      <c r="BH265" s="339">
        <f>IF(AND(tabItens[[#This Row],[Pend]] &gt; 0,tabItens[[#This Row],[Consumo]] &lt;&gt; 0), tabItens[[#This Row],[Pend]] / tabItens[[#This Row],[Consumo]], 0 )</f>
        <v>0</v>
      </c>
      <c r="BI265" s="338"/>
      <c r="BJ265" s="407"/>
      <c r="BK265" s="408" t="s">
        <v>2086</v>
      </c>
    </row>
    <row r="266" spans="1:63" x14ac:dyDescent="0.3">
      <c r="A266" s="375">
        <v>102819</v>
      </c>
      <c r="B266" s="376" t="s">
        <v>1594</v>
      </c>
      <c r="C266" s="377" t="s">
        <v>263</v>
      </c>
      <c r="D266" s="378">
        <v>231.13</v>
      </c>
      <c r="E266" s="305"/>
      <c r="F266" s="379"/>
      <c r="G266" s="379" t="s">
        <v>889</v>
      </c>
      <c r="H266" s="380">
        <v>2</v>
      </c>
      <c r="I266" s="307">
        <v>103003</v>
      </c>
      <c r="J266" s="308">
        <v>231.13</v>
      </c>
      <c r="K266" s="381">
        <v>9</v>
      </c>
      <c r="L266" s="382">
        <f>IF(tabItens[[#This Row],[Média]] &gt; 0, tabItens[[#This Row],[QTDE ATUAL]] / tabItens[[#This Row],[Média]],999.9)</f>
        <v>3</v>
      </c>
      <c r="M266" s="383">
        <v>0</v>
      </c>
      <c r="N266" s="384">
        <f>tabItens[[#This Row],[VALOR UNIT.]] * tabItens[[#This Row],[LC]]</f>
        <v>0</v>
      </c>
      <c r="O266" s="385" t="s">
        <v>2123</v>
      </c>
      <c r="P266" s="386"/>
      <c r="Q266" s="387"/>
      <c r="R266" s="312"/>
      <c r="S266" s="388"/>
      <c r="T266" s="389">
        <f>ROUNDDOWN(IFERROR(tabItens[[#This Row],[ATA DT.VALID.]] - $D$1,0) / 30,0)</f>
        <v>-1474</v>
      </c>
      <c r="U266" s="302" t="s">
        <v>1502</v>
      </c>
      <c r="V266" s="318">
        <v>1</v>
      </c>
      <c r="W266" s="390" t="s">
        <v>2077</v>
      </c>
      <c r="X266" s="391">
        <v>55</v>
      </c>
      <c r="Y266" s="392">
        <v>26</v>
      </c>
      <c r="Z266" s="393">
        <v>2956</v>
      </c>
      <c r="AA266" s="394">
        <v>2023</v>
      </c>
      <c r="AB266" s="395">
        <v>3</v>
      </c>
      <c r="AC266" s="395"/>
      <c r="AD266" s="394"/>
      <c r="AE266" s="395"/>
      <c r="AF266" s="317"/>
      <c r="AG266" s="396" t="s">
        <v>2072</v>
      </c>
      <c r="AH266" s="397"/>
      <c r="AI266" s="317">
        <v>4</v>
      </c>
      <c r="AJ266" s="397">
        <v>44357</v>
      </c>
      <c r="AK266" s="326">
        <v>39374</v>
      </c>
      <c r="AL266" s="326">
        <v>44333</v>
      </c>
      <c r="AM266" s="316"/>
      <c r="AN266" s="305"/>
      <c r="AO266" s="327" t="str">
        <f>_xlfn.IFNA(IF(VLOOKUP(tabItens[[#This Row],[CÓDIGO]],tabExcluirDoEstoque[#Data],1,FALSE),"sim",""),"")</f>
        <v/>
      </c>
      <c r="AP266" s="398" t="str">
        <f ca="1">IF(OR(ISBLANK(tabItens[[#This Row],[ATA DT.VALID.]]),tabItens[[#This Row],[ATA DT.VALID.]]="",tabItens[[#This Row],[ATA DT.VALID.]]=" "),"",IF(TYPE(tabItens[[#This Row],[ATA DT.VALID.]])=1,ROUNDUP((tabItens[[#This Row],[ATA DT.VALID.]]-TODAY())/7,0),""))</f>
        <v/>
      </c>
      <c r="AQ266" s="399">
        <v>0</v>
      </c>
      <c r="AR266" s="400" t="str">
        <f>IF(ISBLANK(tabItens[[#This Row],[CÓDIGO]]),"",IFERROR(VLOOKUP(tabItens[[#This Row],[CÓDIGO]],Consumo!$C$2:$AC$862,26,FALSE),0))</f>
        <v>07.2023</v>
      </c>
      <c r="AS266" s="401">
        <f>SUMIF(Consumo!$C$3:$C$862,tabItens[[#This Row],[CÓDIGO]],Consumo!$N$3:$N$862) + SUMIF(Consumo!$C$3:$C$862,tabItens[[#This Row],[CÓDIGO]],Consumo!$O$3:$O$862) + SUMIF(Consumo!$C$3:$C$862,tabItens[[#This Row],[CÓDIGO]],Consumo!$P$3:$P$862) + SUMIF(Consumo!$C$3:$C$862,tabItens[[#This Row],[CÓDIGO]],Consumo!$Q$3:$Q$862)</f>
        <v>5</v>
      </c>
      <c r="AT266" s="401">
        <f>SUMIF(Consumo!$C$3:$C$862,tabItens[[#This Row],[CÓDIGO]],Consumo!$Z$3:$Z$862)</f>
        <v>9</v>
      </c>
      <c r="AU266" s="402">
        <f>SUMIF(Consumo!$C$3:$C$862,tabItens[[#This Row],[CÓDIGO]],Consumo!$AA$3:$AA$862)</f>
        <v>4</v>
      </c>
      <c r="AV266" s="403">
        <f>SUMIF(Consumo!$C$3:$C$862,tabItens[[#This Row],[CÓDIGO]],Consumo!$Y$3:$Y$862)</f>
        <v>0.66666666666666663</v>
      </c>
      <c r="AW266" s="380">
        <f>tabItens[[#This Row],[QTDE ATUAL]] + tabItens[[#This Row],[RC QTDE]] + tabItens[[#This Row],[AF SALDO]] + tabItens[[#This Row],[Recentes]]</f>
        <v>5</v>
      </c>
      <c r="AX266" s="404">
        <v>1</v>
      </c>
      <c r="AY266" s="404">
        <v>4</v>
      </c>
      <c r="AZ266" s="404">
        <f>IF(ISBLANK(tabItens[[#This Row],[CÓDIGO]]),"",tabItens[[#This Row],[PontoMês]] * (AZ$2+tabItens[[#This Row],[PontoQtM]]))</f>
        <v>4</v>
      </c>
      <c r="BA266" s="403">
        <f>tabItens[[#This Row],[PontoPed]] - tabItens[[#This Row],[Saldo]] + (1/10)</f>
        <v>-0.9</v>
      </c>
      <c r="BB266" s="403">
        <f xml:space="preserve"> tabItens[[#This Row],[PontoMês]] * BB$2 - tabItens[[#This Row],[QTDE ATUAL]] - (1/10)</f>
        <v>-1.1000000000000001</v>
      </c>
      <c r="BC266" s="335">
        <f>IF( tabItens[[#This Row],[PontoPed]]&gt;0, IF(tabItens[[#This Row],[PontoPed]]&lt;1, 1, IF( tabItens[[#This Row],[Saldo]]&gt;tabItens[[#This Row],[PontoPed]], 0, (tabItens[[#This Row],[PontoPed]]-tabItens[[#This Row],[Saldo]])/tabItens[[#This Row],[PontoPed]] ) ), 0 )</f>
        <v>0</v>
      </c>
      <c r="BD266" s="405">
        <f>ROUNDDOWN(IF( OR( AND(tabItens[[#This Row],[PontoPed]]&lt;tabItens[[#This Row],[Saldo]],tabItens[[#This Row],[Saldo]]&gt;0), tabItens[[#This Row],[PontoPed]]=0), 99, IF(AND(tabItens[[#This Row],[Saldo]]=0,tabItens[[#This Row],[PontoPed]]&gt;0), 0, (1-tabItens[[#This Row],[PctAb]])*10 ) ),0)</f>
        <v>99</v>
      </c>
      <c r="BE266" s="406">
        <f>MAX(ROUNDDOWN( IF(tabItens[[#This Row],[Abaixo]] &gt; 0,   tabItens[[#This Row],[Abaixo]] + (tabItens[[#This Row],[PontoMês]] * IF( OR( ISBLANK(tabItens[[#This Row],[ATA Nº/ANO]]), tabItens[[#This Row],[ATA Nº/ANO]] = ""),BE$2,BE$1)),0),0),0)</f>
        <v>0</v>
      </c>
      <c r="BF26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6" s="338">
        <f>SUMIF(Consumo!$C$3:$C$862,tabItens[[#This Row],[CÓDIGO]],Consumo!$E$3:$E$862)</f>
        <v>0</v>
      </c>
      <c r="BH266" s="339">
        <f>IF(AND(tabItens[[#This Row],[Pend]] &gt; 0,tabItens[[#This Row],[Consumo]] &lt;&gt; 0), tabItens[[#This Row],[Pend]] / tabItens[[#This Row],[Consumo]], 0 )</f>
        <v>0</v>
      </c>
      <c r="BI266" s="338"/>
      <c r="BJ266" s="407"/>
      <c r="BK266" s="408" t="s">
        <v>2086</v>
      </c>
    </row>
    <row r="267" spans="1:63" x14ac:dyDescent="0.3">
      <c r="A267" s="375">
        <v>110771</v>
      </c>
      <c r="B267" s="376" t="s">
        <v>1673</v>
      </c>
      <c r="C267" s="377" t="s">
        <v>263</v>
      </c>
      <c r="D267" s="378">
        <v>19.3</v>
      </c>
      <c r="E267" s="305"/>
      <c r="F267" s="379"/>
      <c r="G267" s="379" t="s">
        <v>889</v>
      </c>
      <c r="H267" s="380">
        <v>30</v>
      </c>
      <c r="I267" s="307">
        <v>103003</v>
      </c>
      <c r="J267" s="308">
        <v>19.3</v>
      </c>
      <c r="K267" s="381">
        <v>93</v>
      </c>
      <c r="L267" s="382">
        <f>IF(tabItens[[#This Row],[Média]] &gt; 0, tabItens[[#This Row],[QTDE ATUAL]] / tabItens[[#This Row],[Média]],999.9)</f>
        <v>3.75</v>
      </c>
      <c r="M267" s="383">
        <v>0</v>
      </c>
      <c r="N267" s="384">
        <f>tabItens[[#This Row],[VALOR UNIT.]] * tabItens[[#This Row],[LC]]</f>
        <v>0</v>
      </c>
      <c r="O267" s="385" t="s">
        <v>2123</v>
      </c>
      <c r="P267" s="386"/>
      <c r="Q267" s="387"/>
      <c r="R267" s="312"/>
      <c r="S267" s="388"/>
      <c r="T267" s="389">
        <f>ROUNDDOWN(IFERROR(tabItens[[#This Row],[ATA DT.VALID.]] - $D$1,0) / 30,0)</f>
        <v>-1474</v>
      </c>
      <c r="U267" s="302" t="s">
        <v>1502</v>
      </c>
      <c r="V267" s="318">
        <v>1</v>
      </c>
      <c r="W267" s="390" t="s">
        <v>2077</v>
      </c>
      <c r="X267" s="391">
        <v>55</v>
      </c>
      <c r="Y267" s="392">
        <v>26</v>
      </c>
      <c r="Z267" s="393">
        <v>2560</v>
      </c>
      <c r="AA267" s="394">
        <v>2023</v>
      </c>
      <c r="AB267" s="395">
        <v>30</v>
      </c>
      <c r="AC267" s="395"/>
      <c r="AD267" s="394"/>
      <c r="AE267" s="395"/>
      <c r="AF267" s="317"/>
      <c r="AG267" s="396" t="s">
        <v>2072</v>
      </c>
      <c r="AH267" s="397"/>
      <c r="AI267" s="317">
        <v>32</v>
      </c>
      <c r="AJ267" s="397">
        <v>44336</v>
      </c>
      <c r="AK267" s="326">
        <v>39933</v>
      </c>
      <c r="AL267" s="326">
        <v>44333</v>
      </c>
      <c r="AM267" s="316"/>
      <c r="AN267" s="305"/>
      <c r="AO267" s="327" t="str">
        <f>_xlfn.IFNA(IF(VLOOKUP(tabItens[[#This Row],[CÓDIGO]],tabExcluirDoEstoque[#Data],1,FALSE),"sim",""),"")</f>
        <v/>
      </c>
      <c r="AP267" s="398" t="str">
        <f ca="1">IF(OR(ISBLANK(tabItens[[#This Row],[ATA DT.VALID.]]),tabItens[[#This Row],[ATA DT.VALID.]]="",tabItens[[#This Row],[ATA DT.VALID.]]=" "),"",IF(TYPE(tabItens[[#This Row],[ATA DT.VALID.]])=1,ROUNDUP((tabItens[[#This Row],[ATA DT.VALID.]]-TODAY())/7,0),""))</f>
        <v/>
      </c>
      <c r="AQ267" s="399">
        <v>0</v>
      </c>
      <c r="AR267" s="400" t="str">
        <f>IF(ISBLANK(tabItens[[#This Row],[CÓDIGO]]),"",IFERROR(VLOOKUP(tabItens[[#This Row],[CÓDIGO]],Consumo!$C$2:$AC$862,26,FALSE),0))</f>
        <v>09.2023</v>
      </c>
      <c r="AS267" s="401">
        <f>SUMIF(Consumo!$C$3:$C$862,tabItens[[#This Row],[CÓDIGO]],Consumo!$N$3:$N$862) + SUMIF(Consumo!$C$3:$C$862,tabItens[[#This Row],[CÓDIGO]],Consumo!$O$3:$O$862) + SUMIF(Consumo!$C$3:$C$862,tabItens[[#This Row],[CÓDIGO]],Consumo!$P$3:$P$862) + SUMIF(Consumo!$C$3:$C$862,tabItens[[#This Row],[CÓDIGO]],Consumo!$Q$3:$Q$862)</f>
        <v>37</v>
      </c>
      <c r="AT267" s="401">
        <f>SUMIF(Consumo!$C$3:$C$862,tabItens[[#This Row],[CÓDIGO]],Consumo!$Z$3:$Z$862)</f>
        <v>96</v>
      </c>
      <c r="AU267" s="402">
        <f>SUMIF(Consumo!$C$3:$C$862,tabItens[[#This Row],[CÓDIGO]],Consumo!$AA$3:$AA$862)</f>
        <v>27</v>
      </c>
      <c r="AV267" s="403">
        <f>SUMIF(Consumo!$C$3:$C$862,tabItens[[#This Row],[CÓDIGO]],Consumo!$Y$3:$Y$862)</f>
        <v>8</v>
      </c>
      <c r="AW267" s="380">
        <f>tabItens[[#This Row],[QTDE ATUAL]] + tabItens[[#This Row],[RC QTDE]] + tabItens[[#This Row],[AF SALDO]] + tabItens[[#This Row],[Recentes]]</f>
        <v>60</v>
      </c>
      <c r="AX267" s="404">
        <v>8</v>
      </c>
      <c r="AY267" s="404">
        <v>4</v>
      </c>
      <c r="AZ267" s="404">
        <f>IF(ISBLANK(tabItens[[#This Row],[CÓDIGO]]),"",tabItens[[#This Row],[PontoMês]] * (AZ$2+tabItens[[#This Row],[PontoQtM]]))</f>
        <v>32</v>
      </c>
      <c r="BA267" s="403">
        <f>tabItens[[#This Row],[PontoPed]] - tabItens[[#This Row],[Saldo]] + (1/10)</f>
        <v>-27.9</v>
      </c>
      <c r="BB267" s="403">
        <f xml:space="preserve"> tabItens[[#This Row],[PontoMês]] * BB$2 - tabItens[[#This Row],[QTDE ATUAL]] - (1/10)</f>
        <v>-22.1</v>
      </c>
      <c r="BC267" s="335">
        <f>IF( tabItens[[#This Row],[PontoPed]]&gt;0, IF(tabItens[[#This Row],[PontoPed]]&lt;1, 1, IF( tabItens[[#This Row],[Saldo]]&gt;tabItens[[#This Row],[PontoPed]], 0, (tabItens[[#This Row],[PontoPed]]-tabItens[[#This Row],[Saldo]])/tabItens[[#This Row],[PontoPed]] ) ), 0 )</f>
        <v>0</v>
      </c>
      <c r="BD267" s="405">
        <f>ROUNDDOWN(IF( OR( AND(tabItens[[#This Row],[PontoPed]]&lt;tabItens[[#This Row],[Saldo]],tabItens[[#This Row],[Saldo]]&gt;0), tabItens[[#This Row],[PontoPed]]=0), 99, IF(AND(tabItens[[#This Row],[Saldo]]=0,tabItens[[#This Row],[PontoPed]]&gt;0), 0, (1-tabItens[[#This Row],[PctAb]])*10 ) ),0)</f>
        <v>99</v>
      </c>
      <c r="BE267" s="406">
        <f>MAX(ROUNDDOWN( IF(tabItens[[#This Row],[Abaixo]] &gt; 0,   tabItens[[#This Row],[Abaixo]] + (tabItens[[#This Row],[PontoMês]] * IF( OR( ISBLANK(tabItens[[#This Row],[ATA Nº/ANO]]), tabItens[[#This Row],[ATA Nº/ANO]] = ""),BE$2,BE$1)),0),0),0)</f>
        <v>0</v>
      </c>
      <c r="BF26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7" s="338">
        <f>SUMIF(Consumo!$C$3:$C$862,tabItens[[#This Row],[CÓDIGO]],Consumo!$E$3:$E$862)</f>
        <v>0</v>
      </c>
      <c r="BH267" s="339">
        <f>IF(AND(tabItens[[#This Row],[Pend]] &gt; 0,tabItens[[#This Row],[Consumo]] &lt;&gt; 0), tabItens[[#This Row],[Pend]] / tabItens[[#This Row],[Consumo]], 0 )</f>
        <v>0</v>
      </c>
      <c r="BI267" s="338"/>
      <c r="BJ267" s="407"/>
      <c r="BK267" s="408" t="s">
        <v>2086</v>
      </c>
    </row>
    <row r="268" spans="1:63" x14ac:dyDescent="0.3">
      <c r="A268" s="375">
        <v>110888</v>
      </c>
      <c r="B268" s="376" t="s">
        <v>1674</v>
      </c>
      <c r="C268" s="377" t="s">
        <v>263</v>
      </c>
      <c r="D268" s="378">
        <v>280</v>
      </c>
      <c r="E268" s="305"/>
      <c r="F268" s="379"/>
      <c r="G268" s="379" t="s">
        <v>889</v>
      </c>
      <c r="H268" s="380">
        <v>0</v>
      </c>
      <c r="I268" s="307">
        <v>103003</v>
      </c>
      <c r="J268" s="308">
        <v>280</v>
      </c>
      <c r="K268" s="381">
        <v>3</v>
      </c>
      <c r="L268" s="382">
        <f>IF(tabItens[[#This Row],[Média]] &gt; 0, tabItens[[#This Row],[QTDE ATUAL]] / tabItens[[#This Row],[Média]],999.9)</f>
        <v>0</v>
      </c>
      <c r="M268" s="383">
        <v>0</v>
      </c>
      <c r="N268" s="384">
        <f>tabItens[[#This Row],[VALOR UNIT.]] * tabItens[[#This Row],[LC]]</f>
        <v>0</v>
      </c>
      <c r="O268" s="385" t="s">
        <v>2123</v>
      </c>
      <c r="P268" s="386"/>
      <c r="Q268" s="387"/>
      <c r="R268" s="312"/>
      <c r="S268" s="388"/>
      <c r="T268" s="389">
        <f>ROUNDDOWN(IFERROR(tabItens[[#This Row],[ATA DT.VALID.]] - $D$1,0) / 30,0)</f>
        <v>-1474</v>
      </c>
      <c r="U268" s="302" t="s">
        <v>1502</v>
      </c>
      <c r="V268" s="318">
        <v>1</v>
      </c>
      <c r="W268" s="390" t="s">
        <v>2077</v>
      </c>
      <c r="X268" s="391">
        <v>55</v>
      </c>
      <c r="Y268" s="392">
        <v>26</v>
      </c>
      <c r="Z268" s="393">
        <v>2560</v>
      </c>
      <c r="AA268" s="394">
        <v>2023</v>
      </c>
      <c r="AB268" s="395">
        <v>2</v>
      </c>
      <c r="AC268" s="395"/>
      <c r="AD268" s="394"/>
      <c r="AE268" s="395"/>
      <c r="AF268" s="317"/>
      <c r="AG268" s="396" t="s">
        <v>2072</v>
      </c>
      <c r="AH268" s="397"/>
      <c r="AI268" s="317">
        <v>2</v>
      </c>
      <c r="AJ268" s="397">
        <v>44874</v>
      </c>
      <c r="AK268" s="326">
        <v>39944</v>
      </c>
      <c r="AL268" s="326">
        <v>44845</v>
      </c>
      <c r="AM268" s="316"/>
      <c r="AN268" s="305"/>
      <c r="AO268" s="327" t="str">
        <f>_xlfn.IFNA(IF(VLOOKUP(tabItens[[#This Row],[CÓDIGO]],tabExcluirDoEstoque[#Data],1,FALSE),"sim",""),"")</f>
        <v/>
      </c>
      <c r="AP268" s="398" t="str">
        <f ca="1">IF(OR(ISBLANK(tabItens[[#This Row],[ATA DT.VALID.]]),tabItens[[#This Row],[ATA DT.VALID.]]="",tabItens[[#This Row],[ATA DT.VALID.]]=" "),"",IF(TYPE(tabItens[[#This Row],[ATA DT.VALID.]])=1,ROUNDUP((tabItens[[#This Row],[ATA DT.VALID.]]-TODAY())/7,0),""))</f>
        <v/>
      </c>
      <c r="AQ268" s="399">
        <v>0</v>
      </c>
      <c r="AR268" s="400" t="str">
        <f>IF(ISBLANK(tabItens[[#This Row],[CÓDIGO]]),"",IFERROR(VLOOKUP(tabItens[[#This Row],[CÓDIGO]],Consumo!$C$2:$AC$862,26,FALSE),0))</f>
        <v>04.2023</v>
      </c>
      <c r="AS268" s="401">
        <f>SUMIF(Consumo!$C$3:$C$862,tabItens[[#This Row],[CÓDIGO]],Consumo!$N$3:$N$862) + SUMIF(Consumo!$C$3:$C$862,tabItens[[#This Row],[CÓDIGO]],Consumo!$O$3:$O$862) + SUMIF(Consumo!$C$3:$C$862,tabItens[[#This Row],[CÓDIGO]],Consumo!$P$3:$P$862) + SUMIF(Consumo!$C$3:$C$862,tabItens[[#This Row],[CÓDIGO]],Consumo!$Q$3:$Q$862)</f>
        <v>0</v>
      </c>
      <c r="AT268" s="401">
        <f>SUMIF(Consumo!$C$3:$C$862,tabItens[[#This Row],[CÓDIGO]],Consumo!$Z$3:$Z$862)</f>
        <v>3</v>
      </c>
      <c r="AU268" s="402">
        <f>SUMIF(Consumo!$C$3:$C$862,tabItens[[#This Row],[CÓDIGO]],Consumo!$AA$3:$AA$862)</f>
        <v>2</v>
      </c>
      <c r="AV268" s="403">
        <f>SUMIF(Consumo!$C$3:$C$862,tabItens[[#This Row],[CÓDIGO]],Consumo!$Y$3:$Y$862)</f>
        <v>0.16666666666666666</v>
      </c>
      <c r="AW268" s="380">
        <f>tabItens[[#This Row],[QTDE ATUAL]] + tabItens[[#This Row],[RC QTDE]] + tabItens[[#This Row],[AF SALDO]] + tabItens[[#This Row],[Recentes]]</f>
        <v>2</v>
      </c>
      <c r="AX268" s="404">
        <v>1</v>
      </c>
      <c r="AY268" s="404">
        <v>4</v>
      </c>
      <c r="AZ268" s="404">
        <f>IF(ISBLANK(tabItens[[#This Row],[CÓDIGO]]),"",tabItens[[#This Row],[PontoMês]] * (AZ$2+tabItens[[#This Row],[PontoQtM]]))</f>
        <v>4</v>
      </c>
      <c r="BA268" s="403">
        <f>tabItens[[#This Row],[PontoPed]] - tabItens[[#This Row],[Saldo]] + (1/10)</f>
        <v>2.1</v>
      </c>
      <c r="BB268" s="403">
        <f xml:space="preserve"> tabItens[[#This Row],[PontoMês]] * BB$2 - tabItens[[#This Row],[QTDE ATUAL]] - (1/10)</f>
        <v>0.9</v>
      </c>
      <c r="BC268" s="335">
        <f>IF( tabItens[[#This Row],[PontoPed]]&gt;0, IF(tabItens[[#This Row],[PontoPed]]&lt;1, 1, IF( tabItens[[#This Row],[Saldo]]&gt;tabItens[[#This Row],[PontoPed]], 0, (tabItens[[#This Row],[PontoPed]]-tabItens[[#This Row],[Saldo]])/tabItens[[#This Row],[PontoPed]] ) ), 0 )</f>
        <v>0.5</v>
      </c>
      <c r="BD268" s="405">
        <f>ROUNDDOWN(IF( OR( AND(tabItens[[#This Row],[PontoPed]]&lt;tabItens[[#This Row],[Saldo]],tabItens[[#This Row],[Saldo]]&gt;0), tabItens[[#This Row],[PontoPed]]=0), 99, IF(AND(tabItens[[#This Row],[Saldo]]=0,tabItens[[#This Row],[PontoPed]]&gt;0), 0, (1-tabItens[[#This Row],[PctAb]])*10 ) ),0)</f>
        <v>5</v>
      </c>
      <c r="BE268" s="406">
        <f>MAX(ROUNDDOWN( IF(tabItens[[#This Row],[Abaixo]] &gt; 0,   tabItens[[#This Row],[Abaixo]] + (tabItens[[#This Row],[PontoMês]] * IF( OR( ISBLANK(tabItens[[#This Row],[ATA Nº/ANO]]), tabItens[[#This Row],[ATA Nº/ANO]] = ""),BE$2,BE$1)),0),0),0)</f>
        <v>5</v>
      </c>
      <c r="BF26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8" s="338">
        <f>SUMIF(Consumo!$C$3:$C$862,tabItens[[#This Row],[CÓDIGO]],Consumo!$E$3:$E$862)</f>
        <v>0</v>
      </c>
      <c r="BH268" s="339">
        <f>IF(AND(tabItens[[#This Row],[Pend]] &gt; 0,tabItens[[#This Row],[Consumo]] &lt;&gt; 0), tabItens[[#This Row],[Pend]] / tabItens[[#This Row],[Consumo]], 0 )</f>
        <v>0</v>
      </c>
      <c r="BI268" s="338"/>
      <c r="BJ268" s="407"/>
      <c r="BK268" s="408" t="s">
        <v>2086</v>
      </c>
    </row>
    <row r="269" spans="1:63" x14ac:dyDescent="0.3">
      <c r="A269" s="375">
        <v>15167</v>
      </c>
      <c r="B269" s="376" t="s">
        <v>1085</v>
      </c>
      <c r="C269" s="377" t="s">
        <v>263</v>
      </c>
      <c r="D269" s="378">
        <v>24.4</v>
      </c>
      <c r="E269" s="305"/>
      <c r="F269" s="379"/>
      <c r="G269" s="379" t="s">
        <v>889</v>
      </c>
      <c r="H269" s="380">
        <v>290</v>
      </c>
      <c r="I269" s="307">
        <v>103003</v>
      </c>
      <c r="J269" s="308">
        <v>24.4</v>
      </c>
      <c r="K269" s="381">
        <v>465</v>
      </c>
      <c r="L269" s="382">
        <f>IF(tabItens[[#This Row],[Média]] &gt; 0, tabItens[[#This Row],[QTDE ATUAL]] / tabItens[[#This Row],[Média]],999.9)</f>
        <v>7.3572938689217766</v>
      </c>
      <c r="M269" s="383">
        <v>0</v>
      </c>
      <c r="N269" s="384">
        <f>tabItens[[#This Row],[VALOR UNIT.]] * tabItens[[#This Row],[LC]]</f>
        <v>0</v>
      </c>
      <c r="O269" s="385" t="s">
        <v>2123</v>
      </c>
      <c r="P269" s="386"/>
      <c r="Q269" s="387"/>
      <c r="R269" s="312"/>
      <c r="S269" s="388"/>
      <c r="T269" s="389">
        <f>ROUNDDOWN(IFERROR(tabItens[[#This Row],[ATA DT.VALID.]] - $D$1,0) / 30,0)</f>
        <v>-1474</v>
      </c>
      <c r="U269" s="302" t="s">
        <v>1086</v>
      </c>
      <c r="V269" s="318">
        <v>1</v>
      </c>
      <c r="W269" s="390" t="s">
        <v>2077</v>
      </c>
      <c r="X269" s="391">
        <v>55</v>
      </c>
      <c r="Y269" s="392">
        <v>49</v>
      </c>
      <c r="Z269" s="393">
        <v>2376</v>
      </c>
      <c r="AA269" s="394">
        <v>2023</v>
      </c>
      <c r="AB269" s="395">
        <v>1100</v>
      </c>
      <c r="AC269" s="395"/>
      <c r="AD269" s="394"/>
      <c r="AE269" s="395"/>
      <c r="AF269" s="317"/>
      <c r="AG269" s="396" t="s">
        <v>2072</v>
      </c>
      <c r="AH269" s="397"/>
      <c r="AI269" s="317">
        <v>156</v>
      </c>
      <c r="AJ269" s="397">
        <v>45006</v>
      </c>
      <c r="AK269" s="326" t="s">
        <v>889</v>
      </c>
      <c r="AL269" s="326">
        <v>44917</v>
      </c>
      <c r="AM269" s="316"/>
      <c r="AN269" s="305"/>
      <c r="AO269" s="327" t="str">
        <f>_xlfn.IFNA(IF(VLOOKUP(tabItens[[#This Row],[CÓDIGO]],tabExcluirDoEstoque[#Data],1,FALSE),"sim",""),"")</f>
        <v/>
      </c>
      <c r="AP269" s="398" t="str">
        <f ca="1">IF(OR(ISBLANK(tabItens[[#This Row],[ATA DT.VALID.]]),tabItens[[#This Row],[ATA DT.VALID.]]="",tabItens[[#This Row],[ATA DT.VALID.]]=" "),"",IF(TYPE(tabItens[[#This Row],[ATA DT.VALID.]])=1,ROUNDUP((tabItens[[#This Row],[ATA DT.VALID.]]-TODAY())/7,0),""))</f>
        <v/>
      </c>
      <c r="AQ269" s="399">
        <v>0</v>
      </c>
      <c r="AR269" s="400" t="str">
        <f>IF(ISBLANK(tabItens[[#This Row],[CÓDIGO]]),"",IFERROR(VLOOKUP(tabItens[[#This Row],[CÓDIGO]],Consumo!$C$2:$AC$862,26,FALSE),0))</f>
        <v>04.2023</v>
      </c>
      <c r="AS269" s="401">
        <f>SUMIF(Consumo!$C$3:$C$862,tabItens[[#This Row],[CÓDIGO]],Consumo!$N$3:$N$862) + SUMIF(Consumo!$C$3:$C$862,tabItens[[#This Row],[CÓDIGO]],Consumo!$O$3:$O$862) + SUMIF(Consumo!$C$3:$C$862,tabItens[[#This Row],[CÓDIGO]],Consumo!$P$3:$P$862) + SUMIF(Consumo!$C$3:$C$862,tabItens[[#This Row],[CÓDIGO]],Consumo!$Q$3:$Q$862)</f>
        <v>0</v>
      </c>
      <c r="AT269" s="401">
        <f>SUMIF(Consumo!$C$3:$C$862,tabItens[[#This Row],[CÓDIGO]],Consumo!$Z$3:$Z$862)</f>
        <v>473</v>
      </c>
      <c r="AU269" s="402">
        <f>SUMIF(Consumo!$C$3:$C$862,tabItens[[#This Row],[CÓDIGO]],Consumo!$AA$3:$AA$862)</f>
        <v>120</v>
      </c>
      <c r="AV269" s="403">
        <f>SUMIF(Consumo!$C$3:$C$862,tabItens[[#This Row],[CÓDIGO]],Consumo!$Y$3:$Y$862)</f>
        <v>39.416666666666664</v>
      </c>
      <c r="AW269" s="380">
        <f>tabItens[[#This Row],[QTDE ATUAL]] + tabItens[[#This Row],[RC QTDE]] + tabItens[[#This Row],[AF SALDO]] + tabItens[[#This Row],[Recentes]]</f>
        <v>1390</v>
      </c>
      <c r="AX269" s="404">
        <v>55</v>
      </c>
      <c r="AY269" s="404">
        <v>4</v>
      </c>
      <c r="AZ269" s="404">
        <f>IF(ISBLANK(tabItens[[#This Row],[CÓDIGO]]),"",tabItens[[#This Row],[PontoMês]] * (AZ$2+tabItens[[#This Row],[PontoQtM]]))</f>
        <v>220</v>
      </c>
      <c r="BA269" s="403">
        <f>tabItens[[#This Row],[PontoPed]] - tabItens[[#This Row],[Saldo]] + (1/10)</f>
        <v>-1169.9000000000001</v>
      </c>
      <c r="BB269" s="403">
        <f xml:space="preserve"> tabItens[[#This Row],[PontoMês]] * BB$2 - tabItens[[#This Row],[QTDE ATUAL]] - (1/10)</f>
        <v>-235.1</v>
      </c>
      <c r="BC269" s="335">
        <f>IF( tabItens[[#This Row],[PontoPed]]&gt;0, IF(tabItens[[#This Row],[PontoPed]]&lt;1, 1, IF( tabItens[[#This Row],[Saldo]]&gt;tabItens[[#This Row],[PontoPed]], 0, (tabItens[[#This Row],[PontoPed]]-tabItens[[#This Row],[Saldo]])/tabItens[[#This Row],[PontoPed]] ) ), 0 )</f>
        <v>0</v>
      </c>
      <c r="BD269" s="405">
        <f>ROUNDDOWN(IF( OR( AND(tabItens[[#This Row],[PontoPed]]&lt;tabItens[[#This Row],[Saldo]],tabItens[[#This Row],[Saldo]]&gt;0), tabItens[[#This Row],[PontoPed]]=0), 99, IF(AND(tabItens[[#This Row],[Saldo]]=0,tabItens[[#This Row],[PontoPed]]&gt;0), 0, (1-tabItens[[#This Row],[PctAb]])*10 ) ),0)</f>
        <v>99</v>
      </c>
      <c r="BE269" s="406">
        <f>MAX(ROUNDDOWN( IF(tabItens[[#This Row],[Abaixo]] &gt; 0,   tabItens[[#This Row],[Abaixo]] + (tabItens[[#This Row],[PontoMês]] * IF( OR( ISBLANK(tabItens[[#This Row],[ATA Nº/ANO]]), tabItens[[#This Row],[ATA Nº/ANO]] = ""),BE$2,BE$1)),0),0),0)</f>
        <v>0</v>
      </c>
      <c r="BF26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9" s="338">
        <f>SUMIF(Consumo!$C$3:$C$862,tabItens[[#This Row],[CÓDIGO]],Consumo!$E$3:$E$862)</f>
        <v>8</v>
      </c>
      <c r="BH269" s="339">
        <f>IF(AND(tabItens[[#This Row],[Pend]] &gt; 0,tabItens[[#This Row],[Consumo]] &lt;&gt; 0), tabItens[[#This Row],[Pend]] / tabItens[[#This Row],[Consumo]], 0 )</f>
        <v>1.6913319238900635E-2</v>
      </c>
      <c r="BI269" s="338"/>
      <c r="BJ269" s="407"/>
      <c r="BK269" s="408" t="s">
        <v>2086</v>
      </c>
    </row>
    <row r="270" spans="1:63" x14ac:dyDescent="0.3">
      <c r="A270" s="375">
        <v>127384</v>
      </c>
      <c r="B270" s="376" t="s">
        <v>1783</v>
      </c>
      <c r="C270" s="377" t="s">
        <v>260</v>
      </c>
      <c r="D270" s="378">
        <v>22.9</v>
      </c>
      <c r="E270" s="305"/>
      <c r="F270" s="379"/>
      <c r="G270" s="379" t="s">
        <v>889</v>
      </c>
      <c r="H270" s="380">
        <v>258</v>
      </c>
      <c r="I270" s="307">
        <v>103003</v>
      </c>
      <c r="J270" s="308">
        <v>22.9</v>
      </c>
      <c r="K270" s="381">
        <v>285</v>
      </c>
      <c r="L270" s="382">
        <f>IF(tabItens[[#This Row],[Média]] &gt; 0, tabItens[[#This Row],[QTDE ATUAL]] / tabItens[[#This Row],[Média]],999.9)</f>
        <v>8.6480446927374306</v>
      </c>
      <c r="M270" s="383">
        <v>0</v>
      </c>
      <c r="N270" s="384">
        <f>tabItens[[#This Row],[VALOR UNIT.]] * tabItens[[#This Row],[LC]]</f>
        <v>0</v>
      </c>
      <c r="O270" s="385" t="s">
        <v>2195</v>
      </c>
      <c r="P270" s="386"/>
      <c r="Q270" s="387"/>
      <c r="R270" s="312"/>
      <c r="S270" s="388"/>
      <c r="T270" s="389">
        <f>ROUNDDOWN(IFERROR(tabItens[[#This Row],[ATA DT.VALID.]] - $D$1,0) / 30,0)</f>
        <v>-1474</v>
      </c>
      <c r="U270" s="302" t="s">
        <v>1113</v>
      </c>
      <c r="V270" s="318">
        <v>1</v>
      </c>
      <c r="W270" s="390" t="s">
        <v>2071</v>
      </c>
      <c r="X270" s="391">
        <v>51</v>
      </c>
      <c r="Y270" s="392">
        <v>33</v>
      </c>
      <c r="Z270" s="393"/>
      <c r="AA270" s="394"/>
      <c r="AB270" s="395"/>
      <c r="AC270" s="395"/>
      <c r="AD270" s="394"/>
      <c r="AE270" s="395"/>
      <c r="AF270" s="317"/>
      <c r="AG270" s="396" t="s">
        <v>2072</v>
      </c>
      <c r="AH270" s="397"/>
      <c r="AI270" s="317">
        <v>120</v>
      </c>
      <c r="AJ270" s="397">
        <v>45181</v>
      </c>
      <c r="AK270" s="326">
        <v>41688</v>
      </c>
      <c r="AL270" s="326">
        <v>45160</v>
      </c>
      <c r="AM270" s="316"/>
      <c r="AN270" s="305"/>
      <c r="AO270" s="327" t="str">
        <f>_xlfn.IFNA(IF(VLOOKUP(tabItens[[#This Row],[CÓDIGO]],tabExcluirDoEstoque[#Data],1,FALSE),"sim",""),"")</f>
        <v/>
      </c>
      <c r="AP270" s="398" t="str">
        <f ca="1">IF(OR(ISBLANK(tabItens[[#This Row],[ATA DT.VALID.]]),tabItens[[#This Row],[ATA DT.VALID.]]="",tabItens[[#This Row],[ATA DT.VALID.]]=" "),"",IF(TYPE(tabItens[[#This Row],[ATA DT.VALID.]])=1,ROUNDUP((tabItens[[#This Row],[ATA DT.VALID.]]-TODAY())/7,0),""))</f>
        <v/>
      </c>
      <c r="AQ270" s="399">
        <v>34</v>
      </c>
      <c r="AR270" s="400" t="str">
        <f>IF(ISBLANK(tabItens[[#This Row],[CÓDIGO]]),"",IFERROR(VLOOKUP(tabItens[[#This Row],[CÓDIGO]],Consumo!$C$2:$AC$862,26,FALSE),0))</f>
        <v>09.2023</v>
      </c>
      <c r="AS270" s="401">
        <f>SUMIF(Consumo!$C$3:$C$862,tabItens[[#This Row],[CÓDIGO]],Consumo!$N$3:$N$862) + SUMIF(Consumo!$C$3:$C$862,tabItens[[#This Row],[CÓDIGO]],Consumo!$O$3:$O$862) + SUMIF(Consumo!$C$3:$C$862,tabItens[[#This Row],[CÓDIGO]],Consumo!$P$3:$P$862) + SUMIF(Consumo!$C$3:$C$862,tabItens[[#This Row],[CÓDIGO]],Consumo!$Q$3:$Q$862)</f>
        <v>75</v>
      </c>
      <c r="AT270" s="401">
        <f>SUMIF(Consumo!$C$3:$C$862,tabItens[[#This Row],[CÓDIGO]],Consumo!$Z$3:$Z$862)</f>
        <v>358</v>
      </c>
      <c r="AU270" s="402">
        <f>SUMIF(Consumo!$C$3:$C$862,tabItens[[#This Row],[CÓDIGO]],Consumo!$AA$3:$AA$862)</f>
        <v>63</v>
      </c>
      <c r="AV270" s="403">
        <f>SUMIF(Consumo!$C$3:$C$862,tabItens[[#This Row],[CÓDIGO]],Consumo!$Y$3:$Y$862)</f>
        <v>29.833333333333332</v>
      </c>
      <c r="AW270" s="380">
        <f>tabItens[[#This Row],[QTDE ATUAL]] + tabItens[[#This Row],[RC QTDE]] + tabItens[[#This Row],[AF SALDO]] + tabItens[[#This Row],[Recentes]]</f>
        <v>292</v>
      </c>
      <c r="AX270" s="404">
        <v>13</v>
      </c>
      <c r="AY270" s="404">
        <v>4</v>
      </c>
      <c r="AZ270" s="404">
        <f>IF(ISBLANK(tabItens[[#This Row],[CÓDIGO]]),"",tabItens[[#This Row],[PontoMês]] * (AZ$2+tabItens[[#This Row],[PontoQtM]]))</f>
        <v>52</v>
      </c>
      <c r="BA270" s="403">
        <f>tabItens[[#This Row],[PontoPed]] - tabItens[[#This Row],[Saldo]] + (1/10)</f>
        <v>-239.9</v>
      </c>
      <c r="BB270" s="403">
        <f xml:space="preserve"> tabItens[[#This Row],[PontoMês]] * BB$2 - tabItens[[#This Row],[QTDE ATUAL]] - (1/10)</f>
        <v>-245.1</v>
      </c>
      <c r="BC270" s="335">
        <f>IF( tabItens[[#This Row],[PontoPed]]&gt;0, IF(tabItens[[#This Row],[PontoPed]]&lt;1, 1, IF( tabItens[[#This Row],[Saldo]]&gt;tabItens[[#This Row],[PontoPed]], 0, (tabItens[[#This Row],[PontoPed]]-tabItens[[#This Row],[Saldo]])/tabItens[[#This Row],[PontoPed]] ) ), 0 )</f>
        <v>0</v>
      </c>
      <c r="BD270" s="405">
        <f>ROUNDDOWN(IF( OR( AND(tabItens[[#This Row],[PontoPed]]&lt;tabItens[[#This Row],[Saldo]],tabItens[[#This Row],[Saldo]]&gt;0), tabItens[[#This Row],[PontoPed]]=0), 99, IF(AND(tabItens[[#This Row],[Saldo]]=0,tabItens[[#This Row],[PontoPed]]&gt;0), 0, (1-tabItens[[#This Row],[PctAb]])*10 ) ),0)</f>
        <v>99</v>
      </c>
      <c r="BE270" s="406">
        <f>MAX(ROUNDDOWN( IF(tabItens[[#This Row],[Abaixo]] &gt; 0,   tabItens[[#This Row],[Abaixo]] + (tabItens[[#This Row],[PontoMês]] * IF( OR( ISBLANK(tabItens[[#This Row],[ATA Nº/ANO]]), tabItens[[#This Row],[ATA Nº/ANO]] = ""),BE$2,BE$1)),0),0),0)</f>
        <v>0</v>
      </c>
      <c r="BF27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0" s="338">
        <f>SUMIF(Consumo!$C$3:$C$862,tabItens[[#This Row],[CÓDIGO]],Consumo!$E$3:$E$862)</f>
        <v>0</v>
      </c>
      <c r="BH270" s="339">
        <f>IF(AND(tabItens[[#This Row],[Pend]] &gt; 0,tabItens[[#This Row],[Consumo]] &lt;&gt; 0), tabItens[[#This Row],[Pend]] / tabItens[[#This Row],[Consumo]], 0 )</f>
        <v>0</v>
      </c>
      <c r="BI270" s="338"/>
      <c r="BJ270" s="407"/>
      <c r="BK270" s="408" t="s">
        <v>2086</v>
      </c>
    </row>
    <row r="271" spans="1:63" x14ac:dyDescent="0.3">
      <c r="A271" s="375">
        <v>14001</v>
      </c>
      <c r="B271" s="376" t="s">
        <v>1050</v>
      </c>
      <c r="C271" s="377" t="s">
        <v>287</v>
      </c>
      <c r="D271" s="378">
        <v>49.21</v>
      </c>
      <c r="E271" s="305"/>
      <c r="F271" s="379"/>
      <c r="G271" s="379" t="s">
        <v>889</v>
      </c>
      <c r="H271" s="380">
        <v>0</v>
      </c>
      <c r="I271" s="307">
        <v>103003</v>
      </c>
      <c r="J271" s="308">
        <v>49.21</v>
      </c>
      <c r="K271" s="381">
        <v>195</v>
      </c>
      <c r="L271" s="382">
        <f>IF(tabItens[[#This Row],[Média]] &gt; 0, tabItens[[#This Row],[QTDE ATUAL]] / tabItens[[#This Row],[Média]],999.9)</f>
        <v>0</v>
      </c>
      <c r="M271" s="383">
        <v>0</v>
      </c>
      <c r="N271" s="384">
        <f>tabItens[[#This Row],[VALOR UNIT.]] * tabItens[[#This Row],[LC]]</f>
        <v>0</v>
      </c>
      <c r="O271" s="385" t="s">
        <v>2117</v>
      </c>
      <c r="P271" s="386"/>
      <c r="Q271" s="387"/>
      <c r="R271" s="312"/>
      <c r="S271" s="388"/>
      <c r="T271" s="389">
        <f>ROUNDDOWN(IFERROR(tabItens[[#This Row],[ATA DT.VALID.]] - $D$1,0) / 30,0)</f>
        <v>-1474</v>
      </c>
      <c r="U271" s="302" t="s">
        <v>963</v>
      </c>
      <c r="V271" s="318">
        <v>1</v>
      </c>
      <c r="W271" s="390" t="s">
        <v>2071</v>
      </c>
      <c r="X271" s="391">
        <v>51</v>
      </c>
      <c r="Y271" s="392">
        <v>3</v>
      </c>
      <c r="Z271" s="393"/>
      <c r="AA271" s="394"/>
      <c r="AB271" s="395"/>
      <c r="AC271" s="395">
        <v>11593</v>
      </c>
      <c r="AD271" s="394">
        <v>2023</v>
      </c>
      <c r="AE271" s="395">
        <v>800</v>
      </c>
      <c r="AF271" s="317">
        <v>800</v>
      </c>
      <c r="AG271" s="396" t="s">
        <v>2056</v>
      </c>
      <c r="AH271" s="397">
        <v>45217</v>
      </c>
      <c r="AI271" s="317">
        <v>72</v>
      </c>
      <c r="AJ271" s="397">
        <v>44762</v>
      </c>
      <c r="AK271" s="326" t="s">
        <v>889</v>
      </c>
      <c r="AL271" s="326">
        <v>45183</v>
      </c>
      <c r="AM271" s="316"/>
      <c r="AN271" s="305"/>
      <c r="AO271" s="327" t="str">
        <f>_xlfn.IFNA(IF(VLOOKUP(tabItens[[#This Row],[CÓDIGO]],tabExcluirDoEstoque[#Data],1,FALSE),"sim",""),"")</f>
        <v/>
      </c>
      <c r="AP271" s="398" t="str">
        <f ca="1">IF(OR(ISBLANK(tabItens[[#This Row],[ATA DT.VALID.]]),tabItens[[#This Row],[ATA DT.VALID.]]="",tabItens[[#This Row],[ATA DT.VALID.]]=" "),"",IF(TYPE(tabItens[[#This Row],[ATA DT.VALID.]])=1,ROUNDUP((tabItens[[#This Row],[ATA DT.VALID.]]-TODAY())/7,0),""))</f>
        <v/>
      </c>
      <c r="AQ271" s="399">
        <v>0</v>
      </c>
      <c r="AR271" s="400" t="str">
        <f>IF(ISBLANK(tabItens[[#This Row],[CÓDIGO]]),"",IFERROR(VLOOKUP(tabItens[[#This Row],[CÓDIGO]],Consumo!$C$2:$AC$862,26,FALSE),0))</f>
        <v>05.2023</v>
      </c>
      <c r="AS271" s="401">
        <f>SUMIF(Consumo!$C$3:$C$862,tabItens[[#This Row],[CÓDIGO]],Consumo!$N$3:$N$862) + SUMIF(Consumo!$C$3:$C$862,tabItens[[#This Row],[CÓDIGO]],Consumo!$O$3:$O$862) + SUMIF(Consumo!$C$3:$C$862,tabItens[[#This Row],[CÓDIGO]],Consumo!$P$3:$P$862) + SUMIF(Consumo!$C$3:$C$862,tabItens[[#This Row],[CÓDIGO]],Consumo!$Q$3:$Q$862)</f>
        <v>0</v>
      </c>
      <c r="AT271" s="401">
        <f>SUMIF(Consumo!$C$3:$C$862,tabItens[[#This Row],[CÓDIGO]],Consumo!$Z$3:$Z$862)</f>
        <v>215</v>
      </c>
      <c r="AU271" s="402">
        <f>SUMIF(Consumo!$C$3:$C$862,tabItens[[#This Row],[CÓDIGO]],Consumo!$AA$3:$AA$862)</f>
        <v>40</v>
      </c>
      <c r="AV271" s="403">
        <f>SUMIF(Consumo!$C$3:$C$862,tabItens[[#This Row],[CÓDIGO]],Consumo!$Y$3:$Y$862)</f>
        <v>17.916666666666668</v>
      </c>
      <c r="AW271" s="380">
        <f>tabItens[[#This Row],[QTDE ATUAL]] + tabItens[[#This Row],[RC QTDE]] + tabItens[[#This Row],[AF SALDO]] + tabItens[[#This Row],[Recentes]]</f>
        <v>800</v>
      </c>
      <c r="AX271" s="404">
        <v>18</v>
      </c>
      <c r="AY271" s="404">
        <v>4</v>
      </c>
      <c r="AZ271" s="404">
        <f>IF(ISBLANK(tabItens[[#This Row],[CÓDIGO]]),"",tabItens[[#This Row],[PontoMês]] * (AZ$2+tabItens[[#This Row],[PontoQtM]]))</f>
        <v>72</v>
      </c>
      <c r="BA271" s="403">
        <f>tabItens[[#This Row],[PontoPed]] - tabItens[[#This Row],[Saldo]] + (1/10)</f>
        <v>-727.9</v>
      </c>
      <c r="BB271" s="403">
        <f xml:space="preserve"> tabItens[[#This Row],[PontoMês]] * BB$2 - tabItens[[#This Row],[QTDE ATUAL]] - (1/10)</f>
        <v>17.899999999999999</v>
      </c>
      <c r="BC271" s="335">
        <f>IF( tabItens[[#This Row],[PontoPed]]&gt;0, IF(tabItens[[#This Row],[PontoPed]]&lt;1, 1, IF( tabItens[[#This Row],[Saldo]]&gt;tabItens[[#This Row],[PontoPed]], 0, (tabItens[[#This Row],[PontoPed]]-tabItens[[#This Row],[Saldo]])/tabItens[[#This Row],[PontoPed]] ) ), 0 )</f>
        <v>0</v>
      </c>
      <c r="BD271" s="405">
        <f>ROUNDDOWN(IF( OR( AND(tabItens[[#This Row],[PontoPed]]&lt;tabItens[[#This Row],[Saldo]],tabItens[[#This Row],[Saldo]]&gt;0), tabItens[[#This Row],[PontoPed]]=0), 99, IF(AND(tabItens[[#This Row],[Saldo]]=0,tabItens[[#This Row],[PontoPed]]&gt;0), 0, (1-tabItens[[#This Row],[PctAb]])*10 ) ),0)</f>
        <v>99</v>
      </c>
      <c r="BE271" s="406">
        <f>MAX(ROUNDDOWN( IF(tabItens[[#This Row],[Abaixo]] &gt; 0,   tabItens[[#This Row],[Abaixo]] + (tabItens[[#This Row],[PontoMês]] * IF( OR( ISBLANK(tabItens[[#This Row],[ATA Nº/ANO]]), tabItens[[#This Row],[ATA Nº/ANO]] = ""),BE$2,BE$1)),0),0),0)</f>
        <v>0</v>
      </c>
      <c r="BF27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1" s="338">
        <f>SUMIF(Consumo!$C$3:$C$862,tabItens[[#This Row],[CÓDIGO]],Consumo!$E$3:$E$862)</f>
        <v>0</v>
      </c>
      <c r="BH271" s="339">
        <f>IF(AND(tabItens[[#This Row],[Pend]] &gt; 0,tabItens[[#This Row],[Consumo]] &lt;&gt; 0), tabItens[[#This Row],[Pend]] / tabItens[[#This Row],[Consumo]], 0 )</f>
        <v>0</v>
      </c>
      <c r="BI271" s="338"/>
      <c r="BJ271" s="407"/>
      <c r="BK271" s="408" t="s">
        <v>2086</v>
      </c>
    </row>
    <row r="272" spans="1:63" x14ac:dyDescent="0.3">
      <c r="A272" s="375">
        <v>27353</v>
      </c>
      <c r="B272" s="376" t="s">
        <v>1226</v>
      </c>
      <c r="C272" s="377" t="s">
        <v>611</v>
      </c>
      <c r="D272" s="378">
        <v>3.21</v>
      </c>
      <c r="E272" s="305"/>
      <c r="F272" s="379"/>
      <c r="G272" s="379" t="s">
        <v>889</v>
      </c>
      <c r="H272" s="380">
        <v>0</v>
      </c>
      <c r="I272" s="307">
        <v>103003</v>
      </c>
      <c r="J272" s="308">
        <v>3.21</v>
      </c>
      <c r="K272" s="381">
        <v>452</v>
      </c>
      <c r="L272" s="382">
        <f>IF(tabItens[[#This Row],[Média]] &gt; 0, tabItens[[#This Row],[QTDE ATUAL]] / tabItens[[#This Row],[Média]],999.9)</f>
        <v>0</v>
      </c>
      <c r="M272" s="383">
        <v>0</v>
      </c>
      <c r="N272" s="384">
        <f>tabItens[[#This Row],[VALOR UNIT.]] * tabItens[[#This Row],[LC]]</f>
        <v>0</v>
      </c>
      <c r="O272" s="385" t="s">
        <v>2117</v>
      </c>
      <c r="P272" s="386"/>
      <c r="Q272" s="387"/>
      <c r="R272" s="312"/>
      <c r="S272" s="388"/>
      <c r="T272" s="389">
        <f>ROUNDDOWN(IFERROR(tabItens[[#This Row],[ATA DT.VALID.]] - $D$1,0) / 30,0)</f>
        <v>-1474</v>
      </c>
      <c r="U272" s="302" t="s">
        <v>963</v>
      </c>
      <c r="V272" s="318">
        <v>1</v>
      </c>
      <c r="W272" s="390" t="s">
        <v>2071</v>
      </c>
      <c r="X272" s="391">
        <v>51</v>
      </c>
      <c r="Y272" s="392">
        <v>3</v>
      </c>
      <c r="Z272" s="393"/>
      <c r="AA272" s="394"/>
      <c r="AB272" s="395"/>
      <c r="AC272" s="395"/>
      <c r="AD272" s="394"/>
      <c r="AE272" s="395"/>
      <c r="AF272" s="317"/>
      <c r="AG272" s="396" t="s">
        <v>2072</v>
      </c>
      <c r="AH272" s="397"/>
      <c r="AI272" s="317">
        <v>166</v>
      </c>
      <c r="AJ272" s="397">
        <v>45195</v>
      </c>
      <c r="AK272" s="326" t="s">
        <v>889</v>
      </c>
      <c r="AL272" s="326">
        <v>45160</v>
      </c>
      <c r="AM272" s="316"/>
      <c r="AN272" s="305"/>
      <c r="AO272" s="327" t="str">
        <f>_xlfn.IFNA(IF(VLOOKUP(tabItens[[#This Row],[CÓDIGO]],tabExcluirDoEstoque[#Data],1,FALSE),"sim",""),"")</f>
        <v/>
      </c>
      <c r="AP272" s="398" t="str">
        <f ca="1">IF(OR(ISBLANK(tabItens[[#This Row],[ATA DT.VALID.]]),tabItens[[#This Row],[ATA DT.VALID.]]="",tabItens[[#This Row],[ATA DT.VALID.]]=" "),"",IF(TYPE(tabItens[[#This Row],[ATA DT.VALID.]])=1,ROUNDUP((tabItens[[#This Row],[ATA DT.VALID.]]-TODAY())/7,0),""))</f>
        <v/>
      </c>
      <c r="AQ272" s="399">
        <v>0</v>
      </c>
      <c r="AR272" s="400" t="str">
        <f>IF(ISBLANK(tabItens[[#This Row],[CÓDIGO]]),"",IFERROR(VLOOKUP(tabItens[[#This Row],[CÓDIGO]],Consumo!$C$2:$AC$862,26,FALSE),0))</f>
        <v>09.2023</v>
      </c>
      <c r="AS272" s="401">
        <f>SUMIF(Consumo!$C$3:$C$862,tabItens[[#This Row],[CÓDIGO]],Consumo!$N$3:$N$862) + SUMIF(Consumo!$C$3:$C$862,tabItens[[#This Row],[CÓDIGO]],Consumo!$O$3:$O$862) + SUMIF(Consumo!$C$3:$C$862,tabItens[[#This Row],[CÓDIGO]],Consumo!$P$3:$P$862) + SUMIF(Consumo!$C$3:$C$862,tabItens[[#This Row],[CÓDIGO]],Consumo!$Q$3:$Q$862)</f>
        <v>100</v>
      </c>
      <c r="AT272" s="401">
        <f>SUMIF(Consumo!$C$3:$C$862,tabItens[[#This Row],[CÓDIGO]],Consumo!$Z$3:$Z$862)</f>
        <v>517</v>
      </c>
      <c r="AU272" s="402">
        <f>SUMIF(Consumo!$C$3:$C$862,tabItens[[#This Row],[CÓDIGO]],Consumo!$AA$3:$AA$862)</f>
        <v>154</v>
      </c>
      <c r="AV272" s="403">
        <f>SUMIF(Consumo!$C$3:$C$862,tabItens[[#This Row],[CÓDIGO]],Consumo!$Y$3:$Y$862)</f>
        <v>41.833333333333336</v>
      </c>
      <c r="AW272" s="380">
        <f>tabItens[[#This Row],[QTDE ATUAL]] + tabItens[[#This Row],[RC QTDE]] + tabItens[[#This Row],[AF SALDO]] + tabItens[[#This Row],[Recentes]]</f>
        <v>0</v>
      </c>
      <c r="AX272" s="404">
        <v>20</v>
      </c>
      <c r="AY272" s="404">
        <v>4</v>
      </c>
      <c r="AZ272" s="404">
        <f>IF(ISBLANK(tabItens[[#This Row],[CÓDIGO]]),"",tabItens[[#This Row],[PontoMês]] * (AZ$2+tabItens[[#This Row],[PontoQtM]]))</f>
        <v>80</v>
      </c>
      <c r="BA272" s="403">
        <f>tabItens[[#This Row],[PontoPed]] - tabItens[[#This Row],[Saldo]] + (1/10)</f>
        <v>80.099999999999994</v>
      </c>
      <c r="BB272" s="403">
        <f xml:space="preserve"> tabItens[[#This Row],[PontoMês]] * BB$2 - tabItens[[#This Row],[QTDE ATUAL]] - (1/10)</f>
        <v>19.899999999999999</v>
      </c>
      <c r="BC272" s="335">
        <f>IF( tabItens[[#This Row],[PontoPed]]&gt;0, IF(tabItens[[#This Row],[PontoPed]]&lt;1, 1, IF( tabItens[[#This Row],[Saldo]]&gt;tabItens[[#This Row],[PontoPed]], 0, (tabItens[[#This Row],[PontoPed]]-tabItens[[#This Row],[Saldo]])/tabItens[[#This Row],[PontoPed]] ) ), 0 )</f>
        <v>1</v>
      </c>
      <c r="BD272" s="405">
        <f>ROUNDDOWN(IF( OR( AND(tabItens[[#This Row],[PontoPed]]&lt;tabItens[[#This Row],[Saldo]],tabItens[[#This Row],[Saldo]]&gt;0), tabItens[[#This Row],[PontoPed]]=0), 99, IF(AND(tabItens[[#This Row],[Saldo]]=0,tabItens[[#This Row],[PontoPed]]&gt;0), 0, (1-tabItens[[#This Row],[PctAb]])*10 ) ),0)</f>
        <v>0</v>
      </c>
      <c r="BE272" s="406">
        <f>MAX(ROUNDDOWN( IF(tabItens[[#This Row],[Abaixo]] &gt; 0,   tabItens[[#This Row],[Abaixo]] + (tabItens[[#This Row],[PontoMês]] * IF( OR( ISBLANK(tabItens[[#This Row],[ATA Nº/ANO]]), tabItens[[#This Row],[ATA Nº/ANO]] = ""),BE$2,BE$1)),0),0),0)</f>
        <v>140</v>
      </c>
      <c r="BF27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2" s="338">
        <f>SUMIF(Consumo!$C$3:$C$862,tabItens[[#This Row],[CÓDIGO]],Consumo!$E$3:$E$862)</f>
        <v>20</v>
      </c>
      <c r="BH272" s="339">
        <f>IF(AND(tabItens[[#This Row],[Pend]] &gt; 0,tabItens[[#This Row],[Consumo]] &lt;&gt; 0), tabItens[[#This Row],[Pend]] / tabItens[[#This Row],[Consumo]], 0 )</f>
        <v>3.8684719535783368E-2</v>
      </c>
      <c r="BI272" s="338"/>
      <c r="BJ272" s="407"/>
      <c r="BK272" s="408" t="s">
        <v>2086</v>
      </c>
    </row>
    <row r="273" spans="1:63" x14ac:dyDescent="0.3">
      <c r="A273" s="375">
        <v>100362</v>
      </c>
      <c r="B273" s="376" t="s">
        <v>1574</v>
      </c>
      <c r="C273" s="377" t="s">
        <v>611</v>
      </c>
      <c r="D273" s="378">
        <v>26.43</v>
      </c>
      <c r="E273" s="305"/>
      <c r="F273" s="379"/>
      <c r="G273" s="379" t="s">
        <v>889</v>
      </c>
      <c r="H273" s="380">
        <v>2665</v>
      </c>
      <c r="I273" s="307">
        <v>103003</v>
      </c>
      <c r="J273" s="308">
        <v>26.43</v>
      </c>
      <c r="K273" s="381">
        <v>3661</v>
      </c>
      <c r="L273" s="382">
        <f>IF(tabItens[[#This Row],[Média]] &gt; 0, tabItens[[#This Row],[QTDE ATUAL]] / tabItens[[#This Row],[Média]],999.9)</f>
        <v>8.5257264729405495</v>
      </c>
      <c r="M273" s="383">
        <v>0</v>
      </c>
      <c r="N273" s="384">
        <f>tabItens[[#This Row],[VALOR UNIT.]] * tabItens[[#This Row],[LC]]</f>
        <v>0</v>
      </c>
      <c r="O273" s="385" t="s">
        <v>2117</v>
      </c>
      <c r="P273" s="386"/>
      <c r="Q273" s="387"/>
      <c r="R273" s="312"/>
      <c r="S273" s="388"/>
      <c r="T273" s="389">
        <f>ROUNDDOWN(IFERROR(tabItens[[#This Row],[ATA DT.VALID.]] - $D$1,0) / 30,0)</f>
        <v>-1474</v>
      </c>
      <c r="U273" s="302" t="s">
        <v>963</v>
      </c>
      <c r="V273" s="318">
        <v>1</v>
      </c>
      <c r="W273" s="390" t="s">
        <v>2071</v>
      </c>
      <c r="X273" s="391">
        <v>51</v>
      </c>
      <c r="Y273" s="392">
        <v>3</v>
      </c>
      <c r="Z273" s="393"/>
      <c r="AA273" s="394"/>
      <c r="AB273" s="395"/>
      <c r="AC273" s="395">
        <v>8935</v>
      </c>
      <c r="AD273" s="394">
        <v>2023</v>
      </c>
      <c r="AE273" s="395">
        <v>0</v>
      </c>
      <c r="AF273" s="317">
        <v>8000</v>
      </c>
      <c r="AG273" s="396" t="s">
        <v>2066</v>
      </c>
      <c r="AH273" s="397">
        <v>45180</v>
      </c>
      <c r="AI273" s="317">
        <v>1220</v>
      </c>
      <c r="AJ273" s="397">
        <v>45163</v>
      </c>
      <c r="AK273" s="326">
        <v>39258</v>
      </c>
      <c r="AL273" s="326">
        <v>45148</v>
      </c>
      <c r="AM273" s="316"/>
      <c r="AN273" s="305"/>
      <c r="AO273" s="327" t="str">
        <f>_xlfn.IFNA(IF(VLOOKUP(tabItens[[#This Row],[CÓDIGO]],tabExcluirDoEstoque[#Data],1,FALSE),"sim",""),"")</f>
        <v/>
      </c>
      <c r="AP273" s="398" t="str">
        <f ca="1">IF(OR(ISBLANK(tabItens[[#This Row],[ATA DT.VALID.]]),tabItens[[#This Row],[ATA DT.VALID.]]="",tabItens[[#This Row],[ATA DT.VALID.]]=" "),"",IF(TYPE(tabItens[[#This Row],[ATA DT.VALID.]])=1,ROUNDUP((tabItens[[#This Row],[ATA DT.VALID.]]-TODAY())/7,0),""))</f>
        <v/>
      </c>
      <c r="AQ273" s="399">
        <v>0</v>
      </c>
      <c r="AR273" s="400" t="str">
        <f>IF(ISBLANK(tabItens[[#This Row],[CÓDIGO]]),"",IFERROR(VLOOKUP(tabItens[[#This Row],[CÓDIGO]],Consumo!$C$2:$AC$862,26,FALSE),0))</f>
        <v>09.2023</v>
      </c>
      <c r="AS273" s="401">
        <f>SUMIF(Consumo!$C$3:$C$862,tabItens[[#This Row],[CÓDIGO]],Consumo!$N$3:$N$862) + SUMIF(Consumo!$C$3:$C$862,tabItens[[#This Row],[CÓDIGO]],Consumo!$O$3:$O$862) + SUMIF(Consumo!$C$3:$C$862,tabItens[[#This Row],[CÓDIGO]],Consumo!$P$3:$P$862) + SUMIF(Consumo!$C$3:$C$862,tabItens[[#This Row],[CÓDIGO]],Consumo!$Q$3:$Q$862)</f>
        <v>1230</v>
      </c>
      <c r="AT273" s="401">
        <f>SUMIF(Consumo!$C$3:$C$862,tabItens[[#This Row],[CÓDIGO]],Consumo!$Z$3:$Z$862)</f>
        <v>3798</v>
      </c>
      <c r="AU273" s="402">
        <f>SUMIF(Consumo!$C$3:$C$862,tabItens[[#This Row],[CÓDIGO]],Consumo!$AA$3:$AA$862)</f>
        <v>1091</v>
      </c>
      <c r="AV273" s="403">
        <f>SUMIF(Consumo!$C$3:$C$862,tabItens[[#This Row],[CÓDIGO]],Consumo!$Y$3:$Y$862)</f>
        <v>312.58333333333331</v>
      </c>
      <c r="AW273" s="380">
        <f>tabItens[[#This Row],[QTDE ATUAL]] + tabItens[[#This Row],[RC QTDE]] + tabItens[[#This Row],[AF SALDO]] + tabItens[[#This Row],[Recentes]]</f>
        <v>2665</v>
      </c>
      <c r="AX273" s="404">
        <v>24.9</v>
      </c>
      <c r="AY273" s="404">
        <v>4</v>
      </c>
      <c r="AZ273" s="404">
        <f>IF(ISBLANK(tabItens[[#This Row],[CÓDIGO]]),"",tabItens[[#This Row],[PontoMês]] * (AZ$2+tabItens[[#This Row],[PontoQtM]]))</f>
        <v>99.6</v>
      </c>
      <c r="BA273" s="403">
        <f>tabItens[[#This Row],[PontoPed]] - tabItens[[#This Row],[Saldo]] + (1/10)</f>
        <v>-2565.3000000000002</v>
      </c>
      <c r="BB273" s="403">
        <f xml:space="preserve"> tabItens[[#This Row],[PontoMês]] * BB$2 - tabItens[[#This Row],[QTDE ATUAL]] - (1/10)</f>
        <v>-2640.2</v>
      </c>
      <c r="BC273" s="335">
        <f>IF( tabItens[[#This Row],[PontoPed]]&gt;0, IF(tabItens[[#This Row],[PontoPed]]&lt;1, 1, IF( tabItens[[#This Row],[Saldo]]&gt;tabItens[[#This Row],[PontoPed]], 0, (tabItens[[#This Row],[PontoPed]]-tabItens[[#This Row],[Saldo]])/tabItens[[#This Row],[PontoPed]] ) ), 0 )</f>
        <v>0</v>
      </c>
      <c r="BD273" s="405">
        <f>ROUNDDOWN(IF( OR( AND(tabItens[[#This Row],[PontoPed]]&lt;tabItens[[#This Row],[Saldo]],tabItens[[#This Row],[Saldo]]&gt;0), tabItens[[#This Row],[PontoPed]]=0), 99, IF(AND(tabItens[[#This Row],[Saldo]]=0,tabItens[[#This Row],[PontoPed]]&gt;0), 0, (1-tabItens[[#This Row],[PctAb]])*10 ) ),0)</f>
        <v>99</v>
      </c>
      <c r="BE273" s="406">
        <f>MAX(ROUNDDOWN( IF(tabItens[[#This Row],[Abaixo]] &gt; 0,   tabItens[[#This Row],[Abaixo]] + (tabItens[[#This Row],[PontoMês]] * IF( OR( ISBLANK(tabItens[[#This Row],[ATA Nº/ANO]]), tabItens[[#This Row],[ATA Nº/ANO]] = ""),BE$2,BE$1)),0),0),0)</f>
        <v>0</v>
      </c>
      <c r="BF27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3" s="338">
        <f>SUMIF(Consumo!$C$3:$C$862,tabItens[[#This Row],[CÓDIGO]],Consumo!$E$3:$E$862)</f>
        <v>137</v>
      </c>
      <c r="BH273" s="339">
        <f>IF(AND(tabItens[[#This Row],[Pend]] &gt; 0,tabItens[[#This Row],[Consumo]] &lt;&gt; 0), tabItens[[#This Row],[Pend]] / tabItens[[#This Row],[Consumo]], 0 )</f>
        <v>3.607161664033702E-2</v>
      </c>
      <c r="BI273" s="338"/>
      <c r="BJ273" s="407"/>
      <c r="BK273" s="408" t="s">
        <v>2086</v>
      </c>
    </row>
    <row r="274" spans="1:63" x14ac:dyDescent="0.3">
      <c r="A274" s="375">
        <v>50475</v>
      </c>
      <c r="B274" s="376" t="s">
        <v>1297</v>
      </c>
      <c r="C274" s="377" t="s">
        <v>263</v>
      </c>
      <c r="D274" s="378">
        <v>1.94</v>
      </c>
      <c r="E274" s="305"/>
      <c r="F274" s="379"/>
      <c r="G274" s="379" t="s">
        <v>889</v>
      </c>
      <c r="H274" s="380">
        <v>230</v>
      </c>
      <c r="I274" s="307">
        <v>103003</v>
      </c>
      <c r="J274" s="308">
        <v>1.94</v>
      </c>
      <c r="K274" s="381"/>
      <c r="L274" s="382">
        <f>IF(tabItens[[#This Row],[Média]] &gt; 0, tabItens[[#This Row],[QTDE ATUAL]] / tabItens[[#This Row],[Média]],999.9)</f>
        <v>999.9</v>
      </c>
      <c r="M274" s="383">
        <v>0</v>
      </c>
      <c r="N274" s="384">
        <f>tabItens[[#This Row],[VALOR UNIT.]] * tabItens[[#This Row],[LC]]</f>
        <v>0</v>
      </c>
      <c r="O274" s="385" t="s">
        <v>2117</v>
      </c>
      <c r="P274" s="386"/>
      <c r="Q274" s="387"/>
      <c r="R274" s="312"/>
      <c r="S274" s="388"/>
      <c r="T274" s="389">
        <f>ROUNDDOWN(IFERROR(tabItens[[#This Row],[ATA DT.VALID.]] - $D$1,0) / 30,0)</f>
        <v>-1474</v>
      </c>
      <c r="U274" s="302" t="s">
        <v>1274</v>
      </c>
      <c r="V274" s="318">
        <v>1</v>
      </c>
      <c r="W274" s="390" t="s">
        <v>2071</v>
      </c>
      <c r="X274" s="391">
        <v>51</v>
      </c>
      <c r="Y274" s="392">
        <v>17</v>
      </c>
      <c r="Z274" s="393"/>
      <c r="AA274" s="394"/>
      <c r="AB274" s="395"/>
      <c r="AC274" s="395"/>
      <c r="AD274" s="394"/>
      <c r="AE274" s="395"/>
      <c r="AF274" s="317"/>
      <c r="AG274" s="396" t="s">
        <v>2072</v>
      </c>
      <c r="AH274" s="397"/>
      <c r="AI274" s="317">
        <v>46</v>
      </c>
      <c r="AJ274" s="397">
        <v>41472</v>
      </c>
      <c r="AK274" s="326" t="s">
        <v>889</v>
      </c>
      <c r="AL274" s="326">
        <v>44273</v>
      </c>
      <c r="AM274" s="316"/>
      <c r="AN274" s="305"/>
      <c r="AO274" s="327" t="str">
        <f>_xlfn.IFNA(IF(VLOOKUP(tabItens[[#This Row],[CÓDIGO]],tabExcluirDoEstoque[#Data],1,FALSE),"sim",""),"")</f>
        <v/>
      </c>
      <c r="AP274" s="398" t="str">
        <f ca="1">IF(OR(ISBLANK(tabItens[[#This Row],[ATA DT.VALID.]]),tabItens[[#This Row],[ATA DT.VALID.]]="",tabItens[[#This Row],[ATA DT.VALID.]]=" "),"",IF(TYPE(tabItens[[#This Row],[ATA DT.VALID.]])=1,ROUNDUP((tabItens[[#This Row],[ATA DT.VALID.]]-TODAY())/7,0),""))</f>
        <v/>
      </c>
      <c r="AQ274" s="399">
        <v>0</v>
      </c>
      <c r="AR274" s="400">
        <f>IF(ISBLANK(tabItens[[#This Row],[CÓDIGO]]),"",IFERROR(VLOOKUP(tabItens[[#This Row],[CÓDIGO]],Consumo!$C$2:$AC$862,26,FALSE),0))</f>
        <v>0</v>
      </c>
      <c r="AS274" s="401">
        <f>SUMIF(Consumo!$C$3:$C$862,tabItens[[#This Row],[CÓDIGO]],Consumo!$N$3:$N$862) + SUMIF(Consumo!$C$3:$C$862,tabItens[[#This Row],[CÓDIGO]],Consumo!$O$3:$O$862) + SUMIF(Consumo!$C$3:$C$862,tabItens[[#This Row],[CÓDIGO]],Consumo!$P$3:$P$862) + SUMIF(Consumo!$C$3:$C$862,tabItens[[#This Row],[CÓDIGO]],Consumo!$Q$3:$Q$862)</f>
        <v>0</v>
      </c>
      <c r="AT274" s="401">
        <f>SUMIF(Consumo!$C$3:$C$862,tabItens[[#This Row],[CÓDIGO]],Consumo!$Z$3:$Z$862)</f>
        <v>0</v>
      </c>
      <c r="AU274" s="402">
        <f>SUMIF(Consumo!$C$3:$C$862,tabItens[[#This Row],[CÓDIGO]],Consumo!$AA$3:$AA$862)</f>
        <v>0</v>
      </c>
      <c r="AV274" s="403">
        <f>SUMIF(Consumo!$C$3:$C$862,tabItens[[#This Row],[CÓDIGO]],Consumo!$Y$3:$Y$862)</f>
        <v>0</v>
      </c>
      <c r="AW274" s="380">
        <f>tabItens[[#This Row],[QTDE ATUAL]] + tabItens[[#This Row],[RC QTDE]] + tabItens[[#This Row],[AF SALDO]] + tabItens[[#This Row],[Recentes]]</f>
        <v>230</v>
      </c>
      <c r="AX274" s="404">
        <v>18</v>
      </c>
      <c r="AY274" s="404">
        <v>4</v>
      </c>
      <c r="AZ274" s="404">
        <f>IF(ISBLANK(tabItens[[#This Row],[CÓDIGO]]),"",tabItens[[#This Row],[PontoMês]] * (AZ$2+tabItens[[#This Row],[PontoQtM]]))</f>
        <v>72</v>
      </c>
      <c r="BA274" s="403">
        <f>tabItens[[#This Row],[PontoPed]] - tabItens[[#This Row],[Saldo]] + (1/10)</f>
        <v>-157.9</v>
      </c>
      <c r="BB274" s="403">
        <f xml:space="preserve"> tabItens[[#This Row],[PontoMês]] * BB$2 - tabItens[[#This Row],[QTDE ATUAL]] - (1/10)</f>
        <v>-212.1</v>
      </c>
      <c r="BC274" s="335">
        <f>IF( tabItens[[#This Row],[PontoPed]]&gt;0, IF(tabItens[[#This Row],[PontoPed]]&lt;1, 1, IF( tabItens[[#This Row],[Saldo]]&gt;tabItens[[#This Row],[PontoPed]], 0, (tabItens[[#This Row],[PontoPed]]-tabItens[[#This Row],[Saldo]])/tabItens[[#This Row],[PontoPed]] ) ), 0 )</f>
        <v>0</v>
      </c>
      <c r="BD274" s="405">
        <f>ROUNDDOWN(IF( OR( AND(tabItens[[#This Row],[PontoPed]]&lt;tabItens[[#This Row],[Saldo]],tabItens[[#This Row],[Saldo]]&gt;0), tabItens[[#This Row],[PontoPed]]=0), 99, IF(AND(tabItens[[#This Row],[Saldo]]=0,tabItens[[#This Row],[PontoPed]]&gt;0), 0, (1-tabItens[[#This Row],[PctAb]])*10 ) ),0)</f>
        <v>99</v>
      </c>
      <c r="BE274" s="406">
        <f>MAX(ROUNDDOWN( IF(tabItens[[#This Row],[Abaixo]] &gt; 0,   tabItens[[#This Row],[Abaixo]] + (tabItens[[#This Row],[PontoMês]] * IF( OR( ISBLANK(tabItens[[#This Row],[ATA Nº/ANO]]), tabItens[[#This Row],[ATA Nº/ANO]] = ""),BE$2,BE$1)),0),0),0)</f>
        <v>0</v>
      </c>
      <c r="BF27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4" s="338">
        <f>SUMIF(Consumo!$C$3:$C$862,tabItens[[#This Row],[CÓDIGO]],Consumo!$E$3:$E$862)</f>
        <v>0</v>
      </c>
      <c r="BH274" s="339">
        <f>IF(AND(tabItens[[#This Row],[Pend]] &gt; 0,tabItens[[#This Row],[Consumo]] &lt;&gt; 0), tabItens[[#This Row],[Pend]] / tabItens[[#This Row],[Consumo]], 0 )</f>
        <v>0</v>
      </c>
      <c r="BI274" s="338"/>
      <c r="BJ274" s="407"/>
      <c r="BK274" s="408" t="s">
        <v>2086</v>
      </c>
    </row>
    <row r="275" spans="1:63" x14ac:dyDescent="0.3">
      <c r="A275" s="375">
        <v>67375</v>
      </c>
      <c r="B275" s="376" t="s">
        <v>1396</v>
      </c>
      <c r="C275" s="377" t="s">
        <v>263</v>
      </c>
      <c r="D275" s="378">
        <v>46</v>
      </c>
      <c r="E275" s="305"/>
      <c r="F275" s="379"/>
      <c r="G275" s="379" t="s">
        <v>889</v>
      </c>
      <c r="H275" s="380">
        <v>103</v>
      </c>
      <c r="I275" s="307">
        <v>103003</v>
      </c>
      <c r="J275" s="308">
        <v>46</v>
      </c>
      <c r="K275" s="381">
        <v>85</v>
      </c>
      <c r="L275" s="382">
        <f>IF(tabItens[[#This Row],[Média]] &gt; 0, tabItens[[#This Row],[QTDE ATUAL]] / tabItens[[#This Row],[Média]],999.9)</f>
        <v>14.714285714285714</v>
      </c>
      <c r="M275" s="383">
        <v>0</v>
      </c>
      <c r="N275" s="384">
        <f>tabItens[[#This Row],[VALOR UNIT.]] * tabItens[[#This Row],[LC]]</f>
        <v>0</v>
      </c>
      <c r="O275" s="385" t="s">
        <v>2117</v>
      </c>
      <c r="P275" s="386"/>
      <c r="Q275" s="387"/>
      <c r="R275" s="312"/>
      <c r="S275" s="388"/>
      <c r="T275" s="389">
        <f>ROUNDDOWN(IFERROR(tabItens[[#This Row],[ATA DT.VALID.]] - $D$1,0) / 30,0)</f>
        <v>-1474</v>
      </c>
      <c r="U275" s="302" t="s">
        <v>1274</v>
      </c>
      <c r="V275" s="318">
        <v>1</v>
      </c>
      <c r="W275" s="390" t="s">
        <v>2071</v>
      </c>
      <c r="X275" s="391">
        <v>51</v>
      </c>
      <c r="Y275" s="392">
        <v>17</v>
      </c>
      <c r="Z275" s="393"/>
      <c r="AA275" s="394"/>
      <c r="AB275" s="395"/>
      <c r="AC275" s="395"/>
      <c r="AD275" s="394"/>
      <c r="AE275" s="395"/>
      <c r="AF275" s="317"/>
      <c r="AG275" s="396" t="s">
        <v>2072</v>
      </c>
      <c r="AH275" s="397"/>
      <c r="AI275" s="317">
        <v>30</v>
      </c>
      <c r="AJ275" s="397">
        <v>45208</v>
      </c>
      <c r="AK275" s="326" t="s">
        <v>889</v>
      </c>
      <c r="AL275" s="326">
        <v>45160</v>
      </c>
      <c r="AM275" s="316"/>
      <c r="AN275" s="305"/>
      <c r="AO275" s="327" t="str">
        <f>_xlfn.IFNA(IF(VLOOKUP(tabItens[[#This Row],[CÓDIGO]],tabExcluirDoEstoque[#Data],1,FALSE),"sim",""),"")</f>
        <v/>
      </c>
      <c r="AP275" s="398" t="str">
        <f ca="1">IF(OR(ISBLANK(tabItens[[#This Row],[ATA DT.VALID.]]),tabItens[[#This Row],[ATA DT.VALID.]]="",tabItens[[#This Row],[ATA DT.VALID.]]=" "),"",IF(TYPE(tabItens[[#This Row],[ATA DT.VALID.]])=1,ROUNDUP((tabItens[[#This Row],[ATA DT.VALID.]]-TODAY())/7,0),""))</f>
        <v/>
      </c>
      <c r="AQ275" s="399">
        <v>0</v>
      </c>
      <c r="AR275" s="400" t="str">
        <f>IF(ISBLANK(tabItens[[#This Row],[CÓDIGO]]),"",IFERROR(VLOOKUP(tabItens[[#This Row],[CÓDIGO]],Consumo!$C$2:$AC$862,26,FALSE),0))</f>
        <v>09.2023</v>
      </c>
      <c r="AS275" s="401">
        <f>SUMIF(Consumo!$C$3:$C$862,tabItens[[#This Row],[CÓDIGO]],Consumo!$N$3:$N$862) + SUMIF(Consumo!$C$3:$C$862,tabItens[[#This Row],[CÓDIGO]],Consumo!$O$3:$O$862) + SUMIF(Consumo!$C$3:$C$862,tabItens[[#This Row],[CÓDIGO]],Consumo!$P$3:$P$862) + SUMIF(Consumo!$C$3:$C$862,tabItens[[#This Row],[CÓDIGO]],Consumo!$Q$3:$Q$862)</f>
        <v>40</v>
      </c>
      <c r="AT275" s="401">
        <f>SUMIF(Consumo!$C$3:$C$862,tabItens[[#This Row],[CÓDIGO]],Consumo!$Z$3:$Z$862)</f>
        <v>89</v>
      </c>
      <c r="AU275" s="402">
        <f>SUMIF(Consumo!$C$3:$C$862,tabItens[[#This Row],[CÓDIGO]],Consumo!$AA$3:$AA$862)</f>
        <v>30</v>
      </c>
      <c r="AV275" s="403">
        <f>SUMIF(Consumo!$C$3:$C$862,tabItens[[#This Row],[CÓDIGO]],Consumo!$Y$3:$Y$862)</f>
        <v>7</v>
      </c>
      <c r="AW275" s="380">
        <f>tabItens[[#This Row],[QTDE ATUAL]] + tabItens[[#This Row],[RC QTDE]] + tabItens[[#This Row],[AF SALDO]] + tabItens[[#This Row],[Recentes]]</f>
        <v>103</v>
      </c>
      <c r="AX275" s="404">
        <v>8</v>
      </c>
      <c r="AY275" s="404">
        <v>4</v>
      </c>
      <c r="AZ275" s="404">
        <f>IF(ISBLANK(tabItens[[#This Row],[CÓDIGO]]),"",tabItens[[#This Row],[PontoMês]] * (AZ$2+tabItens[[#This Row],[PontoQtM]]))</f>
        <v>32</v>
      </c>
      <c r="BA275" s="403">
        <f>tabItens[[#This Row],[PontoPed]] - tabItens[[#This Row],[Saldo]] + (1/10)</f>
        <v>-70.900000000000006</v>
      </c>
      <c r="BB275" s="403">
        <f xml:space="preserve"> tabItens[[#This Row],[PontoMês]] * BB$2 - tabItens[[#This Row],[QTDE ATUAL]] - (1/10)</f>
        <v>-95.1</v>
      </c>
      <c r="BC275" s="335">
        <f>IF( tabItens[[#This Row],[PontoPed]]&gt;0, IF(tabItens[[#This Row],[PontoPed]]&lt;1, 1, IF( tabItens[[#This Row],[Saldo]]&gt;tabItens[[#This Row],[PontoPed]], 0, (tabItens[[#This Row],[PontoPed]]-tabItens[[#This Row],[Saldo]])/tabItens[[#This Row],[PontoPed]] ) ), 0 )</f>
        <v>0</v>
      </c>
      <c r="BD275" s="405">
        <f>ROUNDDOWN(IF( OR( AND(tabItens[[#This Row],[PontoPed]]&lt;tabItens[[#This Row],[Saldo]],tabItens[[#This Row],[Saldo]]&gt;0), tabItens[[#This Row],[PontoPed]]=0), 99, IF(AND(tabItens[[#This Row],[Saldo]]=0,tabItens[[#This Row],[PontoPed]]&gt;0), 0, (1-tabItens[[#This Row],[PctAb]])*10 ) ),0)</f>
        <v>99</v>
      </c>
      <c r="BE275" s="406">
        <f>MAX(ROUNDDOWN( IF(tabItens[[#This Row],[Abaixo]] &gt; 0,   tabItens[[#This Row],[Abaixo]] + (tabItens[[#This Row],[PontoMês]] * IF( OR( ISBLANK(tabItens[[#This Row],[ATA Nº/ANO]]), tabItens[[#This Row],[ATA Nº/ANO]] = ""),BE$2,BE$1)),0),0),0)</f>
        <v>0</v>
      </c>
      <c r="BF27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5" s="338">
        <f>SUMIF(Consumo!$C$3:$C$862,tabItens[[#This Row],[CÓDIGO]],Consumo!$E$3:$E$862)</f>
        <v>0</v>
      </c>
      <c r="BH275" s="339">
        <f>IF(AND(tabItens[[#This Row],[Pend]] &gt; 0,tabItens[[#This Row],[Consumo]] &lt;&gt; 0), tabItens[[#This Row],[Pend]] / tabItens[[#This Row],[Consumo]], 0 )</f>
        <v>0</v>
      </c>
      <c r="BI275" s="338"/>
      <c r="BJ275" s="407"/>
      <c r="BK275" s="408" t="s">
        <v>2086</v>
      </c>
    </row>
    <row r="276" spans="1:63" x14ac:dyDescent="0.3">
      <c r="A276" s="375">
        <v>67376</v>
      </c>
      <c r="B276" s="376" t="s">
        <v>1397</v>
      </c>
      <c r="C276" s="377" t="s">
        <v>263</v>
      </c>
      <c r="D276" s="378">
        <v>53</v>
      </c>
      <c r="E276" s="305"/>
      <c r="F276" s="379"/>
      <c r="G276" s="379" t="s">
        <v>889</v>
      </c>
      <c r="H276" s="380">
        <v>178</v>
      </c>
      <c r="I276" s="307">
        <v>103003</v>
      </c>
      <c r="J276" s="308">
        <v>53</v>
      </c>
      <c r="K276" s="381">
        <v>83</v>
      </c>
      <c r="L276" s="382">
        <f>IF(tabItens[[#This Row],[Média]] &gt; 0, tabItens[[#This Row],[QTDE ATUAL]] / tabItens[[#This Row],[Média]],999.9)</f>
        <v>25.734939759036145</v>
      </c>
      <c r="M276" s="383">
        <v>0</v>
      </c>
      <c r="N276" s="384">
        <f>tabItens[[#This Row],[VALOR UNIT.]] * tabItens[[#This Row],[LC]]</f>
        <v>0</v>
      </c>
      <c r="O276" s="385" t="s">
        <v>2117</v>
      </c>
      <c r="P276" s="386"/>
      <c r="Q276" s="387"/>
      <c r="R276" s="312"/>
      <c r="S276" s="388"/>
      <c r="T276" s="389">
        <f>ROUNDDOWN(IFERROR(tabItens[[#This Row],[ATA DT.VALID.]] - $D$1,0) / 30,0)</f>
        <v>-1474</v>
      </c>
      <c r="U276" s="302" t="s">
        <v>1274</v>
      </c>
      <c r="V276" s="318">
        <v>1</v>
      </c>
      <c r="W276" s="390" t="s">
        <v>2071</v>
      </c>
      <c r="X276" s="391">
        <v>51</v>
      </c>
      <c r="Y276" s="392">
        <v>17</v>
      </c>
      <c r="Z276" s="393"/>
      <c r="AA276" s="394"/>
      <c r="AB276" s="395"/>
      <c r="AC276" s="395"/>
      <c r="AD276" s="394"/>
      <c r="AE276" s="395"/>
      <c r="AF276" s="317"/>
      <c r="AG276" s="396" t="s">
        <v>2072</v>
      </c>
      <c r="AH276" s="397"/>
      <c r="AI276" s="317">
        <v>28</v>
      </c>
      <c r="AJ276" s="397">
        <v>45189</v>
      </c>
      <c r="AK276" s="326" t="s">
        <v>889</v>
      </c>
      <c r="AL276" s="326">
        <v>45160</v>
      </c>
      <c r="AM276" s="316"/>
      <c r="AN276" s="305"/>
      <c r="AO276" s="327" t="str">
        <f>_xlfn.IFNA(IF(VLOOKUP(tabItens[[#This Row],[CÓDIGO]],tabExcluirDoEstoque[#Data],1,FALSE),"sim",""),"")</f>
        <v/>
      </c>
      <c r="AP276" s="398" t="str">
        <f ca="1">IF(OR(ISBLANK(tabItens[[#This Row],[ATA DT.VALID.]]),tabItens[[#This Row],[ATA DT.VALID.]]="",tabItens[[#This Row],[ATA DT.VALID.]]=" "),"",IF(TYPE(tabItens[[#This Row],[ATA DT.VALID.]])=1,ROUNDUP((tabItens[[#This Row],[ATA DT.VALID.]]-TODAY())/7,0),""))</f>
        <v/>
      </c>
      <c r="AQ276" s="399">
        <v>0</v>
      </c>
      <c r="AR276" s="400" t="str">
        <f>IF(ISBLANK(tabItens[[#This Row],[CÓDIGO]]),"",IFERROR(VLOOKUP(tabItens[[#This Row],[CÓDIGO]],Consumo!$C$2:$AC$862,26,FALSE),0))</f>
        <v>09.2023</v>
      </c>
      <c r="AS276" s="401">
        <f>SUMIF(Consumo!$C$3:$C$862,tabItens[[#This Row],[CÓDIGO]],Consumo!$N$3:$N$862) + SUMIF(Consumo!$C$3:$C$862,tabItens[[#This Row],[CÓDIGO]],Consumo!$O$3:$O$862) + SUMIF(Consumo!$C$3:$C$862,tabItens[[#This Row],[CÓDIGO]],Consumo!$P$3:$P$862) + SUMIF(Consumo!$C$3:$C$862,tabItens[[#This Row],[CÓDIGO]],Consumo!$Q$3:$Q$862)</f>
        <v>25</v>
      </c>
      <c r="AT276" s="401">
        <f>SUMIF(Consumo!$C$3:$C$862,tabItens[[#This Row],[CÓDIGO]],Consumo!$Z$3:$Z$862)</f>
        <v>83</v>
      </c>
      <c r="AU276" s="402">
        <f>SUMIF(Consumo!$C$3:$C$862,tabItens[[#This Row],[CÓDIGO]],Consumo!$AA$3:$AA$862)</f>
        <v>20</v>
      </c>
      <c r="AV276" s="403">
        <f>SUMIF(Consumo!$C$3:$C$862,tabItens[[#This Row],[CÓDIGO]],Consumo!$Y$3:$Y$862)</f>
        <v>6.916666666666667</v>
      </c>
      <c r="AW276" s="380">
        <f>tabItens[[#This Row],[QTDE ATUAL]] + tabItens[[#This Row],[RC QTDE]] + tabItens[[#This Row],[AF SALDO]] + tabItens[[#This Row],[Recentes]]</f>
        <v>178</v>
      </c>
      <c r="AX276" s="404">
        <v>11</v>
      </c>
      <c r="AY276" s="404">
        <v>4</v>
      </c>
      <c r="AZ276" s="404">
        <f>IF(ISBLANK(tabItens[[#This Row],[CÓDIGO]]),"",tabItens[[#This Row],[PontoMês]] * (AZ$2+tabItens[[#This Row],[PontoQtM]]))</f>
        <v>44</v>
      </c>
      <c r="BA276" s="403">
        <f>tabItens[[#This Row],[PontoPed]] - tabItens[[#This Row],[Saldo]] + (1/10)</f>
        <v>-133.9</v>
      </c>
      <c r="BB276" s="403">
        <f xml:space="preserve"> tabItens[[#This Row],[PontoMês]] * BB$2 - tabItens[[#This Row],[QTDE ATUAL]] - (1/10)</f>
        <v>-167.1</v>
      </c>
      <c r="BC276" s="335">
        <f>IF( tabItens[[#This Row],[PontoPed]]&gt;0, IF(tabItens[[#This Row],[PontoPed]]&lt;1, 1, IF( tabItens[[#This Row],[Saldo]]&gt;tabItens[[#This Row],[PontoPed]], 0, (tabItens[[#This Row],[PontoPed]]-tabItens[[#This Row],[Saldo]])/tabItens[[#This Row],[PontoPed]] ) ), 0 )</f>
        <v>0</v>
      </c>
      <c r="BD276" s="405">
        <f>ROUNDDOWN(IF( OR( AND(tabItens[[#This Row],[PontoPed]]&lt;tabItens[[#This Row],[Saldo]],tabItens[[#This Row],[Saldo]]&gt;0), tabItens[[#This Row],[PontoPed]]=0), 99, IF(AND(tabItens[[#This Row],[Saldo]]=0,tabItens[[#This Row],[PontoPed]]&gt;0), 0, (1-tabItens[[#This Row],[PctAb]])*10 ) ),0)</f>
        <v>99</v>
      </c>
      <c r="BE276" s="406">
        <f>MAX(ROUNDDOWN( IF(tabItens[[#This Row],[Abaixo]] &gt; 0,   tabItens[[#This Row],[Abaixo]] + (tabItens[[#This Row],[PontoMês]] * IF( OR( ISBLANK(tabItens[[#This Row],[ATA Nº/ANO]]), tabItens[[#This Row],[ATA Nº/ANO]] = ""),BE$2,BE$1)),0),0),0)</f>
        <v>0</v>
      </c>
      <c r="BF27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6" s="338">
        <f>SUMIF(Consumo!$C$3:$C$862,tabItens[[#This Row],[CÓDIGO]],Consumo!$E$3:$E$862)</f>
        <v>0</v>
      </c>
      <c r="BH276" s="339">
        <f>IF(AND(tabItens[[#This Row],[Pend]] &gt; 0,tabItens[[#This Row],[Consumo]] &lt;&gt; 0), tabItens[[#This Row],[Pend]] / tabItens[[#This Row],[Consumo]], 0 )</f>
        <v>0</v>
      </c>
      <c r="BI276" s="338"/>
      <c r="BJ276" s="407"/>
      <c r="BK276" s="408" t="s">
        <v>2086</v>
      </c>
    </row>
    <row r="277" spans="1:63" x14ac:dyDescent="0.3">
      <c r="A277" s="375">
        <v>106375</v>
      </c>
      <c r="B277" s="376" t="s">
        <v>1635</v>
      </c>
      <c r="C277" s="377" t="s">
        <v>263</v>
      </c>
      <c r="D277" s="378">
        <v>45</v>
      </c>
      <c r="E277" s="305"/>
      <c r="F277" s="379"/>
      <c r="G277" s="379" t="s">
        <v>889</v>
      </c>
      <c r="H277" s="380">
        <v>1000</v>
      </c>
      <c r="I277" s="307">
        <v>103003</v>
      </c>
      <c r="J277" s="308">
        <v>45</v>
      </c>
      <c r="K277" s="381">
        <v>471</v>
      </c>
      <c r="L277" s="382">
        <f>IF(tabItens[[#This Row],[Média]] &gt; 0, tabItens[[#This Row],[QTDE ATUAL]] / tabItens[[#This Row],[Média]],999.9)</f>
        <v>24.948024948024948</v>
      </c>
      <c r="M277" s="383">
        <v>0</v>
      </c>
      <c r="N277" s="384">
        <f>tabItens[[#This Row],[VALOR UNIT.]] * tabItens[[#This Row],[LC]]</f>
        <v>0</v>
      </c>
      <c r="O277" s="385" t="s">
        <v>2117</v>
      </c>
      <c r="P277" s="386"/>
      <c r="Q277" s="387"/>
      <c r="R277" s="312"/>
      <c r="S277" s="388"/>
      <c r="T277" s="389">
        <f>ROUNDDOWN(IFERROR(tabItens[[#This Row],[ATA DT.VALID.]] - $D$1,0) / 30,0)</f>
        <v>-1474</v>
      </c>
      <c r="U277" s="302" t="s">
        <v>1274</v>
      </c>
      <c r="V277" s="318">
        <v>1</v>
      </c>
      <c r="W277" s="390" t="s">
        <v>2071</v>
      </c>
      <c r="X277" s="391">
        <v>51</v>
      </c>
      <c r="Y277" s="392">
        <v>17</v>
      </c>
      <c r="Z277" s="393"/>
      <c r="AA277" s="394"/>
      <c r="AB277" s="395"/>
      <c r="AC277" s="395"/>
      <c r="AD277" s="394"/>
      <c r="AE277" s="395"/>
      <c r="AF277" s="317"/>
      <c r="AG277" s="396" t="s">
        <v>2072</v>
      </c>
      <c r="AH277" s="397"/>
      <c r="AI277" s="317">
        <v>166</v>
      </c>
      <c r="AJ277" s="397">
        <v>45184</v>
      </c>
      <c r="AK277" s="326">
        <v>39580</v>
      </c>
      <c r="AL277" s="326">
        <v>45160</v>
      </c>
      <c r="AM277" s="316"/>
      <c r="AN277" s="305"/>
      <c r="AO277" s="327" t="str">
        <f>_xlfn.IFNA(IF(VLOOKUP(tabItens[[#This Row],[CÓDIGO]],tabExcluirDoEstoque[#Data],1,FALSE),"sim",""),"")</f>
        <v/>
      </c>
      <c r="AP277" s="398" t="str">
        <f ca="1">IF(OR(ISBLANK(tabItens[[#This Row],[ATA DT.VALID.]]),tabItens[[#This Row],[ATA DT.VALID.]]="",tabItens[[#This Row],[ATA DT.VALID.]]=" "),"",IF(TYPE(tabItens[[#This Row],[ATA DT.VALID.]])=1,ROUNDUP((tabItens[[#This Row],[ATA DT.VALID.]]-TODAY())/7,0),""))</f>
        <v/>
      </c>
      <c r="AQ277" s="399">
        <v>0</v>
      </c>
      <c r="AR277" s="400" t="str">
        <f>IF(ISBLANK(tabItens[[#This Row],[CÓDIGO]]),"",IFERROR(VLOOKUP(tabItens[[#This Row],[CÓDIGO]],Consumo!$C$2:$AC$862,26,FALSE),0))</f>
        <v>05.2023</v>
      </c>
      <c r="AS277" s="401">
        <f>SUMIF(Consumo!$C$3:$C$862,tabItens[[#This Row],[CÓDIGO]],Consumo!$N$3:$N$862) + SUMIF(Consumo!$C$3:$C$862,tabItens[[#This Row],[CÓDIGO]],Consumo!$O$3:$O$862) + SUMIF(Consumo!$C$3:$C$862,tabItens[[#This Row],[CÓDIGO]],Consumo!$P$3:$P$862) + SUMIF(Consumo!$C$3:$C$862,tabItens[[#This Row],[CÓDIGO]],Consumo!$Q$3:$Q$862)</f>
        <v>0</v>
      </c>
      <c r="AT277" s="401">
        <f>SUMIF(Consumo!$C$3:$C$862,tabItens[[#This Row],[CÓDIGO]],Consumo!$Z$3:$Z$862)</f>
        <v>541</v>
      </c>
      <c r="AU277" s="402">
        <f>SUMIF(Consumo!$C$3:$C$862,tabItens[[#This Row],[CÓDIGO]],Consumo!$AA$3:$AA$862)</f>
        <v>232</v>
      </c>
      <c r="AV277" s="403">
        <f>SUMIF(Consumo!$C$3:$C$862,tabItens[[#This Row],[CÓDIGO]],Consumo!$Y$3:$Y$862)</f>
        <v>40.083333333333336</v>
      </c>
      <c r="AW277" s="380">
        <f>tabItens[[#This Row],[QTDE ATUAL]] + tabItens[[#This Row],[RC QTDE]] + tabItens[[#This Row],[AF SALDO]] + tabItens[[#This Row],[Recentes]]</f>
        <v>1000</v>
      </c>
      <c r="AX277" s="404">
        <v>59</v>
      </c>
      <c r="AY277" s="404">
        <v>4</v>
      </c>
      <c r="AZ277" s="404">
        <f>IF(ISBLANK(tabItens[[#This Row],[CÓDIGO]]),"",tabItens[[#This Row],[PontoMês]] * (AZ$2+tabItens[[#This Row],[PontoQtM]]))</f>
        <v>236</v>
      </c>
      <c r="BA277" s="403">
        <f>tabItens[[#This Row],[PontoPed]] - tabItens[[#This Row],[Saldo]] + (1/10)</f>
        <v>-763.9</v>
      </c>
      <c r="BB277" s="403">
        <f xml:space="preserve"> tabItens[[#This Row],[PontoMês]] * BB$2 - tabItens[[#This Row],[QTDE ATUAL]] - (1/10)</f>
        <v>-941.1</v>
      </c>
      <c r="BC277" s="335">
        <f>IF( tabItens[[#This Row],[PontoPed]]&gt;0, IF(tabItens[[#This Row],[PontoPed]]&lt;1, 1, IF( tabItens[[#This Row],[Saldo]]&gt;tabItens[[#This Row],[PontoPed]], 0, (tabItens[[#This Row],[PontoPed]]-tabItens[[#This Row],[Saldo]])/tabItens[[#This Row],[PontoPed]] ) ), 0 )</f>
        <v>0</v>
      </c>
      <c r="BD277" s="405">
        <f>ROUNDDOWN(IF( OR( AND(tabItens[[#This Row],[PontoPed]]&lt;tabItens[[#This Row],[Saldo]],tabItens[[#This Row],[Saldo]]&gt;0), tabItens[[#This Row],[PontoPed]]=0), 99, IF(AND(tabItens[[#This Row],[Saldo]]=0,tabItens[[#This Row],[PontoPed]]&gt;0), 0, (1-tabItens[[#This Row],[PctAb]])*10 ) ),0)</f>
        <v>99</v>
      </c>
      <c r="BE277" s="406">
        <f>MAX(ROUNDDOWN( IF(tabItens[[#This Row],[Abaixo]] &gt; 0,   tabItens[[#This Row],[Abaixo]] + (tabItens[[#This Row],[PontoMês]] * IF( OR( ISBLANK(tabItens[[#This Row],[ATA Nº/ANO]]), tabItens[[#This Row],[ATA Nº/ANO]] = ""),BE$2,BE$1)),0),0),0)</f>
        <v>0</v>
      </c>
      <c r="BF27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7" s="338">
        <f>SUMIF(Consumo!$C$3:$C$862,tabItens[[#This Row],[CÓDIGO]],Consumo!$E$3:$E$862)</f>
        <v>41</v>
      </c>
      <c r="BH277" s="339">
        <f>IF(AND(tabItens[[#This Row],[Pend]] &gt; 0,tabItens[[#This Row],[Consumo]] &lt;&gt; 0), tabItens[[#This Row],[Pend]] / tabItens[[#This Row],[Consumo]], 0 )</f>
        <v>7.5785582255083181E-2</v>
      </c>
      <c r="BI277" s="338"/>
      <c r="BJ277" s="407"/>
      <c r="BK277" s="408" t="s">
        <v>2086</v>
      </c>
    </row>
    <row r="278" spans="1:63" x14ac:dyDescent="0.3">
      <c r="A278" s="375">
        <v>106376</v>
      </c>
      <c r="B278" s="376" t="s">
        <v>1636</v>
      </c>
      <c r="C278" s="377" t="s">
        <v>263</v>
      </c>
      <c r="D278" s="378">
        <v>74.209999999999994</v>
      </c>
      <c r="E278" s="305"/>
      <c r="F278" s="379"/>
      <c r="G278" s="379" t="s">
        <v>889</v>
      </c>
      <c r="H278" s="380">
        <v>1001</v>
      </c>
      <c r="I278" s="307">
        <v>103003</v>
      </c>
      <c r="J278" s="308">
        <v>74.209999999999994</v>
      </c>
      <c r="K278" s="381">
        <v>1395</v>
      </c>
      <c r="L278" s="382">
        <f>IF(tabItens[[#This Row],[Média]] &gt; 0, tabItens[[#This Row],[QTDE ATUAL]] / tabItens[[#This Row],[Média]],999.9)</f>
        <v>6.437299035369775</v>
      </c>
      <c r="M278" s="383">
        <v>0</v>
      </c>
      <c r="N278" s="384">
        <f>tabItens[[#This Row],[VALOR UNIT.]] * tabItens[[#This Row],[LC]]</f>
        <v>0</v>
      </c>
      <c r="O278" s="385" t="s">
        <v>2117</v>
      </c>
      <c r="P278" s="386"/>
      <c r="Q278" s="387"/>
      <c r="R278" s="312"/>
      <c r="S278" s="388"/>
      <c r="T278" s="389">
        <f>ROUNDDOWN(IFERROR(tabItens[[#This Row],[ATA DT.VALID.]] - $D$1,0) / 30,0)</f>
        <v>-1474</v>
      </c>
      <c r="U278" s="302" t="s">
        <v>1274</v>
      </c>
      <c r="V278" s="318">
        <v>1</v>
      </c>
      <c r="W278" s="390" t="s">
        <v>2071</v>
      </c>
      <c r="X278" s="391">
        <v>51</v>
      </c>
      <c r="Y278" s="392">
        <v>17</v>
      </c>
      <c r="Z278" s="393"/>
      <c r="AA278" s="394"/>
      <c r="AB278" s="395"/>
      <c r="AC278" s="395"/>
      <c r="AD278" s="394"/>
      <c r="AE278" s="395"/>
      <c r="AF278" s="317"/>
      <c r="AG278" s="396" t="s">
        <v>2072</v>
      </c>
      <c r="AH278" s="397"/>
      <c r="AI278" s="317">
        <v>690</v>
      </c>
      <c r="AJ278" s="397">
        <v>44775</v>
      </c>
      <c r="AK278" s="326">
        <v>39580</v>
      </c>
      <c r="AL278" s="326">
        <v>44748</v>
      </c>
      <c r="AM278" s="316"/>
      <c r="AN278" s="305"/>
      <c r="AO278" s="327" t="str">
        <f>_xlfn.IFNA(IF(VLOOKUP(tabItens[[#This Row],[CÓDIGO]],tabExcluirDoEstoque[#Data],1,FALSE),"sim",""),"")</f>
        <v/>
      </c>
      <c r="AP278" s="398" t="str">
        <f ca="1">IF(OR(ISBLANK(tabItens[[#This Row],[ATA DT.VALID.]]),tabItens[[#This Row],[ATA DT.VALID.]]="",tabItens[[#This Row],[ATA DT.VALID.]]=" "),"",IF(TYPE(tabItens[[#This Row],[ATA DT.VALID.]])=1,ROUNDUP((tabItens[[#This Row],[ATA DT.VALID.]]-TODAY())/7,0),""))</f>
        <v/>
      </c>
      <c r="AQ278" s="399">
        <v>0</v>
      </c>
      <c r="AR278" s="400" t="str">
        <f>IF(ISBLANK(tabItens[[#This Row],[CÓDIGO]]),"",IFERROR(VLOOKUP(tabItens[[#This Row],[CÓDIGO]],Consumo!$C$2:$AC$862,26,FALSE),0))</f>
        <v>09.2023</v>
      </c>
      <c r="AS278" s="401">
        <f>SUMIF(Consumo!$C$3:$C$862,tabItens[[#This Row],[CÓDIGO]],Consumo!$N$3:$N$862) + SUMIF(Consumo!$C$3:$C$862,tabItens[[#This Row],[CÓDIGO]],Consumo!$O$3:$O$862) + SUMIF(Consumo!$C$3:$C$862,tabItens[[#This Row],[CÓDIGO]],Consumo!$P$3:$P$862) + SUMIF(Consumo!$C$3:$C$862,tabItens[[#This Row],[CÓDIGO]],Consumo!$Q$3:$Q$862)</f>
        <v>762</v>
      </c>
      <c r="AT278" s="401">
        <f>SUMIF(Consumo!$C$3:$C$862,tabItens[[#This Row],[CÓDIGO]],Consumo!$Z$3:$Z$862)</f>
        <v>1866</v>
      </c>
      <c r="AU278" s="402">
        <f>SUMIF(Consumo!$C$3:$C$862,tabItens[[#This Row],[CÓDIGO]],Consumo!$AA$3:$AA$862)</f>
        <v>323</v>
      </c>
      <c r="AV278" s="403">
        <f>SUMIF(Consumo!$C$3:$C$862,tabItens[[#This Row],[CÓDIGO]],Consumo!$Y$3:$Y$862)</f>
        <v>155.5</v>
      </c>
      <c r="AW278" s="380">
        <f>tabItens[[#This Row],[QTDE ATUAL]] + tabItens[[#This Row],[RC QTDE]] + tabItens[[#This Row],[AF SALDO]] + tabItens[[#This Row],[Recentes]]</f>
        <v>1001</v>
      </c>
      <c r="AX278" s="404">
        <v>293</v>
      </c>
      <c r="AY278" s="404">
        <v>4</v>
      </c>
      <c r="AZ278" s="404">
        <f>IF(ISBLANK(tabItens[[#This Row],[CÓDIGO]]),"",tabItens[[#This Row],[PontoMês]] * (AZ$2+tabItens[[#This Row],[PontoQtM]]))</f>
        <v>1172</v>
      </c>
      <c r="BA278" s="403">
        <f>tabItens[[#This Row],[PontoPed]] - tabItens[[#This Row],[Saldo]] + (1/10)</f>
        <v>171.1</v>
      </c>
      <c r="BB278" s="403">
        <f xml:space="preserve"> tabItens[[#This Row],[PontoMês]] * BB$2 - tabItens[[#This Row],[QTDE ATUAL]] - (1/10)</f>
        <v>-708.1</v>
      </c>
      <c r="BC278" s="335">
        <f>IF( tabItens[[#This Row],[PontoPed]]&gt;0, IF(tabItens[[#This Row],[PontoPed]]&lt;1, 1, IF( tabItens[[#This Row],[Saldo]]&gt;tabItens[[#This Row],[PontoPed]], 0, (tabItens[[#This Row],[PontoPed]]-tabItens[[#This Row],[Saldo]])/tabItens[[#This Row],[PontoPed]] ) ), 0 )</f>
        <v>0.14590443686006827</v>
      </c>
      <c r="BD278" s="405">
        <f>ROUNDDOWN(IF( OR( AND(tabItens[[#This Row],[PontoPed]]&lt;tabItens[[#This Row],[Saldo]],tabItens[[#This Row],[Saldo]]&gt;0), tabItens[[#This Row],[PontoPed]]=0), 99, IF(AND(tabItens[[#This Row],[Saldo]]=0,tabItens[[#This Row],[PontoPed]]&gt;0), 0, (1-tabItens[[#This Row],[PctAb]])*10 ) ),0)</f>
        <v>8</v>
      </c>
      <c r="BE278" s="406">
        <f>MAX(ROUNDDOWN( IF(tabItens[[#This Row],[Abaixo]] &gt; 0,   tabItens[[#This Row],[Abaixo]] + (tabItens[[#This Row],[PontoMês]] * IF( OR( ISBLANK(tabItens[[#This Row],[ATA Nº/ANO]]), tabItens[[#This Row],[ATA Nº/ANO]] = ""),BE$2,BE$1)),0),0),0)</f>
        <v>1050</v>
      </c>
      <c r="BF27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8" s="338">
        <f>SUMIF(Consumo!$C$3:$C$862,tabItens[[#This Row],[CÓDIGO]],Consumo!$E$3:$E$862)</f>
        <v>0</v>
      </c>
      <c r="BH278" s="339">
        <f>IF(AND(tabItens[[#This Row],[Pend]] &gt; 0,tabItens[[#This Row],[Consumo]] &lt;&gt; 0), tabItens[[#This Row],[Pend]] / tabItens[[#This Row],[Consumo]], 0 )</f>
        <v>0</v>
      </c>
      <c r="BI278" s="338"/>
      <c r="BJ278" s="407"/>
      <c r="BK278" s="408" t="s">
        <v>2086</v>
      </c>
    </row>
    <row r="279" spans="1:63" x14ac:dyDescent="0.3">
      <c r="A279" s="375">
        <v>114299</v>
      </c>
      <c r="B279" s="376" t="s">
        <v>1702</v>
      </c>
      <c r="C279" s="377" t="s">
        <v>263</v>
      </c>
      <c r="D279" s="378">
        <v>16.850000000000001</v>
      </c>
      <c r="E279" s="305"/>
      <c r="F279" s="379"/>
      <c r="G279" s="379" t="s">
        <v>889</v>
      </c>
      <c r="H279" s="380">
        <v>174</v>
      </c>
      <c r="I279" s="307">
        <v>103003</v>
      </c>
      <c r="J279" s="308">
        <v>16.850000000000001</v>
      </c>
      <c r="K279" s="381"/>
      <c r="L279" s="382">
        <f>IF(tabItens[[#This Row],[Média]] &gt; 0, tabItens[[#This Row],[QTDE ATUAL]] / tabItens[[#This Row],[Média]],999.9)</f>
        <v>999.9</v>
      </c>
      <c r="M279" s="383">
        <v>0</v>
      </c>
      <c r="N279" s="384">
        <f>tabItens[[#This Row],[VALOR UNIT.]] * tabItens[[#This Row],[LC]]</f>
        <v>0</v>
      </c>
      <c r="O279" s="385" t="s">
        <v>2117</v>
      </c>
      <c r="P279" s="386"/>
      <c r="Q279" s="387"/>
      <c r="R279" s="312"/>
      <c r="S279" s="388"/>
      <c r="T279" s="389">
        <f>ROUNDDOWN(IFERROR(tabItens[[#This Row],[ATA DT.VALID.]] - $D$1,0) / 30,0)</f>
        <v>-1474</v>
      </c>
      <c r="U279" s="302" t="s">
        <v>1274</v>
      </c>
      <c r="V279" s="318">
        <v>1</v>
      </c>
      <c r="W279" s="390" t="s">
        <v>2071</v>
      </c>
      <c r="X279" s="391">
        <v>51</v>
      </c>
      <c r="Y279" s="392">
        <v>17</v>
      </c>
      <c r="Z279" s="393"/>
      <c r="AA279" s="394"/>
      <c r="AB279" s="395"/>
      <c r="AC279" s="395"/>
      <c r="AD279" s="394"/>
      <c r="AE279" s="395"/>
      <c r="AF279" s="317"/>
      <c r="AG279" s="396" t="s">
        <v>2072</v>
      </c>
      <c r="AH279" s="397"/>
      <c r="AI279" s="317">
        <v>0</v>
      </c>
      <c r="AJ279" s="397">
        <v>43070</v>
      </c>
      <c r="AK279" s="326">
        <v>40240</v>
      </c>
      <c r="AL279" s="326">
        <v>42996</v>
      </c>
      <c r="AM279" s="316"/>
      <c r="AN279" s="305"/>
      <c r="AO279" s="327" t="str">
        <f>_xlfn.IFNA(IF(VLOOKUP(tabItens[[#This Row],[CÓDIGO]],tabExcluirDoEstoque[#Data],1,FALSE),"sim",""),"")</f>
        <v/>
      </c>
      <c r="AP279" s="398" t="str">
        <f ca="1">IF(OR(ISBLANK(tabItens[[#This Row],[ATA DT.VALID.]]),tabItens[[#This Row],[ATA DT.VALID.]]="",tabItens[[#This Row],[ATA DT.VALID.]]=" "),"",IF(TYPE(tabItens[[#This Row],[ATA DT.VALID.]])=1,ROUNDUP((tabItens[[#This Row],[ATA DT.VALID.]]-TODAY())/7,0),""))</f>
        <v/>
      </c>
      <c r="AQ279" s="399">
        <v>0</v>
      </c>
      <c r="AR279" s="400">
        <f>IF(ISBLANK(tabItens[[#This Row],[CÓDIGO]]),"",IFERROR(VLOOKUP(tabItens[[#This Row],[CÓDIGO]],Consumo!$C$2:$AC$862,26,FALSE),0))</f>
        <v>0</v>
      </c>
      <c r="AS279" s="401">
        <f>SUMIF(Consumo!$C$3:$C$862,tabItens[[#This Row],[CÓDIGO]],Consumo!$N$3:$N$862) + SUMIF(Consumo!$C$3:$C$862,tabItens[[#This Row],[CÓDIGO]],Consumo!$O$3:$O$862) + SUMIF(Consumo!$C$3:$C$862,tabItens[[#This Row],[CÓDIGO]],Consumo!$P$3:$P$862) + SUMIF(Consumo!$C$3:$C$862,tabItens[[#This Row],[CÓDIGO]],Consumo!$Q$3:$Q$862)</f>
        <v>0</v>
      </c>
      <c r="AT279" s="401">
        <f>SUMIF(Consumo!$C$3:$C$862,tabItens[[#This Row],[CÓDIGO]],Consumo!$Z$3:$Z$862)</f>
        <v>0</v>
      </c>
      <c r="AU279" s="402">
        <f>SUMIF(Consumo!$C$3:$C$862,tabItens[[#This Row],[CÓDIGO]],Consumo!$AA$3:$AA$862)</f>
        <v>0</v>
      </c>
      <c r="AV279" s="403">
        <f>SUMIF(Consumo!$C$3:$C$862,tabItens[[#This Row],[CÓDIGO]],Consumo!$Y$3:$Y$862)</f>
        <v>0</v>
      </c>
      <c r="AW279" s="380">
        <f>tabItens[[#This Row],[QTDE ATUAL]] + tabItens[[#This Row],[RC QTDE]] + tabItens[[#This Row],[AF SALDO]] + tabItens[[#This Row],[Recentes]]</f>
        <v>174</v>
      </c>
      <c r="AX279" s="404">
        <v>15</v>
      </c>
      <c r="AY279" s="404">
        <v>4</v>
      </c>
      <c r="AZ279" s="404">
        <f>IF(ISBLANK(tabItens[[#This Row],[CÓDIGO]]),"",tabItens[[#This Row],[PontoMês]] * (AZ$2+tabItens[[#This Row],[PontoQtM]]))</f>
        <v>60</v>
      </c>
      <c r="BA279" s="403">
        <f>tabItens[[#This Row],[PontoPed]] - tabItens[[#This Row],[Saldo]] + (1/10)</f>
        <v>-113.9</v>
      </c>
      <c r="BB279" s="403">
        <f xml:space="preserve"> tabItens[[#This Row],[PontoMês]] * BB$2 - tabItens[[#This Row],[QTDE ATUAL]] - (1/10)</f>
        <v>-159.1</v>
      </c>
      <c r="BC279" s="335">
        <f>IF( tabItens[[#This Row],[PontoPed]]&gt;0, IF(tabItens[[#This Row],[PontoPed]]&lt;1, 1, IF( tabItens[[#This Row],[Saldo]]&gt;tabItens[[#This Row],[PontoPed]], 0, (tabItens[[#This Row],[PontoPed]]-tabItens[[#This Row],[Saldo]])/tabItens[[#This Row],[PontoPed]] ) ), 0 )</f>
        <v>0</v>
      </c>
      <c r="BD279" s="405">
        <f>ROUNDDOWN(IF( OR( AND(tabItens[[#This Row],[PontoPed]]&lt;tabItens[[#This Row],[Saldo]],tabItens[[#This Row],[Saldo]]&gt;0), tabItens[[#This Row],[PontoPed]]=0), 99, IF(AND(tabItens[[#This Row],[Saldo]]=0,tabItens[[#This Row],[PontoPed]]&gt;0), 0, (1-tabItens[[#This Row],[PctAb]])*10 ) ),0)</f>
        <v>99</v>
      </c>
      <c r="BE279" s="406">
        <f>MAX(ROUNDDOWN( IF(tabItens[[#This Row],[Abaixo]] &gt; 0,   tabItens[[#This Row],[Abaixo]] + (tabItens[[#This Row],[PontoMês]] * IF( OR( ISBLANK(tabItens[[#This Row],[ATA Nº/ANO]]), tabItens[[#This Row],[ATA Nº/ANO]] = ""),BE$2,BE$1)),0),0),0)</f>
        <v>0</v>
      </c>
      <c r="BF27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9" s="338">
        <f>SUMIF(Consumo!$C$3:$C$862,tabItens[[#This Row],[CÓDIGO]],Consumo!$E$3:$E$862)</f>
        <v>0</v>
      </c>
      <c r="BH279" s="339">
        <f>IF(AND(tabItens[[#This Row],[Pend]] &gt; 0,tabItens[[#This Row],[Consumo]] &lt;&gt; 0), tabItens[[#This Row],[Pend]] / tabItens[[#This Row],[Consumo]], 0 )</f>
        <v>0</v>
      </c>
      <c r="BI279" s="338"/>
      <c r="BJ279" s="407"/>
      <c r="BK279" s="408" t="s">
        <v>2086</v>
      </c>
    </row>
    <row r="280" spans="1:63" x14ac:dyDescent="0.3">
      <c r="A280" s="375">
        <v>98702</v>
      </c>
      <c r="B280" s="376" t="s">
        <v>1564</v>
      </c>
      <c r="C280" s="377" t="s">
        <v>560</v>
      </c>
      <c r="D280" s="378">
        <v>18.75</v>
      </c>
      <c r="E280" s="305"/>
      <c r="F280" s="379"/>
      <c r="G280" s="379" t="s">
        <v>889</v>
      </c>
      <c r="H280" s="380">
        <v>7791</v>
      </c>
      <c r="I280" s="307">
        <v>103003</v>
      </c>
      <c r="J280" s="308">
        <v>18.75</v>
      </c>
      <c r="K280" s="381">
        <v>3580.6</v>
      </c>
      <c r="L280" s="382">
        <f>IF(tabItens[[#This Row],[Média]] &gt; 0, tabItens[[#This Row],[QTDE ATUAL]] / tabItens[[#This Row],[Média]],999.9)</f>
        <v>18.306637947914627</v>
      </c>
      <c r="M280" s="383">
        <v>0</v>
      </c>
      <c r="N280" s="384">
        <f>tabItens[[#This Row],[VALOR UNIT.]] * tabItens[[#This Row],[LC]]</f>
        <v>0</v>
      </c>
      <c r="O280" s="385" t="s">
        <v>2117</v>
      </c>
      <c r="P280" s="386"/>
      <c r="Q280" s="387"/>
      <c r="R280" s="312"/>
      <c r="S280" s="388"/>
      <c r="T280" s="389">
        <f>ROUNDDOWN(IFERROR(tabItens[[#This Row],[ATA DT.VALID.]] - $D$1,0) / 30,0)</f>
        <v>-1474</v>
      </c>
      <c r="U280" s="302" t="s">
        <v>1565</v>
      </c>
      <c r="V280" s="318">
        <v>1</v>
      </c>
      <c r="W280" s="390" t="s">
        <v>2071</v>
      </c>
      <c r="X280" s="391">
        <v>51</v>
      </c>
      <c r="Y280" s="392">
        <v>24</v>
      </c>
      <c r="Z280" s="393"/>
      <c r="AA280" s="394"/>
      <c r="AB280" s="395"/>
      <c r="AC280" s="395"/>
      <c r="AD280" s="394"/>
      <c r="AE280" s="395"/>
      <c r="AF280" s="317"/>
      <c r="AG280" s="396" t="s">
        <v>2072</v>
      </c>
      <c r="AH280" s="397"/>
      <c r="AI280" s="317">
        <v>1662</v>
      </c>
      <c r="AJ280" s="397">
        <v>45208</v>
      </c>
      <c r="AK280" s="326">
        <v>39183</v>
      </c>
      <c r="AL280" s="326">
        <v>45160</v>
      </c>
      <c r="AM280" s="316"/>
      <c r="AN280" s="305"/>
      <c r="AO280" s="327" t="str">
        <f>_xlfn.IFNA(IF(VLOOKUP(tabItens[[#This Row],[CÓDIGO]],tabExcluirDoEstoque[#Data],1,FALSE),"sim",""),"")</f>
        <v/>
      </c>
      <c r="AP280" s="398" t="str">
        <f ca="1">IF(OR(ISBLANK(tabItens[[#This Row],[ATA DT.VALID.]]),tabItens[[#This Row],[ATA DT.VALID.]]="",tabItens[[#This Row],[ATA DT.VALID.]]=" "),"",IF(TYPE(tabItens[[#This Row],[ATA DT.VALID.]])=1,ROUNDUP((tabItens[[#This Row],[ATA DT.VALID.]]-TODAY())/7,0),""))</f>
        <v/>
      </c>
      <c r="AQ280" s="399">
        <v>0</v>
      </c>
      <c r="AR280" s="400" t="str">
        <f>IF(ISBLANK(tabItens[[#This Row],[CÓDIGO]]),"",IFERROR(VLOOKUP(tabItens[[#This Row],[CÓDIGO]],Consumo!$C$2:$AC$862,26,FALSE),0))</f>
        <v>09.2023</v>
      </c>
      <c r="AS280" s="401">
        <f>SUMIF(Consumo!$C$3:$C$862,tabItens[[#This Row],[CÓDIGO]],Consumo!$N$3:$N$862) + SUMIF(Consumo!$C$3:$C$862,tabItens[[#This Row],[CÓDIGO]],Consumo!$O$3:$O$862) + SUMIF(Consumo!$C$3:$C$862,tabItens[[#This Row],[CÓDIGO]],Consumo!$P$3:$P$862) + SUMIF(Consumo!$C$3:$C$862,tabItens[[#This Row],[CÓDIGO]],Consumo!$Q$3:$Q$862)</f>
        <v>1114.5999999999999</v>
      </c>
      <c r="AT280" s="401">
        <f>SUMIF(Consumo!$C$3:$C$862,tabItens[[#This Row],[CÓDIGO]],Consumo!$Z$3:$Z$862)</f>
        <v>5132</v>
      </c>
      <c r="AU280" s="402">
        <f>SUMIF(Consumo!$C$3:$C$862,tabItens[[#This Row],[CÓDIGO]],Consumo!$AA$3:$AA$862)</f>
        <v>957</v>
      </c>
      <c r="AV280" s="403">
        <f>SUMIF(Consumo!$C$3:$C$862,tabItens[[#This Row],[CÓDIGO]],Consumo!$Y$3:$Y$862)</f>
        <v>425.58333333333331</v>
      </c>
      <c r="AW280" s="380">
        <f>tabItens[[#This Row],[QTDE ATUAL]] + tabItens[[#This Row],[RC QTDE]] + tabItens[[#This Row],[AF SALDO]] + tabItens[[#This Row],[Recentes]]</f>
        <v>7791</v>
      </c>
      <c r="AX280" s="404">
        <v>350</v>
      </c>
      <c r="AY280" s="404">
        <v>3</v>
      </c>
      <c r="AZ280" s="404">
        <f>IF(ISBLANK(tabItens[[#This Row],[CÓDIGO]]),"",tabItens[[#This Row],[PontoMês]] * (AZ$2+tabItens[[#This Row],[PontoQtM]]))</f>
        <v>1050</v>
      </c>
      <c r="BA280" s="403">
        <f>tabItens[[#This Row],[PontoPed]] - tabItens[[#This Row],[Saldo]] + (1/10)</f>
        <v>-6740.9</v>
      </c>
      <c r="BB280" s="403">
        <f xml:space="preserve"> tabItens[[#This Row],[PontoMês]] * BB$2 - tabItens[[#This Row],[QTDE ATUAL]] - (1/10)</f>
        <v>-7441.1</v>
      </c>
      <c r="BC280" s="335">
        <f>IF( tabItens[[#This Row],[PontoPed]]&gt;0, IF(tabItens[[#This Row],[PontoPed]]&lt;1, 1, IF( tabItens[[#This Row],[Saldo]]&gt;tabItens[[#This Row],[PontoPed]], 0, (tabItens[[#This Row],[PontoPed]]-tabItens[[#This Row],[Saldo]])/tabItens[[#This Row],[PontoPed]] ) ), 0 )</f>
        <v>0</v>
      </c>
      <c r="BD280" s="405">
        <f>ROUNDDOWN(IF( OR( AND(tabItens[[#This Row],[PontoPed]]&lt;tabItens[[#This Row],[Saldo]],tabItens[[#This Row],[Saldo]]&gt;0), tabItens[[#This Row],[PontoPed]]=0), 99, IF(AND(tabItens[[#This Row],[Saldo]]=0,tabItens[[#This Row],[PontoPed]]&gt;0), 0, (1-tabItens[[#This Row],[PctAb]])*10 ) ),0)</f>
        <v>99</v>
      </c>
      <c r="BE280" s="406">
        <f>MAX(ROUNDDOWN( IF(tabItens[[#This Row],[Abaixo]] &gt; 0,   tabItens[[#This Row],[Abaixo]] + (tabItens[[#This Row],[PontoMês]] * IF( OR( ISBLANK(tabItens[[#This Row],[ATA Nº/ANO]]), tabItens[[#This Row],[ATA Nº/ANO]] = ""),BE$2,BE$1)),0),0),0)</f>
        <v>0</v>
      </c>
      <c r="BF28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0" s="338">
        <f>SUMIF(Consumo!$C$3:$C$862,tabItens[[#This Row],[CÓDIGO]],Consumo!$E$3:$E$862)</f>
        <v>180.4</v>
      </c>
      <c r="BH280" s="339">
        <f>IF(AND(tabItens[[#This Row],[Pend]] &gt; 0,tabItens[[#This Row],[Consumo]] &lt;&gt; 0), tabItens[[#This Row],[Pend]] / tabItens[[#This Row],[Consumo]], 0 )</f>
        <v>3.5151987529228372E-2</v>
      </c>
      <c r="BI280" s="338"/>
      <c r="BJ280" s="407"/>
      <c r="BK280" s="408" t="s">
        <v>2086</v>
      </c>
    </row>
    <row r="281" spans="1:63" x14ac:dyDescent="0.3">
      <c r="A281" s="375">
        <v>16053</v>
      </c>
      <c r="B281" s="376" t="s">
        <v>1112</v>
      </c>
      <c r="C281" s="377" t="s">
        <v>1070</v>
      </c>
      <c r="D281" s="378">
        <v>110</v>
      </c>
      <c r="E281" s="305"/>
      <c r="F281" s="379"/>
      <c r="G281" s="379" t="s">
        <v>889</v>
      </c>
      <c r="H281" s="380">
        <v>7</v>
      </c>
      <c r="I281" s="307">
        <v>103003</v>
      </c>
      <c r="J281" s="308">
        <v>110</v>
      </c>
      <c r="K281" s="381">
        <v>108</v>
      </c>
      <c r="L281" s="382">
        <f>IF(tabItens[[#This Row],[Média]] &gt; 0, tabItens[[#This Row],[QTDE ATUAL]] / tabItens[[#This Row],[Média]],999.9)</f>
        <v>0.52173913043478259</v>
      </c>
      <c r="M281" s="383">
        <v>0</v>
      </c>
      <c r="N281" s="384">
        <f>tabItens[[#This Row],[VALOR UNIT.]] * tabItens[[#This Row],[LC]]</f>
        <v>0</v>
      </c>
      <c r="O281" s="385" t="s">
        <v>2117</v>
      </c>
      <c r="P281" s="386"/>
      <c r="Q281" s="387"/>
      <c r="R281" s="312"/>
      <c r="S281" s="388"/>
      <c r="T281" s="389">
        <f>ROUNDDOWN(IFERROR(tabItens[[#This Row],[ATA DT.VALID.]] - $D$1,0) / 30,0)</f>
        <v>-1474</v>
      </c>
      <c r="U281" s="302" t="s">
        <v>1113</v>
      </c>
      <c r="V281" s="318">
        <v>1</v>
      </c>
      <c r="W281" s="390" t="s">
        <v>2071</v>
      </c>
      <c r="X281" s="391">
        <v>51</v>
      </c>
      <c r="Y281" s="392">
        <v>33</v>
      </c>
      <c r="Z281" s="393"/>
      <c r="AA281" s="394"/>
      <c r="AB281" s="395"/>
      <c r="AC281" s="395"/>
      <c r="AD281" s="394"/>
      <c r="AE281" s="395"/>
      <c r="AF281" s="317"/>
      <c r="AG281" s="396" t="s">
        <v>2072</v>
      </c>
      <c r="AH281" s="397"/>
      <c r="AI281" s="317">
        <v>62</v>
      </c>
      <c r="AJ281" s="397">
        <v>45188</v>
      </c>
      <c r="AK281" s="326" t="s">
        <v>889</v>
      </c>
      <c r="AL281" s="326">
        <v>45160</v>
      </c>
      <c r="AM281" s="316"/>
      <c r="AN281" s="305"/>
      <c r="AO281" s="327" t="str">
        <f>_xlfn.IFNA(IF(VLOOKUP(tabItens[[#This Row],[CÓDIGO]],tabExcluirDoEstoque[#Data],1,FALSE),"sim",""),"")</f>
        <v/>
      </c>
      <c r="AP281" s="398" t="str">
        <f ca="1">IF(OR(ISBLANK(tabItens[[#This Row],[ATA DT.VALID.]]),tabItens[[#This Row],[ATA DT.VALID.]]="",tabItens[[#This Row],[ATA DT.VALID.]]=" "),"",IF(TYPE(tabItens[[#This Row],[ATA DT.VALID.]])=1,ROUNDUP((tabItens[[#This Row],[ATA DT.VALID.]]-TODAY())/7,0),""))</f>
        <v/>
      </c>
      <c r="AQ281" s="399">
        <v>0</v>
      </c>
      <c r="AR281" s="400" t="str">
        <f>IF(ISBLANK(tabItens[[#This Row],[CÓDIGO]]),"",IFERROR(VLOOKUP(tabItens[[#This Row],[CÓDIGO]],Consumo!$C$2:$AC$862,26,FALSE),0))</f>
        <v>09.2023</v>
      </c>
      <c r="AS281" s="401">
        <f>SUMIF(Consumo!$C$3:$C$862,tabItens[[#This Row],[CÓDIGO]],Consumo!$N$3:$N$862) + SUMIF(Consumo!$C$3:$C$862,tabItens[[#This Row],[CÓDIGO]],Consumo!$O$3:$O$862) + SUMIF(Consumo!$C$3:$C$862,tabItens[[#This Row],[CÓDIGO]],Consumo!$P$3:$P$862) + SUMIF(Consumo!$C$3:$C$862,tabItens[[#This Row],[CÓDIGO]],Consumo!$Q$3:$Q$862)</f>
        <v>45</v>
      </c>
      <c r="AT281" s="401">
        <f>SUMIF(Consumo!$C$3:$C$862,tabItens[[#This Row],[CÓDIGO]],Consumo!$Z$3:$Z$862)</f>
        <v>161</v>
      </c>
      <c r="AU281" s="402">
        <f>SUMIF(Consumo!$C$3:$C$862,tabItens[[#This Row],[CÓDIGO]],Consumo!$AA$3:$AA$862)</f>
        <v>22</v>
      </c>
      <c r="AV281" s="403">
        <f>SUMIF(Consumo!$C$3:$C$862,tabItens[[#This Row],[CÓDIGO]],Consumo!$Y$3:$Y$862)</f>
        <v>13.416666666666666</v>
      </c>
      <c r="AW281" s="380">
        <f>tabItens[[#This Row],[QTDE ATUAL]] + tabItens[[#This Row],[RC QTDE]] + tabItens[[#This Row],[AF SALDO]] + tabItens[[#This Row],[Recentes]]</f>
        <v>7</v>
      </c>
      <c r="AX281" s="404">
        <v>9</v>
      </c>
      <c r="AY281" s="404">
        <v>4</v>
      </c>
      <c r="AZ281" s="404">
        <f>IF(ISBLANK(tabItens[[#This Row],[CÓDIGO]]),"",tabItens[[#This Row],[PontoMês]] * (AZ$2+tabItens[[#This Row],[PontoQtM]]))</f>
        <v>36</v>
      </c>
      <c r="BA281" s="403">
        <f>tabItens[[#This Row],[PontoPed]] - tabItens[[#This Row],[Saldo]] + (1/10)</f>
        <v>29.1</v>
      </c>
      <c r="BB281" s="403">
        <f xml:space="preserve"> tabItens[[#This Row],[PontoMês]] * BB$2 - tabItens[[#This Row],[QTDE ATUAL]] - (1/10)</f>
        <v>1.9</v>
      </c>
      <c r="BC281" s="335">
        <f>IF( tabItens[[#This Row],[PontoPed]]&gt;0, IF(tabItens[[#This Row],[PontoPed]]&lt;1, 1, IF( tabItens[[#This Row],[Saldo]]&gt;tabItens[[#This Row],[PontoPed]], 0, (tabItens[[#This Row],[PontoPed]]-tabItens[[#This Row],[Saldo]])/tabItens[[#This Row],[PontoPed]] ) ), 0 )</f>
        <v>0.80555555555555558</v>
      </c>
      <c r="BD281" s="405">
        <f>ROUNDDOWN(IF( OR( AND(tabItens[[#This Row],[PontoPed]]&lt;tabItens[[#This Row],[Saldo]],tabItens[[#This Row],[Saldo]]&gt;0), tabItens[[#This Row],[PontoPed]]=0), 99, IF(AND(tabItens[[#This Row],[Saldo]]=0,tabItens[[#This Row],[PontoPed]]&gt;0), 0, (1-tabItens[[#This Row],[PctAb]])*10 ) ),0)</f>
        <v>1</v>
      </c>
      <c r="BE281" s="406">
        <f>MAX(ROUNDDOWN( IF(tabItens[[#This Row],[Abaixo]] &gt; 0,   tabItens[[#This Row],[Abaixo]] + (tabItens[[#This Row],[PontoMês]] * IF( OR( ISBLANK(tabItens[[#This Row],[ATA Nº/ANO]]), tabItens[[#This Row],[ATA Nº/ANO]] = ""),BE$2,BE$1)),0),0),0)</f>
        <v>56</v>
      </c>
      <c r="BF28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1" s="338">
        <f>SUMIF(Consumo!$C$3:$C$862,tabItens[[#This Row],[CÓDIGO]],Consumo!$E$3:$E$862)</f>
        <v>16</v>
      </c>
      <c r="BH281" s="339">
        <f>IF(AND(tabItens[[#This Row],[Pend]] &gt; 0,tabItens[[#This Row],[Consumo]] &lt;&gt; 0), tabItens[[#This Row],[Pend]] / tabItens[[#This Row],[Consumo]], 0 )</f>
        <v>9.9378881987577633E-2</v>
      </c>
      <c r="BI281" s="338"/>
      <c r="BJ281" s="407"/>
      <c r="BK281" s="408" t="s">
        <v>2086</v>
      </c>
    </row>
    <row r="282" spans="1:63" x14ac:dyDescent="0.3">
      <c r="A282" s="375">
        <v>132624</v>
      </c>
      <c r="B282" s="376" t="s">
        <v>1839</v>
      </c>
      <c r="C282" s="377" t="s">
        <v>31</v>
      </c>
      <c r="D282" s="378">
        <v>153.97999999999999</v>
      </c>
      <c r="E282" s="305"/>
      <c r="F282" s="379"/>
      <c r="G282" s="379" t="s">
        <v>889</v>
      </c>
      <c r="H282" s="380">
        <v>89</v>
      </c>
      <c r="I282" s="307">
        <v>103003</v>
      </c>
      <c r="J282" s="308">
        <v>153.97999999999999</v>
      </c>
      <c r="K282" s="381">
        <v>11</v>
      </c>
      <c r="L282" s="382">
        <f>IF(tabItens[[#This Row],[Média]] &gt; 0, tabItens[[#This Row],[QTDE ATUAL]] / tabItens[[#This Row],[Média]],999.9)</f>
        <v>106.8</v>
      </c>
      <c r="M282" s="383">
        <v>0</v>
      </c>
      <c r="N282" s="384">
        <f>tabItens[[#This Row],[VALOR UNIT.]] * tabItens[[#This Row],[LC]]</f>
        <v>0</v>
      </c>
      <c r="O282" s="385" t="s">
        <v>2117</v>
      </c>
      <c r="P282" s="386"/>
      <c r="Q282" s="387"/>
      <c r="R282" s="312"/>
      <c r="S282" s="388"/>
      <c r="T282" s="389">
        <f>ROUNDDOWN(IFERROR(tabItens[[#This Row],[ATA DT.VALID.]] - $D$1,0) / 30,0)</f>
        <v>-1474</v>
      </c>
      <c r="U282" s="302" t="s">
        <v>1446</v>
      </c>
      <c r="V282" s="318">
        <v>1</v>
      </c>
      <c r="W282" s="390" t="s">
        <v>2071</v>
      </c>
      <c r="X282" s="391">
        <v>51</v>
      </c>
      <c r="Y282" s="392">
        <v>36</v>
      </c>
      <c r="Z282" s="393"/>
      <c r="AA282" s="394"/>
      <c r="AB282" s="395"/>
      <c r="AC282" s="395"/>
      <c r="AD282" s="394"/>
      <c r="AE282" s="395"/>
      <c r="AF282" s="317"/>
      <c r="AG282" s="396" t="s">
        <v>2072</v>
      </c>
      <c r="AH282" s="397"/>
      <c r="AI282" s="317">
        <v>4</v>
      </c>
      <c r="AJ282" s="397">
        <v>44547</v>
      </c>
      <c r="AK282" s="326">
        <v>42850</v>
      </c>
      <c r="AL282" s="326">
        <v>44508</v>
      </c>
      <c r="AM282" s="316"/>
      <c r="AN282" s="305"/>
      <c r="AO282" s="327" t="str">
        <f>_xlfn.IFNA(IF(VLOOKUP(tabItens[[#This Row],[CÓDIGO]],tabExcluirDoEstoque[#Data],1,FALSE),"sim",""),"")</f>
        <v/>
      </c>
      <c r="AP282" s="398" t="str">
        <f ca="1">IF(OR(ISBLANK(tabItens[[#This Row],[ATA DT.VALID.]]),tabItens[[#This Row],[ATA DT.VALID.]]="",tabItens[[#This Row],[ATA DT.VALID.]]=" "),"",IF(TYPE(tabItens[[#This Row],[ATA DT.VALID.]])=1,ROUNDUP((tabItens[[#This Row],[ATA DT.VALID.]]-TODAY())/7,0),""))</f>
        <v/>
      </c>
      <c r="AQ282" s="399">
        <v>0</v>
      </c>
      <c r="AR282" s="400" t="str">
        <f>IF(ISBLANK(tabItens[[#This Row],[CÓDIGO]]),"",IFERROR(VLOOKUP(tabItens[[#This Row],[CÓDIGO]],Consumo!$C$2:$AC$862,26,FALSE),0))</f>
        <v>08.2023</v>
      </c>
      <c r="AS282" s="401">
        <f>SUMIF(Consumo!$C$3:$C$862,tabItens[[#This Row],[CÓDIGO]],Consumo!$N$3:$N$862) + SUMIF(Consumo!$C$3:$C$862,tabItens[[#This Row],[CÓDIGO]],Consumo!$O$3:$O$862) + SUMIF(Consumo!$C$3:$C$862,tabItens[[#This Row],[CÓDIGO]],Consumo!$P$3:$P$862) + SUMIF(Consumo!$C$3:$C$862,tabItens[[#This Row],[CÓDIGO]],Consumo!$Q$3:$Q$862)</f>
        <v>3</v>
      </c>
      <c r="AT282" s="401">
        <f>SUMIF(Consumo!$C$3:$C$862,tabItens[[#This Row],[CÓDIGO]],Consumo!$Z$3:$Z$862)</f>
        <v>11</v>
      </c>
      <c r="AU282" s="402">
        <f>SUMIF(Consumo!$C$3:$C$862,tabItens[[#This Row],[CÓDIGO]],Consumo!$AA$3:$AA$862)</f>
        <v>4</v>
      </c>
      <c r="AV282" s="403">
        <f>SUMIF(Consumo!$C$3:$C$862,tabItens[[#This Row],[CÓDIGO]],Consumo!$Y$3:$Y$862)</f>
        <v>0.83333333333333337</v>
      </c>
      <c r="AW282" s="380">
        <f>tabItens[[#This Row],[QTDE ATUAL]] + tabItens[[#This Row],[RC QTDE]] + tabItens[[#This Row],[AF SALDO]] + tabItens[[#This Row],[Recentes]]</f>
        <v>89</v>
      </c>
      <c r="AX282" s="404">
        <v>5</v>
      </c>
      <c r="AY282" s="404">
        <v>4</v>
      </c>
      <c r="AZ282" s="404">
        <f>IF(ISBLANK(tabItens[[#This Row],[CÓDIGO]]),"",tabItens[[#This Row],[PontoMês]] * (AZ$2+tabItens[[#This Row],[PontoQtM]]))</f>
        <v>20</v>
      </c>
      <c r="BA282" s="403">
        <f>tabItens[[#This Row],[PontoPed]] - tabItens[[#This Row],[Saldo]] + (1/10)</f>
        <v>-68.900000000000006</v>
      </c>
      <c r="BB282" s="403">
        <f xml:space="preserve"> tabItens[[#This Row],[PontoMês]] * BB$2 - tabItens[[#This Row],[QTDE ATUAL]] - (1/10)</f>
        <v>-84.1</v>
      </c>
      <c r="BC282" s="335">
        <f>IF( tabItens[[#This Row],[PontoPed]]&gt;0, IF(tabItens[[#This Row],[PontoPed]]&lt;1, 1, IF( tabItens[[#This Row],[Saldo]]&gt;tabItens[[#This Row],[PontoPed]], 0, (tabItens[[#This Row],[PontoPed]]-tabItens[[#This Row],[Saldo]])/tabItens[[#This Row],[PontoPed]] ) ), 0 )</f>
        <v>0</v>
      </c>
      <c r="BD282" s="405">
        <f>ROUNDDOWN(IF( OR( AND(tabItens[[#This Row],[PontoPed]]&lt;tabItens[[#This Row],[Saldo]],tabItens[[#This Row],[Saldo]]&gt;0), tabItens[[#This Row],[PontoPed]]=0), 99, IF(AND(tabItens[[#This Row],[Saldo]]=0,tabItens[[#This Row],[PontoPed]]&gt;0), 0, (1-tabItens[[#This Row],[PctAb]])*10 ) ),0)</f>
        <v>99</v>
      </c>
      <c r="BE282" s="406">
        <f>MAX(ROUNDDOWN( IF(tabItens[[#This Row],[Abaixo]] &gt; 0,   tabItens[[#This Row],[Abaixo]] + (tabItens[[#This Row],[PontoMês]] * IF( OR( ISBLANK(tabItens[[#This Row],[ATA Nº/ANO]]), tabItens[[#This Row],[ATA Nº/ANO]] = ""),BE$2,BE$1)),0),0),0)</f>
        <v>0</v>
      </c>
      <c r="BF28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2" s="338">
        <f>SUMIF(Consumo!$C$3:$C$862,tabItens[[#This Row],[CÓDIGO]],Consumo!$E$3:$E$862)</f>
        <v>0</v>
      </c>
      <c r="BH282" s="339">
        <f>IF(AND(tabItens[[#This Row],[Pend]] &gt; 0,tabItens[[#This Row],[Consumo]] &lt;&gt; 0), tabItens[[#This Row],[Pend]] / tabItens[[#This Row],[Consumo]], 0 )</f>
        <v>0</v>
      </c>
      <c r="BI282" s="338"/>
      <c r="BJ282" s="407"/>
      <c r="BK282" s="408" t="s">
        <v>2086</v>
      </c>
    </row>
    <row r="283" spans="1:63" x14ac:dyDescent="0.3">
      <c r="A283" s="375">
        <v>98703</v>
      </c>
      <c r="B283" s="376" t="s">
        <v>1566</v>
      </c>
      <c r="C283" s="377" t="s">
        <v>345</v>
      </c>
      <c r="D283" s="378">
        <v>45.37</v>
      </c>
      <c r="E283" s="305"/>
      <c r="F283" s="379"/>
      <c r="G283" s="379" t="s">
        <v>889</v>
      </c>
      <c r="H283" s="380">
        <v>229</v>
      </c>
      <c r="I283" s="307">
        <v>103003</v>
      </c>
      <c r="J283" s="308">
        <v>45.37</v>
      </c>
      <c r="K283" s="381">
        <v>706</v>
      </c>
      <c r="L283" s="382">
        <f>IF(tabItens[[#This Row],[Média]] &gt; 0, tabItens[[#This Row],[QTDE ATUAL]] / tabItens[[#This Row],[Média]],999.9)</f>
        <v>3.318840579710145</v>
      </c>
      <c r="M283" s="383">
        <v>0</v>
      </c>
      <c r="N283" s="384">
        <f>tabItens[[#This Row],[VALOR UNIT.]] * tabItens[[#This Row],[LC]]</f>
        <v>0</v>
      </c>
      <c r="O283" s="385" t="s">
        <v>2117</v>
      </c>
      <c r="P283" s="386"/>
      <c r="Q283" s="387"/>
      <c r="R283" s="312"/>
      <c r="S283" s="388"/>
      <c r="T283" s="389">
        <f>ROUNDDOWN(IFERROR(tabItens[[#This Row],[ATA DT.VALID.]] - $D$1,0) / 30,0)</f>
        <v>-1474</v>
      </c>
      <c r="U283" s="302" t="s">
        <v>1259</v>
      </c>
      <c r="V283" s="318">
        <v>1</v>
      </c>
      <c r="W283" s="390" t="s">
        <v>2078</v>
      </c>
      <c r="X283" s="391">
        <v>69</v>
      </c>
      <c r="Y283" s="392">
        <v>3</v>
      </c>
      <c r="Z283" s="393">
        <v>7337</v>
      </c>
      <c r="AA283" s="394">
        <v>2023</v>
      </c>
      <c r="AB283" s="395">
        <v>500</v>
      </c>
      <c r="AC283" s="395"/>
      <c r="AD283" s="394"/>
      <c r="AE283" s="395"/>
      <c r="AF283" s="317"/>
      <c r="AG283" s="396" t="s">
        <v>2072</v>
      </c>
      <c r="AH283" s="397"/>
      <c r="AI283" s="317">
        <v>294</v>
      </c>
      <c r="AJ283" s="397">
        <v>44148</v>
      </c>
      <c r="AK283" s="326">
        <v>39183</v>
      </c>
      <c r="AL283" s="326">
        <v>44685</v>
      </c>
      <c r="AM283" s="316"/>
      <c r="AN283" s="305"/>
      <c r="AO283" s="327" t="str">
        <f>_xlfn.IFNA(IF(VLOOKUP(tabItens[[#This Row],[CÓDIGO]],tabExcluirDoEstoque[#Data],1,FALSE),"sim",""),"")</f>
        <v/>
      </c>
      <c r="AP283" s="398" t="str">
        <f ca="1">IF(OR(ISBLANK(tabItens[[#This Row],[ATA DT.VALID.]]),tabItens[[#This Row],[ATA DT.VALID.]]="",tabItens[[#This Row],[ATA DT.VALID.]]=" "),"",IF(TYPE(tabItens[[#This Row],[ATA DT.VALID.]])=1,ROUNDUP((tabItens[[#This Row],[ATA DT.VALID.]]-TODAY())/7,0),""))</f>
        <v/>
      </c>
      <c r="AQ283" s="399">
        <v>0</v>
      </c>
      <c r="AR283" s="400" t="str">
        <f>IF(ISBLANK(tabItens[[#This Row],[CÓDIGO]]),"",IFERROR(VLOOKUP(tabItens[[#This Row],[CÓDIGO]],Consumo!$C$2:$AC$862,26,FALSE),0))</f>
        <v>09.2023</v>
      </c>
      <c r="AS283" s="401">
        <f>SUMIF(Consumo!$C$3:$C$862,tabItens[[#This Row],[CÓDIGO]],Consumo!$N$3:$N$862) + SUMIF(Consumo!$C$3:$C$862,tabItens[[#This Row],[CÓDIGO]],Consumo!$O$3:$O$862) + SUMIF(Consumo!$C$3:$C$862,tabItens[[#This Row],[CÓDIGO]],Consumo!$P$3:$P$862) + SUMIF(Consumo!$C$3:$C$862,tabItens[[#This Row],[CÓDIGO]],Consumo!$Q$3:$Q$862)</f>
        <v>286</v>
      </c>
      <c r="AT283" s="401">
        <f>SUMIF(Consumo!$C$3:$C$862,tabItens[[#This Row],[CÓDIGO]],Consumo!$Z$3:$Z$862)</f>
        <v>879</v>
      </c>
      <c r="AU283" s="402">
        <f>SUMIF(Consumo!$C$3:$C$862,tabItens[[#This Row],[CÓDIGO]],Consumo!$AA$3:$AA$862)</f>
        <v>267</v>
      </c>
      <c r="AV283" s="403">
        <f>SUMIF(Consumo!$C$3:$C$862,tabItens[[#This Row],[CÓDIGO]],Consumo!$Y$3:$Y$862)</f>
        <v>69</v>
      </c>
      <c r="AW283" s="380">
        <f>tabItens[[#This Row],[QTDE ATUAL]] + tabItens[[#This Row],[RC QTDE]] + tabItens[[#This Row],[AF SALDO]] + tabItens[[#This Row],[Recentes]]</f>
        <v>729</v>
      </c>
      <c r="AX283" s="404">
        <v>51</v>
      </c>
      <c r="AY283" s="404">
        <v>4</v>
      </c>
      <c r="AZ283" s="404">
        <f>IF(ISBLANK(tabItens[[#This Row],[CÓDIGO]]),"",tabItens[[#This Row],[PontoMês]] * (AZ$2+tabItens[[#This Row],[PontoQtM]]))</f>
        <v>204</v>
      </c>
      <c r="BA283" s="403">
        <f>tabItens[[#This Row],[PontoPed]] - tabItens[[#This Row],[Saldo]] + (1/10)</f>
        <v>-524.9</v>
      </c>
      <c r="BB283" s="403">
        <f xml:space="preserve"> tabItens[[#This Row],[PontoMês]] * BB$2 - tabItens[[#This Row],[QTDE ATUAL]] - (1/10)</f>
        <v>-178.1</v>
      </c>
      <c r="BC283" s="335">
        <f>IF( tabItens[[#This Row],[PontoPed]]&gt;0, IF(tabItens[[#This Row],[PontoPed]]&lt;1, 1, IF( tabItens[[#This Row],[Saldo]]&gt;tabItens[[#This Row],[PontoPed]], 0, (tabItens[[#This Row],[PontoPed]]-tabItens[[#This Row],[Saldo]])/tabItens[[#This Row],[PontoPed]] ) ), 0 )</f>
        <v>0</v>
      </c>
      <c r="BD283" s="405">
        <f>ROUNDDOWN(IF( OR( AND(tabItens[[#This Row],[PontoPed]]&lt;tabItens[[#This Row],[Saldo]],tabItens[[#This Row],[Saldo]]&gt;0), tabItens[[#This Row],[PontoPed]]=0), 99, IF(AND(tabItens[[#This Row],[Saldo]]=0,tabItens[[#This Row],[PontoPed]]&gt;0), 0, (1-tabItens[[#This Row],[PctAb]])*10 ) ),0)</f>
        <v>99</v>
      </c>
      <c r="BE283" s="406">
        <f>MAX(ROUNDDOWN( IF(tabItens[[#This Row],[Abaixo]] &gt; 0,   tabItens[[#This Row],[Abaixo]] + (tabItens[[#This Row],[PontoMês]] * IF( OR( ISBLANK(tabItens[[#This Row],[ATA Nº/ANO]]), tabItens[[#This Row],[ATA Nº/ANO]] = ""),BE$2,BE$1)),0),0),0)</f>
        <v>0</v>
      </c>
      <c r="BF28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3" s="338">
        <f>SUMIF(Consumo!$C$3:$C$862,tabItens[[#This Row],[CÓDIGO]],Consumo!$E$3:$E$862)</f>
        <v>0</v>
      </c>
      <c r="BH283" s="339">
        <f>IF(AND(tabItens[[#This Row],[Pend]] &gt; 0,tabItens[[#This Row],[Consumo]] &lt;&gt; 0), tabItens[[#This Row],[Pend]] / tabItens[[#This Row],[Consumo]], 0 )</f>
        <v>0</v>
      </c>
      <c r="BI283" s="338"/>
      <c r="BJ283" s="407"/>
      <c r="BK283" s="408" t="s">
        <v>2086</v>
      </c>
    </row>
    <row r="284" spans="1:63" x14ac:dyDescent="0.3">
      <c r="A284" s="375">
        <v>98704</v>
      </c>
      <c r="B284" s="376" t="s">
        <v>1567</v>
      </c>
      <c r="C284" s="377" t="s">
        <v>345</v>
      </c>
      <c r="D284" s="378">
        <v>44</v>
      </c>
      <c r="E284" s="305"/>
      <c r="F284" s="379"/>
      <c r="G284" s="379" t="s">
        <v>889</v>
      </c>
      <c r="H284" s="380">
        <v>184</v>
      </c>
      <c r="I284" s="307">
        <v>103003</v>
      </c>
      <c r="J284" s="308">
        <v>44</v>
      </c>
      <c r="K284" s="381">
        <v>163</v>
      </c>
      <c r="L284" s="382">
        <f>IF(tabItens[[#This Row],[Média]] &gt; 0, tabItens[[#This Row],[QTDE ATUAL]] / tabItens[[#This Row],[Média]],999.9)</f>
        <v>13.065088757396449</v>
      </c>
      <c r="M284" s="383">
        <v>0</v>
      </c>
      <c r="N284" s="384">
        <f>tabItens[[#This Row],[VALOR UNIT.]] * tabItens[[#This Row],[LC]]</f>
        <v>0</v>
      </c>
      <c r="O284" s="385" t="s">
        <v>2117</v>
      </c>
      <c r="P284" s="386"/>
      <c r="Q284" s="387"/>
      <c r="R284" s="312"/>
      <c r="S284" s="388"/>
      <c r="T284" s="389">
        <f>ROUNDDOWN(IFERROR(tabItens[[#This Row],[ATA DT.VALID.]] - $D$1,0) / 30,0)</f>
        <v>-1474</v>
      </c>
      <c r="U284" s="302" t="s">
        <v>1259</v>
      </c>
      <c r="V284" s="318">
        <v>1</v>
      </c>
      <c r="W284" s="390" t="s">
        <v>2078</v>
      </c>
      <c r="X284" s="391">
        <v>69</v>
      </c>
      <c r="Y284" s="392">
        <v>3</v>
      </c>
      <c r="Z284" s="393"/>
      <c r="AA284" s="394"/>
      <c r="AB284" s="395"/>
      <c r="AC284" s="395"/>
      <c r="AD284" s="394"/>
      <c r="AE284" s="395"/>
      <c r="AF284" s="317"/>
      <c r="AG284" s="396" t="s">
        <v>2072</v>
      </c>
      <c r="AH284" s="397"/>
      <c r="AI284" s="317">
        <v>60</v>
      </c>
      <c r="AJ284" s="397">
        <v>45189</v>
      </c>
      <c r="AK284" s="326">
        <v>39183</v>
      </c>
      <c r="AL284" s="326">
        <v>45160</v>
      </c>
      <c r="AM284" s="316"/>
      <c r="AN284" s="305"/>
      <c r="AO284" s="327" t="str">
        <f>_xlfn.IFNA(IF(VLOOKUP(tabItens[[#This Row],[CÓDIGO]],tabExcluirDoEstoque[#Data],1,FALSE),"sim",""),"")</f>
        <v/>
      </c>
      <c r="AP284" s="398" t="str">
        <f ca="1">IF(OR(ISBLANK(tabItens[[#This Row],[ATA DT.VALID.]]),tabItens[[#This Row],[ATA DT.VALID.]]="",tabItens[[#This Row],[ATA DT.VALID.]]=" "),"",IF(TYPE(tabItens[[#This Row],[ATA DT.VALID.]])=1,ROUNDUP((tabItens[[#This Row],[ATA DT.VALID.]]-TODAY())/7,0),""))</f>
        <v/>
      </c>
      <c r="AQ284" s="399">
        <v>0</v>
      </c>
      <c r="AR284" s="400" t="str">
        <f>IF(ISBLANK(tabItens[[#This Row],[CÓDIGO]]),"",IFERROR(VLOOKUP(tabItens[[#This Row],[CÓDIGO]],Consumo!$C$2:$AC$862,26,FALSE),0))</f>
        <v>09.2023</v>
      </c>
      <c r="AS284" s="401">
        <f>SUMIF(Consumo!$C$3:$C$862,tabItens[[#This Row],[CÓDIGO]],Consumo!$N$3:$N$862) + SUMIF(Consumo!$C$3:$C$862,tabItens[[#This Row],[CÓDIGO]],Consumo!$O$3:$O$862) + SUMIF(Consumo!$C$3:$C$862,tabItens[[#This Row],[CÓDIGO]],Consumo!$P$3:$P$862) + SUMIF(Consumo!$C$3:$C$862,tabItens[[#This Row],[CÓDIGO]],Consumo!$Q$3:$Q$862)</f>
        <v>85</v>
      </c>
      <c r="AT284" s="401">
        <f>SUMIF(Consumo!$C$3:$C$862,tabItens[[#This Row],[CÓDIGO]],Consumo!$Z$3:$Z$862)</f>
        <v>180</v>
      </c>
      <c r="AU284" s="402">
        <f>SUMIF(Consumo!$C$3:$C$862,tabItens[[#This Row],[CÓDIGO]],Consumo!$AA$3:$AA$862)</f>
        <v>63</v>
      </c>
      <c r="AV284" s="403">
        <f>SUMIF(Consumo!$C$3:$C$862,tabItens[[#This Row],[CÓDIGO]],Consumo!$Y$3:$Y$862)</f>
        <v>14.083333333333334</v>
      </c>
      <c r="AW284" s="380">
        <f>tabItens[[#This Row],[QTDE ATUAL]] + tabItens[[#This Row],[RC QTDE]] + tabItens[[#This Row],[AF SALDO]] + tabItens[[#This Row],[Recentes]]</f>
        <v>184</v>
      </c>
      <c r="AX284" s="404">
        <v>34</v>
      </c>
      <c r="AY284" s="404">
        <v>4</v>
      </c>
      <c r="AZ284" s="404">
        <f>IF(ISBLANK(tabItens[[#This Row],[CÓDIGO]]),"",tabItens[[#This Row],[PontoMês]] * (AZ$2+tabItens[[#This Row],[PontoQtM]]))</f>
        <v>136</v>
      </c>
      <c r="BA284" s="403">
        <f>tabItens[[#This Row],[PontoPed]] - tabItens[[#This Row],[Saldo]] + (1/10)</f>
        <v>-47.9</v>
      </c>
      <c r="BB284" s="403">
        <f xml:space="preserve"> tabItens[[#This Row],[PontoMês]] * BB$2 - tabItens[[#This Row],[QTDE ATUAL]] - (1/10)</f>
        <v>-150.1</v>
      </c>
      <c r="BC284" s="335">
        <f>IF( tabItens[[#This Row],[PontoPed]]&gt;0, IF(tabItens[[#This Row],[PontoPed]]&lt;1, 1, IF( tabItens[[#This Row],[Saldo]]&gt;tabItens[[#This Row],[PontoPed]], 0, (tabItens[[#This Row],[PontoPed]]-tabItens[[#This Row],[Saldo]])/tabItens[[#This Row],[PontoPed]] ) ), 0 )</f>
        <v>0</v>
      </c>
      <c r="BD284" s="405">
        <f>ROUNDDOWN(IF( OR( AND(tabItens[[#This Row],[PontoPed]]&lt;tabItens[[#This Row],[Saldo]],tabItens[[#This Row],[Saldo]]&gt;0), tabItens[[#This Row],[PontoPed]]=0), 99, IF(AND(tabItens[[#This Row],[Saldo]]=0,tabItens[[#This Row],[PontoPed]]&gt;0), 0, (1-tabItens[[#This Row],[PctAb]])*10 ) ),0)</f>
        <v>99</v>
      </c>
      <c r="BE284" s="406">
        <f>MAX(ROUNDDOWN( IF(tabItens[[#This Row],[Abaixo]] &gt; 0,   tabItens[[#This Row],[Abaixo]] + (tabItens[[#This Row],[PontoMês]] * IF( OR( ISBLANK(tabItens[[#This Row],[ATA Nº/ANO]]), tabItens[[#This Row],[ATA Nº/ANO]] = ""),BE$2,BE$1)),0),0),0)</f>
        <v>0</v>
      </c>
      <c r="BF28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4" s="338">
        <f>SUMIF(Consumo!$C$3:$C$862,tabItens[[#This Row],[CÓDIGO]],Consumo!$E$3:$E$862)</f>
        <v>0</v>
      </c>
      <c r="BH284" s="339">
        <f>IF(AND(tabItens[[#This Row],[Pend]] &gt; 0,tabItens[[#This Row],[Consumo]] &lt;&gt; 0), tabItens[[#This Row],[Pend]] / tabItens[[#This Row],[Consumo]], 0 )</f>
        <v>0</v>
      </c>
      <c r="BI284" s="338"/>
      <c r="BJ284" s="407"/>
      <c r="BK284" s="408" t="s">
        <v>2086</v>
      </c>
    </row>
    <row r="285" spans="1:63" x14ac:dyDescent="0.3">
      <c r="A285" s="375">
        <v>102278</v>
      </c>
      <c r="B285" s="376" t="s">
        <v>1585</v>
      </c>
      <c r="C285" s="377" t="s">
        <v>263</v>
      </c>
      <c r="D285" s="378">
        <v>205.18</v>
      </c>
      <c r="E285" s="305"/>
      <c r="F285" s="379"/>
      <c r="G285" s="379" t="s">
        <v>889</v>
      </c>
      <c r="H285" s="380">
        <v>144</v>
      </c>
      <c r="I285" s="307">
        <v>103003</v>
      </c>
      <c r="J285" s="308">
        <v>205.18</v>
      </c>
      <c r="K285" s="381"/>
      <c r="L285" s="382">
        <f>IF(tabItens[[#This Row],[Média]] &gt; 0, tabItens[[#This Row],[QTDE ATUAL]] / tabItens[[#This Row],[Média]],999.9)</f>
        <v>999.9</v>
      </c>
      <c r="M285" s="383">
        <v>0</v>
      </c>
      <c r="N285" s="384">
        <f>tabItens[[#This Row],[VALOR UNIT.]] * tabItens[[#This Row],[LC]]</f>
        <v>0</v>
      </c>
      <c r="O285" s="385" t="s">
        <v>2117</v>
      </c>
      <c r="P285" s="386"/>
      <c r="Q285" s="387"/>
      <c r="R285" s="312"/>
      <c r="S285" s="388"/>
      <c r="T285" s="389">
        <f>ROUNDDOWN(IFERROR(tabItens[[#This Row],[ATA DT.VALID.]] - $D$1,0) / 30,0)</f>
        <v>-1474</v>
      </c>
      <c r="U285" s="302" t="s">
        <v>1039</v>
      </c>
      <c r="V285" s="318">
        <v>1</v>
      </c>
      <c r="W285" s="390" t="s">
        <v>2078</v>
      </c>
      <c r="X285" s="391">
        <v>69</v>
      </c>
      <c r="Y285" s="392">
        <v>10</v>
      </c>
      <c r="Z285" s="393"/>
      <c r="AA285" s="394"/>
      <c r="AB285" s="395"/>
      <c r="AC285" s="395"/>
      <c r="AD285" s="394"/>
      <c r="AE285" s="395"/>
      <c r="AF285" s="317"/>
      <c r="AG285" s="396" t="s">
        <v>2072</v>
      </c>
      <c r="AH285" s="397"/>
      <c r="AI285" s="317">
        <v>0</v>
      </c>
      <c r="AJ285" s="397">
        <v>43545</v>
      </c>
      <c r="AK285" s="326">
        <v>39352</v>
      </c>
      <c r="AL285" s="326">
        <v>44784</v>
      </c>
      <c r="AM285" s="316"/>
      <c r="AN285" s="305"/>
      <c r="AO285" s="327" t="str">
        <f>_xlfn.IFNA(IF(VLOOKUP(tabItens[[#This Row],[CÓDIGO]],tabExcluirDoEstoque[#Data],1,FALSE),"sim",""),"")</f>
        <v/>
      </c>
      <c r="AP285" s="398" t="str">
        <f ca="1">IF(OR(ISBLANK(tabItens[[#This Row],[ATA DT.VALID.]]),tabItens[[#This Row],[ATA DT.VALID.]]="",tabItens[[#This Row],[ATA DT.VALID.]]=" "),"",IF(TYPE(tabItens[[#This Row],[ATA DT.VALID.]])=1,ROUNDUP((tabItens[[#This Row],[ATA DT.VALID.]]-TODAY())/7,0),""))</f>
        <v/>
      </c>
      <c r="AQ285" s="399">
        <v>0</v>
      </c>
      <c r="AR285" s="400">
        <f>IF(ISBLANK(tabItens[[#This Row],[CÓDIGO]]),"",IFERROR(VLOOKUP(tabItens[[#This Row],[CÓDIGO]],Consumo!$C$2:$AC$862,26,FALSE),0))</f>
        <v>0</v>
      </c>
      <c r="AS285" s="401">
        <f>SUMIF(Consumo!$C$3:$C$862,tabItens[[#This Row],[CÓDIGO]],Consumo!$N$3:$N$862) + SUMIF(Consumo!$C$3:$C$862,tabItens[[#This Row],[CÓDIGO]],Consumo!$O$3:$O$862) + SUMIF(Consumo!$C$3:$C$862,tabItens[[#This Row],[CÓDIGO]],Consumo!$P$3:$P$862) + SUMIF(Consumo!$C$3:$C$862,tabItens[[#This Row],[CÓDIGO]],Consumo!$Q$3:$Q$862)</f>
        <v>0</v>
      </c>
      <c r="AT285" s="401">
        <f>SUMIF(Consumo!$C$3:$C$862,tabItens[[#This Row],[CÓDIGO]],Consumo!$Z$3:$Z$862)</f>
        <v>0</v>
      </c>
      <c r="AU285" s="402">
        <f>SUMIF(Consumo!$C$3:$C$862,tabItens[[#This Row],[CÓDIGO]],Consumo!$AA$3:$AA$862)</f>
        <v>0</v>
      </c>
      <c r="AV285" s="403">
        <f>SUMIF(Consumo!$C$3:$C$862,tabItens[[#This Row],[CÓDIGO]],Consumo!$Y$3:$Y$862)</f>
        <v>0</v>
      </c>
      <c r="AW285" s="380">
        <f>tabItens[[#This Row],[QTDE ATUAL]] + tabItens[[#This Row],[RC QTDE]] + tabItens[[#This Row],[AF SALDO]] + tabItens[[#This Row],[Recentes]]</f>
        <v>144</v>
      </c>
      <c r="AX285" s="404">
        <v>3</v>
      </c>
      <c r="AY285" s="404">
        <v>4</v>
      </c>
      <c r="AZ285" s="404">
        <f>IF(ISBLANK(tabItens[[#This Row],[CÓDIGO]]),"",tabItens[[#This Row],[PontoMês]] * (AZ$2+tabItens[[#This Row],[PontoQtM]]))</f>
        <v>12</v>
      </c>
      <c r="BA285" s="403">
        <f>tabItens[[#This Row],[PontoPed]] - tabItens[[#This Row],[Saldo]] + (1/10)</f>
        <v>-131.9</v>
      </c>
      <c r="BB285" s="403">
        <f xml:space="preserve"> tabItens[[#This Row],[PontoMês]] * BB$2 - tabItens[[#This Row],[QTDE ATUAL]] - (1/10)</f>
        <v>-141.1</v>
      </c>
      <c r="BC285" s="335">
        <f>IF( tabItens[[#This Row],[PontoPed]]&gt;0, IF(tabItens[[#This Row],[PontoPed]]&lt;1, 1, IF( tabItens[[#This Row],[Saldo]]&gt;tabItens[[#This Row],[PontoPed]], 0, (tabItens[[#This Row],[PontoPed]]-tabItens[[#This Row],[Saldo]])/tabItens[[#This Row],[PontoPed]] ) ), 0 )</f>
        <v>0</v>
      </c>
      <c r="BD285" s="405">
        <f>ROUNDDOWN(IF( OR( AND(tabItens[[#This Row],[PontoPed]]&lt;tabItens[[#This Row],[Saldo]],tabItens[[#This Row],[Saldo]]&gt;0), tabItens[[#This Row],[PontoPed]]=0), 99, IF(AND(tabItens[[#This Row],[Saldo]]=0,tabItens[[#This Row],[PontoPed]]&gt;0), 0, (1-tabItens[[#This Row],[PctAb]])*10 ) ),0)</f>
        <v>99</v>
      </c>
      <c r="BE285" s="406">
        <f>MAX(ROUNDDOWN( IF(tabItens[[#This Row],[Abaixo]] &gt; 0,   tabItens[[#This Row],[Abaixo]] + (tabItens[[#This Row],[PontoMês]] * IF( OR( ISBLANK(tabItens[[#This Row],[ATA Nº/ANO]]), tabItens[[#This Row],[ATA Nº/ANO]] = ""),BE$2,BE$1)),0),0),0)</f>
        <v>0</v>
      </c>
      <c r="BF28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5" s="338">
        <f>SUMIF(Consumo!$C$3:$C$862,tabItens[[#This Row],[CÓDIGO]],Consumo!$E$3:$E$862)</f>
        <v>0</v>
      </c>
      <c r="BH285" s="339">
        <f>IF(AND(tabItens[[#This Row],[Pend]] &gt; 0,tabItens[[#This Row],[Consumo]] &lt;&gt; 0), tabItens[[#This Row],[Pend]] / tabItens[[#This Row],[Consumo]], 0 )</f>
        <v>0</v>
      </c>
      <c r="BI285" s="338"/>
      <c r="BJ285" s="407"/>
      <c r="BK285" s="408" t="s">
        <v>2086</v>
      </c>
    </row>
    <row r="286" spans="1:63" x14ac:dyDescent="0.3">
      <c r="A286" s="375">
        <v>121054</v>
      </c>
      <c r="B286" s="376" t="s">
        <v>1747</v>
      </c>
      <c r="C286" s="377" t="s">
        <v>345</v>
      </c>
      <c r="D286" s="378">
        <v>498.9</v>
      </c>
      <c r="E286" s="305"/>
      <c r="F286" s="379"/>
      <c r="G286" s="379" t="s">
        <v>889</v>
      </c>
      <c r="H286" s="380">
        <v>95</v>
      </c>
      <c r="I286" s="307">
        <v>103003</v>
      </c>
      <c r="J286" s="308">
        <v>498.9</v>
      </c>
      <c r="K286" s="381">
        <v>1</v>
      </c>
      <c r="L286" s="382">
        <f>IF(tabItens[[#This Row],[Média]] &gt; 0, tabItens[[#This Row],[QTDE ATUAL]] / tabItens[[#This Row],[Média]],999.9)</f>
        <v>999.9</v>
      </c>
      <c r="M286" s="383">
        <v>0</v>
      </c>
      <c r="N286" s="384">
        <f>tabItens[[#This Row],[VALOR UNIT.]] * tabItens[[#This Row],[LC]]</f>
        <v>0</v>
      </c>
      <c r="O286" s="385" t="s">
        <v>2117</v>
      </c>
      <c r="P286" s="386"/>
      <c r="Q286" s="387"/>
      <c r="R286" s="312"/>
      <c r="S286" s="388"/>
      <c r="T286" s="389">
        <f>ROUNDDOWN(IFERROR(tabItens[[#This Row],[ATA DT.VALID.]] - $D$1,0) / 30,0)</f>
        <v>-1474</v>
      </c>
      <c r="U286" s="302" t="s">
        <v>1039</v>
      </c>
      <c r="V286" s="318">
        <v>1</v>
      </c>
      <c r="W286" s="390" t="s">
        <v>2078</v>
      </c>
      <c r="X286" s="391">
        <v>69</v>
      </c>
      <c r="Y286" s="392">
        <v>10</v>
      </c>
      <c r="Z286" s="393"/>
      <c r="AA286" s="394"/>
      <c r="AB286" s="395"/>
      <c r="AC286" s="395"/>
      <c r="AD286" s="394"/>
      <c r="AE286" s="395"/>
      <c r="AF286" s="317"/>
      <c r="AG286" s="396" t="s">
        <v>2072</v>
      </c>
      <c r="AH286" s="397"/>
      <c r="AI286" s="317">
        <v>0</v>
      </c>
      <c r="AJ286" s="397">
        <v>44117</v>
      </c>
      <c r="AK286" s="326">
        <v>40805</v>
      </c>
      <c r="AL286" s="326">
        <v>44881</v>
      </c>
      <c r="AM286" s="316"/>
      <c r="AN286" s="305"/>
      <c r="AO286" s="327" t="str">
        <f>_xlfn.IFNA(IF(VLOOKUP(tabItens[[#This Row],[CÓDIGO]],tabExcluirDoEstoque[#Data],1,FALSE),"sim",""),"")</f>
        <v/>
      </c>
      <c r="AP286" s="398" t="str">
        <f ca="1">IF(OR(ISBLANK(tabItens[[#This Row],[ATA DT.VALID.]]),tabItens[[#This Row],[ATA DT.VALID.]]="",tabItens[[#This Row],[ATA DT.VALID.]]=" "),"",IF(TYPE(tabItens[[#This Row],[ATA DT.VALID.]])=1,ROUNDUP((tabItens[[#This Row],[ATA DT.VALID.]]-TODAY())/7,0),""))</f>
        <v/>
      </c>
      <c r="AQ286" s="399">
        <v>0</v>
      </c>
      <c r="AR286" s="400" t="str">
        <f>IF(ISBLANK(tabItens[[#This Row],[CÓDIGO]]),"",IFERROR(VLOOKUP(tabItens[[#This Row],[CÓDIGO]],Consumo!$C$2:$AC$862,26,FALSE),0))</f>
        <v>07.2023</v>
      </c>
      <c r="AS286" s="401">
        <f>SUMIF(Consumo!$C$3:$C$862,tabItens[[#This Row],[CÓDIGO]],Consumo!$N$3:$N$862) + SUMIF(Consumo!$C$3:$C$862,tabItens[[#This Row],[CÓDIGO]],Consumo!$O$3:$O$862) + SUMIF(Consumo!$C$3:$C$862,tabItens[[#This Row],[CÓDIGO]],Consumo!$P$3:$P$862) + SUMIF(Consumo!$C$3:$C$862,tabItens[[#This Row],[CÓDIGO]],Consumo!$Q$3:$Q$862)</f>
        <v>1</v>
      </c>
      <c r="AT286" s="401">
        <f>SUMIF(Consumo!$C$3:$C$862,tabItens[[#This Row],[CÓDIGO]],Consumo!$Z$3:$Z$862)</f>
        <v>1</v>
      </c>
      <c r="AU286" s="402">
        <f>SUMIF(Consumo!$C$3:$C$862,tabItens[[#This Row],[CÓDIGO]],Consumo!$AA$3:$AA$862)</f>
        <v>1</v>
      </c>
      <c r="AV286" s="403">
        <f>SUMIF(Consumo!$C$3:$C$862,tabItens[[#This Row],[CÓDIGO]],Consumo!$Y$3:$Y$862)</f>
        <v>0</v>
      </c>
      <c r="AW286" s="380">
        <f>tabItens[[#This Row],[QTDE ATUAL]] + tabItens[[#This Row],[RC QTDE]] + tabItens[[#This Row],[AF SALDO]] + tabItens[[#This Row],[Recentes]]</f>
        <v>95</v>
      </c>
      <c r="AX286" s="404">
        <v>15</v>
      </c>
      <c r="AY286" s="404">
        <v>4</v>
      </c>
      <c r="AZ286" s="404">
        <f>IF(ISBLANK(tabItens[[#This Row],[CÓDIGO]]),"",tabItens[[#This Row],[PontoMês]] * (AZ$2+tabItens[[#This Row],[PontoQtM]]))</f>
        <v>60</v>
      </c>
      <c r="BA286" s="403">
        <f>tabItens[[#This Row],[PontoPed]] - tabItens[[#This Row],[Saldo]] + (1/10)</f>
        <v>-34.9</v>
      </c>
      <c r="BB286" s="403">
        <f xml:space="preserve"> tabItens[[#This Row],[PontoMês]] * BB$2 - tabItens[[#This Row],[QTDE ATUAL]] - (1/10)</f>
        <v>-80.099999999999994</v>
      </c>
      <c r="BC286" s="335">
        <f>IF( tabItens[[#This Row],[PontoPed]]&gt;0, IF(tabItens[[#This Row],[PontoPed]]&lt;1, 1, IF( tabItens[[#This Row],[Saldo]]&gt;tabItens[[#This Row],[PontoPed]], 0, (tabItens[[#This Row],[PontoPed]]-tabItens[[#This Row],[Saldo]])/tabItens[[#This Row],[PontoPed]] ) ), 0 )</f>
        <v>0</v>
      </c>
      <c r="BD286" s="405">
        <f>ROUNDDOWN(IF( OR( AND(tabItens[[#This Row],[PontoPed]]&lt;tabItens[[#This Row],[Saldo]],tabItens[[#This Row],[Saldo]]&gt;0), tabItens[[#This Row],[PontoPed]]=0), 99, IF(AND(tabItens[[#This Row],[Saldo]]=0,tabItens[[#This Row],[PontoPed]]&gt;0), 0, (1-tabItens[[#This Row],[PctAb]])*10 ) ),0)</f>
        <v>99</v>
      </c>
      <c r="BE286" s="406">
        <f>MAX(ROUNDDOWN( IF(tabItens[[#This Row],[Abaixo]] &gt; 0,   tabItens[[#This Row],[Abaixo]] + (tabItens[[#This Row],[PontoMês]] * IF( OR( ISBLANK(tabItens[[#This Row],[ATA Nº/ANO]]), tabItens[[#This Row],[ATA Nº/ANO]] = ""),BE$2,BE$1)),0),0),0)</f>
        <v>0</v>
      </c>
      <c r="BF28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6" s="338">
        <f>SUMIF(Consumo!$C$3:$C$862,tabItens[[#This Row],[CÓDIGO]],Consumo!$E$3:$E$862)</f>
        <v>0</v>
      </c>
      <c r="BH286" s="339">
        <f>IF(AND(tabItens[[#This Row],[Pend]] &gt; 0,tabItens[[#This Row],[Consumo]] &lt;&gt; 0), tabItens[[#This Row],[Pend]] / tabItens[[#This Row],[Consumo]], 0 )</f>
        <v>0</v>
      </c>
      <c r="BI286" s="338"/>
      <c r="BJ286" s="407"/>
      <c r="BK286" s="408" t="s">
        <v>2086</v>
      </c>
    </row>
    <row r="287" spans="1:63" x14ac:dyDescent="0.3">
      <c r="A287" s="375">
        <v>63839</v>
      </c>
      <c r="B287" s="376" t="s">
        <v>1366</v>
      </c>
      <c r="C287" s="377" t="s">
        <v>301</v>
      </c>
      <c r="D287" s="378">
        <v>95</v>
      </c>
      <c r="E287" s="305"/>
      <c r="F287" s="379"/>
      <c r="G287" s="379" t="s">
        <v>889</v>
      </c>
      <c r="H287" s="380">
        <v>100</v>
      </c>
      <c r="I287" s="307">
        <v>103003</v>
      </c>
      <c r="J287" s="308">
        <v>95</v>
      </c>
      <c r="K287" s="381">
        <v>225</v>
      </c>
      <c r="L287" s="382">
        <f>IF(tabItens[[#This Row],[Média]] &gt; 0, tabItens[[#This Row],[QTDE ATUAL]] / tabItens[[#This Row],[Média]],999.9)</f>
        <v>5.4794520547945202</v>
      </c>
      <c r="M287" s="383">
        <v>0</v>
      </c>
      <c r="N287" s="384">
        <f>tabItens[[#This Row],[VALOR UNIT.]] * tabItens[[#This Row],[LC]]</f>
        <v>0</v>
      </c>
      <c r="O287" s="385" t="s">
        <v>2117</v>
      </c>
      <c r="P287" s="386"/>
      <c r="Q287" s="387"/>
      <c r="R287" s="312"/>
      <c r="S287" s="388"/>
      <c r="T287" s="389">
        <f>ROUNDDOWN(IFERROR(tabItens[[#This Row],[ATA DT.VALID.]] - $D$1,0) / 30,0)</f>
        <v>-1474</v>
      </c>
      <c r="U287" s="302" t="s">
        <v>1024</v>
      </c>
      <c r="V287" s="318">
        <v>1</v>
      </c>
      <c r="W287" s="390" t="s">
        <v>2079</v>
      </c>
      <c r="X287" s="391">
        <v>74</v>
      </c>
      <c r="Y287" s="392">
        <v>4</v>
      </c>
      <c r="Z287" s="393"/>
      <c r="AA287" s="394"/>
      <c r="AB287" s="395"/>
      <c r="AC287" s="395"/>
      <c r="AD287" s="394"/>
      <c r="AE287" s="395"/>
      <c r="AF287" s="317"/>
      <c r="AG287" s="396" t="s">
        <v>2072</v>
      </c>
      <c r="AH287" s="397"/>
      <c r="AI287" s="317">
        <v>76</v>
      </c>
      <c r="AJ287" s="397">
        <v>45190</v>
      </c>
      <c r="AK287" s="326" t="s">
        <v>889</v>
      </c>
      <c r="AL287" s="326">
        <v>45181</v>
      </c>
      <c r="AM287" s="316"/>
      <c r="AN287" s="305"/>
      <c r="AO287" s="327" t="str">
        <f>_xlfn.IFNA(IF(VLOOKUP(tabItens[[#This Row],[CÓDIGO]],tabExcluirDoEstoque[#Data],1,FALSE),"sim",""),"")</f>
        <v/>
      </c>
      <c r="AP287" s="398" t="str">
        <f ca="1">IF(OR(ISBLANK(tabItens[[#This Row],[ATA DT.VALID.]]),tabItens[[#This Row],[ATA DT.VALID.]]="",tabItens[[#This Row],[ATA DT.VALID.]]=" "),"",IF(TYPE(tabItens[[#This Row],[ATA DT.VALID.]])=1,ROUNDUP((tabItens[[#This Row],[ATA DT.VALID.]]-TODAY())/7,0),""))</f>
        <v/>
      </c>
      <c r="AQ287" s="399">
        <v>0</v>
      </c>
      <c r="AR287" s="400" t="str">
        <f>IF(ISBLANK(tabItens[[#This Row],[CÓDIGO]]),"",IFERROR(VLOOKUP(tabItens[[#This Row],[CÓDIGO]],Consumo!$C$2:$AC$862,26,FALSE),0))</f>
        <v>05.2023</v>
      </c>
      <c r="AS287" s="401">
        <f>SUMIF(Consumo!$C$3:$C$862,tabItens[[#This Row],[CÓDIGO]],Consumo!$N$3:$N$862) + SUMIF(Consumo!$C$3:$C$862,tabItens[[#This Row],[CÓDIGO]],Consumo!$O$3:$O$862) + SUMIF(Consumo!$C$3:$C$862,tabItens[[#This Row],[CÓDIGO]],Consumo!$P$3:$P$862) + SUMIF(Consumo!$C$3:$C$862,tabItens[[#This Row],[CÓDIGO]],Consumo!$Q$3:$Q$862)</f>
        <v>0</v>
      </c>
      <c r="AT287" s="401">
        <f>SUMIF(Consumo!$C$3:$C$862,tabItens[[#This Row],[CÓDIGO]],Consumo!$Z$3:$Z$862)</f>
        <v>229</v>
      </c>
      <c r="AU287" s="402">
        <f>SUMIF(Consumo!$C$3:$C$862,tabItens[[#This Row],[CÓDIGO]],Consumo!$AA$3:$AA$862)</f>
        <v>84</v>
      </c>
      <c r="AV287" s="403">
        <f>SUMIF(Consumo!$C$3:$C$862,tabItens[[#This Row],[CÓDIGO]],Consumo!$Y$3:$Y$862)</f>
        <v>18.25</v>
      </c>
      <c r="AW287" s="380">
        <f>tabItens[[#This Row],[QTDE ATUAL]] + tabItens[[#This Row],[RC QTDE]] + tabItens[[#This Row],[AF SALDO]] + tabItens[[#This Row],[Recentes]]</f>
        <v>100</v>
      </c>
      <c r="AX287" s="404">
        <v>15</v>
      </c>
      <c r="AY287" s="404">
        <v>4</v>
      </c>
      <c r="AZ287" s="404">
        <f>IF(ISBLANK(tabItens[[#This Row],[CÓDIGO]]),"",tabItens[[#This Row],[PontoMês]] * (AZ$2+tabItens[[#This Row],[PontoQtM]]))</f>
        <v>60</v>
      </c>
      <c r="BA287" s="403">
        <f>tabItens[[#This Row],[PontoPed]] - tabItens[[#This Row],[Saldo]] + (1/10)</f>
        <v>-39.9</v>
      </c>
      <c r="BB287" s="403">
        <f xml:space="preserve"> tabItens[[#This Row],[PontoMês]] * BB$2 - tabItens[[#This Row],[QTDE ATUAL]] - (1/10)</f>
        <v>-85.1</v>
      </c>
      <c r="BC287" s="335">
        <f>IF( tabItens[[#This Row],[PontoPed]]&gt;0, IF(tabItens[[#This Row],[PontoPed]]&lt;1, 1, IF( tabItens[[#This Row],[Saldo]]&gt;tabItens[[#This Row],[PontoPed]], 0, (tabItens[[#This Row],[PontoPed]]-tabItens[[#This Row],[Saldo]])/tabItens[[#This Row],[PontoPed]] ) ), 0 )</f>
        <v>0</v>
      </c>
      <c r="BD287" s="405">
        <f>ROUNDDOWN(IF( OR( AND(tabItens[[#This Row],[PontoPed]]&lt;tabItens[[#This Row],[Saldo]],tabItens[[#This Row],[Saldo]]&gt;0), tabItens[[#This Row],[PontoPed]]=0), 99, IF(AND(tabItens[[#This Row],[Saldo]]=0,tabItens[[#This Row],[PontoPed]]&gt;0), 0, (1-tabItens[[#This Row],[PctAb]])*10 ) ),0)</f>
        <v>99</v>
      </c>
      <c r="BE287" s="406">
        <f>MAX(ROUNDDOWN( IF(tabItens[[#This Row],[Abaixo]] &gt; 0,   tabItens[[#This Row],[Abaixo]] + (tabItens[[#This Row],[PontoMês]] * IF( OR( ISBLANK(tabItens[[#This Row],[ATA Nº/ANO]]), tabItens[[#This Row],[ATA Nº/ANO]] = ""),BE$2,BE$1)),0),0),0)</f>
        <v>0</v>
      </c>
      <c r="BF28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7" s="338">
        <f>SUMIF(Consumo!$C$3:$C$862,tabItens[[#This Row],[CÓDIGO]],Consumo!$E$3:$E$862)</f>
        <v>0</v>
      </c>
      <c r="BH287" s="339">
        <f>IF(AND(tabItens[[#This Row],[Pend]] &gt; 0,tabItens[[#This Row],[Consumo]] &lt;&gt; 0), tabItens[[#This Row],[Pend]] / tabItens[[#This Row],[Consumo]], 0 )</f>
        <v>0</v>
      </c>
      <c r="BI287" s="338"/>
      <c r="BJ287" s="407"/>
      <c r="BK287" s="408" t="s">
        <v>2086</v>
      </c>
    </row>
    <row r="288" spans="1:63" x14ac:dyDescent="0.3">
      <c r="A288" s="375">
        <v>75324</v>
      </c>
      <c r="B288" s="376" t="s">
        <v>1416</v>
      </c>
      <c r="C288" s="377" t="s">
        <v>263</v>
      </c>
      <c r="D288" s="378">
        <v>142.27000000000001</v>
      </c>
      <c r="E288" s="305"/>
      <c r="F288" s="379"/>
      <c r="G288" s="379" t="s">
        <v>889</v>
      </c>
      <c r="H288" s="380">
        <v>127</v>
      </c>
      <c r="I288" s="307">
        <v>103003</v>
      </c>
      <c r="J288" s="308">
        <v>142.27000000000001</v>
      </c>
      <c r="K288" s="381">
        <v>419</v>
      </c>
      <c r="L288" s="382">
        <f>IF(tabItens[[#This Row],[Média]] &gt; 0, tabItens[[#This Row],[QTDE ATUAL]] / tabItens[[#This Row],[Média]],999.9)</f>
        <v>4</v>
      </c>
      <c r="M288" s="383">
        <v>0</v>
      </c>
      <c r="N288" s="384">
        <f>tabItens[[#This Row],[VALOR UNIT.]] * tabItens[[#This Row],[LC]]</f>
        <v>0</v>
      </c>
      <c r="O288" s="385" t="s">
        <v>2117</v>
      </c>
      <c r="P288" s="386"/>
      <c r="Q288" s="387"/>
      <c r="R288" s="312"/>
      <c r="S288" s="388"/>
      <c r="T288" s="389">
        <f>ROUNDDOWN(IFERROR(tabItens[[#This Row],[ATA DT.VALID.]] - $D$1,0) / 30,0)</f>
        <v>-1474</v>
      </c>
      <c r="U288" s="302" t="s">
        <v>1115</v>
      </c>
      <c r="V288" s="318">
        <v>1</v>
      </c>
      <c r="W288" s="390" t="s">
        <v>2079</v>
      </c>
      <c r="X288" s="391">
        <v>74</v>
      </c>
      <c r="Y288" s="392">
        <v>8</v>
      </c>
      <c r="Z288" s="393"/>
      <c r="AA288" s="394"/>
      <c r="AB288" s="395"/>
      <c r="AC288" s="395"/>
      <c r="AD288" s="394"/>
      <c r="AE288" s="395"/>
      <c r="AF288" s="317"/>
      <c r="AG288" s="396" t="s">
        <v>2072</v>
      </c>
      <c r="AH288" s="397"/>
      <c r="AI288" s="317">
        <v>274</v>
      </c>
      <c r="AJ288" s="397">
        <v>44924</v>
      </c>
      <c r="AK288" s="326">
        <v>37879</v>
      </c>
      <c r="AL288" s="326">
        <v>45210</v>
      </c>
      <c r="AM288" s="316"/>
      <c r="AN288" s="305"/>
      <c r="AO288" s="327" t="str">
        <f>_xlfn.IFNA(IF(VLOOKUP(tabItens[[#This Row],[CÓDIGO]],tabExcluirDoEstoque[#Data],1,FALSE),"sim",""),"")</f>
        <v/>
      </c>
      <c r="AP288" s="398" t="str">
        <f ca="1">IF(OR(ISBLANK(tabItens[[#This Row],[ATA DT.VALID.]]),tabItens[[#This Row],[ATA DT.VALID.]]="",tabItens[[#This Row],[ATA DT.VALID.]]=" "),"",IF(TYPE(tabItens[[#This Row],[ATA DT.VALID.]])=1,ROUNDUP((tabItens[[#This Row],[ATA DT.VALID.]]-TODAY())/7,0),""))</f>
        <v/>
      </c>
      <c r="AQ288" s="399">
        <v>0</v>
      </c>
      <c r="AR288" s="400" t="str">
        <f>IF(ISBLANK(tabItens[[#This Row],[CÓDIGO]]),"",IFERROR(VLOOKUP(tabItens[[#This Row],[CÓDIGO]],Consumo!$C$2:$AC$862,26,FALSE),0))</f>
        <v>09.2023</v>
      </c>
      <c r="AS288" s="401">
        <f>SUMIF(Consumo!$C$3:$C$862,tabItens[[#This Row],[CÓDIGO]],Consumo!$N$3:$N$862) + SUMIF(Consumo!$C$3:$C$862,tabItens[[#This Row],[CÓDIGO]],Consumo!$O$3:$O$862) + SUMIF(Consumo!$C$3:$C$862,tabItens[[#This Row],[CÓDIGO]],Consumo!$P$3:$P$862) + SUMIF(Consumo!$C$3:$C$862,tabItens[[#This Row],[CÓDIGO]],Consumo!$Q$3:$Q$862)</f>
        <v>80</v>
      </c>
      <c r="AT288" s="401">
        <f>SUMIF(Consumo!$C$3:$C$862,tabItens[[#This Row],[CÓDIGO]],Consumo!$Z$3:$Z$862)</f>
        <v>419</v>
      </c>
      <c r="AU288" s="402">
        <f>SUMIF(Consumo!$C$3:$C$862,tabItens[[#This Row],[CÓDIGO]],Consumo!$AA$3:$AA$862)</f>
        <v>193</v>
      </c>
      <c r="AV288" s="403">
        <f>SUMIF(Consumo!$C$3:$C$862,tabItens[[#This Row],[CÓDIGO]],Consumo!$Y$3:$Y$862)</f>
        <v>31.75</v>
      </c>
      <c r="AW288" s="380">
        <f>tabItens[[#This Row],[QTDE ATUAL]] + tabItens[[#This Row],[RC QTDE]] + tabItens[[#This Row],[AF SALDO]] + tabItens[[#This Row],[Recentes]]</f>
        <v>127</v>
      </c>
      <c r="AX288" s="404">
        <v>45</v>
      </c>
      <c r="AY288" s="404">
        <v>4</v>
      </c>
      <c r="AZ288" s="404">
        <f>IF(ISBLANK(tabItens[[#This Row],[CÓDIGO]]),"",tabItens[[#This Row],[PontoMês]] * (AZ$2+tabItens[[#This Row],[PontoQtM]]))</f>
        <v>180</v>
      </c>
      <c r="BA288" s="403">
        <f>tabItens[[#This Row],[PontoPed]] - tabItens[[#This Row],[Saldo]] + (1/10)</f>
        <v>53.1</v>
      </c>
      <c r="BB288" s="403">
        <f xml:space="preserve"> tabItens[[#This Row],[PontoMês]] * BB$2 - tabItens[[#This Row],[QTDE ATUAL]] - (1/10)</f>
        <v>-82.1</v>
      </c>
      <c r="BC288" s="335">
        <f>IF( tabItens[[#This Row],[PontoPed]]&gt;0, IF(tabItens[[#This Row],[PontoPed]]&lt;1, 1, IF( tabItens[[#This Row],[Saldo]]&gt;tabItens[[#This Row],[PontoPed]], 0, (tabItens[[#This Row],[PontoPed]]-tabItens[[#This Row],[Saldo]])/tabItens[[#This Row],[PontoPed]] ) ), 0 )</f>
        <v>0.29444444444444445</v>
      </c>
      <c r="BD288" s="405">
        <f>ROUNDDOWN(IF( OR( AND(tabItens[[#This Row],[PontoPed]]&lt;tabItens[[#This Row],[Saldo]],tabItens[[#This Row],[Saldo]]&gt;0), tabItens[[#This Row],[PontoPed]]=0), 99, IF(AND(tabItens[[#This Row],[Saldo]]=0,tabItens[[#This Row],[PontoPed]]&gt;0), 0, (1-tabItens[[#This Row],[PctAb]])*10 ) ),0)</f>
        <v>7</v>
      </c>
      <c r="BE288" s="406">
        <f>MAX(ROUNDDOWN( IF(tabItens[[#This Row],[Abaixo]] &gt; 0,   tabItens[[#This Row],[Abaixo]] + (tabItens[[#This Row],[PontoMês]] * IF( OR( ISBLANK(tabItens[[#This Row],[ATA Nº/ANO]]), tabItens[[#This Row],[ATA Nº/ANO]] = ""),BE$2,BE$1)),0),0),0)</f>
        <v>188</v>
      </c>
      <c r="BF28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8" s="338">
        <f>SUMIF(Consumo!$C$3:$C$862,tabItens[[#This Row],[CÓDIGO]],Consumo!$E$3:$E$862)</f>
        <v>0</v>
      </c>
      <c r="BH288" s="339">
        <f>IF(AND(tabItens[[#This Row],[Pend]] &gt; 0,tabItens[[#This Row],[Consumo]] &lt;&gt; 0), tabItens[[#This Row],[Pend]] / tabItens[[#This Row],[Consumo]], 0 )</f>
        <v>0</v>
      </c>
      <c r="BI288" s="338"/>
      <c r="BJ288" s="407"/>
      <c r="BK288" s="408" t="s">
        <v>2086</v>
      </c>
    </row>
    <row r="289" spans="1:63" x14ac:dyDescent="0.3">
      <c r="A289" s="375">
        <v>53813</v>
      </c>
      <c r="B289" s="376" t="s">
        <v>1309</v>
      </c>
      <c r="C289" s="377" t="s">
        <v>345</v>
      </c>
      <c r="D289" s="378">
        <v>80</v>
      </c>
      <c r="E289" s="305"/>
      <c r="F289" s="379"/>
      <c r="G289" s="379" t="s">
        <v>889</v>
      </c>
      <c r="H289" s="380">
        <v>234</v>
      </c>
      <c r="I289" s="307">
        <v>103003</v>
      </c>
      <c r="J289" s="308">
        <v>80</v>
      </c>
      <c r="K289" s="381">
        <v>9</v>
      </c>
      <c r="L289" s="382">
        <f>IF(tabItens[[#This Row],[Média]] &gt; 0, tabItens[[#This Row],[QTDE ATUAL]] / tabItens[[#This Row],[Média]],999.9)</f>
        <v>401.14285714285711</v>
      </c>
      <c r="M289" s="383">
        <v>0</v>
      </c>
      <c r="N289" s="384">
        <f>tabItens[[#This Row],[VALOR UNIT.]] * tabItens[[#This Row],[LC]]</f>
        <v>0</v>
      </c>
      <c r="O289" s="385" t="s">
        <v>2146</v>
      </c>
      <c r="P289" s="386"/>
      <c r="Q289" s="387"/>
      <c r="R289" s="312"/>
      <c r="S289" s="388"/>
      <c r="T289" s="389">
        <f>ROUNDDOWN(IFERROR(tabItens[[#This Row],[ATA DT.VALID.]] - $D$1,0) / 30,0)</f>
        <v>-1474</v>
      </c>
      <c r="U289" s="302" t="s">
        <v>1225</v>
      </c>
      <c r="V289" s="318">
        <v>1</v>
      </c>
      <c r="W289" s="390" t="s">
        <v>2071</v>
      </c>
      <c r="X289" s="391">
        <v>51</v>
      </c>
      <c r="Y289" s="392">
        <v>13</v>
      </c>
      <c r="Z289" s="393"/>
      <c r="AA289" s="394"/>
      <c r="AB289" s="395"/>
      <c r="AC289" s="395"/>
      <c r="AD289" s="394"/>
      <c r="AE289" s="395"/>
      <c r="AF289" s="317"/>
      <c r="AG289" s="396" t="s">
        <v>2072</v>
      </c>
      <c r="AH289" s="397"/>
      <c r="AI289" s="317">
        <v>4</v>
      </c>
      <c r="AJ289" s="397">
        <v>45195</v>
      </c>
      <c r="AK289" s="326" t="s">
        <v>889</v>
      </c>
      <c r="AL289" s="326">
        <v>45156</v>
      </c>
      <c r="AM289" s="316"/>
      <c r="AN289" s="305"/>
      <c r="AO289" s="327" t="str">
        <f>_xlfn.IFNA(IF(VLOOKUP(tabItens[[#This Row],[CÓDIGO]],tabExcluirDoEstoque[#Data],1,FALSE),"sim",""),"")</f>
        <v/>
      </c>
      <c r="AP289" s="398" t="str">
        <f ca="1">IF(OR(ISBLANK(tabItens[[#This Row],[ATA DT.VALID.]]),tabItens[[#This Row],[ATA DT.VALID.]]="",tabItens[[#This Row],[ATA DT.VALID.]]=" "),"",IF(TYPE(tabItens[[#This Row],[ATA DT.VALID.]])=1,ROUNDUP((tabItens[[#This Row],[ATA DT.VALID.]]-TODAY())/7,0),""))</f>
        <v/>
      </c>
      <c r="AQ289" s="399">
        <v>0</v>
      </c>
      <c r="AR289" s="400" t="str">
        <f>IF(ISBLANK(tabItens[[#This Row],[CÓDIGO]]),"",IFERROR(VLOOKUP(tabItens[[#This Row],[CÓDIGO]],Consumo!$C$2:$AC$862,26,FALSE),0))</f>
        <v>01.2023</v>
      </c>
      <c r="AS289" s="401">
        <f>SUMIF(Consumo!$C$3:$C$862,tabItens[[#This Row],[CÓDIGO]],Consumo!$N$3:$N$862) + SUMIF(Consumo!$C$3:$C$862,tabItens[[#This Row],[CÓDIGO]],Consumo!$O$3:$O$862) + SUMIF(Consumo!$C$3:$C$862,tabItens[[#This Row],[CÓDIGO]],Consumo!$P$3:$P$862) + SUMIF(Consumo!$C$3:$C$862,tabItens[[#This Row],[CÓDIGO]],Consumo!$Q$3:$Q$862)</f>
        <v>0</v>
      </c>
      <c r="AT289" s="401">
        <f>SUMIF(Consumo!$C$3:$C$862,tabItens[[#This Row],[CÓDIGO]],Consumo!$Z$3:$Z$862)</f>
        <v>9</v>
      </c>
      <c r="AU289" s="402">
        <f>SUMIF(Consumo!$C$3:$C$862,tabItens[[#This Row],[CÓDIGO]],Consumo!$AA$3:$AA$862)</f>
        <v>4</v>
      </c>
      <c r="AV289" s="403">
        <f>SUMIF(Consumo!$C$3:$C$862,tabItens[[#This Row],[CÓDIGO]],Consumo!$Y$3:$Y$862)</f>
        <v>0.58333333333333337</v>
      </c>
      <c r="AW289" s="380">
        <f>tabItens[[#This Row],[QTDE ATUAL]] + tabItens[[#This Row],[RC QTDE]] + tabItens[[#This Row],[AF SALDO]] + tabItens[[#This Row],[Recentes]]</f>
        <v>234</v>
      </c>
      <c r="AX289" s="404">
        <v>9</v>
      </c>
      <c r="AY289" s="404">
        <v>4</v>
      </c>
      <c r="AZ289" s="404">
        <f>IF(ISBLANK(tabItens[[#This Row],[CÓDIGO]]),"",tabItens[[#This Row],[PontoMês]] * (AZ$2+tabItens[[#This Row],[PontoQtM]]))</f>
        <v>36</v>
      </c>
      <c r="BA289" s="403">
        <f>tabItens[[#This Row],[PontoPed]] - tabItens[[#This Row],[Saldo]] + (1/10)</f>
        <v>-197.9</v>
      </c>
      <c r="BB289" s="403">
        <f xml:space="preserve"> tabItens[[#This Row],[PontoMês]] * BB$2 - tabItens[[#This Row],[QTDE ATUAL]] - (1/10)</f>
        <v>-225.1</v>
      </c>
      <c r="BC289" s="335">
        <f>IF( tabItens[[#This Row],[PontoPed]]&gt;0, IF(tabItens[[#This Row],[PontoPed]]&lt;1, 1, IF( tabItens[[#This Row],[Saldo]]&gt;tabItens[[#This Row],[PontoPed]], 0, (tabItens[[#This Row],[PontoPed]]-tabItens[[#This Row],[Saldo]])/tabItens[[#This Row],[PontoPed]] ) ), 0 )</f>
        <v>0</v>
      </c>
      <c r="BD289" s="405">
        <f>ROUNDDOWN(IF( OR( AND(tabItens[[#This Row],[PontoPed]]&lt;tabItens[[#This Row],[Saldo]],tabItens[[#This Row],[Saldo]]&gt;0), tabItens[[#This Row],[PontoPed]]=0), 99, IF(AND(tabItens[[#This Row],[Saldo]]=0,tabItens[[#This Row],[PontoPed]]&gt;0), 0, (1-tabItens[[#This Row],[PctAb]])*10 ) ),0)</f>
        <v>99</v>
      </c>
      <c r="BE289" s="406">
        <f>MAX(ROUNDDOWN( IF(tabItens[[#This Row],[Abaixo]] &gt; 0,   tabItens[[#This Row],[Abaixo]] + (tabItens[[#This Row],[PontoMês]] * IF( OR( ISBLANK(tabItens[[#This Row],[ATA Nº/ANO]]), tabItens[[#This Row],[ATA Nº/ANO]] = ""),BE$2,BE$1)),0),0),0)</f>
        <v>0</v>
      </c>
      <c r="BF28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9" s="338">
        <f>SUMIF(Consumo!$C$3:$C$862,tabItens[[#This Row],[CÓDIGO]],Consumo!$E$3:$E$862)</f>
        <v>0</v>
      </c>
      <c r="BH289" s="339">
        <f>IF(AND(tabItens[[#This Row],[Pend]] &gt; 0,tabItens[[#This Row],[Consumo]] &lt;&gt; 0), tabItens[[#This Row],[Pend]] / tabItens[[#This Row],[Consumo]], 0 )</f>
        <v>0</v>
      </c>
      <c r="BI289" s="338"/>
      <c r="BJ289" s="407"/>
      <c r="BK289" s="408" t="s">
        <v>2086</v>
      </c>
    </row>
    <row r="290" spans="1:63" x14ac:dyDescent="0.3">
      <c r="A290" s="375">
        <v>53814</v>
      </c>
      <c r="B290" s="376" t="s">
        <v>1310</v>
      </c>
      <c r="C290" s="377" t="s">
        <v>345</v>
      </c>
      <c r="D290" s="378">
        <v>124.87</v>
      </c>
      <c r="E290" s="305"/>
      <c r="F290" s="379"/>
      <c r="G290" s="379" t="s">
        <v>889</v>
      </c>
      <c r="H290" s="380">
        <v>1159</v>
      </c>
      <c r="I290" s="307">
        <v>103003</v>
      </c>
      <c r="J290" s="308">
        <v>124.87</v>
      </c>
      <c r="K290" s="381">
        <v>293</v>
      </c>
      <c r="L290" s="382">
        <f>IF(tabItens[[#This Row],[Média]] &gt; 0, tabItens[[#This Row],[QTDE ATUAL]] / tabItens[[#This Row],[Média]],999.9)</f>
        <v>59.690987124463518</v>
      </c>
      <c r="M290" s="383">
        <v>0</v>
      </c>
      <c r="N290" s="384">
        <f>tabItens[[#This Row],[VALOR UNIT.]] * tabItens[[#This Row],[LC]]</f>
        <v>0</v>
      </c>
      <c r="O290" s="385" t="s">
        <v>2146</v>
      </c>
      <c r="P290" s="386"/>
      <c r="Q290" s="387"/>
      <c r="R290" s="312"/>
      <c r="S290" s="388"/>
      <c r="T290" s="389">
        <f>ROUNDDOWN(IFERROR(tabItens[[#This Row],[ATA DT.VALID.]] - $D$1,0) / 30,0)</f>
        <v>-1474</v>
      </c>
      <c r="U290" s="302" t="s">
        <v>1225</v>
      </c>
      <c r="V290" s="318">
        <v>1</v>
      </c>
      <c r="W290" s="390" t="s">
        <v>2071</v>
      </c>
      <c r="X290" s="391">
        <v>51</v>
      </c>
      <c r="Y290" s="392">
        <v>13</v>
      </c>
      <c r="Z290" s="393"/>
      <c r="AA290" s="394"/>
      <c r="AB290" s="395"/>
      <c r="AC290" s="395"/>
      <c r="AD290" s="394"/>
      <c r="AE290" s="395"/>
      <c r="AF290" s="317"/>
      <c r="AG290" s="396" t="s">
        <v>2072</v>
      </c>
      <c r="AH290" s="397"/>
      <c r="AI290" s="317">
        <v>298</v>
      </c>
      <c r="AJ290" s="397">
        <v>45184</v>
      </c>
      <c r="AK290" s="326" t="s">
        <v>889</v>
      </c>
      <c r="AL290" s="326">
        <v>45156</v>
      </c>
      <c r="AM290" s="316"/>
      <c r="AN290" s="305"/>
      <c r="AO290" s="327" t="str">
        <f>_xlfn.IFNA(IF(VLOOKUP(tabItens[[#This Row],[CÓDIGO]],tabExcluirDoEstoque[#Data],1,FALSE),"sim",""),"")</f>
        <v/>
      </c>
      <c r="AP290" s="398" t="str">
        <f ca="1">IF(OR(ISBLANK(tabItens[[#This Row],[ATA DT.VALID.]]),tabItens[[#This Row],[ATA DT.VALID.]]="",tabItens[[#This Row],[ATA DT.VALID.]]=" "),"",IF(TYPE(tabItens[[#This Row],[ATA DT.VALID.]])=1,ROUNDUP((tabItens[[#This Row],[ATA DT.VALID.]]-TODAY())/7,0),""))</f>
        <v/>
      </c>
      <c r="AQ290" s="399">
        <v>0</v>
      </c>
      <c r="AR290" s="400" t="str">
        <f>IF(ISBLANK(tabItens[[#This Row],[CÓDIGO]]),"",IFERROR(VLOOKUP(tabItens[[#This Row],[CÓDIGO]],Consumo!$C$2:$AC$862,26,FALSE),0))</f>
        <v>06.2023</v>
      </c>
      <c r="AS290" s="401">
        <f>SUMIF(Consumo!$C$3:$C$862,tabItens[[#This Row],[CÓDIGO]],Consumo!$N$3:$N$862) + SUMIF(Consumo!$C$3:$C$862,tabItens[[#This Row],[CÓDIGO]],Consumo!$O$3:$O$862) + SUMIF(Consumo!$C$3:$C$862,tabItens[[#This Row],[CÓDIGO]],Consumo!$P$3:$P$862) + SUMIF(Consumo!$C$3:$C$862,tabItens[[#This Row],[CÓDIGO]],Consumo!$Q$3:$Q$862)</f>
        <v>60</v>
      </c>
      <c r="AT290" s="401">
        <f>SUMIF(Consumo!$C$3:$C$862,tabItens[[#This Row],[CÓDIGO]],Consumo!$Z$3:$Z$862)</f>
        <v>297</v>
      </c>
      <c r="AU290" s="402">
        <f>SUMIF(Consumo!$C$3:$C$862,tabItens[[#This Row],[CÓDIGO]],Consumo!$AA$3:$AA$862)</f>
        <v>201</v>
      </c>
      <c r="AV290" s="403">
        <f>SUMIF(Consumo!$C$3:$C$862,tabItens[[#This Row],[CÓDIGO]],Consumo!$Y$3:$Y$862)</f>
        <v>19.416666666666668</v>
      </c>
      <c r="AW290" s="380">
        <f>tabItens[[#This Row],[QTDE ATUAL]] + tabItens[[#This Row],[RC QTDE]] + tabItens[[#This Row],[AF SALDO]] + tabItens[[#This Row],[Recentes]]</f>
        <v>1159</v>
      </c>
      <c r="AX290" s="404">
        <v>17</v>
      </c>
      <c r="AY290" s="404">
        <v>4</v>
      </c>
      <c r="AZ290" s="404">
        <f>IF(ISBLANK(tabItens[[#This Row],[CÓDIGO]]),"",tabItens[[#This Row],[PontoMês]] * (AZ$2+tabItens[[#This Row],[PontoQtM]]))</f>
        <v>68</v>
      </c>
      <c r="BA290" s="403">
        <f>tabItens[[#This Row],[PontoPed]] - tabItens[[#This Row],[Saldo]] + (1/10)</f>
        <v>-1090.9000000000001</v>
      </c>
      <c r="BB290" s="403">
        <f xml:space="preserve"> tabItens[[#This Row],[PontoMês]] * BB$2 - tabItens[[#This Row],[QTDE ATUAL]] - (1/10)</f>
        <v>-1142.0999999999999</v>
      </c>
      <c r="BC290" s="335">
        <f>IF( tabItens[[#This Row],[PontoPed]]&gt;0, IF(tabItens[[#This Row],[PontoPed]]&lt;1, 1, IF( tabItens[[#This Row],[Saldo]]&gt;tabItens[[#This Row],[PontoPed]], 0, (tabItens[[#This Row],[PontoPed]]-tabItens[[#This Row],[Saldo]])/tabItens[[#This Row],[PontoPed]] ) ), 0 )</f>
        <v>0</v>
      </c>
      <c r="BD290" s="405">
        <f>ROUNDDOWN(IF( OR( AND(tabItens[[#This Row],[PontoPed]]&lt;tabItens[[#This Row],[Saldo]],tabItens[[#This Row],[Saldo]]&gt;0), tabItens[[#This Row],[PontoPed]]=0), 99, IF(AND(tabItens[[#This Row],[Saldo]]=0,tabItens[[#This Row],[PontoPed]]&gt;0), 0, (1-tabItens[[#This Row],[PctAb]])*10 ) ),0)</f>
        <v>99</v>
      </c>
      <c r="BE290" s="406">
        <f>MAX(ROUNDDOWN( IF(tabItens[[#This Row],[Abaixo]] &gt; 0,   tabItens[[#This Row],[Abaixo]] + (tabItens[[#This Row],[PontoMês]] * IF( OR( ISBLANK(tabItens[[#This Row],[ATA Nº/ANO]]), tabItens[[#This Row],[ATA Nº/ANO]] = ""),BE$2,BE$1)),0),0),0)</f>
        <v>0</v>
      </c>
      <c r="BF29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0" s="338">
        <f>SUMIF(Consumo!$C$3:$C$862,tabItens[[#This Row],[CÓDIGO]],Consumo!$E$3:$E$862)</f>
        <v>4</v>
      </c>
      <c r="BH290" s="339">
        <f>IF(AND(tabItens[[#This Row],[Pend]] &gt; 0,tabItens[[#This Row],[Consumo]] &lt;&gt; 0), tabItens[[#This Row],[Pend]] / tabItens[[#This Row],[Consumo]], 0 )</f>
        <v>1.3468013468013467E-2</v>
      </c>
      <c r="BI290" s="338"/>
      <c r="BJ290" s="407"/>
      <c r="BK290" s="408" t="s">
        <v>2086</v>
      </c>
    </row>
    <row r="291" spans="1:63" x14ac:dyDescent="0.3">
      <c r="A291" s="375">
        <v>105889</v>
      </c>
      <c r="B291" s="376" t="s">
        <v>1628</v>
      </c>
      <c r="C291" s="377" t="s">
        <v>263</v>
      </c>
      <c r="D291" s="378">
        <v>36.9</v>
      </c>
      <c r="E291" s="305"/>
      <c r="F291" s="379"/>
      <c r="G291" s="379" t="s">
        <v>889</v>
      </c>
      <c r="H291" s="380">
        <v>369</v>
      </c>
      <c r="I291" s="307">
        <v>103003</v>
      </c>
      <c r="J291" s="308">
        <v>36.9</v>
      </c>
      <c r="K291" s="381"/>
      <c r="L291" s="382">
        <f>IF(tabItens[[#This Row],[Média]] &gt; 0, tabItens[[#This Row],[QTDE ATUAL]] / tabItens[[#This Row],[Média]],999.9)</f>
        <v>999.9</v>
      </c>
      <c r="M291" s="383">
        <v>0</v>
      </c>
      <c r="N291" s="384">
        <f>tabItens[[#This Row],[VALOR UNIT.]] * tabItens[[#This Row],[LC]]</f>
        <v>0</v>
      </c>
      <c r="O291" s="385" t="s">
        <v>2146</v>
      </c>
      <c r="P291" s="386"/>
      <c r="Q291" s="387"/>
      <c r="R291" s="312"/>
      <c r="S291" s="388"/>
      <c r="T291" s="389">
        <f>ROUNDDOWN(IFERROR(tabItens[[#This Row],[ATA DT.VALID.]] - $D$1,0) / 30,0)</f>
        <v>-1474</v>
      </c>
      <c r="U291" s="302" t="s">
        <v>1337</v>
      </c>
      <c r="V291" s="318">
        <v>1</v>
      </c>
      <c r="W291" s="390" t="s">
        <v>2078</v>
      </c>
      <c r="X291" s="391">
        <v>69</v>
      </c>
      <c r="Y291" s="392">
        <v>2</v>
      </c>
      <c r="Z291" s="393"/>
      <c r="AA291" s="394"/>
      <c r="AB291" s="395"/>
      <c r="AC291" s="395"/>
      <c r="AD291" s="394"/>
      <c r="AE291" s="395"/>
      <c r="AF291" s="317"/>
      <c r="AG291" s="396" t="s">
        <v>2072</v>
      </c>
      <c r="AH291" s="397"/>
      <c r="AI291" s="317">
        <v>0</v>
      </c>
      <c r="AJ291" s="397">
        <v>43535</v>
      </c>
      <c r="AK291" s="326">
        <v>39546</v>
      </c>
      <c r="AL291" s="326">
        <v>43523</v>
      </c>
      <c r="AM291" s="316"/>
      <c r="AN291" s="305"/>
      <c r="AO291" s="327" t="str">
        <f>_xlfn.IFNA(IF(VLOOKUP(tabItens[[#This Row],[CÓDIGO]],tabExcluirDoEstoque[#Data],1,FALSE),"sim",""),"")</f>
        <v/>
      </c>
      <c r="AP291" s="398" t="str">
        <f ca="1">IF(OR(ISBLANK(tabItens[[#This Row],[ATA DT.VALID.]]),tabItens[[#This Row],[ATA DT.VALID.]]="",tabItens[[#This Row],[ATA DT.VALID.]]=" "),"",IF(TYPE(tabItens[[#This Row],[ATA DT.VALID.]])=1,ROUNDUP((tabItens[[#This Row],[ATA DT.VALID.]]-TODAY())/7,0),""))</f>
        <v/>
      </c>
      <c r="AQ291" s="399">
        <v>0</v>
      </c>
      <c r="AR291" s="400">
        <f>IF(ISBLANK(tabItens[[#This Row],[CÓDIGO]]),"",IFERROR(VLOOKUP(tabItens[[#This Row],[CÓDIGO]],Consumo!$C$2:$AC$862,26,FALSE),0))</f>
        <v>0</v>
      </c>
      <c r="AS291" s="401">
        <f>SUMIF(Consumo!$C$3:$C$862,tabItens[[#This Row],[CÓDIGO]],Consumo!$N$3:$N$862) + SUMIF(Consumo!$C$3:$C$862,tabItens[[#This Row],[CÓDIGO]],Consumo!$O$3:$O$862) + SUMIF(Consumo!$C$3:$C$862,tabItens[[#This Row],[CÓDIGO]],Consumo!$P$3:$P$862) + SUMIF(Consumo!$C$3:$C$862,tabItens[[#This Row],[CÓDIGO]],Consumo!$Q$3:$Q$862)</f>
        <v>0</v>
      </c>
      <c r="AT291" s="401">
        <f>SUMIF(Consumo!$C$3:$C$862,tabItens[[#This Row],[CÓDIGO]],Consumo!$Z$3:$Z$862)</f>
        <v>0</v>
      </c>
      <c r="AU291" s="402">
        <f>SUMIF(Consumo!$C$3:$C$862,tabItens[[#This Row],[CÓDIGO]],Consumo!$AA$3:$AA$862)</f>
        <v>0</v>
      </c>
      <c r="AV291" s="403">
        <f>SUMIF(Consumo!$C$3:$C$862,tabItens[[#This Row],[CÓDIGO]],Consumo!$Y$3:$Y$862)</f>
        <v>0</v>
      </c>
      <c r="AW291" s="380">
        <f>tabItens[[#This Row],[QTDE ATUAL]] + tabItens[[#This Row],[RC QTDE]] + tabItens[[#This Row],[AF SALDO]] + tabItens[[#This Row],[Recentes]]</f>
        <v>369</v>
      </c>
      <c r="AX291" s="404">
        <v>50</v>
      </c>
      <c r="AY291" s="404">
        <v>4</v>
      </c>
      <c r="AZ291" s="404">
        <f>IF(ISBLANK(tabItens[[#This Row],[CÓDIGO]]),"",tabItens[[#This Row],[PontoMês]] * (AZ$2+tabItens[[#This Row],[PontoQtM]]))</f>
        <v>200</v>
      </c>
      <c r="BA291" s="403">
        <f>tabItens[[#This Row],[PontoPed]] - tabItens[[#This Row],[Saldo]] + (1/10)</f>
        <v>-168.9</v>
      </c>
      <c r="BB291" s="403">
        <f xml:space="preserve"> tabItens[[#This Row],[PontoMês]] * BB$2 - tabItens[[#This Row],[QTDE ATUAL]] - (1/10)</f>
        <v>-319.10000000000002</v>
      </c>
      <c r="BC291" s="335">
        <f>IF( tabItens[[#This Row],[PontoPed]]&gt;0, IF(tabItens[[#This Row],[PontoPed]]&lt;1, 1, IF( tabItens[[#This Row],[Saldo]]&gt;tabItens[[#This Row],[PontoPed]], 0, (tabItens[[#This Row],[PontoPed]]-tabItens[[#This Row],[Saldo]])/tabItens[[#This Row],[PontoPed]] ) ), 0 )</f>
        <v>0</v>
      </c>
      <c r="BD291" s="405">
        <f>ROUNDDOWN(IF( OR( AND(tabItens[[#This Row],[PontoPed]]&lt;tabItens[[#This Row],[Saldo]],tabItens[[#This Row],[Saldo]]&gt;0), tabItens[[#This Row],[PontoPed]]=0), 99, IF(AND(tabItens[[#This Row],[Saldo]]=0,tabItens[[#This Row],[PontoPed]]&gt;0), 0, (1-tabItens[[#This Row],[PctAb]])*10 ) ),0)</f>
        <v>99</v>
      </c>
      <c r="BE291" s="406">
        <f>MAX(ROUNDDOWN( IF(tabItens[[#This Row],[Abaixo]] &gt; 0,   tabItens[[#This Row],[Abaixo]] + (tabItens[[#This Row],[PontoMês]] * IF( OR( ISBLANK(tabItens[[#This Row],[ATA Nº/ANO]]), tabItens[[#This Row],[ATA Nº/ANO]] = ""),BE$2,BE$1)),0),0),0)</f>
        <v>0</v>
      </c>
      <c r="BF29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1" s="338">
        <f>SUMIF(Consumo!$C$3:$C$862,tabItens[[#This Row],[CÓDIGO]],Consumo!$E$3:$E$862)</f>
        <v>0</v>
      </c>
      <c r="BH291" s="339">
        <f>IF(AND(tabItens[[#This Row],[Pend]] &gt; 0,tabItens[[#This Row],[Consumo]] &lt;&gt; 0), tabItens[[#This Row],[Pend]] / tabItens[[#This Row],[Consumo]], 0 )</f>
        <v>0</v>
      </c>
      <c r="BI291" s="338"/>
      <c r="BJ291" s="407"/>
      <c r="BK291" s="408" t="s">
        <v>2086</v>
      </c>
    </row>
    <row r="292" spans="1:63" x14ac:dyDescent="0.3">
      <c r="A292" s="375">
        <v>12616</v>
      </c>
      <c r="B292" s="376" t="s">
        <v>945</v>
      </c>
      <c r="C292" s="377" t="s">
        <v>900</v>
      </c>
      <c r="D292" s="378">
        <v>21.82</v>
      </c>
      <c r="E292" s="305"/>
      <c r="F292" s="379"/>
      <c r="G292" s="379" t="s">
        <v>889</v>
      </c>
      <c r="H292" s="380">
        <v>22355</v>
      </c>
      <c r="I292" s="307">
        <v>103003</v>
      </c>
      <c r="J292" s="308">
        <v>20.88308</v>
      </c>
      <c r="K292" s="381">
        <v>34048</v>
      </c>
      <c r="L292" s="382">
        <f>IF(tabItens[[#This Row],[Média]] &gt; 0, tabItens[[#This Row],[QTDE ATUAL]] / tabItens[[#This Row],[Média]],999.9)</f>
        <v>4.7905282331511838</v>
      </c>
      <c r="M292" s="383">
        <v>0</v>
      </c>
      <c r="N292" s="384">
        <f>tabItens[[#This Row],[VALOR UNIT.]] * tabItens[[#This Row],[LC]]</f>
        <v>0</v>
      </c>
      <c r="O292" s="385" t="s">
        <v>2092</v>
      </c>
      <c r="P292" s="386"/>
      <c r="Q292" s="387"/>
      <c r="R292" s="312"/>
      <c r="S292" s="388"/>
      <c r="T292" s="389">
        <f>ROUNDDOWN(IFERROR(tabItens[[#This Row],[ATA DT.VALID.]] - $D$1,0) / 30,0)</f>
        <v>-1474</v>
      </c>
      <c r="U292" s="302" t="s">
        <v>901</v>
      </c>
      <c r="V292" s="318">
        <v>1</v>
      </c>
      <c r="W292" s="390" t="s">
        <v>2074</v>
      </c>
      <c r="X292" s="391">
        <v>57</v>
      </c>
      <c r="Y292" s="392">
        <v>19</v>
      </c>
      <c r="Z292" s="393"/>
      <c r="AA292" s="394"/>
      <c r="AB292" s="395"/>
      <c r="AC292" s="395"/>
      <c r="AD292" s="394"/>
      <c r="AE292" s="395"/>
      <c r="AF292" s="317"/>
      <c r="AG292" s="396" t="s">
        <v>2072</v>
      </c>
      <c r="AH292" s="397"/>
      <c r="AI292" s="317">
        <v>18570</v>
      </c>
      <c r="AJ292" s="397">
        <v>45201</v>
      </c>
      <c r="AK292" s="326" t="s">
        <v>889</v>
      </c>
      <c r="AL292" s="326">
        <v>45107</v>
      </c>
      <c r="AM292" s="316"/>
      <c r="AN292" s="305"/>
      <c r="AO292" s="327" t="str">
        <f>_xlfn.IFNA(IF(VLOOKUP(tabItens[[#This Row],[CÓDIGO]],tabExcluirDoEstoque[#Data],1,FALSE),"sim",""),"")</f>
        <v/>
      </c>
      <c r="AP292" s="398" t="str">
        <f ca="1">IF(OR(ISBLANK(tabItens[[#This Row],[ATA DT.VALID.]]),tabItens[[#This Row],[ATA DT.VALID.]]="",tabItens[[#This Row],[ATA DT.VALID.]]=" "),"",IF(TYPE(tabItens[[#This Row],[ATA DT.VALID.]])=1,ROUNDUP((tabItens[[#This Row],[ATA DT.VALID.]]-TODAY())/7,0),""))</f>
        <v/>
      </c>
      <c r="AQ292" s="399">
        <v>0</v>
      </c>
      <c r="AR292" s="400" t="str">
        <f>IF(ISBLANK(tabItens[[#This Row],[CÓDIGO]]),"",IFERROR(VLOOKUP(tabItens[[#This Row],[CÓDIGO]],Consumo!$C$2:$AC$862,26,FALSE),0))</f>
        <v>09.2023</v>
      </c>
      <c r="AS292" s="401">
        <f>SUMIF(Consumo!$C$3:$C$862,tabItens[[#This Row],[CÓDIGO]],Consumo!$N$3:$N$862) + SUMIF(Consumo!$C$3:$C$862,tabItens[[#This Row],[CÓDIGO]],Consumo!$O$3:$O$862) + SUMIF(Consumo!$C$3:$C$862,tabItens[[#This Row],[CÓDIGO]],Consumo!$P$3:$P$862) + SUMIF(Consumo!$C$3:$C$862,tabItens[[#This Row],[CÓDIGO]],Consumo!$Q$3:$Q$862)</f>
        <v>19605</v>
      </c>
      <c r="AT292" s="401">
        <f>SUMIF(Consumo!$C$3:$C$862,tabItens[[#This Row],[CÓDIGO]],Consumo!$Z$3:$Z$862)</f>
        <v>55998</v>
      </c>
      <c r="AU292" s="402">
        <f>SUMIF(Consumo!$C$3:$C$862,tabItens[[#This Row],[CÓDIGO]],Consumo!$AA$3:$AA$862)</f>
        <v>8557</v>
      </c>
      <c r="AV292" s="403">
        <f>SUMIF(Consumo!$C$3:$C$862,tabItens[[#This Row],[CÓDIGO]],Consumo!$Y$3:$Y$862)</f>
        <v>4666.5</v>
      </c>
      <c r="AW292" s="380">
        <f>tabItens[[#This Row],[QTDE ATUAL]] + tabItens[[#This Row],[RC QTDE]] + tabItens[[#This Row],[AF SALDO]] + tabItens[[#This Row],[Recentes]]</f>
        <v>22355</v>
      </c>
      <c r="AX292" s="404">
        <v>5000</v>
      </c>
      <c r="AY292" s="404">
        <v>4</v>
      </c>
      <c r="AZ292" s="404">
        <f>IF(ISBLANK(tabItens[[#This Row],[CÓDIGO]]),"",tabItens[[#This Row],[PontoMês]] * (AZ$2+tabItens[[#This Row],[PontoQtM]]))</f>
        <v>20000</v>
      </c>
      <c r="BA292" s="403">
        <f>tabItens[[#This Row],[PontoPed]] - tabItens[[#This Row],[Saldo]] + (1/10)</f>
        <v>-2354.9</v>
      </c>
      <c r="BB292" s="403">
        <f xml:space="preserve"> tabItens[[#This Row],[PontoMês]] * BB$2 - tabItens[[#This Row],[QTDE ATUAL]] - (1/10)</f>
        <v>-17355.099999999999</v>
      </c>
      <c r="BC292" s="335">
        <f>IF( tabItens[[#This Row],[PontoPed]]&gt;0, IF(tabItens[[#This Row],[PontoPed]]&lt;1, 1, IF( tabItens[[#This Row],[Saldo]]&gt;tabItens[[#This Row],[PontoPed]], 0, (tabItens[[#This Row],[PontoPed]]-tabItens[[#This Row],[Saldo]])/tabItens[[#This Row],[PontoPed]] ) ), 0 )</f>
        <v>0</v>
      </c>
      <c r="BD292" s="405">
        <f>ROUNDDOWN(IF( OR( AND(tabItens[[#This Row],[PontoPed]]&lt;tabItens[[#This Row],[Saldo]],tabItens[[#This Row],[Saldo]]&gt;0), tabItens[[#This Row],[PontoPed]]=0), 99, IF(AND(tabItens[[#This Row],[Saldo]]=0,tabItens[[#This Row],[PontoPed]]&gt;0), 0, (1-tabItens[[#This Row],[PctAb]])*10 ) ),0)</f>
        <v>99</v>
      </c>
      <c r="BE292" s="406">
        <f>MAX(ROUNDDOWN( IF(tabItens[[#This Row],[Abaixo]] &gt; 0,   tabItens[[#This Row],[Abaixo]] + (tabItens[[#This Row],[PontoMês]] * IF( OR( ISBLANK(tabItens[[#This Row],[ATA Nº/ANO]]), tabItens[[#This Row],[ATA Nº/ANO]] = ""),BE$2,BE$1)),0),0),0)</f>
        <v>0</v>
      </c>
      <c r="BF29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2" s="338">
        <f>SUMIF(Consumo!$C$3:$C$862,tabItens[[#This Row],[CÓDIGO]],Consumo!$E$3:$E$862)</f>
        <v>288</v>
      </c>
      <c r="BH292" s="339">
        <f>IF(AND(tabItens[[#This Row],[Pend]] &gt; 0,tabItens[[#This Row],[Consumo]] &lt;&gt; 0), tabItens[[#This Row],[Pend]] / tabItens[[#This Row],[Consumo]], 0 )</f>
        <v>5.1430408228865312E-3</v>
      </c>
      <c r="BI292" s="338"/>
      <c r="BJ292" s="407"/>
      <c r="BK292" s="408" t="s">
        <v>2086</v>
      </c>
    </row>
    <row r="293" spans="1:63" x14ac:dyDescent="0.3">
      <c r="A293" s="375">
        <v>12654</v>
      </c>
      <c r="B293" s="376" t="s">
        <v>954</v>
      </c>
      <c r="C293" s="377" t="s">
        <v>267</v>
      </c>
      <c r="D293" s="378">
        <v>3.81</v>
      </c>
      <c r="E293" s="305"/>
      <c r="F293" s="379"/>
      <c r="G293" s="379" t="s">
        <v>889</v>
      </c>
      <c r="H293" s="380">
        <v>62448</v>
      </c>
      <c r="I293" s="307">
        <v>103003</v>
      </c>
      <c r="J293" s="308">
        <v>3.81</v>
      </c>
      <c r="K293" s="381">
        <v>59821</v>
      </c>
      <c r="L293" s="382">
        <f>IF(tabItens[[#This Row],[Média]] &gt; 0, tabItens[[#This Row],[QTDE ATUAL]] / tabItens[[#This Row],[Média]],999.9)</f>
        <v>7.4704521891697899</v>
      </c>
      <c r="M293" s="383">
        <v>0</v>
      </c>
      <c r="N293" s="384">
        <f>tabItens[[#This Row],[VALOR UNIT.]] * tabItens[[#This Row],[LC]]</f>
        <v>0</v>
      </c>
      <c r="O293" s="385" t="s">
        <v>2093</v>
      </c>
      <c r="P293" s="386"/>
      <c r="Q293" s="387"/>
      <c r="R293" s="312"/>
      <c r="S293" s="388"/>
      <c r="T293" s="389">
        <f>ROUNDDOWN(IFERROR(tabItens[[#This Row],[ATA DT.VALID.]] - $D$1,0) / 30,0)</f>
        <v>-1474</v>
      </c>
      <c r="U293" s="302" t="s">
        <v>953</v>
      </c>
      <c r="V293" s="318">
        <v>1</v>
      </c>
      <c r="W293" s="390" t="s">
        <v>2073</v>
      </c>
      <c r="X293" s="391">
        <v>52</v>
      </c>
      <c r="Y293" s="392">
        <v>6</v>
      </c>
      <c r="Z293" s="393"/>
      <c r="AA293" s="394"/>
      <c r="AB293" s="395"/>
      <c r="AC293" s="395"/>
      <c r="AD293" s="394"/>
      <c r="AE293" s="395"/>
      <c r="AF293" s="317"/>
      <c r="AG293" s="396" t="s">
        <v>2072</v>
      </c>
      <c r="AH293" s="397"/>
      <c r="AI293" s="317">
        <v>35870</v>
      </c>
      <c r="AJ293" s="397">
        <v>44950</v>
      </c>
      <c r="AK293" s="326" t="s">
        <v>889</v>
      </c>
      <c r="AL293" s="326">
        <v>45008</v>
      </c>
      <c r="AM293" s="316"/>
      <c r="AN293" s="305"/>
      <c r="AO293" s="327" t="str">
        <f>_xlfn.IFNA(IF(VLOOKUP(tabItens[[#This Row],[CÓDIGO]],tabExcluirDoEstoque[#Data],1,FALSE),"sim",""),"")</f>
        <v/>
      </c>
      <c r="AP293" s="398" t="str">
        <f ca="1">IF(OR(ISBLANK(tabItens[[#This Row],[ATA DT.VALID.]]),tabItens[[#This Row],[ATA DT.VALID.]]="",tabItens[[#This Row],[ATA DT.VALID.]]=" "),"",IF(TYPE(tabItens[[#This Row],[ATA DT.VALID.]])=1,ROUNDUP((tabItens[[#This Row],[ATA DT.VALID.]]-TODAY())/7,0),""))</f>
        <v/>
      </c>
      <c r="AQ293" s="399">
        <v>0</v>
      </c>
      <c r="AR293" s="400" t="str">
        <f>IF(ISBLANK(tabItens[[#This Row],[CÓDIGO]]),"",IFERROR(VLOOKUP(tabItens[[#This Row],[CÓDIGO]],Consumo!$C$2:$AC$862,26,FALSE),0))</f>
        <v>09.2023</v>
      </c>
      <c r="AS293" s="401">
        <f>SUMIF(Consumo!$C$3:$C$862,tabItens[[#This Row],[CÓDIGO]],Consumo!$N$3:$N$862) + SUMIF(Consumo!$C$3:$C$862,tabItens[[#This Row],[CÓDIGO]],Consumo!$O$3:$O$862) + SUMIF(Consumo!$C$3:$C$862,tabItens[[#This Row],[CÓDIGO]],Consumo!$P$3:$P$862) + SUMIF(Consumo!$C$3:$C$862,tabItens[[#This Row],[CÓDIGO]],Consumo!$Q$3:$Q$862)</f>
        <v>34389</v>
      </c>
      <c r="AT293" s="401">
        <f>SUMIF(Consumo!$C$3:$C$862,tabItens[[#This Row],[CÓDIGO]],Consumo!$Z$3:$Z$862)</f>
        <v>100312</v>
      </c>
      <c r="AU293" s="402">
        <f>SUMIF(Consumo!$C$3:$C$862,tabItens[[#This Row],[CÓDIGO]],Consumo!$AA$3:$AA$862)</f>
        <v>13289</v>
      </c>
      <c r="AV293" s="403">
        <f>SUMIF(Consumo!$C$3:$C$862,tabItens[[#This Row],[CÓDIGO]],Consumo!$Y$3:$Y$862)</f>
        <v>8359.3333333333339</v>
      </c>
      <c r="AW293" s="380">
        <f>tabItens[[#This Row],[QTDE ATUAL]] + tabItens[[#This Row],[RC QTDE]] + tabItens[[#This Row],[AF SALDO]] + tabItens[[#This Row],[Recentes]]</f>
        <v>62448</v>
      </c>
      <c r="AX293" s="404">
        <v>6016</v>
      </c>
      <c r="AY293" s="404">
        <v>3</v>
      </c>
      <c r="AZ293" s="404">
        <f>IF(ISBLANK(tabItens[[#This Row],[CÓDIGO]]),"",tabItens[[#This Row],[PontoMês]] * (AZ$2+tabItens[[#This Row],[PontoQtM]]))</f>
        <v>18048</v>
      </c>
      <c r="BA293" s="403">
        <f>tabItens[[#This Row],[PontoPed]] - tabItens[[#This Row],[Saldo]] + (1/10)</f>
        <v>-44399.9</v>
      </c>
      <c r="BB293" s="403">
        <f xml:space="preserve"> tabItens[[#This Row],[PontoMês]] * BB$2 - tabItens[[#This Row],[QTDE ATUAL]] - (1/10)</f>
        <v>-56432.1</v>
      </c>
      <c r="BC293" s="335">
        <f>IF( tabItens[[#This Row],[PontoPed]]&gt;0, IF(tabItens[[#This Row],[PontoPed]]&lt;1, 1, IF( tabItens[[#This Row],[Saldo]]&gt;tabItens[[#This Row],[PontoPed]], 0, (tabItens[[#This Row],[PontoPed]]-tabItens[[#This Row],[Saldo]])/tabItens[[#This Row],[PontoPed]] ) ), 0 )</f>
        <v>0</v>
      </c>
      <c r="BD293" s="405">
        <f>ROUNDDOWN(IF( OR( AND(tabItens[[#This Row],[PontoPed]]&lt;tabItens[[#This Row],[Saldo]],tabItens[[#This Row],[Saldo]]&gt;0), tabItens[[#This Row],[PontoPed]]=0), 99, IF(AND(tabItens[[#This Row],[Saldo]]=0,tabItens[[#This Row],[PontoPed]]&gt;0), 0, (1-tabItens[[#This Row],[PctAb]])*10 ) ),0)</f>
        <v>99</v>
      </c>
      <c r="BE293" s="406">
        <f>MAX(ROUNDDOWN( IF(tabItens[[#This Row],[Abaixo]] &gt; 0,   tabItens[[#This Row],[Abaixo]] + (tabItens[[#This Row],[PontoMês]] * IF( OR( ISBLANK(tabItens[[#This Row],[ATA Nº/ANO]]), tabItens[[#This Row],[ATA Nº/ANO]] = ""),BE$2,BE$1)),0),0),0)</f>
        <v>0</v>
      </c>
      <c r="BF29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3" s="338">
        <f>SUMIF(Consumo!$C$3:$C$862,tabItens[[#This Row],[CÓDIGO]],Consumo!$E$3:$E$862)</f>
        <v>239</v>
      </c>
      <c r="BH293" s="339">
        <f>IF(AND(tabItens[[#This Row],[Pend]] &gt; 0,tabItens[[#This Row],[Consumo]] &lt;&gt; 0), tabItens[[#This Row],[Pend]] / tabItens[[#This Row],[Consumo]], 0 )</f>
        <v>2.3825663928542947E-3</v>
      </c>
      <c r="BI293" s="338"/>
      <c r="BJ293" s="407"/>
      <c r="BK293" s="408" t="s">
        <v>2086</v>
      </c>
    </row>
    <row r="294" spans="1:63" x14ac:dyDescent="0.3">
      <c r="A294" s="375">
        <v>130024</v>
      </c>
      <c r="B294" s="376" t="s">
        <v>1803</v>
      </c>
      <c r="C294" s="377" t="s">
        <v>269</v>
      </c>
      <c r="D294" s="378">
        <v>3.12</v>
      </c>
      <c r="E294" s="305"/>
      <c r="F294" s="379"/>
      <c r="G294" s="379" t="s">
        <v>889</v>
      </c>
      <c r="H294" s="380">
        <v>467</v>
      </c>
      <c r="I294" s="307">
        <v>103003</v>
      </c>
      <c r="J294" s="308">
        <v>3.12</v>
      </c>
      <c r="K294" s="381">
        <v>2332</v>
      </c>
      <c r="L294" s="382">
        <f>IF(tabItens[[#This Row],[Média]] &gt; 0, tabItens[[#This Row],[QTDE ATUAL]] / tabItens[[#This Row],[Média]],999.9)</f>
        <v>1.391606655078222</v>
      </c>
      <c r="M294" s="383">
        <v>0</v>
      </c>
      <c r="N294" s="384">
        <f>tabItens[[#This Row],[VALOR UNIT.]] * tabItens[[#This Row],[LC]]</f>
        <v>0</v>
      </c>
      <c r="O294" s="385" t="s">
        <v>2093</v>
      </c>
      <c r="P294" s="386"/>
      <c r="Q294" s="387"/>
      <c r="R294" s="312"/>
      <c r="S294" s="388"/>
      <c r="T294" s="389">
        <f>ROUNDDOWN(IFERROR(tabItens[[#This Row],[ATA DT.VALID.]] - $D$1,0) / 30,0)</f>
        <v>-1474</v>
      </c>
      <c r="U294" s="302" t="s">
        <v>1804</v>
      </c>
      <c r="V294" s="318">
        <v>1</v>
      </c>
      <c r="W294" s="390" t="s">
        <v>2073</v>
      </c>
      <c r="X294" s="391">
        <v>52</v>
      </c>
      <c r="Y294" s="392">
        <v>8</v>
      </c>
      <c r="Z294" s="393"/>
      <c r="AA294" s="394"/>
      <c r="AB294" s="395"/>
      <c r="AC294" s="395"/>
      <c r="AD294" s="394"/>
      <c r="AE294" s="395"/>
      <c r="AF294" s="317"/>
      <c r="AG294" s="396" t="s">
        <v>2072</v>
      </c>
      <c r="AH294" s="397"/>
      <c r="AI294" s="317">
        <v>1338</v>
      </c>
      <c r="AJ294" s="397">
        <v>45117</v>
      </c>
      <c r="AK294" s="326">
        <v>42065</v>
      </c>
      <c r="AL294" s="326">
        <v>45187</v>
      </c>
      <c r="AM294" s="316"/>
      <c r="AN294" s="305"/>
      <c r="AO294" s="327" t="str">
        <f>_xlfn.IFNA(IF(VLOOKUP(tabItens[[#This Row],[CÓDIGO]],tabExcluirDoEstoque[#Data],1,FALSE),"sim",""),"")</f>
        <v/>
      </c>
      <c r="AP294" s="398" t="str">
        <f ca="1">IF(OR(ISBLANK(tabItens[[#This Row],[ATA DT.VALID.]]),tabItens[[#This Row],[ATA DT.VALID.]]="",tabItens[[#This Row],[ATA DT.VALID.]]=" "),"",IF(TYPE(tabItens[[#This Row],[ATA DT.VALID.]])=1,ROUNDUP((tabItens[[#This Row],[ATA DT.VALID.]]-TODAY())/7,0),""))</f>
        <v/>
      </c>
      <c r="AQ294" s="399">
        <v>0</v>
      </c>
      <c r="AR294" s="400" t="str">
        <f>IF(ISBLANK(tabItens[[#This Row],[CÓDIGO]]),"",IFERROR(VLOOKUP(tabItens[[#This Row],[CÓDIGO]],Consumo!$C$2:$AC$862,26,FALSE),0))</f>
        <v>09.2023</v>
      </c>
      <c r="AS294" s="401">
        <f>SUMIF(Consumo!$C$3:$C$862,tabItens[[#This Row],[CÓDIGO]],Consumo!$N$3:$N$862) + SUMIF(Consumo!$C$3:$C$862,tabItens[[#This Row],[CÓDIGO]],Consumo!$O$3:$O$862) + SUMIF(Consumo!$C$3:$C$862,tabItens[[#This Row],[CÓDIGO]],Consumo!$P$3:$P$862) + SUMIF(Consumo!$C$3:$C$862,tabItens[[#This Row],[CÓDIGO]],Consumo!$Q$3:$Q$862)</f>
        <v>1442</v>
      </c>
      <c r="AT294" s="401">
        <f>SUMIF(Consumo!$C$3:$C$862,tabItens[[#This Row],[CÓDIGO]],Consumo!$Z$3:$Z$862)</f>
        <v>4027</v>
      </c>
      <c r="AU294" s="402">
        <f>SUMIF(Consumo!$C$3:$C$862,tabItens[[#This Row],[CÓDIGO]],Consumo!$AA$3:$AA$862)</f>
        <v>469</v>
      </c>
      <c r="AV294" s="403">
        <f>SUMIF(Consumo!$C$3:$C$862,tabItens[[#This Row],[CÓDIGO]],Consumo!$Y$3:$Y$862)</f>
        <v>335.58333333333331</v>
      </c>
      <c r="AW294" s="380">
        <f>tabItens[[#This Row],[QTDE ATUAL]] + tabItens[[#This Row],[RC QTDE]] + tabItens[[#This Row],[AF SALDO]] + tabItens[[#This Row],[Recentes]]</f>
        <v>467</v>
      </c>
      <c r="AX294" s="404">
        <v>265</v>
      </c>
      <c r="AY294" s="404">
        <v>4</v>
      </c>
      <c r="AZ294" s="404">
        <f>IF(ISBLANK(tabItens[[#This Row],[CÓDIGO]]),"",tabItens[[#This Row],[PontoMês]] * (AZ$2+tabItens[[#This Row],[PontoQtM]]))</f>
        <v>1060</v>
      </c>
      <c r="BA294" s="403">
        <f>tabItens[[#This Row],[PontoPed]] - tabItens[[#This Row],[Saldo]] + (1/10)</f>
        <v>593.1</v>
      </c>
      <c r="BB294" s="403">
        <f xml:space="preserve"> tabItens[[#This Row],[PontoMês]] * BB$2 - tabItens[[#This Row],[QTDE ATUAL]] - (1/10)</f>
        <v>-202.1</v>
      </c>
      <c r="BC294" s="335">
        <f>IF( tabItens[[#This Row],[PontoPed]]&gt;0, IF(tabItens[[#This Row],[PontoPed]]&lt;1, 1, IF( tabItens[[#This Row],[Saldo]]&gt;tabItens[[#This Row],[PontoPed]], 0, (tabItens[[#This Row],[PontoPed]]-tabItens[[#This Row],[Saldo]])/tabItens[[#This Row],[PontoPed]] ) ), 0 )</f>
        <v>0.55943396226415099</v>
      </c>
      <c r="BD294" s="405">
        <f>ROUNDDOWN(IF( OR( AND(tabItens[[#This Row],[PontoPed]]&lt;tabItens[[#This Row],[Saldo]],tabItens[[#This Row],[Saldo]]&gt;0), tabItens[[#This Row],[PontoPed]]=0), 99, IF(AND(tabItens[[#This Row],[Saldo]]=0,tabItens[[#This Row],[PontoPed]]&gt;0), 0, (1-tabItens[[#This Row],[PctAb]])*10 ) ),0)</f>
        <v>4</v>
      </c>
      <c r="BE294" s="406">
        <f>MAX(ROUNDDOWN( IF(tabItens[[#This Row],[Abaixo]] &gt; 0,   tabItens[[#This Row],[Abaixo]] + (tabItens[[#This Row],[PontoMês]] * IF( OR( ISBLANK(tabItens[[#This Row],[ATA Nº/ANO]]), tabItens[[#This Row],[ATA Nº/ANO]] = ""),BE$2,BE$1)),0),0),0)</f>
        <v>1388</v>
      </c>
      <c r="BF29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4" s="338">
        <f>SUMIF(Consumo!$C$3:$C$862,tabItens[[#This Row],[CÓDIGO]],Consumo!$E$3:$E$862)</f>
        <v>15</v>
      </c>
      <c r="BH294" s="339">
        <f>IF(AND(tabItens[[#This Row],[Pend]] &gt; 0,tabItens[[#This Row],[Consumo]] &lt;&gt; 0), tabItens[[#This Row],[Pend]] / tabItens[[#This Row],[Consumo]], 0 )</f>
        <v>3.7248572138068041E-3</v>
      </c>
      <c r="BI294" s="338"/>
      <c r="BJ294" s="407"/>
      <c r="BK294" s="408" t="s">
        <v>2086</v>
      </c>
    </row>
    <row r="295" spans="1:63" x14ac:dyDescent="0.3">
      <c r="A295" s="375">
        <v>12659</v>
      </c>
      <c r="B295" s="376" t="s">
        <v>955</v>
      </c>
      <c r="C295" s="377" t="s">
        <v>31</v>
      </c>
      <c r="D295" s="378">
        <v>3.53</v>
      </c>
      <c r="E295" s="305"/>
      <c r="F295" s="379"/>
      <c r="G295" s="379" t="s">
        <v>889</v>
      </c>
      <c r="H295" s="380">
        <v>79</v>
      </c>
      <c r="I295" s="307">
        <v>103003</v>
      </c>
      <c r="J295" s="308">
        <v>3.53</v>
      </c>
      <c r="K295" s="381">
        <v>2688</v>
      </c>
      <c r="L295" s="382">
        <f>IF(tabItens[[#This Row],[Média]] &gt; 0, tabItens[[#This Row],[QTDE ATUAL]] / tabItens[[#This Row],[Média]],999.9)</f>
        <v>0.23378545006165227</v>
      </c>
      <c r="M295" s="383">
        <v>0</v>
      </c>
      <c r="N295" s="384">
        <f>tabItens[[#This Row],[VALOR UNIT.]] * tabItens[[#This Row],[LC]]</f>
        <v>0</v>
      </c>
      <c r="O295" s="385" t="s">
        <v>2093</v>
      </c>
      <c r="P295" s="386"/>
      <c r="Q295" s="387"/>
      <c r="R295" s="312"/>
      <c r="S295" s="388"/>
      <c r="T295" s="389">
        <f>ROUNDDOWN(IFERROR(tabItens[[#This Row],[ATA DT.VALID.]] - $D$1,0) / 30,0)</f>
        <v>-1474</v>
      </c>
      <c r="U295" s="302" t="s">
        <v>956</v>
      </c>
      <c r="V295" s="318">
        <v>1</v>
      </c>
      <c r="W295" s="390" t="s">
        <v>2073</v>
      </c>
      <c r="X295" s="391">
        <v>72</v>
      </c>
      <c r="Y295" s="392">
        <v>7</v>
      </c>
      <c r="Z295" s="393"/>
      <c r="AA295" s="394"/>
      <c r="AB295" s="395"/>
      <c r="AC295" s="395"/>
      <c r="AD295" s="394"/>
      <c r="AE295" s="395"/>
      <c r="AF295" s="317"/>
      <c r="AG295" s="396" t="s">
        <v>2072</v>
      </c>
      <c r="AH295" s="397"/>
      <c r="AI295" s="317">
        <v>1350</v>
      </c>
      <c r="AJ295" s="397">
        <v>45051</v>
      </c>
      <c r="AK295" s="326" t="s">
        <v>889</v>
      </c>
      <c r="AL295" s="326">
        <v>45114</v>
      </c>
      <c r="AM295" s="316"/>
      <c r="AN295" s="305"/>
      <c r="AO295" s="327" t="str">
        <f>_xlfn.IFNA(IF(VLOOKUP(tabItens[[#This Row],[CÓDIGO]],tabExcluirDoEstoque[#Data],1,FALSE),"sim",""),"")</f>
        <v/>
      </c>
      <c r="AP295" s="398" t="str">
        <f ca="1">IF(OR(ISBLANK(tabItens[[#This Row],[ATA DT.VALID.]]),tabItens[[#This Row],[ATA DT.VALID.]]="",tabItens[[#This Row],[ATA DT.VALID.]]=" "),"",IF(TYPE(tabItens[[#This Row],[ATA DT.VALID.]])=1,ROUNDUP((tabItens[[#This Row],[ATA DT.VALID.]]-TODAY())/7,0),""))</f>
        <v/>
      </c>
      <c r="AQ295" s="399">
        <v>0</v>
      </c>
      <c r="AR295" s="400" t="str">
        <f>IF(ISBLANK(tabItens[[#This Row],[CÓDIGO]]),"",IFERROR(VLOOKUP(tabItens[[#This Row],[CÓDIGO]],Consumo!$C$2:$AC$862,26,FALSE),0))</f>
        <v>09.2023</v>
      </c>
      <c r="AS295" s="401">
        <f>SUMIF(Consumo!$C$3:$C$862,tabItens[[#This Row],[CÓDIGO]],Consumo!$N$3:$N$862) + SUMIF(Consumo!$C$3:$C$862,tabItens[[#This Row],[CÓDIGO]],Consumo!$O$3:$O$862) + SUMIF(Consumo!$C$3:$C$862,tabItens[[#This Row],[CÓDIGO]],Consumo!$P$3:$P$862) + SUMIF(Consumo!$C$3:$C$862,tabItens[[#This Row],[CÓDIGO]],Consumo!$Q$3:$Q$862)</f>
        <v>1947</v>
      </c>
      <c r="AT295" s="401">
        <f>SUMIF(Consumo!$C$3:$C$862,tabItens[[#This Row],[CÓDIGO]],Consumo!$Z$3:$Z$862)</f>
        <v>4055</v>
      </c>
      <c r="AU295" s="402">
        <f>SUMIF(Consumo!$C$3:$C$862,tabItens[[#This Row],[CÓDIGO]],Consumo!$AA$3:$AA$862)</f>
        <v>584</v>
      </c>
      <c r="AV295" s="403">
        <f>SUMIF(Consumo!$C$3:$C$862,tabItens[[#This Row],[CÓDIGO]],Consumo!$Y$3:$Y$862)</f>
        <v>337.91666666666669</v>
      </c>
      <c r="AW295" s="380">
        <f>tabItens[[#This Row],[QTDE ATUAL]] + tabItens[[#This Row],[RC QTDE]] + tabItens[[#This Row],[AF SALDO]] + tabItens[[#This Row],[Recentes]]</f>
        <v>79</v>
      </c>
      <c r="AX295" s="404">
        <v>178</v>
      </c>
      <c r="AY295" s="404">
        <v>4</v>
      </c>
      <c r="AZ295" s="404">
        <f>IF(ISBLANK(tabItens[[#This Row],[CÓDIGO]]),"",tabItens[[#This Row],[PontoMês]] * (AZ$2+tabItens[[#This Row],[PontoQtM]]))</f>
        <v>712</v>
      </c>
      <c r="BA295" s="403">
        <f>tabItens[[#This Row],[PontoPed]] - tabItens[[#This Row],[Saldo]] + (1/10)</f>
        <v>633.1</v>
      </c>
      <c r="BB295" s="403">
        <f xml:space="preserve"> tabItens[[#This Row],[PontoMês]] * BB$2 - tabItens[[#This Row],[QTDE ATUAL]] - (1/10)</f>
        <v>98.9</v>
      </c>
      <c r="BC295" s="335">
        <f>IF( tabItens[[#This Row],[PontoPed]]&gt;0, IF(tabItens[[#This Row],[PontoPed]]&lt;1, 1, IF( tabItens[[#This Row],[Saldo]]&gt;tabItens[[#This Row],[PontoPed]], 0, (tabItens[[#This Row],[PontoPed]]-tabItens[[#This Row],[Saldo]])/tabItens[[#This Row],[PontoPed]] ) ), 0 )</f>
        <v>0.8890449438202247</v>
      </c>
      <c r="BD295" s="405">
        <f>ROUNDDOWN(IF( OR( AND(tabItens[[#This Row],[PontoPed]]&lt;tabItens[[#This Row],[Saldo]],tabItens[[#This Row],[Saldo]]&gt;0), tabItens[[#This Row],[PontoPed]]=0), 99, IF(AND(tabItens[[#This Row],[Saldo]]=0,tabItens[[#This Row],[PontoPed]]&gt;0), 0, (1-tabItens[[#This Row],[PctAb]])*10 ) ),0)</f>
        <v>1</v>
      </c>
      <c r="BE295" s="406">
        <f>MAX(ROUNDDOWN( IF(tabItens[[#This Row],[Abaixo]] &gt; 0,   tabItens[[#This Row],[Abaixo]] + (tabItens[[#This Row],[PontoMês]] * IF( OR( ISBLANK(tabItens[[#This Row],[ATA Nº/ANO]]), tabItens[[#This Row],[ATA Nº/ANO]] = ""),BE$2,BE$1)),0),0),0)</f>
        <v>1167</v>
      </c>
      <c r="BF29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5" s="338">
        <f>SUMIF(Consumo!$C$3:$C$862,tabItens[[#This Row],[CÓDIGO]],Consumo!$E$3:$E$862)</f>
        <v>7</v>
      </c>
      <c r="BH295" s="339">
        <f>IF(AND(tabItens[[#This Row],[Pend]] &gt; 0,tabItens[[#This Row],[Consumo]] &lt;&gt; 0), tabItens[[#This Row],[Pend]] / tabItens[[#This Row],[Consumo]], 0 )</f>
        <v>1.7262638717632551E-3</v>
      </c>
      <c r="BI295" s="338"/>
      <c r="BJ295" s="407"/>
      <c r="BK295" s="408" t="s">
        <v>2086</v>
      </c>
    </row>
    <row r="296" spans="1:63" x14ac:dyDescent="0.3">
      <c r="A296" s="375">
        <v>17115</v>
      </c>
      <c r="B296" s="376" t="s">
        <v>1122</v>
      </c>
      <c r="C296" s="377" t="s">
        <v>267</v>
      </c>
      <c r="D296" s="378">
        <v>0.9</v>
      </c>
      <c r="E296" s="305"/>
      <c r="F296" s="379"/>
      <c r="G296" s="379" t="s">
        <v>889</v>
      </c>
      <c r="H296" s="380">
        <v>0</v>
      </c>
      <c r="I296" s="307">
        <v>103003</v>
      </c>
      <c r="J296" s="308">
        <v>0.9</v>
      </c>
      <c r="K296" s="381">
        <v>4441</v>
      </c>
      <c r="L296" s="382">
        <f>IF(tabItens[[#This Row],[Média]] &gt; 0, tabItens[[#This Row],[QTDE ATUAL]] / tabItens[[#This Row],[Média]],999.9)</f>
        <v>0</v>
      </c>
      <c r="M296" s="383">
        <v>0</v>
      </c>
      <c r="N296" s="384">
        <f>tabItens[[#This Row],[VALOR UNIT.]] * tabItens[[#This Row],[LC]]</f>
        <v>0</v>
      </c>
      <c r="O296" s="385" t="s">
        <v>2093</v>
      </c>
      <c r="P296" s="386"/>
      <c r="Q296" s="387"/>
      <c r="R296" s="312"/>
      <c r="S296" s="388"/>
      <c r="T296" s="389">
        <f>ROUNDDOWN(IFERROR(tabItens[[#This Row],[ATA DT.VALID.]] - $D$1,0) / 30,0)</f>
        <v>-1474</v>
      </c>
      <c r="U296" s="302" t="s">
        <v>1123</v>
      </c>
      <c r="V296" s="318">
        <v>1</v>
      </c>
      <c r="W296" s="390" t="s">
        <v>2073</v>
      </c>
      <c r="X296" s="391">
        <v>79</v>
      </c>
      <c r="Y296" s="392">
        <v>1</v>
      </c>
      <c r="Z296" s="393"/>
      <c r="AA296" s="394"/>
      <c r="AB296" s="395"/>
      <c r="AC296" s="395">
        <v>4567</v>
      </c>
      <c r="AD296" s="394">
        <v>2023</v>
      </c>
      <c r="AE296" s="395">
        <v>0</v>
      </c>
      <c r="AF296" s="317">
        <v>4000</v>
      </c>
      <c r="AG296" s="396" t="s">
        <v>2058</v>
      </c>
      <c r="AH296" s="397">
        <v>45070</v>
      </c>
      <c r="AI296" s="317">
        <v>1810</v>
      </c>
      <c r="AJ296" s="397">
        <v>44998</v>
      </c>
      <c r="AK296" s="326" t="s">
        <v>889</v>
      </c>
      <c r="AL296" s="326">
        <v>45036</v>
      </c>
      <c r="AM296" s="316"/>
      <c r="AN296" s="305"/>
      <c r="AO296" s="327" t="str">
        <f>_xlfn.IFNA(IF(VLOOKUP(tabItens[[#This Row],[CÓDIGO]],tabExcluirDoEstoque[#Data],1,FALSE),"sim",""),"")</f>
        <v/>
      </c>
      <c r="AP296" s="398" t="str">
        <f ca="1">IF(OR(ISBLANK(tabItens[[#This Row],[ATA DT.VALID.]]),tabItens[[#This Row],[ATA DT.VALID.]]="",tabItens[[#This Row],[ATA DT.VALID.]]=" "),"",IF(TYPE(tabItens[[#This Row],[ATA DT.VALID.]])=1,ROUNDUP((tabItens[[#This Row],[ATA DT.VALID.]]-TODAY())/7,0),""))</f>
        <v/>
      </c>
      <c r="AQ296" s="399">
        <v>0</v>
      </c>
      <c r="AR296" s="400" t="str">
        <f>IF(ISBLANK(tabItens[[#This Row],[CÓDIGO]]),"",IFERROR(VLOOKUP(tabItens[[#This Row],[CÓDIGO]],Consumo!$C$2:$AC$862,26,FALSE),0))</f>
        <v>07.2023</v>
      </c>
      <c r="AS296" s="401">
        <f>SUMIF(Consumo!$C$3:$C$862,tabItens[[#This Row],[CÓDIGO]],Consumo!$N$3:$N$862) + SUMIF(Consumo!$C$3:$C$862,tabItens[[#This Row],[CÓDIGO]],Consumo!$O$3:$O$862) + SUMIF(Consumo!$C$3:$C$862,tabItens[[#This Row],[CÓDIGO]],Consumo!$P$3:$P$862) + SUMIF(Consumo!$C$3:$C$862,tabItens[[#This Row],[CÓDIGO]],Consumo!$Q$3:$Q$862)</f>
        <v>741</v>
      </c>
      <c r="AT296" s="401">
        <f>SUMIF(Consumo!$C$3:$C$862,tabItens[[#This Row],[CÓDIGO]],Consumo!$Z$3:$Z$862)</f>
        <v>6104</v>
      </c>
      <c r="AU296" s="402">
        <f>SUMIF(Consumo!$C$3:$C$862,tabItens[[#This Row],[CÓDIGO]],Consumo!$AA$3:$AA$862)</f>
        <v>1118</v>
      </c>
      <c r="AV296" s="403">
        <f>SUMIF(Consumo!$C$3:$C$862,tabItens[[#This Row],[CÓDIGO]],Consumo!$Y$3:$Y$862)</f>
        <v>508.66666666666669</v>
      </c>
      <c r="AW296" s="380">
        <f>tabItens[[#This Row],[QTDE ATUAL]] + tabItens[[#This Row],[RC QTDE]] + tabItens[[#This Row],[AF SALDO]] + tabItens[[#This Row],[Recentes]]</f>
        <v>0</v>
      </c>
      <c r="AX296" s="404">
        <v>649</v>
      </c>
      <c r="AY296" s="404">
        <v>4</v>
      </c>
      <c r="AZ296" s="404">
        <f>IF(ISBLANK(tabItens[[#This Row],[CÓDIGO]]),"",tabItens[[#This Row],[PontoMês]] * (AZ$2+tabItens[[#This Row],[PontoQtM]]))</f>
        <v>2596</v>
      </c>
      <c r="BA296" s="403">
        <f>tabItens[[#This Row],[PontoPed]] - tabItens[[#This Row],[Saldo]] + (1/10)</f>
        <v>2596.1</v>
      </c>
      <c r="BB296" s="403">
        <f xml:space="preserve"> tabItens[[#This Row],[PontoMês]] * BB$2 - tabItens[[#This Row],[QTDE ATUAL]] - (1/10)</f>
        <v>648.9</v>
      </c>
      <c r="BC296" s="335">
        <f>IF( tabItens[[#This Row],[PontoPed]]&gt;0, IF(tabItens[[#This Row],[PontoPed]]&lt;1, 1, IF( tabItens[[#This Row],[Saldo]]&gt;tabItens[[#This Row],[PontoPed]], 0, (tabItens[[#This Row],[PontoPed]]-tabItens[[#This Row],[Saldo]])/tabItens[[#This Row],[PontoPed]] ) ), 0 )</f>
        <v>1</v>
      </c>
      <c r="BD296" s="405">
        <f>ROUNDDOWN(IF( OR( AND(tabItens[[#This Row],[PontoPed]]&lt;tabItens[[#This Row],[Saldo]],tabItens[[#This Row],[Saldo]]&gt;0), tabItens[[#This Row],[PontoPed]]=0), 99, IF(AND(tabItens[[#This Row],[Saldo]]=0,tabItens[[#This Row],[PontoPed]]&gt;0), 0, (1-tabItens[[#This Row],[PctAb]])*10 ) ),0)</f>
        <v>0</v>
      </c>
      <c r="BE296" s="406">
        <f>MAX(ROUNDDOWN( IF(tabItens[[#This Row],[Abaixo]] &gt; 0,   tabItens[[#This Row],[Abaixo]] + (tabItens[[#This Row],[PontoMês]] * IF( OR( ISBLANK(tabItens[[#This Row],[ATA Nº/ANO]]), tabItens[[#This Row],[ATA Nº/ANO]] = ""),BE$2,BE$1)),0),0),0)</f>
        <v>4543</v>
      </c>
      <c r="BF29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6" s="338">
        <f>SUMIF(Consumo!$C$3:$C$862,tabItens[[#This Row],[CÓDIGO]],Consumo!$E$3:$E$862)</f>
        <v>673</v>
      </c>
      <c r="BH296" s="339">
        <f>IF(AND(tabItens[[#This Row],[Pend]] &gt; 0,tabItens[[#This Row],[Consumo]] &lt;&gt; 0), tabItens[[#This Row],[Pend]] / tabItens[[#This Row],[Consumo]], 0 )</f>
        <v>0.11025557011795543</v>
      </c>
      <c r="BI296" s="338"/>
      <c r="BJ296" s="407"/>
      <c r="BK296" s="408" t="s">
        <v>2086</v>
      </c>
    </row>
    <row r="297" spans="1:63" x14ac:dyDescent="0.3">
      <c r="A297" s="375">
        <v>26504</v>
      </c>
      <c r="B297" s="376" t="s">
        <v>1213</v>
      </c>
      <c r="C297" s="377" t="s">
        <v>263</v>
      </c>
      <c r="D297" s="378">
        <v>14.2</v>
      </c>
      <c r="E297" s="305"/>
      <c r="F297" s="379"/>
      <c r="G297" s="379" t="s">
        <v>889</v>
      </c>
      <c r="H297" s="380">
        <v>750</v>
      </c>
      <c r="I297" s="307">
        <v>103003</v>
      </c>
      <c r="J297" s="308">
        <v>14.2</v>
      </c>
      <c r="K297" s="381"/>
      <c r="L297" s="382">
        <f>IF(tabItens[[#This Row],[Média]] &gt; 0, tabItens[[#This Row],[QTDE ATUAL]] / tabItens[[#This Row],[Média]],999.9)</f>
        <v>999.9</v>
      </c>
      <c r="M297" s="383">
        <v>0</v>
      </c>
      <c r="N297" s="384">
        <f>tabItens[[#This Row],[VALOR UNIT.]] * tabItens[[#This Row],[LC]]</f>
        <v>0</v>
      </c>
      <c r="O297" s="385" t="s">
        <v>2138</v>
      </c>
      <c r="P297" s="386"/>
      <c r="Q297" s="387"/>
      <c r="R297" s="312"/>
      <c r="S297" s="388"/>
      <c r="T297" s="389">
        <f>ROUNDDOWN(IFERROR(tabItens[[#This Row],[ATA DT.VALID.]] - $D$1,0) / 30,0)</f>
        <v>-1474</v>
      </c>
      <c r="U297" s="302" t="s">
        <v>1214</v>
      </c>
      <c r="V297" s="318">
        <v>1</v>
      </c>
      <c r="W297" s="390" t="s">
        <v>2074</v>
      </c>
      <c r="X297" s="391">
        <v>78</v>
      </c>
      <c r="Y297" s="392">
        <v>6</v>
      </c>
      <c r="Z297" s="393"/>
      <c r="AA297" s="394"/>
      <c r="AB297" s="395"/>
      <c r="AC297" s="395"/>
      <c r="AD297" s="394"/>
      <c r="AE297" s="395"/>
      <c r="AF297" s="317"/>
      <c r="AG297" s="396" t="s">
        <v>2072</v>
      </c>
      <c r="AH297" s="397"/>
      <c r="AI297" s="317">
        <v>0</v>
      </c>
      <c r="AJ297" s="397">
        <v>43777</v>
      </c>
      <c r="AK297" s="326" t="s">
        <v>889</v>
      </c>
      <c r="AL297" s="326">
        <v>43840</v>
      </c>
      <c r="AM297" s="316"/>
      <c r="AN297" s="305"/>
      <c r="AO297" s="327" t="str">
        <f>_xlfn.IFNA(IF(VLOOKUP(tabItens[[#This Row],[CÓDIGO]],tabExcluirDoEstoque[#Data],1,FALSE),"sim",""),"")</f>
        <v/>
      </c>
      <c r="AP297" s="398" t="str">
        <f ca="1">IF(OR(ISBLANK(tabItens[[#This Row],[ATA DT.VALID.]]),tabItens[[#This Row],[ATA DT.VALID.]]="",tabItens[[#This Row],[ATA DT.VALID.]]=" "),"",IF(TYPE(tabItens[[#This Row],[ATA DT.VALID.]])=1,ROUNDUP((tabItens[[#This Row],[ATA DT.VALID.]]-TODAY())/7,0),""))</f>
        <v/>
      </c>
      <c r="AQ297" s="399">
        <v>0</v>
      </c>
      <c r="AR297" s="400">
        <f>IF(ISBLANK(tabItens[[#This Row],[CÓDIGO]]),"",IFERROR(VLOOKUP(tabItens[[#This Row],[CÓDIGO]],Consumo!$C$2:$AC$862,26,FALSE),0))</f>
        <v>0</v>
      </c>
      <c r="AS297" s="401">
        <f>SUMIF(Consumo!$C$3:$C$862,tabItens[[#This Row],[CÓDIGO]],Consumo!$N$3:$N$862) + SUMIF(Consumo!$C$3:$C$862,tabItens[[#This Row],[CÓDIGO]],Consumo!$O$3:$O$862) + SUMIF(Consumo!$C$3:$C$862,tabItens[[#This Row],[CÓDIGO]],Consumo!$P$3:$P$862) + SUMIF(Consumo!$C$3:$C$862,tabItens[[#This Row],[CÓDIGO]],Consumo!$Q$3:$Q$862)</f>
        <v>0</v>
      </c>
      <c r="AT297" s="401">
        <f>SUMIF(Consumo!$C$3:$C$862,tabItens[[#This Row],[CÓDIGO]],Consumo!$Z$3:$Z$862)</f>
        <v>0</v>
      </c>
      <c r="AU297" s="402">
        <f>SUMIF(Consumo!$C$3:$C$862,tabItens[[#This Row],[CÓDIGO]],Consumo!$AA$3:$AA$862)</f>
        <v>0</v>
      </c>
      <c r="AV297" s="403">
        <f>SUMIF(Consumo!$C$3:$C$862,tabItens[[#This Row],[CÓDIGO]],Consumo!$Y$3:$Y$862)</f>
        <v>0</v>
      </c>
      <c r="AW297" s="380">
        <f>tabItens[[#This Row],[QTDE ATUAL]] + tabItens[[#This Row],[RC QTDE]] + tabItens[[#This Row],[AF SALDO]] + tabItens[[#This Row],[Recentes]]</f>
        <v>750</v>
      </c>
      <c r="AX297" s="404">
        <v>125</v>
      </c>
      <c r="AY297" s="404">
        <v>4</v>
      </c>
      <c r="AZ297" s="404">
        <f>IF(ISBLANK(tabItens[[#This Row],[CÓDIGO]]),"",tabItens[[#This Row],[PontoMês]] * (AZ$2+tabItens[[#This Row],[PontoQtM]]))</f>
        <v>500</v>
      </c>
      <c r="BA297" s="403">
        <f>tabItens[[#This Row],[PontoPed]] - tabItens[[#This Row],[Saldo]] + (1/10)</f>
        <v>-249.9</v>
      </c>
      <c r="BB297" s="403">
        <f xml:space="preserve"> tabItens[[#This Row],[PontoMês]] * BB$2 - tabItens[[#This Row],[QTDE ATUAL]] - (1/10)</f>
        <v>-625.1</v>
      </c>
      <c r="BC297" s="335">
        <f>IF( tabItens[[#This Row],[PontoPed]]&gt;0, IF(tabItens[[#This Row],[PontoPed]]&lt;1, 1, IF( tabItens[[#This Row],[Saldo]]&gt;tabItens[[#This Row],[PontoPed]], 0, (tabItens[[#This Row],[PontoPed]]-tabItens[[#This Row],[Saldo]])/tabItens[[#This Row],[PontoPed]] ) ), 0 )</f>
        <v>0</v>
      </c>
      <c r="BD297" s="405">
        <f>ROUNDDOWN(IF( OR( AND(tabItens[[#This Row],[PontoPed]]&lt;tabItens[[#This Row],[Saldo]],tabItens[[#This Row],[Saldo]]&gt;0), tabItens[[#This Row],[PontoPed]]=0), 99, IF(AND(tabItens[[#This Row],[Saldo]]=0,tabItens[[#This Row],[PontoPed]]&gt;0), 0, (1-tabItens[[#This Row],[PctAb]])*10 ) ),0)</f>
        <v>99</v>
      </c>
      <c r="BE297" s="406">
        <f>MAX(ROUNDDOWN( IF(tabItens[[#This Row],[Abaixo]] &gt; 0,   tabItens[[#This Row],[Abaixo]] + (tabItens[[#This Row],[PontoMês]] * IF( OR( ISBLANK(tabItens[[#This Row],[ATA Nº/ANO]]), tabItens[[#This Row],[ATA Nº/ANO]] = ""),BE$2,BE$1)),0),0),0)</f>
        <v>0</v>
      </c>
      <c r="BF29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7" s="338">
        <f>SUMIF(Consumo!$C$3:$C$862,tabItens[[#This Row],[CÓDIGO]],Consumo!$E$3:$E$862)</f>
        <v>0</v>
      </c>
      <c r="BH297" s="339">
        <f>IF(AND(tabItens[[#This Row],[Pend]] &gt; 0,tabItens[[#This Row],[Consumo]] &lt;&gt; 0), tabItens[[#This Row],[Pend]] / tabItens[[#This Row],[Consumo]], 0 )</f>
        <v>0</v>
      </c>
      <c r="BI297" s="338"/>
      <c r="BJ297" s="407"/>
      <c r="BK297" s="408" t="s">
        <v>2086</v>
      </c>
    </row>
    <row r="298" spans="1:63" x14ac:dyDescent="0.3">
      <c r="A298" s="375">
        <v>26506</v>
      </c>
      <c r="B298" s="376" t="s">
        <v>1215</v>
      </c>
      <c r="C298" s="377" t="s">
        <v>263</v>
      </c>
      <c r="D298" s="378">
        <v>20.5</v>
      </c>
      <c r="E298" s="305"/>
      <c r="F298" s="379"/>
      <c r="G298" s="379" t="s">
        <v>889</v>
      </c>
      <c r="H298" s="380">
        <v>750</v>
      </c>
      <c r="I298" s="307">
        <v>103003</v>
      </c>
      <c r="J298" s="308">
        <v>20.5</v>
      </c>
      <c r="K298" s="381"/>
      <c r="L298" s="382">
        <f>IF(tabItens[[#This Row],[Média]] &gt; 0, tabItens[[#This Row],[QTDE ATUAL]] / tabItens[[#This Row],[Média]],999.9)</f>
        <v>999.9</v>
      </c>
      <c r="M298" s="383">
        <v>0</v>
      </c>
      <c r="N298" s="384">
        <f>tabItens[[#This Row],[VALOR UNIT.]] * tabItens[[#This Row],[LC]]</f>
        <v>0</v>
      </c>
      <c r="O298" s="385" t="s">
        <v>2138</v>
      </c>
      <c r="P298" s="386"/>
      <c r="Q298" s="387"/>
      <c r="R298" s="312"/>
      <c r="S298" s="388"/>
      <c r="T298" s="389">
        <f>ROUNDDOWN(IFERROR(tabItens[[#This Row],[ATA DT.VALID.]] - $D$1,0) / 30,0)</f>
        <v>-1474</v>
      </c>
      <c r="U298" s="302" t="s">
        <v>1214</v>
      </c>
      <c r="V298" s="318">
        <v>1</v>
      </c>
      <c r="W298" s="390" t="s">
        <v>2074</v>
      </c>
      <c r="X298" s="391">
        <v>78</v>
      </c>
      <c r="Y298" s="392">
        <v>6</v>
      </c>
      <c r="Z298" s="393"/>
      <c r="AA298" s="394"/>
      <c r="AB298" s="395"/>
      <c r="AC298" s="395"/>
      <c r="AD298" s="394"/>
      <c r="AE298" s="395"/>
      <c r="AF298" s="317"/>
      <c r="AG298" s="396" t="s">
        <v>2072</v>
      </c>
      <c r="AH298" s="397"/>
      <c r="AI298" s="317">
        <v>0</v>
      </c>
      <c r="AJ298" s="397">
        <v>43777</v>
      </c>
      <c r="AK298" s="326" t="s">
        <v>889</v>
      </c>
      <c r="AL298" s="326">
        <v>43840</v>
      </c>
      <c r="AM298" s="316"/>
      <c r="AN298" s="305"/>
      <c r="AO298" s="327" t="str">
        <f>_xlfn.IFNA(IF(VLOOKUP(tabItens[[#This Row],[CÓDIGO]],tabExcluirDoEstoque[#Data],1,FALSE),"sim",""),"")</f>
        <v/>
      </c>
      <c r="AP298" s="398" t="str">
        <f ca="1">IF(OR(ISBLANK(tabItens[[#This Row],[ATA DT.VALID.]]),tabItens[[#This Row],[ATA DT.VALID.]]="",tabItens[[#This Row],[ATA DT.VALID.]]=" "),"",IF(TYPE(tabItens[[#This Row],[ATA DT.VALID.]])=1,ROUNDUP((tabItens[[#This Row],[ATA DT.VALID.]]-TODAY())/7,0),""))</f>
        <v/>
      </c>
      <c r="AQ298" s="399">
        <v>0</v>
      </c>
      <c r="AR298" s="400">
        <f>IF(ISBLANK(tabItens[[#This Row],[CÓDIGO]]),"",IFERROR(VLOOKUP(tabItens[[#This Row],[CÓDIGO]],Consumo!$C$2:$AC$862,26,FALSE),0))</f>
        <v>0</v>
      </c>
      <c r="AS298" s="401">
        <f>SUMIF(Consumo!$C$3:$C$862,tabItens[[#This Row],[CÓDIGO]],Consumo!$N$3:$N$862) + SUMIF(Consumo!$C$3:$C$862,tabItens[[#This Row],[CÓDIGO]],Consumo!$O$3:$O$862) + SUMIF(Consumo!$C$3:$C$862,tabItens[[#This Row],[CÓDIGO]],Consumo!$P$3:$P$862) + SUMIF(Consumo!$C$3:$C$862,tabItens[[#This Row],[CÓDIGO]],Consumo!$Q$3:$Q$862)</f>
        <v>0</v>
      </c>
      <c r="AT298" s="401">
        <f>SUMIF(Consumo!$C$3:$C$862,tabItens[[#This Row],[CÓDIGO]],Consumo!$Z$3:$Z$862)</f>
        <v>0</v>
      </c>
      <c r="AU298" s="402">
        <f>SUMIF(Consumo!$C$3:$C$862,tabItens[[#This Row],[CÓDIGO]],Consumo!$AA$3:$AA$862)</f>
        <v>0</v>
      </c>
      <c r="AV298" s="403">
        <f>SUMIF(Consumo!$C$3:$C$862,tabItens[[#This Row],[CÓDIGO]],Consumo!$Y$3:$Y$862)</f>
        <v>0</v>
      </c>
      <c r="AW298" s="380">
        <f>tabItens[[#This Row],[QTDE ATUAL]] + tabItens[[#This Row],[RC QTDE]] + tabItens[[#This Row],[AF SALDO]] + tabItens[[#This Row],[Recentes]]</f>
        <v>750</v>
      </c>
      <c r="AX298" s="404">
        <v>125</v>
      </c>
      <c r="AY298" s="404">
        <v>4</v>
      </c>
      <c r="AZ298" s="404">
        <f>IF(ISBLANK(tabItens[[#This Row],[CÓDIGO]]),"",tabItens[[#This Row],[PontoMês]] * (AZ$2+tabItens[[#This Row],[PontoQtM]]))</f>
        <v>500</v>
      </c>
      <c r="BA298" s="403">
        <f>tabItens[[#This Row],[PontoPed]] - tabItens[[#This Row],[Saldo]] + (1/10)</f>
        <v>-249.9</v>
      </c>
      <c r="BB298" s="403">
        <f xml:space="preserve"> tabItens[[#This Row],[PontoMês]] * BB$2 - tabItens[[#This Row],[QTDE ATUAL]] - (1/10)</f>
        <v>-625.1</v>
      </c>
      <c r="BC298" s="335">
        <f>IF( tabItens[[#This Row],[PontoPed]]&gt;0, IF(tabItens[[#This Row],[PontoPed]]&lt;1, 1, IF( tabItens[[#This Row],[Saldo]]&gt;tabItens[[#This Row],[PontoPed]], 0, (tabItens[[#This Row],[PontoPed]]-tabItens[[#This Row],[Saldo]])/tabItens[[#This Row],[PontoPed]] ) ), 0 )</f>
        <v>0</v>
      </c>
      <c r="BD298" s="405">
        <f>ROUNDDOWN(IF( OR( AND(tabItens[[#This Row],[PontoPed]]&lt;tabItens[[#This Row],[Saldo]],tabItens[[#This Row],[Saldo]]&gt;0), tabItens[[#This Row],[PontoPed]]=0), 99, IF(AND(tabItens[[#This Row],[Saldo]]=0,tabItens[[#This Row],[PontoPed]]&gt;0), 0, (1-tabItens[[#This Row],[PctAb]])*10 ) ),0)</f>
        <v>99</v>
      </c>
      <c r="BE298" s="406">
        <f>MAX(ROUNDDOWN( IF(tabItens[[#This Row],[Abaixo]] &gt; 0,   tabItens[[#This Row],[Abaixo]] + (tabItens[[#This Row],[PontoMês]] * IF( OR( ISBLANK(tabItens[[#This Row],[ATA Nº/ANO]]), tabItens[[#This Row],[ATA Nº/ANO]] = ""),BE$2,BE$1)),0),0),0)</f>
        <v>0</v>
      </c>
      <c r="BF29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8" s="338">
        <f>SUMIF(Consumo!$C$3:$C$862,tabItens[[#This Row],[CÓDIGO]],Consumo!$E$3:$E$862)</f>
        <v>0</v>
      </c>
      <c r="BH298" s="339">
        <f>IF(AND(tabItens[[#This Row],[Pend]] &gt; 0,tabItens[[#This Row],[Consumo]] &lt;&gt; 0), tabItens[[#This Row],[Pend]] / tabItens[[#This Row],[Consumo]], 0 )</f>
        <v>0</v>
      </c>
      <c r="BI298" s="338"/>
      <c r="BJ298" s="407"/>
      <c r="BK298" s="408" t="s">
        <v>2086</v>
      </c>
    </row>
    <row r="299" spans="1:63" x14ac:dyDescent="0.3">
      <c r="A299" s="375">
        <v>125641</v>
      </c>
      <c r="B299" s="376" t="s">
        <v>1771</v>
      </c>
      <c r="C299" s="377" t="s">
        <v>260</v>
      </c>
      <c r="D299" s="378">
        <v>1.02</v>
      </c>
      <c r="E299" s="305"/>
      <c r="F299" s="379"/>
      <c r="G299" s="379" t="s">
        <v>889</v>
      </c>
      <c r="H299" s="380">
        <v>7202</v>
      </c>
      <c r="I299" s="307">
        <v>103003</v>
      </c>
      <c r="J299" s="308">
        <v>1.02</v>
      </c>
      <c r="K299" s="381">
        <v>18272</v>
      </c>
      <c r="L299" s="382">
        <f>IF(tabItens[[#This Row],[Média]] &gt; 0, tabItens[[#This Row],[QTDE ATUAL]] / tabItens[[#This Row],[Média]],999.9)</f>
        <v>2.7971647732789591</v>
      </c>
      <c r="M299" s="383">
        <v>0</v>
      </c>
      <c r="N299" s="384">
        <f>tabItens[[#This Row],[VALOR UNIT.]] * tabItens[[#This Row],[LC]]</f>
        <v>0</v>
      </c>
      <c r="O299" s="385" t="s">
        <v>2194</v>
      </c>
      <c r="P299" s="386"/>
      <c r="Q299" s="387"/>
      <c r="R299" s="312"/>
      <c r="S299" s="388"/>
      <c r="T299" s="389">
        <f>ROUNDDOWN(IFERROR(tabItens[[#This Row],[ATA DT.VALID.]] - $D$1,0) / 30,0)</f>
        <v>-1474</v>
      </c>
      <c r="U299" s="302" t="s">
        <v>1742</v>
      </c>
      <c r="V299" s="318">
        <v>1</v>
      </c>
      <c r="W299" s="390" t="s">
        <v>2073</v>
      </c>
      <c r="X299" s="391">
        <v>62</v>
      </c>
      <c r="Y299" s="392">
        <v>26</v>
      </c>
      <c r="Z299" s="393"/>
      <c r="AA299" s="394"/>
      <c r="AB299" s="395"/>
      <c r="AC299" s="395"/>
      <c r="AD299" s="394"/>
      <c r="AE299" s="395"/>
      <c r="AF299" s="317"/>
      <c r="AG299" s="396" t="s">
        <v>2072</v>
      </c>
      <c r="AH299" s="397"/>
      <c r="AI299" s="317">
        <v>10300</v>
      </c>
      <c r="AJ299" s="397">
        <v>44949</v>
      </c>
      <c r="AK299" s="326">
        <v>41439</v>
      </c>
      <c r="AL299" s="326">
        <v>45187</v>
      </c>
      <c r="AM299" s="316"/>
      <c r="AN299" s="305"/>
      <c r="AO299" s="327" t="str">
        <f>_xlfn.IFNA(IF(VLOOKUP(tabItens[[#This Row],[CÓDIGO]],tabExcluirDoEstoque[#Data],1,FALSE),"sim",""),"")</f>
        <v/>
      </c>
      <c r="AP299" s="398" t="str">
        <f ca="1">IF(OR(ISBLANK(tabItens[[#This Row],[ATA DT.VALID.]]),tabItens[[#This Row],[ATA DT.VALID.]]="",tabItens[[#This Row],[ATA DT.VALID.]]=" "),"",IF(TYPE(tabItens[[#This Row],[ATA DT.VALID.]])=1,ROUNDUP((tabItens[[#This Row],[ATA DT.VALID.]]-TODAY())/7,0),""))</f>
        <v/>
      </c>
      <c r="AQ299" s="399">
        <v>0</v>
      </c>
      <c r="AR299" s="400" t="str">
        <f>IF(ISBLANK(tabItens[[#This Row],[CÓDIGO]]),"",IFERROR(VLOOKUP(tabItens[[#This Row],[CÓDIGO]],Consumo!$C$2:$AC$862,26,FALSE),0))</f>
        <v>09.2023</v>
      </c>
      <c r="AS299" s="401">
        <f>SUMIF(Consumo!$C$3:$C$862,tabItens[[#This Row],[CÓDIGO]],Consumo!$N$3:$N$862) + SUMIF(Consumo!$C$3:$C$862,tabItens[[#This Row],[CÓDIGO]],Consumo!$O$3:$O$862) + SUMIF(Consumo!$C$3:$C$862,tabItens[[#This Row],[CÓDIGO]],Consumo!$P$3:$P$862) + SUMIF(Consumo!$C$3:$C$862,tabItens[[#This Row],[CÓDIGO]],Consumo!$Q$3:$Q$862)</f>
        <v>12174</v>
      </c>
      <c r="AT299" s="401">
        <f>SUMIF(Consumo!$C$3:$C$862,tabItens[[#This Row],[CÓDIGO]],Consumo!$Z$3:$Z$862)</f>
        <v>30897</v>
      </c>
      <c r="AU299" s="402">
        <f>SUMIF(Consumo!$C$3:$C$862,tabItens[[#This Row],[CÓDIGO]],Consumo!$AA$3:$AA$862)</f>
        <v>3192</v>
      </c>
      <c r="AV299" s="403">
        <f>SUMIF(Consumo!$C$3:$C$862,tabItens[[#This Row],[CÓDIGO]],Consumo!$Y$3:$Y$862)</f>
        <v>2574.75</v>
      </c>
      <c r="AW299" s="380">
        <f>tabItens[[#This Row],[QTDE ATUAL]] + tabItens[[#This Row],[RC QTDE]] + tabItens[[#This Row],[AF SALDO]] + tabItens[[#This Row],[Recentes]]</f>
        <v>7202</v>
      </c>
      <c r="AX299" s="404">
        <v>1131</v>
      </c>
      <c r="AY299" s="404">
        <v>4</v>
      </c>
      <c r="AZ299" s="404">
        <f>IF(ISBLANK(tabItens[[#This Row],[CÓDIGO]]),"",tabItens[[#This Row],[PontoMês]] * (AZ$2+tabItens[[#This Row],[PontoQtM]]))</f>
        <v>4524</v>
      </c>
      <c r="BA299" s="403">
        <f>tabItens[[#This Row],[PontoPed]] - tabItens[[#This Row],[Saldo]] + (1/10)</f>
        <v>-2677.9</v>
      </c>
      <c r="BB299" s="403">
        <f xml:space="preserve"> tabItens[[#This Row],[PontoMês]] * BB$2 - tabItens[[#This Row],[QTDE ATUAL]] - (1/10)</f>
        <v>-6071.1</v>
      </c>
      <c r="BC299" s="335">
        <f>IF( tabItens[[#This Row],[PontoPed]]&gt;0, IF(tabItens[[#This Row],[PontoPed]]&lt;1, 1, IF( tabItens[[#This Row],[Saldo]]&gt;tabItens[[#This Row],[PontoPed]], 0, (tabItens[[#This Row],[PontoPed]]-tabItens[[#This Row],[Saldo]])/tabItens[[#This Row],[PontoPed]] ) ), 0 )</f>
        <v>0</v>
      </c>
      <c r="BD299" s="405">
        <f>ROUNDDOWN(IF( OR( AND(tabItens[[#This Row],[PontoPed]]&lt;tabItens[[#This Row],[Saldo]],tabItens[[#This Row],[Saldo]]&gt;0), tabItens[[#This Row],[PontoPed]]=0), 99, IF(AND(tabItens[[#This Row],[Saldo]]=0,tabItens[[#This Row],[PontoPed]]&gt;0), 0, (1-tabItens[[#This Row],[PctAb]])*10 ) ),0)</f>
        <v>99</v>
      </c>
      <c r="BE299" s="406">
        <f>MAX(ROUNDDOWN( IF(tabItens[[#This Row],[Abaixo]] &gt; 0,   tabItens[[#This Row],[Abaixo]] + (tabItens[[#This Row],[PontoMês]] * IF( OR( ISBLANK(tabItens[[#This Row],[ATA Nº/ANO]]), tabItens[[#This Row],[ATA Nº/ANO]] = ""),BE$2,BE$1)),0),0),0)</f>
        <v>0</v>
      </c>
      <c r="BF29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9" s="338">
        <f>SUMIF(Consumo!$C$3:$C$862,tabItens[[#This Row],[CÓDIGO]],Consumo!$E$3:$E$862)</f>
        <v>0</v>
      </c>
      <c r="BH299" s="339">
        <f>IF(AND(tabItens[[#This Row],[Pend]] &gt; 0,tabItens[[#This Row],[Consumo]] &lt;&gt; 0), tabItens[[#This Row],[Pend]] / tabItens[[#This Row],[Consumo]], 0 )</f>
        <v>0</v>
      </c>
      <c r="BI299" s="338"/>
      <c r="BJ299" s="407"/>
      <c r="BK299" s="408" t="s">
        <v>2086</v>
      </c>
    </row>
    <row r="300" spans="1:63" x14ac:dyDescent="0.3">
      <c r="A300" s="375">
        <v>80298</v>
      </c>
      <c r="B300" s="376" t="s">
        <v>1462</v>
      </c>
      <c r="C300" s="377" t="s">
        <v>263</v>
      </c>
      <c r="D300" s="378">
        <v>1240</v>
      </c>
      <c r="E300" s="305"/>
      <c r="F300" s="379"/>
      <c r="G300" s="379" t="s">
        <v>889</v>
      </c>
      <c r="H300" s="380">
        <v>35</v>
      </c>
      <c r="I300" s="307">
        <v>103003</v>
      </c>
      <c r="J300" s="308">
        <v>1240</v>
      </c>
      <c r="K300" s="381">
        <v>8</v>
      </c>
      <c r="L300" s="382">
        <f>IF(tabItens[[#This Row],[Média]] &gt; 0, tabItens[[#This Row],[QTDE ATUAL]] / tabItens[[#This Row],[Média]],999.9)</f>
        <v>52.5</v>
      </c>
      <c r="M300" s="383">
        <v>0</v>
      </c>
      <c r="N300" s="384">
        <f>tabItens[[#This Row],[VALOR UNIT.]] * tabItens[[#This Row],[LC]]</f>
        <v>0</v>
      </c>
      <c r="O300" s="385" t="s">
        <v>2164</v>
      </c>
      <c r="P300" s="386"/>
      <c r="Q300" s="387"/>
      <c r="R300" s="312"/>
      <c r="S300" s="388"/>
      <c r="T300" s="389">
        <f>ROUNDDOWN(IFERROR(tabItens[[#This Row],[ATA DT.VALID.]] - $D$1,0) / 30,0)</f>
        <v>-1474</v>
      </c>
      <c r="U300" s="302" t="s">
        <v>1326</v>
      </c>
      <c r="V300" s="318">
        <v>1</v>
      </c>
      <c r="W300" s="390" t="s">
        <v>2071</v>
      </c>
      <c r="X300" s="391">
        <v>51</v>
      </c>
      <c r="Y300" s="392">
        <v>30</v>
      </c>
      <c r="Z300" s="393"/>
      <c r="AA300" s="394"/>
      <c r="AB300" s="395"/>
      <c r="AC300" s="395"/>
      <c r="AD300" s="394"/>
      <c r="AE300" s="395"/>
      <c r="AF300" s="317"/>
      <c r="AG300" s="396" t="s">
        <v>2072</v>
      </c>
      <c r="AH300" s="397"/>
      <c r="AI300" s="317">
        <v>4</v>
      </c>
      <c r="AJ300" s="397">
        <v>44525</v>
      </c>
      <c r="AK300" s="326">
        <v>38166</v>
      </c>
      <c r="AL300" s="326">
        <v>44508</v>
      </c>
      <c r="AM300" s="316"/>
      <c r="AN300" s="305"/>
      <c r="AO300" s="327" t="str">
        <f>_xlfn.IFNA(IF(VLOOKUP(tabItens[[#This Row],[CÓDIGO]],tabExcluirDoEstoque[#Data],1,FALSE),"sim",""),"")</f>
        <v/>
      </c>
      <c r="AP300" s="398" t="str">
        <f ca="1">IF(OR(ISBLANK(tabItens[[#This Row],[ATA DT.VALID.]]),tabItens[[#This Row],[ATA DT.VALID.]]="",tabItens[[#This Row],[ATA DT.VALID.]]=" "),"",IF(TYPE(tabItens[[#This Row],[ATA DT.VALID.]])=1,ROUNDUP((tabItens[[#This Row],[ATA DT.VALID.]]-TODAY())/7,0),""))</f>
        <v/>
      </c>
      <c r="AQ300" s="399">
        <v>0</v>
      </c>
      <c r="AR300" s="400" t="str">
        <f>IF(ISBLANK(tabItens[[#This Row],[CÓDIGO]]),"",IFERROR(VLOOKUP(tabItens[[#This Row],[CÓDIGO]],Consumo!$C$2:$AC$862,26,FALSE),0))</f>
        <v>06.2023</v>
      </c>
      <c r="AS300" s="401">
        <f>SUMIF(Consumo!$C$3:$C$862,tabItens[[#This Row],[CÓDIGO]],Consumo!$N$3:$N$862) + SUMIF(Consumo!$C$3:$C$862,tabItens[[#This Row],[CÓDIGO]],Consumo!$O$3:$O$862) + SUMIF(Consumo!$C$3:$C$862,tabItens[[#This Row],[CÓDIGO]],Consumo!$P$3:$P$862) + SUMIF(Consumo!$C$3:$C$862,tabItens[[#This Row],[CÓDIGO]],Consumo!$Q$3:$Q$862)</f>
        <v>2</v>
      </c>
      <c r="AT300" s="401">
        <f>SUMIF(Consumo!$C$3:$C$862,tabItens[[#This Row],[CÓDIGO]],Consumo!$Z$3:$Z$862)</f>
        <v>8</v>
      </c>
      <c r="AU300" s="402">
        <f>SUMIF(Consumo!$C$3:$C$862,tabItens[[#This Row],[CÓDIGO]],Consumo!$AA$3:$AA$862)</f>
        <v>2</v>
      </c>
      <c r="AV300" s="403">
        <f>SUMIF(Consumo!$C$3:$C$862,tabItens[[#This Row],[CÓDIGO]],Consumo!$Y$3:$Y$862)</f>
        <v>0.66666666666666663</v>
      </c>
      <c r="AW300" s="380">
        <f>tabItens[[#This Row],[QTDE ATUAL]] + tabItens[[#This Row],[RC QTDE]] + tabItens[[#This Row],[AF SALDO]] + tabItens[[#This Row],[Recentes]]</f>
        <v>35</v>
      </c>
      <c r="AX300" s="404">
        <v>5</v>
      </c>
      <c r="AY300" s="404">
        <v>4</v>
      </c>
      <c r="AZ300" s="404">
        <f>IF(ISBLANK(tabItens[[#This Row],[CÓDIGO]]),"",tabItens[[#This Row],[PontoMês]] * (AZ$2+tabItens[[#This Row],[PontoQtM]]))</f>
        <v>20</v>
      </c>
      <c r="BA300" s="403">
        <f>tabItens[[#This Row],[PontoPed]] - tabItens[[#This Row],[Saldo]] + (1/10)</f>
        <v>-14.9</v>
      </c>
      <c r="BB300" s="403">
        <f xml:space="preserve"> tabItens[[#This Row],[PontoMês]] * BB$2 - tabItens[[#This Row],[QTDE ATUAL]] - (1/10)</f>
        <v>-30.1</v>
      </c>
      <c r="BC300" s="335">
        <f>IF( tabItens[[#This Row],[PontoPed]]&gt;0, IF(tabItens[[#This Row],[PontoPed]]&lt;1, 1, IF( tabItens[[#This Row],[Saldo]]&gt;tabItens[[#This Row],[PontoPed]], 0, (tabItens[[#This Row],[PontoPed]]-tabItens[[#This Row],[Saldo]])/tabItens[[#This Row],[PontoPed]] ) ), 0 )</f>
        <v>0</v>
      </c>
      <c r="BD300" s="405">
        <f>ROUNDDOWN(IF( OR( AND(tabItens[[#This Row],[PontoPed]]&lt;tabItens[[#This Row],[Saldo]],tabItens[[#This Row],[Saldo]]&gt;0), tabItens[[#This Row],[PontoPed]]=0), 99, IF(AND(tabItens[[#This Row],[Saldo]]=0,tabItens[[#This Row],[PontoPed]]&gt;0), 0, (1-tabItens[[#This Row],[PctAb]])*10 ) ),0)</f>
        <v>99</v>
      </c>
      <c r="BE300" s="406">
        <f>MAX(ROUNDDOWN( IF(tabItens[[#This Row],[Abaixo]] &gt; 0,   tabItens[[#This Row],[Abaixo]] + (tabItens[[#This Row],[PontoMês]] * IF( OR( ISBLANK(tabItens[[#This Row],[ATA Nº/ANO]]), tabItens[[#This Row],[ATA Nº/ANO]] = ""),BE$2,BE$1)),0),0),0)</f>
        <v>0</v>
      </c>
      <c r="BF30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0" s="338">
        <f>SUMIF(Consumo!$C$3:$C$862,tabItens[[#This Row],[CÓDIGO]],Consumo!$E$3:$E$862)</f>
        <v>0</v>
      </c>
      <c r="BH300" s="339">
        <f>IF(AND(tabItens[[#This Row],[Pend]] &gt; 0,tabItens[[#This Row],[Consumo]] &lt;&gt; 0), tabItens[[#This Row],[Pend]] / tabItens[[#This Row],[Consumo]], 0 )</f>
        <v>0</v>
      </c>
      <c r="BI300" s="338"/>
      <c r="BJ300" s="407"/>
      <c r="BK300" s="408" t="s">
        <v>2086</v>
      </c>
    </row>
    <row r="301" spans="1:63" x14ac:dyDescent="0.3">
      <c r="A301" s="375">
        <v>129962</v>
      </c>
      <c r="B301" s="376" t="s">
        <v>1801</v>
      </c>
      <c r="C301" s="377" t="s">
        <v>263</v>
      </c>
      <c r="D301" s="378">
        <v>351.97</v>
      </c>
      <c r="E301" s="305"/>
      <c r="F301" s="379"/>
      <c r="G301" s="379" t="s">
        <v>889</v>
      </c>
      <c r="H301" s="380">
        <v>7</v>
      </c>
      <c r="I301" s="307">
        <v>103003</v>
      </c>
      <c r="J301" s="308">
        <v>351.97</v>
      </c>
      <c r="K301" s="381">
        <v>3</v>
      </c>
      <c r="L301" s="382">
        <f>IF(tabItens[[#This Row],[Média]] &gt; 0, tabItens[[#This Row],[QTDE ATUAL]] / tabItens[[#This Row],[Média]],999.9)</f>
        <v>42</v>
      </c>
      <c r="M301" s="383">
        <v>0</v>
      </c>
      <c r="N301" s="384">
        <f>tabItens[[#This Row],[VALOR UNIT.]] * tabItens[[#This Row],[LC]]</f>
        <v>0</v>
      </c>
      <c r="O301" s="385" t="s">
        <v>2197</v>
      </c>
      <c r="P301" s="386"/>
      <c r="Q301" s="387"/>
      <c r="R301" s="312"/>
      <c r="S301" s="388"/>
      <c r="T301" s="389">
        <f>ROUNDDOWN(IFERROR(tabItens[[#This Row],[ATA DT.VALID.]] - $D$1,0) / 30,0)</f>
        <v>-1474</v>
      </c>
      <c r="U301" s="302" t="s">
        <v>1502</v>
      </c>
      <c r="V301" s="318">
        <v>1</v>
      </c>
      <c r="W301" s="390" t="s">
        <v>2077</v>
      </c>
      <c r="X301" s="391">
        <v>55</v>
      </c>
      <c r="Y301" s="392">
        <v>26</v>
      </c>
      <c r="Z301" s="393">
        <v>2956</v>
      </c>
      <c r="AA301" s="394">
        <v>2023</v>
      </c>
      <c r="AB301" s="395">
        <v>3</v>
      </c>
      <c r="AC301" s="395"/>
      <c r="AD301" s="394"/>
      <c r="AE301" s="395"/>
      <c r="AF301" s="317"/>
      <c r="AG301" s="396" t="s">
        <v>2072</v>
      </c>
      <c r="AH301" s="397"/>
      <c r="AI301" s="317">
        <v>2</v>
      </c>
      <c r="AJ301" s="397">
        <v>43642</v>
      </c>
      <c r="AK301" s="326">
        <v>42046</v>
      </c>
      <c r="AL301" s="326">
        <v>43859</v>
      </c>
      <c r="AM301" s="316"/>
      <c r="AN301" s="305"/>
      <c r="AO301" s="327" t="str">
        <f>_xlfn.IFNA(IF(VLOOKUP(tabItens[[#This Row],[CÓDIGO]],tabExcluirDoEstoque[#Data],1,FALSE),"sim",""),"")</f>
        <v/>
      </c>
      <c r="AP301" s="398" t="str">
        <f ca="1">IF(OR(ISBLANK(tabItens[[#This Row],[ATA DT.VALID.]]),tabItens[[#This Row],[ATA DT.VALID.]]="",tabItens[[#This Row],[ATA DT.VALID.]]=" "),"",IF(TYPE(tabItens[[#This Row],[ATA DT.VALID.]])=1,ROUNDUP((tabItens[[#This Row],[ATA DT.VALID.]]-TODAY())/7,0),""))</f>
        <v/>
      </c>
      <c r="AQ301" s="399">
        <v>0</v>
      </c>
      <c r="AR301" s="400" t="str">
        <f>IF(ISBLANK(tabItens[[#This Row],[CÓDIGO]]),"",IFERROR(VLOOKUP(tabItens[[#This Row],[CÓDIGO]],Consumo!$C$2:$AC$862,26,FALSE),0))</f>
        <v>01.2023</v>
      </c>
      <c r="AS301" s="401">
        <f>SUMIF(Consumo!$C$3:$C$862,tabItens[[#This Row],[CÓDIGO]],Consumo!$N$3:$N$862) + SUMIF(Consumo!$C$3:$C$862,tabItens[[#This Row],[CÓDIGO]],Consumo!$O$3:$O$862) + SUMIF(Consumo!$C$3:$C$862,tabItens[[#This Row],[CÓDIGO]],Consumo!$P$3:$P$862) + SUMIF(Consumo!$C$3:$C$862,tabItens[[#This Row],[CÓDIGO]],Consumo!$Q$3:$Q$862)</f>
        <v>0</v>
      </c>
      <c r="AT301" s="401">
        <f>SUMIF(Consumo!$C$3:$C$862,tabItens[[#This Row],[CÓDIGO]],Consumo!$Z$3:$Z$862)</f>
        <v>3</v>
      </c>
      <c r="AU301" s="402">
        <f>SUMIF(Consumo!$C$3:$C$862,tabItens[[#This Row],[CÓDIGO]],Consumo!$AA$3:$AA$862)</f>
        <v>2</v>
      </c>
      <c r="AV301" s="403">
        <f>SUMIF(Consumo!$C$3:$C$862,tabItens[[#This Row],[CÓDIGO]],Consumo!$Y$3:$Y$862)</f>
        <v>0.16666666666666666</v>
      </c>
      <c r="AW301" s="380">
        <f>tabItens[[#This Row],[QTDE ATUAL]] + tabItens[[#This Row],[RC QTDE]] + tabItens[[#This Row],[AF SALDO]] + tabItens[[#This Row],[Recentes]]</f>
        <v>10</v>
      </c>
      <c r="AX301" s="404">
        <v>1</v>
      </c>
      <c r="AY301" s="404">
        <v>3</v>
      </c>
      <c r="AZ301" s="404">
        <f>IF(ISBLANK(tabItens[[#This Row],[CÓDIGO]]),"",tabItens[[#This Row],[PontoMês]] * (AZ$2+tabItens[[#This Row],[PontoQtM]]))</f>
        <v>3</v>
      </c>
      <c r="BA301" s="403">
        <f>tabItens[[#This Row],[PontoPed]] - tabItens[[#This Row],[Saldo]] + (1/10)</f>
        <v>-6.9</v>
      </c>
      <c r="BB301" s="403">
        <f xml:space="preserve"> tabItens[[#This Row],[PontoMês]] * BB$2 - tabItens[[#This Row],[QTDE ATUAL]] - (1/10)</f>
        <v>-6.1</v>
      </c>
      <c r="BC301" s="335">
        <f>IF( tabItens[[#This Row],[PontoPed]]&gt;0, IF(tabItens[[#This Row],[PontoPed]]&lt;1, 1, IF( tabItens[[#This Row],[Saldo]]&gt;tabItens[[#This Row],[PontoPed]], 0, (tabItens[[#This Row],[PontoPed]]-tabItens[[#This Row],[Saldo]])/tabItens[[#This Row],[PontoPed]] ) ), 0 )</f>
        <v>0</v>
      </c>
      <c r="BD301" s="405">
        <f>ROUNDDOWN(IF( OR( AND(tabItens[[#This Row],[PontoPed]]&lt;tabItens[[#This Row],[Saldo]],tabItens[[#This Row],[Saldo]]&gt;0), tabItens[[#This Row],[PontoPed]]=0), 99, IF(AND(tabItens[[#This Row],[Saldo]]=0,tabItens[[#This Row],[PontoPed]]&gt;0), 0, (1-tabItens[[#This Row],[PctAb]])*10 ) ),0)</f>
        <v>99</v>
      </c>
      <c r="BE301" s="406">
        <f>MAX(ROUNDDOWN( IF(tabItens[[#This Row],[Abaixo]] &gt; 0,   tabItens[[#This Row],[Abaixo]] + (tabItens[[#This Row],[PontoMês]] * IF( OR( ISBLANK(tabItens[[#This Row],[ATA Nº/ANO]]), tabItens[[#This Row],[ATA Nº/ANO]] = ""),BE$2,BE$1)),0),0),0)</f>
        <v>0</v>
      </c>
      <c r="BF30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1" s="338">
        <f>SUMIF(Consumo!$C$3:$C$862,tabItens[[#This Row],[CÓDIGO]],Consumo!$E$3:$E$862)</f>
        <v>0</v>
      </c>
      <c r="BH301" s="339">
        <f>IF(AND(tabItens[[#This Row],[Pend]] &gt; 0,tabItens[[#This Row],[Consumo]] &lt;&gt; 0), tabItens[[#This Row],[Pend]] / tabItens[[#This Row],[Consumo]], 0 )</f>
        <v>0</v>
      </c>
      <c r="BI301" s="338"/>
      <c r="BJ301" s="407"/>
      <c r="BK301" s="408" t="s">
        <v>2086</v>
      </c>
    </row>
    <row r="302" spans="1:63" x14ac:dyDescent="0.3">
      <c r="A302" s="375">
        <v>12922</v>
      </c>
      <c r="B302" s="376" t="s">
        <v>980</v>
      </c>
      <c r="C302" s="377" t="s">
        <v>263</v>
      </c>
      <c r="D302" s="378">
        <v>1.7</v>
      </c>
      <c r="E302" s="305"/>
      <c r="F302" s="379"/>
      <c r="G302" s="379" t="s">
        <v>889</v>
      </c>
      <c r="H302" s="380">
        <v>151</v>
      </c>
      <c r="I302" s="307">
        <v>103003</v>
      </c>
      <c r="J302" s="308">
        <v>1.7</v>
      </c>
      <c r="K302" s="381">
        <v>28</v>
      </c>
      <c r="L302" s="382">
        <f>IF(tabItens[[#This Row],[Média]] &gt; 0, tabItens[[#This Row],[QTDE ATUAL]] / tabItens[[#This Row],[Média]],999.9)</f>
        <v>90.6</v>
      </c>
      <c r="M302" s="383">
        <v>0</v>
      </c>
      <c r="N302" s="384">
        <f>tabItens[[#This Row],[VALOR UNIT.]] * tabItens[[#This Row],[LC]]</f>
        <v>0</v>
      </c>
      <c r="O302" s="385" t="s">
        <v>2104</v>
      </c>
      <c r="P302" s="386"/>
      <c r="Q302" s="387"/>
      <c r="R302" s="312"/>
      <c r="S302" s="388"/>
      <c r="T302" s="389">
        <f>ROUNDDOWN(IFERROR(tabItens[[#This Row],[ATA DT.VALID.]] - $D$1,0) / 30,0)</f>
        <v>-1474</v>
      </c>
      <c r="U302" s="302" t="s">
        <v>966</v>
      </c>
      <c r="V302" s="318">
        <v>1</v>
      </c>
      <c r="W302" s="390" t="s">
        <v>2076</v>
      </c>
      <c r="X302" s="391">
        <v>61</v>
      </c>
      <c r="Y302" s="392">
        <v>8</v>
      </c>
      <c r="Z302" s="393"/>
      <c r="AA302" s="394"/>
      <c r="AB302" s="395"/>
      <c r="AC302" s="395"/>
      <c r="AD302" s="394"/>
      <c r="AE302" s="395"/>
      <c r="AF302" s="317"/>
      <c r="AG302" s="396" t="s">
        <v>2072</v>
      </c>
      <c r="AH302" s="397"/>
      <c r="AI302" s="317">
        <v>6</v>
      </c>
      <c r="AJ302" s="397">
        <v>45160</v>
      </c>
      <c r="AK302" s="326" t="s">
        <v>889</v>
      </c>
      <c r="AL302" s="326">
        <v>45145</v>
      </c>
      <c r="AM302" s="316"/>
      <c r="AN302" s="305"/>
      <c r="AO302" s="327" t="str">
        <f>_xlfn.IFNA(IF(VLOOKUP(tabItens[[#This Row],[CÓDIGO]],tabExcluirDoEstoque[#Data],1,FALSE),"sim",""),"")</f>
        <v/>
      </c>
      <c r="AP302" s="398" t="str">
        <f ca="1">IF(OR(ISBLANK(tabItens[[#This Row],[ATA DT.VALID.]]),tabItens[[#This Row],[ATA DT.VALID.]]="",tabItens[[#This Row],[ATA DT.VALID.]]=" "),"",IF(TYPE(tabItens[[#This Row],[ATA DT.VALID.]])=1,ROUNDUP((tabItens[[#This Row],[ATA DT.VALID.]]-TODAY())/7,0),""))</f>
        <v/>
      </c>
      <c r="AQ302" s="399">
        <v>0</v>
      </c>
      <c r="AR302" s="400" t="str">
        <f>IF(ISBLANK(tabItens[[#This Row],[CÓDIGO]]),"",IFERROR(VLOOKUP(tabItens[[#This Row],[CÓDIGO]],Consumo!$C$2:$AC$862,26,FALSE),0))</f>
        <v>04.2023</v>
      </c>
      <c r="AS302" s="401">
        <f>SUMIF(Consumo!$C$3:$C$862,tabItens[[#This Row],[CÓDIGO]],Consumo!$N$3:$N$862) + SUMIF(Consumo!$C$3:$C$862,tabItens[[#This Row],[CÓDIGO]],Consumo!$O$3:$O$862) + SUMIF(Consumo!$C$3:$C$862,tabItens[[#This Row],[CÓDIGO]],Consumo!$P$3:$P$862) + SUMIF(Consumo!$C$3:$C$862,tabItens[[#This Row],[CÓDIGO]],Consumo!$Q$3:$Q$862)</f>
        <v>0</v>
      </c>
      <c r="AT302" s="401">
        <f>SUMIF(Consumo!$C$3:$C$862,tabItens[[#This Row],[CÓDIGO]],Consumo!$Z$3:$Z$862)</f>
        <v>25</v>
      </c>
      <c r="AU302" s="402">
        <f>SUMIF(Consumo!$C$3:$C$862,tabItens[[#This Row],[CÓDIGO]],Consumo!$AA$3:$AA$862)</f>
        <v>15</v>
      </c>
      <c r="AV302" s="403">
        <f>SUMIF(Consumo!$C$3:$C$862,tabItens[[#This Row],[CÓDIGO]],Consumo!$Y$3:$Y$862)</f>
        <v>1.6666666666666667</v>
      </c>
      <c r="AW302" s="380">
        <f>tabItens[[#This Row],[QTDE ATUAL]] + tabItens[[#This Row],[RC QTDE]] + tabItens[[#This Row],[AF SALDO]] + tabItens[[#This Row],[Recentes]]</f>
        <v>151</v>
      </c>
      <c r="AX302" s="404">
        <v>9</v>
      </c>
      <c r="AY302" s="404">
        <v>4</v>
      </c>
      <c r="AZ302" s="404">
        <f>IF(ISBLANK(tabItens[[#This Row],[CÓDIGO]]),"",tabItens[[#This Row],[PontoMês]] * (AZ$2+tabItens[[#This Row],[PontoQtM]]))</f>
        <v>36</v>
      </c>
      <c r="BA302" s="403">
        <f>tabItens[[#This Row],[PontoPed]] - tabItens[[#This Row],[Saldo]] + (1/10)</f>
        <v>-114.9</v>
      </c>
      <c r="BB302" s="403">
        <f xml:space="preserve"> tabItens[[#This Row],[PontoMês]] * BB$2 - tabItens[[#This Row],[QTDE ATUAL]] - (1/10)</f>
        <v>-142.1</v>
      </c>
      <c r="BC302" s="335">
        <f>IF( tabItens[[#This Row],[PontoPed]]&gt;0, IF(tabItens[[#This Row],[PontoPed]]&lt;1, 1, IF( tabItens[[#This Row],[Saldo]]&gt;tabItens[[#This Row],[PontoPed]], 0, (tabItens[[#This Row],[PontoPed]]-tabItens[[#This Row],[Saldo]])/tabItens[[#This Row],[PontoPed]] ) ), 0 )</f>
        <v>0</v>
      </c>
      <c r="BD302" s="405">
        <f>ROUNDDOWN(IF( OR( AND(tabItens[[#This Row],[PontoPed]]&lt;tabItens[[#This Row],[Saldo]],tabItens[[#This Row],[Saldo]]&gt;0), tabItens[[#This Row],[PontoPed]]=0), 99, IF(AND(tabItens[[#This Row],[Saldo]]=0,tabItens[[#This Row],[PontoPed]]&gt;0), 0, (1-tabItens[[#This Row],[PctAb]])*10 ) ),0)</f>
        <v>99</v>
      </c>
      <c r="BE302" s="406">
        <f>MAX(ROUNDDOWN( IF(tabItens[[#This Row],[Abaixo]] &gt; 0,   tabItens[[#This Row],[Abaixo]] + (tabItens[[#This Row],[PontoMês]] * IF( OR( ISBLANK(tabItens[[#This Row],[ATA Nº/ANO]]), tabItens[[#This Row],[ATA Nº/ANO]] = ""),BE$2,BE$1)),0),0),0)</f>
        <v>0</v>
      </c>
      <c r="BF30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2" s="338">
        <f>SUMIF(Consumo!$C$3:$C$862,tabItens[[#This Row],[CÓDIGO]],Consumo!$E$3:$E$862)</f>
        <v>5</v>
      </c>
      <c r="BH302" s="339">
        <f>IF(AND(tabItens[[#This Row],[Pend]] &gt; 0,tabItens[[#This Row],[Consumo]] &lt;&gt; 0), tabItens[[#This Row],[Pend]] / tabItens[[#This Row],[Consumo]], 0 )</f>
        <v>0.2</v>
      </c>
      <c r="BI302" s="338"/>
      <c r="BJ302" s="407"/>
      <c r="BK302" s="408" t="s">
        <v>2086</v>
      </c>
    </row>
    <row r="303" spans="1:63" x14ac:dyDescent="0.3">
      <c r="A303" s="375">
        <v>60830</v>
      </c>
      <c r="B303" s="376" t="s">
        <v>1352</v>
      </c>
      <c r="C303" s="377" t="s">
        <v>263</v>
      </c>
      <c r="D303" s="378">
        <v>0.98</v>
      </c>
      <c r="E303" s="305"/>
      <c r="F303" s="379"/>
      <c r="G303" s="379" t="s">
        <v>889</v>
      </c>
      <c r="H303" s="380">
        <v>78</v>
      </c>
      <c r="I303" s="307">
        <v>103003</v>
      </c>
      <c r="J303" s="308">
        <v>0.98</v>
      </c>
      <c r="K303" s="381"/>
      <c r="L303" s="382">
        <f>IF(tabItens[[#This Row],[Média]] &gt; 0, tabItens[[#This Row],[QTDE ATUAL]] / tabItens[[#This Row],[Média]],999.9)</f>
        <v>999.9</v>
      </c>
      <c r="M303" s="383">
        <v>0</v>
      </c>
      <c r="N303" s="384">
        <f>tabItens[[#This Row],[VALOR UNIT.]] * tabItens[[#This Row],[LC]]</f>
        <v>0</v>
      </c>
      <c r="O303" s="385" t="s">
        <v>2104</v>
      </c>
      <c r="P303" s="386"/>
      <c r="Q303" s="387"/>
      <c r="R303" s="312"/>
      <c r="S303" s="388"/>
      <c r="T303" s="389">
        <f>ROUNDDOWN(IFERROR(tabItens[[#This Row],[ATA DT.VALID.]] - $D$1,0) / 30,0)</f>
        <v>-1474</v>
      </c>
      <c r="U303" s="302" t="s">
        <v>966</v>
      </c>
      <c r="V303" s="318">
        <v>1</v>
      </c>
      <c r="W303" s="390" t="s">
        <v>2076</v>
      </c>
      <c r="X303" s="391">
        <v>61</v>
      </c>
      <c r="Y303" s="392">
        <v>8</v>
      </c>
      <c r="Z303" s="393"/>
      <c r="AA303" s="394"/>
      <c r="AB303" s="395"/>
      <c r="AC303" s="395"/>
      <c r="AD303" s="394"/>
      <c r="AE303" s="395"/>
      <c r="AF303" s="317"/>
      <c r="AG303" s="396" t="s">
        <v>2072</v>
      </c>
      <c r="AH303" s="397"/>
      <c r="AI303" s="317">
        <v>0</v>
      </c>
      <c r="AJ303" s="397">
        <v>44078</v>
      </c>
      <c r="AK303" s="326" t="s">
        <v>889</v>
      </c>
      <c r="AL303" s="326">
        <v>44029</v>
      </c>
      <c r="AM303" s="316"/>
      <c r="AN303" s="305"/>
      <c r="AO303" s="327" t="str">
        <f>_xlfn.IFNA(IF(VLOOKUP(tabItens[[#This Row],[CÓDIGO]],tabExcluirDoEstoque[#Data],1,FALSE),"sim",""),"")</f>
        <v/>
      </c>
      <c r="AP303" s="398" t="str">
        <f ca="1">IF(OR(ISBLANK(tabItens[[#This Row],[ATA DT.VALID.]]),tabItens[[#This Row],[ATA DT.VALID.]]="",tabItens[[#This Row],[ATA DT.VALID.]]=" "),"",IF(TYPE(tabItens[[#This Row],[ATA DT.VALID.]])=1,ROUNDUP((tabItens[[#This Row],[ATA DT.VALID.]]-TODAY())/7,0),""))</f>
        <v/>
      </c>
      <c r="AQ303" s="399">
        <v>0</v>
      </c>
      <c r="AR303" s="400">
        <f>IF(ISBLANK(tabItens[[#This Row],[CÓDIGO]]),"",IFERROR(VLOOKUP(tabItens[[#This Row],[CÓDIGO]],Consumo!$C$2:$AC$862,26,FALSE),0))</f>
        <v>0</v>
      </c>
      <c r="AS303" s="401">
        <f>SUMIF(Consumo!$C$3:$C$862,tabItens[[#This Row],[CÓDIGO]],Consumo!$N$3:$N$862) + SUMIF(Consumo!$C$3:$C$862,tabItens[[#This Row],[CÓDIGO]],Consumo!$O$3:$O$862) + SUMIF(Consumo!$C$3:$C$862,tabItens[[#This Row],[CÓDIGO]],Consumo!$P$3:$P$862) + SUMIF(Consumo!$C$3:$C$862,tabItens[[#This Row],[CÓDIGO]],Consumo!$Q$3:$Q$862)</f>
        <v>0</v>
      </c>
      <c r="AT303" s="401">
        <f>SUMIF(Consumo!$C$3:$C$862,tabItens[[#This Row],[CÓDIGO]],Consumo!$Z$3:$Z$862)</f>
        <v>0</v>
      </c>
      <c r="AU303" s="402">
        <f>SUMIF(Consumo!$C$3:$C$862,tabItens[[#This Row],[CÓDIGO]],Consumo!$AA$3:$AA$862)</f>
        <v>0</v>
      </c>
      <c r="AV303" s="403">
        <f>SUMIF(Consumo!$C$3:$C$862,tabItens[[#This Row],[CÓDIGO]],Consumo!$Y$3:$Y$862)</f>
        <v>0</v>
      </c>
      <c r="AW303" s="380">
        <f>tabItens[[#This Row],[QTDE ATUAL]] + tabItens[[#This Row],[RC QTDE]] + tabItens[[#This Row],[AF SALDO]] + tabItens[[#This Row],[Recentes]]</f>
        <v>78</v>
      </c>
      <c r="AX303" s="404">
        <v>5</v>
      </c>
      <c r="AY303" s="404">
        <v>4</v>
      </c>
      <c r="AZ303" s="404">
        <f>IF(ISBLANK(tabItens[[#This Row],[CÓDIGO]]),"",tabItens[[#This Row],[PontoMês]] * (AZ$2+tabItens[[#This Row],[PontoQtM]]))</f>
        <v>20</v>
      </c>
      <c r="BA303" s="403">
        <f>tabItens[[#This Row],[PontoPed]] - tabItens[[#This Row],[Saldo]] + (1/10)</f>
        <v>-57.9</v>
      </c>
      <c r="BB303" s="403">
        <f xml:space="preserve"> tabItens[[#This Row],[PontoMês]] * BB$2 - tabItens[[#This Row],[QTDE ATUAL]] - (1/10)</f>
        <v>-73.099999999999994</v>
      </c>
      <c r="BC303" s="335">
        <f>IF( tabItens[[#This Row],[PontoPed]]&gt;0, IF(tabItens[[#This Row],[PontoPed]]&lt;1, 1, IF( tabItens[[#This Row],[Saldo]]&gt;tabItens[[#This Row],[PontoPed]], 0, (tabItens[[#This Row],[PontoPed]]-tabItens[[#This Row],[Saldo]])/tabItens[[#This Row],[PontoPed]] ) ), 0 )</f>
        <v>0</v>
      </c>
      <c r="BD303" s="405">
        <f>ROUNDDOWN(IF( OR( AND(tabItens[[#This Row],[PontoPed]]&lt;tabItens[[#This Row],[Saldo]],tabItens[[#This Row],[Saldo]]&gt;0), tabItens[[#This Row],[PontoPed]]=0), 99, IF(AND(tabItens[[#This Row],[Saldo]]=0,tabItens[[#This Row],[PontoPed]]&gt;0), 0, (1-tabItens[[#This Row],[PctAb]])*10 ) ),0)</f>
        <v>99</v>
      </c>
      <c r="BE303" s="406">
        <f>MAX(ROUNDDOWN( IF(tabItens[[#This Row],[Abaixo]] &gt; 0,   tabItens[[#This Row],[Abaixo]] + (tabItens[[#This Row],[PontoMês]] * IF( OR( ISBLANK(tabItens[[#This Row],[ATA Nº/ANO]]), tabItens[[#This Row],[ATA Nº/ANO]] = ""),BE$2,BE$1)),0),0),0)</f>
        <v>0</v>
      </c>
      <c r="BF30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3" s="338">
        <f>SUMIF(Consumo!$C$3:$C$862,tabItens[[#This Row],[CÓDIGO]],Consumo!$E$3:$E$862)</f>
        <v>0</v>
      </c>
      <c r="BH303" s="339">
        <f>IF(AND(tabItens[[#This Row],[Pend]] &gt; 0,tabItens[[#This Row],[Consumo]] &lt;&gt; 0), tabItens[[#This Row],[Pend]] / tabItens[[#This Row],[Consumo]], 0 )</f>
        <v>0</v>
      </c>
      <c r="BI303" s="338"/>
      <c r="BJ303" s="407"/>
      <c r="BK303" s="408" t="s">
        <v>2086</v>
      </c>
    </row>
    <row r="304" spans="1:63" x14ac:dyDescent="0.3">
      <c r="A304" s="375">
        <v>61200</v>
      </c>
      <c r="B304" s="376" t="s">
        <v>1356</v>
      </c>
      <c r="C304" s="377" t="s">
        <v>263</v>
      </c>
      <c r="D304" s="378">
        <v>4.5</v>
      </c>
      <c r="E304" s="305"/>
      <c r="F304" s="379"/>
      <c r="G304" s="379" t="s">
        <v>889</v>
      </c>
      <c r="H304" s="380">
        <v>69</v>
      </c>
      <c r="I304" s="307">
        <v>103003</v>
      </c>
      <c r="J304" s="308">
        <v>4.5</v>
      </c>
      <c r="K304" s="381">
        <v>55</v>
      </c>
      <c r="L304" s="382">
        <f>IF(tabItens[[#This Row],[Média]] &gt; 0, tabItens[[#This Row],[QTDE ATUAL]] / tabItens[[#This Row],[Média]],999.9)</f>
        <v>16.559999999999999</v>
      </c>
      <c r="M304" s="383">
        <v>0</v>
      </c>
      <c r="N304" s="384">
        <f>tabItens[[#This Row],[VALOR UNIT.]] * tabItens[[#This Row],[LC]]</f>
        <v>0</v>
      </c>
      <c r="O304" s="385" t="s">
        <v>2104</v>
      </c>
      <c r="P304" s="386"/>
      <c r="Q304" s="387"/>
      <c r="R304" s="312"/>
      <c r="S304" s="388"/>
      <c r="T304" s="389">
        <f>ROUNDDOWN(IFERROR(tabItens[[#This Row],[ATA DT.VALID.]] - $D$1,0) / 30,0)</f>
        <v>-1474</v>
      </c>
      <c r="U304" s="302" t="s">
        <v>966</v>
      </c>
      <c r="V304" s="318">
        <v>1</v>
      </c>
      <c r="W304" s="390" t="s">
        <v>2076</v>
      </c>
      <c r="X304" s="391">
        <v>61</v>
      </c>
      <c r="Y304" s="392">
        <v>8</v>
      </c>
      <c r="Z304" s="393"/>
      <c r="AA304" s="394"/>
      <c r="AB304" s="395"/>
      <c r="AC304" s="395"/>
      <c r="AD304" s="394"/>
      <c r="AE304" s="395"/>
      <c r="AF304" s="317"/>
      <c r="AG304" s="396" t="s">
        <v>2072</v>
      </c>
      <c r="AH304" s="397"/>
      <c r="AI304" s="317">
        <v>16</v>
      </c>
      <c r="AJ304" s="397">
        <v>45160</v>
      </c>
      <c r="AK304" s="326" t="s">
        <v>889</v>
      </c>
      <c r="AL304" s="326">
        <v>45145</v>
      </c>
      <c r="AM304" s="316"/>
      <c r="AN304" s="305"/>
      <c r="AO304" s="327" t="str">
        <f>_xlfn.IFNA(IF(VLOOKUP(tabItens[[#This Row],[CÓDIGO]],tabExcluirDoEstoque[#Data],1,FALSE),"sim",""),"")</f>
        <v/>
      </c>
      <c r="AP304" s="398" t="str">
        <f ca="1">IF(OR(ISBLANK(tabItens[[#This Row],[ATA DT.VALID.]]),tabItens[[#This Row],[ATA DT.VALID.]]="",tabItens[[#This Row],[ATA DT.VALID.]]=" "),"",IF(TYPE(tabItens[[#This Row],[ATA DT.VALID.]])=1,ROUNDUP((tabItens[[#This Row],[ATA DT.VALID.]]-TODAY())/7,0),""))</f>
        <v/>
      </c>
      <c r="AQ304" s="399">
        <v>0</v>
      </c>
      <c r="AR304" s="400" t="str">
        <f>IF(ISBLANK(tabItens[[#This Row],[CÓDIGO]]),"",IFERROR(VLOOKUP(tabItens[[#This Row],[CÓDIGO]],Consumo!$C$2:$AC$862,26,FALSE),0))</f>
        <v>04.2023</v>
      </c>
      <c r="AS304" s="401">
        <f>SUMIF(Consumo!$C$3:$C$862,tabItens[[#This Row],[CÓDIGO]],Consumo!$N$3:$N$862) + SUMIF(Consumo!$C$3:$C$862,tabItens[[#This Row],[CÓDIGO]],Consumo!$O$3:$O$862) + SUMIF(Consumo!$C$3:$C$862,tabItens[[#This Row],[CÓDIGO]],Consumo!$P$3:$P$862) + SUMIF(Consumo!$C$3:$C$862,tabItens[[#This Row],[CÓDIGO]],Consumo!$Q$3:$Q$862)</f>
        <v>0</v>
      </c>
      <c r="AT304" s="401">
        <f>SUMIF(Consumo!$C$3:$C$862,tabItens[[#This Row],[CÓDIGO]],Consumo!$Z$3:$Z$862)</f>
        <v>50</v>
      </c>
      <c r="AU304" s="402">
        <f>SUMIF(Consumo!$C$3:$C$862,tabItens[[#This Row],[CÓDIGO]],Consumo!$AA$3:$AA$862)</f>
        <v>15</v>
      </c>
      <c r="AV304" s="403">
        <f>SUMIF(Consumo!$C$3:$C$862,tabItens[[#This Row],[CÓDIGO]],Consumo!$Y$3:$Y$862)</f>
        <v>4.166666666666667</v>
      </c>
      <c r="AW304" s="380">
        <f>tabItens[[#This Row],[QTDE ATUAL]] + tabItens[[#This Row],[RC QTDE]] + tabItens[[#This Row],[AF SALDO]] + tabItens[[#This Row],[Recentes]]</f>
        <v>69</v>
      </c>
      <c r="AX304" s="404">
        <v>6</v>
      </c>
      <c r="AY304" s="404">
        <v>4</v>
      </c>
      <c r="AZ304" s="404">
        <f>IF(ISBLANK(tabItens[[#This Row],[CÓDIGO]]),"",tabItens[[#This Row],[PontoMês]] * (AZ$2+tabItens[[#This Row],[PontoQtM]]))</f>
        <v>24</v>
      </c>
      <c r="BA304" s="403">
        <f>tabItens[[#This Row],[PontoPed]] - tabItens[[#This Row],[Saldo]] + (1/10)</f>
        <v>-44.9</v>
      </c>
      <c r="BB304" s="403">
        <f xml:space="preserve"> tabItens[[#This Row],[PontoMês]] * BB$2 - tabItens[[#This Row],[QTDE ATUAL]] - (1/10)</f>
        <v>-63.1</v>
      </c>
      <c r="BC304" s="335">
        <f>IF( tabItens[[#This Row],[PontoPed]]&gt;0, IF(tabItens[[#This Row],[PontoPed]]&lt;1, 1, IF( tabItens[[#This Row],[Saldo]]&gt;tabItens[[#This Row],[PontoPed]], 0, (tabItens[[#This Row],[PontoPed]]-tabItens[[#This Row],[Saldo]])/tabItens[[#This Row],[PontoPed]] ) ), 0 )</f>
        <v>0</v>
      </c>
      <c r="BD304" s="405">
        <f>ROUNDDOWN(IF( OR( AND(tabItens[[#This Row],[PontoPed]]&lt;tabItens[[#This Row],[Saldo]],tabItens[[#This Row],[Saldo]]&gt;0), tabItens[[#This Row],[PontoPed]]=0), 99, IF(AND(tabItens[[#This Row],[Saldo]]=0,tabItens[[#This Row],[PontoPed]]&gt;0), 0, (1-tabItens[[#This Row],[PctAb]])*10 ) ),0)</f>
        <v>99</v>
      </c>
      <c r="BE304" s="406">
        <f>MAX(ROUNDDOWN( IF(tabItens[[#This Row],[Abaixo]] &gt; 0,   tabItens[[#This Row],[Abaixo]] + (tabItens[[#This Row],[PontoMês]] * IF( OR( ISBLANK(tabItens[[#This Row],[ATA Nº/ANO]]), tabItens[[#This Row],[ATA Nº/ANO]] = ""),BE$2,BE$1)),0),0),0)</f>
        <v>0</v>
      </c>
      <c r="BF30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4" s="338">
        <f>SUMIF(Consumo!$C$3:$C$862,tabItens[[#This Row],[CÓDIGO]],Consumo!$E$3:$E$862)</f>
        <v>0</v>
      </c>
      <c r="BH304" s="339">
        <f>IF(AND(tabItens[[#This Row],[Pend]] &gt; 0,tabItens[[#This Row],[Consumo]] &lt;&gt; 0), tabItens[[#This Row],[Pend]] / tabItens[[#This Row],[Consumo]], 0 )</f>
        <v>0</v>
      </c>
      <c r="BI304" s="338"/>
      <c r="BJ304" s="407"/>
      <c r="BK304" s="408" t="s">
        <v>2086</v>
      </c>
    </row>
    <row r="305" spans="1:63" x14ac:dyDescent="0.3">
      <c r="A305" s="375">
        <v>74976</v>
      </c>
      <c r="B305" s="376" t="s">
        <v>1414</v>
      </c>
      <c r="C305" s="377" t="s">
        <v>263</v>
      </c>
      <c r="D305" s="378">
        <v>11.14</v>
      </c>
      <c r="E305" s="305"/>
      <c r="F305" s="379"/>
      <c r="G305" s="379" t="s">
        <v>889</v>
      </c>
      <c r="H305" s="380">
        <v>426</v>
      </c>
      <c r="I305" s="307">
        <v>103003</v>
      </c>
      <c r="J305" s="308">
        <v>11.14</v>
      </c>
      <c r="K305" s="381">
        <v>66</v>
      </c>
      <c r="L305" s="382">
        <f>IF(tabItens[[#This Row],[Média]] &gt; 0, tabItens[[#This Row],[QTDE ATUAL]] / tabItens[[#This Row],[Média]],999.9)</f>
        <v>102.24</v>
      </c>
      <c r="M305" s="383">
        <v>0</v>
      </c>
      <c r="N305" s="384">
        <f>tabItens[[#This Row],[VALOR UNIT.]] * tabItens[[#This Row],[LC]]</f>
        <v>0</v>
      </c>
      <c r="O305" s="385" t="s">
        <v>2104</v>
      </c>
      <c r="P305" s="386"/>
      <c r="Q305" s="387"/>
      <c r="R305" s="312"/>
      <c r="S305" s="388"/>
      <c r="T305" s="389">
        <f>ROUNDDOWN(IFERROR(tabItens[[#This Row],[ATA DT.VALID.]] - $D$1,0) / 30,0)</f>
        <v>-1474</v>
      </c>
      <c r="U305" s="302" t="s">
        <v>966</v>
      </c>
      <c r="V305" s="318">
        <v>1</v>
      </c>
      <c r="W305" s="390" t="s">
        <v>2076</v>
      </c>
      <c r="X305" s="391">
        <v>61</v>
      </c>
      <c r="Y305" s="392">
        <v>8</v>
      </c>
      <c r="Z305" s="393"/>
      <c r="AA305" s="394"/>
      <c r="AB305" s="395"/>
      <c r="AC305" s="395"/>
      <c r="AD305" s="394"/>
      <c r="AE305" s="395"/>
      <c r="AF305" s="317"/>
      <c r="AG305" s="396" t="s">
        <v>2072</v>
      </c>
      <c r="AH305" s="397"/>
      <c r="AI305" s="317">
        <v>22</v>
      </c>
      <c r="AJ305" s="397">
        <v>44560</v>
      </c>
      <c r="AK305" s="326">
        <v>37847</v>
      </c>
      <c r="AL305" s="326">
        <v>45096</v>
      </c>
      <c r="AM305" s="316"/>
      <c r="AN305" s="305"/>
      <c r="AO305" s="327" t="str">
        <f>_xlfn.IFNA(IF(VLOOKUP(tabItens[[#This Row],[CÓDIGO]],tabExcluirDoEstoque[#Data],1,FALSE),"sim",""),"")</f>
        <v/>
      </c>
      <c r="AP305" s="398" t="str">
        <f ca="1">IF(OR(ISBLANK(tabItens[[#This Row],[ATA DT.VALID.]]),tabItens[[#This Row],[ATA DT.VALID.]]="",tabItens[[#This Row],[ATA DT.VALID.]]=" "),"",IF(TYPE(tabItens[[#This Row],[ATA DT.VALID.]])=1,ROUNDUP((tabItens[[#This Row],[ATA DT.VALID.]]-TODAY())/7,0),""))</f>
        <v/>
      </c>
      <c r="AQ305" s="399">
        <v>0</v>
      </c>
      <c r="AR305" s="400" t="str">
        <f>IF(ISBLANK(tabItens[[#This Row],[CÓDIGO]]),"",IFERROR(VLOOKUP(tabItens[[#This Row],[CÓDIGO]],Consumo!$C$2:$AC$862,26,FALSE),0))</f>
        <v>08.2023</v>
      </c>
      <c r="AS305" s="401">
        <f>SUMIF(Consumo!$C$3:$C$862,tabItens[[#This Row],[CÓDIGO]],Consumo!$N$3:$N$862) + SUMIF(Consumo!$C$3:$C$862,tabItens[[#This Row],[CÓDIGO]],Consumo!$O$3:$O$862) + SUMIF(Consumo!$C$3:$C$862,tabItens[[#This Row],[CÓDIGO]],Consumo!$P$3:$P$862) + SUMIF(Consumo!$C$3:$C$862,tabItens[[#This Row],[CÓDIGO]],Consumo!$Q$3:$Q$862)</f>
        <v>50</v>
      </c>
      <c r="AT305" s="401">
        <f>SUMIF(Consumo!$C$3:$C$862,tabItens[[#This Row],[CÓDIGO]],Consumo!$Z$3:$Z$862)</f>
        <v>66</v>
      </c>
      <c r="AU305" s="402">
        <f>SUMIF(Consumo!$C$3:$C$862,tabItens[[#This Row],[CÓDIGO]],Consumo!$AA$3:$AA$862)</f>
        <v>50</v>
      </c>
      <c r="AV305" s="403">
        <f>SUMIF(Consumo!$C$3:$C$862,tabItens[[#This Row],[CÓDIGO]],Consumo!$Y$3:$Y$862)</f>
        <v>4.166666666666667</v>
      </c>
      <c r="AW305" s="380">
        <f>tabItens[[#This Row],[QTDE ATUAL]] + tabItens[[#This Row],[RC QTDE]] + tabItens[[#This Row],[AF SALDO]] + tabItens[[#This Row],[Recentes]]</f>
        <v>426</v>
      </c>
      <c r="AX305" s="404">
        <v>17</v>
      </c>
      <c r="AY305" s="404">
        <v>4</v>
      </c>
      <c r="AZ305" s="404">
        <f>IF(ISBLANK(tabItens[[#This Row],[CÓDIGO]]),"",tabItens[[#This Row],[PontoMês]] * (AZ$2+tabItens[[#This Row],[PontoQtM]]))</f>
        <v>68</v>
      </c>
      <c r="BA305" s="403">
        <f>tabItens[[#This Row],[PontoPed]] - tabItens[[#This Row],[Saldo]] + (1/10)</f>
        <v>-357.9</v>
      </c>
      <c r="BB305" s="403">
        <f xml:space="preserve"> tabItens[[#This Row],[PontoMês]] * BB$2 - tabItens[[#This Row],[QTDE ATUAL]] - (1/10)</f>
        <v>-409.1</v>
      </c>
      <c r="BC305" s="335">
        <f>IF( tabItens[[#This Row],[PontoPed]]&gt;0, IF(tabItens[[#This Row],[PontoPed]]&lt;1, 1, IF( tabItens[[#This Row],[Saldo]]&gt;tabItens[[#This Row],[PontoPed]], 0, (tabItens[[#This Row],[PontoPed]]-tabItens[[#This Row],[Saldo]])/tabItens[[#This Row],[PontoPed]] ) ), 0 )</f>
        <v>0</v>
      </c>
      <c r="BD305" s="405">
        <f>ROUNDDOWN(IF( OR( AND(tabItens[[#This Row],[PontoPed]]&lt;tabItens[[#This Row],[Saldo]],tabItens[[#This Row],[Saldo]]&gt;0), tabItens[[#This Row],[PontoPed]]=0), 99, IF(AND(tabItens[[#This Row],[Saldo]]=0,tabItens[[#This Row],[PontoPed]]&gt;0), 0, (1-tabItens[[#This Row],[PctAb]])*10 ) ),0)</f>
        <v>99</v>
      </c>
      <c r="BE305" s="406">
        <f>MAX(ROUNDDOWN( IF(tabItens[[#This Row],[Abaixo]] &gt; 0,   tabItens[[#This Row],[Abaixo]] + (tabItens[[#This Row],[PontoMês]] * IF( OR( ISBLANK(tabItens[[#This Row],[ATA Nº/ANO]]), tabItens[[#This Row],[ATA Nº/ANO]] = ""),BE$2,BE$1)),0),0),0)</f>
        <v>0</v>
      </c>
      <c r="BF30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5" s="338">
        <f>SUMIF(Consumo!$C$3:$C$862,tabItens[[#This Row],[CÓDIGO]],Consumo!$E$3:$E$862)</f>
        <v>0</v>
      </c>
      <c r="BH305" s="339">
        <f>IF(AND(tabItens[[#This Row],[Pend]] &gt; 0,tabItens[[#This Row],[Consumo]] &lt;&gt; 0), tabItens[[#This Row],[Pend]] / tabItens[[#This Row],[Consumo]], 0 )</f>
        <v>0</v>
      </c>
      <c r="BI305" s="338"/>
      <c r="BJ305" s="407"/>
      <c r="BK305" s="408" t="s">
        <v>2086</v>
      </c>
    </row>
    <row r="306" spans="1:63" x14ac:dyDescent="0.3">
      <c r="A306" s="375">
        <v>107401</v>
      </c>
      <c r="B306" s="376" t="s">
        <v>1651</v>
      </c>
      <c r="C306" s="377" t="s">
        <v>263</v>
      </c>
      <c r="D306" s="378">
        <v>6.9</v>
      </c>
      <c r="E306" s="305"/>
      <c r="F306" s="379"/>
      <c r="G306" s="379" t="s">
        <v>889</v>
      </c>
      <c r="H306" s="380">
        <v>201</v>
      </c>
      <c r="I306" s="307">
        <v>103003</v>
      </c>
      <c r="J306" s="308">
        <v>6.9</v>
      </c>
      <c r="K306" s="381">
        <v>55</v>
      </c>
      <c r="L306" s="382">
        <f>IF(tabItens[[#This Row],[Média]] &gt; 0, tabItens[[#This Row],[QTDE ATUAL]] / tabItens[[#This Row],[Média]],999.9)</f>
        <v>44.666666666666664</v>
      </c>
      <c r="M306" s="383">
        <v>0</v>
      </c>
      <c r="N306" s="384">
        <f>tabItens[[#This Row],[VALOR UNIT.]] * tabItens[[#This Row],[LC]]</f>
        <v>0</v>
      </c>
      <c r="O306" s="385" t="s">
        <v>2104</v>
      </c>
      <c r="P306" s="386"/>
      <c r="Q306" s="387"/>
      <c r="R306" s="312"/>
      <c r="S306" s="388"/>
      <c r="T306" s="389">
        <f>ROUNDDOWN(IFERROR(tabItens[[#This Row],[ATA DT.VALID.]] - $D$1,0) / 30,0)</f>
        <v>-1474</v>
      </c>
      <c r="U306" s="302" t="s">
        <v>966</v>
      </c>
      <c r="V306" s="318">
        <v>1</v>
      </c>
      <c r="W306" s="390" t="s">
        <v>2076</v>
      </c>
      <c r="X306" s="391">
        <v>61</v>
      </c>
      <c r="Y306" s="392">
        <v>8</v>
      </c>
      <c r="Z306" s="393"/>
      <c r="AA306" s="394"/>
      <c r="AB306" s="395"/>
      <c r="AC306" s="395"/>
      <c r="AD306" s="394"/>
      <c r="AE306" s="395"/>
      <c r="AF306" s="317"/>
      <c r="AG306" s="396" t="s">
        <v>2072</v>
      </c>
      <c r="AH306" s="397"/>
      <c r="AI306" s="317">
        <v>18</v>
      </c>
      <c r="AJ306" s="397">
        <v>44658</v>
      </c>
      <c r="AK306" s="326">
        <v>39671</v>
      </c>
      <c r="AL306" s="326">
        <v>44607</v>
      </c>
      <c r="AM306" s="316"/>
      <c r="AN306" s="305"/>
      <c r="AO306" s="327" t="str">
        <f>_xlfn.IFNA(IF(VLOOKUP(tabItens[[#This Row],[CÓDIGO]],tabExcluirDoEstoque[#Data],1,FALSE),"sim",""),"")</f>
        <v/>
      </c>
      <c r="AP306" s="398" t="str">
        <f ca="1">IF(OR(ISBLANK(tabItens[[#This Row],[ATA DT.VALID.]]),tabItens[[#This Row],[ATA DT.VALID.]]="",tabItens[[#This Row],[ATA DT.VALID.]]=" "),"",IF(TYPE(tabItens[[#This Row],[ATA DT.VALID.]])=1,ROUNDUP((tabItens[[#This Row],[ATA DT.VALID.]]-TODAY())/7,0),""))</f>
        <v/>
      </c>
      <c r="AQ306" s="399">
        <v>0</v>
      </c>
      <c r="AR306" s="400" t="str">
        <f>IF(ISBLANK(tabItens[[#This Row],[CÓDIGO]]),"",IFERROR(VLOOKUP(tabItens[[#This Row],[CÓDIGO]],Consumo!$C$2:$AC$862,26,FALSE),0))</f>
        <v>05.2023</v>
      </c>
      <c r="AS306" s="401">
        <f>SUMIF(Consumo!$C$3:$C$862,tabItens[[#This Row],[CÓDIGO]],Consumo!$N$3:$N$862) + SUMIF(Consumo!$C$3:$C$862,tabItens[[#This Row],[CÓDIGO]],Consumo!$O$3:$O$862) + SUMIF(Consumo!$C$3:$C$862,tabItens[[#This Row],[CÓDIGO]],Consumo!$P$3:$P$862) + SUMIF(Consumo!$C$3:$C$862,tabItens[[#This Row],[CÓDIGO]],Consumo!$Q$3:$Q$862)</f>
        <v>0</v>
      </c>
      <c r="AT306" s="401">
        <f>SUMIF(Consumo!$C$3:$C$862,tabItens[[#This Row],[CÓDIGO]],Consumo!$Z$3:$Z$862)</f>
        <v>56</v>
      </c>
      <c r="AU306" s="402">
        <f>SUMIF(Consumo!$C$3:$C$862,tabItens[[#This Row],[CÓDIGO]],Consumo!$AA$3:$AA$862)</f>
        <v>20</v>
      </c>
      <c r="AV306" s="403">
        <f>SUMIF(Consumo!$C$3:$C$862,tabItens[[#This Row],[CÓDIGO]],Consumo!$Y$3:$Y$862)</f>
        <v>4.5</v>
      </c>
      <c r="AW306" s="380">
        <f>tabItens[[#This Row],[QTDE ATUAL]] + tabItens[[#This Row],[RC QTDE]] + tabItens[[#This Row],[AF SALDO]] + tabItens[[#This Row],[Recentes]]</f>
        <v>201</v>
      </c>
      <c r="AX306" s="404">
        <v>7</v>
      </c>
      <c r="AY306" s="404">
        <v>4</v>
      </c>
      <c r="AZ306" s="404">
        <f>IF(ISBLANK(tabItens[[#This Row],[CÓDIGO]]),"",tabItens[[#This Row],[PontoMês]] * (AZ$2+tabItens[[#This Row],[PontoQtM]]))</f>
        <v>28</v>
      </c>
      <c r="BA306" s="403">
        <f>tabItens[[#This Row],[PontoPed]] - tabItens[[#This Row],[Saldo]] + (1/10)</f>
        <v>-172.9</v>
      </c>
      <c r="BB306" s="403">
        <f xml:space="preserve"> tabItens[[#This Row],[PontoMês]] * BB$2 - tabItens[[#This Row],[QTDE ATUAL]] - (1/10)</f>
        <v>-194.1</v>
      </c>
      <c r="BC306" s="335">
        <f>IF( tabItens[[#This Row],[PontoPed]]&gt;0, IF(tabItens[[#This Row],[PontoPed]]&lt;1, 1, IF( tabItens[[#This Row],[Saldo]]&gt;tabItens[[#This Row],[PontoPed]], 0, (tabItens[[#This Row],[PontoPed]]-tabItens[[#This Row],[Saldo]])/tabItens[[#This Row],[PontoPed]] ) ), 0 )</f>
        <v>0</v>
      </c>
      <c r="BD306" s="405">
        <f>ROUNDDOWN(IF( OR( AND(tabItens[[#This Row],[PontoPed]]&lt;tabItens[[#This Row],[Saldo]],tabItens[[#This Row],[Saldo]]&gt;0), tabItens[[#This Row],[PontoPed]]=0), 99, IF(AND(tabItens[[#This Row],[Saldo]]=0,tabItens[[#This Row],[PontoPed]]&gt;0), 0, (1-tabItens[[#This Row],[PctAb]])*10 ) ),0)</f>
        <v>99</v>
      </c>
      <c r="BE306" s="406">
        <f>MAX(ROUNDDOWN( IF(tabItens[[#This Row],[Abaixo]] &gt; 0,   tabItens[[#This Row],[Abaixo]] + (tabItens[[#This Row],[PontoMês]] * IF( OR( ISBLANK(tabItens[[#This Row],[ATA Nº/ANO]]), tabItens[[#This Row],[ATA Nº/ANO]] = ""),BE$2,BE$1)),0),0),0)</f>
        <v>0</v>
      </c>
      <c r="BF30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6" s="338">
        <f>SUMIF(Consumo!$C$3:$C$862,tabItens[[#This Row],[CÓDIGO]],Consumo!$E$3:$E$862)</f>
        <v>0</v>
      </c>
      <c r="BH306" s="339">
        <f>IF(AND(tabItens[[#This Row],[Pend]] &gt; 0,tabItens[[#This Row],[Consumo]] &lt;&gt; 0), tabItens[[#This Row],[Pend]] / tabItens[[#This Row],[Consumo]], 0 )</f>
        <v>0</v>
      </c>
      <c r="BI306" s="338"/>
      <c r="BJ306" s="407"/>
      <c r="BK306" s="408" t="s">
        <v>2086</v>
      </c>
    </row>
    <row r="307" spans="1:63" x14ac:dyDescent="0.3">
      <c r="A307" s="375">
        <v>135299</v>
      </c>
      <c r="B307" s="376" t="s">
        <v>1911</v>
      </c>
      <c r="C307" s="377" t="s">
        <v>263</v>
      </c>
      <c r="D307" s="378">
        <v>2</v>
      </c>
      <c r="E307" s="305"/>
      <c r="F307" s="379"/>
      <c r="G307" s="379" t="s">
        <v>889</v>
      </c>
      <c r="H307" s="380">
        <v>45</v>
      </c>
      <c r="I307" s="307">
        <v>103003</v>
      </c>
      <c r="J307" s="308">
        <v>2</v>
      </c>
      <c r="K307" s="381">
        <v>47</v>
      </c>
      <c r="L307" s="382">
        <f>IF(tabItens[[#This Row],[Média]] &gt; 0, tabItens[[#This Row],[QTDE ATUAL]] / tabItens[[#This Row],[Média]],999.9)</f>
        <v>12.55813953488372</v>
      </c>
      <c r="M307" s="383">
        <v>0</v>
      </c>
      <c r="N307" s="384">
        <f>tabItens[[#This Row],[VALOR UNIT.]] * tabItens[[#This Row],[LC]]</f>
        <v>0</v>
      </c>
      <c r="O307" s="385" t="s">
        <v>2104</v>
      </c>
      <c r="P307" s="386"/>
      <c r="Q307" s="387"/>
      <c r="R307" s="312"/>
      <c r="S307" s="388"/>
      <c r="T307" s="389">
        <f>ROUNDDOWN(IFERROR(tabItens[[#This Row],[ATA DT.VALID.]] - $D$1,0) / 30,0)</f>
        <v>-1474</v>
      </c>
      <c r="U307" s="302" t="s">
        <v>966</v>
      </c>
      <c r="V307" s="318">
        <v>1</v>
      </c>
      <c r="W307" s="390" t="s">
        <v>2076</v>
      </c>
      <c r="X307" s="391">
        <v>61</v>
      </c>
      <c r="Y307" s="392">
        <v>8</v>
      </c>
      <c r="Z307" s="393"/>
      <c r="AA307" s="394"/>
      <c r="AB307" s="395"/>
      <c r="AC307" s="395"/>
      <c r="AD307" s="394"/>
      <c r="AE307" s="395"/>
      <c r="AF307" s="317"/>
      <c r="AG307" s="396" t="s">
        <v>2072</v>
      </c>
      <c r="AH307" s="397"/>
      <c r="AI307" s="317">
        <v>18</v>
      </c>
      <c r="AJ307" s="397">
        <v>45160</v>
      </c>
      <c r="AK307" s="326">
        <v>43277</v>
      </c>
      <c r="AL307" s="326">
        <v>45145</v>
      </c>
      <c r="AM307" s="316"/>
      <c r="AN307" s="305"/>
      <c r="AO307" s="327" t="str">
        <f>_xlfn.IFNA(IF(VLOOKUP(tabItens[[#This Row],[CÓDIGO]],tabExcluirDoEstoque[#Data],1,FALSE),"sim",""),"")</f>
        <v/>
      </c>
      <c r="AP307" s="398" t="str">
        <f ca="1">IF(OR(ISBLANK(tabItens[[#This Row],[ATA DT.VALID.]]),tabItens[[#This Row],[ATA DT.VALID.]]="",tabItens[[#This Row],[ATA DT.VALID.]]=" "),"",IF(TYPE(tabItens[[#This Row],[ATA DT.VALID.]])=1,ROUNDUP((tabItens[[#This Row],[ATA DT.VALID.]]-TODAY())/7,0),""))</f>
        <v/>
      </c>
      <c r="AQ307" s="399">
        <v>0</v>
      </c>
      <c r="AR307" s="400" t="str">
        <f>IF(ISBLANK(tabItens[[#This Row],[CÓDIGO]]),"",IFERROR(VLOOKUP(tabItens[[#This Row],[CÓDIGO]],Consumo!$C$2:$AC$862,26,FALSE),0))</f>
        <v>04.2023</v>
      </c>
      <c r="AS307" s="401">
        <f>SUMIF(Consumo!$C$3:$C$862,tabItens[[#This Row],[CÓDIGO]],Consumo!$N$3:$N$862) + SUMIF(Consumo!$C$3:$C$862,tabItens[[#This Row],[CÓDIGO]],Consumo!$O$3:$O$862) + SUMIF(Consumo!$C$3:$C$862,tabItens[[#This Row],[CÓDIGO]],Consumo!$P$3:$P$862) + SUMIF(Consumo!$C$3:$C$862,tabItens[[#This Row],[CÓDIGO]],Consumo!$Q$3:$Q$862)</f>
        <v>0</v>
      </c>
      <c r="AT307" s="401">
        <f>SUMIF(Consumo!$C$3:$C$862,tabItens[[#This Row],[CÓDIGO]],Consumo!$Z$3:$Z$862)</f>
        <v>47</v>
      </c>
      <c r="AU307" s="402">
        <f>SUMIF(Consumo!$C$3:$C$862,tabItens[[#This Row],[CÓDIGO]],Consumo!$AA$3:$AA$862)</f>
        <v>20</v>
      </c>
      <c r="AV307" s="403">
        <f>SUMIF(Consumo!$C$3:$C$862,tabItens[[#This Row],[CÓDIGO]],Consumo!$Y$3:$Y$862)</f>
        <v>3.5833333333333335</v>
      </c>
      <c r="AW307" s="380">
        <f>tabItens[[#This Row],[QTDE ATUAL]] + tabItens[[#This Row],[RC QTDE]] + tabItens[[#This Row],[AF SALDO]] + tabItens[[#This Row],[Recentes]]</f>
        <v>45</v>
      </c>
      <c r="AX307" s="404">
        <v>5</v>
      </c>
      <c r="AY307" s="404">
        <v>4</v>
      </c>
      <c r="AZ307" s="404">
        <f>IF(ISBLANK(tabItens[[#This Row],[CÓDIGO]]),"",tabItens[[#This Row],[PontoMês]] * (AZ$2+tabItens[[#This Row],[PontoQtM]]))</f>
        <v>20</v>
      </c>
      <c r="BA307" s="403">
        <f>tabItens[[#This Row],[PontoPed]] - tabItens[[#This Row],[Saldo]] + (1/10)</f>
        <v>-24.9</v>
      </c>
      <c r="BB307" s="403">
        <f xml:space="preserve"> tabItens[[#This Row],[PontoMês]] * BB$2 - tabItens[[#This Row],[QTDE ATUAL]] - (1/10)</f>
        <v>-40.1</v>
      </c>
      <c r="BC307" s="335">
        <f>IF( tabItens[[#This Row],[PontoPed]]&gt;0, IF(tabItens[[#This Row],[PontoPed]]&lt;1, 1, IF( tabItens[[#This Row],[Saldo]]&gt;tabItens[[#This Row],[PontoPed]], 0, (tabItens[[#This Row],[PontoPed]]-tabItens[[#This Row],[Saldo]])/tabItens[[#This Row],[PontoPed]] ) ), 0 )</f>
        <v>0</v>
      </c>
      <c r="BD307" s="405">
        <f>ROUNDDOWN(IF( OR( AND(tabItens[[#This Row],[PontoPed]]&lt;tabItens[[#This Row],[Saldo]],tabItens[[#This Row],[Saldo]]&gt;0), tabItens[[#This Row],[PontoPed]]=0), 99, IF(AND(tabItens[[#This Row],[Saldo]]=0,tabItens[[#This Row],[PontoPed]]&gt;0), 0, (1-tabItens[[#This Row],[PctAb]])*10 ) ),0)</f>
        <v>99</v>
      </c>
      <c r="BE307" s="406">
        <f>MAX(ROUNDDOWN( IF(tabItens[[#This Row],[Abaixo]] &gt; 0,   tabItens[[#This Row],[Abaixo]] + (tabItens[[#This Row],[PontoMês]] * IF( OR( ISBLANK(tabItens[[#This Row],[ATA Nº/ANO]]), tabItens[[#This Row],[ATA Nº/ANO]] = ""),BE$2,BE$1)),0),0),0)</f>
        <v>0</v>
      </c>
      <c r="BF30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7" s="338">
        <f>SUMIF(Consumo!$C$3:$C$862,tabItens[[#This Row],[CÓDIGO]],Consumo!$E$3:$E$862)</f>
        <v>0</v>
      </c>
      <c r="BH307" s="339">
        <f>IF(AND(tabItens[[#This Row],[Pend]] &gt; 0,tabItens[[#This Row],[Consumo]] &lt;&gt; 0), tabItens[[#This Row],[Pend]] / tabItens[[#This Row],[Consumo]], 0 )</f>
        <v>0</v>
      </c>
      <c r="BI307" s="338"/>
      <c r="BJ307" s="407"/>
      <c r="BK307" s="408" t="s">
        <v>2086</v>
      </c>
    </row>
    <row r="308" spans="1:63" x14ac:dyDescent="0.3">
      <c r="A308" s="375">
        <v>135304</v>
      </c>
      <c r="B308" s="376" t="s">
        <v>1917</v>
      </c>
      <c r="C308" s="377" t="s">
        <v>263</v>
      </c>
      <c r="D308" s="378">
        <v>4.75</v>
      </c>
      <c r="E308" s="305"/>
      <c r="F308" s="379"/>
      <c r="G308" s="379" t="s">
        <v>889</v>
      </c>
      <c r="H308" s="380">
        <v>722</v>
      </c>
      <c r="I308" s="307">
        <v>103003</v>
      </c>
      <c r="J308" s="308">
        <v>4.75</v>
      </c>
      <c r="K308" s="381">
        <v>206</v>
      </c>
      <c r="L308" s="382">
        <f>IF(tabItens[[#This Row],[Média]] &gt; 0, tabItens[[#This Row],[QTDE ATUAL]] / tabItens[[#This Row],[Média]],999.9)</f>
        <v>38.506666666666668</v>
      </c>
      <c r="M308" s="383">
        <v>0</v>
      </c>
      <c r="N308" s="384">
        <f>tabItens[[#This Row],[VALOR UNIT.]] * tabItens[[#This Row],[LC]]</f>
        <v>0</v>
      </c>
      <c r="O308" s="385" t="s">
        <v>2104</v>
      </c>
      <c r="P308" s="386"/>
      <c r="Q308" s="387"/>
      <c r="R308" s="312"/>
      <c r="S308" s="388"/>
      <c r="T308" s="389">
        <f>ROUNDDOWN(IFERROR(tabItens[[#This Row],[ATA DT.VALID.]] - $D$1,0) / 30,0)</f>
        <v>-1474</v>
      </c>
      <c r="U308" s="302" t="s">
        <v>966</v>
      </c>
      <c r="V308" s="318">
        <v>1</v>
      </c>
      <c r="W308" s="390" t="s">
        <v>2076</v>
      </c>
      <c r="X308" s="391">
        <v>61</v>
      </c>
      <c r="Y308" s="392">
        <v>8</v>
      </c>
      <c r="Z308" s="393"/>
      <c r="AA308" s="394"/>
      <c r="AB308" s="395"/>
      <c r="AC308" s="395"/>
      <c r="AD308" s="394"/>
      <c r="AE308" s="395"/>
      <c r="AF308" s="317"/>
      <c r="AG308" s="396" t="s">
        <v>2072</v>
      </c>
      <c r="AH308" s="397"/>
      <c r="AI308" s="317">
        <v>76</v>
      </c>
      <c r="AJ308" s="397">
        <v>43796</v>
      </c>
      <c r="AK308" s="326">
        <v>43277</v>
      </c>
      <c r="AL308" s="326">
        <v>43788</v>
      </c>
      <c r="AM308" s="316"/>
      <c r="AN308" s="305"/>
      <c r="AO308" s="327" t="str">
        <f>_xlfn.IFNA(IF(VLOOKUP(tabItens[[#This Row],[CÓDIGO]],tabExcluirDoEstoque[#Data],1,FALSE),"sim",""),"")</f>
        <v/>
      </c>
      <c r="AP308" s="398" t="str">
        <f ca="1">IF(OR(ISBLANK(tabItens[[#This Row],[ATA DT.VALID.]]),tabItens[[#This Row],[ATA DT.VALID.]]="",tabItens[[#This Row],[ATA DT.VALID.]]=" "),"",IF(TYPE(tabItens[[#This Row],[ATA DT.VALID.]])=1,ROUNDUP((tabItens[[#This Row],[ATA DT.VALID.]]-TODAY())/7,0),""))</f>
        <v/>
      </c>
      <c r="AQ308" s="399">
        <v>0</v>
      </c>
      <c r="AR308" s="400" t="str">
        <f>IF(ISBLANK(tabItens[[#This Row],[CÓDIGO]]),"",IFERROR(VLOOKUP(tabItens[[#This Row],[CÓDIGO]],Consumo!$C$2:$AC$862,26,FALSE),0))</f>
        <v>08.2023</v>
      </c>
      <c r="AS308" s="401">
        <f>SUMIF(Consumo!$C$3:$C$862,tabItens[[#This Row],[CÓDIGO]],Consumo!$N$3:$N$862) + SUMIF(Consumo!$C$3:$C$862,tabItens[[#This Row],[CÓDIGO]],Consumo!$O$3:$O$862) + SUMIF(Consumo!$C$3:$C$862,tabItens[[#This Row],[CÓDIGO]],Consumo!$P$3:$P$862) + SUMIF(Consumo!$C$3:$C$862,tabItens[[#This Row],[CÓDIGO]],Consumo!$Q$3:$Q$862)</f>
        <v>50</v>
      </c>
      <c r="AT308" s="401">
        <f>SUMIF(Consumo!$C$3:$C$862,tabItens[[#This Row],[CÓDIGO]],Consumo!$Z$3:$Z$862)</f>
        <v>226</v>
      </c>
      <c r="AU308" s="402">
        <f>SUMIF(Consumo!$C$3:$C$862,tabItens[[#This Row],[CÓDIGO]],Consumo!$AA$3:$AA$862)</f>
        <v>61</v>
      </c>
      <c r="AV308" s="403">
        <f>SUMIF(Consumo!$C$3:$C$862,tabItens[[#This Row],[CÓDIGO]],Consumo!$Y$3:$Y$862)</f>
        <v>18.75</v>
      </c>
      <c r="AW308" s="380">
        <f>tabItens[[#This Row],[QTDE ATUAL]] + tabItens[[#This Row],[RC QTDE]] + tabItens[[#This Row],[AF SALDO]] + tabItens[[#This Row],[Recentes]]</f>
        <v>722</v>
      </c>
      <c r="AX308" s="404">
        <v>49</v>
      </c>
      <c r="AY308" s="404">
        <v>4</v>
      </c>
      <c r="AZ308" s="404">
        <f>IF(ISBLANK(tabItens[[#This Row],[CÓDIGO]]),"",tabItens[[#This Row],[PontoMês]] * (AZ$2+tabItens[[#This Row],[PontoQtM]]))</f>
        <v>196</v>
      </c>
      <c r="BA308" s="403">
        <f>tabItens[[#This Row],[PontoPed]] - tabItens[[#This Row],[Saldo]] + (1/10)</f>
        <v>-525.9</v>
      </c>
      <c r="BB308" s="403">
        <f xml:space="preserve"> tabItens[[#This Row],[PontoMês]] * BB$2 - tabItens[[#This Row],[QTDE ATUAL]] - (1/10)</f>
        <v>-673.1</v>
      </c>
      <c r="BC308" s="335">
        <f>IF( tabItens[[#This Row],[PontoPed]]&gt;0, IF(tabItens[[#This Row],[PontoPed]]&lt;1, 1, IF( tabItens[[#This Row],[Saldo]]&gt;tabItens[[#This Row],[PontoPed]], 0, (tabItens[[#This Row],[PontoPed]]-tabItens[[#This Row],[Saldo]])/tabItens[[#This Row],[PontoPed]] ) ), 0 )</f>
        <v>0</v>
      </c>
      <c r="BD308" s="405">
        <f>ROUNDDOWN(IF( OR( AND(tabItens[[#This Row],[PontoPed]]&lt;tabItens[[#This Row],[Saldo]],tabItens[[#This Row],[Saldo]]&gt;0), tabItens[[#This Row],[PontoPed]]=0), 99, IF(AND(tabItens[[#This Row],[Saldo]]=0,tabItens[[#This Row],[PontoPed]]&gt;0), 0, (1-tabItens[[#This Row],[PctAb]])*10 ) ),0)</f>
        <v>99</v>
      </c>
      <c r="BE308" s="406">
        <f>MAX(ROUNDDOWN( IF(tabItens[[#This Row],[Abaixo]] &gt; 0,   tabItens[[#This Row],[Abaixo]] + (tabItens[[#This Row],[PontoMês]] * IF( OR( ISBLANK(tabItens[[#This Row],[ATA Nº/ANO]]), tabItens[[#This Row],[ATA Nº/ANO]] = ""),BE$2,BE$1)),0),0),0)</f>
        <v>0</v>
      </c>
      <c r="BF30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8" s="338">
        <f>SUMIF(Consumo!$C$3:$C$862,tabItens[[#This Row],[CÓDIGO]],Consumo!$E$3:$E$862)</f>
        <v>0</v>
      </c>
      <c r="BH308" s="339">
        <f>IF(AND(tabItens[[#This Row],[Pend]] &gt; 0,tabItens[[#This Row],[Consumo]] &lt;&gt; 0), tabItens[[#This Row],[Pend]] / tabItens[[#This Row],[Consumo]], 0 )</f>
        <v>0</v>
      </c>
      <c r="BI308" s="338"/>
      <c r="BJ308" s="407"/>
      <c r="BK308" s="408" t="s">
        <v>2086</v>
      </c>
    </row>
    <row r="309" spans="1:63" x14ac:dyDescent="0.3">
      <c r="A309" s="375">
        <v>138054</v>
      </c>
      <c r="B309" s="376" t="s">
        <v>1960</v>
      </c>
      <c r="C309" s="377" t="s">
        <v>263</v>
      </c>
      <c r="D309" s="378">
        <v>11.54</v>
      </c>
      <c r="E309" s="305"/>
      <c r="F309" s="379"/>
      <c r="G309" s="379" t="s">
        <v>889</v>
      </c>
      <c r="H309" s="380">
        <v>69</v>
      </c>
      <c r="I309" s="307">
        <v>103003</v>
      </c>
      <c r="J309" s="308">
        <v>11.54</v>
      </c>
      <c r="K309" s="381">
        <v>156</v>
      </c>
      <c r="L309" s="382">
        <f>IF(tabItens[[#This Row],[Média]] &gt; 0, tabItens[[#This Row],[QTDE ATUAL]] / tabItens[[#This Row],[Média]],999.9)</f>
        <v>4.9580838323353298</v>
      </c>
      <c r="M309" s="383">
        <v>0</v>
      </c>
      <c r="N309" s="384">
        <f>tabItens[[#This Row],[VALOR UNIT.]] * tabItens[[#This Row],[LC]]</f>
        <v>0</v>
      </c>
      <c r="O309" s="385" t="s">
        <v>2104</v>
      </c>
      <c r="P309" s="386"/>
      <c r="Q309" s="387"/>
      <c r="R309" s="312"/>
      <c r="S309" s="388"/>
      <c r="T309" s="389">
        <f>ROUNDDOWN(IFERROR(tabItens[[#This Row],[ATA DT.VALID.]] - $D$1,0) / 30,0)</f>
        <v>-1474</v>
      </c>
      <c r="U309" s="302" t="s">
        <v>1664</v>
      </c>
      <c r="V309" s="318">
        <v>1</v>
      </c>
      <c r="W309" s="390" t="s">
        <v>2076</v>
      </c>
      <c r="X309" s="391">
        <v>61</v>
      </c>
      <c r="Y309" s="392">
        <v>10</v>
      </c>
      <c r="Z309" s="393"/>
      <c r="AA309" s="394"/>
      <c r="AB309" s="395"/>
      <c r="AC309" s="395"/>
      <c r="AD309" s="394"/>
      <c r="AE309" s="395"/>
      <c r="AF309" s="317"/>
      <c r="AG309" s="396" t="s">
        <v>2072</v>
      </c>
      <c r="AH309" s="397"/>
      <c r="AI309" s="317">
        <v>56</v>
      </c>
      <c r="AJ309" s="397">
        <v>44526</v>
      </c>
      <c r="AK309" s="326">
        <v>43656</v>
      </c>
      <c r="AL309" s="326">
        <v>44525</v>
      </c>
      <c r="AM309" s="316"/>
      <c r="AN309" s="305"/>
      <c r="AO309" s="327" t="str">
        <f>_xlfn.IFNA(IF(VLOOKUP(tabItens[[#This Row],[CÓDIGO]],tabExcluirDoEstoque[#Data],1,FALSE),"sim",""),"")</f>
        <v/>
      </c>
      <c r="AP309" s="398" t="str">
        <f ca="1">IF(OR(ISBLANK(tabItens[[#This Row],[ATA DT.VALID.]]),tabItens[[#This Row],[ATA DT.VALID.]]="",tabItens[[#This Row],[ATA DT.VALID.]]=" "),"",IF(TYPE(tabItens[[#This Row],[ATA DT.VALID.]])=1,ROUNDUP((tabItens[[#This Row],[ATA DT.VALID.]]-TODAY())/7,0),""))</f>
        <v/>
      </c>
      <c r="AQ309" s="399">
        <v>0</v>
      </c>
      <c r="AR309" s="400" t="str">
        <f>IF(ISBLANK(tabItens[[#This Row],[CÓDIGO]]),"",IFERROR(VLOOKUP(tabItens[[#This Row],[CÓDIGO]],Consumo!$C$2:$AC$862,26,FALSE),0))</f>
        <v>07.2023</v>
      </c>
      <c r="AS309" s="401">
        <f>SUMIF(Consumo!$C$3:$C$862,tabItens[[#This Row],[CÓDIGO]],Consumo!$N$3:$N$862) + SUMIF(Consumo!$C$3:$C$862,tabItens[[#This Row],[CÓDIGO]],Consumo!$O$3:$O$862) + SUMIF(Consumo!$C$3:$C$862,tabItens[[#This Row],[CÓDIGO]],Consumo!$P$3:$P$862) + SUMIF(Consumo!$C$3:$C$862,tabItens[[#This Row],[CÓDIGO]],Consumo!$Q$3:$Q$862)</f>
        <v>44</v>
      </c>
      <c r="AT309" s="401">
        <f>SUMIF(Consumo!$C$3:$C$862,tabItens[[#This Row],[CÓDIGO]],Consumo!$Z$3:$Z$862)</f>
        <v>170</v>
      </c>
      <c r="AU309" s="402">
        <f>SUMIF(Consumo!$C$3:$C$862,tabItens[[#This Row],[CÓDIGO]],Consumo!$AA$3:$AA$862)</f>
        <v>47</v>
      </c>
      <c r="AV309" s="403">
        <f>SUMIF(Consumo!$C$3:$C$862,tabItens[[#This Row],[CÓDIGO]],Consumo!$Y$3:$Y$862)</f>
        <v>13.916666666666666</v>
      </c>
      <c r="AW309" s="380">
        <f>tabItens[[#This Row],[QTDE ATUAL]] + tabItens[[#This Row],[RC QTDE]] + tabItens[[#This Row],[AF SALDO]] + tabItens[[#This Row],[Recentes]]</f>
        <v>69</v>
      </c>
      <c r="AX309" s="404">
        <v>20</v>
      </c>
      <c r="AY309" s="404">
        <v>4</v>
      </c>
      <c r="AZ309" s="404">
        <f>IF(ISBLANK(tabItens[[#This Row],[CÓDIGO]]),"",tabItens[[#This Row],[PontoMês]] * (AZ$2+tabItens[[#This Row],[PontoQtM]]))</f>
        <v>80</v>
      </c>
      <c r="BA309" s="403">
        <f>tabItens[[#This Row],[PontoPed]] - tabItens[[#This Row],[Saldo]] + (1/10)</f>
        <v>11.1</v>
      </c>
      <c r="BB309" s="403">
        <f xml:space="preserve"> tabItens[[#This Row],[PontoMês]] * BB$2 - tabItens[[#This Row],[QTDE ATUAL]] - (1/10)</f>
        <v>-49.1</v>
      </c>
      <c r="BC309" s="335">
        <f>IF( tabItens[[#This Row],[PontoPed]]&gt;0, IF(tabItens[[#This Row],[PontoPed]]&lt;1, 1, IF( tabItens[[#This Row],[Saldo]]&gt;tabItens[[#This Row],[PontoPed]], 0, (tabItens[[#This Row],[PontoPed]]-tabItens[[#This Row],[Saldo]])/tabItens[[#This Row],[PontoPed]] ) ), 0 )</f>
        <v>0.13750000000000001</v>
      </c>
      <c r="BD309" s="405">
        <f>ROUNDDOWN(IF( OR( AND(tabItens[[#This Row],[PontoPed]]&lt;tabItens[[#This Row],[Saldo]],tabItens[[#This Row],[Saldo]]&gt;0), tabItens[[#This Row],[PontoPed]]=0), 99, IF(AND(tabItens[[#This Row],[Saldo]]=0,tabItens[[#This Row],[PontoPed]]&gt;0), 0, (1-tabItens[[#This Row],[PctAb]])*10 ) ),0)</f>
        <v>8</v>
      </c>
      <c r="BE309" s="406">
        <f>MAX(ROUNDDOWN( IF(tabItens[[#This Row],[Abaixo]] &gt; 0,   tabItens[[#This Row],[Abaixo]] + (tabItens[[#This Row],[PontoMês]] * IF( OR( ISBLANK(tabItens[[#This Row],[ATA Nº/ANO]]), tabItens[[#This Row],[ATA Nº/ANO]] = ""),BE$2,BE$1)),0),0),0)</f>
        <v>71</v>
      </c>
      <c r="BF30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9" s="338">
        <f>SUMIF(Consumo!$C$3:$C$862,tabItens[[#This Row],[CÓDIGO]],Consumo!$E$3:$E$862)</f>
        <v>0</v>
      </c>
      <c r="BH309" s="339">
        <f>IF(AND(tabItens[[#This Row],[Pend]] &gt; 0,tabItens[[#This Row],[Consumo]] &lt;&gt; 0), tabItens[[#This Row],[Pend]] / tabItens[[#This Row],[Consumo]], 0 )</f>
        <v>0</v>
      </c>
      <c r="BI309" s="338"/>
      <c r="BJ309" s="407"/>
      <c r="BK309" s="408" t="s">
        <v>2086</v>
      </c>
    </row>
    <row r="310" spans="1:63" x14ac:dyDescent="0.3">
      <c r="A310" s="375">
        <v>17422</v>
      </c>
      <c r="B310" s="376" t="s">
        <v>1133</v>
      </c>
      <c r="C310" s="377" t="s">
        <v>263</v>
      </c>
      <c r="D310" s="378">
        <v>22.48</v>
      </c>
      <c r="E310" s="305"/>
      <c r="F310" s="379"/>
      <c r="G310" s="379" t="s">
        <v>889</v>
      </c>
      <c r="H310" s="380">
        <v>57</v>
      </c>
      <c r="I310" s="307">
        <v>103003</v>
      </c>
      <c r="J310" s="308">
        <v>22.48</v>
      </c>
      <c r="K310" s="381">
        <v>2</v>
      </c>
      <c r="L310" s="382">
        <f>IF(tabItens[[#This Row],[Média]] &gt; 0, tabItens[[#This Row],[QTDE ATUAL]] / tabItens[[#This Row],[Média]],999.9)</f>
        <v>684</v>
      </c>
      <c r="M310" s="383">
        <v>0</v>
      </c>
      <c r="N310" s="384">
        <f>tabItens[[#This Row],[VALOR UNIT.]] * tabItens[[#This Row],[LC]]</f>
        <v>0</v>
      </c>
      <c r="O310" s="385" t="s">
        <v>2104</v>
      </c>
      <c r="P310" s="386"/>
      <c r="Q310" s="387"/>
      <c r="R310" s="312"/>
      <c r="S310" s="388"/>
      <c r="T310" s="389">
        <f>ROUNDDOWN(IFERROR(tabItens[[#This Row],[ATA DT.VALID.]] - $D$1,0) / 30,0)</f>
        <v>-1474</v>
      </c>
      <c r="U310" s="302" t="s">
        <v>1003</v>
      </c>
      <c r="V310" s="318">
        <v>1</v>
      </c>
      <c r="W310" s="390" t="s">
        <v>2076</v>
      </c>
      <c r="X310" s="391">
        <v>61</v>
      </c>
      <c r="Y310" s="392">
        <v>11</v>
      </c>
      <c r="Z310" s="393"/>
      <c r="AA310" s="394"/>
      <c r="AB310" s="395"/>
      <c r="AC310" s="395"/>
      <c r="AD310" s="394"/>
      <c r="AE310" s="395"/>
      <c r="AF310" s="317"/>
      <c r="AG310" s="396" t="s">
        <v>2072</v>
      </c>
      <c r="AH310" s="397"/>
      <c r="AI310" s="317">
        <v>0</v>
      </c>
      <c r="AJ310" s="397">
        <v>45181</v>
      </c>
      <c r="AK310" s="326" t="s">
        <v>889</v>
      </c>
      <c r="AL310" s="326">
        <v>45145</v>
      </c>
      <c r="AM310" s="316"/>
      <c r="AN310" s="305"/>
      <c r="AO310" s="327" t="str">
        <f>_xlfn.IFNA(IF(VLOOKUP(tabItens[[#This Row],[CÓDIGO]],tabExcluirDoEstoque[#Data],1,FALSE),"sim",""),"")</f>
        <v/>
      </c>
      <c r="AP310" s="398" t="str">
        <f ca="1">IF(OR(ISBLANK(tabItens[[#This Row],[ATA DT.VALID.]]),tabItens[[#This Row],[ATA DT.VALID.]]="",tabItens[[#This Row],[ATA DT.VALID.]]=" "),"",IF(TYPE(tabItens[[#This Row],[ATA DT.VALID.]])=1,ROUNDUP((tabItens[[#This Row],[ATA DT.VALID.]]-TODAY())/7,0),""))</f>
        <v/>
      </c>
      <c r="AQ310" s="399">
        <v>0</v>
      </c>
      <c r="AR310" s="400" t="str">
        <f>IF(ISBLANK(tabItens[[#This Row],[CÓDIGO]]),"",IFERROR(VLOOKUP(tabItens[[#This Row],[CÓDIGO]],Consumo!$C$2:$AC$862,26,FALSE),0))</f>
        <v>10.2022</v>
      </c>
      <c r="AS310" s="401">
        <f>SUMIF(Consumo!$C$3:$C$862,tabItens[[#This Row],[CÓDIGO]],Consumo!$N$3:$N$862) + SUMIF(Consumo!$C$3:$C$862,tabItens[[#This Row],[CÓDIGO]],Consumo!$O$3:$O$862) + SUMIF(Consumo!$C$3:$C$862,tabItens[[#This Row],[CÓDIGO]],Consumo!$P$3:$P$862) + SUMIF(Consumo!$C$3:$C$862,tabItens[[#This Row],[CÓDIGO]],Consumo!$Q$3:$Q$862)</f>
        <v>0</v>
      </c>
      <c r="AT310" s="401">
        <f>SUMIF(Consumo!$C$3:$C$862,tabItens[[#This Row],[CÓDIGO]],Consumo!$Z$3:$Z$862)</f>
        <v>2</v>
      </c>
      <c r="AU310" s="402">
        <f>SUMIF(Consumo!$C$3:$C$862,tabItens[[#This Row],[CÓDIGO]],Consumo!$AA$3:$AA$862)</f>
        <v>2</v>
      </c>
      <c r="AV310" s="403">
        <f>SUMIF(Consumo!$C$3:$C$862,tabItens[[#This Row],[CÓDIGO]],Consumo!$Y$3:$Y$862)</f>
        <v>8.3333333333333329E-2</v>
      </c>
      <c r="AW310" s="380">
        <f>tabItens[[#This Row],[QTDE ATUAL]] + tabItens[[#This Row],[RC QTDE]] + tabItens[[#This Row],[AF SALDO]] + tabItens[[#This Row],[Recentes]]</f>
        <v>57</v>
      </c>
      <c r="AX310" s="404">
        <v>4</v>
      </c>
      <c r="AY310" s="404">
        <v>4</v>
      </c>
      <c r="AZ310" s="404">
        <f>IF(ISBLANK(tabItens[[#This Row],[CÓDIGO]]),"",tabItens[[#This Row],[PontoMês]] * (AZ$2+tabItens[[#This Row],[PontoQtM]]))</f>
        <v>16</v>
      </c>
      <c r="BA310" s="403">
        <f>tabItens[[#This Row],[PontoPed]] - tabItens[[#This Row],[Saldo]] + (1/10)</f>
        <v>-40.9</v>
      </c>
      <c r="BB310" s="403">
        <f xml:space="preserve"> tabItens[[#This Row],[PontoMês]] * BB$2 - tabItens[[#This Row],[QTDE ATUAL]] - (1/10)</f>
        <v>-53.1</v>
      </c>
      <c r="BC310" s="335">
        <f>IF( tabItens[[#This Row],[PontoPed]]&gt;0, IF(tabItens[[#This Row],[PontoPed]]&lt;1, 1, IF( tabItens[[#This Row],[Saldo]]&gt;tabItens[[#This Row],[PontoPed]], 0, (tabItens[[#This Row],[PontoPed]]-tabItens[[#This Row],[Saldo]])/tabItens[[#This Row],[PontoPed]] ) ), 0 )</f>
        <v>0</v>
      </c>
      <c r="BD310" s="405">
        <f>ROUNDDOWN(IF( OR( AND(tabItens[[#This Row],[PontoPed]]&lt;tabItens[[#This Row],[Saldo]],tabItens[[#This Row],[Saldo]]&gt;0), tabItens[[#This Row],[PontoPed]]=0), 99, IF(AND(tabItens[[#This Row],[Saldo]]=0,tabItens[[#This Row],[PontoPed]]&gt;0), 0, (1-tabItens[[#This Row],[PctAb]])*10 ) ),0)</f>
        <v>99</v>
      </c>
      <c r="BE310" s="406">
        <f>MAX(ROUNDDOWN( IF(tabItens[[#This Row],[Abaixo]] &gt; 0,   tabItens[[#This Row],[Abaixo]] + (tabItens[[#This Row],[PontoMês]] * IF( OR( ISBLANK(tabItens[[#This Row],[ATA Nº/ANO]]), tabItens[[#This Row],[ATA Nº/ANO]] = ""),BE$2,BE$1)),0),0),0)</f>
        <v>0</v>
      </c>
      <c r="BF31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0" s="338">
        <f>SUMIF(Consumo!$C$3:$C$862,tabItens[[#This Row],[CÓDIGO]],Consumo!$E$3:$E$862)</f>
        <v>0</v>
      </c>
      <c r="BH310" s="339">
        <f>IF(AND(tabItens[[#This Row],[Pend]] &gt; 0,tabItens[[#This Row],[Consumo]] &lt;&gt; 0), tabItens[[#This Row],[Pend]] / tabItens[[#This Row],[Consumo]], 0 )</f>
        <v>0</v>
      </c>
      <c r="BI310" s="338"/>
      <c r="BJ310" s="407"/>
      <c r="BK310" s="408" t="s">
        <v>2086</v>
      </c>
    </row>
    <row r="311" spans="1:63" x14ac:dyDescent="0.3">
      <c r="A311" s="375">
        <v>17426</v>
      </c>
      <c r="B311" s="376" t="s">
        <v>1134</v>
      </c>
      <c r="C311" s="377" t="s">
        <v>263</v>
      </c>
      <c r="D311" s="378">
        <v>64</v>
      </c>
      <c r="E311" s="305"/>
      <c r="F311" s="379"/>
      <c r="G311" s="379" t="s">
        <v>889</v>
      </c>
      <c r="H311" s="380">
        <v>18</v>
      </c>
      <c r="I311" s="307">
        <v>103003</v>
      </c>
      <c r="J311" s="308">
        <v>64</v>
      </c>
      <c r="K311" s="381">
        <v>20</v>
      </c>
      <c r="L311" s="382">
        <f>IF(tabItens[[#This Row],[Média]] &gt; 0, tabItens[[#This Row],[QTDE ATUAL]] / tabItens[[#This Row],[Média]],999.9)</f>
        <v>11.368421052631579</v>
      </c>
      <c r="M311" s="383">
        <v>0</v>
      </c>
      <c r="N311" s="384">
        <f>tabItens[[#This Row],[VALOR UNIT.]] * tabItens[[#This Row],[LC]]</f>
        <v>0</v>
      </c>
      <c r="O311" s="385" t="s">
        <v>2104</v>
      </c>
      <c r="P311" s="386"/>
      <c r="Q311" s="387"/>
      <c r="R311" s="312"/>
      <c r="S311" s="388"/>
      <c r="T311" s="389">
        <f>ROUNDDOWN(IFERROR(tabItens[[#This Row],[ATA DT.VALID.]] - $D$1,0) / 30,0)</f>
        <v>-1474</v>
      </c>
      <c r="U311" s="302" t="s">
        <v>1003</v>
      </c>
      <c r="V311" s="318">
        <v>1</v>
      </c>
      <c r="W311" s="390" t="s">
        <v>2076</v>
      </c>
      <c r="X311" s="391">
        <v>61</v>
      </c>
      <c r="Y311" s="392">
        <v>11</v>
      </c>
      <c r="Z311" s="393"/>
      <c r="AA311" s="394"/>
      <c r="AB311" s="395"/>
      <c r="AC311" s="395"/>
      <c r="AD311" s="394"/>
      <c r="AE311" s="395"/>
      <c r="AF311" s="317"/>
      <c r="AG311" s="396" t="s">
        <v>2072</v>
      </c>
      <c r="AH311" s="397"/>
      <c r="AI311" s="317">
        <v>6</v>
      </c>
      <c r="AJ311" s="397">
        <v>45208</v>
      </c>
      <c r="AK311" s="326" t="s">
        <v>889</v>
      </c>
      <c r="AL311" s="326">
        <v>45145</v>
      </c>
      <c r="AM311" s="316"/>
      <c r="AN311" s="305"/>
      <c r="AO311" s="327" t="str">
        <f>_xlfn.IFNA(IF(VLOOKUP(tabItens[[#This Row],[CÓDIGO]],tabExcluirDoEstoque[#Data],1,FALSE),"sim",""),"")</f>
        <v/>
      </c>
      <c r="AP311" s="398" t="str">
        <f ca="1">IF(OR(ISBLANK(tabItens[[#This Row],[ATA DT.VALID.]]),tabItens[[#This Row],[ATA DT.VALID.]]="",tabItens[[#This Row],[ATA DT.VALID.]]=" "),"",IF(TYPE(tabItens[[#This Row],[ATA DT.VALID.]])=1,ROUNDUP((tabItens[[#This Row],[ATA DT.VALID.]]-TODAY())/7,0),""))</f>
        <v/>
      </c>
      <c r="AQ311" s="399">
        <v>0</v>
      </c>
      <c r="AR311" s="400" t="str">
        <f>IF(ISBLANK(tabItens[[#This Row],[CÓDIGO]]),"",IFERROR(VLOOKUP(tabItens[[#This Row],[CÓDIGO]],Consumo!$C$2:$AC$862,26,FALSE),0))</f>
        <v>07.2023</v>
      </c>
      <c r="AS311" s="401">
        <f>SUMIF(Consumo!$C$3:$C$862,tabItens[[#This Row],[CÓDIGO]],Consumo!$N$3:$N$862) + SUMIF(Consumo!$C$3:$C$862,tabItens[[#This Row],[CÓDIGO]],Consumo!$O$3:$O$862) + SUMIF(Consumo!$C$3:$C$862,tabItens[[#This Row],[CÓDIGO]],Consumo!$P$3:$P$862) + SUMIF(Consumo!$C$3:$C$862,tabItens[[#This Row],[CÓDIGO]],Consumo!$Q$3:$Q$862)</f>
        <v>4</v>
      </c>
      <c r="AT311" s="401">
        <f>SUMIF(Consumo!$C$3:$C$862,tabItens[[#This Row],[CÓDIGO]],Consumo!$Z$3:$Z$862)</f>
        <v>21</v>
      </c>
      <c r="AU311" s="402">
        <f>SUMIF(Consumo!$C$3:$C$862,tabItens[[#This Row],[CÓDIGO]],Consumo!$AA$3:$AA$862)</f>
        <v>8</v>
      </c>
      <c r="AV311" s="403">
        <f>SUMIF(Consumo!$C$3:$C$862,tabItens[[#This Row],[CÓDIGO]],Consumo!$Y$3:$Y$862)</f>
        <v>1.5833333333333333</v>
      </c>
      <c r="AW311" s="380">
        <f>tabItens[[#This Row],[QTDE ATUAL]] + tabItens[[#This Row],[RC QTDE]] + tabItens[[#This Row],[AF SALDO]] + tabItens[[#This Row],[Recentes]]</f>
        <v>18</v>
      </c>
      <c r="AX311" s="404">
        <v>3</v>
      </c>
      <c r="AY311" s="404">
        <v>4</v>
      </c>
      <c r="AZ311" s="404">
        <f>IF(ISBLANK(tabItens[[#This Row],[CÓDIGO]]),"",tabItens[[#This Row],[PontoMês]] * (AZ$2+tabItens[[#This Row],[PontoQtM]]))</f>
        <v>12</v>
      </c>
      <c r="BA311" s="403">
        <f>tabItens[[#This Row],[PontoPed]] - tabItens[[#This Row],[Saldo]] + (1/10)</f>
        <v>-5.9</v>
      </c>
      <c r="BB311" s="403">
        <f xml:space="preserve"> tabItens[[#This Row],[PontoMês]] * BB$2 - tabItens[[#This Row],[QTDE ATUAL]] - (1/10)</f>
        <v>-15.1</v>
      </c>
      <c r="BC311" s="335">
        <f>IF( tabItens[[#This Row],[PontoPed]]&gt;0, IF(tabItens[[#This Row],[PontoPed]]&lt;1, 1, IF( tabItens[[#This Row],[Saldo]]&gt;tabItens[[#This Row],[PontoPed]], 0, (tabItens[[#This Row],[PontoPed]]-tabItens[[#This Row],[Saldo]])/tabItens[[#This Row],[PontoPed]] ) ), 0 )</f>
        <v>0</v>
      </c>
      <c r="BD311" s="405">
        <f>ROUNDDOWN(IF( OR( AND(tabItens[[#This Row],[PontoPed]]&lt;tabItens[[#This Row],[Saldo]],tabItens[[#This Row],[Saldo]]&gt;0), tabItens[[#This Row],[PontoPed]]=0), 99, IF(AND(tabItens[[#This Row],[Saldo]]=0,tabItens[[#This Row],[PontoPed]]&gt;0), 0, (1-tabItens[[#This Row],[PctAb]])*10 ) ),0)</f>
        <v>99</v>
      </c>
      <c r="BE311" s="406">
        <f>MAX(ROUNDDOWN( IF(tabItens[[#This Row],[Abaixo]] &gt; 0,   tabItens[[#This Row],[Abaixo]] + (tabItens[[#This Row],[PontoMês]] * IF( OR( ISBLANK(tabItens[[#This Row],[ATA Nº/ANO]]), tabItens[[#This Row],[ATA Nº/ANO]] = ""),BE$2,BE$1)),0),0),0)</f>
        <v>0</v>
      </c>
      <c r="BF31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1" s="338">
        <f>SUMIF(Consumo!$C$3:$C$862,tabItens[[#This Row],[CÓDIGO]],Consumo!$E$3:$E$862)</f>
        <v>1</v>
      </c>
      <c r="BH311" s="339">
        <f>IF(AND(tabItens[[#This Row],[Pend]] &gt; 0,tabItens[[#This Row],[Consumo]] &lt;&gt; 0), tabItens[[#This Row],[Pend]] / tabItens[[#This Row],[Consumo]], 0 )</f>
        <v>4.7619047619047616E-2</v>
      </c>
      <c r="BI311" s="338"/>
      <c r="BJ311" s="407"/>
      <c r="BK311" s="408" t="s">
        <v>2086</v>
      </c>
    </row>
    <row r="312" spans="1:63" x14ac:dyDescent="0.3">
      <c r="A312" s="375">
        <v>133819</v>
      </c>
      <c r="B312" s="376" t="s">
        <v>1862</v>
      </c>
      <c r="C312" s="377" t="s">
        <v>263</v>
      </c>
      <c r="D312" s="378">
        <v>2.39</v>
      </c>
      <c r="E312" s="305"/>
      <c r="F312" s="379"/>
      <c r="G312" s="379" t="s">
        <v>889</v>
      </c>
      <c r="H312" s="380">
        <v>370</v>
      </c>
      <c r="I312" s="307">
        <v>103003</v>
      </c>
      <c r="J312" s="308">
        <v>2.39</v>
      </c>
      <c r="K312" s="381">
        <v>331</v>
      </c>
      <c r="L312" s="382">
        <f>IF(tabItens[[#This Row],[Média]] &gt; 0, tabItens[[#This Row],[QTDE ATUAL]] / tabItens[[#This Row],[Média]],999.9)</f>
        <v>9.6103896103896105</v>
      </c>
      <c r="M312" s="383">
        <v>0</v>
      </c>
      <c r="N312" s="384">
        <f>tabItens[[#This Row],[VALOR UNIT.]] * tabItens[[#This Row],[LC]]</f>
        <v>0</v>
      </c>
      <c r="O312" s="385" t="s">
        <v>2104</v>
      </c>
      <c r="P312" s="386"/>
      <c r="Q312" s="387"/>
      <c r="R312" s="312"/>
      <c r="S312" s="388"/>
      <c r="T312" s="389">
        <f>ROUNDDOWN(IFERROR(tabItens[[#This Row],[ATA DT.VALID.]] - $D$1,0) / 30,0)</f>
        <v>-1474</v>
      </c>
      <c r="U312" s="302" t="s">
        <v>1003</v>
      </c>
      <c r="V312" s="318">
        <v>1</v>
      </c>
      <c r="W312" s="390" t="s">
        <v>2076</v>
      </c>
      <c r="X312" s="391">
        <v>61</v>
      </c>
      <c r="Y312" s="392">
        <v>11</v>
      </c>
      <c r="Z312" s="393"/>
      <c r="AA312" s="394"/>
      <c r="AB312" s="395"/>
      <c r="AC312" s="395"/>
      <c r="AD312" s="394"/>
      <c r="AE312" s="395"/>
      <c r="AF312" s="317"/>
      <c r="AG312" s="396" t="s">
        <v>2072</v>
      </c>
      <c r="AH312" s="397"/>
      <c r="AI312" s="317">
        <v>150</v>
      </c>
      <c r="AJ312" s="397">
        <v>45184</v>
      </c>
      <c r="AK312" s="326">
        <v>43052</v>
      </c>
      <c r="AL312" s="326">
        <v>45180</v>
      </c>
      <c r="AM312" s="316"/>
      <c r="AN312" s="305"/>
      <c r="AO312" s="327" t="str">
        <f>_xlfn.IFNA(IF(VLOOKUP(tabItens[[#This Row],[CÓDIGO]],tabExcluirDoEstoque[#Data],1,FALSE),"sim",""),"")</f>
        <v/>
      </c>
      <c r="AP312" s="398" t="str">
        <f ca="1">IF(OR(ISBLANK(tabItens[[#This Row],[ATA DT.VALID.]]),tabItens[[#This Row],[ATA DT.VALID.]]="",tabItens[[#This Row],[ATA DT.VALID.]]=" "),"",IF(TYPE(tabItens[[#This Row],[ATA DT.VALID.]])=1,ROUNDUP((tabItens[[#This Row],[ATA DT.VALID.]]-TODAY())/7,0),""))</f>
        <v/>
      </c>
      <c r="AQ312" s="399">
        <v>0</v>
      </c>
      <c r="AR312" s="400" t="str">
        <f>IF(ISBLANK(tabItens[[#This Row],[CÓDIGO]]),"",IFERROR(VLOOKUP(tabItens[[#This Row],[CÓDIGO]],Consumo!$C$2:$AC$862,26,FALSE),0))</f>
        <v>09.2023</v>
      </c>
      <c r="AS312" s="401">
        <f>SUMIF(Consumo!$C$3:$C$862,tabItens[[#This Row],[CÓDIGO]],Consumo!$N$3:$N$862) + SUMIF(Consumo!$C$3:$C$862,tabItens[[#This Row],[CÓDIGO]],Consumo!$O$3:$O$862) + SUMIF(Consumo!$C$3:$C$862,tabItens[[#This Row],[CÓDIGO]],Consumo!$P$3:$P$862) + SUMIF(Consumo!$C$3:$C$862,tabItens[[#This Row],[CÓDIGO]],Consumo!$Q$3:$Q$862)</f>
        <v>193</v>
      </c>
      <c r="AT312" s="401">
        <f>SUMIF(Consumo!$C$3:$C$862,tabItens[[#This Row],[CÓDIGO]],Consumo!$Z$3:$Z$862)</f>
        <v>474</v>
      </c>
      <c r="AU312" s="402">
        <f>SUMIF(Consumo!$C$3:$C$862,tabItens[[#This Row],[CÓDIGO]],Consumo!$AA$3:$AA$862)</f>
        <v>100</v>
      </c>
      <c r="AV312" s="403">
        <f>SUMIF(Consumo!$C$3:$C$862,tabItens[[#This Row],[CÓDIGO]],Consumo!$Y$3:$Y$862)</f>
        <v>38.5</v>
      </c>
      <c r="AW312" s="380">
        <f>tabItens[[#This Row],[QTDE ATUAL]] + tabItens[[#This Row],[RC QTDE]] + tabItens[[#This Row],[AF SALDO]] + tabItens[[#This Row],[Recentes]]</f>
        <v>370</v>
      </c>
      <c r="AX312" s="404">
        <v>100</v>
      </c>
      <c r="AY312" s="404">
        <v>4</v>
      </c>
      <c r="AZ312" s="404">
        <f>IF(ISBLANK(tabItens[[#This Row],[CÓDIGO]]),"",tabItens[[#This Row],[PontoMês]] * (AZ$2+tabItens[[#This Row],[PontoQtM]]))</f>
        <v>400</v>
      </c>
      <c r="BA312" s="403">
        <f>tabItens[[#This Row],[PontoPed]] - tabItens[[#This Row],[Saldo]] + (1/10)</f>
        <v>30.1</v>
      </c>
      <c r="BB312" s="403">
        <f xml:space="preserve"> tabItens[[#This Row],[PontoMês]] * BB$2 - tabItens[[#This Row],[QTDE ATUAL]] - (1/10)</f>
        <v>-270.10000000000002</v>
      </c>
      <c r="BC312" s="335">
        <f>IF( tabItens[[#This Row],[PontoPed]]&gt;0, IF(tabItens[[#This Row],[PontoPed]]&lt;1, 1, IF( tabItens[[#This Row],[Saldo]]&gt;tabItens[[#This Row],[PontoPed]], 0, (tabItens[[#This Row],[PontoPed]]-tabItens[[#This Row],[Saldo]])/tabItens[[#This Row],[PontoPed]] ) ), 0 )</f>
        <v>7.4999999999999997E-2</v>
      </c>
      <c r="BD312" s="405">
        <f>ROUNDDOWN(IF( OR( AND(tabItens[[#This Row],[PontoPed]]&lt;tabItens[[#This Row],[Saldo]],tabItens[[#This Row],[Saldo]]&gt;0), tabItens[[#This Row],[PontoPed]]=0), 99, IF(AND(tabItens[[#This Row],[Saldo]]=0,tabItens[[#This Row],[PontoPed]]&gt;0), 0, (1-tabItens[[#This Row],[PctAb]])*10 ) ),0)</f>
        <v>9</v>
      </c>
      <c r="BE312" s="406">
        <f>MAX(ROUNDDOWN( IF(tabItens[[#This Row],[Abaixo]] &gt; 0,   tabItens[[#This Row],[Abaixo]] + (tabItens[[#This Row],[PontoMês]] * IF( OR( ISBLANK(tabItens[[#This Row],[ATA Nº/ANO]]), tabItens[[#This Row],[ATA Nº/ANO]] = ""),BE$2,BE$1)),0),0),0)</f>
        <v>330</v>
      </c>
      <c r="BF31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2" s="338">
        <f>SUMIF(Consumo!$C$3:$C$862,tabItens[[#This Row],[CÓDIGO]],Consumo!$E$3:$E$862)</f>
        <v>22</v>
      </c>
      <c r="BH312" s="339">
        <f>IF(AND(tabItens[[#This Row],[Pend]] &gt; 0,tabItens[[#This Row],[Consumo]] &lt;&gt; 0), tabItens[[#This Row],[Pend]] / tabItens[[#This Row],[Consumo]], 0 )</f>
        <v>4.6413502109704644E-2</v>
      </c>
      <c r="BI312" s="338"/>
      <c r="BJ312" s="407"/>
      <c r="BK312" s="408" t="s">
        <v>2086</v>
      </c>
    </row>
    <row r="313" spans="1:63" x14ac:dyDescent="0.3">
      <c r="A313" s="375">
        <v>103142</v>
      </c>
      <c r="B313" s="376" t="s">
        <v>1601</v>
      </c>
      <c r="C313" s="377" t="s">
        <v>263</v>
      </c>
      <c r="D313" s="378">
        <v>414.81</v>
      </c>
      <c r="E313" s="305"/>
      <c r="F313" s="379"/>
      <c r="G313" s="379" t="s">
        <v>889</v>
      </c>
      <c r="H313" s="380">
        <v>5</v>
      </c>
      <c r="I313" s="307">
        <v>103003</v>
      </c>
      <c r="J313" s="308">
        <v>402.46832999999998</v>
      </c>
      <c r="K313" s="381">
        <v>7</v>
      </c>
      <c r="L313" s="382">
        <f>IF(tabItens[[#This Row],[Média]] &gt; 0, tabItens[[#This Row],[QTDE ATUAL]] / tabItens[[#This Row],[Média]],999.9)</f>
        <v>8.5714285714285712</v>
      </c>
      <c r="M313" s="383">
        <v>0</v>
      </c>
      <c r="N313" s="384">
        <f>tabItens[[#This Row],[VALOR UNIT.]] * tabItens[[#This Row],[LC]]</f>
        <v>0</v>
      </c>
      <c r="O313" s="385" t="s">
        <v>2104</v>
      </c>
      <c r="P313" s="386"/>
      <c r="Q313" s="387"/>
      <c r="R313" s="312"/>
      <c r="S313" s="388"/>
      <c r="T313" s="389">
        <f>ROUNDDOWN(IFERROR(tabItens[[#This Row],[ATA DT.VALID.]] - $D$1,0) / 30,0)</f>
        <v>-1474</v>
      </c>
      <c r="U313" s="302" t="s">
        <v>1602</v>
      </c>
      <c r="V313" s="318">
        <v>1</v>
      </c>
      <c r="W313" s="390" t="s">
        <v>2076</v>
      </c>
      <c r="X313" s="391">
        <v>61</v>
      </c>
      <c r="Y313" s="392">
        <v>13</v>
      </c>
      <c r="Z313" s="393"/>
      <c r="AA313" s="394"/>
      <c r="AB313" s="395"/>
      <c r="AC313" s="395"/>
      <c r="AD313" s="394"/>
      <c r="AE313" s="395"/>
      <c r="AF313" s="317"/>
      <c r="AG313" s="396" t="s">
        <v>2072</v>
      </c>
      <c r="AH313" s="397"/>
      <c r="AI313" s="317">
        <v>2</v>
      </c>
      <c r="AJ313" s="397">
        <v>44950</v>
      </c>
      <c r="AK313" s="326">
        <v>39393</v>
      </c>
      <c r="AL313" s="326">
        <v>44939</v>
      </c>
      <c r="AM313" s="316"/>
      <c r="AN313" s="305"/>
      <c r="AO313" s="327" t="str">
        <f>_xlfn.IFNA(IF(VLOOKUP(tabItens[[#This Row],[CÓDIGO]],tabExcluirDoEstoque[#Data],1,FALSE),"sim",""),"")</f>
        <v/>
      </c>
      <c r="AP313" s="398" t="str">
        <f ca="1">IF(OR(ISBLANK(tabItens[[#This Row],[ATA DT.VALID.]]),tabItens[[#This Row],[ATA DT.VALID.]]="",tabItens[[#This Row],[ATA DT.VALID.]]=" "),"",IF(TYPE(tabItens[[#This Row],[ATA DT.VALID.]])=1,ROUNDUP((tabItens[[#This Row],[ATA DT.VALID.]]-TODAY())/7,0),""))</f>
        <v/>
      </c>
      <c r="AQ313" s="399">
        <v>0</v>
      </c>
      <c r="AR313" s="400" t="str">
        <f>IF(ISBLANK(tabItens[[#This Row],[CÓDIGO]]),"",IFERROR(VLOOKUP(tabItens[[#This Row],[CÓDIGO]],Consumo!$C$2:$AC$862,26,FALSE),0))</f>
        <v>08.2023</v>
      </c>
      <c r="AS313" s="401">
        <f>SUMIF(Consumo!$C$3:$C$862,tabItens[[#This Row],[CÓDIGO]],Consumo!$N$3:$N$862) + SUMIF(Consumo!$C$3:$C$862,tabItens[[#This Row],[CÓDIGO]],Consumo!$O$3:$O$862) + SUMIF(Consumo!$C$3:$C$862,tabItens[[#This Row],[CÓDIGO]],Consumo!$P$3:$P$862) + SUMIF(Consumo!$C$3:$C$862,tabItens[[#This Row],[CÓDIGO]],Consumo!$Q$3:$Q$862)</f>
        <v>3</v>
      </c>
      <c r="AT313" s="401">
        <f>SUMIF(Consumo!$C$3:$C$862,tabItens[[#This Row],[CÓDIGO]],Consumo!$Z$3:$Z$862)</f>
        <v>7</v>
      </c>
      <c r="AU313" s="402">
        <f>SUMIF(Consumo!$C$3:$C$862,tabItens[[#This Row],[CÓDIGO]],Consumo!$AA$3:$AA$862)</f>
        <v>2</v>
      </c>
      <c r="AV313" s="403">
        <f>SUMIF(Consumo!$C$3:$C$862,tabItens[[#This Row],[CÓDIGO]],Consumo!$Y$3:$Y$862)</f>
        <v>0.58333333333333337</v>
      </c>
      <c r="AW313" s="380">
        <f>tabItens[[#This Row],[QTDE ATUAL]] + tabItens[[#This Row],[RC QTDE]] + tabItens[[#This Row],[AF SALDO]] + tabItens[[#This Row],[Recentes]]</f>
        <v>5</v>
      </c>
      <c r="AX313" s="404">
        <v>1</v>
      </c>
      <c r="AY313" s="404">
        <v>4</v>
      </c>
      <c r="AZ313" s="404">
        <f>IF(ISBLANK(tabItens[[#This Row],[CÓDIGO]]),"",tabItens[[#This Row],[PontoMês]] * (AZ$2+tabItens[[#This Row],[PontoQtM]]))</f>
        <v>4</v>
      </c>
      <c r="BA313" s="403">
        <f>tabItens[[#This Row],[PontoPed]] - tabItens[[#This Row],[Saldo]] + (1/10)</f>
        <v>-0.9</v>
      </c>
      <c r="BB313" s="403">
        <f xml:space="preserve"> tabItens[[#This Row],[PontoMês]] * BB$2 - tabItens[[#This Row],[QTDE ATUAL]] - (1/10)</f>
        <v>-4.0999999999999996</v>
      </c>
      <c r="BC313" s="335">
        <f>IF( tabItens[[#This Row],[PontoPed]]&gt;0, IF(tabItens[[#This Row],[PontoPed]]&lt;1, 1, IF( tabItens[[#This Row],[Saldo]]&gt;tabItens[[#This Row],[PontoPed]], 0, (tabItens[[#This Row],[PontoPed]]-tabItens[[#This Row],[Saldo]])/tabItens[[#This Row],[PontoPed]] ) ), 0 )</f>
        <v>0</v>
      </c>
      <c r="BD313" s="405">
        <f>ROUNDDOWN(IF( OR( AND(tabItens[[#This Row],[PontoPed]]&lt;tabItens[[#This Row],[Saldo]],tabItens[[#This Row],[Saldo]]&gt;0), tabItens[[#This Row],[PontoPed]]=0), 99, IF(AND(tabItens[[#This Row],[Saldo]]=0,tabItens[[#This Row],[PontoPed]]&gt;0), 0, (1-tabItens[[#This Row],[PctAb]])*10 ) ),0)</f>
        <v>99</v>
      </c>
      <c r="BE313" s="406">
        <f>MAX(ROUNDDOWN( IF(tabItens[[#This Row],[Abaixo]] &gt; 0,   tabItens[[#This Row],[Abaixo]] + (tabItens[[#This Row],[PontoMês]] * IF( OR( ISBLANK(tabItens[[#This Row],[ATA Nº/ANO]]), tabItens[[#This Row],[ATA Nº/ANO]] = ""),BE$2,BE$1)),0),0),0)</f>
        <v>0</v>
      </c>
      <c r="BF31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3" s="338">
        <f>SUMIF(Consumo!$C$3:$C$862,tabItens[[#This Row],[CÓDIGO]],Consumo!$E$3:$E$862)</f>
        <v>0</v>
      </c>
      <c r="BH313" s="339">
        <f>IF(AND(tabItens[[#This Row],[Pend]] &gt; 0,tabItens[[#This Row],[Consumo]] &lt;&gt; 0), tabItens[[#This Row],[Pend]] / tabItens[[#This Row],[Consumo]], 0 )</f>
        <v>0</v>
      </c>
      <c r="BI313" s="338"/>
      <c r="BJ313" s="407"/>
      <c r="BK313" s="408" t="s">
        <v>2086</v>
      </c>
    </row>
    <row r="314" spans="1:63" x14ac:dyDescent="0.3">
      <c r="A314" s="375">
        <v>134581</v>
      </c>
      <c r="B314" s="376" t="s">
        <v>1905</v>
      </c>
      <c r="C314" s="377" t="s">
        <v>263</v>
      </c>
      <c r="D314" s="378">
        <v>94.93</v>
      </c>
      <c r="E314" s="305"/>
      <c r="F314" s="379"/>
      <c r="G314" s="379" t="s">
        <v>889</v>
      </c>
      <c r="H314" s="380">
        <v>10</v>
      </c>
      <c r="I314" s="307">
        <v>103003</v>
      </c>
      <c r="J314" s="308">
        <v>94.93</v>
      </c>
      <c r="K314" s="381">
        <v>63</v>
      </c>
      <c r="L314" s="382">
        <f>IF(tabItens[[#This Row],[Média]] &gt; 0, tabItens[[#This Row],[QTDE ATUAL]] / tabItens[[#This Row],[Média]],999.9)</f>
        <v>1.4457831325301205</v>
      </c>
      <c r="M314" s="383">
        <v>0</v>
      </c>
      <c r="N314" s="384">
        <f>tabItens[[#This Row],[VALOR UNIT.]] * tabItens[[#This Row],[LC]]</f>
        <v>0</v>
      </c>
      <c r="O314" s="385" t="s">
        <v>2104</v>
      </c>
      <c r="P314" s="386"/>
      <c r="Q314" s="387"/>
      <c r="R314" s="312"/>
      <c r="S314" s="388"/>
      <c r="T314" s="389">
        <f>ROUNDDOWN(IFERROR(tabItens[[#This Row],[ATA DT.VALID.]] - $D$1,0) / 30,0)</f>
        <v>-1474</v>
      </c>
      <c r="U314" s="302" t="s">
        <v>1015</v>
      </c>
      <c r="V314" s="318">
        <v>1</v>
      </c>
      <c r="W314" s="390" t="s">
        <v>2076</v>
      </c>
      <c r="X314" s="391">
        <v>61</v>
      </c>
      <c r="Y314" s="392">
        <v>14</v>
      </c>
      <c r="Z314" s="393"/>
      <c r="AA314" s="394"/>
      <c r="AB314" s="395"/>
      <c r="AC314" s="395"/>
      <c r="AD314" s="394"/>
      <c r="AE314" s="395"/>
      <c r="AF314" s="317"/>
      <c r="AG314" s="396" t="s">
        <v>2072</v>
      </c>
      <c r="AH314" s="397"/>
      <c r="AI314" s="317">
        <v>20</v>
      </c>
      <c r="AJ314" s="397">
        <v>45189</v>
      </c>
      <c r="AK314" s="326">
        <v>43174</v>
      </c>
      <c r="AL314" s="326">
        <v>45145</v>
      </c>
      <c r="AM314" s="316"/>
      <c r="AN314" s="305"/>
      <c r="AO314" s="327" t="str">
        <f>_xlfn.IFNA(IF(VLOOKUP(tabItens[[#This Row],[CÓDIGO]],tabExcluirDoEstoque[#Data],1,FALSE),"sim",""),"")</f>
        <v/>
      </c>
      <c r="AP314" s="398" t="str">
        <f ca="1">IF(OR(ISBLANK(tabItens[[#This Row],[ATA DT.VALID.]]),tabItens[[#This Row],[ATA DT.VALID.]]="",tabItens[[#This Row],[ATA DT.VALID.]]=" "),"",IF(TYPE(tabItens[[#This Row],[ATA DT.VALID.]])=1,ROUNDUP((tabItens[[#This Row],[ATA DT.VALID.]]-TODAY())/7,0),""))</f>
        <v/>
      </c>
      <c r="AQ314" s="399">
        <v>0</v>
      </c>
      <c r="AR314" s="400" t="str">
        <f>IF(ISBLANK(tabItens[[#This Row],[CÓDIGO]]),"",IFERROR(VLOOKUP(tabItens[[#This Row],[CÓDIGO]],Consumo!$C$2:$AC$862,26,FALSE),0))</f>
        <v>09.2023</v>
      </c>
      <c r="AS314" s="401">
        <f>SUMIF(Consumo!$C$3:$C$862,tabItens[[#This Row],[CÓDIGO]],Consumo!$N$3:$N$862) + SUMIF(Consumo!$C$3:$C$862,tabItens[[#This Row],[CÓDIGO]],Consumo!$O$3:$O$862) + SUMIF(Consumo!$C$3:$C$862,tabItens[[#This Row],[CÓDIGO]],Consumo!$P$3:$P$862) + SUMIF(Consumo!$C$3:$C$862,tabItens[[#This Row],[CÓDIGO]],Consumo!$Q$3:$Q$862)</f>
        <v>10</v>
      </c>
      <c r="AT314" s="401">
        <f>SUMIF(Consumo!$C$3:$C$862,tabItens[[#This Row],[CÓDIGO]],Consumo!$Z$3:$Z$862)</f>
        <v>83</v>
      </c>
      <c r="AU314" s="402">
        <f>SUMIF(Consumo!$C$3:$C$862,tabItens[[#This Row],[CÓDIGO]],Consumo!$AA$3:$AA$862)</f>
        <v>22</v>
      </c>
      <c r="AV314" s="403">
        <f>SUMIF(Consumo!$C$3:$C$862,tabItens[[#This Row],[CÓDIGO]],Consumo!$Y$3:$Y$862)</f>
        <v>6.916666666666667</v>
      </c>
      <c r="AW314" s="380">
        <f>tabItens[[#This Row],[QTDE ATUAL]] + tabItens[[#This Row],[RC QTDE]] + tabItens[[#This Row],[AF SALDO]] + tabItens[[#This Row],[Recentes]]</f>
        <v>10</v>
      </c>
      <c r="AX314" s="404">
        <v>5</v>
      </c>
      <c r="AY314" s="404">
        <v>4</v>
      </c>
      <c r="AZ314" s="404">
        <f>IF(ISBLANK(tabItens[[#This Row],[CÓDIGO]]),"",tabItens[[#This Row],[PontoMês]] * (AZ$2+tabItens[[#This Row],[PontoQtM]]))</f>
        <v>20</v>
      </c>
      <c r="BA314" s="403">
        <f>tabItens[[#This Row],[PontoPed]] - tabItens[[#This Row],[Saldo]] + (1/10)</f>
        <v>10.1</v>
      </c>
      <c r="BB314" s="403">
        <f xml:space="preserve"> tabItens[[#This Row],[PontoMês]] * BB$2 - tabItens[[#This Row],[QTDE ATUAL]] - (1/10)</f>
        <v>-5.0999999999999996</v>
      </c>
      <c r="BC314" s="335">
        <f>IF( tabItens[[#This Row],[PontoPed]]&gt;0, IF(tabItens[[#This Row],[PontoPed]]&lt;1, 1, IF( tabItens[[#This Row],[Saldo]]&gt;tabItens[[#This Row],[PontoPed]], 0, (tabItens[[#This Row],[PontoPed]]-tabItens[[#This Row],[Saldo]])/tabItens[[#This Row],[PontoPed]] ) ), 0 )</f>
        <v>0.5</v>
      </c>
      <c r="BD314" s="405">
        <f>ROUNDDOWN(IF( OR( AND(tabItens[[#This Row],[PontoPed]]&lt;tabItens[[#This Row],[Saldo]],tabItens[[#This Row],[Saldo]]&gt;0), tabItens[[#This Row],[PontoPed]]=0), 99, IF(AND(tabItens[[#This Row],[Saldo]]=0,tabItens[[#This Row],[PontoPed]]&gt;0), 0, (1-tabItens[[#This Row],[PctAb]])*10 ) ),0)</f>
        <v>5</v>
      </c>
      <c r="BE314" s="406">
        <f>MAX(ROUNDDOWN( IF(tabItens[[#This Row],[Abaixo]] &gt; 0,   tabItens[[#This Row],[Abaixo]] + (tabItens[[#This Row],[PontoMês]] * IF( OR( ISBLANK(tabItens[[#This Row],[ATA Nº/ANO]]), tabItens[[#This Row],[ATA Nº/ANO]] = ""),BE$2,BE$1)),0),0),0)</f>
        <v>25</v>
      </c>
      <c r="BF31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4" s="338">
        <f>SUMIF(Consumo!$C$3:$C$862,tabItens[[#This Row],[CÓDIGO]],Consumo!$E$3:$E$862)</f>
        <v>21</v>
      </c>
      <c r="BH314" s="339">
        <f>IF(AND(tabItens[[#This Row],[Pend]] &gt; 0,tabItens[[#This Row],[Consumo]] &lt;&gt; 0), tabItens[[#This Row],[Pend]] / tabItens[[#This Row],[Consumo]], 0 )</f>
        <v>0.25301204819277107</v>
      </c>
      <c r="BI314" s="338"/>
      <c r="BJ314" s="407"/>
      <c r="BK314" s="408" t="s">
        <v>2086</v>
      </c>
    </row>
    <row r="315" spans="1:63" x14ac:dyDescent="0.3">
      <c r="A315" s="375">
        <v>134582</v>
      </c>
      <c r="B315" s="376" t="s">
        <v>1906</v>
      </c>
      <c r="C315" s="377" t="s">
        <v>263</v>
      </c>
      <c r="D315" s="378">
        <v>66.45</v>
      </c>
      <c r="E315" s="305"/>
      <c r="F315" s="379"/>
      <c r="G315" s="379" t="s">
        <v>889</v>
      </c>
      <c r="H315" s="380">
        <v>57</v>
      </c>
      <c r="I315" s="307">
        <v>103003</v>
      </c>
      <c r="J315" s="308">
        <v>66.45</v>
      </c>
      <c r="K315" s="381">
        <v>69</v>
      </c>
      <c r="L315" s="382">
        <f>IF(tabItens[[#This Row],[Média]] &gt; 0, tabItens[[#This Row],[QTDE ATUAL]] / tabItens[[#This Row],[Média]],999.9)</f>
        <v>7.354838709677419</v>
      </c>
      <c r="M315" s="383">
        <v>0</v>
      </c>
      <c r="N315" s="384">
        <f>tabItens[[#This Row],[VALOR UNIT.]] * tabItens[[#This Row],[LC]]</f>
        <v>0</v>
      </c>
      <c r="O315" s="385" t="s">
        <v>2104</v>
      </c>
      <c r="P315" s="386"/>
      <c r="Q315" s="387"/>
      <c r="R315" s="312"/>
      <c r="S315" s="388"/>
      <c r="T315" s="389">
        <f>ROUNDDOWN(IFERROR(tabItens[[#This Row],[ATA DT.VALID.]] - $D$1,0) / 30,0)</f>
        <v>-1474</v>
      </c>
      <c r="U315" s="302" t="s">
        <v>1015</v>
      </c>
      <c r="V315" s="318">
        <v>1</v>
      </c>
      <c r="W315" s="390" t="s">
        <v>2076</v>
      </c>
      <c r="X315" s="391">
        <v>61</v>
      </c>
      <c r="Y315" s="392">
        <v>14</v>
      </c>
      <c r="Z315" s="393"/>
      <c r="AA315" s="394"/>
      <c r="AB315" s="395"/>
      <c r="AC315" s="395"/>
      <c r="AD315" s="394"/>
      <c r="AE315" s="395"/>
      <c r="AF315" s="317"/>
      <c r="AG315" s="396" t="s">
        <v>2072</v>
      </c>
      <c r="AH315" s="397"/>
      <c r="AI315" s="317">
        <v>32</v>
      </c>
      <c r="AJ315" s="397">
        <v>45189</v>
      </c>
      <c r="AK315" s="326">
        <v>43174</v>
      </c>
      <c r="AL315" s="326">
        <v>45145</v>
      </c>
      <c r="AM315" s="316"/>
      <c r="AN315" s="305"/>
      <c r="AO315" s="327" t="str">
        <f>_xlfn.IFNA(IF(VLOOKUP(tabItens[[#This Row],[CÓDIGO]],tabExcluirDoEstoque[#Data],1,FALSE),"sim",""),"")</f>
        <v/>
      </c>
      <c r="AP315" s="398" t="str">
        <f ca="1">IF(OR(ISBLANK(tabItens[[#This Row],[ATA DT.VALID.]]),tabItens[[#This Row],[ATA DT.VALID.]]="",tabItens[[#This Row],[ATA DT.VALID.]]=" "),"",IF(TYPE(tabItens[[#This Row],[ATA DT.VALID.]])=1,ROUNDUP((tabItens[[#This Row],[ATA DT.VALID.]]-TODAY())/7,0),""))</f>
        <v/>
      </c>
      <c r="AQ315" s="399">
        <v>0</v>
      </c>
      <c r="AR315" s="400" t="str">
        <f>IF(ISBLANK(tabItens[[#This Row],[CÓDIGO]]),"",IFERROR(VLOOKUP(tabItens[[#This Row],[CÓDIGO]],Consumo!$C$2:$AC$862,26,FALSE),0))</f>
        <v>09.2023</v>
      </c>
      <c r="AS315" s="401">
        <f>SUMIF(Consumo!$C$3:$C$862,tabItens[[#This Row],[CÓDIGO]],Consumo!$N$3:$N$862) + SUMIF(Consumo!$C$3:$C$862,tabItens[[#This Row],[CÓDIGO]],Consumo!$O$3:$O$862) + SUMIF(Consumo!$C$3:$C$862,tabItens[[#This Row],[CÓDIGO]],Consumo!$P$3:$P$862) + SUMIF(Consumo!$C$3:$C$862,tabItens[[#This Row],[CÓDIGO]],Consumo!$Q$3:$Q$862)</f>
        <v>36</v>
      </c>
      <c r="AT315" s="401">
        <f>SUMIF(Consumo!$C$3:$C$862,tabItens[[#This Row],[CÓDIGO]],Consumo!$Z$3:$Z$862)</f>
        <v>96</v>
      </c>
      <c r="AU315" s="402">
        <f>SUMIF(Consumo!$C$3:$C$862,tabItens[[#This Row],[CÓDIGO]],Consumo!$AA$3:$AA$862)</f>
        <v>21</v>
      </c>
      <c r="AV315" s="403">
        <f>SUMIF(Consumo!$C$3:$C$862,tabItens[[#This Row],[CÓDIGO]],Consumo!$Y$3:$Y$862)</f>
        <v>7.75</v>
      </c>
      <c r="AW315" s="380">
        <f>tabItens[[#This Row],[QTDE ATUAL]] + tabItens[[#This Row],[RC QTDE]] + tabItens[[#This Row],[AF SALDO]] + tabItens[[#This Row],[Recentes]]</f>
        <v>57</v>
      </c>
      <c r="AX315" s="404">
        <v>10</v>
      </c>
      <c r="AY315" s="404">
        <v>4</v>
      </c>
      <c r="AZ315" s="404">
        <f>IF(ISBLANK(tabItens[[#This Row],[CÓDIGO]]),"",tabItens[[#This Row],[PontoMês]] * (AZ$2+tabItens[[#This Row],[PontoQtM]]))</f>
        <v>40</v>
      </c>
      <c r="BA315" s="403">
        <f>tabItens[[#This Row],[PontoPed]] - tabItens[[#This Row],[Saldo]] + (1/10)</f>
        <v>-16.899999999999999</v>
      </c>
      <c r="BB315" s="403">
        <f xml:space="preserve"> tabItens[[#This Row],[PontoMês]] * BB$2 - tabItens[[#This Row],[QTDE ATUAL]] - (1/10)</f>
        <v>-47.1</v>
      </c>
      <c r="BC315" s="335">
        <f>IF( tabItens[[#This Row],[PontoPed]]&gt;0, IF(tabItens[[#This Row],[PontoPed]]&lt;1, 1, IF( tabItens[[#This Row],[Saldo]]&gt;tabItens[[#This Row],[PontoPed]], 0, (tabItens[[#This Row],[PontoPed]]-tabItens[[#This Row],[Saldo]])/tabItens[[#This Row],[PontoPed]] ) ), 0 )</f>
        <v>0</v>
      </c>
      <c r="BD315" s="405">
        <f>ROUNDDOWN(IF( OR( AND(tabItens[[#This Row],[PontoPed]]&lt;tabItens[[#This Row],[Saldo]],tabItens[[#This Row],[Saldo]]&gt;0), tabItens[[#This Row],[PontoPed]]=0), 99, IF(AND(tabItens[[#This Row],[Saldo]]=0,tabItens[[#This Row],[PontoPed]]&gt;0), 0, (1-tabItens[[#This Row],[PctAb]])*10 ) ),0)</f>
        <v>99</v>
      </c>
      <c r="BE315" s="406">
        <f>MAX(ROUNDDOWN( IF(tabItens[[#This Row],[Abaixo]] &gt; 0,   tabItens[[#This Row],[Abaixo]] + (tabItens[[#This Row],[PontoMês]] * IF( OR( ISBLANK(tabItens[[#This Row],[ATA Nº/ANO]]), tabItens[[#This Row],[ATA Nº/ANO]] = ""),BE$2,BE$1)),0),0),0)</f>
        <v>0</v>
      </c>
      <c r="BF31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5" s="338">
        <f>SUMIF(Consumo!$C$3:$C$862,tabItens[[#This Row],[CÓDIGO]],Consumo!$E$3:$E$862)</f>
        <v>0</v>
      </c>
      <c r="BH315" s="339">
        <f>IF(AND(tabItens[[#This Row],[Pend]] &gt; 0,tabItens[[#This Row],[Consumo]] &lt;&gt; 0), tabItens[[#This Row],[Pend]] / tabItens[[#This Row],[Consumo]], 0 )</f>
        <v>0</v>
      </c>
      <c r="BI315" s="338"/>
      <c r="BJ315" s="407"/>
      <c r="BK315" s="408" t="s">
        <v>2086</v>
      </c>
    </row>
    <row r="316" spans="1:63" x14ac:dyDescent="0.3">
      <c r="A316" s="375">
        <v>25756</v>
      </c>
      <c r="B316" s="376" t="s">
        <v>1208</v>
      </c>
      <c r="C316" s="377" t="s">
        <v>263</v>
      </c>
      <c r="D316" s="378">
        <v>66.25</v>
      </c>
      <c r="E316" s="305"/>
      <c r="F316" s="379"/>
      <c r="G316" s="379" t="s">
        <v>889</v>
      </c>
      <c r="H316" s="380">
        <v>116</v>
      </c>
      <c r="I316" s="307">
        <v>103003</v>
      </c>
      <c r="J316" s="308">
        <v>66.25</v>
      </c>
      <c r="K316" s="381">
        <v>53</v>
      </c>
      <c r="L316" s="382">
        <f>IF(tabItens[[#This Row],[Média]] &gt; 0, tabItens[[#This Row],[QTDE ATUAL]] / tabItens[[#This Row],[Média]],999.9)</f>
        <v>28.408163265306126</v>
      </c>
      <c r="M316" s="383">
        <v>0</v>
      </c>
      <c r="N316" s="384">
        <f>tabItens[[#This Row],[VALOR UNIT.]] * tabItens[[#This Row],[LC]]</f>
        <v>0</v>
      </c>
      <c r="O316" s="385" t="s">
        <v>2104</v>
      </c>
      <c r="P316" s="386"/>
      <c r="Q316" s="387"/>
      <c r="R316" s="312"/>
      <c r="S316" s="388"/>
      <c r="T316" s="389">
        <f>ROUNDDOWN(IFERROR(tabItens[[#This Row],[ATA DT.VALID.]] - $D$1,0) / 30,0)</f>
        <v>-1474</v>
      </c>
      <c r="U316" s="302" t="s">
        <v>1011</v>
      </c>
      <c r="V316" s="318">
        <v>1</v>
      </c>
      <c r="W316" s="390" t="s">
        <v>2076</v>
      </c>
      <c r="X316" s="391">
        <v>61</v>
      </c>
      <c r="Y316" s="392">
        <v>15</v>
      </c>
      <c r="Z316" s="393"/>
      <c r="AA316" s="394"/>
      <c r="AB316" s="395"/>
      <c r="AC316" s="395"/>
      <c r="AD316" s="394"/>
      <c r="AE316" s="395"/>
      <c r="AF316" s="317"/>
      <c r="AG316" s="396" t="s">
        <v>2072</v>
      </c>
      <c r="AH316" s="397"/>
      <c r="AI316" s="317">
        <v>18</v>
      </c>
      <c r="AJ316" s="397">
        <v>44610</v>
      </c>
      <c r="AK316" s="326" t="s">
        <v>889</v>
      </c>
      <c r="AL316" s="326">
        <v>44607</v>
      </c>
      <c r="AM316" s="316"/>
      <c r="AN316" s="305"/>
      <c r="AO316" s="327" t="str">
        <f>_xlfn.IFNA(IF(VLOOKUP(tabItens[[#This Row],[CÓDIGO]],tabExcluirDoEstoque[#Data],1,FALSE),"sim",""),"")</f>
        <v/>
      </c>
      <c r="AP316" s="398" t="str">
        <f ca="1">IF(OR(ISBLANK(tabItens[[#This Row],[ATA DT.VALID.]]),tabItens[[#This Row],[ATA DT.VALID.]]="",tabItens[[#This Row],[ATA DT.VALID.]]=" "),"",IF(TYPE(tabItens[[#This Row],[ATA DT.VALID.]])=1,ROUNDUP((tabItens[[#This Row],[ATA DT.VALID.]]-TODAY())/7,0),""))</f>
        <v/>
      </c>
      <c r="AQ316" s="399">
        <v>0</v>
      </c>
      <c r="AR316" s="400" t="str">
        <f>IF(ISBLANK(tabItens[[#This Row],[CÓDIGO]]),"",IFERROR(VLOOKUP(tabItens[[#This Row],[CÓDIGO]],Consumo!$C$2:$AC$862,26,FALSE),0))</f>
        <v>05.2023</v>
      </c>
      <c r="AS316" s="401">
        <f>SUMIF(Consumo!$C$3:$C$862,tabItens[[#This Row],[CÓDIGO]],Consumo!$N$3:$N$862) + SUMIF(Consumo!$C$3:$C$862,tabItens[[#This Row],[CÓDIGO]],Consumo!$O$3:$O$862) + SUMIF(Consumo!$C$3:$C$862,tabItens[[#This Row],[CÓDIGO]],Consumo!$P$3:$P$862) + SUMIF(Consumo!$C$3:$C$862,tabItens[[#This Row],[CÓDIGO]],Consumo!$Q$3:$Q$862)</f>
        <v>0</v>
      </c>
      <c r="AT316" s="401">
        <f>SUMIF(Consumo!$C$3:$C$862,tabItens[[#This Row],[CÓDIGO]],Consumo!$Z$3:$Z$862)</f>
        <v>55</v>
      </c>
      <c r="AU316" s="402">
        <f>SUMIF(Consumo!$C$3:$C$862,tabItens[[#This Row],[CÓDIGO]],Consumo!$AA$3:$AA$862)</f>
        <v>23</v>
      </c>
      <c r="AV316" s="403">
        <f>SUMIF(Consumo!$C$3:$C$862,tabItens[[#This Row],[CÓDIGO]],Consumo!$Y$3:$Y$862)</f>
        <v>4.083333333333333</v>
      </c>
      <c r="AW316" s="380">
        <f>tabItens[[#This Row],[QTDE ATUAL]] + tabItens[[#This Row],[RC QTDE]] + tabItens[[#This Row],[AF SALDO]] + tabItens[[#This Row],[Recentes]]</f>
        <v>116</v>
      </c>
      <c r="AX316" s="404">
        <v>6</v>
      </c>
      <c r="AY316" s="404">
        <v>4</v>
      </c>
      <c r="AZ316" s="404">
        <f>IF(ISBLANK(tabItens[[#This Row],[CÓDIGO]]),"",tabItens[[#This Row],[PontoMês]] * (AZ$2+tabItens[[#This Row],[PontoQtM]]))</f>
        <v>24</v>
      </c>
      <c r="BA316" s="403">
        <f>tabItens[[#This Row],[PontoPed]] - tabItens[[#This Row],[Saldo]] + (1/10)</f>
        <v>-91.9</v>
      </c>
      <c r="BB316" s="403">
        <f xml:space="preserve"> tabItens[[#This Row],[PontoMês]] * BB$2 - tabItens[[#This Row],[QTDE ATUAL]] - (1/10)</f>
        <v>-110.1</v>
      </c>
      <c r="BC316" s="335">
        <f>IF( tabItens[[#This Row],[PontoPed]]&gt;0, IF(tabItens[[#This Row],[PontoPed]]&lt;1, 1, IF( tabItens[[#This Row],[Saldo]]&gt;tabItens[[#This Row],[PontoPed]], 0, (tabItens[[#This Row],[PontoPed]]-tabItens[[#This Row],[Saldo]])/tabItens[[#This Row],[PontoPed]] ) ), 0 )</f>
        <v>0</v>
      </c>
      <c r="BD316" s="405">
        <f>ROUNDDOWN(IF( OR( AND(tabItens[[#This Row],[PontoPed]]&lt;tabItens[[#This Row],[Saldo]],tabItens[[#This Row],[Saldo]]&gt;0), tabItens[[#This Row],[PontoPed]]=0), 99, IF(AND(tabItens[[#This Row],[Saldo]]=0,tabItens[[#This Row],[PontoPed]]&gt;0), 0, (1-tabItens[[#This Row],[PctAb]])*10 ) ),0)</f>
        <v>99</v>
      </c>
      <c r="BE316" s="406">
        <f>MAX(ROUNDDOWN( IF(tabItens[[#This Row],[Abaixo]] &gt; 0,   tabItens[[#This Row],[Abaixo]] + (tabItens[[#This Row],[PontoMês]] * IF( OR( ISBLANK(tabItens[[#This Row],[ATA Nº/ANO]]), tabItens[[#This Row],[ATA Nº/ANO]] = ""),BE$2,BE$1)),0),0),0)</f>
        <v>0</v>
      </c>
      <c r="BF31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6" s="338">
        <f>SUMIF(Consumo!$C$3:$C$862,tabItens[[#This Row],[CÓDIGO]],Consumo!$E$3:$E$862)</f>
        <v>0</v>
      </c>
      <c r="BH316" s="339">
        <f>IF(AND(tabItens[[#This Row],[Pend]] &gt; 0,tabItens[[#This Row],[Consumo]] &lt;&gt; 0), tabItens[[#This Row],[Pend]] / tabItens[[#This Row],[Consumo]], 0 )</f>
        <v>0</v>
      </c>
      <c r="BI316" s="338"/>
      <c r="BJ316" s="407"/>
      <c r="BK316" s="408" t="s">
        <v>2086</v>
      </c>
    </row>
    <row r="317" spans="1:63" x14ac:dyDescent="0.3">
      <c r="A317" s="375">
        <v>53849</v>
      </c>
      <c r="B317" s="376" t="s">
        <v>1311</v>
      </c>
      <c r="C317" s="377" t="s">
        <v>263</v>
      </c>
      <c r="D317" s="378">
        <v>36.42</v>
      </c>
      <c r="E317" s="305"/>
      <c r="F317" s="379"/>
      <c r="G317" s="379" t="s">
        <v>889</v>
      </c>
      <c r="H317" s="380">
        <v>20</v>
      </c>
      <c r="I317" s="307">
        <v>103003</v>
      </c>
      <c r="J317" s="308">
        <v>36.42</v>
      </c>
      <c r="K317" s="381">
        <v>77</v>
      </c>
      <c r="L317" s="382">
        <f>IF(tabItens[[#This Row],[Média]] &gt; 0, tabItens[[#This Row],[QTDE ATUAL]] / tabItens[[#This Row],[Média]],999.9)</f>
        <v>2.8235294117647061</v>
      </c>
      <c r="M317" s="383">
        <v>0</v>
      </c>
      <c r="N317" s="384">
        <f>tabItens[[#This Row],[VALOR UNIT.]] * tabItens[[#This Row],[LC]]</f>
        <v>0</v>
      </c>
      <c r="O317" s="385" t="s">
        <v>2104</v>
      </c>
      <c r="P317" s="386"/>
      <c r="Q317" s="387"/>
      <c r="R317" s="312"/>
      <c r="S317" s="388"/>
      <c r="T317" s="389">
        <f>ROUNDDOWN(IFERROR(tabItens[[#This Row],[ATA DT.VALID.]] - $D$1,0) / 30,0)</f>
        <v>-1474</v>
      </c>
      <c r="U317" s="302" t="s">
        <v>1011</v>
      </c>
      <c r="V317" s="318">
        <v>1</v>
      </c>
      <c r="W317" s="390" t="s">
        <v>2076</v>
      </c>
      <c r="X317" s="391">
        <v>61</v>
      </c>
      <c r="Y317" s="392">
        <v>15</v>
      </c>
      <c r="Z317" s="393"/>
      <c r="AA317" s="394"/>
      <c r="AB317" s="395"/>
      <c r="AC317" s="395"/>
      <c r="AD317" s="394"/>
      <c r="AE317" s="395"/>
      <c r="AF317" s="317"/>
      <c r="AG317" s="396" t="s">
        <v>2072</v>
      </c>
      <c r="AH317" s="397"/>
      <c r="AI317" s="317">
        <v>32</v>
      </c>
      <c r="AJ317" s="397">
        <v>45184</v>
      </c>
      <c r="AK317" s="326" t="s">
        <v>889</v>
      </c>
      <c r="AL317" s="326">
        <v>45145</v>
      </c>
      <c r="AM317" s="316"/>
      <c r="AN317" s="305"/>
      <c r="AO317" s="327" t="str">
        <f>_xlfn.IFNA(IF(VLOOKUP(tabItens[[#This Row],[CÓDIGO]],tabExcluirDoEstoque[#Data],1,FALSE),"sim",""),"")</f>
        <v/>
      </c>
      <c r="AP317" s="398" t="str">
        <f ca="1">IF(OR(ISBLANK(tabItens[[#This Row],[ATA DT.VALID.]]),tabItens[[#This Row],[ATA DT.VALID.]]="",tabItens[[#This Row],[ATA DT.VALID.]]=" "),"",IF(TYPE(tabItens[[#This Row],[ATA DT.VALID.]])=1,ROUNDUP((tabItens[[#This Row],[ATA DT.VALID.]]-TODAY())/7,0),""))</f>
        <v/>
      </c>
      <c r="AQ317" s="399">
        <v>0</v>
      </c>
      <c r="AR317" s="400" t="str">
        <f>IF(ISBLANK(tabItens[[#This Row],[CÓDIGO]]),"",IFERROR(VLOOKUP(tabItens[[#This Row],[CÓDIGO]],Consumo!$C$2:$AC$862,26,FALSE),0))</f>
        <v>08.2023</v>
      </c>
      <c r="AS317" s="401">
        <f>SUMIF(Consumo!$C$3:$C$862,tabItens[[#This Row],[CÓDIGO]],Consumo!$N$3:$N$862) + SUMIF(Consumo!$C$3:$C$862,tabItens[[#This Row],[CÓDIGO]],Consumo!$O$3:$O$862) + SUMIF(Consumo!$C$3:$C$862,tabItens[[#This Row],[CÓDIGO]],Consumo!$P$3:$P$862) + SUMIF(Consumo!$C$3:$C$862,tabItens[[#This Row],[CÓDIGO]],Consumo!$Q$3:$Q$862)</f>
        <v>35</v>
      </c>
      <c r="AT317" s="401">
        <f>SUMIF(Consumo!$C$3:$C$862,tabItens[[#This Row],[CÓDIGO]],Consumo!$Z$3:$Z$862)</f>
        <v>92</v>
      </c>
      <c r="AU317" s="402">
        <f>SUMIF(Consumo!$C$3:$C$862,tabItens[[#This Row],[CÓDIGO]],Consumo!$AA$3:$AA$862)</f>
        <v>35</v>
      </c>
      <c r="AV317" s="403">
        <f>SUMIF(Consumo!$C$3:$C$862,tabItens[[#This Row],[CÓDIGO]],Consumo!$Y$3:$Y$862)</f>
        <v>7.083333333333333</v>
      </c>
      <c r="AW317" s="380">
        <f>tabItens[[#This Row],[QTDE ATUAL]] + tabItens[[#This Row],[RC QTDE]] + tabItens[[#This Row],[AF SALDO]] + tabItens[[#This Row],[Recentes]]</f>
        <v>20</v>
      </c>
      <c r="AX317" s="404">
        <v>3</v>
      </c>
      <c r="AY317" s="404">
        <v>4</v>
      </c>
      <c r="AZ317" s="404">
        <f>IF(ISBLANK(tabItens[[#This Row],[CÓDIGO]]),"",tabItens[[#This Row],[PontoMês]] * (AZ$2+tabItens[[#This Row],[PontoQtM]]))</f>
        <v>12</v>
      </c>
      <c r="BA317" s="403">
        <f>tabItens[[#This Row],[PontoPed]] - tabItens[[#This Row],[Saldo]] + (1/10)</f>
        <v>-7.9</v>
      </c>
      <c r="BB317" s="403">
        <f xml:space="preserve"> tabItens[[#This Row],[PontoMês]] * BB$2 - tabItens[[#This Row],[QTDE ATUAL]] - (1/10)</f>
        <v>-17.100000000000001</v>
      </c>
      <c r="BC317" s="335">
        <f>IF( tabItens[[#This Row],[PontoPed]]&gt;0, IF(tabItens[[#This Row],[PontoPed]]&lt;1, 1, IF( tabItens[[#This Row],[Saldo]]&gt;tabItens[[#This Row],[PontoPed]], 0, (tabItens[[#This Row],[PontoPed]]-tabItens[[#This Row],[Saldo]])/tabItens[[#This Row],[PontoPed]] ) ), 0 )</f>
        <v>0</v>
      </c>
      <c r="BD317" s="405">
        <f>ROUNDDOWN(IF( OR( AND(tabItens[[#This Row],[PontoPed]]&lt;tabItens[[#This Row],[Saldo]],tabItens[[#This Row],[Saldo]]&gt;0), tabItens[[#This Row],[PontoPed]]=0), 99, IF(AND(tabItens[[#This Row],[Saldo]]=0,tabItens[[#This Row],[PontoPed]]&gt;0), 0, (1-tabItens[[#This Row],[PctAb]])*10 ) ),0)</f>
        <v>99</v>
      </c>
      <c r="BE317" s="406">
        <f>MAX(ROUNDDOWN( IF(tabItens[[#This Row],[Abaixo]] &gt; 0,   tabItens[[#This Row],[Abaixo]] + (tabItens[[#This Row],[PontoMês]] * IF( OR( ISBLANK(tabItens[[#This Row],[ATA Nº/ANO]]), tabItens[[#This Row],[ATA Nº/ANO]] = ""),BE$2,BE$1)),0),0),0)</f>
        <v>0</v>
      </c>
      <c r="BF31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7" s="338">
        <f>SUMIF(Consumo!$C$3:$C$862,tabItens[[#This Row],[CÓDIGO]],Consumo!$E$3:$E$862)</f>
        <v>15</v>
      </c>
      <c r="BH317" s="339">
        <f>IF(AND(tabItens[[#This Row],[Pend]] &gt; 0,tabItens[[#This Row],[Consumo]] &lt;&gt; 0), tabItens[[#This Row],[Pend]] / tabItens[[#This Row],[Consumo]], 0 )</f>
        <v>0.16304347826086957</v>
      </c>
      <c r="BI317" s="338"/>
      <c r="BJ317" s="407"/>
      <c r="BK317" s="408" t="s">
        <v>2086</v>
      </c>
    </row>
    <row r="318" spans="1:63" x14ac:dyDescent="0.3">
      <c r="A318" s="375">
        <v>113581</v>
      </c>
      <c r="B318" s="376" t="s">
        <v>1698</v>
      </c>
      <c r="C318" s="377" t="s">
        <v>263</v>
      </c>
      <c r="D318" s="378">
        <v>4.9800000000000004</v>
      </c>
      <c r="E318" s="305"/>
      <c r="F318" s="379"/>
      <c r="G318" s="379" t="s">
        <v>889</v>
      </c>
      <c r="H318" s="380">
        <v>729</v>
      </c>
      <c r="I318" s="307">
        <v>103003</v>
      </c>
      <c r="J318" s="308">
        <v>4.9800000000000004</v>
      </c>
      <c r="K318" s="381">
        <v>316</v>
      </c>
      <c r="L318" s="382">
        <f>IF(tabItens[[#This Row],[Média]] &gt; 0, tabItens[[#This Row],[QTDE ATUAL]] / tabItens[[#This Row],[Média]],999.9)</f>
        <v>22.035264483627202</v>
      </c>
      <c r="M318" s="383">
        <v>0</v>
      </c>
      <c r="N318" s="384">
        <f>tabItens[[#This Row],[VALOR UNIT.]] * tabItens[[#This Row],[LC]]</f>
        <v>0</v>
      </c>
      <c r="O318" s="385" t="s">
        <v>2104</v>
      </c>
      <c r="P318" s="386"/>
      <c r="Q318" s="387"/>
      <c r="R318" s="312"/>
      <c r="S318" s="388"/>
      <c r="T318" s="389">
        <f>ROUNDDOWN(IFERROR(tabItens[[#This Row],[ATA DT.VALID.]] - $D$1,0) / 30,0)</f>
        <v>-1474</v>
      </c>
      <c r="U318" s="302" t="s">
        <v>1011</v>
      </c>
      <c r="V318" s="318">
        <v>1</v>
      </c>
      <c r="W318" s="390" t="s">
        <v>2076</v>
      </c>
      <c r="X318" s="391">
        <v>61</v>
      </c>
      <c r="Y318" s="392">
        <v>15</v>
      </c>
      <c r="Z318" s="393"/>
      <c r="AA318" s="394"/>
      <c r="AB318" s="395"/>
      <c r="AC318" s="395"/>
      <c r="AD318" s="394"/>
      <c r="AE318" s="395"/>
      <c r="AF318" s="317"/>
      <c r="AG318" s="396" t="s">
        <v>2072</v>
      </c>
      <c r="AH318" s="397"/>
      <c r="AI318" s="317">
        <v>134</v>
      </c>
      <c r="AJ318" s="397">
        <v>45184</v>
      </c>
      <c r="AK318" s="326">
        <v>40143</v>
      </c>
      <c r="AL318" s="326">
        <v>45145</v>
      </c>
      <c r="AM318" s="316"/>
      <c r="AN318" s="305"/>
      <c r="AO318" s="327" t="str">
        <f>_xlfn.IFNA(IF(VLOOKUP(tabItens[[#This Row],[CÓDIGO]],tabExcluirDoEstoque[#Data],1,FALSE),"sim",""),"")</f>
        <v/>
      </c>
      <c r="AP318" s="398" t="str">
        <f ca="1">IF(OR(ISBLANK(tabItens[[#This Row],[ATA DT.VALID.]]),tabItens[[#This Row],[ATA DT.VALID.]]="",tabItens[[#This Row],[ATA DT.VALID.]]=" "),"",IF(TYPE(tabItens[[#This Row],[ATA DT.VALID.]])=1,ROUNDUP((tabItens[[#This Row],[ATA DT.VALID.]]-TODAY())/7,0),""))</f>
        <v/>
      </c>
      <c r="AQ318" s="399">
        <v>0</v>
      </c>
      <c r="AR318" s="400" t="str">
        <f>IF(ISBLANK(tabItens[[#This Row],[CÓDIGO]]),"",IFERROR(VLOOKUP(tabItens[[#This Row],[CÓDIGO]],Consumo!$C$2:$AC$862,26,FALSE),0))</f>
        <v>08.2023</v>
      </c>
      <c r="AS318" s="401">
        <f>SUMIF(Consumo!$C$3:$C$862,tabItens[[#This Row],[CÓDIGO]],Consumo!$N$3:$N$862) + SUMIF(Consumo!$C$3:$C$862,tabItens[[#This Row],[CÓDIGO]],Consumo!$O$3:$O$862) + SUMIF(Consumo!$C$3:$C$862,tabItens[[#This Row],[CÓDIGO]],Consumo!$P$3:$P$862) + SUMIF(Consumo!$C$3:$C$862,tabItens[[#This Row],[CÓDIGO]],Consumo!$Q$3:$Q$862)</f>
        <v>130</v>
      </c>
      <c r="AT318" s="401">
        <f>SUMIF(Consumo!$C$3:$C$862,tabItens[[#This Row],[CÓDIGO]],Consumo!$Z$3:$Z$862)</f>
        <v>401</v>
      </c>
      <c r="AU318" s="402">
        <f>SUMIF(Consumo!$C$3:$C$862,tabItens[[#This Row],[CÓDIGO]],Consumo!$AA$3:$AA$862)</f>
        <v>90</v>
      </c>
      <c r="AV318" s="403">
        <f>SUMIF(Consumo!$C$3:$C$862,tabItens[[#This Row],[CÓDIGO]],Consumo!$Y$3:$Y$862)</f>
        <v>33.083333333333336</v>
      </c>
      <c r="AW318" s="380">
        <f>tabItens[[#This Row],[QTDE ATUAL]] + tabItens[[#This Row],[RC QTDE]] + tabItens[[#This Row],[AF SALDO]] + tabItens[[#This Row],[Recentes]]</f>
        <v>729</v>
      </c>
      <c r="AX318" s="404">
        <v>71</v>
      </c>
      <c r="AY318" s="404">
        <v>4</v>
      </c>
      <c r="AZ318" s="404">
        <f>IF(ISBLANK(tabItens[[#This Row],[CÓDIGO]]),"",tabItens[[#This Row],[PontoMês]] * (AZ$2+tabItens[[#This Row],[PontoQtM]]))</f>
        <v>284</v>
      </c>
      <c r="BA318" s="403">
        <f>tabItens[[#This Row],[PontoPed]] - tabItens[[#This Row],[Saldo]] + (1/10)</f>
        <v>-444.9</v>
      </c>
      <c r="BB318" s="403">
        <f xml:space="preserve"> tabItens[[#This Row],[PontoMês]] * BB$2 - tabItens[[#This Row],[QTDE ATUAL]] - (1/10)</f>
        <v>-658.1</v>
      </c>
      <c r="BC318" s="335">
        <f>IF( tabItens[[#This Row],[PontoPed]]&gt;0, IF(tabItens[[#This Row],[PontoPed]]&lt;1, 1, IF( tabItens[[#This Row],[Saldo]]&gt;tabItens[[#This Row],[PontoPed]], 0, (tabItens[[#This Row],[PontoPed]]-tabItens[[#This Row],[Saldo]])/tabItens[[#This Row],[PontoPed]] ) ), 0 )</f>
        <v>0</v>
      </c>
      <c r="BD318" s="405">
        <f>ROUNDDOWN(IF( OR( AND(tabItens[[#This Row],[PontoPed]]&lt;tabItens[[#This Row],[Saldo]],tabItens[[#This Row],[Saldo]]&gt;0), tabItens[[#This Row],[PontoPed]]=0), 99, IF(AND(tabItens[[#This Row],[Saldo]]=0,tabItens[[#This Row],[PontoPed]]&gt;0), 0, (1-tabItens[[#This Row],[PctAb]])*10 ) ),0)</f>
        <v>99</v>
      </c>
      <c r="BE318" s="406">
        <f>MAX(ROUNDDOWN( IF(tabItens[[#This Row],[Abaixo]] &gt; 0,   tabItens[[#This Row],[Abaixo]] + (tabItens[[#This Row],[PontoMês]] * IF( OR( ISBLANK(tabItens[[#This Row],[ATA Nº/ANO]]), tabItens[[#This Row],[ATA Nº/ANO]] = ""),BE$2,BE$1)),0),0),0)</f>
        <v>0</v>
      </c>
      <c r="BF31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8" s="338">
        <f>SUMIF(Consumo!$C$3:$C$862,tabItens[[#This Row],[CÓDIGO]],Consumo!$E$3:$E$862)</f>
        <v>0</v>
      </c>
      <c r="BH318" s="339">
        <f>IF(AND(tabItens[[#This Row],[Pend]] &gt; 0,tabItens[[#This Row],[Consumo]] &lt;&gt; 0), tabItens[[#This Row],[Pend]] / tabItens[[#This Row],[Consumo]], 0 )</f>
        <v>0</v>
      </c>
      <c r="BI318" s="338"/>
      <c r="BJ318" s="407"/>
      <c r="BK318" s="408" t="s">
        <v>2086</v>
      </c>
    </row>
    <row r="319" spans="1:63" x14ac:dyDescent="0.3">
      <c r="A319" s="375">
        <v>28307</v>
      </c>
      <c r="B319" s="376" t="s">
        <v>1234</v>
      </c>
      <c r="C319" s="377" t="s">
        <v>263</v>
      </c>
      <c r="D319" s="378">
        <v>7.6</v>
      </c>
      <c r="E319" s="305"/>
      <c r="F319" s="379"/>
      <c r="G319" s="379" t="s">
        <v>889</v>
      </c>
      <c r="H319" s="380">
        <v>22</v>
      </c>
      <c r="I319" s="307">
        <v>103003</v>
      </c>
      <c r="J319" s="308">
        <v>7.6</v>
      </c>
      <c r="K319" s="381">
        <v>8</v>
      </c>
      <c r="L319" s="382">
        <f>IF(tabItens[[#This Row],[Média]] &gt; 0, tabItens[[#This Row],[QTDE ATUAL]] / tabItens[[#This Row],[Média]],999.9)</f>
        <v>52.8</v>
      </c>
      <c r="M319" s="383">
        <v>0</v>
      </c>
      <c r="N319" s="384">
        <f>tabItens[[#This Row],[VALOR UNIT.]] * tabItens[[#This Row],[LC]]</f>
        <v>0</v>
      </c>
      <c r="O319" s="385" t="s">
        <v>2109</v>
      </c>
      <c r="P319" s="386"/>
      <c r="Q319" s="387"/>
      <c r="R319" s="312"/>
      <c r="S319" s="388"/>
      <c r="T319" s="389">
        <f>ROUNDDOWN(IFERROR(tabItens[[#This Row],[ATA DT.VALID.]] - $D$1,0) / 30,0)</f>
        <v>-1474</v>
      </c>
      <c r="U319" s="302" t="s">
        <v>966</v>
      </c>
      <c r="V319" s="318">
        <v>1</v>
      </c>
      <c r="W319" s="390" t="s">
        <v>2076</v>
      </c>
      <c r="X319" s="391">
        <v>61</v>
      </c>
      <c r="Y319" s="392">
        <v>8</v>
      </c>
      <c r="Z319" s="393"/>
      <c r="AA319" s="394"/>
      <c r="AB319" s="395"/>
      <c r="AC319" s="395"/>
      <c r="AD319" s="394"/>
      <c r="AE319" s="395"/>
      <c r="AF319" s="317"/>
      <c r="AG319" s="396" t="s">
        <v>2072</v>
      </c>
      <c r="AH319" s="397"/>
      <c r="AI319" s="317">
        <v>4</v>
      </c>
      <c r="AJ319" s="397">
        <v>42559</v>
      </c>
      <c r="AK319" s="326" t="s">
        <v>889</v>
      </c>
      <c r="AL319" s="326">
        <v>42551</v>
      </c>
      <c r="AM319" s="316"/>
      <c r="AN319" s="305"/>
      <c r="AO319" s="327" t="str">
        <f>_xlfn.IFNA(IF(VLOOKUP(tabItens[[#This Row],[CÓDIGO]],tabExcluirDoEstoque[#Data],1,FALSE),"sim",""),"")</f>
        <v/>
      </c>
      <c r="AP319" s="398" t="str">
        <f ca="1">IF(OR(ISBLANK(tabItens[[#This Row],[ATA DT.VALID.]]),tabItens[[#This Row],[ATA DT.VALID.]]="",tabItens[[#This Row],[ATA DT.VALID.]]=" "),"",IF(TYPE(tabItens[[#This Row],[ATA DT.VALID.]])=1,ROUNDUP((tabItens[[#This Row],[ATA DT.VALID.]]-TODAY())/7,0),""))</f>
        <v/>
      </c>
      <c r="AQ319" s="399">
        <v>0</v>
      </c>
      <c r="AR319" s="400" t="str">
        <f>IF(ISBLANK(tabItens[[#This Row],[CÓDIGO]]),"",IFERROR(VLOOKUP(tabItens[[#This Row],[CÓDIGO]],Consumo!$C$2:$AC$862,26,FALSE),0))</f>
        <v>04.2023</v>
      </c>
      <c r="AS319" s="401">
        <f>SUMIF(Consumo!$C$3:$C$862,tabItens[[#This Row],[CÓDIGO]],Consumo!$N$3:$N$862) + SUMIF(Consumo!$C$3:$C$862,tabItens[[#This Row],[CÓDIGO]],Consumo!$O$3:$O$862) + SUMIF(Consumo!$C$3:$C$862,tabItens[[#This Row],[CÓDIGO]],Consumo!$P$3:$P$862) + SUMIF(Consumo!$C$3:$C$862,tabItens[[#This Row],[CÓDIGO]],Consumo!$Q$3:$Q$862)</f>
        <v>0</v>
      </c>
      <c r="AT319" s="401">
        <f>SUMIF(Consumo!$C$3:$C$862,tabItens[[#This Row],[CÓDIGO]],Consumo!$Z$3:$Z$862)</f>
        <v>8</v>
      </c>
      <c r="AU319" s="402">
        <f>SUMIF(Consumo!$C$3:$C$862,tabItens[[#This Row],[CÓDIGO]],Consumo!$AA$3:$AA$862)</f>
        <v>8</v>
      </c>
      <c r="AV319" s="403">
        <f>SUMIF(Consumo!$C$3:$C$862,tabItens[[#This Row],[CÓDIGO]],Consumo!$Y$3:$Y$862)</f>
        <v>0.41666666666666669</v>
      </c>
      <c r="AW319" s="380">
        <f>tabItens[[#This Row],[QTDE ATUAL]] + tabItens[[#This Row],[RC QTDE]] + tabItens[[#This Row],[AF SALDO]] + tabItens[[#This Row],[Recentes]]</f>
        <v>22</v>
      </c>
      <c r="AX319" s="404">
        <v>5</v>
      </c>
      <c r="AY319" s="404">
        <v>4</v>
      </c>
      <c r="AZ319" s="404">
        <f>IF(ISBLANK(tabItens[[#This Row],[CÓDIGO]]),"",tabItens[[#This Row],[PontoMês]] * (AZ$2+tabItens[[#This Row],[PontoQtM]]))</f>
        <v>20</v>
      </c>
      <c r="BA319" s="403">
        <f>tabItens[[#This Row],[PontoPed]] - tabItens[[#This Row],[Saldo]] + (1/10)</f>
        <v>-1.9</v>
      </c>
      <c r="BB319" s="403">
        <f xml:space="preserve"> tabItens[[#This Row],[PontoMês]] * BB$2 - tabItens[[#This Row],[QTDE ATUAL]] - (1/10)</f>
        <v>-17.100000000000001</v>
      </c>
      <c r="BC319" s="335">
        <f>IF( tabItens[[#This Row],[PontoPed]]&gt;0, IF(tabItens[[#This Row],[PontoPed]]&lt;1, 1, IF( tabItens[[#This Row],[Saldo]]&gt;tabItens[[#This Row],[PontoPed]], 0, (tabItens[[#This Row],[PontoPed]]-tabItens[[#This Row],[Saldo]])/tabItens[[#This Row],[PontoPed]] ) ), 0 )</f>
        <v>0</v>
      </c>
      <c r="BD319" s="405">
        <f>ROUNDDOWN(IF( OR( AND(tabItens[[#This Row],[PontoPed]]&lt;tabItens[[#This Row],[Saldo]],tabItens[[#This Row],[Saldo]]&gt;0), tabItens[[#This Row],[PontoPed]]=0), 99, IF(AND(tabItens[[#This Row],[Saldo]]=0,tabItens[[#This Row],[PontoPed]]&gt;0), 0, (1-tabItens[[#This Row],[PctAb]])*10 ) ),0)</f>
        <v>99</v>
      </c>
      <c r="BE319" s="406">
        <f>MAX(ROUNDDOWN( IF(tabItens[[#This Row],[Abaixo]] &gt; 0,   tabItens[[#This Row],[Abaixo]] + (tabItens[[#This Row],[PontoMês]] * IF( OR( ISBLANK(tabItens[[#This Row],[ATA Nº/ANO]]), tabItens[[#This Row],[ATA Nº/ANO]] = ""),BE$2,BE$1)),0),0),0)</f>
        <v>0</v>
      </c>
      <c r="BF31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9" s="338">
        <f>SUMIF(Consumo!$C$3:$C$862,tabItens[[#This Row],[CÓDIGO]],Consumo!$E$3:$E$862)</f>
        <v>0</v>
      </c>
      <c r="BH319" s="339">
        <f>IF(AND(tabItens[[#This Row],[Pend]] &gt; 0,tabItens[[#This Row],[Consumo]] &lt;&gt; 0), tabItens[[#This Row],[Pend]] / tabItens[[#This Row],[Consumo]], 0 )</f>
        <v>0</v>
      </c>
      <c r="BI319" s="338"/>
      <c r="BJ319" s="407"/>
      <c r="BK319" s="408" t="s">
        <v>2086</v>
      </c>
    </row>
    <row r="320" spans="1:63" x14ac:dyDescent="0.3">
      <c r="A320" s="375">
        <v>13116</v>
      </c>
      <c r="B320" s="376" t="s">
        <v>1010</v>
      </c>
      <c r="C320" s="377" t="s">
        <v>263</v>
      </c>
      <c r="D320" s="378">
        <v>59.9</v>
      </c>
      <c r="E320" s="305"/>
      <c r="F320" s="379"/>
      <c r="G320" s="379" t="s">
        <v>889</v>
      </c>
      <c r="H320" s="380">
        <v>40</v>
      </c>
      <c r="I320" s="307">
        <v>103003</v>
      </c>
      <c r="J320" s="308">
        <v>59.9</v>
      </c>
      <c r="K320" s="381">
        <v>28</v>
      </c>
      <c r="L320" s="382">
        <f>IF(tabItens[[#This Row],[Média]] &gt; 0, tabItens[[#This Row],[QTDE ATUAL]] / tabItens[[#This Row],[Média]],999.9)</f>
        <v>22.857142857142858</v>
      </c>
      <c r="M320" s="383">
        <v>0</v>
      </c>
      <c r="N320" s="384">
        <f>tabItens[[#This Row],[VALOR UNIT.]] * tabItens[[#This Row],[LC]]</f>
        <v>0</v>
      </c>
      <c r="O320" s="385" t="s">
        <v>2109</v>
      </c>
      <c r="P320" s="386"/>
      <c r="Q320" s="387"/>
      <c r="R320" s="312"/>
      <c r="S320" s="388"/>
      <c r="T320" s="389">
        <f>ROUNDDOWN(IFERROR(tabItens[[#This Row],[ATA DT.VALID.]] - $D$1,0) / 30,0)</f>
        <v>-1474</v>
      </c>
      <c r="U320" s="302" t="s">
        <v>1011</v>
      </c>
      <c r="V320" s="318">
        <v>1</v>
      </c>
      <c r="W320" s="390" t="s">
        <v>2076</v>
      </c>
      <c r="X320" s="391">
        <v>61</v>
      </c>
      <c r="Y320" s="392">
        <v>15</v>
      </c>
      <c r="Z320" s="393"/>
      <c r="AA320" s="394"/>
      <c r="AB320" s="395"/>
      <c r="AC320" s="395"/>
      <c r="AD320" s="394"/>
      <c r="AE320" s="395"/>
      <c r="AF320" s="317"/>
      <c r="AG320" s="396" t="s">
        <v>2072</v>
      </c>
      <c r="AH320" s="397"/>
      <c r="AI320" s="317">
        <v>10</v>
      </c>
      <c r="AJ320" s="397">
        <v>43416</v>
      </c>
      <c r="AK320" s="326" t="s">
        <v>889</v>
      </c>
      <c r="AL320" s="326">
        <v>44985</v>
      </c>
      <c r="AM320" s="316"/>
      <c r="AN320" s="305"/>
      <c r="AO320" s="327" t="str">
        <f>_xlfn.IFNA(IF(VLOOKUP(tabItens[[#This Row],[CÓDIGO]],tabExcluirDoEstoque[#Data],1,FALSE),"sim",""),"")</f>
        <v/>
      </c>
      <c r="AP320" s="398" t="str">
        <f ca="1">IF(OR(ISBLANK(tabItens[[#This Row],[ATA DT.VALID.]]),tabItens[[#This Row],[ATA DT.VALID.]]="",tabItens[[#This Row],[ATA DT.VALID.]]=" "),"",IF(TYPE(tabItens[[#This Row],[ATA DT.VALID.]])=1,ROUNDUP((tabItens[[#This Row],[ATA DT.VALID.]]-TODAY())/7,0),""))</f>
        <v/>
      </c>
      <c r="AQ320" s="399">
        <v>0</v>
      </c>
      <c r="AR320" s="400" t="str">
        <f>IF(ISBLANK(tabItens[[#This Row],[CÓDIGO]]),"",IFERROR(VLOOKUP(tabItens[[#This Row],[CÓDIGO]],Consumo!$C$2:$AC$862,26,FALSE),0))</f>
        <v>06.2023</v>
      </c>
      <c r="AS320" s="401">
        <f>SUMIF(Consumo!$C$3:$C$862,tabItens[[#This Row],[CÓDIGO]],Consumo!$N$3:$N$862) + SUMIF(Consumo!$C$3:$C$862,tabItens[[#This Row],[CÓDIGO]],Consumo!$O$3:$O$862) + SUMIF(Consumo!$C$3:$C$862,tabItens[[#This Row],[CÓDIGO]],Consumo!$P$3:$P$862) + SUMIF(Consumo!$C$3:$C$862,tabItens[[#This Row],[CÓDIGO]],Consumo!$Q$3:$Q$862)</f>
        <v>20</v>
      </c>
      <c r="AT320" s="401">
        <f>SUMIF(Consumo!$C$3:$C$862,tabItens[[#This Row],[CÓDIGO]],Consumo!$Z$3:$Z$862)</f>
        <v>28</v>
      </c>
      <c r="AU320" s="402">
        <f>SUMIF(Consumo!$C$3:$C$862,tabItens[[#This Row],[CÓDIGO]],Consumo!$AA$3:$AA$862)</f>
        <v>20</v>
      </c>
      <c r="AV320" s="403">
        <f>SUMIF(Consumo!$C$3:$C$862,tabItens[[#This Row],[CÓDIGO]],Consumo!$Y$3:$Y$862)</f>
        <v>1.75</v>
      </c>
      <c r="AW320" s="380">
        <f>tabItens[[#This Row],[QTDE ATUAL]] + tabItens[[#This Row],[RC QTDE]] + tabItens[[#This Row],[AF SALDO]] + tabItens[[#This Row],[Recentes]]</f>
        <v>40</v>
      </c>
      <c r="AX320" s="404">
        <v>5</v>
      </c>
      <c r="AY320" s="404">
        <v>4</v>
      </c>
      <c r="AZ320" s="404">
        <f>IF(ISBLANK(tabItens[[#This Row],[CÓDIGO]]),"",tabItens[[#This Row],[PontoMês]] * (AZ$2+tabItens[[#This Row],[PontoQtM]]))</f>
        <v>20</v>
      </c>
      <c r="BA320" s="403">
        <f>tabItens[[#This Row],[PontoPed]] - tabItens[[#This Row],[Saldo]] + (1/10)</f>
        <v>-19.899999999999999</v>
      </c>
      <c r="BB320" s="403">
        <f xml:space="preserve"> tabItens[[#This Row],[PontoMês]] * BB$2 - tabItens[[#This Row],[QTDE ATUAL]] - (1/10)</f>
        <v>-35.1</v>
      </c>
      <c r="BC320" s="335">
        <f>IF( tabItens[[#This Row],[PontoPed]]&gt;0, IF(tabItens[[#This Row],[PontoPed]]&lt;1, 1, IF( tabItens[[#This Row],[Saldo]]&gt;tabItens[[#This Row],[PontoPed]], 0, (tabItens[[#This Row],[PontoPed]]-tabItens[[#This Row],[Saldo]])/tabItens[[#This Row],[PontoPed]] ) ), 0 )</f>
        <v>0</v>
      </c>
      <c r="BD320" s="405">
        <f>ROUNDDOWN(IF( OR( AND(tabItens[[#This Row],[PontoPed]]&lt;tabItens[[#This Row],[Saldo]],tabItens[[#This Row],[Saldo]]&gt;0), tabItens[[#This Row],[PontoPed]]=0), 99, IF(AND(tabItens[[#This Row],[Saldo]]=0,tabItens[[#This Row],[PontoPed]]&gt;0), 0, (1-tabItens[[#This Row],[PctAb]])*10 ) ),0)</f>
        <v>99</v>
      </c>
      <c r="BE320" s="406">
        <f>MAX(ROUNDDOWN( IF(tabItens[[#This Row],[Abaixo]] &gt; 0,   tabItens[[#This Row],[Abaixo]] + (tabItens[[#This Row],[PontoMês]] * IF( OR( ISBLANK(tabItens[[#This Row],[ATA Nº/ANO]]), tabItens[[#This Row],[ATA Nº/ANO]] = ""),BE$2,BE$1)),0),0),0)</f>
        <v>0</v>
      </c>
      <c r="BF32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0" s="338">
        <f>SUMIF(Consumo!$C$3:$C$862,tabItens[[#This Row],[CÓDIGO]],Consumo!$E$3:$E$862)</f>
        <v>0</v>
      </c>
      <c r="BH320" s="339">
        <f>IF(AND(tabItens[[#This Row],[Pend]] &gt; 0,tabItens[[#This Row],[Consumo]] &lt;&gt; 0), tabItens[[#This Row],[Pend]] / tabItens[[#This Row],[Consumo]], 0 )</f>
        <v>0</v>
      </c>
      <c r="BI320" s="338"/>
      <c r="BJ320" s="407"/>
      <c r="BK320" s="408" t="s">
        <v>2086</v>
      </c>
    </row>
    <row r="321" spans="1:63" x14ac:dyDescent="0.3">
      <c r="A321" s="375">
        <v>13563</v>
      </c>
      <c r="B321" s="376" t="s">
        <v>1046</v>
      </c>
      <c r="C321" s="377" t="s">
        <v>263</v>
      </c>
      <c r="D321" s="378">
        <v>0.37</v>
      </c>
      <c r="E321" s="305"/>
      <c r="F321" s="379"/>
      <c r="G321" s="379" t="s">
        <v>889</v>
      </c>
      <c r="H321" s="380">
        <v>289</v>
      </c>
      <c r="I321" s="307">
        <v>103003</v>
      </c>
      <c r="J321" s="308">
        <v>0.37</v>
      </c>
      <c r="K321" s="381">
        <v>240</v>
      </c>
      <c r="L321" s="382">
        <f>IF(tabItens[[#This Row],[Média]] &gt; 0, tabItens[[#This Row],[QTDE ATUAL]] / tabItens[[#This Row],[Média]],999.9)</f>
        <v>15.413333333333334</v>
      </c>
      <c r="M321" s="383">
        <v>0</v>
      </c>
      <c r="N321" s="384">
        <f>tabItens[[#This Row],[VALOR UNIT.]] * tabItens[[#This Row],[LC]]</f>
        <v>0</v>
      </c>
      <c r="O321" s="385" t="s">
        <v>2109</v>
      </c>
      <c r="P321" s="386"/>
      <c r="Q321" s="387"/>
      <c r="R321" s="312"/>
      <c r="S321" s="388"/>
      <c r="T321" s="389">
        <f>ROUNDDOWN(IFERROR(tabItens[[#This Row],[ATA DT.VALID.]] - $D$1,0) / 30,0)</f>
        <v>-1474</v>
      </c>
      <c r="U321" s="302" t="s">
        <v>1011</v>
      </c>
      <c r="V321" s="318">
        <v>1</v>
      </c>
      <c r="W321" s="390" t="s">
        <v>2076</v>
      </c>
      <c r="X321" s="391">
        <v>61</v>
      </c>
      <c r="Y321" s="392">
        <v>15</v>
      </c>
      <c r="Z321" s="393"/>
      <c r="AA321" s="394"/>
      <c r="AB321" s="395"/>
      <c r="AC321" s="395"/>
      <c r="AD321" s="394"/>
      <c r="AE321" s="395"/>
      <c r="AF321" s="317"/>
      <c r="AG321" s="396" t="s">
        <v>2072</v>
      </c>
      <c r="AH321" s="397"/>
      <c r="AI321" s="317">
        <v>160</v>
      </c>
      <c r="AJ321" s="397">
        <v>45169</v>
      </c>
      <c r="AK321" s="326" t="s">
        <v>889</v>
      </c>
      <c r="AL321" s="326">
        <v>45145</v>
      </c>
      <c r="AM321" s="316"/>
      <c r="AN321" s="305"/>
      <c r="AO321" s="327" t="str">
        <f>_xlfn.IFNA(IF(VLOOKUP(tabItens[[#This Row],[CÓDIGO]],tabExcluirDoEstoque[#Data],1,FALSE),"sim",""),"")</f>
        <v/>
      </c>
      <c r="AP321" s="398" t="str">
        <f ca="1">IF(OR(ISBLANK(tabItens[[#This Row],[ATA DT.VALID.]]),tabItens[[#This Row],[ATA DT.VALID.]]="",tabItens[[#This Row],[ATA DT.VALID.]]=" "),"",IF(TYPE(tabItens[[#This Row],[ATA DT.VALID.]])=1,ROUNDUP((tabItens[[#This Row],[ATA DT.VALID.]]-TODAY())/7,0),""))</f>
        <v/>
      </c>
      <c r="AQ321" s="399">
        <v>0</v>
      </c>
      <c r="AR321" s="400" t="str">
        <f>IF(ISBLANK(tabItens[[#This Row],[CÓDIGO]]),"",IFERROR(VLOOKUP(tabItens[[#This Row],[CÓDIGO]],Consumo!$C$2:$AC$862,26,FALSE),0))</f>
        <v>07.2023</v>
      </c>
      <c r="AS321" s="401">
        <f>SUMIF(Consumo!$C$3:$C$862,tabItens[[#This Row],[CÓDIGO]],Consumo!$N$3:$N$862) + SUMIF(Consumo!$C$3:$C$862,tabItens[[#This Row],[CÓDIGO]],Consumo!$O$3:$O$862) + SUMIF(Consumo!$C$3:$C$862,tabItens[[#This Row],[CÓDIGO]],Consumo!$P$3:$P$862) + SUMIF(Consumo!$C$3:$C$862,tabItens[[#This Row],[CÓDIGO]],Consumo!$Q$3:$Q$862)</f>
        <v>81</v>
      </c>
      <c r="AT321" s="401">
        <f>SUMIF(Consumo!$C$3:$C$862,tabItens[[#This Row],[CÓDIGO]],Consumo!$Z$3:$Z$862)</f>
        <v>231</v>
      </c>
      <c r="AU321" s="402">
        <f>SUMIF(Consumo!$C$3:$C$862,tabItens[[#This Row],[CÓDIGO]],Consumo!$AA$3:$AA$862)</f>
        <v>80</v>
      </c>
      <c r="AV321" s="403">
        <f>SUMIF(Consumo!$C$3:$C$862,tabItens[[#This Row],[CÓDIGO]],Consumo!$Y$3:$Y$862)</f>
        <v>18.75</v>
      </c>
      <c r="AW321" s="380">
        <f>tabItens[[#This Row],[QTDE ATUAL]] + tabItens[[#This Row],[RC QTDE]] + tabItens[[#This Row],[AF SALDO]] + tabItens[[#This Row],[Recentes]]</f>
        <v>289</v>
      </c>
      <c r="AX321" s="404">
        <v>40</v>
      </c>
      <c r="AY321" s="404">
        <v>4</v>
      </c>
      <c r="AZ321" s="404">
        <f>IF(ISBLANK(tabItens[[#This Row],[CÓDIGO]]),"",tabItens[[#This Row],[PontoMês]] * (AZ$2+tabItens[[#This Row],[PontoQtM]]))</f>
        <v>160</v>
      </c>
      <c r="BA321" s="403">
        <f>tabItens[[#This Row],[PontoPed]] - tabItens[[#This Row],[Saldo]] + (1/10)</f>
        <v>-128.9</v>
      </c>
      <c r="BB321" s="403">
        <f xml:space="preserve"> tabItens[[#This Row],[PontoMês]] * BB$2 - tabItens[[#This Row],[QTDE ATUAL]] - (1/10)</f>
        <v>-249.1</v>
      </c>
      <c r="BC321" s="335">
        <f>IF( tabItens[[#This Row],[PontoPed]]&gt;0, IF(tabItens[[#This Row],[PontoPed]]&lt;1, 1, IF( tabItens[[#This Row],[Saldo]]&gt;tabItens[[#This Row],[PontoPed]], 0, (tabItens[[#This Row],[PontoPed]]-tabItens[[#This Row],[Saldo]])/tabItens[[#This Row],[PontoPed]] ) ), 0 )</f>
        <v>0</v>
      </c>
      <c r="BD321" s="405">
        <f>ROUNDDOWN(IF( OR( AND(tabItens[[#This Row],[PontoPed]]&lt;tabItens[[#This Row],[Saldo]],tabItens[[#This Row],[Saldo]]&gt;0), tabItens[[#This Row],[PontoPed]]=0), 99, IF(AND(tabItens[[#This Row],[Saldo]]=0,tabItens[[#This Row],[PontoPed]]&gt;0), 0, (1-tabItens[[#This Row],[PctAb]])*10 ) ),0)</f>
        <v>99</v>
      </c>
      <c r="BE321" s="406">
        <f>MAX(ROUNDDOWN( IF(tabItens[[#This Row],[Abaixo]] &gt; 0,   tabItens[[#This Row],[Abaixo]] + (tabItens[[#This Row],[PontoMês]] * IF( OR( ISBLANK(tabItens[[#This Row],[ATA Nº/ANO]]), tabItens[[#This Row],[ATA Nº/ANO]] = ""),BE$2,BE$1)),0),0),0)</f>
        <v>0</v>
      </c>
      <c r="BF32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1" s="338">
        <f>SUMIF(Consumo!$C$3:$C$862,tabItens[[#This Row],[CÓDIGO]],Consumo!$E$3:$E$862)</f>
        <v>0</v>
      </c>
      <c r="BH321" s="339">
        <f>IF(AND(tabItens[[#This Row],[Pend]] &gt; 0,tabItens[[#This Row],[Consumo]] &lt;&gt; 0), tabItens[[#This Row],[Pend]] / tabItens[[#This Row],[Consumo]], 0 )</f>
        <v>0</v>
      </c>
      <c r="BI321" s="338"/>
      <c r="BJ321" s="407"/>
      <c r="BK321" s="408" t="s">
        <v>2086</v>
      </c>
    </row>
    <row r="322" spans="1:63" x14ac:dyDescent="0.3">
      <c r="A322" s="375">
        <v>104667</v>
      </c>
      <c r="B322" s="376" t="s">
        <v>1608</v>
      </c>
      <c r="C322" s="377" t="s">
        <v>263</v>
      </c>
      <c r="D322" s="378">
        <v>184</v>
      </c>
      <c r="E322" s="305"/>
      <c r="F322" s="379"/>
      <c r="G322" s="379" t="s">
        <v>889</v>
      </c>
      <c r="H322" s="380">
        <v>96</v>
      </c>
      <c r="I322" s="307">
        <v>103003</v>
      </c>
      <c r="J322" s="308">
        <v>184</v>
      </c>
      <c r="K322" s="381">
        <v>75</v>
      </c>
      <c r="L322" s="382">
        <f>IF(tabItens[[#This Row],[Média]] &gt; 0, tabItens[[#This Row],[QTDE ATUAL]] / tabItens[[#This Row],[Média]],999.9)</f>
        <v>13.714285714285714</v>
      </c>
      <c r="M322" s="383">
        <v>0</v>
      </c>
      <c r="N322" s="384">
        <f>tabItens[[#This Row],[VALOR UNIT.]] * tabItens[[#This Row],[LC]]</f>
        <v>0</v>
      </c>
      <c r="O322" s="385" t="s">
        <v>2109</v>
      </c>
      <c r="P322" s="386"/>
      <c r="Q322" s="387"/>
      <c r="R322" s="312"/>
      <c r="S322" s="388"/>
      <c r="T322" s="389">
        <f>ROUNDDOWN(IFERROR(tabItens[[#This Row],[ATA DT.VALID.]] - $D$1,0) / 30,0)</f>
        <v>-1474</v>
      </c>
      <c r="U322" s="302" t="s">
        <v>1011</v>
      </c>
      <c r="V322" s="318">
        <v>1</v>
      </c>
      <c r="W322" s="390" t="s">
        <v>2076</v>
      </c>
      <c r="X322" s="391">
        <v>61</v>
      </c>
      <c r="Y322" s="392">
        <v>15</v>
      </c>
      <c r="Z322" s="393"/>
      <c r="AA322" s="394"/>
      <c r="AB322" s="395"/>
      <c r="AC322" s="395">
        <v>9756</v>
      </c>
      <c r="AD322" s="394">
        <v>2023</v>
      </c>
      <c r="AE322" s="395">
        <v>0</v>
      </c>
      <c r="AF322" s="317">
        <v>50</v>
      </c>
      <c r="AG322" s="396" t="s">
        <v>2061</v>
      </c>
      <c r="AH322" s="397">
        <v>45162</v>
      </c>
      <c r="AI322" s="317">
        <v>30</v>
      </c>
      <c r="AJ322" s="397">
        <v>44615</v>
      </c>
      <c r="AK322" s="326">
        <v>39472</v>
      </c>
      <c r="AL322" s="326">
        <v>45146</v>
      </c>
      <c r="AM322" s="316"/>
      <c r="AN322" s="305"/>
      <c r="AO322" s="327" t="str">
        <f>_xlfn.IFNA(IF(VLOOKUP(tabItens[[#This Row],[CÓDIGO]],tabExcluirDoEstoque[#Data],1,FALSE),"sim",""),"")</f>
        <v/>
      </c>
      <c r="AP322" s="398" t="str">
        <f ca="1">IF(OR(ISBLANK(tabItens[[#This Row],[ATA DT.VALID.]]),tabItens[[#This Row],[ATA DT.VALID.]]="",tabItens[[#This Row],[ATA DT.VALID.]]=" "),"",IF(TYPE(tabItens[[#This Row],[ATA DT.VALID.]])=1,ROUNDUP((tabItens[[#This Row],[ATA DT.VALID.]]-TODAY())/7,0),""))</f>
        <v/>
      </c>
      <c r="AQ322" s="399">
        <v>0</v>
      </c>
      <c r="AR322" s="400" t="str">
        <f>IF(ISBLANK(tabItens[[#This Row],[CÓDIGO]]),"",IFERROR(VLOOKUP(tabItens[[#This Row],[CÓDIGO]],Consumo!$C$2:$AC$862,26,FALSE),0))</f>
        <v>09.2023</v>
      </c>
      <c r="AS322" s="401">
        <f>SUMIF(Consumo!$C$3:$C$862,tabItens[[#This Row],[CÓDIGO]],Consumo!$N$3:$N$862) + SUMIF(Consumo!$C$3:$C$862,tabItens[[#This Row],[CÓDIGO]],Consumo!$O$3:$O$862) + SUMIF(Consumo!$C$3:$C$862,tabItens[[#This Row],[CÓDIGO]],Consumo!$P$3:$P$862) + SUMIF(Consumo!$C$3:$C$862,tabItens[[#This Row],[CÓDIGO]],Consumo!$Q$3:$Q$862)</f>
        <v>39</v>
      </c>
      <c r="AT322" s="401">
        <f>SUMIF(Consumo!$C$3:$C$862,tabItens[[#This Row],[CÓDIGO]],Consumo!$Z$3:$Z$862)</f>
        <v>88</v>
      </c>
      <c r="AU322" s="402">
        <f>SUMIF(Consumo!$C$3:$C$862,tabItens[[#This Row],[CÓDIGO]],Consumo!$AA$3:$AA$862)</f>
        <v>25</v>
      </c>
      <c r="AV322" s="403">
        <f>SUMIF(Consumo!$C$3:$C$862,tabItens[[#This Row],[CÓDIGO]],Consumo!$Y$3:$Y$862)</f>
        <v>7</v>
      </c>
      <c r="AW322" s="380">
        <f>tabItens[[#This Row],[QTDE ATUAL]] + tabItens[[#This Row],[RC QTDE]] + tabItens[[#This Row],[AF SALDO]] + tabItens[[#This Row],[Recentes]]</f>
        <v>96</v>
      </c>
      <c r="AX322" s="404">
        <v>17</v>
      </c>
      <c r="AY322" s="404">
        <v>4</v>
      </c>
      <c r="AZ322" s="404">
        <f>IF(ISBLANK(tabItens[[#This Row],[CÓDIGO]]),"",tabItens[[#This Row],[PontoMês]] * (AZ$2+tabItens[[#This Row],[PontoQtM]]))</f>
        <v>68</v>
      </c>
      <c r="BA322" s="403">
        <f>tabItens[[#This Row],[PontoPed]] - tabItens[[#This Row],[Saldo]] + (1/10)</f>
        <v>-27.9</v>
      </c>
      <c r="BB322" s="403">
        <f xml:space="preserve"> tabItens[[#This Row],[PontoMês]] * BB$2 - tabItens[[#This Row],[QTDE ATUAL]] - (1/10)</f>
        <v>-79.099999999999994</v>
      </c>
      <c r="BC322" s="335">
        <f>IF( tabItens[[#This Row],[PontoPed]]&gt;0, IF(tabItens[[#This Row],[PontoPed]]&lt;1, 1, IF( tabItens[[#This Row],[Saldo]]&gt;tabItens[[#This Row],[PontoPed]], 0, (tabItens[[#This Row],[PontoPed]]-tabItens[[#This Row],[Saldo]])/tabItens[[#This Row],[PontoPed]] ) ), 0 )</f>
        <v>0</v>
      </c>
      <c r="BD322" s="405">
        <f>ROUNDDOWN(IF( OR( AND(tabItens[[#This Row],[PontoPed]]&lt;tabItens[[#This Row],[Saldo]],tabItens[[#This Row],[Saldo]]&gt;0), tabItens[[#This Row],[PontoPed]]=0), 99, IF(AND(tabItens[[#This Row],[Saldo]]=0,tabItens[[#This Row],[PontoPed]]&gt;0), 0, (1-tabItens[[#This Row],[PctAb]])*10 ) ),0)</f>
        <v>99</v>
      </c>
      <c r="BE322" s="406">
        <f>MAX(ROUNDDOWN( IF(tabItens[[#This Row],[Abaixo]] &gt; 0,   tabItens[[#This Row],[Abaixo]] + (tabItens[[#This Row],[PontoMês]] * IF( OR( ISBLANK(tabItens[[#This Row],[ATA Nº/ANO]]), tabItens[[#This Row],[ATA Nº/ANO]] = ""),BE$2,BE$1)),0),0),0)</f>
        <v>0</v>
      </c>
      <c r="BF32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2" s="338">
        <f>SUMIF(Consumo!$C$3:$C$862,tabItens[[#This Row],[CÓDIGO]],Consumo!$E$3:$E$862)</f>
        <v>0</v>
      </c>
      <c r="BH322" s="339">
        <f>IF(AND(tabItens[[#This Row],[Pend]] &gt; 0,tabItens[[#This Row],[Consumo]] &lt;&gt; 0), tabItens[[#This Row],[Pend]] / tabItens[[#This Row],[Consumo]], 0 )</f>
        <v>0</v>
      </c>
      <c r="BI322" s="338"/>
      <c r="BJ322" s="407"/>
      <c r="BK322" s="408" t="s">
        <v>2086</v>
      </c>
    </row>
    <row r="323" spans="1:63" x14ac:dyDescent="0.3">
      <c r="A323" s="375">
        <v>40086</v>
      </c>
      <c r="B323" s="376" t="s">
        <v>1273</v>
      </c>
      <c r="C323" s="377" t="s">
        <v>263</v>
      </c>
      <c r="D323" s="378">
        <v>1.84</v>
      </c>
      <c r="E323" s="305"/>
      <c r="F323" s="379"/>
      <c r="G323" s="379" t="s">
        <v>889</v>
      </c>
      <c r="H323" s="380">
        <v>927</v>
      </c>
      <c r="I323" s="307">
        <v>103003</v>
      </c>
      <c r="J323" s="308">
        <v>1.84</v>
      </c>
      <c r="K323" s="381">
        <v>24</v>
      </c>
      <c r="L323" s="382">
        <f>IF(tabItens[[#This Row],[Média]] &gt; 0, tabItens[[#This Row],[QTDE ATUAL]] / tabItens[[#This Row],[Média]],999.9)</f>
        <v>741.6</v>
      </c>
      <c r="M323" s="383">
        <v>0</v>
      </c>
      <c r="N323" s="384">
        <f>tabItens[[#This Row],[VALOR UNIT.]] * tabItens[[#This Row],[LC]]</f>
        <v>0</v>
      </c>
      <c r="O323" s="385" t="s">
        <v>2143</v>
      </c>
      <c r="P323" s="386"/>
      <c r="Q323" s="387"/>
      <c r="R323" s="312"/>
      <c r="S323" s="388"/>
      <c r="T323" s="389">
        <f>ROUNDDOWN(IFERROR(tabItens[[#This Row],[ATA DT.VALID.]] - $D$1,0) / 30,0)</f>
        <v>-1474</v>
      </c>
      <c r="U323" s="302" t="s">
        <v>1274</v>
      </c>
      <c r="V323" s="318">
        <v>1</v>
      </c>
      <c r="W323" s="390" t="s">
        <v>2071</v>
      </c>
      <c r="X323" s="391">
        <v>51</v>
      </c>
      <c r="Y323" s="392">
        <v>17</v>
      </c>
      <c r="Z323" s="393"/>
      <c r="AA323" s="394"/>
      <c r="AB323" s="395"/>
      <c r="AC323" s="395"/>
      <c r="AD323" s="394"/>
      <c r="AE323" s="395"/>
      <c r="AF323" s="317"/>
      <c r="AG323" s="396" t="s">
        <v>2072</v>
      </c>
      <c r="AH323" s="397"/>
      <c r="AI323" s="317">
        <v>8</v>
      </c>
      <c r="AJ323" s="397">
        <v>39646</v>
      </c>
      <c r="AK323" s="326" t="s">
        <v>889</v>
      </c>
      <c r="AL323" s="326">
        <v>44945</v>
      </c>
      <c r="AM323" s="316"/>
      <c r="AN323" s="305"/>
      <c r="AO323" s="327" t="str">
        <f>_xlfn.IFNA(IF(VLOOKUP(tabItens[[#This Row],[CÓDIGO]],tabExcluirDoEstoque[#Data],1,FALSE),"sim",""),"")</f>
        <v/>
      </c>
      <c r="AP323" s="398" t="str">
        <f ca="1">IF(OR(ISBLANK(tabItens[[#This Row],[ATA DT.VALID.]]),tabItens[[#This Row],[ATA DT.VALID.]]="",tabItens[[#This Row],[ATA DT.VALID.]]=" "),"",IF(TYPE(tabItens[[#This Row],[ATA DT.VALID.]])=1,ROUNDUP((tabItens[[#This Row],[ATA DT.VALID.]]-TODAY())/7,0),""))</f>
        <v/>
      </c>
      <c r="AQ323" s="399">
        <v>0</v>
      </c>
      <c r="AR323" s="400" t="str">
        <f>IF(ISBLANK(tabItens[[#This Row],[CÓDIGO]]),"",IFERROR(VLOOKUP(tabItens[[#This Row],[CÓDIGO]],Consumo!$C$2:$AC$862,26,FALSE),0))</f>
        <v>12.2022</v>
      </c>
      <c r="AS323" s="401">
        <f>SUMIF(Consumo!$C$3:$C$862,tabItens[[#This Row],[CÓDIGO]],Consumo!$N$3:$N$862) + SUMIF(Consumo!$C$3:$C$862,tabItens[[#This Row],[CÓDIGO]],Consumo!$O$3:$O$862) + SUMIF(Consumo!$C$3:$C$862,tabItens[[#This Row],[CÓDIGO]],Consumo!$P$3:$P$862) + SUMIF(Consumo!$C$3:$C$862,tabItens[[#This Row],[CÓDIGO]],Consumo!$Q$3:$Q$862)</f>
        <v>0</v>
      </c>
      <c r="AT323" s="401">
        <f>SUMIF(Consumo!$C$3:$C$862,tabItens[[#This Row],[CÓDIGO]],Consumo!$Z$3:$Z$862)</f>
        <v>24</v>
      </c>
      <c r="AU323" s="402">
        <f>SUMIF(Consumo!$C$3:$C$862,tabItens[[#This Row],[CÓDIGO]],Consumo!$AA$3:$AA$862)</f>
        <v>24</v>
      </c>
      <c r="AV323" s="403">
        <f>SUMIF(Consumo!$C$3:$C$862,tabItens[[#This Row],[CÓDIGO]],Consumo!$Y$3:$Y$862)</f>
        <v>1.25</v>
      </c>
      <c r="AW323" s="380">
        <f>tabItens[[#This Row],[QTDE ATUAL]] + tabItens[[#This Row],[RC QTDE]] + tabItens[[#This Row],[AF SALDO]] + tabItens[[#This Row],[Recentes]]</f>
        <v>927</v>
      </c>
      <c r="AX323" s="404">
        <v>21</v>
      </c>
      <c r="AY323" s="404">
        <v>4</v>
      </c>
      <c r="AZ323" s="404">
        <f>IF(ISBLANK(tabItens[[#This Row],[CÓDIGO]]),"",tabItens[[#This Row],[PontoMês]] * (AZ$2+tabItens[[#This Row],[PontoQtM]]))</f>
        <v>84</v>
      </c>
      <c r="BA323" s="403">
        <f>tabItens[[#This Row],[PontoPed]] - tabItens[[#This Row],[Saldo]] + (1/10)</f>
        <v>-842.9</v>
      </c>
      <c r="BB323" s="403">
        <f xml:space="preserve"> tabItens[[#This Row],[PontoMês]] * BB$2 - tabItens[[#This Row],[QTDE ATUAL]] - (1/10)</f>
        <v>-906.1</v>
      </c>
      <c r="BC323" s="335">
        <f>IF( tabItens[[#This Row],[PontoPed]]&gt;0, IF(tabItens[[#This Row],[PontoPed]]&lt;1, 1, IF( tabItens[[#This Row],[Saldo]]&gt;tabItens[[#This Row],[PontoPed]], 0, (tabItens[[#This Row],[PontoPed]]-tabItens[[#This Row],[Saldo]])/tabItens[[#This Row],[PontoPed]] ) ), 0 )</f>
        <v>0</v>
      </c>
      <c r="BD323" s="405">
        <f>ROUNDDOWN(IF( OR( AND(tabItens[[#This Row],[PontoPed]]&lt;tabItens[[#This Row],[Saldo]],tabItens[[#This Row],[Saldo]]&gt;0), tabItens[[#This Row],[PontoPed]]=0), 99, IF(AND(tabItens[[#This Row],[Saldo]]=0,tabItens[[#This Row],[PontoPed]]&gt;0), 0, (1-tabItens[[#This Row],[PctAb]])*10 ) ),0)</f>
        <v>99</v>
      </c>
      <c r="BE323" s="406">
        <f>MAX(ROUNDDOWN( IF(tabItens[[#This Row],[Abaixo]] &gt; 0,   tabItens[[#This Row],[Abaixo]] + (tabItens[[#This Row],[PontoMês]] * IF( OR( ISBLANK(tabItens[[#This Row],[ATA Nº/ANO]]), tabItens[[#This Row],[ATA Nº/ANO]] = ""),BE$2,BE$1)),0),0),0)</f>
        <v>0</v>
      </c>
      <c r="BF32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3" s="338">
        <f>SUMIF(Consumo!$C$3:$C$862,tabItens[[#This Row],[CÓDIGO]],Consumo!$E$3:$E$862)</f>
        <v>0</v>
      </c>
      <c r="BH323" s="339">
        <f>IF(AND(tabItens[[#This Row],[Pend]] &gt; 0,tabItens[[#This Row],[Consumo]] &lt;&gt; 0), tabItens[[#This Row],[Pend]] / tabItens[[#This Row],[Consumo]], 0 )</f>
        <v>0</v>
      </c>
      <c r="BI323" s="338"/>
      <c r="BJ323" s="407"/>
      <c r="BK323" s="408" t="s">
        <v>2086</v>
      </c>
    </row>
    <row r="324" spans="1:63" x14ac:dyDescent="0.3">
      <c r="A324" s="375">
        <v>67939</v>
      </c>
      <c r="B324" s="376" t="s">
        <v>1398</v>
      </c>
      <c r="C324" s="377" t="s">
        <v>473</v>
      </c>
      <c r="D324" s="378">
        <v>39.96</v>
      </c>
      <c r="E324" s="305"/>
      <c r="F324" s="379"/>
      <c r="G324" s="379" t="s">
        <v>889</v>
      </c>
      <c r="H324" s="380">
        <v>3</v>
      </c>
      <c r="I324" s="307">
        <v>103003</v>
      </c>
      <c r="J324" s="308">
        <v>39.96</v>
      </c>
      <c r="K324" s="381">
        <v>132</v>
      </c>
      <c r="L324" s="382">
        <f>IF(tabItens[[#This Row],[Média]] &gt; 0, tabItens[[#This Row],[QTDE ATUAL]] / tabItens[[#This Row],[Média]],999.9)</f>
        <v>0.25174825174825177</v>
      </c>
      <c r="M324" s="383">
        <v>0</v>
      </c>
      <c r="N324" s="384">
        <f>tabItens[[#This Row],[VALOR UNIT.]] * tabItens[[#This Row],[LC]]</f>
        <v>0</v>
      </c>
      <c r="O324" s="385" t="s">
        <v>2127</v>
      </c>
      <c r="P324" s="386"/>
      <c r="Q324" s="387"/>
      <c r="R324" s="312"/>
      <c r="S324" s="388"/>
      <c r="T324" s="389">
        <f>ROUNDDOWN(IFERROR(tabItens[[#This Row],[ATA DT.VALID.]] - $D$1,0) / 30,0)</f>
        <v>-1474</v>
      </c>
      <c r="U324" s="302" t="s">
        <v>1283</v>
      </c>
      <c r="V324" s="318">
        <v>1</v>
      </c>
      <c r="W324" s="390" t="s">
        <v>2071</v>
      </c>
      <c r="X324" s="391">
        <v>51</v>
      </c>
      <c r="Y324" s="392">
        <v>28</v>
      </c>
      <c r="Z324" s="393"/>
      <c r="AA324" s="394"/>
      <c r="AB324" s="395"/>
      <c r="AC324" s="395"/>
      <c r="AD324" s="394"/>
      <c r="AE324" s="395"/>
      <c r="AF324" s="317"/>
      <c r="AG324" s="396" t="s">
        <v>2072</v>
      </c>
      <c r="AH324" s="397"/>
      <c r="AI324" s="317">
        <v>48</v>
      </c>
      <c r="AJ324" s="397">
        <v>43853</v>
      </c>
      <c r="AK324" s="326" t="s">
        <v>889</v>
      </c>
      <c r="AL324" s="326">
        <v>45210</v>
      </c>
      <c r="AM324" s="316"/>
      <c r="AN324" s="305"/>
      <c r="AO324" s="327" t="str">
        <f>_xlfn.IFNA(IF(VLOOKUP(tabItens[[#This Row],[CÓDIGO]],tabExcluirDoEstoque[#Data],1,FALSE),"sim",""),"")</f>
        <v/>
      </c>
      <c r="AP324" s="398" t="str">
        <f ca="1">IF(OR(ISBLANK(tabItens[[#This Row],[ATA DT.VALID.]]),tabItens[[#This Row],[ATA DT.VALID.]]="",tabItens[[#This Row],[ATA DT.VALID.]]=" "),"",IF(TYPE(tabItens[[#This Row],[ATA DT.VALID.]])=1,ROUNDUP((tabItens[[#This Row],[ATA DT.VALID.]]-TODAY())/7,0),""))</f>
        <v/>
      </c>
      <c r="AQ324" s="399">
        <v>0</v>
      </c>
      <c r="AR324" s="400" t="str">
        <f>IF(ISBLANK(tabItens[[#This Row],[CÓDIGO]]),"",IFERROR(VLOOKUP(tabItens[[#This Row],[CÓDIGO]],Consumo!$C$2:$AC$862,26,FALSE),0))</f>
        <v>08.2023</v>
      </c>
      <c r="AS324" s="401">
        <f>SUMIF(Consumo!$C$3:$C$862,tabItens[[#This Row],[CÓDIGO]],Consumo!$N$3:$N$862) + SUMIF(Consumo!$C$3:$C$862,tabItens[[#This Row],[CÓDIGO]],Consumo!$O$3:$O$862) + SUMIF(Consumo!$C$3:$C$862,tabItens[[#This Row],[CÓDIGO]],Consumo!$P$3:$P$862) + SUMIF(Consumo!$C$3:$C$862,tabItens[[#This Row],[CÓDIGO]],Consumo!$Q$3:$Q$862)</f>
        <v>28</v>
      </c>
      <c r="AT324" s="401">
        <f>SUMIF(Consumo!$C$3:$C$862,tabItens[[#This Row],[CÓDIGO]],Consumo!$Z$3:$Z$862)</f>
        <v>143</v>
      </c>
      <c r="AU324" s="402">
        <f>SUMIF(Consumo!$C$3:$C$862,tabItens[[#This Row],[CÓDIGO]],Consumo!$AA$3:$AA$862)</f>
        <v>30</v>
      </c>
      <c r="AV324" s="403">
        <f>SUMIF(Consumo!$C$3:$C$862,tabItens[[#This Row],[CÓDIGO]],Consumo!$Y$3:$Y$862)</f>
        <v>11.916666666666666</v>
      </c>
      <c r="AW324" s="380">
        <f>tabItens[[#This Row],[QTDE ATUAL]] + tabItens[[#This Row],[RC QTDE]] + tabItens[[#This Row],[AF SALDO]] + tabItens[[#This Row],[Recentes]]</f>
        <v>3</v>
      </c>
      <c r="AX324" s="404">
        <v>33</v>
      </c>
      <c r="AY324" s="404">
        <v>4</v>
      </c>
      <c r="AZ324" s="404">
        <f>IF(ISBLANK(tabItens[[#This Row],[CÓDIGO]]),"",tabItens[[#This Row],[PontoMês]] * (AZ$2+tabItens[[#This Row],[PontoQtM]]))</f>
        <v>132</v>
      </c>
      <c r="BA324" s="403">
        <f>tabItens[[#This Row],[PontoPed]] - tabItens[[#This Row],[Saldo]] + (1/10)</f>
        <v>129.1</v>
      </c>
      <c r="BB324" s="403">
        <f xml:space="preserve"> tabItens[[#This Row],[PontoMês]] * BB$2 - tabItens[[#This Row],[QTDE ATUAL]] - (1/10)</f>
        <v>29.9</v>
      </c>
      <c r="BC324" s="335">
        <f>IF( tabItens[[#This Row],[PontoPed]]&gt;0, IF(tabItens[[#This Row],[PontoPed]]&lt;1, 1, IF( tabItens[[#This Row],[Saldo]]&gt;tabItens[[#This Row],[PontoPed]], 0, (tabItens[[#This Row],[PontoPed]]-tabItens[[#This Row],[Saldo]])/tabItens[[#This Row],[PontoPed]] ) ), 0 )</f>
        <v>0.97727272727272729</v>
      </c>
      <c r="BD324" s="405">
        <f>ROUNDDOWN(IF( OR( AND(tabItens[[#This Row],[PontoPed]]&lt;tabItens[[#This Row],[Saldo]],tabItens[[#This Row],[Saldo]]&gt;0), tabItens[[#This Row],[PontoPed]]=0), 99, IF(AND(tabItens[[#This Row],[Saldo]]=0,tabItens[[#This Row],[PontoPed]]&gt;0), 0, (1-tabItens[[#This Row],[PctAb]])*10 ) ),0)</f>
        <v>0</v>
      </c>
      <c r="BE324" s="406">
        <f>MAX(ROUNDDOWN( IF(tabItens[[#This Row],[Abaixo]] &gt; 0,   tabItens[[#This Row],[Abaixo]] + (tabItens[[#This Row],[PontoMês]] * IF( OR( ISBLANK(tabItens[[#This Row],[ATA Nº/ANO]]), tabItens[[#This Row],[ATA Nº/ANO]] = ""),BE$2,BE$1)),0),0),0)</f>
        <v>228</v>
      </c>
      <c r="BF32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4" s="338">
        <f>SUMIF(Consumo!$C$3:$C$862,tabItens[[#This Row],[CÓDIGO]],Consumo!$E$3:$E$862)</f>
        <v>0</v>
      </c>
      <c r="BH324" s="339">
        <f>IF(AND(tabItens[[#This Row],[Pend]] &gt; 0,tabItens[[#This Row],[Consumo]] &lt;&gt; 0), tabItens[[#This Row],[Pend]] / tabItens[[#This Row],[Consumo]], 0 )</f>
        <v>0</v>
      </c>
      <c r="BI324" s="338"/>
      <c r="BJ324" s="407"/>
      <c r="BK324" s="408" t="s">
        <v>2086</v>
      </c>
    </row>
    <row r="325" spans="1:63" x14ac:dyDescent="0.3">
      <c r="A325" s="375">
        <v>74909</v>
      </c>
      <c r="B325" s="376" t="s">
        <v>1412</v>
      </c>
      <c r="C325" s="377" t="s">
        <v>263</v>
      </c>
      <c r="D325" s="378">
        <v>152</v>
      </c>
      <c r="E325" s="305"/>
      <c r="F325" s="379"/>
      <c r="G325" s="379" t="s">
        <v>889</v>
      </c>
      <c r="H325" s="380">
        <v>0</v>
      </c>
      <c r="I325" s="307">
        <v>103003</v>
      </c>
      <c r="J325" s="308">
        <v>152</v>
      </c>
      <c r="K325" s="381">
        <v>124</v>
      </c>
      <c r="L325" s="382">
        <f>IF(tabItens[[#This Row],[Média]] &gt; 0, tabItens[[#This Row],[QTDE ATUAL]] / tabItens[[#This Row],[Média]],999.9)</f>
        <v>0</v>
      </c>
      <c r="M325" s="383">
        <v>0</v>
      </c>
      <c r="N325" s="384">
        <f>tabItens[[#This Row],[VALOR UNIT.]] * tabItens[[#This Row],[LC]]</f>
        <v>0</v>
      </c>
      <c r="O325" s="385" t="s">
        <v>2127</v>
      </c>
      <c r="P325" s="386"/>
      <c r="Q325" s="387"/>
      <c r="R325" s="312"/>
      <c r="S325" s="388"/>
      <c r="T325" s="389">
        <f>ROUNDDOWN(IFERROR(tabItens[[#This Row],[ATA DT.VALID.]] - $D$1,0) / 30,0)</f>
        <v>-1474</v>
      </c>
      <c r="U325" s="302" t="s">
        <v>1339</v>
      </c>
      <c r="V325" s="318">
        <v>1</v>
      </c>
      <c r="W325" s="390" t="s">
        <v>2071</v>
      </c>
      <c r="X325" s="391">
        <v>74</v>
      </c>
      <c r="Y325" s="392">
        <v>3</v>
      </c>
      <c r="Z325" s="393"/>
      <c r="AA325" s="394"/>
      <c r="AB325" s="395"/>
      <c r="AC325" s="395"/>
      <c r="AD325" s="394"/>
      <c r="AE325" s="395"/>
      <c r="AF325" s="317"/>
      <c r="AG325" s="396" t="s">
        <v>2072</v>
      </c>
      <c r="AH325" s="397"/>
      <c r="AI325" s="317">
        <v>42</v>
      </c>
      <c r="AJ325" s="397">
        <v>44160</v>
      </c>
      <c r="AK325" s="326">
        <v>37845</v>
      </c>
      <c r="AL325" s="326">
        <v>45210</v>
      </c>
      <c r="AM325" s="316"/>
      <c r="AN325" s="305"/>
      <c r="AO325" s="327" t="str">
        <f>_xlfn.IFNA(IF(VLOOKUP(tabItens[[#This Row],[CÓDIGO]],tabExcluirDoEstoque[#Data],1,FALSE),"sim",""),"")</f>
        <v/>
      </c>
      <c r="AP325" s="398" t="str">
        <f ca="1">IF(OR(ISBLANK(tabItens[[#This Row],[ATA DT.VALID.]]),tabItens[[#This Row],[ATA DT.VALID.]]="",tabItens[[#This Row],[ATA DT.VALID.]]=" "),"",IF(TYPE(tabItens[[#This Row],[ATA DT.VALID.]])=1,ROUNDUP((tabItens[[#This Row],[ATA DT.VALID.]]-TODAY())/7,0),""))</f>
        <v/>
      </c>
      <c r="AQ325" s="399">
        <v>0</v>
      </c>
      <c r="AR325" s="400" t="str">
        <f>IF(ISBLANK(tabItens[[#This Row],[CÓDIGO]]),"",IFERROR(VLOOKUP(tabItens[[#This Row],[CÓDIGO]],Consumo!$C$2:$AC$862,26,FALSE),0))</f>
        <v>12.2022</v>
      </c>
      <c r="AS325" s="401">
        <f>SUMIF(Consumo!$C$3:$C$862,tabItens[[#This Row],[CÓDIGO]],Consumo!$N$3:$N$862) + SUMIF(Consumo!$C$3:$C$862,tabItens[[#This Row],[CÓDIGO]],Consumo!$O$3:$O$862) + SUMIF(Consumo!$C$3:$C$862,tabItens[[#This Row],[CÓDIGO]],Consumo!$P$3:$P$862) + SUMIF(Consumo!$C$3:$C$862,tabItens[[#This Row],[CÓDIGO]],Consumo!$Q$3:$Q$862)</f>
        <v>0</v>
      </c>
      <c r="AT325" s="401">
        <f>SUMIF(Consumo!$C$3:$C$862,tabItens[[#This Row],[CÓDIGO]],Consumo!$Z$3:$Z$862)</f>
        <v>147</v>
      </c>
      <c r="AU325" s="402">
        <f>SUMIF(Consumo!$C$3:$C$862,tabItens[[#This Row],[CÓDIGO]],Consumo!$AA$3:$AA$862)</f>
        <v>70</v>
      </c>
      <c r="AV325" s="403">
        <f>SUMIF(Consumo!$C$3:$C$862,tabItens[[#This Row],[CÓDIGO]],Consumo!$Y$3:$Y$862)</f>
        <v>11.166666666666666</v>
      </c>
      <c r="AW325" s="380">
        <f>tabItens[[#This Row],[QTDE ATUAL]] + tabItens[[#This Row],[RC QTDE]] + tabItens[[#This Row],[AF SALDO]] + tabItens[[#This Row],[Recentes]]</f>
        <v>0</v>
      </c>
      <c r="AX325" s="404">
        <v>9</v>
      </c>
      <c r="AY325" s="404">
        <v>4</v>
      </c>
      <c r="AZ325" s="404">
        <f>IF(ISBLANK(tabItens[[#This Row],[CÓDIGO]]),"",tabItens[[#This Row],[PontoMês]] * (AZ$2+tabItens[[#This Row],[PontoQtM]]))</f>
        <v>36</v>
      </c>
      <c r="BA325" s="403">
        <f>tabItens[[#This Row],[PontoPed]] - tabItens[[#This Row],[Saldo]] + (1/10)</f>
        <v>36.1</v>
      </c>
      <c r="BB325" s="403">
        <f xml:space="preserve"> tabItens[[#This Row],[PontoMês]] * BB$2 - tabItens[[#This Row],[QTDE ATUAL]] - (1/10)</f>
        <v>8.9</v>
      </c>
      <c r="BC325" s="335">
        <f>IF( tabItens[[#This Row],[PontoPed]]&gt;0, IF(tabItens[[#This Row],[PontoPed]]&lt;1, 1, IF( tabItens[[#This Row],[Saldo]]&gt;tabItens[[#This Row],[PontoPed]], 0, (tabItens[[#This Row],[PontoPed]]-tabItens[[#This Row],[Saldo]])/tabItens[[#This Row],[PontoPed]] ) ), 0 )</f>
        <v>1</v>
      </c>
      <c r="BD325" s="405">
        <f>ROUNDDOWN(IF( OR( AND(tabItens[[#This Row],[PontoPed]]&lt;tabItens[[#This Row],[Saldo]],tabItens[[#This Row],[Saldo]]&gt;0), tabItens[[#This Row],[PontoPed]]=0), 99, IF(AND(tabItens[[#This Row],[Saldo]]=0,tabItens[[#This Row],[PontoPed]]&gt;0), 0, (1-tabItens[[#This Row],[PctAb]])*10 ) ),0)</f>
        <v>0</v>
      </c>
      <c r="BE325" s="406">
        <f>MAX(ROUNDDOWN( IF(tabItens[[#This Row],[Abaixo]] &gt; 0,   tabItens[[#This Row],[Abaixo]] + (tabItens[[#This Row],[PontoMês]] * IF( OR( ISBLANK(tabItens[[#This Row],[ATA Nº/ANO]]), tabItens[[#This Row],[ATA Nº/ANO]] = ""),BE$2,BE$1)),0),0),0)</f>
        <v>63</v>
      </c>
      <c r="BF32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5" s="338">
        <f>SUMIF(Consumo!$C$3:$C$862,tabItens[[#This Row],[CÓDIGO]],Consumo!$E$3:$E$862)</f>
        <v>23</v>
      </c>
      <c r="BH325" s="339">
        <f>IF(AND(tabItens[[#This Row],[Pend]] &gt; 0,tabItens[[#This Row],[Consumo]] &lt;&gt; 0), tabItens[[#This Row],[Pend]] / tabItens[[#This Row],[Consumo]], 0 )</f>
        <v>0.15646258503401361</v>
      </c>
      <c r="BI325" s="338"/>
      <c r="BJ325" s="407"/>
      <c r="BK325" s="408" t="s">
        <v>2086</v>
      </c>
    </row>
    <row r="326" spans="1:63" x14ac:dyDescent="0.3">
      <c r="A326" s="375">
        <v>74911</v>
      </c>
      <c r="B326" s="376" t="s">
        <v>1413</v>
      </c>
      <c r="C326" s="377" t="s">
        <v>263</v>
      </c>
      <c r="D326" s="378">
        <v>146</v>
      </c>
      <c r="E326" s="305"/>
      <c r="F326" s="379"/>
      <c r="G326" s="379" t="s">
        <v>889</v>
      </c>
      <c r="H326" s="380">
        <v>17</v>
      </c>
      <c r="I326" s="307">
        <v>103003</v>
      </c>
      <c r="J326" s="308">
        <v>146</v>
      </c>
      <c r="K326" s="381">
        <v>133</v>
      </c>
      <c r="L326" s="382">
        <f>IF(tabItens[[#This Row],[Média]] &gt; 0, tabItens[[#This Row],[QTDE ATUAL]] / tabItens[[#This Row],[Média]],999.9)</f>
        <v>1.6451612903225805</v>
      </c>
      <c r="M326" s="383">
        <v>0</v>
      </c>
      <c r="N326" s="384">
        <f>tabItens[[#This Row],[VALOR UNIT.]] * tabItens[[#This Row],[LC]]</f>
        <v>0</v>
      </c>
      <c r="O326" s="385" t="s">
        <v>2127</v>
      </c>
      <c r="P326" s="386"/>
      <c r="Q326" s="387"/>
      <c r="R326" s="312"/>
      <c r="S326" s="388"/>
      <c r="T326" s="389">
        <f>ROUNDDOWN(IFERROR(tabItens[[#This Row],[ATA DT.VALID.]] - $D$1,0) / 30,0)</f>
        <v>-1474</v>
      </c>
      <c r="U326" s="302" t="s">
        <v>1339</v>
      </c>
      <c r="V326" s="318">
        <v>1</v>
      </c>
      <c r="W326" s="390" t="s">
        <v>2071</v>
      </c>
      <c r="X326" s="391">
        <v>74</v>
      </c>
      <c r="Y326" s="392">
        <v>3</v>
      </c>
      <c r="Z326" s="393"/>
      <c r="AA326" s="394"/>
      <c r="AB326" s="395"/>
      <c r="AC326" s="395"/>
      <c r="AD326" s="394"/>
      <c r="AE326" s="395"/>
      <c r="AF326" s="317"/>
      <c r="AG326" s="396" t="s">
        <v>2072</v>
      </c>
      <c r="AH326" s="397"/>
      <c r="AI326" s="317">
        <v>44</v>
      </c>
      <c r="AJ326" s="397">
        <v>44974</v>
      </c>
      <c r="AK326" s="326">
        <v>37845</v>
      </c>
      <c r="AL326" s="326">
        <v>45210</v>
      </c>
      <c r="AM326" s="316"/>
      <c r="AN326" s="305"/>
      <c r="AO326" s="327" t="str">
        <f>_xlfn.IFNA(IF(VLOOKUP(tabItens[[#This Row],[CÓDIGO]],tabExcluirDoEstoque[#Data],1,FALSE),"sim",""),"")</f>
        <v/>
      </c>
      <c r="AP326" s="398" t="str">
        <f ca="1">IF(OR(ISBLANK(tabItens[[#This Row],[ATA DT.VALID.]]),tabItens[[#This Row],[ATA DT.VALID.]]="",tabItens[[#This Row],[ATA DT.VALID.]]=" "),"",IF(TYPE(tabItens[[#This Row],[ATA DT.VALID.]])=1,ROUNDUP((tabItens[[#This Row],[ATA DT.VALID.]]-TODAY())/7,0),""))</f>
        <v/>
      </c>
      <c r="AQ326" s="399">
        <v>0</v>
      </c>
      <c r="AR326" s="400" t="str">
        <f>IF(ISBLANK(tabItens[[#This Row],[CÓDIGO]]),"",IFERROR(VLOOKUP(tabItens[[#This Row],[CÓDIGO]],Consumo!$C$2:$AC$862,26,FALSE),0))</f>
        <v>09.2023</v>
      </c>
      <c r="AS326" s="401">
        <f>SUMIF(Consumo!$C$3:$C$862,tabItens[[#This Row],[CÓDIGO]],Consumo!$N$3:$N$862) + SUMIF(Consumo!$C$3:$C$862,tabItens[[#This Row],[CÓDIGO]],Consumo!$O$3:$O$862) + SUMIF(Consumo!$C$3:$C$862,tabItens[[#This Row],[CÓDIGO]],Consumo!$P$3:$P$862) + SUMIF(Consumo!$C$3:$C$862,tabItens[[#This Row],[CÓDIGO]],Consumo!$Q$3:$Q$862)</f>
        <v>18</v>
      </c>
      <c r="AT326" s="401">
        <f>SUMIF(Consumo!$C$3:$C$862,tabItens[[#This Row],[CÓDIGO]],Consumo!$Z$3:$Z$862)</f>
        <v>133</v>
      </c>
      <c r="AU326" s="402">
        <f>SUMIF(Consumo!$C$3:$C$862,tabItens[[#This Row],[CÓDIGO]],Consumo!$AA$3:$AA$862)</f>
        <v>65</v>
      </c>
      <c r="AV326" s="403">
        <f>SUMIF(Consumo!$C$3:$C$862,tabItens[[#This Row],[CÓDIGO]],Consumo!$Y$3:$Y$862)</f>
        <v>10.333333333333334</v>
      </c>
      <c r="AW326" s="380">
        <f>tabItens[[#This Row],[QTDE ATUAL]] + tabItens[[#This Row],[RC QTDE]] + tabItens[[#This Row],[AF SALDO]] + tabItens[[#This Row],[Recentes]]</f>
        <v>17</v>
      </c>
      <c r="AX326" s="404">
        <v>20</v>
      </c>
      <c r="AY326" s="404">
        <v>4</v>
      </c>
      <c r="AZ326" s="404">
        <f>IF(ISBLANK(tabItens[[#This Row],[CÓDIGO]]),"",tabItens[[#This Row],[PontoMês]] * (AZ$2+tabItens[[#This Row],[PontoQtM]]))</f>
        <v>80</v>
      </c>
      <c r="BA326" s="403">
        <f>tabItens[[#This Row],[PontoPed]] - tabItens[[#This Row],[Saldo]] + (1/10)</f>
        <v>63.1</v>
      </c>
      <c r="BB326" s="403">
        <f xml:space="preserve"> tabItens[[#This Row],[PontoMês]] * BB$2 - tabItens[[#This Row],[QTDE ATUAL]] - (1/10)</f>
        <v>2.9</v>
      </c>
      <c r="BC326" s="335">
        <f>IF( tabItens[[#This Row],[PontoPed]]&gt;0, IF(tabItens[[#This Row],[PontoPed]]&lt;1, 1, IF( tabItens[[#This Row],[Saldo]]&gt;tabItens[[#This Row],[PontoPed]], 0, (tabItens[[#This Row],[PontoPed]]-tabItens[[#This Row],[Saldo]])/tabItens[[#This Row],[PontoPed]] ) ), 0 )</f>
        <v>0.78749999999999998</v>
      </c>
      <c r="BD326" s="405">
        <f>ROUNDDOWN(IF( OR( AND(tabItens[[#This Row],[PontoPed]]&lt;tabItens[[#This Row],[Saldo]],tabItens[[#This Row],[Saldo]]&gt;0), tabItens[[#This Row],[PontoPed]]=0), 99, IF(AND(tabItens[[#This Row],[Saldo]]=0,tabItens[[#This Row],[PontoPed]]&gt;0), 0, (1-tabItens[[#This Row],[PctAb]])*10 ) ),0)</f>
        <v>2</v>
      </c>
      <c r="BE326" s="406">
        <f>MAX(ROUNDDOWN( IF(tabItens[[#This Row],[Abaixo]] &gt; 0,   tabItens[[#This Row],[Abaixo]] + (tabItens[[#This Row],[PontoMês]] * IF( OR( ISBLANK(tabItens[[#This Row],[ATA Nº/ANO]]), tabItens[[#This Row],[ATA Nº/ANO]] = ""),BE$2,BE$1)),0),0),0)</f>
        <v>123</v>
      </c>
      <c r="BF32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6" s="338">
        <f>SUMIF(Consumo!$C$3:$C$862,tabItens[[#This Row],[CÓDIGO]],Consumo!$E$3:$E$862)</f>
        <v>0</v>
      </c>
      <c r="BH326" s="339">
        <f>IF(AND(tabItens[[#This Row],[Pend]] &gt; 0,tabItens[[#This Row],[Consumo]] &lt;&gt; 0), tabItens[[#This Row],[Pend]] / tabItens[[#This Row],[Consumo]], 0 )</f>
        <v>0</v>
      </c>
      <c r="BI326" s="338"/>
      <c r="BJ326" s="407"/>
      <c r="BK326" s="408" t="s">
        <v>2086</v>
      </c>
    </row>
    <row r="327" spans="1:63" x14ac:dyDescent="0.3">
      <c r="A327" s="375">
        <v>77554</v>
      </c>
      <c r="B327" s="376" t="s">
        <v>1428</v>
      </c>
      <c r="C327" s="377" t="s">
        <v>263</v>
      </c>
      <c r="D327" s="378">
        <v>194.61</v>
      </c>
      <c r="E327" s="305"/>
      <c r="F327" s="379"/>
      <c r="G327" s="379" t="s">
        <v>889</v>
      </c>
      <c r="H327" s="380">
        <v>24</v>
      </c>
      <c r="I327" s="307">
        <v>103003</v>
      </c>
      <c r="J327" s="308">
        <v>194.61</v>
      </c>
      <c r="K327" s="381">
        <v>220</v>
      </c>
      <c r="L327" s="382">
        <f>IF(tabItens[[#This Row],[Média]] &gt; 0, tabItens[[#This Row],[QTDE ATUAL]] / tabItens[[#This Row],[Média]],999.9)</f>
        <v>1.2914798206278029</v>
      </c>
      <c r="M327" s="383">
        <v>0</v>
      </c>
      <c r="N327" s="384">
        <f>tabItens[[#This Row],[VALOR UNIT.]] * tabItens[[#This Row],[LC]]</f>
        <v>0</v>
      </c>
      <c r="O327" s="385" t="s">
        <v>2127</v>
      </c>
      <c r="P327" s="386"/>
      <c r="Q327" s="387"/>
      <c r="R327" s="312"/>
      <c r="S327" s="388"/>
      <c r="T327" s="389">
        <f>ROUNDDOWN(IFERROR(tabItens[[#This Row],[ATA DT.VALID.]] - $D$1,0) / 30,0)</f>
        <v>-1474</v>
      </c>
      <c r="U327" s="302" t="s">
        <v>1339</v>
      </c>
      <c r="V327" s="318">
        <v>1</v>
      </c>
      <c r="W327" s="390" t="s">
        <v>2071</v>
      </c>
      <c r="X327" s="391">
        <v>74</v>
      </c>
      <c r="Y327" s="392">
        <v>3</v>
      </c>
      <c r="Z327" s="393"/>
      <c r="AA327" s="394"/>
      <c r="AB327" s="395"/>
      <c r="AC327" s="395"/>
      <c r="AD327" s="394"/>
      <c r="AE327" s="395"/>
      <c r="AF327" s="317"/>
      <c r="AG327" s="396" t="s">
        <v>2072</v>
      </c>
      <c r="AH327" s="397"/>
      <c r="AI327" s="317">
        <v>76</v>
      </c>
      <c r="AJ327" s="397">
        <v>44974</v>
      </c>
      <c r="AK327" s="326">
        <v>38056</v>
      </c>
      <c r="AL327" s="326">
        <v>44887</v>
      </c>
      <c r="AM327" s="316"/>
      <c r="AN327" s="305"/>
      <c r="AO327" s="327" t="str">
        <f>_xlfn.IFNA(IF(VLOOKUP(tabItens[[#This Row],[CÓDIGO]],tabExcluirDoEstoque[#Data],1,FALSE),"sim",""),"")</f>
        <v/>
      </c>
      <c r="AP327" s="398" t="str">
        <f ca="1">IF(OR(ISBLANK(tabItens[[#This Row],[ATA DT.VALID.]]),tabItens[[#This Row],[ATA DT.VALID.]]="",tabItens[[#This Row],[ATA DT.VALID.]]=" "),"",IF(TYPE(tabItens[[#This Row],[ATA DT.VALID.]])=1,ROUNDUP((tabItens[[#This Row],[ATA DT.VALID.]]-TODAY())/7,0),""))</f>
        <v/>
      </c>
      <c r="AQ327" s="399">
        <v>0</v>
      </c>
      <c r="AR327" s="400" t="str">
        <f>IF(ISBLANK(tabItens[[#This Row],[CÓDIGO]]),"",IFERROR(VLOOKUP(tabItens[[#This Row],[CÓDIGO]],Consumo!$C$2:$AC$862,26,FALSE),0))</f>
        <v>08.2023</v>
      </c>
      <c r="AS327" s="401">
        <f>SUMIF(Consumo!$C$3:$C$862,tabItens[[#This Row],[CÓDIGO]],Consumo!$N$3:$N$862) + SUMIF(Consumo!$C$3:$C$862,tabItens[[#This Row],[CÓDIGO]],Consumo!$O$3:$O$862) + SUMIF(Consumo!$C$3:$C$862,tabItens[[#This Row],[CÓDIGO]],Consumo!$P$3:$P$862) + SUMIF(Consumo!$C$3:$C$862,tabItens[[#This Row],[CÓDIGO]],Consumo!$Q$3:$Q$862)</f>
        <v>55</v>
      </c>
      <c r="AT327" s="401">
        <f>SUMIF(Consumo!$C$3:$C$862,tabItens[[#This Row],[CÓDIGO]],Consumo!$Z$3:$Z$862)</f>
        <v>225</v>
      </c>
      <c r="AU327" s="402">
        <f>SUMIF(Consumo!$C$3:$C$862,tabItens[[#This Row],[CÓDIGO]],Consumo!$AA$3:$AA$862)</f>
        <v>70</v>
      </c>
      <c r="AV327" s="403">
        <f>SUMIF(Consumo!$C$3:$C$862,tabItens[[#This Row],[CÓDIGO]],Consumo!$Y$3:$Y$862)</f>
        <v>18.583333333333332</v>
      </c>
      <c r="AW327" s="380">
        <f>tabItens[[#This Row],[QTDE ATUAL]] + tabItens[[#This Row],[RC QTDE]] + tabItens[[#This Row],[AF SALDO]] + tabItens[[#This Row],[Recentes]]</f>
        <v>24</v>
      </c>
      <c r="AX327" s="404">
        <v>14</v>
      </c>
      <c r="AY327" s="404">
        <v>4</v>
      </c>
      <c r="AZ327" s="404">
        <f>IF(ISBLANK(tabItens[[#This Row],[CÓDIGO]]),"",tabItens[[#This Row],[PontoMês]] * (AZ$2+tabItens[[#This Row],[PontoQtM]]))</f>
        <v>56</v>
      </c>
      <c r="BA327" s="403">
        <f>tabItens[[#This Row],[PontoPed]] - tabItens[[#This Row],[Saldo]] + (1/10)</f>
        <v>32.1</v>
      </c>
      <c r="BB327" s="403">
        <f xml:space="preserve"> tabItens[[#This Row],[PontoMês]] * BB$2 - tabItens[[#This Row],[QTDE ATUAL]] - (1/10)</f>
        <v>-10.1</v>
      </c>
      <c r="BC327" s="335">
        <f>IF( tabItens[[#This Row],[PontoPed]]&gt;0, IF(tabItens[[#This Row],[PontoPed]]&lt;1, 1, IF( tabItens[[#This Row],[Saldo]]&gt;tabItens[[#This Row],[PontoPed]], 0, (tabItens[[#This Row],[PontoPed]]-tabItens[[#This Row],[Saldo]])/tabItens[[#This Row],[PontoPed]] ) ), 0 )</f>
        <v>0.5714285714285714</v>
      </c>
      <c r="BD327" s="405">
        <f>ROUNDDOWN(IF( OR( AND(tabItens[[#This Row],[PontoPed]]&lt;tabItens[[#This Row],[Saldo]],tabItens[[#This Row],[Saldo]]&gt;0), tabItens[[#This Row],[PontoPed]]=0), 99, IF(AND(tabItens[[#This Row],[Saldo]]=0,tabItens[[#This Row],[PontoPed]]&gt;0), 0, (1-tabItens[[#This Row],[PctAb]])*10 ) ),0)</f>
        <v>4</v>
      </c>
      <c r="BE327" s="406">
        <f>MAX(ROUNDDOWN( IF(tabItens[[#This Row],[Abaixo]] &gt; 0,   tabItens[[#This Row],[Abaixo]] + (tabItens[[#This Row],[PontoMês]] * IF( OR( ISBLANK(tabItens[[#This Row],[ATA Nº/ANO]]), tabItens[[#This Row],[ATA Nº/ANO]] = ""),BE$2,BE$1)),0),0),0)</f>
        <v>74</v>
      </c>
      <c r="BF32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7" s="338">
        <f>SUMIF(Consumo!$C$3:$C$862,tabItens[[#This Row],[CÓDIGO]],Consumo!$E$3:$E$862)</f>
        <v>0</v>
      </c>
      <c r="BH327" s="339">
        <f>IF(AND(tabItens[[#This Row],[Pend]] &gt; 0,tabItens[[#This Row],[Consumo]] &lt;&gt; 0), tabItens[[#This Row],[Pend]] / tabItens[[#This Row],[Consumo]], 0 )</f>
        <v>0</v>
      </c>
      <c r="BI327" s="338"/>
      <c r="BJ327" s="407"/>
      <c r="BK327" s="408" t="s">
        <v>2086</v>
      </c>
    </row>
    <row r="328" spans="1:63" x14ac:dyDescent="0.3">
      <c r="A328" s="375">
        <v>77557</v>
      </c>
      <c r="B328" s="376" t="s">
        <v>1430</v>
      </c>
      <c r="C328" s="377" t="s">
        <v>263</v>
      </c>
      <c r="D328" s="378">
        <v>128.13999999999999</v>
      </c>
      <c r="E328" s="305"/>
      <c r="F328" s="379"/>
      <c r="G328" s="379" t="s">
        <v>889</v>
      </c>
      <c r="H328" s="380">
        <v>186</v>
      </c>
      <c r="I328" s="307">
        <v>103003</v>
      </c>
      <c r="J328" s="308">
        <v>128.13999999999999</v>
      </c>
      <c r="K328" s="381">
        <v>43</v>
      </c>
      <c r="L328" s="382">
        <f>IF(tabItens[[#This Row],[Média]] &gt; 0, tabItens[[#This Row],[QTDE ATUAL]] / tabItens[[#This Row],[Média]],999.9)</f>
        <v>69.75</v>
      </c>
      <c r="M328" s="383">
        <v>0</v>
      </c>
      <c r="N328" s="384">
        <f>tabItens[[#This Row],[VALOR UNIT.]] * tabItens[[#This Row],[LC]]</f>
        <v>0</v>
      </c>
      <c r="O328" s="385" t="s">
        <v>2127</v>
      </c>
      <c r="P328" s="386"/>
      <c r="Q328" s="387"/>
      <c r="R328" s="312"/>
      <c r="S328" s="388"/>
      <c r="T328" s="389">
        <f>ROUNDDOWN(IFERROR(tabItens[[#This Row],[ATA DT.VALID.]] - $D$1,0) / 30,0)</f>
        <v>-1474</v>
      </c>
      <c r="U328" s="302" t="s">
        <v>1339</v>
      </c>
      <c r="V328" s="318">
        <v>1</v>
      </c>
      <c r="W328" s="390" t="s">
        <v>2071</v>
      </c>
      <c r="X328" s="391">
        <v>74</v>
      </c>
      <c r="Y328" s="392">
        <v>3</v>
      </c>
      <c r="Z328" s="393"/>
      <c r="AA328" s="394"/>
      <c r="AB328" s="395"/>
      <c r="AC328" s="395"/>
      <c r="AD328" s="394"/>
      <c r="AE328" s="395"/>
      <c r="AF328" s="317"/>
      <c r="AG328" s="396" t="s">
        <v>2072</v>
      </c>
      <c r="AH328" s="397"/>
      <c r="AI328" s="317">
        <v>14</v>
      </c>
      <c r="AJ328" s="397">
        <v>43745</v>
      </c>
      <c r="AK328" s="326">
        <v>38056</v>
      </c>
      <c r="AL328" s="326">
        <v>44238</v>
      </c>
      <c r="AM328" s="316"/>
      <c r="AN328" s="305"/>
      <c r="AO328" s="327" t="str">
        <f>_xlfn.IFNA(IF(VLOOKUP(tabItens[[#This Row],[CÓDIGO]],tabExcluirDoEstoque[#Data],1,FALSE),"sim",""),"")</f>
        <v/>
      </c>
      <c r="AP328" s="398" t="str">
        <f ca="1">IF(OR(ISBLANK(tabItens[[#This Row],[ATA DT.VALID.]]),tabItens[[#This Row],[ATA DT.VALID.]]="",tabItens[[#This Row],[ATA DT.VALID.]]=" "),"",IF(TYPE(tabItens[[#This Row],[ATA DT.VALID.]])=1,ROUNDUP((tabItens[[#This Row],[ATA DT.VALID.]]-TODAY())/7,0),""))</f>
        <v/>
      </c>
      <c r="AQ328" s="399">
        <v>0</v>
      </c>
      <c r="AR328" s="400" t="str">
        <f>IF(ISBLANK(tabItens[[#This Row],[CÓDIGO]]),"",IFERROR(VLOOKUP(tabItens[[#This Row],[CÓDIGO]],Consumo!$C$2:$AC$862,26,FALSE),0))</f>
        <v>06.2023</v>
      </c>
      <c r="AS328" s="401">
        <f>SUMIF(Consumo!$C$3:$C$862,tabItens[[#This Row],[CÓDIGO]],Consumo!$N$3:$N$862) + SUMIF(Consumo!$C$3:$C$862,tabItens[[#This Row],[CÓDIGO]],Consumo!$O$3:$O$862) + SUMIF(Consumo!$C$3:$C$862,tabItens[[#This Row],[CÓDIGO]],Consumo!$P$3:$P$862) + SUMIF(Consumo!$C$3:$C$862,tabItens[[#This Row],[CÓDIGO]],Consumo!$Q$3:$Q$862)</f>
        <v>34</v>
      </c>
      <c r="AT328" s="401">
        <f>SUMIF(Consumo!$C$3:$C$862,tabItens[[#This Row],[CÓDIGO]],Consumo!$Z$3:$Z$862)</f>
        <v>43</v>
      </c>
      <c r="AU328" s="402">
        <f>SUMIF(Consumo!$C$3:$C$862,tabItens[[#This Row],[CÓDIGO]],Consumo!$AA$3:$AA$862)</f>
        <v>34</v>
      </c>
      <c r="AV328" s="403">
        <f>SUMIF(Consumo!$C$3:$C$862,tabItens[[#This Row],[CÓDIGO]],Consumo!$Y$3:$Y$862)</f>
        <v>2.6666666666666665</v>
      </c>
      <c r="AW328" s="380">
        <f>tabItens[[#This Row],[QTDE ATUAL]] + tabItens[[#This Row],[RC QTDE]] + tabItens[[#This Row],[AF SALDO]] + tabItens[[#This Row],[Recentes]]</f>
        <v>186</v>
      </c>
      <c r="AX328" s="404">
        <v>5</v>
      </c>
      <c r="AY328" s="404">
        <v>4</v>
      </c>
      <c r="AZ328" s="404">
        <f>IF(ISBLANK(tabItens[[#This Row],[CÓDIGO]]),"",tabItens[[#This Row],[PontoMês]] * (AZ$2+tabItens[[#This Row],[PontoQtM]]))</f>
        <v>20</v>
      </c>
      <c r="BA328" s="403">
        <f>tabItens[[#This Row],[PontoPed]] - tabItens[[#This Row],[Saldo]] + (1/10)</f>
        <v>-165.9</v>
      </c>
      <c r="BB328" s="403">
        <f xml:space="preserve"> tabItens[[#This Row],[PontoMês]] * BB$2 - tabItens[[#This Row],[QTDE ATUAL]] - (1/10)</f>
        <v>-181.1</v>
      </c>
      <c r="BC328" s="335">
        <f>IF( tabItens[[#This Row],[PontoPed]]&gt;0, IF(tabItens[[#This Row],[PontoPed]]&lt;1, 1, IF( tabItens[[#This Row],[Saldo]]&gt;tabItens[[#This Row],[PontoPed]], 0, (tabItens[[#This Row],[PontoPed]]-tabItens[[#This Row],[Saldo]])/tabItens[[#This Row],[PontoPed]] ) ), 0 )</f>
        <v>0</v>
      </c>
      <c r="BD328" s="405">
        <f>ROUNDDOWN(IF( OR( AND(tabItens[[#This Row],[PontoPed]]&lt;tabItens[[#This Row],[Saldo]],tabItens[[#This Row],[Saldo]]&gt;0), tabItens[[#This Row],[PontoPed]]=0), 99, IF(AND(tabItens[[#This Row],[Saldo]]=0,tabItens[[#This Row],[PontoPed]]&gt;0), 0, (1-tabItens[[#This Row],[PctAb]])*10 ) ),0)</f>
        <v>99</v>
      </c>
      <c r="BE328" s="406">
        <f>MAX(ROUNDDOWN( IF(tabItens[[#This Row],[Abaixo]] &gt; 0,   tabItens[[#This Row],[Abaixo]] + (tabItens[[#This Row],[PontoMês]] * IF( OR( ISBLANK(tabItens[[#This Row],[ATA Nº/ANO]]), tabItens[[#This Row],[ATA Nº/ANO]] = ""),BE$2,BE$1)),0),0),0)</f>
        <v>0</v>
      </c>
      <c r="BF32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8" s="338">
        <f>SUMIF(Consumo!$C$3:$C$862,tabItens[[#This Row],[CÓDIGO]],Consumo!$E$3:$E$862)</f>
        <v>0</v>
      </c>
      <c r="BH328" s="339">
        <f>IF(AND(tabItens[[#This Row],[Pend]] &gt; 0,tabItens[[#This Row],[Consumo]] &lt;&gt; 0), tabItens[[#This Row],[Pend]] / tabItens[[#This Row],[Consumo]], 0 )</f>
        <v>0</v>
      </c>
      <c r="BI328" s="338"/>
      <c r="BJ328" s="407"/>
      <c r="BK328" s="408" t="s">
        <v>2086</v>
      </c>
    </row>
    <row r="329" spans="1:63" x14ac:dyDescent="0.3">
      <c r="A329" s="375">
        <v>82185</v>
      </c>
      <c r="B329" s="376" t="s">
        <v>1486</v>
      </c>
      <c r="C329" s="377" t="s">
        <v>263</v>
      </c>
      <c r="D329" s="378">
        <v>88</v>
      </c>
      <c r="E329" s="305"/>
      <c r="F329" s="379"/>
      <c r="G329" s="379" t="s">
        <v>889</v>
      </c>
      <c r="H329" s="380">
        <v>159</v>
      </c>
      <c r="I329" s="307">
        <v>103003</v>
      </c>
      <c r="J329" s="308">
        <v>96.650639999999996</v>
      </c>
      <c r="K329" s="381">
        <v>74</v>
      </c>
      <c r="L329" s="382">
        <f>IF(tabItens[[#This Row],[Média]] &gt; 0, tabItens[[#This Row],[QTDE ATUAL]] / tabItens[[#This Row],[Média]],999.9)</f>
        <v>28.058823529411764</v>
      </c>
      <c r="M329" s="383">
        <v>0</v>
      </c>
      <c r="N329" s="384">
        <f>tabItens[[#This Row],[VALOR UNIT.]] * tabItens[[#This Row],[LC]]</f>
        <v>0</v>
      </c>
      <c r="O329" s="385" t="s">
        <v>2127</v>
      </c>
      <c r="P329" s="386"/>
      <c r="Q329" s="387"/>
      <c r="R329" s="312"/>
      <c r="S329" s="388"/>
      <c r="T329" s="389">
        <f>ROUNDDOWN(IFERROR(tabItens[[#This Row],[ATA DT.VALID.]] - $D$1,0) / 30,0)</f>
        <v>-1474</v>
      </c>
      <c r="U329" s="302" t="s">
        <v>1339</v>
      </c>
      <c r="V329" s="318">
        <v>1</v>
      </c>
      <c r="W329" s="390" t="s">
        <v>2071</v>
      </c>
      <c r="X329" s="391">
        <v>74</v>
      </c>
      <c r="Y329" s="392">
        <v>3</v>
      </c>
      <c r="Z329" s="393"/>
      <c r="AA329" s="394"/>
      <c r="AB329" s="395"/>
      <c r="AC329" s="395"/>
      <c r="AD329" s="394"/>
      <c r="AE329" s="395"/>
      <c r="AF329" s="317"/>
      <c r="AG329" s="396" t="s">
        <v>2072</v>
      </c>
      <c r="AH329" s="397"/>
      <c r="AI329" s="317">
        <v>24</v>
      </c>
      <c r="AJ329" s="397">
        <v>44160</v>
      </c>
      <c r="AK329" s="326">
        <v>38273</v>
      </c>
      <c r="AL329" s="326">
        <v>44151</v>
      </c>
      <c r="AM329" s="316"/>
      <c r="AN329" s="305"/>
      <c r="AO329" s="327" t="str">
        <f>_xlfn.IFNA(IF(VLOOKUP(tabItens[[#This Row],[CÓDIGO]],tabExcluirDoEstoque[#Data],1,FALSE),"sim",""),"")</f>
        <v/>
      </c>
      <c r="AP329" s="398" t="str">
        <f ca="1">IF(OR(ISBLANK(tabItens[[#This Row],[ATA DT.VALID.]]),tabItens[[#This Row],[ATA DT.VALID.]]="",tabItens[[#This Row],[ATA DT.VALID.]]=" "),"",IF(TYPE(tabItens[[#This Row],[ATA DT.VALID.]])=1,ROUNDUP((tabItens[[#This Row],[ATA DT.VALID.]]-TODAY())/7,0),""))</f>
        <v/>
      </c>
      <c r="AQ329" s="399">
        <v>0</v>
      </c>
      <c r="AR329" s="400" t="str">
        <f>IF(ISBLANK(tabItens[[#This Row],[CÓDIGO]]),"",IFERROR(VLOOKUP(tabItens[[#This Row],[CÓDIGO]],Consumo!$C$2:$AC$862,26,FALSE),0))</f>
        <v>07.2023</v>
      </c>
      <c r="AS329" s="401">
        <f>SUMIF(Consumo!$C$3:$C$862,tabItens[[#This Row],[CÓDIGO]],Consumo!$N$3:$N$862) + SUMIF(Consumo!$C$3:$C$862,tabItens[[#This Row],[CÓDIGO]],Consumo!$O$3:$O$862) + SUMIF(Consumo!$C$3:$C$862,tabItens[[#This Row],[CÓDIGO]],Consumo!$P$3:$P$862) + SUMIF(Consumo!$C$3:$C$862,tabItens[[#This Row],[CÓDIGO]],Consumo!$Q$3:$Q$862)</f>
        <v>32</v>
      </c>
      <c r="AT329" s="401">
        <f>SUMIF(Consumo!$C$3:$C$862,tabItens[[#This Row],[CÓDIGO]],Consumo!$Z$3:$Z$862)</f>
        <v>74</v>
      </c>
      <c r="AU329" s="402">
        <f>SUMIF(Consumo!$C$3:$C$862,tabItens[[#This Row],[CÓDIGO]],Consumo!$AA$3:$AA$862)</f>
        <v>32</v>
      </c>
      <c r="AV329" s="403">
        <f>SUMIF(Consumo!$C$3:$C$862,tabItens[[#This Row],[CÓDIGO]],Consumo!$Y$3:$Y$862)</f>
        <v>5.666666666666667</v>
      </c>
      <c r="AW329" s="380">
        <f>tabItens[[#This Row],[QTDE ATUAL]] + tabItens[[#This Row],[RC QTDE]] + tabItens[[#This Row],[AF SALDO]] + tabItens[[#This Row],[Recentes]]</f>
        <v>159</v>
      </c>
      <c r="AX329" s="404">
        <v>15</v>
      </c>
      <c r="AY329" s="404">
        <v>4</v>
      </c>
      <c r="AZ329" s="404">
        <f>IF(ISBLANK(tabItens[[#This Row],[CÓDIGO]]),"",tabItens[[#This Row],[PontoMês]] * (AZ$2+tabItens[[#This Row],[PontoQtM]]))</f>
        <v>60</v>
      </c>
      <c r="BA329" s="403">
        <f>tabItens[[#This Row],[PontoPed]] - tabItens[[#This Row],[Saldo]] + (1/10)</f>
        <v>-98.9</v>
      </c>
      <c r="BB329" s="403">
        <f xml:space="preserve"> tabItens[[#This Row],[PontoMês]] * BB$2 - tabItens[[#This Row],[QTDE ATUAL]] - (1/10)</f>
        <v>-144.1</v>
      </c>
      <c r="BC329" s="335">
        <f>IF( tabItens[[#This Row],[PontoPed]]&gt;0, IF(tabItens[[#This Row],[PontoPed]]&lt;1, 1, IF( tabItens[[#This Row],[Saldo]]&gt;tabItens[[#This Row],[PontoPed]], 0, (tabItens[[#This Row],[PontoPed]]-tabItens[[#This Row],[Saldo]])/tabItens[[#This Row],[PontoPed]] ) ), 0 )</f>
        <v>0</v>
      </c>
      <c r="BD329" s="405">
        <f>ROUNDDOWN(IF( OR( AND(tabItens[[#This Row],[PontoPed]]&lt;tabItens[[#This Row],[Saldo]],tabItens[[#This Row],[Saldo]]&gt;0), tabItens[[#This Row],[PontoPed]]=0), 99, IF(AND(tabItens[[#This Row],[Saldo]]=0,tabItens[[#This Row],[PontoPed]]&gt;0), 0, (1-tabItens[[#This Row],[PctAb]])*10 ) ),0)</f>
        <v>99</v>
      </c>
      <c r="BE329" s="406">
        <f>MAX(ROUNDDOWN( IF(tabItens[[#This Row],[Abaixo]] &gt; 0,   tabItens[[#This Row],[Abaixo]] + (tabItens[[#This Row],[PontoMês]] * IF( OR( ISBLANK(tabItens[[#This Row],[ATA Nº/ANO]]), tabItens[[#This Row],[ATA Nº/ANO]] = ""),BE$2,BE$1)),0),0),0)</f>
        <v>0</v>
      </c>
      <c r="BF32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9" s="338">
        <f>SUMIF(Consumo!$C$3:$C$862,tabItens[[#This Row],[CÓDIGO]],Consumo!$E$3:$E$862)</f>
        <v>0</v>
      </c>
      <c r="BH329" s="339">
        <f>IF(AND(tabItens[[#This Row],[Pend]] &gt; 0,tabItens[[#This Row],[Consumo]] &lt;&gt; 0), tabItens[[#This Row],[Pend]] / tabItens[[#This Row],[Consumo]], 0 )</f>
        <v>0</v>
      </c>
      <c r="BI329" s="338"/>
      <c r="BJ329" s="407"/>
      <c r="BK329" s="408" t="s">
        <v>2086</v>
      </c>
    </row>
    <row r="330" spans="1:63" x14ac:dyDescent="0.3">
      <c r="A330" s="375">
        <v>114852</v>
      </c>
      <c r="B330" s="376" t="s">
        <v>1709</v>
      </c>
      <c r="C330" s="377" t="s">
        <v>263</v>
      </c>
      <c r="D330" s="378">
        <v>160</v>
      </c>
      <c r="E330" s="305"/>
      <c r="F330" s="379"/>
      <c r="G330" s="379" t="s">
        <v>889</v>
      </c>
      <c r="H330" s="380">
        <v>133</v>
      </c>
      <c r="I330" s="307">
        <v>103003</v>
      </c>
      <c r="J330" s="308">
        <v>160</v>
      </c>
      <c r="K330" s="381">
        <v>69</v>
      </c>
      <c r="L330" s="382">
        <f>IF(tabItens[[#This Row],[Média]] &gt; 0, tabItens[[#This Row],[QTDE ATUAL]] / tabItens[[#This Row],[Média]],999.9)</f>
        <v>24.181818181818183</v>
      </c>
      <c r="M330" s="383">
        <v>0</v>
      </c>
      <c r="N330" s="384">
        <f>tabItens[[#This Row],[VALOR UNIT.]] * tabItens[[#This Row],[LC]]</f>
        <v>0</v>
      </c>
      <c r="O330" s="385" t="s">
        <v>2127</v>
      </c>
      <c r="P330" s="386"/>
      <c r="Q330" s="387"/>
      <c r="R330" s="312"/>
      <c r="S330" s="388"/>
      <c r="T330" s="389">
        <f>ROUNDDOWN(IFERROR(tabItens[[#This Row],[ATA DT.VALID.]] - $D$1,0) / 30,0)</f>
        <v>-1474</v>
      </c>
      <c r="U330" s="302" t="s">
        <v>1339</v>
      </c>
      <c r="V330" s="318">
        <v>1</v>
      </c>
      <c r="W330" s="390" t="s">
        <v>2071</v>
      </c>
      <c r="X330" s="391">
        <v>74</v>
      </c>
      <c r="Y330" s="392">
        <v>3</v>
      </c>
      <c r="Z330" s="393"/>
      <c r="AA330" s="394"/>
      <c r="AB330" s="395"/>
      <c r="AC330" s="395"/>
      <c r="AD330" s="394"/>
      <c r="AE330" s="395"/>
      <c r="AF330" s="317"/>
      <c r="AG330" s="396" t="s">
        <v>2072</v>
      </c>
      <c r="AH330" s="397"/>
      <c r="AI330" s="317">
        <v>54</v>
      </c>
      <c r="AJ330" s="397">
        <v>44195</v>
      </c>
      <c r="AK330" s="326">
        <v>40280</v>
      </c>
      <c r="AL330" s="326">
        <v>44372</v>
      </c>
      <c r="AM330" s="316"/>
      <c r="AN330" s="305"/>
      <c r="AO330" s="327" t="str">
        <f>_xlfn.IFNA(IF(VLOOKUP(tabItens[[#This Row],[CÓDIGO]],tabExcluirDoEstoque[#Data],1,FALSE),"sim",""),"")</f>
        <v/>
      </c>
      <c r="AP330" s="398" t="str">
        <f ca="1">IF(OR(ISBLANK(tabItens[[#This Row],[ATA DT.VALID.]]),tabItens[[#This Row],[ATA DT.VALID.]]="",tabItens[[#This Row],[ATA DT.VALID.]]=" "),"",IF(TYPE(tabItens[[#This Row],[ATA DT.VALID.]])=1,ROUNDUP((tabItens[[#This Row],[ATA DT.VALID.]]-TODAY())/7,0),""))</f>
        <v/>
      </c>
      <c r="AQ330" s="399">
        <v>0</v>
      </c>
      <c r="AR330" s="400" t="str">
        <f>IF(ISBLANK(tabItens[[#This Row],[CÓDIGO]]),"",IFERROR(VLOOKUP(tabItens[[#This Row],[CÓDIGO]],Consumo!$C$2:$AC$862,26,FALSE),0))</f>
        <v>06.2023</v>
      </c>
      <c r="AS330" s="401">
        <f>SUMIF(Consumo!$C$3:$C$862,tabItens[[#This Row],[CÓDIGO]],Consumo!$N$3:$N$862) + SUMIF(Consumo!$C$3:$C$862,tabItens[[#This Row],[CÓDIGO]],Consumo!$O$3:$O$862) + SUMIF(Consumo!$C$3:$C$862,tabItens[[#This Row],[CÓDIGO]],Consumo!$P$3:$P$862) + SUMIF(Consumo!$C$3:$C$862,tabItens[[#This Row],[CÓDIGO]],Consumo!$Q$3:$Q$862)</f>
        <v>14</v>
      </c>
      <c r="AT330" s="401">
        <f>SUMIF(Consumo!$C$3:$C$862,tabItens[[#This Row],[CÓDIGO]],Consumo!$Z$3:$Z$862)</f>
        <v>69</v>
      </c>
      <c r="AU330" s="402">
        <f>SUMIF(Consumo!$C$3:$C$862,tabItens[[#This Row],[CÓDIGO]],Consumo!$AA$3:$AA$862)</f>
        <v>30</v>
      </c>
      <c r="AV330" s="403">
        <f>SUMIF(Consumo!$C$3:$C$862,tabItens[[#This Row],[CÓDIGO]],Consumo!$Y$3:$Y$862)</f>
        <v>5.5</v>
      </c>
      <c r="AW330" s="380">
        <f>tabItens[[#This Row],[QTDE ATUAL]] + tabItens[[#This Row],[RC QTDE]] + tabItens[[#This Row],[AF SALDO]] + tabItens[[#This Row],[Recentes]]</f>
        <v>133</v>
      </c>
      <c r="AX330" s="404">
        <v>13</v>
      </c>
      <c r="AY330" s="404">
        <v>4</v>
      </c>
      <c r="AZ330" s="404">
        <f>IF(ISBLANK(tabItens[[#This Row],[CÓDIGO]]),"",tabItens[[#This Row],[PontoMês]] * (AZ$2+tabItens[[#This Row],[PontoQtM]]))</f>
        <v>52</v>
      </c>
      <c r="BA330" s="403">
        <f>tabItens[[#This Row],[PontoPed]] - tabItens[[#This Row],[Saldo]] + (1/10)</f>
        <v>-80.900000000000006</v>
      </c>
      <c r="BB330" s="403">
        <f xml:space="preserve"> tabItens[[#This Row],[PontoMês]] * BB$2 - tabItens[[#This Row],[QTDE ATUAL]] - (1/10)</f>
        <v>-120.1</v>
      </c>
      <c r="BC330" s="335">
        <f>IF( tabItens[[#This Row],[PontoPed]]&gt;0, IF(tabItens[[#This Row],[PontoPed]]&lt;1, 1, IF( tabItens[[#This Row],[Saldo]]&gt;tabItens[[#This Row],[PontoPed]], 0, (tabItens[[#This Row],[PontoPed]]-tabItens[[#This Row],[Saldo]])/tabItens[[#This Row],[PontoPed]] ) ), 0 )</f>
        <v>0</v>
      </c>
      <c r="BD330" s="405">
        <f>ROUNDDOWN(IF( OR( AND(tabItens[[#This Row],[PontoPed]]&lt;tabItens[[#This Row],[Saldo]],tabItens[[#This Row],[Saldo]]&gt;0), tabItens[[#This Row],[PontoPed]]=0), 99, IF(AND(tabItens[[#This Row],[Saldo]]=0,tabItens[[#This Row],[PontoPed]]&gt;0), 0, (1-tabItens[[#This Row],[PctAb]])*10 ) ),0)</f>
        <v>99</v>
      </c>
      <c r="BE330" s="406">
        <f>MAX(ROUNDDOWN( IF(tabItens[[#This Row],[Abaixo]] &gt; 0,   tabItens[[#This Row],[Abaixo]] + (tabItens[[#This Row],[PontoMês]] * IF( OR( ISBLANK(tabItens[[#This Row],[ATA Nº/ANO]]), tabItens[[#This Row],[ATA Nº/ANO]] = ""),BE$2,BE$1)),0),0),0)</f>
        <v>0</v>
      </c>
      <c r="BF33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0" s="338">
        <f>SUMIF(Consumo!$C$3:$C$862,tabItens[[#This Row],[CÓDIGO]],Consumo!$E$3:$E$862)</f>
        <v>0</v>
      </c>
      <c r="BH330" s="339">
        <f>IF(AND(tabItens[[#This Row],[Pend]] &gt; 0,tabItens[[#This Row],[Consumo]] &lt;&gt; 0), tabItens[[#This Row],[Pend]] / tabItens[[#This Row],[Consumo]], 0 )</f>
        <v>0</v>
      </c>
      <c r="BI330" s="338"/>
      <c r="BJ330" s="407"/>
      <c r="BK330" s="408" t="s">
        <v>2086</v>
      </c>
    </row>
    <row r="331" spans="1:63" x14ac:dyDescent="0.3">
      <c r="A331" s="375">
        <v>114853</v>
      </c>
      <c r="B331" s="376" t="s">
        <v>1710</v>
      </c>
      <c r="C331" s="377" t="s">
        <v>263</v>
      </c>
      <c r="D331" s="378">
        <v>168.35</v>
      </c>
      <c r="E331" s="305"/>
      <c r="F331" s="379"/>
      <c r="G331" s="379" t="s">
        <v>889</v>
      </c>
      <c r="H331" s="380">
        <v>161</v>
      </c>
      <c r="I331" s="307">
        <v>103003</v>
      </c>
      <c r="J331" s="308">
        <v>168.35</v>
      </c>
      <c r="K331" s="381">
        <v>47</v>
      </c>
      <c r="L331" s="382">
        <f>IF(tabItens[[#This Row],[Média]] &gt; 0, tabItens[[#This Row],[QTDE ATUAL]] / tabItens[[#This Row],[Média]],999.9)</f>
        <v>42</v>
      </c>
      <c r="M331" s="383">
        <v>0</v>
      </c>
      <c r="N331" s="384">
        <f>tabItens[[#This Row],[VALOR UNIT.]] * tabItens[[#This Row],[LC]]</f>
        <v>0</v>
      </c>
      <c r="O331" s="385" t="s">
        <v>2127</v>
      </c>
      <c r="P331" s="386"/>
      <c r="Q331" s="387"/>
      <c r="R331" s="312"/>
      <c r="S331" s="388"/>
      <c r="T331" s="389">
        <f>ROUNDDOWN(IFERROR(tabItens[[#This Row],[ATA DT.VALID.]] - $D$1,0) / 30,0)</f>
        <v>-1474</v>
      </c>
      <c r="U331" s="302" t="s">
        <v>1339</v>
      </c>
      <c r="V331" s="318">
        <v>1</v>
      </c>
      <c r="W331" s="390" t="s">
        <v>2071</v>
      </c>
      <c r="X331" s="391">
        <v>74</v>
      </c>
      <c r="Y331" s="392">
        <v>3</v>
      </c>
      <c r="Z331" s="393"/>
      <c r="AA331" s="394"/>
      <c r="AB331" s="395"/>
      <c r="AC331" s="395"/>
      <c r="AD331" s="394"/>
      <c r="AE331" s="395"/>
      <c r="AF331" s="317"/>
      <c r="AG331" s="396" t="s">
        <v>2072</v>
      </c>
      <c r="AH331" s="397"/>
      <c r="AI331" s="317">
        <v>16</v>
      </c>
      <c r="AJ331" s="397">
        <v>44165</v>
      </c>
      <c r="AK331" s="326">
        <v>40280</v>
      </c>
      <c r="AL331" s="326">
        <v>44133</v>
      </c>
      <c r="AM331" s="316"/>
      <c r="AN331" s="305"/>
      <c r="AO331" s="327" t="str">
        <f>_xlfn.IFNA(IF(VLOOKUP(tabItens[[#This Row],[CÓDIGO]],tabExcluirDoEstoque[#Data],1,FALSE),"sim",""),"")</f>
        <v/>
      </c>
      <c r="AP331" s="398" t="str">
        <f ca="1">IF(OR(ISBLANK(tabItens[[#This Row],[ATA DT.VALID.]]),tabItens[[#This Row],[ATA DT.VALID.]]="",tabItens[[#This Row],[ATA DT.VALID.]]=" "),"",IF(TYPE(tabItens[[#This Row],[ATA DT.VALID.]])=1,ROUNDUP((tabItens[[#This Row],[ATA DT.VALID.]]-TODAY())/7,0),""))</f>
        <v/>
      </c>
      <c r="AQ331" s="399">
        <v>0</v>
      </c>
      <c r="AR331" s="400" t="str">
        <f>IF(ISBLANK(tabItens[[#This Row],[CÓDIGO]]),"",IFERROR(VLOOKUP(tabItens[[#This Row],[CÓDIGO]],Consumo!$C$2:$AC$862,26,FALSE),0))</f>
        <v>07.2023</v>
      </c>
      <c r="AS331" s="401">
        <f>SUMIF(Consumo!$C$3:$C$862,tabItens[[#This Row],[CÓDIGO]],Consumo!$N$3:$N$862) + SUMIF(Consumo!$C$3:$C$862,tabItens[[#This Row],[CÓDIGO]],Consumo!$O$3:$O$862) + SUMIF(Consumo!$C$3:$C$862,tabItens[[#This Row],[CÓDIGO]],Consumo!$P$3:$P$862) + SUMIF(Consumo!$C$3:$C$862,tabItens[[#This Row],[CÓDIGO]],Consumo!$Q$3:$Q$862)</f>
        <v>17</v>
      </c>
      <c r="AT331" s="401">
        <f>SUMIF(Consumo!$C$3:$C$862,tabItens[[#This Row],[CÓDIGO]],Consumo!$Z$3:$Z$862)</f>
        <v>47</v>
      </c>
      <c r="AU331" s="402">
        <f>SUMIF(Consumo!$C$3:$C$862,tabItens[[#This Row],[CÓDIGO]],Consumo!$AA$3:$AA$862)</f>
        <v>16</v>
      </c>
      <c r="AV331" s="403">
        <f>SUMIF(Consumo!$C$3:$C$862,tabItens[[#This Row],[CÓDIGO]],Consumo!$Y$3:$Y$862)</f>
        <v>3.8333333333333335</v>
      </c>
      <c r="AW331" s="380">
        <f>tabItens[[#This Row],[QTDE ATUAL]] + tabItens[[#This Row],[RC QTDE]] + tabItens[[#This Row],[AF SALDO]] + tabItens[[#This Row],[Recentes]]</f>
        <v>161</v>
      </c>
      <c r="AX331" s="404">
        <v>13</v>
      </c>
      <c r="AY331" s="404">
        <v>4</v>
      </c>
      <c r="AZ331" s="404">
        <f>IF(ISBLANK(tabItens[[#This Row],[CÓDIGO]]),"",tabItens[[#This Row],[PontoMês]] * (AZ$2+tabItens[[#This Row],[PontoQtM]]))</f>
        <v>52</v>
      </c>
      <c r="BA331" s="403">
        <f>tabItens[[#This Row],[PontoPed]] - tabItens[[#This Row],[Saldo]] + (1/10)</f>
        <v>-108.9</v>
      </c>
      <c r="BB331" s="403">
        <f xml:space="preserve"> tabItens[[#This Row],[PontoMês]] * BB$2 - tabItens[[#This Row],[QTDE ATUAL]] - (1/10)</f>
        <v>-148.1</v>
      </c>
      <c r="BC331" s="335">
        <f>IF( tabItens[[#This Row],[PontoPed]]&gt;0, IF(tabItens[[#This Row],[PontoPed]]&lt;1, 1, IF( tabItens[[#This Row],[Saldo]]&gt;tabItens[[#This Row],[PontoPed]], 0, (tabItens[[#This Row],[PontoPed]]-tabItens[[#This Row],[Saldo]])/tabItens[[#This Row],[PontoPed]] ) ), 0 )</f>
        <v>0</v>
      </c>
      <c r="BD331" s="405">
        <f>ROUNDDOWN(IF( OR( AND(tabItens[[#This Row],[PontoPed]]&lt;tabItens[[#This Row],[Saldo]],tabItens[[#This Row],[Saldo]]&gt;0), tabItens[[#This Row],[PontoPed]]=0), 99, IF(AND(tabItens[[#This Row],[Saldo]]=0,tabItens[[#This Row],[PontoPed]]&gt;0), 0, (1-tabItens[[#This Row],[PctAb]])*10 ) ),0)</f>
        <v>99</v>
      </c>
      <c r="BE331" s="406">
        <f>MAX(ROUNDDOWN( IF(tabItens[[#This Row],[Abaixo]] &gt; 0,   tabItens[[#This Row],[Abaixo]] + (tabItens[[#This Row],[PontoMês]] * IF( OR( ISBLANK(tabItens[[#This Row],[ATA Nº/ANO]]), tabItens[[#This Row],[ATA Nº/ANO]] = ""),BE$2,BE$1)),0),0),0)</f>
        <v>0</v>
      </c>
      <c r="BF33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1" s="338">
        <f>SUMIF(Consumo!$C$3:$C$862,tabItens[[#This Row],[CÓDIGO]],Consumo!$E$3:$E$862)</f>
        <v>0</v>
      </c>
      <c r="BH331" s="339">
        <f>IF(AND(tabItens[[#This Row],[Pend]] &gt; 0,tabItens[[#This Row],[Consumo]] &lt;&gt; 0), tabItens[[#This Row],[Pend]] / tabItens[[#This Row],[Consumo]], 0 )</f>
        <v>0</v>
      </c>
      <c r="BI331" s="338"/>
      <c r="BJ331" s="407"/>
      <c r="BK331" s="408" t="s">
        <v>2086</v>
      </c>
    </row>
    <row r="332" spans="1:63" x14ac:dyDescent="0.3">
      <c r="A332" s="375">
        <v>16363</v>
      </c>
      <c r="B332" s="376" t="s">
        <v>1114</v>
      </c>
      <c r="C332" s="377" t="s">
        <v>263</v>
      </c>
      <c r="D332" s="378">
        <v>49.9</v>
      </c>
      <c r="E332" s="305"/>
      <c r="F332" s="379"/>
      <c r="G332" s="379" t="s">
        <v>889</v>
      </c>
      <c r="H332" s="380">
        <v>39</v>
      </c>
      <c r="I332" s="307">
        <v>103003</v>
      </c>
      <c r="J332" s="308">
        <v>49.9</v>
      </c>
      <c r="K332" s="381">
        <v>433</v>
      </c>
      <c r="L332" s="382">
        <f>IF(tabItens[[#This Row],[Média]] &gt; 0, tabItens[[#This Row],[QTDE ATUAL]] / tabItens[[#This Row],[Média]],999.9)</f>
        <v>0.93413173652694614</v>
      </c>
      <c r="M332" s="383">
        <v>0</v>
      </c>
      <c r="N332" s="384">
        <f>tabItens[[#This Row],[VALOR UNIT.]] * tabItens[[#This Row],[LC]]</f>
        <v>0</v>
      </c>
      <c r="O332" s="385" t="s">
        <v>2127</v>
      </c>
      <c r="P332" s="386"/>
      <c r="Q332" s="387"/>
      <c r="R332" s="312"/>
      <c r="S332" s="388"/>
      <c r="T332" s="389">
        <f>ROUNDDOWN(IFERROR(tabItens[[#This Row],[ATA DT.VALID.]] - $D$1,0) / 30,0)</f>
        <v>-1474</v>
      </c>
      <c r="U332" s="302" t="s">
        <v>1115</v>
      </c>
      <c r="V332" s="318">
        <v>1</v>
      </c>
      <c r="W332" s="390" t="s">
        <v>2079</v>
      </c>
      <c r="X332" s="391">
        <v>74</v>
      </c>
      <c r="Y332" s="392">
        <v>8</v>
      </c>
      <c r="Z332" s="393"/>
      <c r="AA332" s="394"/>
      <c r="AB332" s="395"/>
      <c r="AC332" s="395"/>
      <c r="AD332" s="394"/>
      <c r="AE332" s="395"/>
      <c r="AF332" s="317"/>
      <c r="AG332" s="396" t="s">
        <v>2072</v>
      </c>
      <c r="AH332" s="397"/>
      <c r="AI332" s="317">
        <v>168</v>
      </c>
      <c r="AJ332" s="397">
        <v>44153</v>
      </c>
      <c r="AK332" s="326" t="s">
        <v>889</v>
      </c>
      <c r="AL332" s="326">
        <v>45210</v>
      </c>
      <c r="AM332" s="316"/>
      <c r="AN332" s="305"/>
      <c r="AO332" s="327" t="str">
        <f>_xlfn.IFNA(IF(VLOOKUP(tabItens[[#This Row],[CÓDIGO]],tabExcluirDoEstoque[#Data],1,FALSE),"sim",""),"")</f>
        <v/>
      </c>
      <c r="AP332" s="398" t="str">
        <f ca="1">IF(OR(ISBLANK(tabItens[[#This Row],[ATA DT.VALID.]]),tabItens[[#This Row],[ATA DT.VALID.]]="",tabItens[[#This Row],[ATA DT.VALID.]]=" "),"",IF(TYPE(tabItens[[#This Row],[ATA DT.VALID.]])=1,ROUNDUP((tabItens[[#This Row],[ATA DT.VALID.]]-TODAY())/7,0),""))</f>
        <v/>
      </c>
      <c r="AQ332" s="399">
        <v>0</v>
      </c>
      <c r="AR332" s="400" t="str">
        <f>IF(ISBLANK(tabItens[[#This Row],[CÓDIGO]]),"",IFERROR(VLOOKUP(tabItens[[#This Row],[CÓDIGO]],Consumo!$C$2:$AC$862,26,FALSE),0))</f>
        <v>09.2023</v>
      </c>
      <c r="AS332" s="401">
        <f>SUMIF(Consumo!$C$3:$C$862,tabItens[[#This Row],[CÓDIGO]],Consumo!$N$3:$N$862) + SUMIF(Consumo!$C$3:$C$862,tabItens[[#This Row],[CÓDIGO]],Consumo!$O$3:$O$862) + SUMIF(Consumo!$C$3:$C$862,tabItens[[#This Row],[CÓDIGO]],Consumo!$P$3:$P$862) + SUMIF(Consumo!$C$3:$C$862,tabItens[[#This Row],[CÓDIGO]],Consumo!$Q$3:$Q$862)</f>
        <v>176</v>
      </c>
      <c r="AT332" s="401">
        <f>SUMIF(Consumo!$C$3:$C$862,tabItens[[#This Row],[CÓDIGO]],Consumo!$Z$3:$Z$862)</f>
        <v>501</v>
      </c>
      <c r="AU332" s="402">
        <f>SUMIF(Consumo!$C$3:$C$862,tabItens[[#This Row],[CÓDIGO]],Consumo!$AA$3:$AA$862)</f>
        <v>99</v>
      </c>
      <c r="AV332" s="403">
        <f>SUMIF(Consumo!$C$3:$C$862,tabItens[[#This Row],[CÓDIGO]],Consumo!$Y$3:$Y$862)</f>
        <v>41.75</v>
      </c>
      <c r="AW332" s="380">
        <f>tabItens[[#This Row],[QTDE ATUAL]] + tabItens[[#This Row],[RC QTDE]] + tabItens[[#This Row],[AF SALDO]] + tabItens[[#This Row],[Recentes]]</f>
        <v>39</v>
      </c>
      <c r="AX332" s="404">
        <v>30</v>
      </c>
      <c r="AY332" s="404">
        <v>4</v>
      </c>
      <c r="AZ332" s="404">
        <f>IF(ISBLANK(tabItens[[#This Row],[CÓDIGO]]),"",tabItens[[#This Row],[PontoMês]] * (AZ$2+tabItens[[#This Row],[PontoQtM]]))</f>
        <v>120</v>
      </c>
      <c r="BA332" s="403">
        <f>tabItens[[#This Row],[PontoPed]] - tabItens[[#This Row],[Saldo]] + (1/10)</f>
        <v>81.099999999999994</v>
      </c>
      <c r="BB332" s="403">
        <f xml:space="preserve"> tabItens[[#This Row],[PontoMês]] * BB$2 - tabItens[[#This Row],[QTDE ATUAL]] - (1/10)</f>
        <v>-9.1</v>
      </c>
      <c r="BC332" s="335">
        <f>IF( tabItens[[#This Row],[PontoPed]]&gt;0, IF(tabItens[[#This Row],[PontoPed]]&lt;1, 1, IF( tabItens[[#This Row],[Saldo]]&gt;tabItens[[#This Row],[PontoPed]], 0, (tabItens[[#This Row],[PontoPed]]-tabItens[[#This Row],[Saldo]])/tabItens[[#This Row],[PontoPed]] ) ), 0 )</f>
        <v>0.67500000000000004</v>
      </c>
      <c r="BD332" s="405">
        <f>ROUNDDOWN(IF( OR( AND(tabItens[[#This Row],[PontoPed]]&lt;tabItens[[#This Row],[Saldo]],tabItens[[#This Row],[Saldo]]&gt;0), tabItens[[#This Row],[PontoPed]]=0), 99, IF(AND(tabItens[[#This Row],[Saldo]]=0,tabItens[[#This Row],[PontoPed]]&gt;0), 0, (1-tabItens[[#This Row],[PctAb]])*10 ) ),0)</f>
        <v>3</v>
      </c>
      <c r="BE332" s="406">
        <f>MAX(ROUNDDOWN( IF(tabItens[[#This Row],[Abaixo]] &gt; 0,   tabItens[[#This Row],[Abaixo]] + (tabItens[[#This Row],[PontoMês]] * IF( OR( ISBLANK(tabItens[[#This Row],[ATA Nº/ANO]]), tabItens[[#This Row],[ATA Nº/ANO]] = ""),BE$2,BE$1)),0),0),0)</f>
        <v>171</v>
      </c>
      <c r="BF33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2" s="338">
        <f>SUMIF(Consumo!$C$3:$C$862,tabItens[[#This Row],[CÓDIGO]],Consumo!$E$3:$E$862)</f>
        <v>0</v>
      </c>
      <c r="BH332" s="339">
        <f>IF(AND(tabItens[[#This Row],[Pend]] &gt; 0,tabItens[[#This Row],[Consumo]] &lt;&gt; 0), tabItens[[#This Row],[Pend]] / tabItens[[#This Row],[Consumo]], 0 )</f>
        <v>0</v>
      </c>
      <c r="BI332" s="338"/>
      <c r="BJ332" s="407"/>
      <c r="BK332" s="408" t="s">
        <v>2086</v>
      </c>
    </row>
    <row r="333" spans="1:63" x14ac:dyDescent="0.3">
      <c r="A333" s="375">
        <v>16365</v>
      </c>
      <c r="B333" s="376" t="s">
        <v>1116</v>
      </c>
      <c r="C333" s="377" t="s">
        <v>263</v>
      </c>
      <c r="D333" s="378">
        <v>183.5</v>
      </c>
      <c r="E333" s="305"/>
      <c r="F333" s="379"/>
      <c r="G333" s="379" t="s">
        <v>889</v>
      </c>
      <c r="H333" s="380">
        <v>509</v>
      </c>
      <c r="I333" s="307">
        <v>103003</v>
      </c>
      <c r="J333" s="308">
        <v>183.5</v>
      </c>
      <c r="K333" s="381">
        <v>91</v>
      </c>
      <c r="L333" s="382">
        <f>IF(tabItens[[#This Row],[Média]] &gt; 0, tabItens[[#This Row],[QTDE ATUAL]] / tabItens[[#This Row],[Média]],999.9)</f>
        <v>68.62921348314606</v>
      </c>
      <c r="M333" s="383">
        <v>0</v>
      </c>
      <c r="N333" s="384">
        <f>tabItens[[#This Row],[VALOR UNIT.]] * tabItens[[#This Row],[LC]]</f>
        <v>0</v>
      </c>
      <c r="O333" s="385" t="s">
        <v>2127</v>
      </c>
      <c r="P333" s="386"/>
      <c r="Q333" s="387"/>
      <c r="R333" s="312"/>
      <c r="S333" s="388"/>
      <c r="T333" s="389">
        <f>ROUNDDOWN(IFERROR(tabItens[[#This Row],[ATA DT.VALID.]] - $D$1,0) / 30,0)</f>
        <v>-1474</v>
      </c>
      <c r="U333" s="302" t="s">
        <v>1115</v>
      </c>
      <c r="V333" s="318">
        <v>1</v>
      </c>
      <c r="W333" s="390" t="s">
        <v>2079</v>
      </c>
      <c r="X333" s="391">
        <v>74</v>
      </c>
      <c r="Y333" s="392">
        <v>8</v>
      </c>
      <c r="Z333" s="393"/>
      <c r="AA333" s="394"/>
      <c r="AB333" s="395"/>
      <c r="AC333" s="395"/>
      <c r="AD333" s="394"/>
      <c r="AE333" s="395"/>
      <c r="AF333" s="317"/>
      <c r="AG333" s="396" t="s">
        <v>2072</v>
      </c>
      <c r="AH333" s="397"/>
      <c r="AI333" s="317">
        <v>30</v>
      </c>
      <c r="AJ333" s="397">
        <v>44544</v>
      </c>
      <c r="AK333" s="326" t="s">
        <v>889</v>
      </c>
      <c r="AL333" s="326">
        <v>44539</v>
      </c>
      <c r="AM333" s="316"/>
      <c r="AN333" s="305"/>
      <c r="AO333" s="327" t="str">
        <f>_xlfn.IFNA(IF(VLOOKUP(tabItens[[#This Row],[CÓDIGO]],tabExcluirDoEstoque[#Data],1,FALSE),"sim",""),"")</f>
        <v/>
      </c>
      <c r="AP333" s="398" t="str">
        <f ca="1">IF(OR(ISBLANK(tabItens[[#This Row],[ATA DT.VALID.]]),tabItens[[#This Row],[ATA DT.VALID.]]="",tabItens[[#This Row],[ATA DT.VALID.]]=" "),"",IF(TYPE(tabItens[[#This Row],[ATA DT.VALID.]])=1,ROUNDUP((tabItens[[#This Row],[ATA DT.VALID.]]-TODAY())/7,0),""))</f>
        <v/>
      </c>
      <c r="AQ333" s="399">
        <v>0</v>
      </c>
      <c r="AR333" s="400" t="str">
        <f>IF(ISBLANK(tabItens[[#This Row],[CÓDIGO]]),"",IFERROR(VLOOKUP(tabItens[[#This Row],[CÓDIGO]],Consumo!$C$2:$AC$862,26,FALSE),0))</f>
        <v>03.2023</v>
      </c>
      <c r="AS333" s="401">
        <f>SUMIF(Consumo!$C$3:$C$862,tabItens[[#This Row],[CÓDIGO]],Consumo!$N$3:$N$862) + SUMIF(Consumo!$C$3:$C$862,tabItens[[#This Row],[CÓDIGO]],Consumo!$O$3:$O$862) + SUMIF(Consumo!$C$3:$C$862,tabItens[[#This Row],[CÓDIGO]],Consumo!$P$3:$P$862) + SUMIF(Consumo!$C$3:$C$862,tabItens[[#This Row],[CÓDIGO]],Consumo!$Q$3:$Q$862)</f>
        <v>0</v>
      </c>
      <c r="AT333" s="401">
        <f>SUMIF(Consumo!$C$3:$C$862,tabItens[[#This Row],[CÓDIGO]],Consumo!$Z$3:$Z$862)</f>
        <v>91</v>
      </c>
      <c r="AU333" s="402">
        <f>SUMIF(Consumo!$C$3:$C$862,tabItens[[#This Row],[CÓDIGO]],Consumo!$AA$3:$AA$862)</f>
        <v>30</v>
      </c>
      <c r="AV333" s="403">
        <f>SUMIF(Consumo!$C$3:$C$862,tabItens[[#This Row],[CÓDIGO]],Consumo!$Y$3:$Y$862)</f>
        <v>7.416666666666667</v>
      </c>
      <c r="AW333" s="380">
        <f>tabItens[[#This Row],[QTDE ATUAL]] + tabItens[[#This Row],[RC QTDE]] + tabItens[[#This Row],[AF SALDO]] + tabItens[[#This Row],[Recentes]]</f>
        <v>509</v>
      </c>
      <c r="AX333" s="404">
        <v>29</v>
      </c>
      <c r="AY333" s="404">
        <v>4</v>
      </c>
      <c r="AZ333" s="404">
        <f>IF(ISBLANK(tabItens[[#This Row],[CÓDIGO]]),"",tabItens[[#This Row],[PontoMês]] * (AZ$2+tabItens[[#This Row],[PontoQtM]]))</f>
        <v>116</v>
      </c>
      <c r="BA333" s="403">
        <f>tabItens[[#This Row],[PontoPed]] - tabItens[[#This Row],[Saldo]] + (1/10)</f>
        <v>-392.9</v>
      </c>
      <c r="BB333" s="403">
        <f xml:space="preserve"> tabItens[[#This Row],[PontoMês]] * BB$2 - tabItens[[#This Row],[QTDE ATUAL]] - (1/10)</f>
        <v>-480.1</v>
      </c>
      <c r="BC333" s="335">
        <f>IF( tabItens[[#This Row],[PontoPed]]&gt;0, IF(tabItens[[#This Row],[PontoPed]]&lt;1, 1, IF( tabItens[[#This Row],[Saldo]]&gt;tabItens[[#This Row],[PontoPed]], 0, (tabItens[[#This Row],[PontoPed]]-tabItens[[#This Row],[Saldo]])/tabItens[[#This Row],[PontoPed]] ) ), 0 )</f>
        <v>0</v>
      </c>
      <c r="BD333" s="405">
        <f>ROUNDDOWN(IF( OR( AND(tabItens[[#This Row],[PontoPed]]&lt;tabItens[[#This Row],[Saldo]],tabItens[[#This Row],[Saldo]]&gt;0), tabItens[[#This Row],[PontoPed]]=0), 99, IF(AND(tabItens[[#This Row],[Saldo]]=0,tabItens[[#This Row],[PontoPed]]&gt;0), 0, (1-tabItens[[#This Row],[PctAb]])*10 ) ),0)</f>
        <v>99</v>
      </c>
      <c r="BE333" s="406">
        <f>MAX(ROUNDDOWN( IF(tabItens[[#This Row],[Abaixo]] &gt; 0,   tabItens[[#This Row],[Abaixo]] + (tabItens[[#This Row],[PontoMês]] * IF( OR( ISBLANK(tabItens[[#This Row],[ATA Nº/ANO]]), tabItens[[#This Row],[ATA Nº/ANO]] = ""),BE$2,BE$1)),0),0),0)</f>
        <v>0</v>
      </c>
      <c r="BF33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3" s="338">
        <f>SUMIF(Consumo!$C$3:$C$862,tabItens[[#This Row],[CÓDIGO]],Consumo!$E$3:$E$862)</f>
        <v>0</v>
      </c>
      <c r="BH333" s="339">
        <f>IF(AND(tabItens[[#This Row],[Pend]] &gt; 0,tabItens[[#This Row],[Consumo]] &lt;&gt; 0), tabItens[[#This Row],[Pend]] / tabItens[[#This Row],[Consumo]], 0 )</f>
        <v>0</v>
      </c>
      <c r="BI333" s="338"/>
      <c r="BJ333" s="407"/>
      <c r="BK333" s="408" t="s">
        <v>2086</v>
      </c>
    </row>
    <row r="334" spans="1:63" x14ac:dyDescent="0.3">
      <c r="A334" s="375">
        <v>80300</v>
      </c>
      <c r="B334" s="376" t="s">
        <v>1463</v>
      </c>
      <c r="C334" s="377" t="s">
        <v>263</v>
      </c>
      <c r="D334" s="378">
        <v>174.66</v>
      </c>
      <c r="E334" s="305"/>
      <c r="F334" s="379"/>
      <c r="G334" s="379" t="s">
        <v>889</v>
      </c>
      <c r="H334" s="380">
        <v>54</v>
      </c>
      <c r="I334" s="307">
        <v>103003</v>
      </c>
      <c r="J334" s="308">
        <v>174.66</v>
      </c>
      <c r="K334" s="381">
        <v>48</v>
      </c>
      <c r="L334" s="382">
        <f>IF(tabItens[[#This Row],[Média]] &gt; 0, tabItens[[#This Row],[QTDE ATUAL]] / tabItens[[#This Row],[Média]],999.9)</f>
        <v>11.781818181818183</v>
      </c>
      <c r="M334" s="383">
        <v>0</v>
      </c>
      <c r="N334" s="384">
        <f>tabItens[[#This Row],[VALOR UNIT.]] * tabItens[[#This Row],[LC]]</f>
        <v>0</v>
      </c>
      <c r="O334" s="385" t="s">
        <v>2127</v>
      </c>
      <c r="P334" s="386"/>
      <c r="Q334" s="387"/>
      <c r="R334" s="312"/>
      <c r="S334" s="388"/>
      <c r="T334" s="389">
        <f>ROUNDDOWN(IFERROR(tabItens[[#This Row],[ATA DT.VALID.]] - $D$1,0) / 30,0)</f>
        <v>-1474</v>
      </c>
      <c r="U334" s="302" t="s">
        <v>1464</v>
      </c>
      <c r="V334" s="318">
        <v>1</v>
      </c>
      <c r="W334" s="390" t="s">
        <v>2071</v>
      </c>
      <c r="X334" s="391">
        <v>74</v>
      </c>
      <c r="Y334" s="392">
        <v>10</v>
      </c>
      <c r="Z334" s="393"/>
      <c r="AA334" s="394"/>
      <c r="AB334" s="395"/>
      <c r="AC334" s="395"/>
      <c r="AD334" s="394"/>
      <c r="AE334" s="395"/>
      <c r="AF334" s="317"/>
      <c r="AG334" s="396" t="s">
        <v>2072</v>
      </c>
      <c r="AH334" s="397"/>
      <c r="AI334" s="317">
        <v>16</v>
      </c>
      <c r="AJ334" s="397">
        <v>44182</v>
      </c>
      <c r="AK334" s="326">
        <v>38166</v>
      </c>
      <c r="AL334" s="326">
        <v>45210</v>
      </c>
      <c r="AM334" s="316"/>
      <c r="AN334" s="305"/>
      <c r="AO334" s="327" t="str">
        <f>_xlfn.IFNA(IF(VLOOKUP(tabItens[[#This Row],[CÓDIGO]],tabExcluirDoEstoque[#Data],1,FALSE),"sim",""),"")</f>
        <v/>
      </c>
      <c r="AP334" s="398" t="str">
        <f ca="1">IF(OR(ISBLANK(tabItens[[#This Row],[ATA DT.VALID.]]),tabItens[[#This Row],[ATA DT.VALID.]]="",tabItens[[#This Row],[ATA DT.VALID.]]=" "),"",IF(TYPE(tabItens[[#This Row],[ATA DT.VALID.]])=1,ROUNDUP((tabItens[[#This Row],[ATA DT.VALID.]]-TODAY())/7,0),""))</f>
        <v/>
      </c>
      <c r="AQ334" s="399">
        <v>0</v>
      </c>
      <c r="AR334" s="400" t="str">
        <f>IF(ISBLANK(tabItens[[#This Row],[CÓDIGO]]),"",IFERROR(VLOOKUP(tabItens[[#This Row],[CÓDIGO]],Consumo!$C$2:$AC$862,26,FALSE),0))</f>
        <v>06.2023</v>
      </c>
      <c r="AS334" s="401">
        <f>SUMIF(Consumo!$C$3:$C$862,tabItens[[#This Row],[CÓDIGO]],Consumo!$N$3:$N$862) + SUMIF(Consumo!$C$3:$C$862,tabItens[[#This Row],[CÓDIGO]],Consumo!$O$3:$O$862) + SUMIF(Consumo!$C$3:$C$862,tabItens[[#This Row],[CÓDIGO]],Consumo!$P$3:$P$862) + SUMIF(Consumo!$C$3:$C$862,tabItens[[#This Row],[CÓDIGO]],Consumo!$Q$3:$Q$862)</f>
        <v>4</v>
      </c>
      <c r="AT334" s="401">
        <f>SUMIF(Consumo!$C$3:$C$862,tabItens[[#This Row],[CÓDIGO]],Consumo!$Z$3:$Z$862)</f>
        <v>55</v>
      </c>
      <c r="AU334" s="402">
        <f>SUMIF(Consumo!$C$3:$C$862,tabItens[[#This Row],[CÓDIGO]],Consumo!$AA$3:$AA$862)</f>
        <v>14</v>
      </c>
      <c r="AV334" s="403">
        <f>SUMIF(Consumo!$C$3:$C$862,tabItens[[#This Row],[CÓDIGO]],Consumo!$Y$3:$Y$862)</f>
        <v>4.583333333333333</v>
      </c>
      <c r="AW334" s="380">
        <f>tabItens[[#This Row],[QTDE ATUAL]] + tabItens[[#This Row],[RC QTDE]] + tabItens[[#This Row],[AF SALDO]] + tabItens[[#This Row],[Recentes]]</f>
        <v>54</v>
      </c>
      <c r="AX334" s="404">
        <v>13</v>
      </c>
      <c r="AY334" s="404">
        <v>4</v>
      </c>
      <c r="AZ334" s="404">
        <f>IF(ISBLANK(tabItens[[#This Row],[CÓDIGO]]),"",tabItens[[#This Row],[PontoMês]] * (AZ$2+tabItens[[#This Row],[PontoQtM]]))</f>
        <v>52</v>
      </c>
      <c r="BA334" s="403">
        <f>tabItens[[#This Row],[PontoPed]] - tabItens[[#This Row],[Saldo]] + (1/10)</f>
        <v>-1.9</v>
      </c>
      <c r="BB334" s="403">
        <f xml:space="preserve"> tabItens[[#This Row],[PontoMês]] * BB$2 - tabItens[[#This Row],[QTDE ATUAL]] - (1/10)</f>
        <v>-41.1</v>
      </c>
      <c r="BC334" s="335">
        <f>IF( tabItens[[#This Row],[PontoPed]]&gt;0, IF(tabItens[[#This Row],[PontoPed]]&lt;1, 1, IF( tabItens[[#This Row],[Saldo]]&gt;tabItens[[#This Row],[PontoPed]], 0, (tabItens[[#This Row],[PontoPed]]-tabItens[[#This Row],[Saldo]])/tabItens[[#This Row],[PontoPed]] ) ), 0 )</f>
        <v>0</v>
      </c>
      <c r="BD334" s="405">
        <f>ROUNDDOWN(IF( OR( AND(tabItens[[#This Row],[PontoPed]]&lt;tabItens[[#This Row],[Saldo]],tabItens[[#This Row],[Saldo]]&gt;0), tabItens[[#This Row],[PontoPed]]=0), 99, IF(AND(tabItens[[#This Row],[Saldo]]=0,tabItens[[#This Row],[PontoPed]]&gt;0), 0, (1-tabItens[[#This Row],[PctAb]])*10 ) ),0)</f>
        <v>99</v>
      </c>
      <c r="BE334" s="406">
        <f>MAX(ROUNDDOWN( IF(tabItens[[#This Row],[Abaixo]] &gt; 0,   tabItens[[#This Row],[Abaixo]] + (tabItens[[#This Row],[PontoMês]] * IF( OR( ISBLANK(tabItens[[#This Row],[ATA Nº/ANO]]), tabItens[[#This Row],[ATA Nº/ANO]] = ""),BE$2,BE$1)),0),0),0)</f>
        <v>0</v>
      </c>
      <c r="BF33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4" s="338">
        <f>SUMIF(Consumo!$C$3:$C$862,tabItens[[#This Row],[CÓDIGO]],Consumo!$E$3:$E$862)</f>
        <v>5</v>
      </c>
      <c r="BH334" s="339">
        <f>IF(AND(tabItens[[#This Row],[Pend]] &gt; 0,tabItens[[#This Row],[Consumo]] &lt;&gt; 0), tabItens[[#This Row],[Pend]] / tabItens[[#This Row],[Consumo]], 0 )</f>
        <v>9.0909090909090912E-2</v>
      </c>
      <c r="BI334" s="338"/>
      <c r="BJ334" s="407"/>
      <c r="BK334" s="408" t="s">
        <v>2086</v>
      </c>
    </row>
    <row r="335" spans="1:63" x14ac:dyDescent="0.3">
      <c r="A335" s="375">
        <v>27287</v>
      </c>
      <c r="B335" s="376" t="s">
        <v>1224</v>
      </c>
      <c r="C335" s="377" t="s">
        <v>345</v>
      </c>
      <c r="D335" s="378">
        <v>40</v>
      </c>
      <c r="E335" s="305"/>
      <c r="F335" s="379"/>
      <c r="G335" s="379" t="s">
        <v>889</v>
      </c>
      <c r="H335" s="380">
        <v>1114</v>
      </c>
      <c r="I335" s="307">
        <v>103003</v>
      </c>
      <c r="J335" s="308">
        <v>40</v>
      </c>
      <c r="K335" s="381">
        <v>85</v>
      </c>
      <c r="L335" s="382">
        <f>IF(tabItens[[#This Row],[Média]] &gt; 0, tabItens[[#This Row],[QTDE ATUAL]] / tabItens[[#This Row],[Média]],999.9)</f>
        <v>175.89473684210526</v>
      </c>
      <c r="M335" s="383">
        <v>0</v>
      </c>
      <c r="N335" s="384">
        <f>tabItens[[#This Row],[VALOR UNIT.]] * tabItens[[#This Row],[LC]]</f>
        <v>0</v>
      </c>
      <c r="O335" s="385" t="s">
        <v>2139</v>
      </c>
      <c r="P335" s="386"/>
      <c r="Q335" s="387"/>
      <c r="R335" s="312"/>
      <c r="S335" s="388"/>
      <c r="T335" s="389">
        <f>ROUNDDOWN(IFERROR(tabItens[[#This Row],[ATA DT.VALID.]] - $D$1,0) / 30,0)</f>
        <v>-1474</v>
      </c>
      <c r="U335" s="302" t="s">
        <v>1225</v>
      </c>
      <c r="V335" s="318">
        <v>1</v>
      </c>
      <c r="W335" s="390" t="s">
        <v>2071</v>
      </c>
      <c r="X335" s="391">
        <v>51</v>
      </c>
      <c r="Y335" s="392">
        <v>13</v>
      </c>
      <c r="Z335" s="393"/>
      <c r="AA335" s="394"/>
      <c r="AB335" s="395"/>
      <c r="AC335" s="395"/>
      <c r="AD335" s="394"/>
      <c r="AE335" s="395"/>
      <c r="AF335" s="317"/>
      <c r="AG335" s="396" t="s">
        <v>2072</v>
      </c>
      <c r="AH335" s="397"/>
      <c r="AI335" s="317">
        <v>28</v>
      </c>
      <c r="AJ335" s="397">
        <v>44495</v>
      </c>
      <c r="AK335" s="326" t="s">
        <v>889</v>
      </c>
      <c r="AL335" s="326">
        <v>44483</v>
      </c>
      <c r="AM335" s="316"/>
      <c r="AN335" s="305"/>
      <c r="AO335" s="327" t="str">
        <f>_xlfn.IFNA(IF(VLOOKUP(tabItens[[#This Row],[CÓDIGO]],tabExcluirDoEstoque[#Data],1,FALSE),"sim",""),"")</f>
        <v/>
      </c>
      <c r="AP335" s="398" t="str">
        <f ca="1">IF(OR(ISBLANK(tabItens[[#This Row],[ATA DT.VALID.]]),tabItens[[#This Row],[ATA DT.VALID.]]="",tabItens[[#This Row],[ATA DT.VALID.]]=" "),"",IF(TYPE(tabItens[[#This Row],[ATA DT.VALID.]])=1,ROUNDUP((tabItens[[#This Row],[ATA DT.VALID.]]-TODAY())/7,0),""))</f>
        <v/>
      </c>
      <c r="AQ335" s="399">
        <v>0</v>
      </c>
      <c r="AR335" s="400" t="str">
        <f>IF(ISBLANK(tabItens[[#This Row],[CÓDIGO]]),"",IFERROR(VLOOKUP(tabItens[[#This Row],[CÓDIGO]],Consumo!$C$2:$AC$862,26,FALSE),0))</f>
        <v>05.2023</v>
      </c>
      <c r="AS335" s="401">
        <f>SUMIF(Consumo!$C$3:$C$862,tabItens[[#This Row],[CÓDIGO]],Consumo!$N$3:$N$862) + SUMIF(Consumo!$C$3:$C$862,tabItens[[#This Row],[CÓDIGO]],Consumo!$O$3:$O$862) + SUMIF(Consumo!$C$3:$C$862,tabItens[[#This Row],[CÓDIGO]],Consumo!$P$3:$P$862) + SUMIF(Consumo!$C$3:$C$862,tabItens[[#This Row],[CÓDIGO]],Consumo!$Q$3:$Q$862)</f>
        <v>0</v>
      </c>
      <c r="AT335" s="401">
        <f>SUMIF(Consumo!$C$3:$C$862,tabItens[[#This Row],[CÓDIGO]],Consumo!$Z$3:$Z$862)</f>
        <v>85</v>
      </c>
      <c r="AU335" s="402">
        <f>SUMIF(Consumo!$C$3:$C$862,tabItens[[#This Row],[CÓDIGO]],Consumo!$AA$3:$AA$862)</f>
        <v>40</v>
      </c>
      <c r="AV335" s="403">
        <f>SUMIF(Consumo!$C$3:$C$862,tabItens[[#This Row],[CÓDIGO]],Consumo!$Y$3:$Y$862)</f>
        <v>6.333333333333333</v>
      </c>
      <c r="AW335" s="380">
        <f>tabItens[[#This Row],[QTDE ATUAL]] + tabItens[[#This Row],[RC QTDE]] + tabItens[[#This Row],[AF SALDO]] + tabItens[[#This Row],[Recentes]]</f>
        <v>1114</v>
      </c>
      <c r="AX335" s="404">
        <v>50</v>
      </c>
      <c r="AY335" s="404">
        <v>4</v>
      </c>
      <c r="AZ335" s="404">
        <f>IF(ISBLANK(tabItens[[#This Row],[CÓDIGO]]),"",tabItens[[#This Row],[PontoMês]] * (AZ$2+tabItens[[#This Row],[PontoQtM]]))</f>
        <v>200</v>
      </c>
      <c r="BA335" s="403">
        <f>tabItens[[#This Row],[PontoPed]] - tabItens[[#This Row],[Saldo]] + (1/10)</f>
        <v>-913.9</v>
      </c>
      <c r="BB335" s="403">
        <f xml:space="preserve"> tabItens[[#This Row],[PontoMês]] * BB$2 - tabItens[[#This Row],[QTDE ATUAL]] - (1/10)</f>
        <v>-1064.0999999999999</v>
      </c>
      <c r="BC335" s="335">
        <f>IF( tabItens[[#This Row],[PontoPed]]&gt;0, IF(tabItens[[#This Row],[PontoPed]]&lt;1, 1, IF( tabItens[[#This Row],[Saldo]]&gt;tabItens[[#This Row],[PontoPed]], 0, (tabItens[[#This Row],[PontoPed]]-tabItens[[#This Row],[Saldo]])/tabItens[[#This Row],[PontoPed]] ) ), 0 )</f>
        <v>0</v>
      </c>
      <c r="BD335" s="405">
        <f>ROUNDDOWN(IF( OR( AND(tabItens[[#This Row],[PontoPed]]&lt;tabItens[[#This Row],[Saldo]],tabItens[[#This Row],[Saldo]]&gt;0), tabItens[[#This Row],[PontoPed]]=0), 99, IF(AND(tabItens[[#This Row],[Saldo]]=0,tabItens[[#This Row],[PontoPed]]&gt;0), 0, (1-tabItens[[#This Row],[PctAb]])*10 ) ),0)</f>
        <v>99</v>
      </c>
      <c r="BE335" s="406">
        <f>MAX(ROUNDDOWN( IF(tabItens[[#This Row],[Abaixo]] &gt; 0,   tabItens[[#This Row],[Abaixo]] + (tabItens[[#This Row],[PontoMês]] * IF( OR( ISBLANK(tabItens[[#This Row],[ATA Nº/ANO]]), tabItens[[#This Row],[ATA Nº/ANO]] = ""),BE$2,BE$1)),0),0),0)</f>
        <v>0</v>
      </c>
      <c r="BF33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5" s="338">
        <f>SUMIF(Consumo!$C$3:$C$862,tabItens[[#This Row],[CÓDIGO]],Consumo!$E$3:$E$862)</f>
        <v>0</v>
      </c>
      <c r="BH335" s="339">
        <f>IF(AND(tabItens[[#This Row],[Pend]] &gt; 0,tabItens[[#This Row],[Consumo]] &lt;&gt; 0), tabItens[[#This Row],[Pend]] / tabItens[[#This Row],[Consumo]], 0 )</f>
        <v>0</v>
      </c>
      <c r="BI335" s="338"/>
      <c r="BJ335" s="407"/>
      <c r="BK335" s="408" t="s">
        <v>2086</v>
      </c>
    </row>
    <row r="336" spans="1:63" x14ac:dyDescent="0.3">
      <c r="A336" s="375">
        <v>132232</v>
      </c>
      <c r="B336" s="376" t="s">
        <v>1824</v>
      </c>
      <c r="C336" s="377" t="s">
        <v>345</v>
      </c>
      <c r="D336" s="378">
        <v>255</v>
      </c>
      <c r="E336" s="305"/>
      <c r="F336" s="379"/>
      <c r="G336" s="379" t="s">
        <v>889</v>
      </c>
      <c r="H336" s="380">
        <v>64</v>
      </c>
      <c r="I336" s="307">
        <v>103003</v>
      </c>
      <c r="J336" s="308">
        <v>255</v>
      </c>
      <c r="K336" s="381">
        <v>30</v>
      </c>
      <c r="L336" s="382">
        <f>IF(tabItens[[#This Row],[Média]] &gt; 0, tabItens[[#This Row],[QTDE ATUAL]] / tabItens[[#This Row],[Média]],999.9)</f>
        <v>28.444444444444443</v>
      </c>
      <c r="M336" s="383">
        <v>0</v>
      </c>
      <c r="N336" s="384">
        <f>tabItens[[#This Row],[VALOR UNIT.]] * tabItens[[#This Row],[LC]]</f>
        <v>0</v>
      </c>
      <c r="O336" s="385" t="s">
        <v>2139</v>
      </c>
      <c r="P336" s="386"/>
      <c r="Q336" s="387"/>
      <c r="R336" s="312"/>
      <c r="S336" s="388"/>
      <c r="T336" s="389">
        <f>ROUNDDOWN(IFERROR(tabItens[[#This Row],[ATA DT.VALID.]] - $D$1,0) / 30,0)</f>
        <v>-1474</v>
      </c>
      <c r="U336" s="302" t="s">
        <v>1225</v>
      </c>
      <c r="V336" s="318">
        <v>1</v>
      </c>
      <c r="W336" s="390" t="s">
        <v>2071</v>
      </c>
      <c r="X336" s="391">
        <v>51</v>
      </c>
      <c r="Y336" s="392">
        <v>13</v>
      </c>
      <c r="Z336" s="393"/>
      <c r="AA336" s="394"/>
      <c r="AB336" s="395"/>
      <c r="AC336" s="395"/>
      <c r="AD336" s="394"/>
      <c r="AE336" s="395"/>
      <c r="AF336" s="317"/>
      <c r="AG336" s="396" t="s">
        <v>2072</v>
      </c>
      <c r="AH336" s="397"/>
      <c r="AI336" s="317">
        <v>10</v>
      </c>
      <c r="AJ336" s="397">
        <v>45181</v>
      </c>
      <c r="AK336" s="326">
        <v>42656</v>
      </c>
      <c r="AL336" s="326">
        <v>45156</v>
      </c>
      <c r="AM336" s="316"/>
      <c r="AN336" s="305"/>
      <c r="AO336" s="327" t="str">
        <f>_xlfn.IFNA(IF(VLOOKUP(tabItens[[#This Row],[CÓDIGO]],tabExcluirDoEstoque[#Data],1,FALSE),"sim",""),"")</f>
        <v/>
      </c>
      <c r="AP336" s="398" t="str">
        <f ca="1">IF(OR(ISBLANK(tabItens[[#This Row],[ATA DT.VALID.]]),tabItens[[#This Row],[ATA DT.VALID.]]="",tabItens[[#This Row],[ATA DT.VALID.]]=" "),"",IF(TYPE(tabItens[[#This Row],[ATA DT.VALID.]])=1,ROUNDUP((tabItens[[#This Row],[ATA DT.VALID.]]-TODAY())/7,0),""))</f>
        <v/>
      </c>
      <c r="AQ336" s="399">
        <v>0</v>
      </c>
      <c r="AR336" s="400" t="str">
        <f>IF(ISBLANK(tabItens[[#This Row],[CÓDIGO]]),"",IFERROR(VLOOKUP(tabItens[[#This Row],[CÓDIGO]],Consumo!$C$2:$AC$862,26,FALSE),0))</f>
        <v>07.2023</v>
      </c>
      <c r="AS336" s="401">
        <f>SUMIF(Consumo!$C$3:$C$862,tabItens[[#This Row],[CÓDIGO]],Consumo!$N$3:$N$862) + SUMIF(Consumo!$C$3:$C$862,tabItens[[#This Row],[CÓDIGO]],Consumo!$O$3:$O$862) + SUMIF(Consumo!$C$3:$C$862,tabItens[[#This Row],[CÓDIGO]],Consumo!$P$3:$P$862) + SUMIF(Consumo!$C$3:$C$862,tabItens[[#This Row],[CÓDIGO]],Consumo!$Q$3:$Q$862)</f>
        <v>15</v>
      </c>
      <c r="AT336" s="401">
        <f>SUMIF(Consumo!$C$3:$C$862,tabItens[[#This Row],[CÓDIGO]],Consumo!$Z$3:$Z$862)</f>
        <v>30</v>
      </c>
      <c r="AU336" s="402">
        <f>SUMIF(Consumo!$C$3:$C$862,tabItens[[#This Row],[CÓDIGO]],Consumo!$AA$3:$AA$862)</f>
        <v>15</v>
      </c>
      <c r="AV336" s="403">
        <f>SUMIF(Consumo!$C$3:$C$862,tabItens[[#This Row],[CÓDIGO]],Consumo!$Y$3:$Y$862)</f>
        <v>2.25</v>
      </c>
      <c r="AW336" s="380">
        <f>tabItens[[#This Row],[QTDE ATUAL]] + tabItens[[#This Row],[RC QTDE]] + tabItens[[#This Row],[AF SALDO]] + tabItens[[#This Row],[Recentes]]</f>
        <v>64</v>
      </c>
      <c r="AX336" s="404">
        <v>5</v>
      </c>
      <c r="AY336" s="404">
        <v>4</v>
      </c>
      <c r="AZ336" s="404">
        <f>IF(ISBLANK(tabItens[[#This Row],[CÓDIGO]]),"",tabItens[[#This Row],[PontoMês]] * (AZ$2+tabItens[[#This Row],[PontoQtM]]))</f>
        <v>20</v>
      </c>
      <c r="BA336" s="403">
        <f>tabItens[[#This Row],[PontoPed]] - tabItens[[#This Row],[Saldo]] + (1/10)</f>
        <v>-43.9</v>
      </c>
      <c r="BB336" s="403">
        <f xml:space="preserve"> tabItens[[#This Row],[PontoMês]] * BB$2 - tabItens[[#This Row],[QTDE ATUAL]] - (1/10)</f>
        <v>-59.1</v>
      </c>
      <c r="BC336" s="335">
        <f>IF( tabItens[[#This Row],[PontoPed]]&gt;0, IF(tabItens[[#This Row],[PontoPed]]&lt;1, 1, IF( tabItens[[#This Row],[Saldo]]&gt;tabItens[[#This Row],[PontoPed]], 0, (tabItens[[#This Row],[PontoPed]]-tabItens[[#This Row],[Saldo]])/tabItens[[#This Row],[PontoPed]] ) ), 0 )</f>
        <v>0</v>
      </c>
      <c r="BD336" s="405">
        <f>ROUNDDOWN(IF( OR( AND(tabItens[[#This Row],[PontoPed]]&lt;tabItens[[#This Row],[Saldo]],tabItens[[#This Row],[Saldo]]&gt;0), tabItens[[#This Row],[PontoPed]]=0), 99, IF(AND(tabItens[[#This Row],[Saldo]]=0,tabItens[[#This Row],[PontoPed]]&gt;0), 0, (1-tabItens[[#This Row],[PctAb]])*10 ) ),0)</f>
        <v>99</v>
      </c>
      <c r="BE336" s="406">
        <f>MAX(ROUNDDOWN( IF(tabItens[[#This Row],[Abaixo]] &gt; 0,   tabItens[[#This Row],[Abaixo]] + (tabItens[[#This Row],[PontoMês]] * IF( OR( ISBLANK(tabItens[[#This Row],[ATA Nº/ANO]]), tabItens[[#This Row],[ATA Nº/ANO]] = ""),BE$2,BE$1)),0),0),0)</f>
        <v>0</v>
      </c>
      <c r="BF33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6" s="338">
        <f>SUMIF(Consumo!$C$3:$C$862,tabItens[[#This Row],[CÓDIGO]],Consumo!$E$3:$E$862)</f>
        <v>0</v>
      </c>
      <c r="BH336" s="339">
        <f>IF(AND(tabItens[[#This Row],[Pend]] &gt; 0,tabItens[[#This Row],[Consumo]] &lt;&gt; 0), tabItens[[#This Row],[Pend]] / tabItens[[#This Row],[Consumo]], 0 )</f>
        <v>0</v>
      </c>
      <c r="BI336" s="338"/>
      <c r="BJ336" s="407"/>
      <c r="BK336" s="408" t="s">
        <v>2086</v>
      </c>
    </row>
    <row r="337" spans="1:63" x14ac:dyDescent="0.3">
      <c r="A337" s="375">
        <v>115060</v>
      </c>
      <c r="B337" s="376" t="s">
        <v>1713</v>
      </c>
      <c r="C337" s="377" t="s">
        <v>31</v>
      </c>
      <c r="D337" s="378">
        <v>572.15</v>
      </c>
      <c r="E337" s="305"/>
      <c r="F337" s="379"/>
      <c r="G337" s="379" t="s">
        <v>889</v>
      </c>
      <c r="H337" s="380">
        <v>37</v>
      </c>
      <c r="I337" s="307">
        <v>103003</v>
      </c>
      <c r="J337" s="308">
        <v>572.15</v>
      </c>
      <c r="K337" s="381"/>
      <c r="L337" s="382">
        <f>IF(tabItens[[#This Row],[Média]] &gt; 0, tabItens[[#This Row],[QTDE ATUAL]] / tabItens[[#This Row],[Média]],999.9)</f>
        <v>999.9</v>
      </c>
      <c r="M337" s="383">
        <v>0</v>
      </c>
      <c r="N337" s="384">
        <f>tabItens[[#This Row],[VALOR UNIT.]] * tabItens[[#This Row],[LC]]</f>
        <v>0</v>
      </c>
      <c r="O337" s="385" t="s">
        <v>2139</v>
      </c>
      <c r="P337" s="386"/>
      <c r="Q337" s="387"/>
      <c r="R337" s="312"/>
      <c r="S337" s="388"/>
      <c r="T337" s="389">
        <f>ROUNDDOWN(IFERROR(tabItens[[#This Row],[ATA DT.VALID.]] - $D$1,0) / 30,0)</f>
        <v>-1474</v>
      </c>
      <c r="U337" s="302" t="s">
        <v>1714</v>
      </c>
      <c r="V337" s="318">
        <v>1</v>
      </c>
      <c r="W337" s="390" t="s">
        <v>2071</v>
      </c>
      <c r="X337" s="391">
        <v>69</v>
      </c>
      <c r="Y337" s="392">
        <v>11</v>
      </c>
      <c r="Z337" s="393"/>
      <c r="AA337" s="394"/>
      <c r="AB337" s="395"/>
      <c r="AC337" s="395"/>
      <c r="AD337" s="394"/>
      <c r="AE337" s="395"/>
      <c r="AF337" s="317"/>
      <c r="AG337" s="396" t="s">
        <v>2072</v>
      </c>
      <c r="AH337" s="397"/>
      <c r="AI337" s="317">
        <v>0</v>
      </c>
      <c r="AJ337" s="397">
        <v>43749</v>
      </c>
      <c r="AK337" s="326">
        <v>40295</v>
      </c>
      <c r="AL337" s="326">
        <v>43997</v>
      </c>
      <c r="AM337" s="316"/>
      <c r="AN337" s="305"/>
      <c r="AO337" s="327" t="str">
        <f>_xlfn.IFNA(IF(VLOOKUP(tabItens[[#This Row],[CÓDIGO]],tabExcluirDoEstoque[#Data],1,FALSE),"sim",""),"")</f>
        <v/>
      </c>
      <c r="AP337" s="398" t="str">
        <f ca="1">IF(OR(ISBLANK(tabItens[[#This Row],[ATA DT.VALID.]]),tabItens[[#This Row],[ATA DT.VALID.]]="",tabItens[[#This Row],[ATA DT.VALID.]]=" "),"",IF(TYPE(tabItens[[#This Row],[ATA DT.VALID.]])=1,ROUNDUP((tabItens[[#This Row],[ATA DT.VALID.]]-TODAY())/7,0),""))</f>
        <v/>
      </c>
      <c r="AQ337" s="399">
        <v>0</v>
      </c>
      <c r="AR337" s="400">
        <f>IF(ISBLANK(tabItens[[#This Row],[CÓDIGO]]),"",IFERROR(VLOOKUP(tabItens[[#This Row],[CÓDIGO]],Consumo!$C$2:$AC$862,26,FALSE),0))</f>
        <v>0</v>
      </c>
      <c r="AS337" s="401">
        <f>SUMIF(Consumo!$C$3:$C$862,tabItens[[#This Row],[CÓDIGO]],Consumo!$N$3:$N$862) + SUMIF(Consumo!$C$3:$C$862,tabItens[[#This Row],[CÓDIGO]],Consumo!$O$3:$O$862) + SUMIF(Consumo!$C$3:$C$862,tabItens[[#This Row],[CÓDIGO]],Consumo!$P$3:$P$862) + SUMIF(Consumo!$C$3:$C$862,tabItens[[#This Row],[CÓDIGO]],Consumo!$Q$3:$Q$862)</f>
        <v>0</v>
      </c>
      <c r="AT337" s="401">
        <f>SUMIF(Consumo!$C$3:$C$862,tabItens[[#This Row],[CÓDIGO]],Consumo!$Z$3:$Z$862)</f>
        <v>0</v>
      </c>
      <c r="AU337" s="402">
        <f>SUMIF(Consumo!$C$3:$C$862,tabItens[[#This Row],[CÓDIGO]],Consumo!$AA$3:$AA$862)</f>
        <v>0</v>
      </c>
      <c r="AV337" s="403">
        <f>SUMIF(Consumo!$C$3:$C$862,tabItens[[#This Row],[CÓDIGO]],Consumo!$Y$3:$Y$862)</f>
        <v>0</v>
      </c>
      <c r="AW337" s="380">
        <f>tabItens[[#This Row],[QTDE ATUAL]] + tabItens[[#This Row],[RC QTDE]] + tabItens[[#This Row],[AF SALDO]] + tabItens[[#This Row],[Recentes]]</f>
        <v>37</v>
      </c>
      <c r="AX337" s="404">
        <v>5</v>
      </c>
      <c r="AY337" s="404">
        <v>4</v>
      </c>
      <c r="AZ337" s="404">
        <f>IF(ISBLANK(tabItens[[#This Row],[CÓDIGO]]),"",tabItens[[#This Row],[PontoMês]] * (AZ$2+tabItens[[#This Row],[PontoQtM]]))</f>
        <v>20</v>
      </c>
      <c r="BA337" s="403">
        <f>tabItens[[#This Row],[PontoPed]] - tabItens[[#This Row],[Saldo]] + (1/10)</f>
        <v>-16.899999999999999</v>
      </c>
      <c r="BB337" s="403">
        <f xml:space="preserve"> tabItens[[#This Row],[PontoMês]] * BB$2 - tabItens[[#This Row],[QTDE ATUAL]] - (1/10)</f>
        <v>-32.1</v>
      </c>
      <c r="BC337" s="335">
        <f>IF( tabItens[[#This Row],[PontoPed]]&gt;0, IF(tabItens[[#This Row],[PontoPed]]&lt;1, 1, IF( tabItens[[#This Row],[Saldo]]&gt;tabItens[[#This Row],[PontoPed]], 0, (tabItens[[#This Row],[PontoPed]]-tabItens[[#This Row],[Saldo]])/tabItens[[#This Row],[PontoPed]] ) ), 0 )</f>
        <v>0</v>
      </c>
      <c r="BD337" s="405">
        <f>ROUNDDOWN(IF( OR( AND(tabItens[[#This Row],[PontoPed]]&lt;tabItens[[#This Row],[Saldo]],tabItens[[#This Row],[Saldo]]&gt;0), tabItens[[#This Row],[PontoPed]]=0), 99, IF(AND(tabItens[[#This Row],[Saldo]]=0,tabItens[[#This Row],[PontoPed]]&gt;0), 0, (1-tabItens[[#This Row],[PctAb]])*10 ) ),0)</f>
        <v>99</v>
      </c>
      <c r="BE337" s="406">
        <f>MAX(ROUNDDOWN( IF(tabItens[[#This Row],[Abaixo]] &gt; 0,   tabItens[[#This Row],[Abaixo]] + (tabItens[[#This Row],[PontoMês]] * IF( OR( ISBLANK(tabItens[[#This Row],[ATA Nº/ANO]]), tabItens[[#This Row],[ATA Nº/ANO]] = ""),BE$2,BE$1)),0),0),0)</f>
        <v>0</v>
      </c>
      <c r="BF33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7" s="338">
        <f>SUMIF(Consumo!$C$3:$C$862,tabItens[[#This Row],[CÓDIGO]],Consumo!$E$3:$E$862)</f>
        <v>0</v>
      </c>
      <c r="BH337" s="339">
        <f>IF(AND(tabItens[[#This Row],[Pend]] &gt; 0,tabItens[[#This Row],[Consumo]] &lt;&gt; 0), tabItens[[#This Row],[Pend]] / tabItens[[#This Row],[Consumo]], 0 )</f>
        <v>0</v>
      </c>
      <c r="BI337" s="338"/>
      <c r="BJ337" s="407"/>
      <c r="BK337" s="408" t="s">
        <v>2086</v>
      </c>
    </row>
    <row r="338" spans="1:63" x14ac:dyDescent="0.3">
      <c r="A338" s="375">
        <v>111336</v>
      </c>
      <c r="B338" s="376" t="s">
        <v>1681</v>
      </c>
      <c r="C338" s="377" t="s">
        <v>345</v>
      </c>
      <c r="D338" s="378">
        <v>270</v>
      </c>
      <c r="E338" s="305"/>
      <c r="F338" s="379"/>
      <c r="G338" s="379" t="s">
        <v>889</v>
      </c>
      <c r="H338" s="380">
        <v>622</v>
      </c>
      <c r="I338" s="307">
        <v>103003</v>
      </c>
      <c r="J338" s="308">
        <v>270</v>
      </c>
      <c r="K338" s="381">
        <v>446</v>
      </c>
      <c r="L338" s="382">
        <f>IF(tabItens[[#This Row],[Média]] &gt; 0, tabItens[[#This Row],[QTDE ATUAL]] / tabItens[[#This Row],[Média]],999.9)</f>
        <v>15.982869379014991</v>
      </c>
      <c r="M338" s="383">
        <v>0</v>
      </c>
      <c r="N338" s="384">
        <f>tabItens[[#This Row],[VALOR UNIT.]] * tabItens[[#This Row],[LC]]</f>
        <v>0</v>
      </c>
      <c r="O338" s="385" t="s">
        <v>2139</v>
      </c>
      <c r="P338" s="386"/>
      <c r="Q338" s="387"/>
      <c r="R338" s="312"/>
      <c r="S338" s="388"/>
      <c r="T338" s="389">
        <f>ROUNDDOWN(IFERROR(tabItens[[#This Row],[ATA DT.VALID.]] - $D$1,0) / 30,0)</f>
        <v>-1474</v>
      </c>
      <c r="U338" s="302" t="s">
        <v>1371</v>
      </c>
      <c r="V338" s="318">
        <v>1</v>
      </c>
      <c r="W338" s="390" t="s">
        <v>2078</v>
      </c>
      <c r="X338" s="391">
        <v>69</v>
      </c>
      <c r="Y338" s="392">
        <v>17</v>
      </c>
      <c r="Z338" s="393"/>
      <c r="AA338" s="394"/>
      <c r="AB338" s="395"/>
      <c r="AC338" s="395"/>
      <c r="AD338" s="394"/>
      <c r="AE338" s="395"/>
      <c r="AF338" s="317"/>
      <c r="AG338" s="396" t="s">
        <v>2072</v>
      </c>
      <c r="AH338" s="397"/>
      <c r="AI338" s="317">
        <v>156</v>
      </c>
      <c r="AJ338" s="397">
        <v>45163</v>
      </c>
      <c r="AK338" s="326">
        <v>39981</v>
      </c>
      <c r="AL338" s="326">
        <v>45156</v>
      </c>
      <c r="AM338" s="316"/>
      <c r="AN338" s="305"/>
      <c r="AO338" s="327" t="str">
        <f>_xlfn.IFNA(IF(VLOOKUP(tabItens[[#This Row],[CÓDIGO]],tabExcluirDoEstoque[#Data],1,FALSE),"sim",""),"")</f>
        <v/>
      </c>
      <c r="AP338" s="398" t="str">
        <f ca="1">IF(OR(ISBLANK(tabItens[[#This Row],[ATA DT.VALID.]]),tabItens[[#This Row],[ATA DT.VALID.]]="",tabItens[[#This Row],[ATA DT.VALID.]]=" "),"",IF(TYPE(tabItens[[#This Row],[ATA DT.VALID.]])=1,ROUNDUP((tabItens[[#This Row],[ATA DT.VALID.]]-TODAY())/7,0),""))</f>
        <v/>
      </c>
      <c r="AQ338" s="399">
        <v>0</v>
      </c>
      <c r="AR338" s="400" t="str">
        <f>IF(ISBLANK(tabItens[[#This Row],[CÓDIGO]]),"",IFERROR(VLOOKUP(tabItens[[#This Row],[CÓDIGO]],Consumo!$C$2:$AC$862,26,FALSE),0))</f>
        <v>06.2023</v>
      </c>
      <c r="AS338" s="401">
        <f>SUMIF(Consumo!$C$3:$C$862,tabItens[[#This Row],[CÓDIGO]],Consumo!$N$3:$N$862) + SUMIF(Consumo!$C$3:$C$862,tabItens[[#This Row],[CÓDIGO]],Consumo!$O$3:$O$862) + SUMIF(Consumo!$C$3:$C$862,tabItens[[#This Row],[CÓDIGO]],Consumo!$P$3:$P$862) + SUMIF(Consumo!$C$3:$C$862,tabItens[[#This Row],[CÓDIGO]],Consumo!$Q$3:$Q$862)</f>
        <v>91</v>
      </c>
      <c r="AT338" s="401">
        <f>SUMIF(Consumo!$C$3:$C$862,tabItens[[#This Row],[CÓDIGO]],Consumo!$Z$3:$Z$862)</f>
        <v>467</v>
      </c>
      <c r="AU338" s="402">
        <f>SUMIF(Consumo!$C$3:$C$862,tabItens[[#This Row],[CÓDIGO]],Consumo!$AA$3:$AA$862)</f>
        <v>120</v>
      </c>
      <c r="AV338" s="403">
        <f>SUMIF(Consumo!$C$3:$C$862,tabItens[[#This Row],[CÓDIGO]],Consumo!$Y$3:$Y$862)</f>
        <v>38.916666666666664</v>
      </c>
      <c r="AW338" s="380">
        <f>tabItens[[#This Row],[QTDE ATUAL]] + tabItens[[#This Row],[RC QTDE]] + tabItens[[#This Row],[AF SALDO]] + tabItens[[#This Row],[Recentes]]</f>
        <v>622</v>
      </c>
      <c r="AX338" s="404">
        <v>30</v>
      </c>
      <c r="AY338" s="404">
        <v>4</v>
      </c>
      <c r="AZ338" s="404">
        <f>IF(ISBLANK(tabItens[[#This Row],[CÓDIGO]]),"",tabItens[[#This Row],[PontoMês]] * (AZ$2+tabItens[[#This Row],[PontoQtM]]))</f>
        <v>120</v>
      </c>
      <c r="BA338" s="403">
        <f>tabItens[[#This Row],[PontoPed]] - tabItens[[#This Row],[Saldo]] + (1/10)</f>
        <v>-501.9</v>
      </c>
      <c r="BB338" s="403">
        <f xml:space="preserve"> tabItens[[#This Row],[PontoMês]] * BB$2 - tabItens[[#This Row],[QTDE ATUAL]] - (1/10)</f>
        <v>-592.1</v>
      </c>
      <c r="BC338" s="335">
        <f>IF( tabItens[[#This Row],[PontoPed]]&gt;0, IF(tabItens[[#This Row],[PontoPed]]&lt;1, 1, IF( tabItens[[#This Row],[Saldo]]&gt;tabItens[[#This Row],[PontoPed]], 0, (tabItens[[#This Row],[PontoPed]]-tabItens[[#This Row],[Saldo]])/tabItens[[#This Row],[PontoPed]] ) ), 0 )</f>
        <v>0</v>
      </c>
      <c r="BD338" s="405">
        <f>ROUNDDOWN(IF( OR( AND(tabItens[[#This Row],[PontoPed]]&lt;tabItens[[#This Row],[Saldo]],tabItens[[#This Row],[Saldo]]&gt;0), tabItens[[#This Row],[PontoPed]]=0), 99, IF(AND(tabItens[[#This Row],[Saldo]]=0,tabItens[[#This Row],[PontoPed]]&gt;0), 0, (1-tabItens[[#This Row],[PctAb]])*10 ) ),0)</f>
        <v>99</v>
      </c>
      <c r="BE338" s="406">
        <f>MAX(ROUNDDOWN( IF(tabItens[[#This Row],[Abaixo]] &gt; 0,   tabItens[[#This Row],[Abaixo]] + (tabItens[[#This Row],[PontoMês]] * IF( OR( ISBLANK(tabItens[[#This Row],[ATA Nº/ANO]]), tabItens[[#This Row],[ATA Nº/ANO]] = ""),BE$2,BE$1)),0),0),0)</f>
        <v>0</v>
      </c>
      <c r="BF33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8" s="338">
        <f>SUMIF(Consumo!$C$3:$C$862,tabItens[[#This Row],[CÓDIGO]],Consumo!$E$3:$E$862)</f>
        <v>0</v>
      </c>
      <c r="BH338" s="339">
        <f>IF(AND(tabItens[[#This Row],[Pend]] &gt; 0,tabItens[[#This Row],[Consumo]] &lt;&gt; 0), tabItens[[#This Row],[Pend]] / tabItens[[#This Row],[Consumo]], 0 )</f>
        <v>0</v>
      </c>
      <c r="BI338" s="338"/>
      <c r="BJ338" s="407"/>
      <c r="BK338" s="408" t="s">
        <v>2086</v>
      </c>
    </row>
    <row r="339" spans="1:63" x14ac:dyDescent="0.3">
      <c r="A339" s="375">
        <v>118515</v>
      </c>
      <c r="B339" s="376" t="s">
        <v>1733</v>
      </c>
      <c r="C339" s="377" t="s">
        <v>560</v>
      </c>
      <c r="D339" s="378">
        <v>69.97</v>
      </c>
      <c r="E339" s="305"/>
      <c r="F339" s="379"/>
      <c r="G339" s="379" t="s">
        <v>889</v>
      </c>
      <c r="H339" s="380">
        <v>0</v>
      </c>
      <c r="I339" s="307">
        <v>103003</v>
      </c>
      <c r="J339" s="308">
        <v>69.97</v>
      </c>
      <c r="K339" s="381">
        <v>314</v>
      </c>
      <c r="L339" s="382">
        <f>IF(tabItens[[#This Row],[Média]] &gt; 0, tabItens[[#This Row],[QTDE ATUAL]] / tabItens[[#This Row],[Média]],999.9)</f>
        <v>0</v>
      </c>
      <c r="M339" s="383">
        <v>0</v>
      </c>
      <c r="N339" s="384">
        <f>tabItens[[#This Row],[VALOR UNIT.]] * tabItens[[#This Row],[LC]]</f>
        <v>0</v>
      </c>
      <c r="O339" s="385" t="s">
        <v>2188</v>
      </c>
      <c r="P339" s="386"/>
      <c r="Q339" s="387"/>
      <c r="R339" s="312"/>
      <c r="S339" s="388"/>
      <c r="T339" s="389">
        <f>ROUNDDOWN(IFERROR(tabItens[[#This Row],[ATA DT.VALID.]] - $D$1,0) / 30,0)</f>
        <v>-1474</v>
      </c>
      <c r="U339" s="302" t="s">
        <v>1734</v>
      </c>
      <c r="V339" s="318">
        <v>1</v>
      </c>
      <c r="W339" s="390" t="s">
        <v>2071</v>
      </c>
      <c r="X339" s="391">
        <v>51</v>
      </c>
      <c r="Y339" s="392">
        <v>21</v>
      </c>
      <c r="Z339" s="393">
        <v>7340</v>
      </c>
      <c r="AA339" s="394">
        <v>2023</v>
      </c>
      <c r="AB339" s="395">
        <v>135.9</v>
      </c>
      <c r="AC339" s="395"/>
      <c r="AD339" s="394"/>
      <c r="AE339" s="395"/>
      <c r="AF339" s="317"/>
      <c r="AG339" s="396" t="s">
        <v>2072</v>
      </c>
      <c r="AH339" s="397"/>
      <c r="AI339" s="317">
        <v>104</v>
      </c>
      <c r="AJ339" s="397">
        <v>44417</v>
      </c>
      <c r="AK339" s="326">
        <v>40498</v>
      </c>
      <c r="AL339" s="326">
        <v>44405</v>
      </c>
      <c r="AM339" s="316"/>
      <c r="AN339" s="305"/>
      <c r="AO339" s="327" t="str">
        <f>_xlfn.IFNA(IF(VLOOKUP(tabItens[[#This Row],[CÓDIGO]],tabExcluirDoEstoque[#Data],1,FALSE),"sim",""),"")</f>
        <v/>
      </c>
      <c r="AP339" s="398" t="str">
        <f ca="1">IF(OR(ISBLANK(tabItens[[#This Row],[ATA DT.VALID.]]),tabItens[[#This Row],[ATA DT.VALID.]]="",tabItens[[#This Row],[ATA DT.VALID.]]=" "),"",IF(TYPE(tabItens[[#This Row],[ATA DT.VALID.]])=1,ROUNDUP((tabItens[[#This Row],[ATA DT.VALID.]]-TODAY())/7,0),""))</f>
        <v/>
      </c>
      <c r="AQ339" s="399">
        <v>0</v>
      </c>
      <c r="AR339" s="400" t="str">
        <f>IF(ISBLANK(tabItens[[#This Row],[CÓDIGO]]),"",IFERROR(VLOOKUP(tabItens[[#This Row],[CÓDIGO]],Consumo!$C$2:$AC$862,26,FALSE),0))</f>
        <v>05.2023</v>
      </c>
      <c r="AS339" s="401">
        <f>SUMIF(Consumo!$C$3:$C$862,tabItens[[#This Row],[CÓDIGO]],Consumo!$N$3:$N$862) + SUMIF(Consumo!$C$3:$C$862,tabItens[[#This Row],[CÓDIGO]],Consumo!$O$3:$O$862) + SUMIF(Consumo!$C$3:$C$862,tabItens[[#This Row],[CÓDIGO]],Consumo!$P$3:$P$862) + SUMIF(Consumo!$C$3:$C$862,tabItens[[#This Row],[CÓDIGO]],Consumo!$Q$3:$Q$862)</f>
        <v>0</v>
      </c>
      <c r="AT339" s="401">
        <f>SUMIF(Consumo!$C$3:$C$862,tabItens[[#This Row],[CÓDIGO]],Consumo!$Z$3:$Z$862)</f>
        <v>314</v>
      </c>
      <c r="AU339" s="402">
        <f>SUMIF(Consumo!$C$3:$C$862,tabItens[[#This Row],[CÓDIGO]],Consumo!$AA$3:$AA$862)</f>
        <v>284</v>
      </c>
      <c r="AV339" s="403">
        <f>SUMIF(Consumo!$C$3:$C$862,tabItens[[#This Row],[CÓDIGO]],Consumo!$Y$3:$Y$862)</f>
        <v>18.166666666666668</v>
      </c>
      <c r="AW339" s="380">
        <f>tabItens[[#This Row],[QTDE ATUAL]] + tabItens[[#This Row],[RC QTDE]] + tabItens[[#This Row],[AF SALDO]] + tabItens[[#This Row],[Recentes]]</f>
        <v>135.9</v>
      </c>
      <c r="AX339" s="404">
        <v>17</v>
      </c>
      <c r="AY339" s="404">
        <v>4</v>
      </c>
      <c r="AZ339" s="404">
        <f>IF(ISBLANK(tabItens[[#This Row],[CÓDIGO]]),"",tabItens[[#This Row],[PontoMês]] * (AZ$2+tabItens[[#This Row],[PontoQtM]]))</f>
        <v>68</v>
      </c>
      <c r="BA339" s="403">
        <f>tabItens[[#This Row],[PontoPed]] - tabItens[[#This Row],[Saldo]] + (1/10)</f>
        <v>-67.800000000000011</v>
      </c>
      <c r="BB339" s="403">
        <f xml:space="preserve"> tabItens[[#This Row],[PontoMês]] * BB$2 - tabItens[[#This Row],[QTDE ATUAL]] - (1/10)</f>
        <v>16.899999999999999</v>
      </c>
      <c r="BC339" s="335">
        <f>IF( tabItens[[#This Row],[PontoPed]]&gt;0, IF(tabItens[[#This Row],[PontoPed]]&lt;1, 1, IF( tabItens[[#This Row],[Saldo]]&gt;tabItens[[#This Row],[PontoPed]], 0, (tabItens[[#This Row],[PontoPed]]-tabItens[[#This Row],[Saldo]])/tabItens[[#This Row],[PontoPed]] ) ), 0 )</f>
        <v>0</v>
      </c>
      <c r="BD339" s="405">
        <f>ROUNDDOWN(IF( OR( AND(tabItens[[#This Row],[PontoPed]]&lt;tabItens[[#This Row],[Saldo]],tabItens[[#This Row],[Saldo]]&gt;0), tabItens[[#This Row],[PontoPed]]=0), 99, IF(AND(tabItens[[#This Row],[Saldo]]=0,tabItens[[#This Row],[PontoPed]]&gt;0), 0, (1-tabItens[[#This Row],[PctAb]])*10 ) ),0)</f>
        <v>99</v>
      </c>
      <c r="BE339" s="406">
        <f>MAX(ROUNDDOWN( IF(tabItens[[#This Row],[Abaixo]] &gt; 0,   tabItens[[#This Row],[Abaixo]] + (tabItens[[#This Row],[PontoMês]] * IF( OR( ISBLANK(tabItens[[#This Row],[ATA Nº/ANO]]), tabItens[[#This Row],[ATA Nº/ANO]] = ""),BE$2,BE$1)),0),0),0)</f>
        <v>0</v>
      </c>
      <c r="BF33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9" s="338">
        <f>SUMIF(Consumo!$C$3:$C$862,tabItens[[#This Row],[CÓDIGO]],Consumo!$E$3:$E$862)</f>
        <v>0</v>
      </c>
      <c r="BH339" s="339">
        <f>IF(AND(tabItens[[#This Row],[Pend]] &gt; 0,tabItens[[#This Row],[Consumo]] &lt;&gt; 0), tabItens[[#This Row],[Pend]] / tabItens[[#This Row],[Consumo]], 0 )</f>
        <v>0</v>
      </c>
      <c r="BI339" s="338"/>
      <c r="BJ339" s="407"/>
      <c r="BK339" s="408" t="s">
        <v>2086</v>
      </c>
    </row>
    <row r="340" spans="1:63" x14ac:dyDescent="0.3">
      <c r="A340" s="375">
        <v>118577</v>
      </c>
      <c r="B340" s="376" t="s">
        <v>1735</v>
      </c>
      <c r="C340" s="377" t="s">
        <v>560</v>
      </c>
      <c r="D340" s="378">
        <v>81.25</v>
      </c>
      <c r="E340" s="305"/>
      <c r="F340" s="379"/>
      <c r="G340" s="379" t="s">
        <v>889</v>
      </c>
      <c r="H340" s="380">
        <v>0</v>
      </c>
      <c r="I340" s="307">
        <v>103003</v>
      </c>
      <c r="J340" s="308">
        <v>81.25</v>
      </c>
      <c r="K340" s="381">
        <v>726.5</v>
      </c>
      <c r="L340" s="382">
        <f>IF(tabItens[[#This Row],[Média]] &gt; 0, tabItens[[#This Row],[QTDE ATUAL]] / tabItens[[#This Row],[Média]],999.9)</f>
        <v>0</v>
      </c>
      <c r="M340" s="383">
        <v>0</v>
      </c>
      <c r="N340" s="384">
        <f>tabItens[[#This Row],[VALOR UNIT.]] * tabItens[[#This Row],[LC]]</f>
        <v>0</v>
      </c>
      <c r="O340" s="385" t="s">
        <v>2188</v>
      </c>
      <c r="P340" s="386"/>
      <c r="Q340" s="387"/>
      <c r="R340" s="312"/>
      <c r="S340" s="388"/>
      <c r="T340" s="389">
        <f>ROUNDDOWN(IFERROR(tabItens[[#This Row],[ATA DT.VALID.]] - $D$1,0) / 30,0)</f>
        <v>-1474</v>
      </c>
      <c r="U340" s="302" t="s">
        <v>1734</v>
      </c>
      <c r="V340" s="318">
        <v>1</v>
      </c>
      <c r="W340" s="390" t="s">
        <v>2071</v>
      </c>
      <c r="X340" s="391">
        <v>51</v>
      </c>
      <c r="Y340" s="392">
        <v>21</v>
      </c>
      <c r="Z340" s="393">
        <v>2231</v>
      </c>
      <c r="AA340" s="394">
        <v>2023</v>
      </c>
      <c r="AB340" s="395">
        <v>2000</v>
      </c>
      <c r="AC340" s="395"/>
      <c r="AD340" s="394"/>
      <c r="AE340" s="395"/>
      <c r="AF340" s="317"/>
      <c r="AG340" s="396" t="s">
        <v>2072</v>
      </c>
      <c r="AH340" s="397"/>
      <c r="AI340" s="317">
        <v>242</v>
      </c>
      <c r="AJ340" s="397">
        <v>44551</v>
      </c>
      <c r="AK340" s="326">
        <v>40501</v>
      </c>
      <c r="AL340" s="326">
        <v>44544</v>
      </c>
      <c r="AM340" s="316"/>
      <c r="AN340" s="305"/>
      <c r="AO340" s="327" t="str">
        <f>_xlfn.IFNA(IF(VLOOKUP(tabItens[[#This Row],[CÓDIGO]],tabExcluirDoEstoque[#Data],1,FALSE),"sim",""),"")</f>
        <v/>
      </c>
      <c r="AP340" s="398" t="str">
        <f ca="1">IF(OR(ISBLANK(tabItens[[#This Row],[ATA DT.VALID.]]),tabItens[[#This Row],[ATA DT.VALID.]]="",tabItens[[#This Row],[ATA DT.VALID.]]=" "),"",IF(TYPE(tabItens[[#This Row],[ATA DT.VALID.]])=1,ROUNDUP((tabItens[[#This Row],[ATA DT.VALID.]]-TODAY())/7,0),""))</f>
        <v/>
      </c>
      <c r="AQ340" s="399">
        <v>0</v>
      </c>
      <c r="AR340" s="400" t="str">
        <f>IF(ISBLANK(tabItens[[#This Row],[CÓDIGO]]),"",IFERROR(VLOOKUP(tabItens[[#This Row],[CÓDIGO]],Consumo!$C$2:$AC$862,26,FALSE),0))</f>
        <v>01.2023</v>
      </c>
      <c r="AS340" s="401">
        <f>SUMIF(Consumo!$C$3:$C$862,tabItens[[#This Row],[CÓDIGO]],Consumo!$N$3:$N$862) + SUMIF(Consumo!$C$3:$C$862,tabItens[[#This Row],[CÓDIGO]],Consumo!$O$3:$O$862) + SUMIF(Consumo!$C$3:$C$862,tabItens[[#This Row],[CÓDIGO]],Consumo!$P$3:$P$862) + SUMIF(Consumo!$C$3:$C$862,tabItens[[#This Row],[CÓDIGO]],Consumo!$Q$3:$Q$862)</f>
        <v>0</v>
      </c>
      <c r="AT340" s="401">
        <f>SUMIF(Consumo!$C$3:$C$862,tabItens[[#This Row],[CÓDIGO]],Consumo!$Z$3:$Z$862)</f>
        <v>795</v>
      </c>
      <c r="AU340" s="402">
        <f>SUMIF(Consumo!$C$3:$C$862,tabItens[[#This Row],[CÓDIGO]],Consumo!$AA$3:$AA$862)</f>
        <v>272</v>
      </c>
      <c r="AV340" s="403">
        <f>SUMIF(Consumo!$C$3:$C$862,tabItens[[#This Row],[CÓDIGO]],Consumo!$Y$3:$Y$862)</f>
        <v>65.083333333333329</v>
      </c>
      <c r="AW340" s="380">
        <f>tabItens[[#This Row],[QTDE ATUAL]] + tabItens[[#This Row],[RC QTDE]] + tabItens[[#This Row],[AF SALDO]] + tabItens[[#This Row],[Recentes]]</f>
        <v>2000</v>
      </c>
      <c r="AX340" s="404">
        <v>47</v>
      </c>
      <c r="AY340" s="404">
        <v>4</v>
      </c>
      <c r="AZ340" s="404">
        <f>IF(ISBLANK(tabItens[[#This Row],[CÓDIGO]]),"",tabItens[[#This Row],[PontoMês]] * (AZ$2+tabItens[[#This Row],[PontoQtM]]))</f>
        <v>188</v>
      </c>
      <c r="BA340" s="403">
        <f>tabItens[[#This Row],[PontoPed]] - tabItens[[#This Row],[Saldo]] + (1/10)</f>
        <v>-1811.9</v>
      </c>
      <c r="BB340" s="403">
        <f xml:space="preserve"> tabItens[[#This Row],[PontoMês]] * BB$2 - tabItens[[#This Row],[QTDE ATUAL]] - (1/10)</f>
        <v>46.9</v>
      </c>
      <c r="BC340" s="335">
        <f>IF( tabItens[[#This Row],[PontoPed]]&gt;0, IF(tabItens[[#This Row],[PontoPed]]&lt;1, 1, IF( tabItens[[#This Row],[Saldo]]&gt;tabItens[[#This Row],[PontoPed]], 0, (tabItens[[#This Row],[PontoPed]]-tabItens[[#This Row],[Saldo]])/tabItens[[#This Row],[PontoPed]] ) ), 0 )</f>
        <v>0</v>
      </c>
      <c r="BD340" s="405">
        <f>ROUNDDOWN(IF( OR( AND(tabItens[[#This Row],[PontoPed]]&lt;tabItens[[#This Row],[Saldo]],tabItens[[#This Row],[Saldo]]&gt;0), tabItens[[#This Row],[PontoPed]]=0), 99, IF(AND(tabItens[[#This Row],[Saldo]]=0,tabItens[[#This Row],[PontoPed]]&gt;0), 0, (1-tabItens[[#This Row],[PctAb]])*10 ) ),0)</f>
        <v>99</v>
      </c>
      <c r="BE340" s="406">
        <f>MAX(ROUNDDOWN( IF(tabItens[[#This Row],[Abaixo]] &gt; 0,   tabItens[[#This Row],[Abaixo]] + (tabItens[[#This Row],[PontoMês]] * IF( OR( ISBLANK(tabItens[[#This Row],[ATA Nº/ANO]]), tabItens[[#This Row],[ATA Nº/ANO]] = ""),BE$2,BE$1)),0),0),0)</f>
        <v>0</v>
      </c>
      <c r="BF34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0" s="338">
        <f>SUMIF(Consumo!$C$3:$C$862,tabItens[[#This Row],[CÓDIGO]],Consumo!$E$3:$E$862)</f>
        <v>68.5</v>
      </c>
      <c r="BH340" s="339">
        <f>IF(AND(tabItens[[#This Row],[Pend]] &gt; 0,tabItens[[#This Row],[Consumo]] &lt;&gt; 0), tabItens[[#This Row],[Pend]] / tabItens[[#This Row],[Consumo]], 0 )</f>
        <v>8.6163522012578611E-2</v>
      </c>
      <c r="BI340" s="338"/>
      <c r="BJ340" s="407"/>
      <c r="BK340" s="408" t="s">
        <v>2086</v>
      </c>
    </row>
    <row r="341" spans="1:63" x14ac:dyDescent="0.3">
      <c r="A341" s="375">
        <v>114772</v>
      </c>
      <c r="B341" s="376" t="s">
        <v>1706</v>
      </c>
      <c r="C341" s="377" t="s">
        <v>263</v>
      </c>
      <c r="D341" s="378">
        <v>51.4</v>
      </c>
      <c r="E341" s="305"/>
      <c r="F341" s="379"/>
      <c r="G341" s="379" t="s">
        <v>889</v>
      </c>
      <c r="H341" s="380">
        <v>35</v>
      </c>
      <c r="I341" s="307">
        <v>103003</v>
      </c>
      <c r="J341" s="308">
        <v>51.4</v>
      </c>
      <c r="K341" s="381"/>
      <c r="L341" s="382">
        <f>IF(tabItens[[#This Row],[Média]] &gt; 0, tabItens[[#This Row],[QTDE ATUAL]] / tabItens[[#This Row],[Média]],999.9)</f>
        <v>999.9</v>
      </c>
      <c r="M341" s="383">
        <v>0</v>
      </c>
      <c r="N341" s="384">
        <f>tabItens[[#This Row],[VALOR UNIT.]] * tabItens[[#This Row],[LC]]</f>
        <v>0</v>
      </c>
      <c r="O341" s="385" t="s">
        <v>2181</v>
      </c>
      <c r="P341" s="386"/>
      <c r="Q341" s="387"/>
      <c r="R341" s="312"/>
      <c r="S341" s="388"/>
      <c r="T341" s="389">
        <f>ROUNDDOWN(IFERROR(tabItens[[#This Row],[ATA DT.VALID.]] - $D$1,0) / 30,0)</f>
        <v>-1474</v>
      </c>
      <c r="U341" s="302" t="s">
        <v>985</v>
      </c>
      <c r="V341" s="318">
        <v>1</v>
      </c>
      <c r="W341" s="390" t="s">
        <v>2077</v>
      </c>
      <c r="X341" s="391">
        <v>55</v>
      </c>
      <c r="Y341" s="392">
        <v>31</v>
      </c>
      <c r="Z341" s="393"/>
      <c r="AA341" s="394"/>
      <c r="AB341" s="395"/>
      <c r="AC341" s="395"/>
      <c r="AD341" s="394"/>
      <c r="AE341" s="395"/>
      <c r="AF341" s="317"/>
      <c r="AG341" s="396" t="s">
        <v>2072</v>
      </c>
      <c r="AH341" s="397"/>
      <c r="AI341" s="317">
        <v>0</v>
      </c>
      <c r="AJ341" s="397">
        <v>40403</v>
      </c>
      <c r="AK341" s="326">
        <v>40275</v>
      </c>
      <c r="AL341" s="326">
        <v>40337</v>
      </c>
      <c r="AM341" s="316"/>
      <c r="AN341" s="305"/>
      <c r="AO341" s="327" t="str">
        <f>_xlfn.IFNA(IF(VLOOKUP(tabItens[[#This Row],[CÓDIGO]],tabExcluirDoEstoque[#Data],1,FALSE),"sim",""),"")</f>
        <v/>
      </c>
      <c r="AP341" s="398" t="str">
        <f ca="1">IF(OR(ISBLANK(tabItens[[#This Row],[ATA DT.VALID.]]),tabItens[[#This Row],[ATA DT.VALID.]]="",tabItens[[#This Row],[ATA DT.VALID.]]=" "),"",IF(TYPE(tabItens[[#This Row],[ATA DT.VALID.]])=1,ROUNDUP((tabItens[[#This Row],[ATA DT.VALID.]]-TODAY())/7,0),""))</f>
        <v/>
      </c>
      <c r="AQ341" s="399">
        <v>0</v>
      </c>
      <c r="AR341" s="400">
        <f>IF(ISBLANK(tabItens[[#This Row],[CÓDIGO]]),"",IFERROR(VLOOKUP(tabItens[[#This Row],[CÓDIGO]],Consumo!$C$2:$AC$862,26,FALSE),0))</f>
        <v>0</v>
      </c>
      <c r="AS341" s="401">
        <f>SUMIF(Consumo!$C$3:$C$862,tabItens[[#This Row],[CÓDIGO]],Consumo!$N$3:$N$862) + SUMIF(Consumo!$C$3:$C$862,tabItens[[#This Row],[CÓDIGO]],Consumo!$O$3:$O$862) + SUMIF(Consumo!$C$3:$C$862,tabItens[[#This Row],[CÓDIGO]],Consumo!$P$3:$P$862) + SUMIF(Consumo!$C$3:$C$862,tabItens[[#This Row],[CÓDIGO]],Consumo!$Q$3:$Q$862)</f>
        <v>0</v>
      </c>
      <c r="AT341" s="401">
        <f>SUMIF(Consumo!$C$3:$C$862,tabItens[[#This Row],[CÓDIGO]],Consumo!$Z$3:$Z$862)</f>
        <v>0</v>
      </c>
      <c r="AU341" s="402">
        <f>SUMIF(Consumo!$C$3:$C$862,tabItens[[#This Row],[CÓDIGO]],Consumo!$AA$3:$AA$862)</f>
        <v>0</v>
      </c>
      <c r="AV341" s="403">
        <f>SUMIF(Consumo!$C$3:$C$862,tabItens[[#This Row],[CÓDIGO]],Consumo!$Y$3:$Y$862)</f>
        <v>0</v>
      </c>
      <c r="AW341" s="380">
        <f>tabItens[[#This Row],[QTDE ATUAL]] + tabItens[[#This Row],[RC QTDE]] + tabItens[[#This Row],[AF SALDO]] + tabItens[[#This Row],[Recentes]]</f>
        <v>35</v>
      </c>
      <c r="AX341" s="404">
        <v>1</v>
      </c>
      <c r="AY341" s="404">
        <v>4</v>
      </c>
      <c r="AZ341" s="404">
        <f>IF(ISBLANK(tabItens[[#This Row],[CÓDIGO]]),"",tabItens[[#This Row],[PontoMês]] * (AZ$2+tabItens[[#This Row],[PontoQtM]]))</f>
        <v>4</v>
      </c>
      <c r="BA341" s="403">
        <f>tabItens[[#This Row],[PontoPed]] - tabItens[[#This Row],[Saldo]] + (1/10)</f>
        <v>-30.9</v>
      </c>
      <c r="BB341" s="403">
        <f xml:space="preserve"> tabItens[[#This Row],[PontoMês]] * BB$2 - tabItens[[#This Row],[QTDE ATUAL]] - (1/10)</f>
        <v>-34.1</v>
      </c>
      <c r="BC341" s="335">
        <f>IF( tabItens[[#This Row],[PontoPed]]&gt;0, IF(tabItens[[#This Row],[PontoPed]]&lt;1, 1, IF( tabItens[[#This Row],[Saldo]]&gt;tabItens[[#This Row],[PontoPed]], 0, (tabItens[[#This Row],[PontoPed]]-tabItens[[#This Row],[Saldo]])/tabItens[[#This Row],[PontoPed]] ) ), 0 )</f>
        <v>0</v>
      </c>
      <c r="BD341" s="405">
        <f>ROUNDDOWN(IF( OR( AND(tabItens[[#This Row],[PontoPed]]&lt;tabItens[[#This Row],[Saldo]],tabItens[[#This Row],[Saldo]]&gt;0), tabItens[[#This Row],[PontoPed]]=0), 99, IF(AND(tabItens[[#This Row],[Saldo]]=0,tabItens[[#This Row],[PontoPed]]&gt;0), 0, (1-tabItens[[#This Row],[PctAb]])*10 ) ),0)</f>
        <v>99</v>
      </c>
      <c r="BE341" s="406">
        <f>MAX(ROUNDDOWN( IF(tabItens[[#This Row],[Abaixo]] &gt; 0,   tabItens[[#This Row],[Abaixo]] + (tabItens[[#This Row],[PontoMês]] * IF( OR( ISBLANK(tabItens[[#This Row],[ATA Nº/ANO]]), tabItens[[#This Row],[ATA Nº/ANO]] = ""),BE$2,BE$1)),0),0),0)</f>
        <v>0</v>
      </c>
      <c r="BF34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1" s="338">
        <f>SUMIF(Consumo!$C$3:$C$862,tabItens[[#This Row],[CÓDIGO]],Consumo!$E$3:$E$862)</f>
        <v>0</v>
      </c>
      <c r="BH341" s="339">
        <f>IF(AND(tabItens[[#This Row],[Pend]] &gt; 0,tabItens[[#This Row],[Consumo]] &lt;&gt; 0), tabItens[[#This Row],[Pend]] / tabItens[[#This Row],[Consumo]], 0 )</f>
        <v>0</v>
      </c>
      <c r="BI341" s="338"/>
      <c r="BJ341" s="407"/>
      <c r="BK341" s="408" t="s">
        <v>2086</v>
      </c>
    </row>
    <row r="342" spans="1:63" x14ac:dyDescent="0.3">
      <c r="A342" s="375">
        <v>112109</v>
      </c>
      <c r="B342" s="376" t="s">
        <v>1685</v>
      </c>
      <c r="C342" s="377" t="s">
        <v>335</v>
      </c>
      <c r="D342" s="378">
        <v>5.5</v>
      </c>
      <c r="E342" s="305"/>
      <c r="F342" s="379"/>
      <c r="G342" s="379" t="s">
        <v>889</v>
      </c>
      <c r="H342" s="380">
        <v>12614</v>
      </c>
      <c r="I342" s="307">
        <v>103003</v>
      </c>
      <c r="J342" s="308">
        <v>5.5</v>
      </c>
      <c r="K342" s="381">
        <v>13138</v>
      </c>
      <c r="L342" s="382">
        <f>IF(tabItens[[#This Row],[Média]] &gt; 0, tabItens[[#This Row],[QTDE ATUAL]] / tabItens[[#This Row],[Média]],999.9)</f>
        <v>10.35986585449319</v>
      </c>
      <c r="M342" s="383">
        <v>0</v>
      </c>
      <c r="N342" s="384">
        <f>tabItens[[#This Row],[VALOR UNIT.]] * tabItens[[#This Row],[LC]]</f>
        <v>0</v>
      </c>
      <c r="O342" s="385" t="s">
        <v>2179</v>
      </c>
      <c r="P342" s="386"/>
      <c r="Q342" s="387"/>
      <c r="R342" s="312"/>
      <c r="S342" s="388"/>
      <c r="T342" s="389">
        <f>ROUNDDOWN(IFERROR(tabItens[[#This Row],[ATA DT.VALID.]] - $D$1,0) / 30,0)</f>
        <v>-1474</v>
      </c>
      <c r="U342" s="302" t="s">
        <v>1444</v>
      </c>
      <c r="V342" s="318">
        <v>1</v>
      </c>
      <c r="W342" s="390" t="s">
        <v>2073</v>
      </c>
      <c r="X342" s="391">
        <v>72</v>
      </c>
      <c r="Y342" s="392">
        <v>8</v>
      </c>
      <c r="Z342" s="393"/>
      <c r="AA342" s="394"/>
      <c r="AB342" s="395"/>
      <c r="AC342" s="395"/>
      <c r="AD342" s="394"/>
      <c r="AE342" s="395"/>
      <c r="AF342" s="317"/>
      <c r="AG342" s="396" t="s">
        <v>2072</v>
      </c>
      <c r="AH342" s="397"/>
      <c r="AI342" s="317">
        <v>7634</v>
      </c>
      <c r="AJ342" s="397">
        <v>44886</v>
      </c>
      <c r="AK342" s="326">
        <v>40043</v>
      </c>
      <c r="AL342" s="326">
        <v>44854</v>
      </c>
      <c r="AM342" s="316"/>
      <c r="AN342" s="305"/>
      <c r="AO342" s="327" t="str">
        <f>_xlfn.IFNA(IF(VLOOKUP(tabItens[[#This Row],[CÓDIGO]],tabExcluirDoEstoque[#Data],1,FALSE),"sim",""),"")</f>
        <v/>
      </c>
      <c r="AP342" s="398" t="str">
        <f ca="1">IF(OR(ISBLANK(tabItens[[#This Row],[ATA DT.VALID.]]),tabItens[[#This Row],[ATA DT.VALID.]]="",tabItens[[#This Row],[ATA DT.VALID.]]=" "),"",IF(TYPE(tabItens[[#This Row],[ATA DT.VALID.]])=1,ROUNDUP((tabItens[[#This Row],[ATA DT.VALID.]]-TODAY())/7,0),""))</f>
        <v/>
      </c>
      <c r="AQ342" s="399">
        <v>0</v>
      </c>
      <c r="AR342" s="400" t="str">
        <f>IF(ISBLANK(tabItens[[#This Row],[CÓDIGO]]),"",IFERROR(VLOOKUP(tabItens[[#This Row],[CÓDIGO]],Consumo!$C$2:$AC$862,26,FALSE),0))</f>
        <v>09.2023</v>
      </c>
      <c r="AS342" s="401">
        <f>SUMIF(Consumo!$C$3:$C$862,tabItens[[#This Row],[CÓDIGO]],Consumo!$N$3:$N$862) + SUMIF(Consumo!$C$3:$C$862,tabItens[[#This Row],[CÓDIGO]],Consumo!$O$3:$O$862) + SUMIF(Consumo!$C$3:$C$862,tabItens[[#This Row],[CÓDIGO]],Consumo!$P$3:$P$862) + SUMIF(Consumo!$C$3:$C$862,tabItens[[#This Row],[CÓDIGO]],Consumo!$Q$3:$Q$862)</f>
        <v>3425</v>
      </c>
      <c r="AT342" s="401">
        <f>SUMIF(Consumo!$C$3:$C$862,tabItens[[#This Row],[CÓDIGO]],Consumo!$Z$3:$Z$862)</f>
        <v>17041</v>
      </c>
      <c r="AU342" s="402">
        <f>SUMIF(Consumo!$C$3:$C$862,tabItens[[#This Row],[CÓDIGO]],Consumo!$AA$3:$AA$862)</f>
        <v>7812</v>
      </c>
      <c r="AV342" s="403">
        <f>SUMIF(Consumo!$C$3:$C$862,tabItens[[#This Row],[CÓDIGO]],Consumo!$Y$3:$Y$862)</f>
        <v>1217.5833333333333</v>
      </c>
      <c r="AW342" s="380">
        <f>tabItens[[#This Row],[QTDE ATUAL]] + tabItens[[#This Row],[RC QTDE]] + tabItens[[#This Row],[AF SALDO]] + tabItens[[#This Row],[Recentes]]</f>
        <v>12614</v>
      </c>
      <c r="AX342" s="404">
        <v>1500</v>
      </c>
      <c r="AY342" s="404">
        <v>3</v>
      </c>
      <c r="AZ342" s="404">
        <f>IF(ISBLANK(tabItens[[#This Row],[CÓDIGO]]),"",tabItens[[#This Row],[PontoMês]] * (AZ$2+tabItens[[#This Row],[PontoQtM]]))</f>
        <v>4500</v>
      </c>
      <c r="BA342" s="403">
        <f>tabItens[[#This Row],[PontoPed]] - tabItens[[#This Row],[Saldo]] + (1/10)</f>
        <v>-8113.9</v>
      </c>
      <c r="BB342" s="403">
        <f xml:space="preserve"> tabItens[[#This Row],[PontoMês]] * BB$2 - tabItens[[#This Row],[QTDE ATUAL]] - (1/10)</f>
        <v>-11114.1</v>
      </c>
      <c r="BC342" s="335">
        <f>IF( tabItens[[#This Row],[PontoPed]]&gt;0, IF(tabItens[[#This Row],[PontoPed]]&lt;1, 1, IF( tabItens[[#This Row],[Saldo]]&gt;tabItens[[#This Row],[PontoPed]], 0, (tabItens[[#This Row],[PontoPed]]-tabItens[[#This Row],[Saldo]])/tabItens[[#This Row],[PontoPed]] ) ), 0 )</f>
        <v>0</v>
      </c>
      <c r="BD342" s="405">
        <f>ROUNDDOWN(IF( OR( AND(tabItens[[#This Row],[PontoPed]]&lt;tabItens[[#This Row],[Saldo]],tabItens[[#This Row],[Saldo]]&gt;0), tabItens[[#This Row],[PontoPed]]=0), 99, IF(AND(tabItens[[#This Row],[Saldo]]=0,tabItens[[#This Row],[PontoPed]]&gt;0), 0, (1-tabItens[[#This Row],[PctAb]])*10 ) ),0)</f>
        <v>99</v>
      </c>
      <c r="BE342" s="406">
        <f>MAX(ROUNDDOWN( IF(tabItens[[#This Row],[Abaixo]] &gt; 0,   tabItens[[#This Row],[Abaixo]] + (tabItens[[#This Row],[PontoMês]] * IF( OR( ISBLANK(tabItens[[#This Row],[ATA Nº/ANO]]), tabItens[[#This Row],[ATA Nº/ANO]] = ""),BE$2,BE$1)),0),0),0)</f>
        <v>0</v>
      </c>
      <c r="BF34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2" s="338">
        <f>SUMIF(Consumo!$C$3:$C$862,tabItens[[#This Row],[CÓDIGO]],Consumo!$E$3:$E$862)</f>
        <v>20</v>
      </c>
      <c r="BH342" s="339">
        <f>IF(AND(tabItens[[#This Row],[Pend]] &gt; 0,tabItens[[#This Row],[Consumo]] &lt;&gt; 0), tabItens[[#This Row],[Pend]] / tabItens[[#This Row],[Consumo]], 0 )</f>
        <v>1.1736400445983217E-3</v>
      </c>
      <c r="BI342" s="338"/>
      <c r="BJ342" s="407"/>
      <c r="BK342" s="408" t="s">
        <v>2086</v>
      </c>
    </row>
    <row r="343" spans="1:63" x14ac:dyDescent="0.3">
      <c r="A343" s="375">
        <v>59400</v>
      </c>
      <c r="B343" s="376" t="s">
        <v>1345</v>
      </c>
      <c r="C343" s="377" t="s">
        <v>263</v>
      </c>
      <c r="D343" s="378">
        <v>1.7</v>
      </c>
      <c r="E343" s="305"/>
      <c r="F343" s="379"/>
      <c r="G343" s="379" t="s">
        <v>889</v>
      </c>
      <c r="H343" s="380">
        <v>138</v>
      </c>
      <c r="I343" s="307">
        <v>103003</v>
      </c>
      <c r="J343" s="308">
        <v>1.7</v>
      </c>
      <c r="K343" s="381">
        <v>60</v>
      </c>
      <c r="L343" s="382">
        <f>IF(tabItens[[#This Row],[Média]] &gt; 0, tabItens[[#This Row],[QTDE ATUAL]] / tabItens[[#This Row],[Média]],999.9)</f>
        <v>27.6</v>
      </c>
      <c r="M343" s="383">
        <v>0</v>
      </c>
      <c r="N343" s="384">
        <f>tabItens[[#This Row],[VALOR UNIT.]] * tabItens[[#This Row],[LC]]</f>
        <v>0</v>
      </c>
      <c r="O343" s="385" t="s">
        <v>2152</v>
      </c>
      <c r="P343" s="386"/>
      <c r="Q343" s="387"/>
      <c r="R343" s="312"/>
      <c r="S343" s="388"/>
      <c r="T343" s="389">
        <f>ROUNDDOWN(IFERROR(tabItens[[#This Row],[ATA DT.VALID.]] - $D$1,0) / 30,0)</f>
        <v>-1474</v>
      </c>
      <c r="U343" s="302" t="s">
        <v>966</v>
      </c>
      <c r="V343" s="318">
        <v>1</v>
      </c>
      <c r="W343" s="390" t="s">
        <v>2076</v>
      </c>
      <c r="X343" s="391">
        <v>61</v>
      </c>
      <c r="Y343" s="392">
        <v>8</v>
      </c>
      <c r="Z343" s="393"/>
      <c r="AA343" s="394"/>
      <c r="AB343" s="395"/>
      <c r="AC343" s="395"/>
      <c r="AD343" s="394"/>
      <c r="AE343" s="395"/>
      <c r="AF343" s="317"/>
      <c r="AG343" s="396" t="s">
        <v>2072</v>
      </c>
      <c r="AH343" s="397"/>
      <c r="AI343" s="317">
        <v>20</v>
      </c>
      <c r="AJ343" s="397">
        <v>44833</v>
      </c>
      <c r="AK343" s="326" t="s">
        <v>889</v>
      </c>
      <c r="AL343" s="326">
        <v>44813</v>
      </c>
      <c r="AM343" s="316"/>
      <c r="AN343" s="305"/>
      <c r="AO343" s="327" t="str">
        <f>_xlfn.IFNA(IF(VLOOKUP(tabItens[[#This Row],[CÓDIGO]],tabExcluirDoEstoque[#Data],1,FALSE),"sim",""),"")</f>
        <v/>
      </c>
      <c r="AP343" s="398" t="str">
        <f ca="1">IF(OR(ISBLANK(tabItens[[#This Row],[ATA DT.VALID.]]),tabItens[[#This Row],[ATA DT.VALID.]]="",tabItens[[#This Row],[ATA DT.VALID.]]=" "),"",IF(TYPE(tabItens[[#This Row],[ATA DT.VALID.]])=1,ROUNDUP((tabItens[[#This Row],[ATA DT.VALID.]]-TODAY())/7,0),""))</f>
        <v/>
      </c>
      <c r="AQ343" s="399">
        <v>0</v>
      </c>
      <c r="AR343" s="400" t="str">
        <f>IF(ISBLANK(tabItens[[#This Row],[CÓDIGO]]),"",IFERROR(VLOOKUP(tabItens[[#This Row],[CÓDIGO]],Consumo!$C$2:$AC$862,26,FALSE),0))</f>
        <v>04.2023</v>
      </c>
      <c r="AS343" s="401">
        <f>SUMIF(Consumo!$C$3:$C$862,tabItens[[#This Row],[CÓDIGO]],Consumo!$N$3:$N$862) + SUMIF(Consumo!$C$3:$C$862,tabItens[[#This Row],[CÓDIGO]],Consumo!$O$3:$O$862) + SUMIF(Consumo!$C$3:$C$862,tabItens[[#This Row],[CÓDIGO]],Consumo!$P$3:$P$862) + SUMIF(Consumo!$C$3:$C$862,tabItens[[#This Row],[CÓDIGO]],Consumo!$Q$3:$Q$862)</f>
        <v>0</v>
      </c>
      <c r="AT343" s="401">
        <f>SUMIF(Consumo!$C$3:$C$862,tabItens[[#This Row],[CÓDIGO]],Consumo!$Z$3:$Z$862)</f>
        <v>60</v>
      </c>
      <c r="AU343" s="402">
        <f>SUMIF(Consumo!$C$3:$C$862,tabItens[[#This Row],[CÓDIGO]],Consumo!$AA$3:$AA$862)</f>
        <v>16</v>
      </c>
      <c r="AV343" s="403">
        <f>SUMIF(Consumo!$C$3:$C$862,tabItens[[#This Row],[CÓDIGO]],Consumo!$Y$3:$Y$862)</f>
        <v>5</v>
      </c>
      <c r="AW343" s="380">
        <f>tabItens[[#This Row],[QTDE ATUAL]] + tabItens[[#This Row],[RC QTDE]] + tabItens[[#This Row],[AF SALDO]] + tabItens[[#This Row],[Recentes]]</f>
        <v>138</v>
      </c>
      <c r="AX343" s="404">
        <v>0</v>
      </c>
      <c r="AY343" s="404">
        <v>0</v>
      </c>
      <c r="AZ343" s="404">
        <f>IF(ISBLANK(tabItens[[#This Row],[CÓDIGO]]),"",tabItens[[#This Row],[PontoMês]] * (AZ$2+tabItens[[#This Row],[PontoQtM]]))</f>
        <v>0</v>
      </c>
      <c r="BA343" s="403">
        <f>tabItens[[#This Row],[PontoPed]] - tabItens[[#This Row],[Saldo]] + (1/10)</f>
        <v>-137.9</v>
      </c>
      <c r="BB343" s="403">
        <f xml:space="preserve"> tabItens[[#This Row],[PontoMês]] * BB$2 - tabItens[[#This Row],[QTDE ATUAL]] - (1/10)</f>
        <v>-138.1</v>
      </c>
      <c r="BC343" s="335">
        <f>IF( tabItens[[#This Row],[PontoPed]]&gt;0, IF(tabItens[[#This Row],[PontoPed]]&lt;1, 1, IF( tabItens[[#This Row],[Saldo]]&gt;tabItens[[#This Row],[PontoPed]], 0, (tabItens[[#This Row],[PontoPed]]-tabItens[[#This Row],[Saldo]])/tabItens[[#This Row],[PontoPed]] ) ), 0 )</f>
        <v>0</v>
      </c>
      <c r="BD343" s="405">
        <f>ROUNDDOWN(IF( OR( AND(tabItens[[#This Row],[PontoPed]]&lt;tabItens[[#This Row],[Saldo]],tabItens[[#This Row],[Saldo]]&gt;0), tabItens[[#This Row],[PontoPed]]=0), 99, IF(AND(tabItens[[#This Row],[Saldo]]=0,tabItens[[#This Row],[PontoPed]]&gt;0), 0, (1-tabItens[[#This Row],[PctAb]])*10 ) ),0)</f>
        <v>99</v>
      </c>
      <c r="BE343" s="406">
        <f>MAX(ROUNDDOWN( IF(tabItens[[#This Row],[Abaixo]] &gt; 0,   tabItens[[#This Row],[Abaixo]] + (tabItens[[#This Row],[PontoMês]] * IF( OR( ISBLANK(tabItens[[#This Row],[ATA Nº/ANO]]), tabItens[[#This Row],[ATA Nº/ANO]] = ""),BE$2,BE$1)),0),0),0)</f>
        <v>0</v>
      </c>
      <c r="BF34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3" s="338">
        <f>SUMIF(Consumo!$C$3:$C$862,tabItens[[#This Row],[CÓDIGO]],Consumo!$E$3:$E$862)</f>
        <v>0</v>
      </c>
      <c r="BH343" s="339">
        <f>IF(AND(tabItens[[#This Row],[Pend]] &gt; 0,tabItens[[#This Row],[Consumo]] &lt;&gt; 0), tabItens[[#This Row],[Pend]] / tabItens[[#This Row],[Consumo]], 0 )</f>
        <v>0</v>
      </c>
      <c r="BI343" s="338"/>
      <c r="BJ343" s="407"/>
      <c r="BK343" s="408" t="s">
        <v>2086</v>
      </c>
    </row>
    <row r="344" spans="1:63" x14ac:dyDescent="0.3">
      <c r="A344" s="375">
        <v>63277</v>
      </c>
      <c r="B344" s="376" t="s">
        <v>1361</v>
      </c>
      <c r="C344" s="377" t="s">
        <v>263</v>
      </c>
      <c r="D344" s="378">
        <v>2.38</v>
      </c>
      <c r="E344" s="305"/>
      <c r="F344" s="379"/>
      <c r="G344" s="379" t="s">
        <v>889</v>
      </c>
      <c r="H344" s="380">
        <v>308</v>
      </c>
      <c r="I344" s="307">
        <v>103003</v>
      </c>
      <c r="J344" s="308">
        <v>2.38</v>
      </c>
      <c r="K344" s="381">
        <v>94</v>
      </c>
      <c r="L344" s="382">
        <f>IF(tabItens[[#This Row],[Média]] &gt; 0, tabItens[[#This Row],[QTDE ATUAL]] / tabItens[[#This Row],[Média]],999.9)</f>
        <v>38.5</v>
      </c>
      <c r="M344" s="383">
        <v>0</v>
      </c>
      <c r="N344" s="384">
        <f>tabItens[[#This Row],[VALOR UNIT.]] * tabItens[[#This Row],[LC]]</f>
        <v>0</v>
      </c>
      <c r="O344" s="385" t="s">
        <v>2152</v>
      </c>
      <c r="P344" s="386"/>
      <c r="Q344" s="387"/>
      <c r="R344" s="312"/>
      <c r="S344" s="388"/>
      <c r="T344" s="389">
        <f>ROUNDDOWN(IFERROR(tabItens[[#This Row],[ATA DT.VALID.]] - $D$1,0) / 30,0)</f>
        <v>-1474</v>
      </c>
      <c r="U344" s="302" t="s">
        <v>966</v>
      </c>
      <c r="V344" s="318">
        <v>1</v>
      </c>
      <c r="W344" s="390" t="s">
        <v>2076</v>
      </c>
      <c r="X344" s="391">
        <v>61</v>
      </c>
      <c r="Y344" s="392">
        <v>8</v>
      </c>
      <c r="Z344" s="393"/>
      <c r="AA344" s="394"/>
      <c r="AB344" s="395"/>
      <c r="AC344" s="395"/>
      <c r="AD344" s="394"/>
      <c r="AE344" s="395"/>
      <c r="AF344" s="317"/>
      <c r="AG344" s="396" t="s">
        <v>2072</v>
      </c>
      <c r="AH344" s="397"/>
      <c r="AI344" s="317">
        <v>32</v>
      </c>
      <c r="AJ344" s="397">
        <v>45180</v>
      </c>
      <c r="AK344" s="326" t="s">
        <v>889</v>
      </c>
      <c r="AL344" s="326">
        <v>45145</v>
      </c>
      <c r="AM344" s="316"/>
      <c r="AN344" s="305"/>
      <c r="AO344" s="327" t="str">
        <f>_xlfn.IFNA(IF(VLOOKUP(tabItens[[#This Row],[CÓDIGO]],tabExcluirDoEstoque[#Data],1,FALSE),"sim",""),"")</f>
        <v/>
      </c>
      <c r="AP344" s="398" t="str">
        <f ca="1">IF(OR(ISBLANK(tabItens[[#This Row],[ATA DT.VALID.]]),tabItens[[#This Row],[ATA DT.VALID.]]="",tabItens[[#This Row],[ATA DT.VALID.]]=" "),"",IF(TYPE(tabItens[[#This Row],[ATA DT.VALID.]])=1,ROUNDUP((tabItens[[#This Row],[ATA DT.VALID.]]-TODAY())/7,0),""))</f>
        <v/>
      </c>
      <c r="AQ344" s="399">
        <v>0</v>
      </c>
      <c r="AR344" s="400" t="str">
        <f>IF(ISBLANK(tabItens[[#This Row],[CÓDIGO]]),"",IFERROR(VLOOKUP(tabItens[[#This Row],[CÓDIGO]],Consumo!$C$2:$AC$862,26,FALSE),0))</f>
        <v>07.2023</v>
      </c>
      <c r="AS344" s="401">
        <f>SUMIF(Consumo!$C$3:$C$862,tabItens[[#This Row],[CÓDIGO]],Consumo!$N$3:$N$862) + SUMIF(Consumo!$C$3:$C$862,tabItens[[#This Row],[CÓDIGO]],Consumo!$O$3:$O$862) + SUMIF(Consumo!$C$3:$C$862,tabItens[[#This Row],[CÓDIGO]],Consumo!$P$3:$P$862) + SUMIF(Consumo!$C$3:$C$862,tabItens[[#This Row],[CÓDIGO]],Consumo!$Q$3:$Q$862)</f>
        <v>20</v>
      </c>
      <c r="AT344" s="401">
        <f>SUMIF(Consumo!$C$3:$C$862,tabItens[[#This Row],[CÓDIGO]],Consumo!$Z$3:$Z$862)</f>
        <v>96</v>
      </c>
      <c r="AU344" s="402">
        <f>SUMIF(Consumo!$C$3:$C$862,tabItens[[#This Row],[CÓDIGO]],Consumo!$AA$3:$AA$862)</f>
        <v>21</v>
      </c>
      <c r="AV344" s="403">
        <f>SUMIF(Consumo!$C$3:$C$862,tabItens[[#This Row],[CÓDIGO]],Consumo!$Y$3:$Y$862)</f>
        <v>8</v>
      </c>
      <c r="AW344" s="380">
        <f>tabItens[[#This Row],[QTDE ATUAL]] + tabItens[[#This Row],[RC QTDE]] + tabItens[[#This Row],[AF SALDO]] + tabItens[[#This Row],[Recentes]]</f>
        <v>308</v>
      </c>
      <c r="AX344" s="404">
        <v>0</v>
      </c>
      <c r="AY344" s="404">
        <v>0</v>
      </c>
      <c r="AZ344" s="404">
        <f>IF(ISBLANK(tabItens[[#This Row],[CÓDIGO]]),"",tabItens[[#This Row],[PontoMês]] * (AZ$2+tabItens[[#This Row],[PontoQtM]]))</f>
        <v>0</v>
      </c>
      <c r="BA344" s="403">
        <f>tabItens[[#This Row],[PontoPed]] - tabItens[[#This Row],[Saldo]] + (1/10)</f>
        <v>-307.89999999999998</v>
      </c>
      <c r="BB344" s="403">
        <f xml:space="preserve"> tabItens[[#This Row],[PontoMês]] * BB$2 - tabItens[[#This Row],[QTDE ATUAL]] - (1/10)</f>
        <v>-308.10000000000002</v>
      </c>
      <c r="BC344" s="335">
        <f>IF( tabItens[[#This Row],[PontoPed]]&gt;0, IF(tabItens[[#This Row],[PontoPed]]&lt;1, 1, IF( tabItens[[#This Row],[Saldo]]&gt;tabItens[[#This Row],[PontoPed]], 0, (tabItens[[#This Row],[PontoPed]]-tabItens[[#This Row],[Saldo]])/tabItens[[#This Row],[PontoPed]] ) ), 0 )</f>
        <v>0</v>
      </c>
      <c r="BD344" s="405">
        <f>ROUNDDOWN(IF( OR( AND(tabItens[[#This Row],[PontoPed]]&lt;tabItens[[#This Row],[Saldo]],tabItens[[#This Row],[Saldo]]&gt;0), tabItens[[#This Row],[PontoPed]]=0), 99, IF(AND(tabItens[[#This Row],[Saldo]]=0,tabItens[[#This Row],[PontoPed]]&gt;0), 0, (1-tabItens[[#This Row],[PctAb]])*10 ) ),0)</f>
        <v>99</v>
      </c>
      <c r="BE344" s="406">
        <f>MAX(ROUNDDOWN( IF(tabItens[[#This Row],[Abaixo]] &gt; 0,   tabItens[[#This Row],[Abaixo]] + (tabItens[[#This Row],[PontoMês]] * IF( OR( ISBLANK(tabItens[[#This Row],[ATA Nº/ANO]]), tabItens[[#This Row],[ATA Nº/ANO]] = ""),BE$2,BE$1)),0),0),0)</f>
        <v>0</v>
      </c>
      <c r="BF34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4" s="338">
        <f>SUMIF(Consumo!$C$3:$C$862,tabItens[[#This Row],[CÓDIGO]],Consumo!$E$3:$E$862)</f>
        <v>0</v>
      </c>
      <c r="BH344" s="339">
        <f>IF(AND(tabItens[[#This Row],[Pend]] &gt; 0,tabItens[[#This Row],[Consumo]] &lt;&gt; 0), tabItens[[#This Row],[Pend]] / tabItens[[#This Row],[Consumo]], 0 )</f>
        <v>0</v>
      </c>
      <c r="BI344" s="338"/>
      <c r="BJ344" s="407"/>
      <c r="BK344" s="408" t="s">
        <v>2086</v>
      </c>
    </row>
    <row r="345" spans="1:63" x14ac:dyDescent="0.3">
      <c r="A345" s="375">
        <v>115805</v>
      </c>
      <c r="B345" s="376" t="s">
        <v>1719</v>
      </c>
      <c r="C345" s="377" t="s">
        <v>263</v>
      </c>
      <c r="D345" s="378">
        <v>37.799999999999997</v>
      </c>
      <c r="E345" s="305"/>
      <c r="F345" s="379"/>
      <c r="G345" s="379" t="s">
        <v>889</v>
      </c>
      <c r="H345" s="380">
        <v>155</v>
      </c>
      <c r="I345" s="307">
        <v>103003</v>
      </c>
      <c r="J345" s="308">
        <v>37.799999999999997</v>
      </c>
      <c r="K345" s="381">
        <v>219</v>
      </c>
      <c r="L345" s="382">
        <f>IF(tabItens[[#This Row],[Média]] &gt; 0, tabItens[[#This Row],[QTDE ATUAL]] / tabItens[[#This Row],[Média]],999.9)</f>
        <v>7.265625</v>
      </c>
      <c r="M345" s="383">
        <v>0</v>
      </c>
      <c r="N345" s="384">
        <f>tabItens[[#This Row],[VALOR UNIT.]] * tabItens[[#This Row],[LC]]</f>
        <v>0</v>
      </c>
      <c r="O345" s="385" t="s">
        <v>2152</v>
      </c>
      <c r="P345" s="386"/>
      <c r="Q345" s="387"/>
      <c r="R345" s="312"/>
      <c r="S345" s="388"/>
      <c r="T345" s="389">
        <f>ROUNDDOWN(IFERROR(tabItens[[#This Row],[ATA DT.VALID.]] - $D$1,0) / 30,0)</f>
        <v>-1474</v>
      </c>
      <c r="U345" s="302" t="s">
        <v>1011</v>
      </c>
      <c r="V345" s="318">
        <v>1</v>
      </c>
      <c r="W345" s="390" t="s">
        <v>2076</v>
      </c>
      <c r="X345" s="391">
        <v>61</v>
      </c>
      <c r="Y345" s="392">
        <v>15</v>
      </c>
      <c r="Z345" s="393"/>
      <c r="AA345" s="394"/>
      <c r="AB345" s="395"/>
      <c r="AC345" s="395"/>
      <c r="AD345" s="394"/>
      <c r="AE345" s="395"/>
      <c r="AF345" s="317"/>
      <c r="AG345" s="396" t="s">
        <v>2072</v>
      </c>
      <c r="AH345" s="397"/>
      <c r="AI345" s="317">
        <v>86</v>
      </c>
      <c r="AJ345" s="397">
        <v>45156</v>
      </c>
      <c r="AK345" s="326">
        <v>40352</v>
      </c>
      <c r="AL345" s="326">
        <v>45145</v>
      </c>
      <c r="AM345" s="316"/>
      <c r="AN345" s="305"/>
      <c r="AO345" s="327" t="str">
        <f>_xlfn.IFNA(IF(VLOOKUP(tabItens[[#This Row],[CÓDIGO]],tabExcluirDoEstoque[#Data],1,FALSE),"sim",""),"")</f>
        <v/>
      </c>
      <c r="AP345" s="398" t="str">
        <f ca="1">IF(OR(ISBLANK(tabItens[[#This Row],[ATA DT.VALID.]]),tabItens[[#This Row],[ATA DT.VALID.]]="",tabItens[[#This Row],[ATA DT.VALID.]]=" "),"",IF(TYPE(tabItens[[#This Row],[ATA DT.VALID.]])=1,ROUNDUP((tabItens[[#This Row],[ATA DT.VALID.]]-TODAY())/7,0),""))</f>
        <v/>
      </c>
      <c r="AQ345" s="399">
        <v>0</v>
      </c>
      <c r="AR345" s="400" t="str">
        <f>IF(ISBLANK(tabItens[[#This Row],[CÓDIGO]]),"",IFERROR(VLOOKUP(tabItens[[#This Row],[CÓDIGO]],Consumo!$C$2:$AC$862,26,FALSE),0))</f>
        <v>09.2023</v>
      </c>
      <c r="AS345" s="401">
        <f>SUMIF(Consumo!$C$3:$C$862,tabItens[[#This Row],[CÓDIGO]],Consumo!$N$3:$N$862) + SUMIF(Consumo!$C$3:$C$862,tabItens[[#This Row],[CÓDIGO]],Consumo!$O$3:$O$862) + SUMIF(Consumo!$C$3:$C$862,tabItens[[#This Row],[CÓDIGO]],Consumo!$P$3:$P$862) + SUMIF(Consumo!$C$3:$C$862,tabItens[[#This Row],[CÓDIGO]],Consumo!$Q$3:$Q$862)</f>
        <v>86</v>
      </c>
      <c r="AT345" s="401">
        <f>SUMIF(Consumo!$C$3:$C$862,tabItens[[#This Row],[CÓDIGO]],Consumo!$Z$3:$Z$862)</f>
        <v>256</v>
      </c>
      <c r="AU345" s="402">
        <f>SUMIF(Consumo!$C$3:$C$862,tabItens[[#This Row],[CÓDIGO]],Consumo!$AA$3:$AA$862)</f>
        <v>60</v>
      </c>
      <c r="AV345" s="403">
        <f>SUMIF(Consumo!$C$3:$C$862,tabItens[[#This Row],[CÓDIGO]],Consumo!$Y$3:$Y$862)</f>
        <v>21.333333333333332</v>
      </c>
      <c r="AW345" s="380">
        <f>tabItens[[#This Row],[QTDE ATUAL]] + tabItens[[#This Row],[RC QTDE]] + tabItens[[#This Row],[AF SALDO]] + tabItens[[#This Row],[Recentes]]</f>
        <v>155</v>
      </c>
      <c r="AX345" s="404">
        <v>0</v>
      </c>
      <c r="AY345" s="404">
        <v>0</v>
      </c>
      <c r="AZ345" s="404">
        <f>IF(ISBLANK(tabItens[[#This Row],[CÓDIGO]]),"",tabItens[[#This Row],[PontoMês]] * (AZ$2+tabItens[[#This Row],[PontoQtM]]))</f>
        <v>0</v>
      </c>
      <c r="BA345" s="403">
        <f>tabItens[[#This Row],[PontoPed]] - tabItens[[#This Row],[Saldo]] + (1/10)</f>
        <v>-154.9</v>
      </c>
      <c r="BB345" s="403">
        <f xml:space="preserve"> tabItens[[#This Row],[PontoMês]] * BB$2 - tabItens[[#This Row],[QTDE ATUAL]] - (1/10)</f>
        <v>-155.1</v>
      </c>
      <c r="BC345" s="335">
        <f>IF( tabItens[[#This Row],[PontoPed]]&gt;0, IF(tabItens[[#This Row],[PontoPed]]&lt;1, 1, IF( tabItens[[#This Row],[Saldo]]&gt;tabItens[[#This Row],[PontoPed]], 0, (tabItens[[#This Row],[PontoPed]]-tabItens[[#This Row],[Saldo]])/tabItens[[#This Row],[PontoPed]] ) ), 0 )</f>
        <v>0</v>
      </c>
      <c r="BD345" s="405">
        <f>ROUNDDOWN(IF( OR( AND(tabItens[[#This Row],[PontoPed]]&lt;tabItens[[#This Row],[Saldo]],tabItens[[#This Row],[Saldo]]&gt;0), tabItens[[#This Row],[PontoPed]]=0), 99, IF(AND(tabItens[[#This Row],[Saldo]]=0,tabItens[[#This Row],[PontoPed]]&gt;0), 0, (1-tabItens[[#This Row],[PctAb]])*10 ) ),0)</f>
        <v>99</v>
      </c>
      <c r="BE345" s="406">
        <f>MAX(ROUNDDOWN( IF(tabItens[[#This Row],[Abaixo]] &gt; 0,   tabItens[[#This Row],[Abaixo]] + (tabItens[[#This Row],[PontoMês]] * IF( OR( ISBLANK(tabItens[[#This Row],[ATA Nº/ANO]]), tabItens[[#This Row],[ATA Nº/ANO]] = ""),BE$2,BE$1)),0),0),0)</f>
        <v>0</v>
      </c>
      <c r="BF34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5" s="338">
        <f>SUMIF(Consumo!$C$3:$C$862,tabItens[[#This Row],[CÓDIGO]],Consumo!$E$3:$E$862)</f>
        <v>0</v>
      </c>
      <c r="BH345" s="339">
        <f>IF(AND(tabItens[[#This Row],[Pend]] &gt; 0,tabItens[[#This Row],[Consumo]] &lt;&gt; 0), tabItens[[#This Row],[Pend]] / tabItens[[#This Row],[Consumo]], 0 )</f>
        <v>0</v>
      </c>
      <c r="BI345" s="338"/>
      <c r="BJ345" s="407"/>
      <c r="BK345" s="408" t="s">
        <v>2086</v>
      </c>
    </row>
    <row r="346" spans="1:63" x14ac:dyDescent="0.3">
      <c r="A346" s="375">
        <v>13561</v>
      </c>
      <c r="B346" s="376" t="s">
        <v>1044</v>
      </c>
      <c r="C346" s="377" t="s">
        <v>345</v>
      </c>
      <c r="D346" s="378">
        <v>52.8</v>
      </c>
      <c r="E346" s="305"/>
      <c r="F346" s="379"/>
      <c r="G346" s="379" t="s">
        <v>889</v>
      </c>
      <c r="H346" s="380">
        <v>54</v>
      </c>
      <c r="I346" s="307">
        <v>103003</v>
      </c>
      <c r="J346" s="308">
        <v>52.8</v>
      </c>
      <c r="K346" s="381">
        <v>83</v>
      </c>
      <c r="L346" s="382">
        <f>IF(tabItens[[#This Row],[Média]] &gt; 0, tabItens[[#This Row],[QTDE ATUAL]] / tabItens[[#This Row],[Média]],999.9)</f>
        <v>6.4158415841584162</v>
      </c>
      <c r="M346" s="383">
        <v>0</v>
      </c>
      <c r="N346" s="384">
        <f>tabItens[[#This Row],[VALOR UNIT.]] * tabItens[[#This Row],[LC]]</f>
        <v>0</v>
      </c>
      <c r="O346" s="385" t="s">
        <v>2114</v>
      </c>
      <c r="P346" s="386"/>
      <c r="Q346" s="387"/>
      <c r="R346" s="312"/>
      <c r="S346" s="388"/>
      <c r="T346" s="389">
        <f>ROUNDDOWN(IFERROR(tabItens[[#This Row],[ATA DT.VALID.]] - $D$1,0) / 30,0)</f>
        <v>-1474</v>
      </c>
      <c r="U346" s="302" t="s">
        <v>1041</v>
      </c>
      <c r="V346" s="318">
        <v>1</v>
      </c>
      <c r="W346" s="390" t="s">
        <v>2076</v>
      </c>
      <c r="X346" s="391">
        <v>61</v>
      </c>
      <c r="Y346" s="392">
        <v>2</v>
      </c>
      <c r="Z346" s="393"/>
      <c r="AA346" s="394"/>
      <c r="AB346" s="395"/>
      <c r="AC346" s="395">
        <v>9648</v>
      </c>
      <c r="AD346" s="394">
        <v>2023</v>
      </c>
      <c r="AE346" s="395">
        <v>0</v>
      </c>
      <c r="AF346" s="317">
        <v>250</v>
      </c>
      <c r="AG346" s="396" t="s">
        <v>2055</v>
      </c>
      <c r="AH346" s="397">
        <v>45162</v>
      </c>
      <c r="AI346" s="317">
        <v>46</v>
      </c>
      <c r="AJ346" s="397">
        <v>44915</v>
      </c>
      <c r="AK346" s="326" t="s">
        <v>889</v>
      </c>
      <c r="AL346" s="326">
        <v>45145</v>
      </c>
      <c r="AM346" s="316"/>
      <c r="AN346" s="305"/>
      <c r="AO346" s="327" t="str">
        <f>_xlfn.IFNA(IF(VLOOKUP(tabItens[[#This Row],[CÓDIGO]],tabExcluirDoEstoque[#Data],1,FALSE),"sim",""),"")</f>
        <v/>
      </c>
      <c r="AP346" s="398" t="str">
        <f ca="1">IF(OR(ISBLANK(tabItens[[#This Row],[ATA DT.VALID.]]),tabItens[[#This Row],[ATA DT.VALID.]]="",tabItens[[#This Row],[ATA DT.VALID.]]=" "),"",IF(TYPE(tabItens[[#This Row],[ATA DT.VALID.]])=1,ROUNDUP((tabItens[[#This Row],[ATA DT.VALID.]]-TODAY())/7,0),""))</f>
        <v/>
      </c>
      <c r="AQ346" s="399">
        <v>0</v>
      </c>
      <c r="AR346" s="400" t="str">
        <f>IF(ISBLANK(tabItens[[#This Row],[CÓDIGO]]),"",IFERROR(VLOOKUP(tabItens[[#This Row],[CÓDIGO]],Consumo!$C$2:$AC$862,26,FALSE),0))</f>
        <v>09.2023</v>
      </c>
      <c r="AS346" s="401">
        <f>SUMIF(Consumo!$C$3:$C$862,tabItens[[#This Row],[CÓDIGO]],Consumo!$N$3:$N$862) + SUMIF(Consumo!$C$3:$C$862,tabItens[[#This Row],[CÓDIGO]],Consumo!$O$3:$O$862) + SUMIF(Consumo!$C$3:$C$862,tabItens[[#This Row],[CÓDIGO]],Consumo!$P$3:$P$862) + SUMIF(Consumo!$C$3:$C$862,tabItens[[#This Row],[CÓDIGO]],Consumo!$Q$3:$Q$862)</f>
        <v>14</v>
      </c>
      <c r="AT346" s="401">
        <f>SUMIF(Consumo!$C$3:$C$862,tabItens[[#This Row],[CÓDIGO]],Consumo!$Z$3:$Z$862)</f>
        <v>101</v>
      </c>
      <c r="AU346" s="402">
        <f>SUMIF(Consumo!$C$3:$C$862,tabItens[[#This Row],[CÓDIGO]],Consumo!$AA$3:$AA$862)</f>
        <v>17</v>
      </c>
      <c r="AV346" s="403">
        <f>SUMIF(Consumo!$C$3:$C$862,tabItens[[#This Row],[CÓDIGO]],Consumo!$Y$3:$Y$862)</f>
        <v>8.4166666666666661</v>
      </c>
      <c r="AW346" s="380">
        <f>tabItens[[#This Row],[QTDE ATUAL]] + tabItens[[#This Row],[RC QTDE]] + tabItens[[#This Row],[AF SALDO]] + tabItens[[#This Row],[Recentes]]</f>
        <v>54</v>
      </c>
      <c r="AX346" s="404">
        <v>9</v>
      </c>
      <c r="AY346" s="404">
        <v>4</v>
      </c>
      <c r="AZ346" s="404">
        <f>IF(ISBLANK(tabItens[[#This Row],[CÓDIGO]]),"",tabItens[[#This Row],[PontoMês]] * (AZ$2+tabItens[[#This Row],[PontoQtM]]))</f>
        <v>36</v>
      </c>
      <c r="BA346" s="403">
        <f>tabItens[[#This Row],[PontoPed]] - tabItens[[#This Row],[Saldo]] + (1/10)</f>
        <v>-17.899999999999999</v>
      </c>
      <c r="BB346" s="403">
        <f xml:space="preserve"> tabItens[[#This Row],[PontoMês]] * BB$2 - tabItens[[#This Row],[QTDE ATUAL]] - (1/10)</f>
        <v>-45.1</v>
      </c>
      <c r="BC346" s="335">
        <f>IF( tabItens[[#This Row],[PontoPed]]&gt;0, IF(tabItens[[#This Row],[PontoPed]]&lt;1, 1, IF( tabItens[[#This Row],[Saldo]]&gt;tabItens[[#This Row],[PontoPed]], 0, (tabItens[[#This Row],[PontoPed]]-tabItens[[#This Row],[Saldo]])/tabItens[[#This Row],[PontoPed]] ) ), 0 )</f>
        <v>0</v>
      </c>
      <c r="BD346" s="405">
        <f>ROUNDDOWN(IF( OR( AND(tabItens[[#This Row],[PontoPed]]&lt;tabItens[[#This Row],[Saldo]],tabItens[[#This Row],[Saldo]]&gt;0), tabItens[[#This Row],[PontoPed]]=0), 99, IF(AND(tabItens[[#This Row],[Saldo]]=0,tabItens[[#This Row],[PontoPed]]&gt;0), 0, (1-tabItens[[#This Row],[PctAb]])*10 ) ),0)</f>
        <v>99</v>
      </c>
      <c r="BE346" s="406">
        <f>MAX(ROUNDDOWN( IF(tabItens[[#This Row],[Abaixo]] &gt; 0,   tabItens[[#This Row],[Abaixo]] + (tabItens[[#This Row],[PontoMês]] * IF( OR( ISBLANK(tabItens[[#This Row],[ATA Nº/ANO]]), tabItens[[#This Row],[ATA Nº/ANO]] = ""),BE$2,BE$1)),0),0),0)</f>
        <v>0</v>
      </c>
      <c r="BF34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6" s="338">
        <f>SUMIF(Consumo!$C$3:$C$862,tabItens[[#This Row],[CÓDIGO]],Consumo!$E$3:$E$862)</f>
        <v>4</v>
      </c>
      <c r="BH346" s="339">
        <f>IF(AND(tabItens[[#This Row],[Pend]] &gt; 0,tabItens[[#This Row],[Consumo]] &lt;&gt; 0), tabItens[[#This Row],[Pend]] / tabItens[[#This Row],[Consumo]], 0 )</f>
        <v>3.9603960396039604E-2</v>
      </c>
      <c r="BI346" s="338"/>
      <c r="BJ346" s="407"/>
      <c r="BK346" s="408" t="s">
        <v>2086</v>
      </c>
    </row>
    <row r="347" spans="1:63" x14ac:dyDescent="0.3">
      <c r="A347" s="375">
        <v>116466</v>
      </c>
      <c r="B347" s="376" t="s">
        <v>1723</v>
      </c>
      <c r="C347" s="377" t="s">
        <v>31</v>
      </c>
      <c r="D347" s="378">
        <v>1.44</v>
      </c>
      <c r="E347" s="305"/>
      <c r="F347" s="379"/>
      <c r="G347" s="379" t="s">
        <v>889</v>
      </c>
      <c r="H347" s="380">
        <v>2339</v>
      </c>
      <c r="I347" s="307">
        <v>103003</v>
      </c>
      <c r="J347" s="308">
        <v>1.44</v>
      </c>
      <c r="K347" s="381">
        <v>7256</v>
      </c>
      <c r="L347" s="382">
        <f>IF(tabItens[[#This Row],[Média]] &gt; 0, tabItens[[#This Row],[QTDE ATUAL]] / tabItens[[#This Row],[Média]],999.9)</f>
        <v>3.8208548870133408</v>
      </c>
      <c r="M347" s="383">
        <v>0</v>
      </c>
      <c r="N347" s="384">
        <f>tabItens[[#This Row],[VALOR UNIT.]] * tabItens[[#This Row],[LC]]</f>
        <v>0</v>
      </c>
      <c r="O347" s="385" t="s">
        <v>2186</v>
      </c>
      <c r="P347" s="386"/>
      <c r="Q347" s="387"/>
      <c r="R347" s="312"/>
      <c r="S347" s="388"/>
      <c r="T347" s="389">
        <f>ROUNDDOWN(IFERROR(tabItens[[#This Row],[ATA DT.VALID.]] - $D$1,0) / 30,0)</f>
        <v>-1474</v>
      </c>
      <c r="U347" s="302" t="s">
        <v>1259</v>
      </c>
      <c r="V347" s="318">
        <v>1</v>
      </c>
      <c r="W347" s="390" t="s">
        <v>2078</v>
      </c>
      <c r="X347" s="391">
        <v>69</v>
      </c>
      <c r="Y347" s="392">
        <v>3</v>
      </c>
      <c r="Z347" s="393"/>
      <c r="AA347" s="394"/>
      <c r="AB347" s="395"/>
      <c r="AC347" s="395"/>
      <c r="AD347" s="394"/>
      <c r="AE347" s="395"/>
      <c r="AF347" s="317"/>
      <c r="AG347" s="396" t="s">
        <v>2072</v>
      </c>
      <c r="AH347" s="397"/>
      <c r="AI347" s="317">
        <v>2668</v>
      </c>
      <c r="AJ347" s="397">
        <v>45215</v>
      </c>
      <c r="AK347" s="326">
        <v>40382</v>
      </c>
      <c r="AL347" s="326">
        <v>45189</v>
      </c>
      <c r="AM347" s="316"/>
      <c r="AN347" s="305"/>
      <c r="AO347" s="327" t="str">
        <f>_xlfn.IFNA(IF(VLOOKUP(tabItens[[#This Row],[CÓDIGO]],tabExcluirDoEstoque[#Data],1,FALSE),"sim",""),"")</f>
        <v/>
      </c>
      <c r="AP347" s="398" t="str">
        <f ca="1">IF(OR(ISBLANK(tabItens[[#This Row],[ATA DT.VALID.]]),tabItens[[#This Row],[ATA DT.VALID.]]="",tabItens[[#This Row],[ATA DT.VALID.]]=" "),"",IF(TYPE(tabItens[[#This Row],[ATA DT.VALID.]])=1,ROUNDUP((tabItens[[#This Row],[ATA DT.VALID.]]-TODAY())/7,0),""))</f>
        <v/>
      </c>
      <c r="AQ347" s="399">
        <v>0</v>
      </c>
      <c r="AR347" s="400" t="str">
        <f>IF(ISBLANK(tabItens[[#This Row],[CÓDIGO]]),"",IFERROR(VLOOKUP(tabItens[[#This Row],[CÓDIGO]],Consumo!$C$2:$AC$862,26,FALSE),0))</f>
        <v>08.2023</v>
      </c>
      <c r="AS347" s="401">
        <f>SUMIF(Consumo!$C$3:$C$862,tabItens[[#This Row],[CÓDIGO]],Consumo!$N$3:$N$862) + SUMIF(Consumo!$C$3:$C$862,tabItens[[#This Row],[CÓDIGO]],Consumo!$O$3:$O$862) + SUMIF(Consumo!$C$3:$C$862,tabItens[[#This Row],[CÓDIGO]],Consumo!$P$3:$P$862) + SUMIF(Consumo!$C$3:$C$862,tabItens[[#This Row],[CÓDIGO]],Consumo!$Q$3:$Q$862)</f>
        <v>5056</v>
      </c>
      <c r="AT347" s="401">
        <f>SUMIF(Consumo!$C$3:$C$862,tabItens[[#This Row],[CÓDIGO]],Consumo!$Z$3:$Z$862)</f>
        <v>8006</v>
      </c>
      <c r="AU347" s="402">
        <f>SUMIF(Consumo!$C$3:$C$862,tabItens[[#This Row],[CÓDIGO]],Consumo!$AA$3:$AA$862)</f>
        <v>3000</v>
      </c>
      <c r="AV347" s="403">
        <f>SUMIF(Consumo!$C$3:$C$862,tabItens[[#This Row],[CÓDIGO]],Consumo!$Y$3:$Y$862)</f>
        <v>612.16666666666663</v>
      </c>
      <c r="AW347" s="380">
        <f>tabItens[[#This Row],[QTDE ATUAL]] + tabItens[[#This Row],[RC QTDE]] + tabItens[[#This Row],[AF SALDO]] + tabItens[[#This Row],[Recentes]]</f>
        <v>2339</v>
      </c>
      <c r="AX347" s="404">
        <v>709</v>
      </c>
      <c r="AY347" s="404">
        <v>4</v>
      </c>
      <c r="AZ347" s="404">
        <f>IF(ISBLANK(tabItens[[#This Row],[CÓDIGO]]),"",tabItens[[#This Row],[PontoMês]] * (AZ$2+tabItens[[#This Row],[PontoQtM]]))</f>
        <v>2836</v>
      </c>
      <c r="BA347" s="403">
        <f>tabItens[[#This Row],[PontoPed]] - tabItens[[#This Row],[Saldo]] + (1/10)</f>
        <v>497.1</v>
      </c>
      <c r="BB347" s="403">
        <f xml:space="preserve"> tabItens[[#This Row],[PontoMês]] * BB$2 - tabItens[[#This Row],[QTDE ATUAL]] - (1/10)</f>
        <v>-1630.1</v>
      </c>
      <c r="BC347" s="335">
        <f>IF( tabItens[[#This Row],[PontoPed]]&gt;0, IF(tabItens[[#This Row],[PontoPed]]&lt;1, 1, IF( tabItens[[#This Row],[Saldo]]&gt;tabItens[[#This Row],[PontoPed]], 0, (tabItens[[#This Row],[PontoPed]]-tabItens[[#This Row],[Saldo]])/tabItens[[#This Row],[PontoPed]] ) ), 0 )</f>
        <v>0.17524682651622003</v>
      </c>
      <c r="BD347" s="405">
        <f>ROUNDDOWN(IF( OR( AND(tabItens[[#This Row],[PontoPed]]&lt;tabItens[[#This Row],[Saldo]],tabItens[[#This Row],[Saldo]]&gt;0), tabItens[[#This Row],[PontoPed]]=0), 99, IF(AND(tabItens[[#This Row],[Saldo]]=0,tabItens[[#This Row],[PontoPed]]&gt;0), 0, (1-tabItens[[#This Row],[PctAb]])*10 ) ),0)</f>
        <v>8</v>
      </c>
      <c r="BE347" s="406">
        <f>MAX(ROUNDDOWN( IF(tabItens[[#This Row],[Abaixo]] &gt; 0,   tabItens[[#This Row],[Abaixo]] + (tabItens[[#This Row],[PontoMês]] * IF( OR( ISBLANK(tabItens[[#This Row],[ATA Nº/ANO]]), tabItens[[#This Row],[ATA Nº/ANO]] = ""),BE$2,BE$1)),0),0),0)</f>
        <v>2624</v>
      </c>
      <c r="BF34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7" s="338">
        <f>SUMIF(Consumo!$C$3:$C$862,tabItens[[#This Row],[CÓDIGO]],Consumo!$E$3:$E$862)</f>
        <v>0</v>
      </c>
      <c r="BH347" s="339">
        <f>IF(AND(tabItens[[#This Row],[Pend]] &gt; 0,tabItens[[#This Row],[Consumo]] &lt;&gt; 0), tabItens[[#This Row],[Pend]] / tabItens[[#This Row],[Consumo]], 0 )</f>
        <v>0</v>
      </c>
      <c r="BI347" s="338"/>
      <c r="BJ347" s="407"/>
      <c r="BK347" s="408" t="s">
        <v>2086</v>
      </c>
    </row>
    <row r="348" spans="1:63" x14ac:dyDescent="0.3">
      <c r="A348" s="375">
        <v>82995</v>
      </c>
      <c r="B348" s="376" t="s">
        <v>1488</v>
      </c>
      <c r="C348" s="377" t="s">
        <v>263</v>
      </c>
      <c r="D348" s="378">
        <v>8.14</v>
      </c>
      <c r="E348" s="305"/>
      <c r="F348" s="379"/>
      <c r="G348" s="379" t="s">
        <v>889</v>
      </c>
      <c r="H348" s="380">
        <v>300</v>
      </c>
      <c r="I348" s="307">
        <v>103003</v>
      </c>
      <c r="J348" s="308">
        <v>8.14</v>
      </c>
      <c r="K348" s="381">
        <v>670</v>
      </c>
      <c r="L348" s="382">
        <f>IF(tabItens[[#This Row],[Média]] &gt; 0, tabItens[[#This Row],[QTDE ATUAL]] / tabItens[[#This Row],[Média]],999.9)</f>
        <v>4.0449438202247192</v>
      </c>
      <c r="M348" s="383">
        <v>0</v>
      </c>
      <c r="N348" s="384">
        <f>tabItens[[#This Row],[VALOR UNIT.]] * tabItens[[#This Row],[LC]]</f>
        <v>0</v>
      </c>
      <c r="O348" s="385" t="s">
        <v>2140</v>
      </c>
      <c r="P348" s="386"/>
      <c r="Q348" s="387"/>
      <c r="R348" s="312"/>
      <c r="S348" s="388"/>
      <c r="T348" s="389">
        <f>ROUNDDOWN(IFERROR(tabItens[[#This Row],[ATA DT.VALID.]] - $D$1,0) / 30,0)</f>
        <v>-1474</v>
      </c>
      <c r="U348" s="302" t="s">
        <v>1028</v>
      </c>
      <c r="V348" s="318">
        <v>1</v>
      </c>
      <c r="W348" s="390" t="s">
        <v>2071</v>
      </c>
      <c r="X348" s="391">
        <v>51</v>
      </c>
      <c r="Y348" s="392">
        <v>8</v>
      </c>
      <c r="Z348" s="393"/>
      <c r="AA348" s="394"/>
      <c r="AB348" s="395"/>
      <c r="AC348" s="395"/>
      <c r="AD348" s="394"/>
      <c r="AE348" s="395"/>
      <c r="AF348" s="317"/>
      <c r="AG348" s="396" t="s">
        <v>2072</v>
      </c>
      <c r="AH348" s="397"/>
      <c r="AI348" s="317">
        <v>224</v>
      </c>
      <c r="AJ348" s="397">
        <v>45181</v>
      </c>
      <c r="AK348" s="326">
        <v>38317</v>
      </c>
      <c r="AL348" s="326">
        <v>45160</v>
      </c>
      <c r="AM348" s="316"/>
      <c r="AN348" s="305"/>
      <c r="AO348" s="327" t="str">
        <f>_xlfn.IFNA(IF(VLOOKUP(tabItens[[#This Row],[CÓDIGO]],tabExcluirDoEstoque[#Data],1,FALSE),"sim",""),"")</f>
        <v/>
      </c>
      <c r="AP348" s="398" t="str">
        <f ca="1">IF(OR(ISBLANK(tabItens[[#This Row],[ATA DT.VALID.]]),tabItens[[#This Row],[ATA DT.VALID.]]="",tabItens[[#This Row],[ATA DT.VALID.]]=" "),"",IF(TYPE(tabItens[[#This Row],[ATA DT.VALID.]])=1,ROUNDUP((tabItens[[#This Row],[ATA DT.VALID.]]-TODAY())/7,0),""))</f>
        <v/>
      </c>
      <c r="AQ348" s="399">
        <v>0</v>
      </c>
      <c r="AR348" s="400" t="str">
        <f>IF(ISBLANK(tabItens[[#This Row],[CÓDIGO]]),"",IFERROR(VLOOKUP(tabItens[[#This Row],[CÓDIGO]],Consumo!$C$2:$AC$862,26,FALSE),0))</f>
        <v>06.2023</v>
      </c>
      <c r="AS348" s="401">
        <f>SUMIF(Consumo!$C$3:$C$862,tabItens[[#This Row],[CÓDIGO]],Consumo!$N$3:$N$862) + SUMIF(Consumo!$C$3:$C$862,tabItens[[#This Row],[CÓDIGO]],Consumo!$O$3:$O$862) + SUMIF(Consumo!$C$3:$C$862,tabItens[[#This Row],[CÓDIGO]],Consumo!$P$3:$P$862) + SUMIF(Consumo!$C$3:$C$862,tabItens[[#This Row],[CÓDIGO]],Consumo!$Q$3:$Q$862)</f>
        <v>340</v>
      </c>
      <c r="AT348" s="401">
        <f>SUMIF(Consumo!$C$3:$C$862,tabItens[[#This Row],[CÓDIGO]],Consumo!$Z$3:$Z$862)</f>
        <v>930</v>
      </c>
      <c r="AU348" s="402">
        <f>SUMIF(Consumo!$C$3:$C$862,tabItens[[#This Row],[CÓDIGO]],Consumo!$AA$3:$AA$862)</f>
        <v>340</v>
      </c>
      <c r="AV348" s="403">
        <f>SUMIF(Consumo!$C$3:$C$862,tabItens[[#This Row],[CÓDIGO]],Consumo!$Y$3:$Y$862)</f>
        <v>74.166666666666671</v>
      </c>
      <c r="AW348" s="380">
        <f>tabItens[[#This Row],[QTDE ATUAL]] + tabItens[[#This Row],[RC QTDE]] + tabItens[[#This Row],[AF SALDO]] + tabItens[[#This Row],[Recentes]]</f>
        <v>300</v>
      </c>
      <c r="AX348" s="404">
        <v>59</v>
      </c>
      <c r="AY348" s="404">
        <v>4</v>
      </c>
      <c r="AZ348" s="404">
        <f>IF(ISBLANK(tabItens[[#This Row],[CÓDIGO]]),"",tabItens[[#This Row],[PontoMês]] * (AZ$2+tabItens[[#This Row],[PontoQtM]]))</f>
        <v>236</v>
      </c>
      <c r="BA348" s="403">
        <f>tabItens[[#This Row],[PontoPed]] - tabItens[[#This Row],[Saldo]] + (1/10)</f>
        <v>-63.9</v>
      </c>
      <c r="BB348" s="403">
        <f xml:space="preserve"> tabItens[[#This Row],[PontoMês]] * BB$2 - tabItens[[#This Row],[QTDE ATUAL]] - (1/10)</f>
        <v>-241.1</v>
      </c>
      <c r="BC348" s="335">
        <f>IF( tabItens[[#This Row],[PontoPed]]&gt;0, IF(tabItens[[#This Row],[PontoPed]]&lt;1, 1, IF( tabItens[[#This Row],[Saldo]]&gt;tabItens[[#This Row],[PontoPed]], 0, (tabItens[[#This Row],[PontoPed]]-tabItens[[#This Row],[Saldo]])/tabItens[[#This Row],[PontoPed]] ) ), 0 )</f>
        <v>0</v>
      </c>
      <c r="BD348" s="405">
        <f>ROUNDDOWN(IF( OR( AND(tabItens[[#This Row],[PontoPed]]&lt;tabItens[[#This Row],[Saldo]],tabItens[[#This Row],[Saldo]]&gt;0), tabItens[[#This Row],[PontoPed]]=0), 99, IF(AND(tabItens[[#This Row],[Saldo]]=0,tabItens[[#This Row],[PontoPed]]&gt;0), 0, (1-tabItens[[#This Row],[PctAb]])*10 ) ),0)</f>
        <v>99</v>
      </c>
      <c r="BE348" s="406">
        <f>MAX(ROUNDDOWN( IF(tabItens[[#This Row],[Abaixo]] &gt; 0,   tabItens[[#This Row],[Abaixo]] + (tabItens[[#This Row],[PontoMês]] * IF( OR( ISBLANK(tabItens[[#This Row],[ATA Nº/ANO]]), tabItens[[#This Row],[ATA Nº/ANO]] = ""),BE$2,BE$1)),0),0),0)</f>
        <v>0</v>
      </c>
      <c r="BF34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8" s="338">
        <f>SUMIF(Consumo!$C$3:$C$862,tabItens[[#This Row],[CÓDIGO]],Consumo!$E$3:$E$862)</f>
        <v>260</v>
      </c>
      <c r="BH348" s="339">
        <f>IF(AND(tabItens[[#This Row],[Pend]] &gt; 0,tabItens[[#This Row],[Consumo]] &lt;&gt; 0), tabItens[[#This Row],[Pend]] / tabItens[[#This Row],[Consumo]], 0 )</f>
        <v>0.27956989247311825</v>
      </c>
      <c r="BI348" s="338"/>
      <c r="BJ348" s="407"/>
      <c r="BK348" s="408" t="s">
        <v>2086</v>
      </c>
    </row>
    <row r="349" spans="1:63" x14ac:dyDescent="0.3">
      <c r="A349" s="375">
        <v>136554</v>
      </c>
      <c r="B349" s="376" t="s">
        <v>1928</v>
      </c>
      <c r="C349" s="377" t="s">
        <v>263</v>
      </c>
      <c r="D349" s="378">
        <v>5.5</v>
      </c>
      <c r="E349" s="305"/>
      <c r="F349" s="379"/>
      <c r="G349" s="379" t="s">
        <v>889</v>
      </c>
      <c r="H349" s="380">
        <v>2000</v>
      </c>
      <c r="I349" s="307">
        <v>103003</v>
      </c>
      <c r="J349" s="308">
        <v>5.5</v>
      </c>
      <c r="K349" s="381">
        <v>496</v>
      </c>
      <c r="L349" s="382">
        <f>IF(tabItens[[#This Row],[Média]] &gt; 0, tabItens[[#This Row],[QTDE ATUAL]] / tabItens[[#This Row],[Média]],999.9)</f>
        <v>33.802816901408455</v>
      </c>
      <c r="M349" s="383">
        <v>0</v>
      </c>
      <c r="N349" s="384">
        <f>tabItens[[#This Row],[VALOR UNIT.]] * tabItens[[#This Row],[LC]]</f>
        <v>0</v>
      </c>
      <c r="O349" s="385" t="s">
        <v>2140</v>
      </c>
      <c r="P349" s="386"/>
      <c r="Q349" s="387"/>
      <c r="R349" s="312"/>
      <c r="S349" s="388"/>
      <c r="T349" s="389">
        <f>ROUNDDOWN(IFERROR(tabItens[[#This Row],[ATA DT.VALID.]] - $D$1,0) / 30,0)</f>
        <v>-1474</v>
      </c>
      <c r="U349" s="302" t="s">
        <v>1093</v>
      </c>
      <c r="V349" s="318">
        <v>1</v>
      </c>
      <c r="W349" s="390" t="s">
        <v>2071</v>
      </c>
      <c r="X349" s="391">
        <v>51</v>
      </c>
      <c r="Y349" s="392">
        <v>9</v>
      </c>
      <c r="Z349" s="393"/>
      <c r="AA349" s="394"/>
      <c r="AB349" s="395"/>
      <c r="AC349" s="395"/>
      <c r="AD349" s="394"/>
      <c r="AE349" s="395"/>
      <c r="AF349" s="317"/>
      <c r="AG349" s="396" t="s">
        <v>2072</v>
      </c>
      <c r="AH349" s="397"/>
      <c r="AI349" s="317">
        <v>166</v>
      </c>
      <c r="AJ349" s="397">
        <v>45201</v>
      </c>
      <c r="AK349" s="326">
        <v>43518</v>
      </c>
      <c r="AL349" s="326">
        <v>45189</v>
      </c>
      <c r="AM349" s="316"/>
      <c r="AN349" s="305"/>
      <c r="AO349" s="327" t="str">
        <f>_xlfn.IFNA(IF(VLOOKUP(tabItens[[#This Row],[CÓDIGO]],tabExcluirDoEstoque[#Data],1,FALSE),"sim",""),"")</f>
        <v/>
      </c>
      <c r="AP349" s="398" t="str">
        <f ca="1">IF(OR(ISBLANK(tabItens[[#This Row],[ATA DT.VALID.]]),tabItens[[#This Row],[ATA DT.VALID.]]="",tabItens[[#This Row],[ATA DT.VALID.]]=" "),"",IF(TYPE(tabItens[[#This Row],[ATA DT.VALID.]])=1,ROUNDUP((tabItens[[#This Row],[ATA DT.VALID.]]-TODAY())/7,0),""))</f>
        <v/>
      </c>
      <c r="AQ349" s="399">
        <v>0</v>
      </c>
      <c r="AR349" s="400" t="str">
        <f>IF(ISBLANK(tabItens[[#This Row],[CÓDIGO]]),"",IFERROR(VLOOKUP(tabItens[[#This Row],[CÓDIGO]],Consumo!$C$2:$AC$862,26,FALSE),0))</f>
        <v>03.2023</v>
      </c>
      <c r="AS349" s="401">
        <f>SUMIF(Consumo!$C$3:$C$862,tabItens[[#This Row],[CÓDIGO]],Consumo!$N$3:$N$862) + SUMIF(Consumo!$C$3:$C$862,tabItens[[#This Row],[CÓDIGO]],Consumo!$O$3:$O$862) + SUMIF(Consumo!$C$3:$C$862,tabItens[[#This Row],[CÓDIGO]],Consumo!$P$3:$P$862) + SUMIF(Consumo!$C$3:$C$862,tabItens[[#This Row],[CÓDIGO]],Consumo!$Q$3:$Q$862)</f>
        <v>0</v>
      </c>
      <c r="AT349" s="401">
        <f>SUMIF(Consumo!$C$3:$C$862,tabItens[[#This Row],[CÓDIGO]],Consumo!$Z$3:$Z$862)</f>
        <v>710</v>
      </c>
      <c r="AU349" s="402">
        <f>SUMIF(Consumo!$C$3:$C$862,tabItens[[#This Row],[CÓDIGO]],Consumo!$AA$3:$AA$862)</f>
        <v>180</v>
      </c>
      <c r="AV349" s="403">
        <f>SUMIF(Consumo!$C$3:$C$862,tabItens[[#This Row],[CÓDIGO]],Consumo!$Y$3:$Y$862)</f>
        <v>59.166666666666664</v>
      </c>
      <c r="AW349" s="380">
        <f>tabItens[[#This Row],[QTDE ATUAL]] + tabItens[[#This Row],[RC QTDE]] + tabItens[[#This Row],[AF SALDO]] + tabItens[[#This Row],[Recentes]]</f>
        <v>2000</v>
      </c>
      <c r="AX349" s="404">
        <v>87</v>
      </c>
      <c r="AY349" s="404">
        <v>4</v>
      </c>
      <c r="AZ349" s="404">
        <f>IF(ISBLANK(tabItens[[#This Row],[CÓDIGO]]),"",tabItens[[#This Row],[PontoMês]] * (AZ$2+tabItens[[#This Row],[PontoQtM]]))</f>
        <v>348</v>
      </c>
      <c r="BA349" s="403">
        <f>tabItens[[#This Row],[PontoPed]] - tabItens[[#This Row],[Saldo]] + (1/10)</f>
        <v>-1651.9</v>
      </c>
      <c r="BB349" s="403">
        <f xml:space="preserve"> tabItens[[#This Row],[PontoMês]] * BB$2 - tabItens[[#This Row],[QTDE ATUAL]] - (1/10)</f>
        <v>-1913.1</v>
      </c>
      <c r="BC349" s="335">
        <f>IF( tabItens[[#This Row],[PontoPed]]&gt;0, IF(tabItens[[#This Row],[PontoPed]]&lt;1, 1, IF( tabItens[[#This Row],[Saldo]]&gt;tabItens[[#This Row],[PontoPed]], 0, (tabItens[[#This Row],[PontoPed]]-tabItens[[#This Row],[Saldo]])/tabItens[[#This Row],[PontoPed]] ) ), 0 )</f>
        <v>0</v>
      </c>
      <c r="BD349" s="405">
        <f>ROUNDDOWN(IF( OR( AND(tabItens[[#This Row],[PontoPed]]&lt;tabItens[[#This Row],[Saldo]],tabItens[[#This Row],[Saldo]]&gt;0), tabItens[[#This Row],[PontoPed]]=0), 99, IF(AND(tabItens[[#This Row],[Saldo]]=0,tabItens[[#This Row],[PontoPed]]&gt;0), 0, (1-tabItens[[#This Row],[PctAb]])*10 ) ),0)</f>
        <v>99</v>
      </c>
      <c r="BE349" s="406">
        <f>MAX(ROUNDDOWN( IF(tabItens[[#This Row],[Abaixo]] &gt; 0,   tabItens[[#This Row],[Abaixo]] + (tabItens[[#This Row],[PontoMês]] * IF( OR( ISBLANK(tabItens[[#This Row],[ATA Nº/ANO]]), tabItens[[#This Row],[ATA Nº/ANO]] = ""),BE$2,BE$1)),0),0),0)</f>
        <v>0</v>
      </c>
      <c r="BF34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9" s="338">
        <f>SUMIF(Consumo!$C$3:$C$862,tabItens[[#This Row],[CÓDIGO]],Consumo!$E$3:$E$862)</f>
        <v>214</v>
      </c>
      <c r="BH349" s="339">
        <f>IF(AND(tabItens[[#This Row],[Pend]] &gt; 0,tabItens[[#This Row],[Consumo]] &lt;&gt; 0), tabItens[[#This Row],[Pend]] / tabItens[[#This Row],[Consumo]], 0 )</f>
        <v>0.30140845070422534</v>
      </c>
      <c r="BI349" s="338"/>
      <c r="BJ349" s="407"/>
      <c r="BK349" s="408" t="s">
        <v>2086</v>
      </c>
    </row>
    <row r="350" spans="1:63" x14ac:dyDescent="0.3">
      <c r="A350" s="375">
        <v>136555</v>
      </c>
      <c r="B350" s="376" t="s">
        <v>1929</v>
      </c>
      <c r="C350" s="377" t="s">
        <v>263</v>
      </c>
      <c r="D350" s="378">
        <v>7.49</v>
      </c>
      <c r="E350" s="305"/>
      <c r="F350" s="379"/>
      <c r="G350" s="379" t="s">
        <v>889</v>
      </c>
      <c r="H350" s="380">
        <v>750</v>
      </c>
      <c r="I350" s="307">
        <v>103003</v>
      </c>
      <c r="J350" s="308">
        <v>7.74</v>
      </c>
      <c r="K350" s="381">
        <v>1044</v>
      </c>
      <c r="L350" s="382">
        <f>IF(tabItens[[#This Row],[Média]] &gt; 0, tabItens[[#This Row],[QTDE ATUAL]] / tabItens[[#This Row],[Média]],999.9)</f>
        <v>7.389162561576355</v>
      </c>
      <c r="M350" s="383">
        <v>0</v>
      </c>
      <c r="N350" s="384">
        <f>tabItens[[#This Row],[VALOR UNIT.]] * tabItens[[#This Row],[LC]]</f>
        <v>0</v>
      </c>
      <c r="O350" s="385" t="s">
        <v>2140</v>
      </c>
      <c r="P350" s="386"/>
      <c r="Q350" s="387"/>
      <c r="R350" s="312"/>
      <c r="S350" s="388"/>
      <c r="T350" s="389">
        <f>ROUNDDOWN(IFERROR(tabItens[[#This Row],[ATA DT.VALID.]] - $D$1,0) / 30,0)</f>
        <v>-1474</v>
      </c>
      <c r="U350" s="302" t="s">
        <v>1093</v>
      </c>
      <c r="V350" s="318">
        <v>1</v>
      </c>
      <c r="W350" s="390" t="s">
        <v>2071</v>
      </c>
      <c r="X350" s="391">
        <v>51</v>
      </c>
      <c r="Y350" s="392">
        <v>9</v>
      </c>
      <c r="Z350" s="393"/>
      <c r="AA350" s="394"/>
      <c r="AB350" s="395"/>
      <c r="AC350" s="395"/>
      <c r="AD350" s="394"/>
      <c r="AE350" s="395"/>
      <c r="AF350" s="317"/>
      <c r="AG350" s="396" t="s">
        <v>2072</v>
      </c>
      <c r="AH350" s="397"/>
      <c r="AI350" s="317">
        <v>682</v>
      </c>
      <c r="AJ350" s="397">
        <v>45180</v>
      </c>
      <c r="AK350" s="326">
        <v>43518</v>
      </c>
      <c r="AL350" s="326">
        <v>45152</v>
      </c>
      <c r="AM350" s="316"/>
      <c r="AN350" s="305"/>
      <c r="AO350" s="327" t="str">
        <f>_xlfn.IFNA(IF(VLOOKUP(tabItens[[#This Row],[CÓDIGO]],tabExcluirDoEstoque[#Data],1,FALSE),"sim",""),"")</f>
        <v/>
      </c>
      <c r="AP350" s="398" t="str">
        <f ca="1">IF(OR(ISBLANK(tabItens[[#This Row],[ATA DT.VALID.]]),tabItens[[#This Row],[ATA DT.VALID.]]="",tabItens[[#This Row],[ATA DT.VALID.]]=" "),"",IF(TYPE(tabItens[[#This Row],[ATA DT.VALID.]])=1,ROUNDUP((tabItens[[#This Row],[ATA DT.VALID.]]-TODAY())/7,0),""))</f>
        <v/>
      </c>
      <c r="AQ350" s="399">
        <v>0</v>
      </c>
      <c r="AR350" s="400" t="str">
        <f>IF(ISBLANK(tabItens[[#This Row],[CÓDIGO]]),"",IFERROR(VLOOKUP(tabItens[[#This Row],[CÓDIGO]],Consumo!$C$2:$AC$862,26,FALSE),0))</f>
        <v>06.2023</v>
      </c>
      <c r="AS350" s="401">
        <f>SUMIF(Consumo!$C$3:$C$862,tabItens[[#This Row],[CÓDIGO]],Consumo!$N$3:$N$862) + SUMIF(Consumo!$C$3:$C$862,tabItens[[#This Row],[CÓDIGO]],Consumo!$O$3:$O$862) + SUMIF(Consumo!$C$3:$C$862,tabItens[[#This Row],[CÓDIGO]],Consumo!$P$3:$P$862) + SUMIF(Consumo!$C$3:$C$862,tabItens[[#This Row],[CÓDIGO]],Consumo!$Q$3:$Q$862)</f>
        <v>500</v>
      </c>
      <c r="AT350" s="401">
        <f>SUMIF(Consumo!$C$3:$C$862,tabItens[[#This Row],[CÓDIGO]],Consumo!$Z$3:$Z$862)</f>
        <v>1296</v>
      </c>
      <c r="AU350" s="402">
        <f>SUMIF(Consumo!$C$3:$C$862,tabItens[[#This Row],[CÓDIGO]],Consumo!$AA$3:$AA$862)</f>
        <v>500</v>
      </c>
      <c r="AV350" s="403">
        <f>SUMIF(Consumo!$C$3:$C$862,tabItens[[#This Row],[CÓDIGO]],Consumo!$Y$3:$Y$862)</f>
        <v>101.5</v>
      </c>
      <c r="AW350" s="380">
        <f>tabItens[[#This Row],[QTDE ATUAL]] + tabItens[[#This Row],[RC QTDE]] + tabItens[[#This Row],[AF SALDO]] + tabItens[[#This Row],[Recentes]]</f>
        <v>750</v>
      </c>
      <c r="AX350" s="404">
        <v>108</v>
      </c>
      <c r="AY350" s="404">
        <v>4</v>
      </c>
      <c r="AZ350" s="404">
        <f>IF(ISBLANK(tabItens[[#This Row],[CÓDIGO]]),"",tabItens[[#This Row],[PontoMês]] * (AZ$2+tabItens[[#This Row],[PontoQtM]]))</f>
        <v>432</v>
      </c>
      <c r="BA350" s="403">
        <f>tabItens[[#This Row],[PontoPed]] - tabItens[[#This Row],[Saldo]] + (1/10)</f>
        <v>-317.89999999999998</v>
      </c>
      <c r="BB350" s="403">
        <f xml:space="preserve"> tabItens[[#This Row],[PontoMês]] * BB$2 - tabItens[[#This Row],[QTDE ATUAL]] - (1/10)</f>
        <v>-642.1</v>
      </c>
      <c r="BC350" s="335">
        <f>IF( tabItens[[#This Row],[PontoPed]]&gt;0, IF(tabItens[[#This Row],[PontoPed]]&lt;1, 1, IF( tabItens[[#This Row],[Saldo]]&gt;tabItens[[#This Row],[PontoPed]], 0, (tabItens[[#This Row],[PontoPed]]-tabItens[[#This Row],[Saldo]])/tabItens[[#This Row],[PontoPed]] ) ), 0 )</f>
        <v>0</v>
      </c>
      <c r="BD350" s="405">
        <f>ROUNDDOWN(IF( OR( AND(tabItens[[#This Row],[PontoPed]]&lt;tabItens[[#This Row],[Saldo]],tabItens[[#This Row],[Saldo]]&gt;0), tabItens[[#This Row],[PontoPed]]=0), 99, IF(AND(tabItens[[#This Row],[Saldo]]=0,tabItens[[#This Row],[PontoPed]]&gt;0), 0, (1-tabItens[[#This Row],[PctAb]])*10 ) ),0)</f>
        <v>99</v>
      </c>
      <c r="BE350" s="406">
        <f>MAX(ROUNDDOWN( IF(tabItens[[#This Row],[Abaixo]] &gt; 0,   tabItens[[#This Row],[Abaixo]] + (tabItens[[#This Row],[PontoMês]] * IF( OR( ISBLANK(tabItens[[#This Row],[ATA Nº/ANO]]), tabItens[[#This Row],[ATA Nº/ANO]] = ""),BE$2,BE$1)),0),0),0)</f>
        <v>0</v>
      </c>
      <c r="BF35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0" s="338">
        <f>SUMIF(Consumo!$C$3:$C$862,tabItens[[#This Row],[CÓDIGO]],Consumo!$E$3:$E$862)</f>
        <v>252</v>
      </c>
      <c r="BH350" s="339">
        <f>IF(AND(tabItens[[#This Row],[Pend]] &gt; 0,tabItens[[#This Row],[Consumo]] &lt;&gt; 0), tabItens[[#This Row],[Pend]] / tabItens[[#This Row],[Consumo]], 0 )</f>
        <v>0.19444444444444445</v>
      </c>
      <c r="BI350" s="338"/>
      <c r="BJ350" s="407"/>
      <c r="BK350" s="408" t="s">
        <v>2086</v>
      </c>
    </row>
    <row r="351" spans="1:63" x14ac:dyDescent="0.3">
      <c r="A351" s="375">
        <v>28093</v>
      </c>
      <c r="B351" s="376" t="s">
        <v>1230</v>
      </c>
      <c r="C351" s="377" t="s">
        <v>263</v>
      </c>
      <c r="D351" s="378">
        <v>44.99</v>
      </c>
      <c r="E351" s="305"/>
      <c r="F351" s="379"/>
      <c r="G351" s="379" t="s">
        <v>889</v>
      </c>
      <c r="H351" s="380">
        <v>178</v>
      </c>
      <c r="I351" s="307">
        <v>103003</v>
      </c>
      <c r="J351" s="308">
        <v>44.99</v>
      </c>
      <c r="K351" s="381">
        <v>3</v>
      </c>
      <c r="L351" s="382">
        <f>IF(tabItens[[#This Row],[Média]] &gt; 0, tabItens[[#This Row],[QTDE ATUAL]] / tabItens[[#This Row],[Média]],999.9)</f>
        <v>2136</v>
      </c>
      <c r="M351" s="383">
        <v>0</v>
      </c>
      <c r="N351" s="384">
        <f>tabItens[[#This Row],[VALOR UNIT.]] * tabItens[[#This Row],[LC]]</f>
        <v>0</v>
      </c>
      <c r="O351" s="385" t="s">
        <v>2140</v>
      </c>
      <c r="P351" s="386"/>
      <c r="Q351" s="387"/>
      <c r="R351" s="312"/>
      <c r="S351" s="388"/>
      <c r="T351" s="389">
        <f>ROUNDDOWN(IFERROR(tabItens[[#This Row],[ATA DT.VALID.]] - $D$1,0) / 30,0)</f>
        <v>-1474</v>
      </c>
      <c r="U351" s="302" t="s">
        <v>1005</v>
      </c>
      <c r="V351" s="318">
        <v>1</v>
      </c>
      <c r="W351" s="390" t="s">
        <v>2079</v>
      </c>
      <c r="X351" s="391">
        <v>51</v>
      </c>
      <c r="Y351" s="392">
        <v>11</v>
      </c>
      <c r="Z351" s="393"/>
      <c r="AA351" s="394"/>
      <c r="AB351" s="395"/>
      <c r="AC351" s="395"/>
      <c r="AD351" s="394"/>
      <c r="AE351" s="395"/>
      <c r="AF351" s="317"/>
      <c r="AG351" s="396" t="s">
        <v>2072</v>
      </c>
      <c r="AH351" s="397"/>
      <c r="AI351" s="317">
        <v>2</v>
      </c>
      <c r="AJ351" s="397">
        <v>44553</v>
      </c>
      <c r="AK351" s="326" t="s">
        <v>889</v>
      </c>
      <c r="AL351" s="326">
        <v>44547</v>
      </c>
      <c r="AM351" s="316"/>
      <c r="AN351" s="305"/>
      <c r="AO351" s="327" t="str">
        <f>_xlfn.IFNA(IF(VLOOKUP(tabItens[[#This Row],[CÓDIGO]],tabExcluirDoEstoque[#Data],1,FALSE),"sim",""),"")</f>
        <v/>
      </c>
      <c r="AP351" s="398" t="str">
        <f ca="1">IF(OR(ISBLANK(tabItens[[#This Row],[ATA DT.VALID.]]),tabItens[[#This Row],[ATA DT.VALID.]]="",tabItens[[#This Row],[ATA DT.VALID.]]=" "),"",IF(TYPE(tabItens[[#This Row],[ATA DT.VALID.]])=1,ROUNDUP((tabItens[[#This Row],[ATA DT.VALID.]]-TODAY())/7,0),""))</f>
        <v/>
      </c>
      <c r="AQ351" s="399">
        <v>0</v>
      </c>
      <c r="AR351" s="400" t="str">
        <f>IF(ISBLANK(tabItens[[#This Row],[CÓDIGO]]),"",IFERROR(VLOOKUP(tabItens[[#This Row],[CÓDIGO]],Consumo!$C$2:$AC$862,26,FALSE),0))</f>
        <v>10.2022</v>
      </c>
      <c r="AS351" s="401">
        <f>SUMIF(Consumo!$C$3:$C$862,tabItens[[#This Row],[CÓDIGO]],Consumo!$N$3:$N$862) + SUMIF(Consumo!$C$3:$C$862,tabItens[[#This Row],[CÓDIGO]],Consumo!$O$3:$O$862) + SUMIF(Consumo!$C$3:$C$862,tabItens[[#This Row],[CÓDIGO]],Consumo!$P$3:$P$862) + SUMIF(Consumo!$C$3:$C$862,tabItens[[#This Row],[CÓDIGO]],Consumo!$Q$3:$Q$862)</f>
        <v>0</v>
      </c>
      <c r="AT351" s="401">
        <f>SUMIF(Consumo!$C$3:$C$862,tabItens[[#This Row],[CÓDIGO]],Consumo!$Z$3:$Z$862)</f>
        <v>3</v>
      </c>
      <c r="AU351" s="402">
        <f>SUMIF(Consumo!$C$3:$C$862,tabItens[[#This Row],[CÓDIGO]],Consumo!$AA$3:$AA$862)</f>
        <v>3</v>
      </c>
      <c r="AV351" s="403">
        <f>SUMIF(Consumo!$C$3:$C$862,tabItens[[#This Row],[CÓDIGO]],Consumo!$Y$3:$Y$862)</f>
        <v>8.3333333333333329E-2</v>
      </c>
      <c r="AW351" s="380">
        <f>tabItens[[#This Row],[QTDE ATUAL]] + tabItens[[#This Row],[RC QTDE]] + tabItens[[#This Row],[AF SALDO]] + tabItens[[#This Row],[Recentes]]</f>
        <v>178</v>
      </c>
      <c r="AX351" s="404">
        <v>8</v>
      </c>
      <c r="AY351" s="404">
        <v>4</v>
      </c>
      <c r="AZ351" s="404">
        <f>IF(ISBLANK(tabItens[[#This Row],[CÓDIGO]]),"",tabItens[[#This Row],[PontoMês]] * (AZ$2+tabItens[[#This Row],[PontoQtM]]))</f>
        <v>32</v>
      </c>
      <c r="BA351" s="403">
        <f>tabItens[[#This Row],[PontoPed]] - tabItens[[#This Row],[Saldo]] + (1/10)</f>
        <v>-145.9</v>
      </c>
      <c r="BB351" s="403">
        <f xml:space="preserve"> tabItens[[#This Row],[PontoMês]] * BB$2 - tabItens[[#This Row],[QTDE ATUAL]] - (1/10)</f>
        <v>-170.1</v>
      </c>
      <c r="BC351" s="335">
        <f>IF( tabItens[[#This Row],[PontoPed]]&gt;0, IF(tabItens[[#This Row],[PontoPed]]&lt;1, 1, IF( tabItens[[#This Row],[Saldo]]&gt;tabItens[[#This Row],[PontoPed]], 0, (tabItens[[#This Row],[PontoPed]]-tabItens[[#This Row],[Saldo]])/tabItens[[#This Row],[PontoPed]] ) ), 0 )</f>
        <v>0</v>
      </c>
      <c r="BD351" s="405">
        <f>ROUNDDOWN(IF( OR( AND(tabItens[[#This Row],[PontoPed]]&lt;tabItens[[#This Row],[Saldo]],tabItens[[#This Row],[Saldo]]&gt;0), tabItens[[#This Row],[PontoPed]]=0), 99, IF(AND(tabItens[[#This Row],[Saldo]]=0,tabItens[[#This Row],[PontoPed]]&gt;0), 0, (1-tabItens[[#This Row],[PctAb]])*10 ) ),0)</f>
        <v>99</v>
      </c>
      <c r="BE351" s="406">
        <f>MAX(ROUNDDOWN( IF(tabItens[[#This Row],[Abaixo]] &gt; 0,   tabItens[[#This Row],[Abaixo]] + (tabItens[[#This Row],[PontoMês]] * IF( OR( ISBLANK(tabItens[[#This Row],[ATA Nº/ANO]]), tabItens[[#This Row],[ATA Nº/ANO]] = ""),BE$2,BE$1)),0),0),0)</f>
        <v>0</v>
      </c>
      <c r="BF35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1" s="338">
        <f>SUMIF(Consumo!$C$3:$C$862,tabItens[[#This Row],[CÓDIGO]],Consumo!$E$3:$E$862)</f>
        <v>0</v>
      </c>
      <c r="BH351" s="339">
        <f>IF(AND(tabItens[[#This Row],[Pend]] &gt; 0,tabItens[[#This Row],[Consumo]] &lt;&gt; 0), tabItens[[#This Row],[Pend]] / tabItens[[#This Row],[Consumo]], 0 )</f>
        <v>0</v>
      </c>
      <c r="BI351" s="338"/>
      <c r="BJ351" s="407"/>
      <c r="BK351" s="408" t="s">
        <v>2086</v>
      </c>
    </row>
    <row r="352" spans="1:63" x14ac:dyDescent="0.3">
      <c r="A352" s="375">
        <v>105293</v>
      </c>
      <c r="B352" s="376" t="s">
        <v>1624</v>
      </c>
      <c r="C352" s="377" t="s">
        <v>263</v>
      </c>
      <c r="D352" s="378">
        <v>9.85</v>
      </c>
      <c r="E352" s="305"/>
      <c r="F352" s="379"/>
      <c r="G352" s="379" t="s">
        <v>889</v>
      </c>
      <c r="H352" s="380">
        <v>700</v>
      </c>
      <c r="I352" s="307">
        <v>103003</v>
      </c>
      <c r="J352" s="308">
        <v>9.85</v>
      </c>
      <c r="K352" s="381">
        <v>717</v>
      </c>
      <c r="L352" s="382">
        <f>IF(tabItens[[#This Row],[Média]] &gt; 0, tabItens[[#This Row],[QTDE ATUAL]] / tabItens[[#This Row],[Média]],999.9)</f>
        <v>8.9456869009584672</v>
      </c>
      <c r="M352" s="383">
        <v>0</v>
      </c>
      <c r="N352" s="384">
        <f>tabItens[[#This Row],[VALOR UNIT.]] * tabItens[[#This Row],[LC]]</f>
        <v>0</v>
      </c>
      <c r="O352" s="385" t="s">
        <v>2140</v>
      </c>
      <c r="P352" s="386"/>
      <c r="Q352" s="387"/>
      <c r="R352" s="312"/>
      <c r="S352" s="388"/>
      <c r="T352" s="389">
        <f>ROUNDDOWN(IFERROR(tabItens[[#This Row],[ATA DT.VALID.]] - $D$1,0) / 30,0)</f>
        <v>-1474</v>
      </c>
      <c r="U352" s="302" t="s">
        <v>1005</v>
      </c>
      <c r="V352" s="318">
        <v>1</v>
      </c>
      <c r="W352" s="390" t="s">
        <v>2079</v>
      </c>
      <c r="X352" s="391">
        <v>51</v>
      </c>
      <c r="Y352" s="392">
        <v>11</v>
      </c>
      <c r="Z352" s="393"/>
      <c r="AA352" s="394"/>
      <c r="AB352" s="395"/>
      <c r="AC352" s="395"/>
      <c r="AD352" s="394"/>
      <c r="AE352" s="395"/>
      <c r="AF352" s="317"/>
      <c r="AG352" s="396" t="s">
        <v>2072</v>
      </c>
      <c r="AH352" s="397"/>
      <c r="AI352" s="317">
        <v>380</v>
      </c>
      <c r="AJ352" s="397">
        <v>45209</v>
      </c>
      <c r="AK352" s="326">
        <v>39506</v>
      </c>
      <c r="AL352" s="326">
        <v>45189</v>
      </c>
      <c r="AM352" s="316"/>
      <c r="AN352" s="305"/>
      <c r="AO352" s="327" t="str">
        <f>_xlfn.IFNA(IF(VLOOKUP(tabItens[[#This Row],[CÓDIGO]],tabExcluirDoEstoque[#Data],1,FALSE),"sim",""),"")</f>
        <v/>
      </c>
      <c r="AP352" s="398" t="str">
        <f ca="1">IF(OR(ISBLANK(tabItens[[#This Row],[ATA DT.VALID.]]),tabItens[[#This Row],[ATA DT.VALID.]]="",tabItens[[#This Row],[ATA DT.VALID.]]=" "),"",IF(TYPE(tabItens[[#This Row],[ATA DT.VALID.]])=1,ROUNDUP((tabItens[[#This Row],[ATA DT.VALID.]]-TODAY())/7,0),""))</f>
        <v/>
      </c>
      <c r="AQ352" s="399">
        <v>0</v>
      </c>
      <c r="AR352" s="400" t="str">
        <f>IF(ISBLANK(tabItens[[#This Row],[CÓDIGO]]),"",IFERROR(VLOOKUP(tabItens[[#This Row],[CÓDIGO]],Consumo!$C$2:$AC$862,26,FALSE),0))</f>
        <v>07.2023</v>
      </c>
      <c r="AS352" s="401">
        <f>SUMIF(Consumo!$C$3:$C$862,tabItens[[#This Row],[CÓDIGO]],Consumo!$N$3:$N$862) + SUMIF(Consumo!$C$3:$C$862,tabItens[[#This Row],[CÓDIGO]],Consumo!$O$3:$O$862) + SUMIF(Consumo!$C$3:$C$862,tabItens[[#This Row],[CÓDIGO]],Consumo!$P$3:$P$862) + SUMIF(Consumo!$C$3:$C$862,tabItens[[#This Row],[CÓDIGO]],Consumo!$Q$3:$Q$862)</f>
        <v>2</v>
      </c>
      <c r="AT352" s="401">
        <f>SUMIF(Consumo!$C$3:$C$862,tabItens[[#This Row],[CÓDIGO]],Consumo!$Z$3:$Z$862)</f>
        <v>939</v>
      </c>
      <c r="AU352" s="402">
        <f>SUMIF(Consumo!$C$3:$C$862,tabItens[[#This Row],[CÓDIGO]],Consumo!$AA$3:$AA$862)</f>
        <v>230</v>
      </c>
      <c r="AV352" s="403">
        <f>SUMIF(Consumo!$C$3:$C$862,tabItens[[#This Row],[CÓDIGO]],Consumo!$Y$3:$Y$862)</f>
        <v>78.25</v>
      </c>
      <c r="AW352" s="380">
        <f>tabItens[[#This Row],[QTDE ATUAL]] + tabItens[[#This Row],[RC QTDE]] + tabItens[[#This Row],[AF SALDO]] + tabItens[[#This Row],[Recentes]]</f>
        <v>700</v>
      </c>
      <c r="AX352" s="404">
        <v>163</v>
      </c>
      <c r="AY352" s="404">
        <v>4</v>
      </c>
      <c r="AZ352" s="404">
        <f>IF(ISBLANK(tabItens[[#This Row],[CÓDIGO]]),"",tabItens[[#This Row],[PontoMês]] * (AZ$2+tabItens[[#This Row],[PontoQtM]]))</f>
        <v>652</v>
      </c>
      <c r="BA352" s="403">
        <f>tabItens[[#This Row],[PontoPed]] - tabItens[[#This Row],[Saldo]] + (1/10)</f>
        <v>-47.9</v>
      </c>
      <c r="BB352" s="403">
        <f xml:space="preserve"> tabItens[[#This Row],[PontoMês]] * BB$2 - tabItens[[#This Row],[QTDE ATUAL]] - (1/10)</f>
        <v>-537.1</v>
      </c>
      <c r="BC352" s="335">
        <f>IF( tabItens[[#This Row],[PontoPed]]&gt;0, IF(tabItens[[#This Row],[PontoPed]]&lt;1, 1, IF( tabItens[[#This Row],[Saldo]]&gt;tabItens[[#This Row],[PontoPed]], 0, (tabItens[[#This Row],[PontoPed]]-tabItens[[#This Row],[Saldo]])/tabItens[[#This Row],[PontoPed]] ) ), 0 )</f>
        <v>0</v>
      </c>
      <c r="BD352" s="405">
        <f>ROUNDDOWN(IF( OR( AND(tabItens[[#This Row],[PontoPed]]&lt;tabItens[[#This Row],[Saldo]],tabItens[[#This Row],[Saldo]]&gt;0), tabItens[[#This Row],[PontoPed]]=0), 99, IF(AND(tabItens[[#This Row],[Saldo]]=0,tabItens[[#This Row],[PontoPed]]&gt;0), 0, (1-tabItens[[#This Row],[PctAb]])*10 ) ),0)</f>
        <v>99</v>
      </c>
      <c r="BE352" s="406">
        <f>MAX(ROUNDDOWN( IF(tabItens[[#This Row],[Abaixo]] &gt; 0,   tabItens[[#This Row],[Abaixo]] + (tabItens[[#This Row],[PontoMês]] * IF( OR( ISBLANK(tabItens[[#This Row],[ATA Nº/ANO]]), tabItens[[#This Row],[ATA Nº/ANO]] = ""),BE$2,BE$1)),0),0),0)</f>
        <v>0</v>
      </c>
      <c r="BF35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2" s="338">
        <f>SUMIF(Consumo!$C$3:$C$862,tabItens[[#This Row],[CÓDIGO]],Consumo!$E$3:$E$862)</f>
        <v>200</v>
      </c>
      <c r="BH352" s="339">
        <f>IF(AND(tabItens[[#This Row],[Pend]] &gt; 0,tabItens[[#This Row],[Consumo]] &lt;&gt; 0), tabItens[[#This Row],[Pend]] / tabItens[[#This Row],[Consumo]], 0 )</f>
        <v>0.21299254526091588</v>
      </c>
      <c r="BI352" s="338"/>
      <c r="BJ352" s="407"/>
      <c r="BK352" s="408" t="s">
        <v>2086</v>
      </c>
    </row>
    <row r="353" spans="1:63" x14ac:dyDescent="0.3">
      <c r="A353" s="375">
        <v>136273</v>
      </c>
      <c r="B353" s="376" t="s">
        <v>1924</v>
      </c>
      <c r="C353" s="377" t="s">
        <v>31</v>
      </c>
      <c r="D353" s="378">
        <v>1.46</v>
      </c>
      <c r="E353" s="305"/>
      <c r="F353" s="379"/>
      <c r="G353" s="379" t="s">
        <v>889</v>
      </c>
      <c r="H353" s="380">
        <v>1588</v>
      </c>
      <c r="I353" s="307">
        <v>103003</v>
      </c>
      <c r="J353" s="308">
        <v>1.46</v>
      </c>
      <c r="K353" s="381">
        <v>960</v>
      </c>
      <c r="L353" s="382">
        <f>IF(tabItens[[#This Row],[Média]] &gt; 0, tabItens[[#This Row],[QTDE ATUAL]] / tabItens[[#This Row],[Média]],999.9)</f>
        <v>19.444897959183674</v>
      </c>
      <c r="M353" s="383">
        <v>0</v>
      </c>
      <c r="N353" s="384">
        <f>tabItens[[#This Row],[VALOR UNIT.]] * tabItens[[#This Row],[LC]]</f>
        <v>0</v>
      </c>
      <c r="O353" s="385" t="s">
        <v>2140</v>
      </c>
      <c r="P353" s="386"/>
      <c r="Q353" s="387"/>
      <c r="R353" s="312"/>
      <c r="S353" s="388"/>
      <c r="T353" s="389">
        <f>ROUNDDOWN(IFERROR(tabItens[[#This Row],[ATA DT.VALID.]] - $D$1,0) / 30,0)</f>
        <v>-1474</v>
      </c>
      <c r="U353" s="302" t="s">
        <v>1005</v>
      </c>
      <c r="V353" s="318">
        <v>1</v>
      </c>
      <c r="W353" s="390" t="s">
        <v>2079</v>
      </c>
      <c r="X353" s="391">
        <v>51</v>
      </c>
      <c r="Y353" s="392">
        <v>11</v>
      </c>
      <c r="Z353" s="393"/>
      <c r="AA353" s="394"/>
      <c r="AB353" s="395"/>
      <c r="AC353" s="395"/>
      <c r="AD353" s="394"/>
      <c r="AE353" s="395"/>
      <c r="AF353" s="317"/>
      <c r="AG353" s="396" t="s">
        <v>2072</v>
      </c>
      <c r="AH353" s="397"/>
      <c r="AI353" s="317">
        <v>328</v>
      </c>
      <c r="AJ353" s="397">
        <v>45181</v>
      </c>
      <c r="AK353" s="326">
        <v>43483</v>
      </c>
      <c r="AL353" s="326">
        <v>45160</v>
      </c>
      <c r="AM353" s="316"/>
      <c r="AN353" s="305"/>
      <c r="AO353" s="327" t="str">
        <f>_xlfn.IFNA(IF(VLOOKUP(tabItens[[#This Row],[CÓDIGO]],tabExcluirDoEstoque[#Data],1,FALSE),"sim",""),"")</f>
        <v/>
      </c>
      <c r="AP353" s="398" t="str">
        <f ca="1">IF(OR(ISBLANK(tabItens[[#This Row],[ATA DT.VALID.]]),tabItens[[#This Row],[ATA DT.VALID.]]="",tabItens[[#This Row],[ATA DT.VALID.]]=" "),"",IF(TYPE(tabItens[[#This Row],[ATA DT.VALID.]])=1,ROUNDUP((tabItens[[#This Row],[ATA DT.VALID.]]-TODAY())/7,0),""))</f>
        <v/>
      </c>
      <c r="AQ353" s="399">
        <v>0</v>
      </c>
      <c r="AR353" s="400" t="str">
        <f>IF(ISBLANK(tabItens[[#This Row],[CÓDIGO]]),"",IFERROR(VLOOKUP(tabItens[[#This Row],[CÓDIGO]],Consumo!$C$2:$AC$862,26,FALSE),0))</f>
        <v>09.2023</v>
      </c>
      <c r="AS353" s="401">
        <f>SUMIF(Consumo!$C$3:$C$862,tabItens[[#This Row],[CÓDIGO]],Consumo!$N$3:$N$862) + SUMIF(Consumo!$C$3:$C$862,tabItens[[#This Row],[CÓDIGO]],Consumo!$O$3:$O$862) + SUMIF(Consumo!$C$3:$C$862,tabItens[[#This Row],[CÓDIGO]],Consumo!$P$3:$P$862) + SUMIF(Consumo!$C$3:$C$862,tabItens[[#This Row],[CÓDIGO]],Consumo!$Q$3:$Q$862)</f>
        <v>350</v>
      </c>
      <c r="AT353" s="401">
        <f>SUMIF(Consumo!$C$3:$C$862,tabItens[[#This Row],[CÓDIGO]],Consumo!$Z$3:$Z$862)</f>
        <v>980</v>
      </c>
      <c r="AU353" s="402">
        <f>SUMIF(Consumo!$C$3:$C$862,tabItens[[#This Row],[CÓDIGO]],Consumo!$AA$3:$AA$862)</f>
        <v>300</v>
      </c>
      <c r="AV353" s="403">
        <f>SUMIF(Consumo!$C$3:$C$862,tabItens[[#This Row],[CÓDIGO]],Consumo!$Y$3:$Y$862)</f>
        <v>81.666666666666671</v>
      </c>
      <c r="AW353" s="380">
        <f>tabItens[[#This Row],[QTDE ATUAL]] + tabItens[[#This Row],[RC QTDE]] + tabItens[[#This Row],[AF SALDO]] + tabItens[[#This Row],[Recentes]]</f>
        <v>1588</v>
      </c>
      <c r="AX353" s="404">
        <v>155</v>
      </c>
      <c r="AY353" s="404">
        <v>4</v>
      </c>
      <c r="AZ353" s="404">
        <f>IF(ISBLANK(tabItens[[#This Row],[CÓDIGO]]),"",tabItens[[#This Row],[PontoMês]] * (AZ$2+tabItens[[#This Row],[PontoQtM]]))</f>
        <v>620</v>
      </c>
      <c r="BA353" s="403">
        <f>tabItens[[#This Row],[PontoPed]] - tabItens[[#This Row],[Saldo]] + (1/10)</f>
        <v>-967.9</v>
      </c>
      <c r="BB353" s="403">
        <f xml:space="preserve"> tabItens[[#This Row],[PontoMês]] * BB$2 - tabItens[[#This Row],[QTDE ATUAL]] - (1/10)</f>
        <v>-1433.1</v>
      </c>
      <c r="BC353" s="335">
        <f>IF( tabItens[[#This Row],[PontoPed]]&gt;0, IF(tabItens[[#This Row],[PontoPed]]&lt;1, 1, IF( tabItens[[#This Row],[Saldo]]&gt;tabItens[[#This Row],[PontoPed]], 0, (tabItens[[#This Row],[PontoPed]]-tabItens[[#This Row],[Saldo]])/tabItens[[#This Row],[PontoPed]] ) ), 0 )</f>
        <v>0</v>
      </c>
      <c r="BD353" s="405">
        <f>ROUNDDOWN(IF( OR( AND(tabItens[[#This Row],[PontoPed]]&lt;tabItens[[#This Row],[Saldo]],tabItens[[#This Row],[Saldo]]&gt;0), tabItens[[#This Row],[PontoPed]]=0), 99, IF(AND(tabItens[[#This Row],[Saldo]]=0,tabItens[[#This Row],[PontoPed]]&gt;0), 0, (1-tabItens[[#This Row],[PctAb]])*10 ) ),0)</f>
        <v>99</v>
      </c>
      <c r="BE353" s="406">
        <f>MAX(ROUNDDOWN( IF(tabItens[[#This Row],[Abaixo]] &gt; 0,   tabItens[[#This Row],[Abaixo]] + (tabItens[[#This Row],[PontoMês]] * IF( OR( ISBLANK(tabItens[[#This Row],[ATA Nº/ANO]]), tabItens[[#This Row],[ATA Nº/ANO]] = ""),BE$2,BE$1)),0),0),0)</f>
        <v>0</v>
      </c>
      <c r="BF35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3" s="338">
        <f>SUMIF(Consumo!$C$3:$C$862,tabItens[[#This Row],[CÓDIGO]],Consumo!$E$3:$E$862)</f>
        <v>0</v>
      </c>
      <c r="BH353" s="339">
        <f>IF(AND(tabItens[[#This Row],[Pend]] &gt; 0,tabItens[[#This Row],[Consumo]] &lt;&gt; 0), tabItens[[#This Row],[Pend]] / tabItens[[#This Row],[Consumo]], 0 )</f>
        <v>0</v>
      </c>
      <c r="BI353" s="338"/>
      <c r="BJ353" s="407"/>
      <c r="BK353" s="408" t="s">
        <v>2086</v>
      </c>
    </row>
    <row r="354" spans="1:63" x14ac:dyDescent="0.3">
      <c r="A354" s="375">
        <v>48901</v>
      </c>
      <c r="B354" s="376" t="s">
        <v>1292</v>
      </c>
      <c r="C354" s="377" t="s">
        <v>263</v>
      </c>
      <c r="D354" s="378">
        <v>2.4</v>
      </c>
      <c r="E354" s="305"/>
      <c r="F354" s="379"/>
      <c r="G354" s="379" t="s">
        <v>889</v>
      </c>
      <c r="H354" s="380">
        <v>289</v>
      </c>
      <c r="I354" s="307">
        <v>103003</v>
      </c>
      <c r="J354" s="308">
        <v>2.4</v>
      </c>
      <c r="K354" s="381">
        <v>48</v>
      </c>
      <c r="L354" s="382">
        <f>IF(tabItens[[#This Row],[Média]] &gt; 0, tabItens[[#This Row],[QTDE ATUAL]] / tabItens[[#This Row],[Média]],999.9)</f>
        <v>60.842105263157897</v>
      </c>
      <c r="M354" s="383">
        <v>0</v>
      </c>
      <c r="N354" s="384">
        <f>tabItens[[#This Row],[VALOR UNIT.]] * tabItens[[#This Row],[LC]]</f>
        <v>0</v>
      </c>
      <c r="O354" s="385" t="s">
        <v>2090</v>
      </c>
      <c r="P354" s="386"/>
      <c r="Q354" s="387"/>
      <c r="R354" s="312"/>
      <c r="S354" s="388"/>
      <c r="T354" s="389">
        <f>ROUNDDOWN(IFERROR(tabItens[[#This Row],[ATA DT.VALID.]] - $D$1,0) / 30,0)</f>
        <v>-1474</v>
      </c>
      <c r="U354" s="302" t="s">
        <v>937</v>
      </c>
      <c r="V354" s="318">
        <v>1</v>
      </c>
      <c r="W354" s="390" t="s">
        <v>2074</v>
      </c>
      <c r="X354" s="391">
        <v>45</v>
      </c>
      <c r="Y354" s="392">
        <v>9</v>
      </c>
      <c r="Z354" s="393"/>
      <c r="AA354" s="394"/>
      <c r="AB354" s="395"/>
      <c r="AC354" s="395"/>
      <c r="AD354" s="394"/>
      <c r="AE354" s="395"/>
      <c r="AF354" s="317"/>
      <c r="AG354" s="396" t="s">
        <v>2072</v>
      </c>
      <c r="AH354" s="397"/>
      <c r="AI354" s="317">
        <v>20</v>
      </c>
      <c r="AJ354" s="397">
        <v>43616</v>
      </c>
      <c r="AK354" s="326" t="s">
        <v>889</v>
      </c>
      <c r="AL354" s="326">
        <v>45196</v>
      </c>
      <c r="AM354" s="316"/>
      <c r="AN354" s="305"/>
      <c r="AO354" s="327" t="str">
        <f>_xlfn.IFNA(IF(VLOOKUP(tabItens[[#This Row],[CÓDIGO]],tabExcluirDoEstoque[#Data],1,FALSE),"sim",""),"")</f>
        <v/>
      </c>
      <c r="AP354" s="398" t="str">
        <f ca="1">IF(OR(ISBLANK(tabItens[[#This Row],[ATA DT.VALID.]]),tabItens[[#This Row],[ATA DT.VALID.]]="",tabItens[[#This Row],[ATA DT.VALID.]]=" "),"",IF(TYPE(tabItens[[#This Row],[ATA DT.VALID.]])=1,ROUNDUP((tabItens[[#This Row],[ATA DT.VALID.]]-TODAY())/7,0),""))</f>
        <v/>
      </c>
      <c r="AQ354" s="399">
        <v>0</v>
      </c>
      <c r="AR354" s="400" t="str">
        <f>IF(ISBLANK(tabItens[[#This Row],[CÓDIGO]]),"",IFERROR(VLOOKUP(tabItens[[#This Row],[CÓDIGO]],Consumo!$C$2:$AC$862,26,FALSE),0))</f>
        <v>09.2023</v>
      </c>
      <c r="AS354" s="401">
        <f>SUMIF(Consumo!$C$3:$C$862,tabItens[[#This Row],[CÓDIGO]],Consumo!$N$3:$N$862) + SUMIF(Consumo!$C$3:$C$862,tabItens[[#This Row],[CÓDIGO]],Consumo!$O$3:$O$862) + SUMIF(Consumo!$C$3:$C$862,tabItens[[#This Row],[CÓDIGO]],Consumo!$P$3:$P$862) + SUMIF(Consumo!$C$3:$C$862,tabItens[[#This Row],[CÓDIGO]],Consumo!$Q$3:$Q$862)</f>
        <v>24</v>
      </c>
      <c r="AT354" s="401">
        <f>SUMIF(Consumo!$C$3:$C$862,tabItens[[#This Row],[CÓDIGO]],Consumo!$Z$3:$Z$862)</f>
        <v>59</v>
      </c>
      <c r="AU354" s="402">
        <f>SUMIF(Consumo!$C$3:$C$862,tabItens[[#This Row],[CÓDIGO]],Consumo!$AA$3:$AA$862)</f>
        <v>16</v>
      </c>
      <c r="AV354" s="403">
        <f>SUMIF(Consumo!$C$3:$C$862,tabItens[[#This Row],[CÓDIGO]],Consumo!$Y$3:$Y$862)</f>
        <v>4.75</v>
      </c>
      <c r="AW354" s="380">
        <f>tabItens[[#This Row],[QTDE ATUAL]] + tabItens[[#This Row],[RC QTDE]] + tabItens[[#This Row],[AF SALDO]] + tabItens[[#This Row],[Recentes]]</f>
        <v>289</v>
      </c>
      <c r="AX354" s="404">
        <v>6</v>
      </c>
      <c r="AY354" s="404">
        <v>4</v>
      </c>
      <c r="AZ354" s="404">
        <f>IF(ISBLANK(tabItens[[#This Row],[CÓDIGO]]),"",tabItens[[#This Row],[PontoMês]] * (AZ$2+tabItens[[#This Row],[PontoQtM]]))</f>
        <v>24</v>
      </c>
      <c r="BA354" s="403">
        <f>tabItens[[#This Row],[PontoPed]] - tabItens[[#This Row],[Saldo]] + (1/10)</f>
        <v>-264.89999999999998</v>
      </c>
      <c r="BB354" s="403">
        <f xml:space="preserve"> tabItens[[#This Row],[PontoMês]] * BB$2 - tabItens[[#This Row],[QTDE ATUAL]] - (1/10)</f>
        <v>-283.10000000000002</v>
      </c>
      <c r="BC354" s="335">
        <f>IF( tabItens[[#This Row],[PontoPed]]&gt;0, IF(tabItens[[#This Row],[PontoPed]]&lt;1, 1, IF( tabItens[[#This Row],[Saldo]]&gt;tabItens[[#This Row],[PontoPed]], 0, (tabItens[[#This Row],[PontoPed]]-tabItens[[#This Row],[Saldo]])/tabItens[[#This Row],[PontoPed]] ) ), 0 )</f>
        <v>0</v>
      </c>
      <c r="BD354" s="405">
        <f>ROUNDDOWN(IF( OR( AND(tabItens[[#This Row],[PontoPed]]&lt;tabItens[[#This Row],[Saldo]],tabItens[[#This Row],[Saldo]]&gt;0), tabItens[[#This Row],[PontoPed]]=0), 99, IF(AND(tabItens[[#This Row],[Saldo]]=0,tabItens[[#This Row],[PontoPed]]&gt;0), 0, (1-tabItens[[#This Row],[PctAb]])*10 ) ),0)</f>
        <v>99</v>
      </c>
      <c r="BE354" s="406">
        <f>MAX(ROUNDDOWN( IF(tabItens[[#This Row],[Abaixo]] &gt; 0,   tabItens[[#This Row],[Abaixo]] + (tabItens[[#This Row],[PontoMês]] * IF( OR( ISBLANK(tabItens[[#This Row],[ATA Nº/ANO]]), tabItens[[#This Row],[ATA Nº/ANO]] = ""),BE$2,BE$1)),0),0),0)</f>
        <v>0</v>
      </c>
      <c r="BF35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4" s="338">
        <f>SUMIF(Consumo!$C$3:$C$862,tabItens[[#This Row],[CÓDIGO]],Consumo!$E$3:$E$862)</f>
        <v>2</v>
      </c>
      <c r="BH354" s="339">
        <f>IF(AND(tabItens[[#This Row],[Pend]] &gt; 0,tabItens[[#This Row],[Consumo]] &lt;&gt; 0), tabItens[[#This Row],[Pend]] / tabItens[[#This Row],[Consumo]], 0 )</f>
        <v>3.3898305084745763E-2</v>
      </c>
      <c r="BI354" s="338"/>
      <c r="BJ354" s="407"/>
      <c r="BK354" s="408" t="s">
        <v>2086</v>
      </c>
    </row>
    <row r="355" spans="1:63" x14ac:dyDescent="0.3">
      <c r="A355" s="375">
        <v>135703</v>
      </c>
      <c r="B355" s="376" t="s">
        <v>1921</v>
      </c>
      <c r="C355" s="377" t="s">
        <v>31</v>
      </c>
      <c r="D355" s="378">
        <v>1.49</v>
      </c>
      <c r="E355" s="305"/>
      <c r="F355" s="379"/>
      <c r="G355" s="379" t="s">
        <v>889</v>
      </c>
      <c r="H355" s="380">
        <v>6143</v>
      </c>
      <c r="I355" s="307">
        <v>103003</v>
      </c>
      <c r="J355" s="308">
        <v>1.49</v>
      </c>
      <c r="K355" s="381">
        <v>7515</v>
      </c>
      <c r="L355" s="382">
        <f>IF(tabItens[[#This Row],[Média]] &gt; 0, tabItens[[#This Row],[QTDE ATUAL]] / tabItens[[#This Row],[Média]],999.9)</f>
        <v>8.4701826956221993</v>
      </c>
      <c r="M355" s="383">
        <v>0</v>
      </c>
      <c r="N355" s="384">
        <f>tabItens[[#This Row],[VALOR UNIT.]] * tabItens[[#This Row],[LC]]</f>
        <v>0</v>
      </c>
      <c r="O355" s="385" t="s">
        <v>2090</v>
      </c>
      <c r="P355" s="386"/>
      <c r="Q355" s="387"/>
      <c r="R355" s="312"/>
      <c r="S355" s="388"/>
      <c r="T355" s="389">
        <f>ROUNDDOWN(IFERROR(tabItens[[#This Row],[ATA DT.VALID.]] - $D$1,0) / 30,0)</f>
        <v>-1474</v>
      </c>
      <c r="U355" s="302" t="s">
        <v>937</v>
      </c>
      <c r="V355" s="318">
        <v>1</v>
      </c>
      <c r="W355" s="390" t="s">
        <v>2074</v>
      </c>
      <c r="X355" s="391">
        <v>45</v>
      </c>
      <c r="Y355" s="392">
        <v>9</v>
      </c>
      <c r="Z355" s="393"/>
      <c r="AA355" s="394"/>
      <c r="AB355" s="395"/>
      <c r="AC355" s="395"/>
      <c r="AD355" s="394"/>
      <c r="AE355" s="395"/>
      <c r="AF355" s="317"/>
      <c r="AG355" s="396" t="s">
        <v>2072</v>
      </c>
      <c r="AH355" s="397"/>
      <c r="AI355" s="317">
        <v>7746</v>
      </c>
      <c r="AJ355" s="397">
        <v>44151</v>
      </c>
      <c r="AK355" s="326">
        <v>43333</v>
      </c>
      <c r="AL355" s="326">
        <v>44999</v>
      </c>
      <c r="AM355" s="316"/>
      <c r="AN355" s="305"/>
      <c r="AO355" s="327" t="str">
        <f>_xlfn.IFNA(IF(VLOOKUP(tabItens[[#This Row],[CÓDIGO]],tabExcluirDoEstoque[#Data],1,FALSE),"sim",""),"")</f>
        <v/>
      </c>
      <c r="AP355" s="398" t="str">
        <f ca="1">IF(OR(ISBLANK(tabItens[[#This Row],[ATA DT.VALID.]]),tabItens[[#This Row],[ATA DT.VALID.]]="",tabItens[[#This Row],[ATA DT.VALID.]]=" "),"",IF(TYPE(tabItens[[#This Row],[ATA DT.VALID.]])=1,ROUNDUP((tabItens[[#This Row],[ATA DT.VALID.]]-TODAY())/7,0),""))</f>
        <v/>
      </c>
      <c r="AQ355" s="399">
        <v>0</v>
      </c>
      <c r="AR355" s="400" t="str">
        <f>IF(ISBLANK(tabItens[[#This Row],[CÓDIGO]]),"",IFERROR(VLOOKUP(tabItens[[#This Row],[CÓDIGO]],Consumo!$C$2:$AC$862,26,FALSE),0))</f>
        <v>09.2023</v>
      </c>
      <c r="AS355" s="401">
        <f>SUMIF(Consumo!$C$3:$C$862,tabItens[[#This Row],[CÓDIGO]],Consumo!$N$3:$N$862) + SUMIF(Consumo!$C$3:$C$862,tabItens[[#This Row],[CÓDIGO]],Consumo!$O$3:$O$862) + SUMIF(Consumo!$C$3:$C$862,tabItens[[#This Row],[CÓDIGO]],Consumo!$P$3:$P$862) + SUMIF(Consumo!$C$3:$C$862,tabItens[[#This Row],[CÓDIGO]],Consumo!$Q$3:$Q$862)</f>
        <v>1919</v>
      </c>
      <c r="AT355" s="401">
        <f>SUMIF(Consumo!$C$3:$C$862,tabItens[[#This Row],[CÓDIGO]],Consumo!$Z$3:$Z$862)</f>
        <v>10132</v>
      </c>
      <c r="AU355" s="402">
        <f>SUMIF(Consumo!$C$3:$C$862,tabItens[[#This Row],[CÓDIGO]],Consumo!$AA$3:$AA$862)</f>
        <v>4720</v>
      </c>
      <c r="AV355" s="403">
        <f>SUMIF(Consumo!$C$3:$C$862,tabItens[[#This Row],[CÓDIGO]],Consumo!$Y$3:$Y$862)</f>
        <v>725.25</v>
      </c>
      <c r="AW355" s="380">
        <f>tabItens[[#This Row],[QTDE ATUAL]] + tabItens[[#This Row],[RC QTDE]] + tabItens[[#This Row],[AF SALDO]] + tabItens[[#This Row],[Recentes]]</f>
        <v>6143</v>
      </c>
      <c r="AX355" s="404">
        <v>695</v>
      </c>
      <c r="AY355" s="404">
        <v>4</v>
      </c>
      <c r="AZ355" s="404">
        <f>IF(ISBLANK(tabItens[[#This Row],[CÓDIGO]]),"",tabItens[[#This Row],[PontoMês]] * (AZ$2+tabItens[[#This Row],[PontoQtM]]))</f>
        <v>2780</v>
      </c>
      <c r="BA355" s="403">
        <f>tabItens[[#This Row],[PontoPed]] - tabItens[[#This Row],[Saldo]] + (1/10)</f>
        <v>-3362.9</v>
      </c>
      <c r="BB355" s="403">
        <f xml:space="preserve"> tabItens[[#This Row],[PontoMês]] * BB$2 - tabItens[[#This Row],[QTDE ATUAL]] - (1/10)</f>
        <v>-5448.1</v>
      </c>
      <c r="BC355" s="335">
        <f>IF( tabItens[[#This Row],[PontoPed]]&gt;0, IF(tabItens[[#This Row],[PontoPed]]&lt;1, 1, IF( tabItens[[#This Row],[Saldo]]&gt;tabItens[[#This Row],[PontoPed]], 0, (tabItens[[#This Row],[PontoPed]]-tabItens[[#This Row],[Saldo]])/tabItens[[#This Row],[PontoPed]] ) ), 0 )</f>
        <v>0</v>
      </c>
      <c r="BD355" s="405">
        <f>ROUNDDOWN(IF( OR( AND(tabItens[[#This Row],[PontoPed]]&lt;tabItens[[#This Row],[Saldo]],tabItens[[#This Row],[Saldo]]&gt;0), tabItens[[#This Row],[PontoPed]]=0), 99, IF(AND(tabItens[[#This Row],[Saldo]]=0,tabItens[[#This Row],[PontoPed]]&gt;0), 0, (1-tabItens[[#This Row],[PctAb]])*10 ) ),0)</f>
        <v>99</v>
      </c>
      <c r="BE355" s="406">
        <f>MAX(ROUNDDOWN( IF(tabItens[[#This Row],[Abaixo]] &gt; 0,   tabItens[[#This Row],[Abaixo]] + (tabItens[[#This Row],[PontoMês]] * IF( OR( ISBLANK(tabItens[[#This Row],[ATA Nº/ANO]]), tabItens[[#This Row],[ATA Nº/ANO]] = ""),BE$2,BE$1)),0),0),0)</f>
        <v>0</v>
      </c>
      <c r="BF35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5" s="338">
        <f>SUMIF(Consumo!$C$3:$C$862,tabItens[[#This Row],[CÓDIGO]],Consumo!$E$3:$E$862)</f>
        <v>0</v>
      </c>
      <c r="BH355" s="339">
        <f>IF(AND(tabItens[[#This Row],[Pend]] &gt; 0,tabItens[[#This Row],[Consumo]] &lt;&gt; 0), tabItens[[#This Row],[Pend]] / tabItens[[#This Row],[Consumo]], 0 )</f>
        <v>0</v>
      </c>
      <c r="BI355" s="338"/>
      <c r="BJ355" s="407"/>
      <c r="BK355" s="408" t="s">
        <v>2086</v>
      </c>
    </row>
    <row r="356" spans="1:63" x14ac:dyDescent="0.3">
      <c r="A356" s="375">
        <v>138465</v>
      </c>
      <c r="B356" s="376" t="s">
        <v>1977</v>
      </c>
      <c r="C356" s="377" t="s">
        <v>31</v>
      </c>
      <c r="D356" s="378">
        <v>2.94</v>
      </c>
      <c r="E356" s="305"/>
      <c r="F356" s="379"/>
      <c r="G356" s="379" t="s">
        <v>889</v>
      </c>
      <c r="H356" s="380">
        <v>4384</v>
      </c>
      <c r="I356" s="307">
        <v>103003</v>
      </c>
      <c r="J356" s="308">
        <v>2.94</v>
      </c>
      <c r="K356" s="381">
        <v>2936</v>
      </c>
      <c r="L356" s="382">
        <f>IF(tabItens[[#This Row],[Média]] &gt; 0, tabItens[[#This Row],[QTDE ATUAL]] / tabItens[[#This Row],[Média]],999.9)</f>
        <v>12.363807285546416</v>
      </c>
      <c r="M356" s="383">
        <v>0</v>
      </c>
      <c r="N356" s="384">
        <f>tabItens[[#This Row],[VALOR UNIT.]] * tabItens[[#This Row],[LC]]</f>
        <v>0</v>
      </c>
      <c r="O356" s="385" t="s">
        <v>2090</v>
      </c>
      <c r="P356" s="386"/>
      <c r="Q356" s="387"/>
      <c r="R356" s="312"/>
      <c r="S356" s="388"/>
      <c r="T356" s="389">
        <f>ROUNDDOWN(IFERROR(tabItens[[#This Row],[ATA DT.VALID.]] - $D$1,0) / 30,0)</f>
        <v>-1474</v>
      </c>
      <c r="U356" s="302" t="s">
        <v>937</v>
      </c>
      <c r="V356" s="318">
        <v>1</v>
      </c>
      <c r="W356" s="390" t="s">
        <v>2074</v>
      </c>
      <c r="X356" s="391">
        <v>45</v>
      </c>
      <c r="Y356" s="392">
        <v>9</v>
      </c>
      <c r="Z356" s="393"/>
      <c r="AA356" s="394"/>
      <c r="AB356" s="395"/>
      <c r="AC356" s="395"/>
      <c r="AD356" s="394"/>
      <c r="AE356" s="395"/>
      <c r="AF356" s="317"/>
      <c r="AG356" s="396" t="s">
        <v>2072</v>
      </c>
      <c r="AH356" s="397"/>
      <c r="AI356" s="317">
        <v>10078</v>
      </c>
      <c r="AJ356" s="397" t="s">
        <v>889</v>
      </c>
      <c r="AK356" s="326">
        <v>43720</v>
      </c>
      <c r="AL356" s="326">
        <v>45125</v>
      </c>
      <c r="AM356" s="316"/>
      <c r="AN356" s="305"/>
      <c r="AO356" s="327" t="str">
        <f>_xlfn.IFNA(IF(VLOOKUP(tabItens[[#This Row],[CÓDIGO]],tabExcluirDoEstoque[#Data],1,FALSE),"sim",""),"")</f>
        <v/>
      </c>
      <c r="AP356" s="398" t="str">
        <f ca="1">IF(OR(ISBLANK(tabItens[[#This Row],[ATA DT.VALID.]]),tabItens[[#This Row],[ATA DT.VALID.]]="",tabItens[[#This Row],[ATA DT.VALID.]]=" "),"",IF(TYPE(tabItens[[#This Row],[ATA DT.VALID.]])=1,ROUNDUP((tabItens[[#This Row],[ATA DT.VALID.]]-TODAY())/7,0),""))</f>
        <v/>
      </c>
      <c r="AQ356" s="399">
        <v>0</v>
      </c>
      <c r="AR356" s="400" t="str">
        <f>IF(ISBLANK(tabItens[[#This Row],[CÓDIGO]]),"",IFERROR(VLOOKUP(tabItens[[#This Row],[CÓDIGO]],Consumo!$C$2:$AC$862,26,FALSE),0))</f>
        <v>09.2023</v>
      </c>
      <c r="AS356" s="401">
        <f>SUMIF(Consumo!$C$3:$C$862,tabItens[[#This Row],[CÓDIGO]],Consumo!$N$3:$N$862) + SUMIF(Consumo!$C$3:$C$862,tabItens[[#This Row],[CÓDIGO]],Consumo!$O$3:$O$862) + SUMIF(Consumo!$C$3:$C$862,tabItens[[#This Row],[CÓDIGO]],Consumo!$P$3:$P$862) + SUMIF(Consumo!$C$3:$C$862,tabItens[[#This Row],[CÓDIGO]],Consumo!$Q$3:$Q$862)</f>
        <v>1127</v>
      </c>
      <c r="AT356" s="401">
        <f>SUMIF(Consumo!$C$3:$C$862,tabItens[[#This Row],[CÓDIGO]],Consumo!$Z$3:$Z$862)</f>
        <v>4255</v>
      </c>
      <c r="AU356" s="402">
        <f>SUMIF(Consumo!$C$3:$C$862,tabItens[[#This Row],[CÓDIGO]],Consumo!$AA$3:$AA$862)</f>
        <v>657</v>
      </c>
      <c r="AV356" s="403">
        <f>SUMIF(Consumo!$C$3:$C$862,tabItens[[#This Row],[CÓDIGO]],Consumo!$Y$3:$Y$862)</f>
        <v>354.58333333333331</v>
      </c>
      <c r="AW356" s="380">
        <f>tabItens[[#This Row],[QTDE ATUAL]] + tabItens[[#This Row],[RC QTDE]] + tabItens[[#This Row],[AF SALDO]] + tabItens[[#This Row],[Recentes]]</f>
        <v>4384</v>
      </c>
      <c r="AX356" s="404">
        <v>1011</v>
      </c>
      <c r="AY356" s="404">
        <v>4</v>
      </c>
      <c r="AZ356" s="404">
        <f>IF(ISBLANK(tabItens[[#This Row],[CÓDIGO]]),"",tabItens[[#This Row],[PontoMês]] * (AZ$2+tabItens[[#This Row],[PontoQtM]]))</f>
        <v>4044</v>
      </c>
      <c r="BA356" s="403">
        <f>tabItens[[#This Row],[PontoPed]] - tabItens[[#This Row],[Saldo]] + (1/10)</f>
        <v>-339.9</v>
      </c>
      <c r="BB356" s="403">
        <f xml:space="preserve"> tabItens[[#This Row],[PontoMês]] * BB$2 - tabItens[[#This Row],[QTDE ATUAL]] - (1/10)</f>
        <v>-3373.1</v>
      </c>
      <c r="BC356" s="335">
        <f>IF( tabItens[[#This Row],[PontoPed]]&gt;0, IF(tabItens[[#This Row],[PontoPed]]&lt;1, 1, IF( tabItens[[#This Row],[Saldo]]&gt;tabItens[[#This Row],[PontoPed]], 0, (tabItens[[#This Row],[PontoPed]]-tabItens[[#This Row],[Saldo]])/tabItens[[#This Row],[PontoPed]] ) ), 0 )</f>
        <v>0</v>
      </c>
      <c r="BD356" s="405">
        <f>ROUNDDOWN(IF( OR( AND(tabItens[[#This Row],[PontoPed]]&lt;tabItens[[#This Row],[Saldo]],tabItens[[#This Row],[Saldo]]&gt;0), tabItens[[#This Row],[PontoPed]]=0), 99, IF(AND(tabItens[[#This Row],[Saldo]]=0,tabItens[[#This Row],[PontoPed]]&gt;0), 0, (1-tabItens[[#This Row],[PctAb]])*10 ) ),0)</f>
        <v>99</v>
      </c>
      <c r="BE356" s="406">
        <f>MAX(ROUNDDOWN( IF(tabItens[[#This Row],[Abaixo]] &gt; 0,   tabItens[[#This Row],[Abaixo]] + (tabItens[[#This Row],[PontoMês]] * IF( OR( ISBLANK(tabItens[[#This Row],[ATA Nº/ANO]]), tabItens[[#This Row],[ATA Nº/ANO]] = ""),BE$2,BE$1)),0),0),0)</f>
        <v>0</v>
      </c>
      <c r="BF35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6" s="338">
        <f>SUMIF(Consumo!$C$3:$C$862,tabItens[[#This Row],[CÓDIGO]],Consumo!$E$3:$E$862)</f>
        <v>253</v>
      </c>
      <c r="BH356" s="339">
        <f>IF(AND(tabItens[[#This Row],[Pend]] &gt; 0,tabItens[[#This Row],[Consumo]] &lt;&gt; 0), tabItens[[#This Row],[Pend]] / tabItens[[#This Row],[Consumo]], 0 )</f>
        <v>5.9459459459459463E-2</v>
      </c>
      <c r="BI356" s="338"/>
      <c r="BJ356" s="407"/>
      <c r="BK356" s="408" t="s">
        <v>2086</v>
      </c>
    </row>
    <row r="357" spans="1:63" x14ac:dyDescent="0.3">
      <c r="A357" s="375">
        <v>10392</v>
      </c>
      <c r="B357" s="376" t="s">
        <v>908</v>
      </c>
      <c r="C357" s="377" t="s">
        <v>263</v>
      </c>
      <c r="D357" s="378">
        <v>0.9</v>
      </c>
      <c r="E357" s="305"/>
      <c r="F357" s="379"/>
      <c r="G357" s="379" t="s">
        <v>889</v>
      </c>
      <c r="H357" s="380">
        <v>0</v>
      </c>
      <c r="I357" s="307">
        <v>103003</v>
      </c>
      <c r="J357" s="308">
        <v>0.9</v>
      </c>
      <c r="K357" s="381">
        <v>6338</v>
      </c>
      <c r="L357" s="382">
        <f>IF(tabItens[[#This Row],[Média]] &gt; 0, tabItens[[#This Row],[QTDE ATUAL]] / tabItens[[#This Row],[Média]],999.9)</f>
        <v>0</v>
      </c>
      <c r="M357" s="383">
        <v>0</v>
      </c>
      <c r="N357" s="384">
        <f>tabItens[[#This Row],[VALOR UNIT.]] * tabItens[[#This Row],[LC]]</f>
        <v>0</v>
      </c>
      <c r="O357" s="385" t="s">
        <v>2090</v>
      </c>
      <c r="P357" s="386"/>
      <c r="Q357" s="387"/>
      <c r="R357" s="312"/>
      <c r="S357" s="388"/>
      <c r="T357" s="389">
        <f>ROUNDDOWN(IFERROR(tabItens[[#This Row],[ATA DT.VALID.]] - $D$1,0) / 30,0)</f>
        <v>-1474</v>
      </c>
      <c r="U357" s="302" t="s">
        <v>909</v>
      </c>
      <c r="V357" s="318">
        <v>1</v>
      </c>
      <c r="W357" s="390" t="s">
        <v>2074</v>
      </c>
      <c r="X357" s="391">
        <v>45</v>
      </c>
      <c r="Y357" s="392">
        <v>10</v>
      </c>
      <c r="Z357" s="393">
        <v>6982</v>
      </c>
      <c r="AA357" s="394">
        <v>2023</v>
      </c>
      <c r="AB357" s="395">
        <v>4300</v>
      </c>
      <c r="AC357" s="395"/>
      <c r="AD357" s="394"/>
      <c r="AE357" s="395"/>
      <c r="AF357" s="317"/>
      <c r="AG357" s="396" t="s">
        <v>2072</v>
      </c>
      <c r="AH357" s="397"/>
      <c r="AI357" s="317">
        <v>2130</v>
      </c>
      <c r="AJ357" s="397">
        <v>44936</v>
      </c>
      <c r="AK357" s="326" t="s">
        <v>889</v>
      </c>
      <c r="AL357" s="326">
        <v>45107</v>
      </c>
      <c r="AM357" s="316"/>
      <c r="AN357" s="305"/>
      <c r="AO357" s="327" t="str">
        <f>_xlfn.IFNA(IF(VLOOKUP(tabItens[[#This Row],[CÓDIGO]],tabExcluirDoEstoque[#Data],1,FALSE),"sim",""),"")</f>
        <v/>
      </c>
      <c r="AP357" s="398" t="str">
        <f ca="1">IF(OR(ISBLANK(tabItens[[#This Row],[ATA DT.VALID.]]),tabItens[[#This Row],[ATA DT.VALID.]]="",tabItens[[#This Row],[ATA DT.VALID.]]=" "),"",IF(TYPE(tabItens[[#This Row],[ATA DT.VALID.]])=1,ROUNDUP((tabItens[[#This Row],[ATA DT.VALID.]]-TODAY())/7,0),""))</f>
        <v/>
      </c>
      <c r="AQ357" s="399">
        <v>0</v>
      </c>
      <c r="AR357" s="400" t="str">
        <f>IF(ISBLANK(tabItens[[#This Row],[CÓDIGO]]),"",IFERROR(VLOOKUP(tabItens[[#This Row],[CÓDIGO]],Consumo!$C$2:$AC$862,26,FALSE),0))</f>
        <v>06.2023</v>
      </c>
      <c r="AS357" s="401">
        <f>SUMIF(Consumo!$C$3:$C$862,tabItens[[#This Row],[CÓDIGO]],Consumo!$N$3:$N$862) + SUMIF(Consumo!$C$3:$C$862,tabItens[[#This Row],[CÓDIGO]],Consumo!$O$3:$O$862) + SUMIF(Consumo!$C$3:$C$862,tabItens[[#This Row],[CÓDIGO]],Consumo!$P$3:$P$862) + SUMIF(Consumo!$C$3:$C$862,tabItens[[#This Row],[CÓDIGO]],Consumo!$Q$3:$Q$862)</f>
        <v>15</v>
      </c>
      <c r="AT357" s="401">
        <f>SUMIF(Consumo!$C$3:$C$862,tabItens[[#This Row],[CÓDIGO]],Consumo!$Z$3:$Z$862)</f>
        <v>7769</v>
      </c>
      <c r="AU357" s="402">
        <f>SUMIF(Consumo!$C$3:$C$862,tabItens[[#This Row],[CÓDIGO]],Consumo!$AA$3:$AA$862)</f>
        <v>4461</v>
      </c>
      <c r="AV357" s="403">
        <f>SUMIF(Consumo!$C$3:$C$862,tabItens[[#This Row],[CÓDIGO]],Consumo!$Y$3:$Y$862)</f>
        <v>533.91666666666663</v>
      </c>
      <c r="AW357" s="380">
        <f>tabItens[[#This Row],[QTDE ATUAL]] + tabItens[[#This Row],[RC QTDE]] + tabItens[[#This Row],[AF SALDO]] + tabItens[[#This Row],[Recentes]]</f>
        <v>4300</v>
      </c>
      <c r="AX357" s="404">
        <v>565</v>
      </c>
      <c r="AY357" s="404">
        <v>4</v>
      </c>
      <c r="AZ357" s="404">
        <f>IF(ISBLANK(tabItens[[#This Row],[CÓDIGO]]),"",tabItens[[#This Row],[PontoMês]] * (AZ$2+tabItens[[#This Row],[PontoQtM]]))</f>
        <v>2260</v>
      </c>
      <c r="BA357" s="403">
        <f>tabItens[[#This Row],[PontoPed]] - tabItens[[#This Row],[Saldo]] + (1/10)</f>
        <v>-2039.9</v>
      </c>
      <c r="BB357" s="403">
        <f xml:space="preserve"> tabItens[[#This Row],[PontoMês]] * BB$2 - tabItens[[#This Row],[QTDE ATUAL]] - (1/10)</f>
        <v>564.9</v>
      </c>
      <c r="BC357" s="335">
        <f>IF( tabItens[[#This Row],[PontoPed]]&gt;0, IF(tabItens[[#This Row],[PontoPed]]&lt;1, 1, IF( tabItens[[#This Row],[Saldo]]&gt;tabItens[[#This Row],[PontoPed]], 0, (tabItens[[#This Row],[PontoPed]]-tabItens[[#This Row],[Saldo]])/tabItens[[#This Row],[PontoPed]] ) ), 0 )</f>
        <v>0</v>
      </c>
      <c r="BD357" s="405">
        <f>ROUNDDOWN(IF( OR( AND(tabItens[[#This Row],[PontoPed]]&lt;tabItens[[#This Row],[Saldo]],tabItens[[#This Row],[Saldo]]&gt;0), tabItens[[#This Row],[PontoPed]]=0), 99, IF(AND(tabItens[[#This Row],[Saldo]]=0,tabItens[[#This Row],[PontoPed]]&gt;0), 0, (1-tabItens[[#This Row],[PctAb]])*10 ) ),0)</f>
        <v>99</v>
      </c>
      <c r="BE357" s="406">
        <f>MAX(ROUNDDOWN( IF(tabItens[[#This Row],[Abaixo]] &gt; 0,   tabItens[[#This Row],[Abaixo]] + (tabItens[[#This Row],[PontoMês]] * IF( OR( ISBLANK(tabItens[[#This Row],[ATA Nº/ANO]]), tabItens[[#This Row],[ATA Nº/ANO]] = ""),BE$2,BE$1)),0),0),0)</f>
        <v>0</v>
      </c>
      <c r="BF35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7" s="338">
        <f>SUMIF(Consumo!$C$3:$C$862,tabItens[[#This Row],[CÓDIGO]],Consumo!$E$3:$E$862)</f>
        <v>1379</v>
      </c>
      <c r="BH357" s="339">
        <f>IF(AND(tabItens[[#This Row],[Pend]] &gt; 0,tabItens[[#This Row],[Consumo]] &lt;&gt; 0), tabItens[[#This Row],[Pend]] / tabItens[[#This Row],[Consumo]], 0 )</f>
        <v>0.17750032179173639</v>
      </c>
      <c r="BI357" s="338"/>
      <c r="BJ357" s="407"/>
      <c r="BK357" s="408" t="s">
        <v>2086</v>
      </c>
    </row>
    <row r="358" spans="1:63" x14ac:dyDescent="0.3">
      <c r="A358" s="375">
        <v>11590</v>
      </c>
      <c r="B358" s="376" t="s">
        <v>939</v>
      </c>
      <c r="C358" s="377" t="s">
        <v>263</v>
      </c>
      <c r="D358" s="378">
        <v>1.1000000000000001</v>
      </c>
      <c r="E358" s="305"/>
      <c r="F358" s="379"/>
      <c r="G358" s="379" t="s">
        <v>889</v>
      </c>
      <c r="H358" s="380">
        <v>0</v>
      </c>
      <c r="I358" s="307">
        <v>103003</v>
      </c>
      <c r="J358" s="308">
        <v>1.1000000000000001</v>
      </c>
      <c r="K358" s="381">
        <v>3910</v>
      </c>
      <c r="L358" s="382">
        <f>IF(tabItens[[#This Row],[Média]] &gt; 0, tabItens[[#This Row],[QTDE ATUAL]] / tabItens[[#This Row],[Média]],999.9)</f>
        <v>0</v>
      </c>
      <c r="M358" s="383">
        <v>0</v>
      </c>
      <c r="N358" s="384">
        <f>tabItens[[#This Row],[VALOR UNIT.]] * tabItens[[#This Row],[LC]]</f>
        <v>0</v>
      </c>
      <c r="O358" s="385" t="s">
        <v>2090</v>
      </c>
      <c r="P358" s="386"/>
      <c r="Q358" s="387"/>
      <c r="R358" s="312"/>
      <c r="S358" s="388"/>
      <c r="T358" s="389">
        <f>ROUNDDOWN(IFERROR(tabItens[[#This Row],[ATA DT.VALID.]] - $D$1,0) / 30,0)</f>
        <v>-1474</v>
      </c>
      <c r="U358" s="302" t="s">
        <v>909</v>
      </c>
      <c r="V358" s="318">
        <v>1</v>
      </c>
      <c r="W358" s="390" t="s">
        <v>2074</v>
      </c>
      <c r="X358" s="391">
        <v>45</v>
      </c>
      <c r="Y358" s="392">
        <v>10</v>
      </c>
      <c r="Z358" s="393">
        <v>6982</v>
      </c>
      <c r="AA358" s="394">
        <v>2023</v>
      </c>
      <c r="AB358" s="395">
        <v>2200</v>
      </c>
      <c r="AC358" s="395"/>
      <c r="AD358" s="394"/>
      <c r="AE358" s="395"/>
      <c r="AF358" s="317"/>
      <c r="AG358" s="396" t="s">
        <v>2072</v>
      </c>
      <c r="AH358" s="397"/>
      <c r="AI358" s="317">
        <v>1406</v>
      </c>
      <c r="AJ358" s="397">
        <v>44923</v>
      </c>
      <c r="AK358" s="326" t="s">
        <v>889</v>
      </c>
      <c r="AL358" s="326">
        <v>45107</v>
      </c>
      <c r="AM358" s="316"/>
      <c r="AN358" s="305"/>
      <c r="AO358" s="327" t="str">
        <f>_xlfn.IFNA(IF(VLOOKUP(tabItens[[#This Row],[CÓDIGO]],tabExcluirDoEstoque[#Data],1,FALSE),"sim",""),"")</f>
        <v/>
      </c>
      <c r="AP358" s="398" t="str">
        <f ca="1">IF(OR(ISBLANK(tabItens[[#This Row],[ATA DT.VALID.]]),tabItens[[#This Row],[ATA DT.VALID.]]="",tabItens[[#This Row],[ATA DT.VALID.]]=" "),"",IF(TYPE(tabItens[[#This Row],[ATA DT.VALID.]])=1,ROUNDUP((tabItens[[#This Row],[ATA DT.VALID.]]-TODAY())/7,0),""))</f>
        <v/>
      </c>
      <c r="AQ358" s="399">
        <v>0</v>
      </c>
      <c r="AR358" s="400" t="str">
        <f>IF(ISBLANK(tabItens[[#This Row],[CÓDIGO]]),"",IFERROR(VLOOKUP(tabItens[[#This Row],[CÓDIGO]],Consumo!$C$2:$AC$862,26,FALSE),0))</f>
        <v>06.2023</v>
      </c>
      <c r="AS358" s="401">
        <f>SUMIF(Consumo!$C$3:$C$862,tabItens[[#This Row],[CÓDIGO]],Consumo!$N$3:$N$862) + SUMIF(Consumo!$C$3:$C$862,tabItens[[#This Row],[CÓDIGO]],Consumo!$O$3:$O$862) + SUMIF(Consumo!$C$3:$C$862,tabItens[[#This Row],[CÓDIGO]],Consumo!$P$3:$P$862) + SUMIF(Consumo!$C$3:$C$862,tabItens[[#This Row],[CÓDIGO]],Consumo!$Q$3:$Q$862)</f>
        <v>51</v>
      </c>
      <c r="AT358" s="401">
        <f>SUMIF(Consumo!$C$3:$C$862,tabItens[[#This Row],[CÓDIGO]],Consumo!$Z$3:$Z$862)</f>
        <v>4267</v>
      </c>
      <c r="AU358" s="402">
        <f>SUMIF(Consumo!$C$3:$C$862,tabItens[[#This Row],[CÓDIGO]],Consumo!$AA$3:$AA$862)</f>
        <v>2991</v>
      </c>
      <c r="AV358" s="403">
        <f>SUMIF(Consumo!$C$3:$C$862,tabItens[[#This Row],[CÓDIGO]],Consumo!$Y$3:$Y$862)</f>
        <v>270.16666666666669</v>
      </c>
      <c r="AW358" s="380">
        <f>tabItens[[#This Row],[QTDE ATUAL]] + tabItens[[#This Row],[RC QTDE]] + tabItens[[#This Row],[AF SALDO]] + tabItens[[#This Row],[Recentes]]</f>
        <v>2200</v>
      </c>
      <c r="AX358" s="404">
        <v>456</v>
      </c>
      <c r="AY358" s="404">
        <v>4</v>
      </c>
      <c r="AZ358" s="404">
        <f>IF(ISBLANK(tabItens[[#This Row],[CÓDIGO]]),"",tabItens[[#This Row],[PontoMês]] * (AZ$2+tabItens[[#This Row],[PontoQtM]]))</f>
        <v>1824</v>
      </c>
      <c r="BA358" s="403">
        <f>tabItens[[#This Row],[PontoPed]] - tabItens[[#This Row],[Saldo]] + (1/10)</f>
        <v>-375.9</v>
      </c>
      <c r="BB358" s="403">
        <f xml:space="preserve"> tabItens[[#This Row],[PontoMês]] * BB$2 - tabItens[[#This Row],[QTDE ATUAL]] - (1/10)</f>
        <v>455.9</v>
      </c>
      <c r="BC358" s="335">
        <f>IF( tabItens[[#This Row],[PontoPed]]&gt;0, IF(tabItens[[#This Row],[PontoPed]]&lt;1, 1, IF( tabItens[[#This Row],[Saldo]]&gt;tabItens[[#This Row],[PontoPed]], 0, (tabItens[[#This Row],[PontoPed]]-tabItens[[#This Row],[Saldo]])/tabItens[[#This Row],[PontoPed]] ) ), 0 )</f>
        <v>0</v>
      </c>
      <c r="BD358" s="405">
        <f>ROUNDDOWN(IF( OR( AND(tabItens[[#This Row],[PontoPed]]&lt;tabItens[[#This Row],[Saldo]],tabItens[[#This Row],[Saldo]]&gt;0), tabItens[[#This Row],[PontoPed]]=0), 99, IF(AND(tabItens[[#This Row],[Saldo]]=0,tabItens[[#This Row],[PontoPed]]&gt;0), 0, (1-tabItens[[#This Row],[PctAb]])*10 ) ),0)</f>
        <v>99</v>
      </c>
      <c r="BE358" s="406">
        <f>MAX(ROUNDDOWN( IF(tabItens[[#This Row],[Abaixo]] &gt; 0,   tabItens[[#This Row],[Abaixo]] + (tabItens[[#This Row],[PontoMês]] * IF( OR( ISBLANK(tabItens[[#This Row],[ATA Nº/ANO]]), tabItens[[#This Row],[ATA Nº/ANO]] = ""),BE$2,BE$1)),0),0),0)</f>
        <v>0</v>
      </c>
      <c r="BF35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8" s="338">
        <f>SUMIF(Consumo!$C$3:$C$862,tabItens[[#This Row],[CÓDIGO]],Consumo!$E$3:$E$862)</f>
        <v>250</v>
      </c>
      <c r="BH358" s="339">
        <f>IF(AND(tabItens[[#This Row],[Pend]] &gt; 0,tabItens[[#This Row],[Consumo]] &lt;&gt; 0), tabItens[[#This Row],[Pend]] / tabItens[[#This Row],[Consumo]], 0 )</f>
        <v>5.8589172720881183E-2</v>
      </c>
      <c r="BI358" s="338"/>
      <c r="BJ358" s="407"/>
      <c r="BK358" s="408" t="s">
        <v>2086</v>
      </c>
    </row>
    <row r="359" spans="1:63" x14ac:dyDescent="0.3">
      <c r="A359" s="375">
        <v>77755</v>
      </c>
      <c r="B359" s="376" t="s">
        <v>1433</v>
      </c>
      <c r="C359" s="377" t="s">
        <v>263</v>
      </c>
      <c r="D359" s="378">
        <v>1.19</v>
      </c>
      <c r="E359" s="305"/>
      <c r="F359" s="379"/>
      <c r="G359" s="379" t="s">
        <v>889</v>
      </c>
      <c r="H359" s="380">
        <v>0</v>
      </c>
      <c r="I359" s="307">
        <v>103003</v>
      </c>
      <c r="J359" s="308">
        <v>1.19</v>
      </c>
      <c r="K359" s="381">
        <v>5066</v>
      </c>
      <c r="L359" s="382">
        <f>IF(tabItens[[#This Row],[Média]] &gt; 0, tabItens[[#This Row],[QTDE ATUAL]] / tabItens[[#This Row],[Média]],999.9)</f>
        <v>0</v>
      </c>
      <c r="M359" s="383">
        <v>0</v>
      </c>
      <c r="N359" s="384">
        <f>tabItens[[#This Row],[VALOR UNIT.]] * tabItens[[#This Row],[LC]]</f>
        <v>0</v>
      </c>
      <c r="O359" s="385" t="s">
        <v>2090</v>
      </c>
      <c r="P359" s="386"/>
      <c r="Q359" s="387"/>
      <c r="R359" s="312"/>
      <c r="S359" s="388"/>
      <c r="T359" s="389">
        <f>ROUNDDOWN(IFERROR(tabItens[[#This Row],[ATA DT.VALID.]] - $D$1,0) / 30,0)</f>
        <v>-1474</v>
      </c>
      <c r="U359" s="302" t="s">
        <v>909</v>
      </c>
      <c r="V359" s="318">
        <v>1</v>
      </c>
      <c r="W359" s="390" t="s">
        <v>2074</v>
      </c>
      <c r="X359" s="391">
        <v>45</v>
      </c>
      <c r="Y359" s="392">
        <v>10</v>
      </c>
      <c r="Z359" s="393">
        <v>6211</v>
      </c>
      <c r="AA359" s="394">
        <v>2023</v>
      </c>
      <c r="AB359" s="395">
        <v>2500</v>
      </c>
      <c r="AC359" s="395"/>
      <c r="AD359" s="394"/>
      <c r="AE359" s="395"/>
      <c r="AF359" s="317"/>
      <c r="AG359" s="396" t="s">
        <v>2072</v>
      </c>
      <c r="AH359" s="397"/>
      <c r="AI359" s="317">
        <v>2042</v>
      </c>
      <c r="AJ359" s="397">
        <v>44966</v>
      </c>
      <c r="AK359" s="326">
        <v>38063</v>
      </c>
      <c r="AL359" s="326">
        <v>44959</v>
      </c>
      <c r="AM359" s="316"/>
      <c r="AN359" s="305"/>
      <c r="AO359" s="327" t="str">
        <f>_xlfn.IFNA(IF(VLOOKUP(tabItens[[#This Row],[CÓDIGO]],tabExcluirDoEstoque[#Data],1,FALSE),"sim",""),"")</f>
        <v/>
      </c>
      <c r="AP359" s="398" t="str">
        <f ca="1">IF(OR(ISBLANK(tabItens[[#This Row],[ATA DT.VALID.]]),tabItens[[#This Row],[ATA DT.VALID.]]="",tabItens[[#This Row],[ATA DT.VALID.]]=" "),"",IF(TYPE(tabItens[[#This Row],[ATA DT.VALID.]])=1,ROUNDUP((tabItens[[#This Row],[ATA DT.VALID.]]-TODAY())/7,0),""))</f>
        <v/>
      </c>
      <c r="AQ359" s="399">
        <v>0</v>
      </c>
      <c r="AR359" s="400" t="str">
        <f>IF(ISBLANK(tabItens[[#This Row],[CÓDIGO]]),"",IFERROR(VLOOKUP(tabItens[[#This Row],[CÓDIGO]],Consumo!$C$2:$AC$862,26,FALSE),0))</f>
        <v>09.2023</v>
      </c>
      <c r="AS359" s="401">
        <f>SUMIF(Consumo!$C$3:$C$862,tabItens[[#This Row],[CÓDIGO]],Consumo!$N$3:$N$862) + SUMIF(Consumo!$C$3:$C$862,tabItens[[#This Row],[CÓDIGO]],Consumo!$O$3:$O$862) + SUMIF(Consumo!$C$3:$C$862,tabItens[[#This Row],[CÓDIGO]],Consumo!$P$3:$P$862) + SUMIF(Consumo!$C$3:$C$862,tabItens[[#This Row],[CÓDIGO]],Consumo!$Q$3:$Q$862)</f>
        <v>836</v>
      </c>
      <c r="AT359" s="401">
        <f>SUMIF(Consumo!$C$3:$C$862,tabItens[[#This Row],[CÓDIGO]],Consumo!$Z$3:$Z$862)</f>
        <v>6186</v>
      </c>
      <c r="AU359" s="402">
        <f>SUMIF(Consumo!$C$3:$C$862,tabItens[[#This Row],[CÓDIGO]],Consumo!$AA$3:$AA$862)</f>
        <v>3685</v>
      </c>
      <c r="AV359" s="403">
        <f>SUMIF(Consumo!$C$3:$C$862,tabItens[[#This Row],[CÓDIGO]],Consumo!$Y$3:$Y$862)</f>
        <v>412.58333333333331</v>
      </c>
      <c r="AW359" s="380">
        <f>tabItens[[#This Row],[QTDE ATUAL]] + tabItens[[#This Row],[RC QTDE]] + tabItens[[#This Row],[AF SALDO]] + tabItens[[#This Row],[Recentes]]</f>
        <v>2500</v>
      </c>
      <c r="AX359" s="404">
        <v>469</v>
      </c>
      <c r="AY359" s="404">
        <v>4</v>
      </c>
      <c r="AZ359" s="404">
        <f>IF(ISBLANK(tabItens[[#This Row],[CÓDIGO]]),"",tabItens[[#This Row],[PontoMês]] * (AZ$2+tabItens[[#This Row],[PontoQtM]]))</f>
        <v>1876</v>
      </c>
      <c r="BA359" s="403">
        <f>tabItens[[#This Row],[PontoPed]] - tabItens[[#This Row],[Saldo]] + (1/10)</f>
        <v>-623.9</v>
      </c>
      <c r="BB359" s="403">
        <f xml:space="preserve"> tabItens[[#This Row],[PontoMês]] * BB$2 - tabItens[[#This Row],[QTDE ATUAL]] - (1/10)</f>
        <v>468.9</v>
      </c>
      <c r="BC359" s="335">
        <f>IF( tabItens[[#This Row],[PontoPed]]&gt;0, IF(tabItens[[#This Row],[PontoPed]]&lt;1, 1, IF( tabItens[[#This Row],[Saldo]]&gt;tabItens[[#This Row],[PontoPed]], 0, (tabItens[[#This Row],[PontoPed]]-tabItens[[#This Row],[Saldo]])/tabItens[[#This Row],[PontoPed]] ) ), 0 )</f>
        <v>0</v>
      </c>
      <c r="BD359" s="405">
        <f>ROUNDDOWN(IF( OR( AND(tabItens[[#This Row],[PontoPed]]&lt;tabItens[[#This Row],[Saldo]],tabItens[[#This Row],[Saldo]]&gt;0), tabItens[[#This Row],[PontoPed]]=0), 99, IF(AND(tabItens[[#This Row],[Saldo]]=0,tabItens[[#This Row],[PontoPed]]&gt;0), 0, (1-tabItens[[#This Row],[PctAb]])*10 ) ),0)</f>
        <v>99</v>
      </c>
      <c r="BE359" s="406">
        <f>MAX(ROUNDDOWN( IF(tabItens[[#This Row],[Abaixo]] &gt; 0,   tabItens[[#This Row],[Abaixo]] + (tabItens[[#This Row],[PontoMês]] * IF( OR( ISBLANK(tabItens[[#This Row],[ATA Nº/ANO]]), tabItens[[#This Row],[ATA Nº/ANO]] = ""),BE$2,BE$1)),0),0),0)</f>
        <v>0</v>
      </c>
      <c r="BF35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9" s="338">
        <f>SUMIF(Consumo!$C$3:$C$862,tabItens[[#This Row],[CÓDIGO]],Consumo!$E$3:$E$862)</f>
        <v>63</v>
      </c>
      <c r="BH359" s="339">
        <f>IF(AND(tabItens[[#This Row],[Pend]] &gt; 0,tabItens[[#This Row],[Consumo]] &lt;&gt; 0), tabItens[[#This Row],[Pend]] / tabItens[[#This Row],[Consumo]], 0 )</f>
        <v>1.0184287099903006E-2</v>
      </c>
      <c r="BI359" s="338"/>
      <c r="BJ359" s="407"/>
      <c r="BK359" s="408" t="s">
        <v>2086</v>
      </c>
    </row>
    <row r="360" spans="1:63" x14ac:dyDescent="0.3">
      <c r="A360" s="375">
        <v>138459</v>
      </c>
      <c r="B360" s="376" t="s">
        <v>1970</v>
      </c>
      <c r="C360" s="377" t="s">
        <v>31</v>
      </c>
      <c r="D360" s="378">
        <v>0.51</v>
      </c>
      <c r="E360" s="305"/>
      <c r="F360" s="379"/>
      <c r="G360" s="379" t="s">
        <v>889</v>
      </c>
      <c r="H360" s="380">
        <v>36881</v>
      </c>
      <c r="I360" s="307">
        <v>103003</v>
      </c>
      <c r="J360" s="308">
        <v>0.51</v>
      </c>
      <c r="K360" s="381">
        <v>23513</v>
      </c>
      <c r="L360" s="382">
        <f>IF(tabItens[[#This Row],[Média]] &gt; 0, tabItens[[#This Row],[QTDE ATUAL]] / tabItens[[#This Row],[Média]],999.9)</f>
        <v>15.637481450074199</v>
      </c>
      <c r="M360" s="383">
        <v>0</v>
      </c>
      <c r="N360" s="384">
        <f>tabItens[[#This Row],[VALOR UNIT.]] * tabItens[[#This Row],[LC]]</f>
        <v>0</v>
      </c>
      <c r="O360" s="385" t="s">
        <v>2090</v>
      </c>
      <c r="P360" s="386"/>
      <c r="Q360" s="387"/>
      <c r="R360" s="312"/>
      <c r="S360" s="388"/>
      <c r="T360" s="389">
        <f>ROUNDDOWN(IFERROR(tabItens[[#This Row],[ATA DT.VALID.]] - $D$1,0) / 30,0)</f>
        <v>-1474</v>
      </c>
      <c r="U360" s="302" t="s">
        <v>909</v>
      </c>
      <c r="V360" s="318">
        <v>1</v>
      </c>
      <c r="W360" s="390" t="s">
        <v>2074</v>
      </c>
      <c r="X360" s="391">
        <v>45</v>
      </c>
      <c r="Y360" s="392">
        <v>10</v>
      </c>
      <c r="Z360" s="393"/>
      <c r="AA360" s="394"/>
      <c r="AB360" s="395"/>
      <c r="AC360" s="395"/>
      <c r="AD360" s="394"/>
      <c r="AE360" s="395"/>
      <c r="AF360" s="317"/>
      <c r="AG360" s="396" t="s">
        <v>2072</v>
      </c>
      <c r="AH360" s="397"/>
      <c r="AI360" s="317">
        <v>11096</v>
      </c>
      <c r="AJ360" s="397">
        <v>45009</v>
      </c>
      <c r="AK360" s="326">
        <v>43720</v>
      </c>
      <c r="AL360" s="326">
        <v>45107</v>
      </c>
      <c r="AM360" s="316"/>
      <c r="AN360" s="305"/>
      <c r="AO360" s="327" t="str">
        <f>_xlfn.IFNA(IF(VLOOKUP(tabItens[[#This Row],[CÓDIGO]],tabExcluirDoEstoque[#Data],1,FALSE),"sim",""),"")</f>
        <v/>
      </c>
      <c r="AP360" s="398" t="str">
        <f ca="1">IF(OR(ISBLANK(tabItens[[#This Row],[ATA DT.VALID.]]),tabItens[[#This Row],[ATA DT.VALID.]]="",tabItens[[#This Row],[ATA DT.VALID.]]=" "),"",IF(TYPE(tabItens[[#This Row],[ATA DT.VALID.]])=1,ROUNDUP((tabItens[[#This Row],[ATA DT.VALID.]]-TODAY())/7,0),""))</f>
        <v/>
      </c>
      <c r="AQ360" s="399">
        <v>0</v>
      </c>
      <c r="AR360" s="400" t="str">
        <f>IF(ISBLANK(tabItens[[#This Row],[CÓDIGO]]),"",IFERROR(VLOOKUP(tabItens[[#This Row],[CÓDIGO]],Consumo!$C$2:$AC$862,26,FALSE),0))</f>
        <v>09.2023</v>
      </c>
      <c r="AS360" s="401">
        <f>SUMIF(Consumo!$C$3:$C$862,tabItens[[#This Row],[CÓDIGO]],Consumo!$N$3:$N$862) + SUMIF(Consumo!$C$3:$C$862,tabItens[[#This Row],[CÓDIGO]],Consumo!$O$3:$O$862) + SUMIF(Consumo!$C$3:$C$862,tabItens[[#This Row],[CÓDIGO]],Consumo!$P$3:$P$862) + SUMIF(Consumo!$C$3:$C$862,tabItens[[#This Row],[CÓDIGO]],Consumo!$Q$3:$Q$862)</f>
        <v>9761</v>
      </c>
      <c r="AT360" s="401">
        <f>SUMIF(Consumo!$C$3:$C$862,tabItens[[#This Row],[CÓDIGO]],Consumo!$Z$3:$Z$862)</f>
        <v>31272</v>
      </c>
      <c r="AU360" s="402">
        <f>SUMIF(Consumo!$C$3:$C$862,tabItens[[#This Row],[CÓDIGO]],Consumo!$AA$3:$AA$862)</f>
        <v>11167</v>
      </c>
      <c r="AV360" s="403">
        <f>SUMIF(Consumo!$C$3:$C$862,tabItens[[#This Row],[CÓDIGO]],Consumo!$Y$3:$Y$862)</f>
        <v>2358.5</v>
      </c>
      <c r="AW360" s="380">
        <f>tabItens[[#This Row],[QTDE ATUAL]] + tabItens[[#This Row],[RC QTDE]] + tabItens[[#This Row],[AF SALDO]] + tabItens[[#This Row],[Recentes]]</f>
        <v>36881</v>
      </c>
      <c r="AX360" s="404">
        <v>5679</v>
      </c>
      <c r="AY360" s="404">
        <v>4</v>
      </c>
      <c r="AZ360" s="404">
        <f>IF(ISBLANK(tabItens[[#This Row],[CÓDIGO]]),"",tabItens[[#This Row],[PontoMês]] * (AZ$2+tabItens[[#This Row],[PontoQtM]]))</f>
        <v>22716</v>
      </c>
      <c r="BA360" s="403">
        <f>tabItens[[#This Row],[PontoPed]] - tabItens[[#This Row],[Saldo]] + (1/10)</f>
        <v>-14164.9</v>
      </c>
      <c r="BB360" s="403">
        <f xml:space="preserve"> tabItens[[#This Row],[PontoMês]] * BB$2 - tabItens[[#This Row],[QTDE ATUAL]] - (1/10)</f>
        <v>-31202.1</v>
      </c>
      <c r="BC360" s="335">
        <f>IF( tabItens[[#This Row],[PontoPed]]&gt;0, IF(tabItens[[#This Row],[PontoPed]]&lt;1, 1, IF( tabItens[[#This Row],[Saldo]]&gt;tabItens[[#This Row],[PontoPed]], 0, (tabItens[[#This Row],[PontoPed]]-tabItens[[#This Row],[Saldo]])/tabItens[[#This Row],[PontoPed]] ) ), 0 )</f>
        <v>0</v>
      </c>
      <c r="BD360" s="405">
        <f>ROUNDDOWN(IF( OR( AND(tabItens[[#This Row],[PontoPed]]&lt;tabItens[[#This Row],[Saldo]],tabItens[[#This Row],[Saldo]]&gt;0), tabItens[[#This Row],[PontoPed]]=0), 99, IF(AND(tabItens[[#This Row],[Saldo]]=0,tabItens[[#This Row],[PontoPed]]&gt;0), 0, (1-tabItens[[#This Row],[PctAb]])*10 ) ),0)</f>
        <v>99</v>
      </c>
      <c r="BE360" s="406">
        <f>MAX(ROUNDDOWN( IF(tabItens[[#This Row],[Abaixo]] &gt; 0,   tabItens[[#This Row],[Abaixo]] + (tabItens[[#This Row],[PontoMês]] * IF( OR( ISBLANK(tabItens[[#This Row],[ATA Nº/ANO]]), tabItens[[#This Row],[ATA Nº/ANO]] = ""),BE$2,BE$1)),0),0),0)</f>
        <v>0</v>
      </c>
      <c r="BF36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0" s="338">
        <f>SUMIF(Consumo!$C$3:$C$862,tabItens[[#This Row],[CÓDIGO]],Consumo!$E$3:$E$862)</f>
        <v>1147</v>
      </c>
      <c r="BH360" s="339">
        <f>IF(AND(tabItens[[#This Row],[Pend]] &gt; 0,tabItens[[#This Row],[Consumo]] &lt;&gt; 0), tabItens[[#This Row],[Pend]] / tabItens[[#This Row],[Consumo]], 0 )</f>
        <v>3.6678178562292149E-2</v>
      </c>
      <c r="BI360" s="338"/>
      <c r="BJ360" s="407"/>
      <c r="BK360" s="408" t="s">
        <v>2086</v>
      </c>
    </row>
    <row r="361" spans="1:63" x14ac:dyDescent="0.3">
      <c r="A361" s="375">
        <v>138460</v>
      </c>
      <c r="B361" s="376" t="s">
        <v>1971</v>
      </c>
      <c r="C361" s="377" t="s">
        <v>31</v>
      </c>
      <c r="D361" s="378">
        <v>0.63</v>
      </c>
      <c r="E361" s="305"/>
      <c r="F361" s="379"/>
      <c r="G361" s="379" t="s">
        <v>889</v>
      </c>
      <c r="H361" s="380">
        <v>1856</v>
      </c>
      <c r="I361" s="307">
        <v>103003</v>
      </c>
      <c r="J361" s="308">
        <v>0.63</v>
      </c>
      <c r="K361" s="381">
        <v>8212</v>
      </c>
      <c r="L361" s="382">
        <f>IF(tabItens[[#This Row],[Média]] &gt; 0, tabItens[[#This Row],[QTDE ATUAL]] / tabItens[[#This Row],[Média]],999.9)</f>
        <v>2.4158802473153269</v>
      </c>
      <c r="M361" s="383">
        <v>0</v>
      </c>
      <c r="N361" s="384">
        <f>tabItens[[#This Row],[VALOR UNIT.]] * tabItens[[#This Row],[LC]]</f>
        <v>0</v>
      </c>
      <c r="O361" s="385" t="s">
        <v>2090</v>
      </c>
      <c r="P361" s="386"/>
      <c r="Q361" s="387"/>
      <c r="R361" s="312"/>
      <c r="S361" s="388"/>
      <c r="T361" s="389">
        <f>ROUNDDOWN(IFERROR(tabItens[[#This Row],[ATA DT.VALID.]] - $D$1,0) / 30,0)</f>
        <v>-1474</v>
      </c>
      <c r="U361" s="302" t="s">
        <v>909</v>
      </c>
      <c r="V361" s="318">
        <v>1</v>
      </c>
      <c r="W361" s="390" t="s">
        <v>2074</v>
      </c>
      <c r="X361" s="391">
        <v>45</v>
      </c>
      <c r="Y361" s="392">
        <v>10</v>
      </c>
      <c r="Z361" s="393">
        <v>6211</v>
      </c>
      <c r="AA361" s="394">
        <v>2023</v>
      </c>
      <c r="AB361" s="395">
        <v>1500</v>
      </c>
      <c r="AC361" s="395"/>
      <c r="AD361" s="394"/>
      <c r="AE361" s="395"/>
      <c r="AF361" s="317"/>
      <c r="AG361" s="396" t="s">
        <v>2072</v>
      </c>
      <c r="AH361" s="397"/>
      <c r="AI361" s="317">
        <v>10658</v>
      </c>
      <c r="AJ361" s="397">
        <v>44151</v>
      </c>
      <c r="AK361" s="326">
        <v>43720</v>
      </c>
      <c r="AL361" s="326">
        <v>45050</v>
      </c>
      <c r="AM361" s="316"/>
      <c r="AN361" s="305"/>
      <c r="AO361" s="327" t="str">
        <f>_xlfn.IFNA(IF(VLOOKUP(tabItens[[#This Row],[CÓDIGO]],tabExcluirDoEstoque[#Data],1,FALSE),"sim",""),"")</f>
        <v/>
      </c>
      <c r="AP361" s="398" t="str">
        <f ca="1">IF(OR(ISBLANK(tabItens[[#This Row],[ATA DT.VALID.]]),tabItens[[#This Row],[ATA DT.VALID.]]="",tabItens[[#This Row],[ATA DT.VALID.]]=" "),"",IF(TYPE(tabItens[[#This Row],[ATA DT.VALID.]])=1,ROUNDUP((tabItens[[#This Row],[ATA DT.VALID.]]-TODAY())/7,0),""))</f>
        <v/>
      </c>
      <c r="AQ361" s="399">
        <v>0</v>
      </c>
      <c r="AR361" s="400" t="str">
        <f>IF(ISBLANK(tabItens[[#This Row],[CÓDIGO]]),"",IFERROR(VLOOKUP(tabItens[[#This Row],[CÓDIGO]],Consumo!$C$2:$AC$862,26,FALSE),0))</f>
        <v>09.2023</v>
      </c>
      <c r="AS361" s="401">
        <f>SUMIF(Consumo!$C$3:$C$862,tabItens[[#This Row],[CÓDIGO]],Consumo!$N$3:$N$862) + SUMIF(Consumo!$C$3:$C$862,tabItens[[#This Row],[CÓDIGO]],Consumo!$O$3:$O$862) + SUMIF(Consumo!$C$3:$C$862,tabItens[[#This Row],[CÓDIGO]],Consumo!$P$3:$P$862) + SUMIF(Consumo!$C$3:$C$862,tabItens[[#This Row],[CÓDIGO]],Consumo!$Q$3:$Q$862)</f>
        <v>2329</v>
      </c>
      <c r="AT361" s="401">
        <f>SUMIF(Consumo!$C$3:$C$862,tabItens[[#This Row],[CÓDIGO]],Consumo!$Z$3:$Z$862)</f>
        <v>10772</v>
      </c>
      <c r="AU361" s="402">
        <f>SUMIF(Consumo!$C$3:$C$862,tabItens[[#This Row],[CÓDIGO]],Consumo!$AA$3:$AA$862)</f>
        <v>4977</v>
      </c>
      <c r="AV361" s="403">
        <f>SUMIF(Consumo!$C$3:$C$862,tabItens[[#This Row],[CÓDIGO]],Consumo!$Y$3:$Y$862)</f>
        <v>768.25</v>
      </c>
      <c r="AW361" s="380">
        <f>tabItens[[#This Row],[QTDE ATUAL]] + tabItens[[#This Row],[RC QTDE]] + tabItens[[#This Row],[AF SALDO]] + tabItens[[#This Row],[Recentes]]</f>
        <v>3356</v>
      </c>
      <c r="AX361" s="404">
        <v>1997</v>
      </c>
      <c r="AY361" s="404">
        <v>4</v>
      </c>
      <c r="AZ361" s="404">
        <f>IF(ISBLANK(tabItens[[#This Row],[CÓDIGO]]),"",tabItens[[#This Row],[PontoMês]] * (AZ$2+tabItens[[#This Row],[PontoQtM]]))</f>
        <v>7988</v>
      </c>
      <c r="BA361" s="403">
        <f>tabItens[[#This Row],[PontoPed]] - tabItens[[#This Row],[Saldo]] + (1/10)</f>
        <v>4632.1000000000004</v>
      </c>
      <c r="BB361" s="403">
        <f xml:space="preserve"> tabItens[[#This Row],[PontoMês]] * BB$2 - tabItens[[#This Row],[QTDE ATUAL]] - (1/10)</f>
        <v>140.9</v>
      </c>
      <c r="BC361" s="335">
        <f>IF( tabItens[[#This Row],[PontoPed]]&gt;0, IF(tabItens[[#This Row],[PontoPed]]&lt;1, 1, IF( tabItens[[#This Row],[Saldo]]&gt;tabItens[[#This Row],[PontoPed]], 0, (tabItens[[#This Row],[PontoPed]]-tabItens[[#This Row],[Saldo]])/tabItens[[#This Row],[PontoPed]] ) ), 0 )</f>
        <v>0.57986980470706062</v>
      </c>
      <c r="BD361" s="405">
        <f>ROUNDDOWN(IF( OR( AND(tabItens[[#This Row],[PontoPed]]&lt;tabItens[[#This Row],[Saldo]],tabItens[[#This Row],[Saldo]]&gt;0), tabItens[[#This Row],[PontoPed]]=0), 99, IF(AND(tabItens[[#This Row],[Saldo]]=0,tabItens[[#This Row],[PontoPed]]&gt;0), 0, (1-tabItens[[#This Row],[PctAb]])*10 ) ),0)</f>
        <v>4</v>
      </c>
      <c r="BE361" s="406">
        <f>MAX(ROUNDDOWN( IF(tabItens[[#This Row],[Abaixo]] &gt; 0,   tabItens[[#This Row],[Abaixo]] + (tabItens[[#This Row],[PontoMês]] * IF( OR( ISBLANK(tabItens[[#This Row],[ATA Nº/ANO]]), tabItens[[#This Row],[ATA Nº/ANO]] = ""),BE$2,BE$1)),0),0),0)</f>
        <v>10623</v>
      </c>
      <c r="BF36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1" s="338">
        <f>SUMIF(Consumo!$C$3:$C$862,tabItens[[#This Row],[CÓDIGO]],Consumo!$E$3:$E$862)</f>
        <v>15</v>
      </c>
      <c r="BH361" s="339">
        <f>IF(AND(tabItens[[#This Row],[Pend]] &gt; 0,tabItens[[#This Row],[Consumo]] &lt;&gt; 0), tabItens[[#This Row],[Pend]] / tabItens[[#This Row],[Consumo]], 0 )</f>
        <v>1.3924990716672856E-3</v>
      </c>
      <c r="BI361" s="338"/>
      <c r="BJ361" s="407"/>
      <c r="BK361" s="408" t="s">
        <v>2086</v>
      </c>
    </row>
    <row r="362" spans="1:63" x14ac:dyDescent="0.3">
      <c r="A362" s="375">
        <v>11857</v>
      </c>
      <c r="B362" s="376" t="s">
        <v>940</v>
      </c>
      <c r="C362" s="377" t="s">
        <v>31</v>
      </c>
      <c r="D362" s="378">
        <v>0.15</v>
      </c>
      <c r="E362" s="305"/>
      <c r="F362" s="379"/>
      <c r="G362" s="379" t="s">
        <v>889</v>
      </c>
      <c r="H362" s="380">
        <v>20140</v>
      </c>
      <c r="I362" s="307">
        <v>103003</v>
      </c>
      <c r="J362" s="308">
        <v>0.15</v>
      </c>
      <c r="K362" s="381">
        <v>12263</v>
      </c>
      <c r="L362" s="382">
        <f>IF(tabItens[[#This Row],[Média]] &gt; 0, tabItens[[#This Row],[QTDE ATUAL]] / tabItens[[#This Row],[Média]],999.9)</f>
        <v>12.58225739275302</v>
      </c>
      <c r="M362" s="383">
        <v>0</v>
      </c>
      <c r="N362" s="384">
        <f>tabItens[[#This Row],[VALOR UNIT.]] * tabItens[[#This Row],[LC]]</f>
        <v>0</v>
      </c>
      <c r="O362" s="385" t="s">
        <v>2090</v>
      </c>
      <c r="P362" s="386"/>
      <c r="Q362" s="387"/>
      <c r="R362" s="312"/>
      <c r="S362" s="388"/>
      <c r="T362" s="389">
        <f>ROUNDDOWN(IFERROR(tabItens[[#This Row],[ATA DT.VALID.]] - $D$1,0) / 30,0)</f>
        <v>-1474</v>
      </c>
      <c r="U362" s="302" t="s">
        <v>941</v>
      </c>
      <c r="V362" s="318">
        <v>1</v>
      </c>
      <c r="W362" s="390" t="s">
        <v>2074</v>
      </c>
      <c r="X362" s="391">
        <v>45</v>
      </c>
      <c r="Y362" s="392">
        <v>11</v>
      </c>
      <c r="Z362" s="393"/>
      <c r="AA362" s="394"/>
      <c r="AB362" s="395"/>
      <c r="AC362" s="395"/>
      <c r="AD362" s="394"/>
      <c r="AE362" s="395"/>
      <c r="AF362" s="317"/>
      <c r="AG362" s="396" t="s">
        <v>2072</v>
      </c>
      <c r="AH362" s="397"/>
      <c r="AI362" s="317">
        <v>6510</v>
      </c>
      <c r="AJ362" s="397">
        <v>43635</v>
      </c>
      <c r="AK362" s="326" t="s">
        <v>889</v>
      </c>
      <c r="AL362" s="326">
        <v>45107</v>
      </c>
      <c r="AM362" s="316"/>
      <c r="AN362" s="305"/>
      <c r="AO362" s="327" t="str">
        <f>_xlfn.IFNA(IF(VLOOKUP(tabItens[[#This Row],[CÓDIGO]],tabExcluirDoEstoque[#Data],1,FALSE),"sim",""),"")</f>
        <v/>
      </c>
      <c r="AP362" s="398" t="str">
        <f ca="1">IF(OR(ISBLANK(tabItens[[#This Row],[ATA DT.VALID.]]),tabItens[[#This Row],[ATA DT.VALID.]]="",tabItens[[#This Row],[ATA DT.VALID.]]=" "),"",IF(TYPE(tabItens[[#This Row],[ATA DT.VALID.]])=1,ROUNDUP((tabItens[[#This Row],[ATA DT.VALID.]]-TODAY())/7,0),""))</f>
        <v/>
      </c>
      <c r="AQ362" s="399">
        <v>0</v>
      </c>
      <c r="AR362" s="400" t="str">
        <f>IF(ISBLANK(tabItens[[#This Row],[CÓDIGO]]),"",IFERROR(VLOOKUP(tabItens[[#This Row],[CÓDIGO]],Consumo!$C$2:$AC$862,26,FALSE),0))</f>
        <v>09.2023</v>
      </c>
      <c r="AS362" s="401">
        <f>SUMIF(Consumo!$C$3:$C$862,tabItens[[#This Row],[CÓDIGO]],Consumo!$N$3:$N$862) + SUMIF(Consumo!$C$3:$C$862,tabItens[[#This Row],[CÓDIGO]],Consumo!$O$3:$O$862) + SUMIF(Consumo!$C$3:$C$862,tabItens[[#This Row],[CÓDIGO]],Consumo!$P$3:$P$862) + SUMIF(Consumo!$C$3:$C$862,tabItens[[#This Row],[CÓDIGO]],Consumo!$Q$3:$Q$862)</f>
        <v>6361</v>
      </c>
      <c r="AT362" s="401">
        <f>SUMIF(Consumo!$C$3:$C$862,tabItens[[#This Row],[CÓDIGO]],Consumo!$Z$3:$Z$862)</f>
        <v>19528</v>
      </c>
      <c r="AU362" s="402">
        <f>SUMIF(Consumo!$C$3:$C$862,tabItens[[#This Row],[CÓDIGO]],Consumo!$AA$3:$AA$862)</f>
        <v>3197</v>
      </c>
      <c r="AV362" s="403">
        <f>SUMIF(Consumo!$C$3:$C$862,tabItens[[#This Row],[CÓDIGO]],Consumo!$Y$3:$Y$862)</f>
        <v>1600.6666666666667</v>
      </c>
      <c r="AW362" s="380">
        <f>tabItens[[#This Row],[QTDE ATUAL]] + tabItens[[#This Row],[RC QTDE]] + tabItens[[#This Row],[AF SALDO]] + tabItens[[#This Row],[Recentes]]</f>
        <v>20140</v>
      </c>
      <c r="AX362" s="404">
        <v>1362</v>
      </c>
      <c r="AY362" s="404">
        <v>4</v>
      </c>
      <c r="AZ362" s="404">
        <f>IF(ISBLANK(tabItens[[#This Row],[CÓDIGO]]),"",tabItens[[#This Row],[PontoMês]] * (AZ$2+tabItens[[#This Row],[PontoQtM]]))</f>
        <v>5448</v>
      </c>
      <c r="BA362" s="403">
        <f>tabItens[[#This Row],[PontoPed]] - tabItens[[#This Row],[Saldo]] + (1/10)</f>
        <v>-14691.9</v>
      </c>
      <c r="BB362" s="403">
        <f xml:space="preserve"> tabItens[[#This Row],[PontoMês]] * BB$2 - tabItens[[#This Row],[QTDE ATUAL]] - (1/10)</f>
        <v>-18778.099999999999</v>
      </c>
      <c r="BC362" s="335">
        <f>IF( tabItens[[#This Row],[PontoPed]]&gt;0, IF(tabItens[[#This Row],[PontoPed]]&lt;1, 1, IF( tabItens[[#This Row],[Saldo]]&gt;tabItens[[#This Row],[PontoPed]], 0, (tabItens[[#This Row],[PontoPed]]-tabItens[[#This Row],[Saldo]])/tabItens[[#This Row],[PontoPed]] ) ), 0 )</f>
        <v>0</v>
      </c>
      <c r="BD362" s="405">
        <f>ROUNDDOWN(IF( OR( AND(tabItens[[#This Row],[PontoPed]]&lt;tabItens[[#This Row],[Saldo]],tabItens[[#This Row],[Saldo]]&gt;0), tabItens[[#This Row],[PontoPed]]=0), 99, IF(AND(tabItens[[#This Row],[Saldo]]=0,tabItens[[#This Row],[PontoPed]]&gt;0), 0, (1-tabItens[[#This Row],[PctAb]])*10 ) ),0)</f>
        <v>99</v>
      </c>
      <c r="BE362" s="406">
        <f>MAX(ROUNDDOWN( IF(tabItens[[#This Row],[Abaixo]] &gt; 0,   tabItens[[#This Row],[Abaixo]] + (tabItens[[#This Row],[PontoMês]] * IF( OR( ISBLANK(tabItens[[#This Row],[ATA Nº/ANO]]), tabItens[[#This Row],[ATA Nº/ANO]] = ""),BE$2,BE$1)),0),0),0)</f>
        <v>0</v>
      </c>
      <c r="BF36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2" s="338">
        <f>SUMIF(Consumo!$C$3:$C$862,tabItens[[#This Row],[CÓDIGO]],Consumo!$E$3:$E$862)</f>
        <v>0</v>
      </c>
      <c r="BH362" s="339">
        <f>IF(AND(tabItens[[#This Row],[Pend]] &gt; 0,tabItens[[#This Row],[Consumo]] &lt;&gt; 0), tabItens[[#This Row],[Pend]] / tabItens[[#This Row],[Consumo]], 0 )</f>
        <v>0</v>
      </c>
      <c r="BI362" s="338"/>
      <c r="BJ362" s="407"/>
      <c r="BK362" s="408" t="s">
        <v>2086</v>
      </c>
    </row>
    <row r="363" spans="1:63" x14ac:dyDescent="0.3">
      <c r="A363" s="375">
        <v>12018</v>
      </c>
      <c r="B363" s="376" t="s">
        <v>942</v>
      </c>
      <c r="C363" s="377" t="s">
        <v>31</v>
      </c>
      <c r="D363" s="378">
        <v>10.16</v>
      </c>
      <c r="E363" s="305"/>
      <c r="F363" s="379"/>
      <c r="G363" s="379" t="s">
        <v>889</v>
      </c>
      <c r="H363" s="380">
        <v>2857</v>
      </c>
      <c r="I363" s="307">
        <v>103003</v>
      </c>
      <c r="J363" s="308">
        <v>10.16</v>
      </c>
      <c r="K363" s="381">
        <v>119</v>
      </c>
      <c r="L363" s="382">
        <f>IF(tabItens[[#This Row],[Média]] &gt; 0, tabItens[[#This Row],[QTDE ATUAL]] / tabItens[[#This Row],[Média]],999.9)</f>
        <v>185.31891891891894</v>
      </c>
      <c r="M363" s="383">
        <v>0</v>
      </c>
      <c r="N363" s="384">
        <f>tabItens[[#This Row],[VALOR UNIT.]] * tabItens[[#This Row],[LC]]</f>
        <v>0</v>
      </c>
      <c r="O363" s="385" t="s">
        <v>2090</v>
      </c>
      <c r="P363" s="386"/>
      <c r="Q363" s="387"/>
      <c r="R363" s="312"/>
      <c r="S363" s="388"/>
      <c r="T363" s="389">
        <f>ROUNDDOWN(IFERROR(tabItens[[#This Row],[ATA DT.VALID.]] - $D$1,0) / 30,0)</f>
        <v>-1474</v>
      </c>
      <c r="U363" s="302" t="s">
        <v>941</v>
      </c>
      <c r="V363" s="318">
        <v>1</v>
      </c>
      <c r="W363" s="390" t="s">
        <v>2074</v>
      </c>
      <c r="X363" s="391">
        <v>45</v>
      </c>
      <c r="Y363" s="392">
        <v>11</v>
      </c>
      <c r="Z363" s="393"/>
      <c r="AA363" s="394"/>
      <c r="AB363" s="395"/>
      <c r="AC363" s="395"/>
      <c r="AD363" s="394"/>
      <c r="AE363" s="395"/>
      <c r="AF363" s="317"/>
      <c r="AG363" s="396" t="s">
        <v>2072</v>
      </c>
      <c r="AH363" s="397"/>
      <c r="AI363" s="317">
        <v>62</v>
      </c>
      <c r="AJ363" s="397">
        <v>43620</v>
      </c>
      <c r="AK363" s="326" t="s">
        <v>889</v>
      </c>
      <c r="AL363" s="326">
        <v>45107</v>
      </c>
      <c r="AM363" s="316"/>
      <c r="AN363" s="305"/>
      <c r="AO363" s="327" t="str">
        <f>_xlfn.IFNA(IF(VLOOKUP(tabItens[[#This Row],[CÓDIGO]],tabExcluirDoEstoque[#Data],1,FALSE),"sim",""),"")</f>
        <v/>
      </c>
      <c r="AP363" s="398" t="str">
        <f ca="1">IF(OR(ISBLANK(tabItens[[#This Row],[ATA DT.VALID.]]),tabItens[[#This Row],[ATA DT.VALID.]]="",tabItens[[#This Row],[ATA DT.VALID.]]=" "),"",IF(TYPE(tabItens[[#This Row],[ATA DT.VALID.]])=1,ROUNDUP((tabItens[[#This Row],[ATA DT.VALID.]]-TODAY())/7,0),""))</f>
        <v/>
      </c>
      <c r="AQ363" s="399">
        <v>0</v>
      </c>
      <c r="AR363" s="400" t="str">
        <f>IF(ISBLANK(tabItens[[#This Row],[CÓDIGO]]),"",IFERROR(VLOOKUP(tabItens[[#This Row],[CÓDIGO]],Consumo!$C$2:$AC$862,26,FALSE),0))</f>
        <v>09.2023</v>
      </c>
      <c r="AS363" s="401">
        <f>SUMIF(Consumo!$C$3:$C$862,tabItens[[#This Row],[CÓDIGO]],Consumo!$N$3:$N$862) + SUMIF(Consumo!$C$3:$C$862,tabItens[[#This Row],[CÓDIGO]],Consumo!$O$3:$O$862) + SUMIF(Consumo!$C$3:$C$862,tabItens[[#This Row],[CÓDIGO]],Consumo!$P$3:$P$862) + SUMIF(Consumo!$C$3:$C$862,tabItens[[#This Row],[CÓDIGO]],Consumo!$Q$3:$Q$862)</f>
        <v>66</v>
      </c>
      <c r="AT363" s="401">
        <f>SUMIF(Consumo!$C$3:$C$862,tabItens[[#This Row],[CÓDIGO]],Consumo!$Z$3:$Z$862)</f>
        <v>185</v>
      </c>
      <c r="AU363" s="402">
        <f>SUMIF(Consumo!$C$3:$C$862,tabItens[[#This Row],[CÓDIGO]],Consumo!$AA$3:$AA$862)</f>
        <v>27</v>
      </c>
      <c r="AV363" s="403">
        <f>SUMIF(Consumo!$C$3:$C$862,tabItens[[#This Row],[CÓDIGO]],Consumo!$Y$3:$Y$862)</f>
        <v>15.416666666666666</v>
      </c>
      <c r="AW363" s="380">
        <f>tabItens[[#This Row],[QTDE ATUAL]] + tabItens[[#This Row],[RC QTDE]] + tabItens[[#This Row],[AF SALDO]] + tabItens[[#This Row],[Recentes]]</f>
        <v>2857</v>
      </c>
      <c r="AX363" s="404">
        <v>33</v>
      </c>
      <c r="AY363" s="404">
        <v>4</v>
      </c>
      <c r="AZ363" s="404">
        <f>IF(ISBLANK(tabItens[[#This Row],[CÓDIGO]]),"",tabItens[[#This Row],[PontoMês]] * (AZ$2+tabItens[[#This Row],[PontoQtM]]))</f>
        <v>132</v>
      </c>
      <c r="BA363" s="403">
        <f>tabItens[[#This Row],[PontoPed]] - tabItens[[#This Row],[Saldo]] + (1/10)</f>
        <v>-2724.9</v>
      </c>
      <c r="BB363" s="403">
        <f xml:space="preserve"> tabItens[[#This Row],[PontoMês]] * BB$2 - tabItens[[#This Row],[QTDE ATUAL]] - (1/10)</f>
        <v>-2824.1</v>
      </c>
      <c r="BC363" s="335">
        <f>IF( tabItens[[#This Row],[PontoPed]]&gt;0, IF(tabItens[[#This Row],[PontoPed]]&lt;1, 1, IF( tabItens[[#This Row],[Saldo]]&gt;tabItens[[#This Row],[PontoPed]], 0, (tabItens[[#This Row],[PontoPed]]-tabItens[[#This Row],[Saldo]])/tabItens[[#This Row],[PontoPed]] ) ), 0 )</f>
        <v>0</v>
      </c>
      <c r="BD363" s="405">
        <f>ROUNDDOWN(IF( OR( AND(tabItens[[#This Row],[PontoPed]]&lt;tabItens[[#This Row],[Saldo]],tabItens[[#This Row],[Saldo]]&gt;0), tabItens[[#This Row],[PontoPed]]=0), 99, IF(AND(tabItens[[#This Row],[Saldo]]=0,tabItens[[#This Row],[PontoPed]]&gt;0), 0, (1-tabItens[[#This Row],[PctAb]])*10 ) ),0)</f>
        <v>99</v>
      </c>
      <c r="BE363" s="406">
        <f>MAX(ROUNDDOWN( IF(tabItens[[#This Row],[Abaixo]] &gt; 0,   tabItens[[#This Row],[Abaixo]] + (tabItens[[#This Row],[PontoMês]] * IF( OR( ISBLANK(tabItens[[#This Row],[ATA Nº/ANO]]), tabItens[[#This Row],[ATA Nº/ANO]] = ""),BE$2,BE$1)),0),0),0)</f>
        <v>0</v>
      </c>
      <c r="BF36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3" s="338">
        <f>SUMIF(Consumo!$C$3:$C$862,tabItens[[#This Row],[CÓDIGO]],Consumo!$E$3:$E$862)</f>
        <v>0</v>
      </c>
      <c r="BH363" s="339">
        <f>IF(AND(tabItens[[#This Row],[Pend]] &gt; 0,tabItens[[#This Row],[Consumo]] &lt;&gt; 0), tabItens[[#This Row],[Pend]] / tabItens[[#This Row],[Consumo]], 0 )</f>
        <v>0</v>
      </c>
      <c r="BI363" s="338"/>
      <c r="BJ363" s="407"/>
      <c r="BK363" s="408" t="s">
        <v>2086</v>
      </c>
    </row>
    <row r="364" spans="1:63" x14ac:dyDescent="0.3">
      <c r="A364" s="375">
        <v>12613</v>
      </c>
      <c r="B364" s="376" t="s">
        <v>943</v>
      </c>
      <c r="C364" s="377" t="s">
        <v>31</v>
      </c>
      <c r="D364" s="378">
        <v>0.28000000000000003</v>
      </c>
      <c r="E364" s="305"/>
      <c r="F364" s="379"/>
      <c r="G364" s="379" t="s">
        <v>889</v>
      </c>
      <c r="H364" s="380">
        <v>93967</v>
      </c>
      <c r="I364" s="307">
        <v>103003</v>
      </c>
      <c r="J364" s="308">
        <v>0.28000000000000003</v>
      </c>
      <c r="K364" s="381">
        <v>38672</v>
      </c>
      <c r="L364" s="382">
        <f>IF(tabItens[[#This Row],[Média]] &gt; 0, tabItens[[#This Row],[QTDE ATUAL]] / tabItens[[#This Row],[Média]],999.9)</f>
        <v>20.986487995533221</v>
      </c>
      <c r="M364" s="383">
        <v>0</v>
      </c>
      <c r="N364" s="384">
        <f>tabItens[[#This Row],[VALOR UNIT.]] * tabItens[[#This Row],[LC]]</f>
        <v>0</v>
      </c>
      <c r="O364" s="385" t="s">
        <v>2090</v>
      </c>
      <c r="P364" s="386"/>
      <c r="Q364" s="387"/>
      <c r="R364" s="312"/>
      <c r="S364" s="388"/>
      <c r="T364" s="389">
        <f>ROUNDDOWN(IFERROR(tabItens[[#This Row],[ATA DT.VALID.]] - $D$1,0) / 30,0)</f>
        <v>-1474</v>
      </c>
      <c r="U364" s="302" t="s">
        <v>941</v>
      </c>
      <c r="V364" s="318">
        <v>1</v>
      </c>
      <c r="W364" s="390" t="s">
        <v>2074</v>
      </c>
      <c r="X364" s="391">
        <v>45</v>
      </c>
      <c r="Y364" s="392">
        <v>11</v>
      </c>
      <c r="Z364" s="393">
        <v>6211</v>
      </c>
      <c r="AA364" s="394">
        <v>2023</v>
      </c>
      <c r="AB364" s="395">
        <v>10000</v>
      </c>
      <c r="AC364" s="395"/>
      <c r="AD364" s="394"/>
      <c r="AE364" s="395"/>
      <c r="AF364" s="317"/>
      <c r="AG364" s="396" t="s">
        <v>2072</v>
      </c>
      <c r="AH364" s="397"/>
      <c r="AI364" s="317">
        <v>54702</v>
      </c>
      <c r="AJ364" s="397">
        <v>44950</v>
      </c>
      <c r="AK364" s="326" t="s">
        <v>889</v>
      </c>
      <c r="AL364" s="326">
        <v>45107</v>
      </c>
      <c r="AM364" s="316"/>
      <c r="AN364" s="305"/>
      <c r="AO364" s="327" t="str">
        <f>_xlfn.IFNA(IF(VLOOKUP(tabItens[[#This Row],[CÓDIGO]],tabExcluirDoEstoque[#Data],1,FALSE),"sim",""),"")</f>
        <v/>
      </c>
      <c r="AP364" s="398" t="str">
        <f ca="1">IF(OR(ISBLANK(tabItens[[#This Row],[ATA DT.VALID.]]),tabItens[[#This Row],[ATA DT.VALID.]]="",tabItens[[#This Row],[ATA DT.VALID.]]=" "),"",IF(TYPE(tabItens[[#This Row],[ATA DT.VALID.]])=1,ROUNDUP((tabItens[[#This Row],[ATA DT.VALID.]]-TODAY())/7,0),""))</f>
        <v/>
      </c>
      <c r="AQ364" s="399">
        <v>0</v>
      </c>
      <c r="AR364" s="400" t="str">
        <f>IF(ISBLANK(tabItens[[#This Row],[CÓDIGO]]),"",IFERROR(VLOOKUP(tabItens[[#This Row],[CÓDIGO]],Consumo!$C$2:$AC$862,26,FALSE),0))</f>
        <v>09.2023</v>
      </c>
      <c r="AS364" s="401">
        <f>SUMIF(Consumo!$C$3:$C$862,tabItens[[#This Row],[CÓDIGO]],Consumo!$N$3:$N$862) + SUMIF(Consumo!$C$3:$C$862,tabItens[[#This Row],[CÓDIGO]],Consumo!$O$3:$O$862) + SUMIF(Consumo!$C$3:$C$862,tabItens[[#This Row],[CÓDIGO]],Consumo!$P$3:$P$862) + SUMIF(Consumo!$C$3:$C$862,tabItens[[#This Row],[CÓDIGO]],Consumo!$Q$3:$Q$862)</f>
        <v>22566</v>
      </c>
      <c r="AT364" s="401">
        <f>SUMIF(Consumo!$C$3:$C$862,tabItens[[#This Row],[CÓDIGO]],Consumo!$Z$3:$Z$862)</f>
        <v>53730</v>
      </c>
      <c r="AU364" s="402">
        <f>SUMIF(Consumo!$C$3:$C$862,tabItens[[#This Row],[CÓDIGO]],Consumo!$AA$3:$AA$862)</f>
        <v>8747</v>
      </c>
      <c r="AV364" s="403">
        <f>SUMIF(Consumo!$C$3:$C$862,tabItens[[#This Row],[CÓDIGO]],Consumo!$Y$3:$Y$862)</f>
        <v>4477.5</v>
      </c>
      <c r="AW364" s="380">
        <f>tabItens[[#This Row],[QTDE ATUAL]] + tabItens[[#This Row],[RC QTDE]] + tabItens[[#This Row],[AF SALDO]] + tabItens[[#This Row],[Recentes]]</f>
        <v>103967</v>
      </c>
      <c r="AX364" s="404">
        <v>4367</v>
      </c>
      <c r="AY364" s="404">
        <v>4</v>
      </c>
      <c r="AZ364" s="404">
        <f>IF(ISBLANK(tabItens[[#This Row],[CÓDIGO]]),"",tabItens[[#This Row],[PontoMês]] * (AZ$2+tabItens[[#This Row],[PontoQtM]]))</f>
        <v>17468</v>
      </c>
      <c r="BA364" s="403">
        <f>tabItens[[#This Row],[PontoPed]] - tabItens[[#This Row],[Saldo]] + (1/10)</f>
        <v>-86498.9</v>
      </c>
      <c r="BB364" s="403">
        <f xml:space="preserve"> tabItens[[#This Row],[PontoMês]] * BB$2 - tabItens[[#This Row],[QTDE ATUAL]] - (1/10)</f>
        <v>-89600.1</v>
      </c>
      <c r="BC364" s="335">
        <f>IF( tabItens[[#This Row],[PontoPed]]&gt;0, IF(tabItens[[#This Row],[PontoPed]]&lt;1, 1, IF( tabItens[[#This Row],[Saldo]]&gt;tabItens[[#This Row],[PontoPed]], 0, (tabItens[[#This Row],[PontoPed]]-tabItens[[#This Row],[Saldo]])/tabItens[[#This Row],[PontoPed]] ) ), 0 )</f>
        <v>0</v>
      </c>
      <c r="BD364" s="405">
        <f>ROUNDDOWN(IF( OR( AND(tabItens[[#This Row],[PontoPed]]&lt;tabItens[[#This Row],[Saldo]],tabItens[[#This Row],[Saldo]]&gt;0), tabItens[[#This Row],[PontoPed]]=0), 99, IF(AND(tabItens[[#This Row],[Saldo]]=0,tabItens[[#This Row],[PontoPed]]&gt;0), 0, (1-tabItens[[#This Row],[PctAb]])*10 ) ),0)</f>
        <v>99</v>
      </c>
      <c r="BE364" s="406">
        <f>MAX(ROUNDDOWN( IF(tabItens[[#This Row],[Abaixo]] &gt; 0,   tabItens[[#This Row],[Abaixo]] + (tabItens[[#This Row],[PontoMês]] * IF( OR( ISBLANK(tabItens[[#This Row],[ATA Nº/ANO]]), tabItens[[#This Row],[ATA Nº/ANO]] = ""),BE$2,BE$1)),0),0),0)</f>
        <v>0</v>
      </c>
      <c r="BF36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4" s="338">
        <f>SUMIF(Consumo!$C$3:$C$862,tabItens[[#This Row],[CÓDIGO]],Consumo!$E$3:$E$862)</f>
        <v>2125</v>
      </c>
      <c r="BH364" s="339">
        <f>IF(AND(tabItens[[#This Row],[Pend]] &gt; 0,tabItens[[#This Row],[Consumo]] &lt;&gt; 0), tabItens[[#This Row],[Pend]] / tabItens[[#This Row],[Consumo]], 0 )</f>
        <v>3.9549599851107391E-2</v>
      </c>
      <c r="BI364" s="338"/>
      <c r="BJ364" s="407"/>
      <c r="BK364" s="408" t="s">
        <v>2086</v>
      </c>
    </row>
    <row r="365" spans="1:63" x14ac:dyDescent="0.3">
      <c r="A365" s="375">
        <v>12614</v>
      </c>
      <c r="B365" s="376" t="s">
        <v>944</v>
      </c>
      <c r="C365" s="377" t="s">
        <v>31</v>
      </c>
      <c r="D365" s="378">
        <v>0.47</v>
      </c>
      <c r="E365" s="305"/>
      <c r="F365" s="379"/>
      <c r="G365" s="379" t="s">
        <v>889</v>
      </c>
      <c r="H365" s="380">
        <v>0</v>
      </c>
      <c r="I365" s="307">
        <v>103003</v>
      </c>
      <c r="J365" s="308">
        <v>0.47</v>
      </c>
      <c r="K365" s="381">
        <v>25422</v>
      </c>
      <c r="L365" s="382">
        <f>IF(tabItens[[#This Row],[Média]] &gt; 0, tabItens[[#This Row],[QTDE ATUAL]] / tabItens[[#This Row],[Média]],999.9)</f>
        <v>0</v>
      </c>
      <c r="M365" s="383">
        <v>0</v>
      </c>
      <c r="N365" s="384">
        <f>tabItens[[#This Row],[VALOR UNIT.]] * tabItens[[#This Row],[LC]]</f>
        <v>0</v>
      </c>
      <c r="O365" s="385" t="s">
        <v>2090</v>
      </c>
      <c r="P365" s="386"/>
      <c r="Q365" s="387"/>
      <c r="R365" s="312"/>
      <c r="S365" s="388"/>
      <c r="T365" s="389">
        <f>ROUNDDOWN(IFERROR(tabItens[[#This Row],[ATA DT.VALID.]] - $D$1,0) / 30,0)</f>
        <v>-1474</v>
      </c>
      <c r="U365" s="302" t="s">
        <v>941</v>
      </c>
      <c r="V365" s="318">
        <v>1</v>
      </c>
      <c r="W365" s="390" t="s">
        <v>2074</v>
      </c>
      <c r="X365" s="391">
        <v>45</v>
      </c>
      <c r="Y365" s="392">
        <v>11</v>
      </c>
      <c r="Z365" s="393">
        <v>6982</v>
      </c>
      <c r="AA365" s="394">
        <v>2023</v>
      </c>
      <c r="AB365" s="395">
        <v>1800</v>
      </c>
      <c r="AC365" s="395"/>
      <c r="AD365" s="394"/>
      <c r="AE365" s="395"/>
      <c r="AF365" s="317"/>
      <c r="AG365" s="396" t="s">
        <v>2072</v>
      </c>
      <c r="AH365" s="397"/>
      <c r="AI365" s="317">
        <v>10772</v>
      </c>
      <c r="AJ365" s="397">
        <v>43804</v>
      </c>
      <c r="AK365" s="326" t="s">
        <v>889</v>
      </c>
      <c r="AL365" s="326">
        <v>45107</v>
      </c>
      <c r="AM365" s="316"/>
      <c r="AN365" s="305"/>
      <c r="AO365" s="327" t="str">
        <f>_xlfn.IFNA(IF(VLOOKUP(tabItens[[#This Row],[CÓDIGO]],tabExcluirDoEstoque[#Data],1,FALSE),"sim",""),"")</f>
        <v/>
      </c>
      <c r="AP365" s="398" t="str">
        <f ca="1">IF(OR(ISBLANK(tabItens[[#This Row],[ATA DT.VALID.]]),tabItens[[#This Row],[ATA DT.VALID.]]="",tabItens[[#This Row],[ATA DT.VALID.]]=" "),"",IF(TYPE(tabItens[[#This Row],[ATA DT.VALID.]])=1,ROUNDUP((tabItens[[#This Row],[ATA DT.VALID.]]-TODAY())/7,0),""))</f>
        <v/>
      </c>
      <c r="AQ365" s="399">
        <v>0</v>
      </c>
      <c r="AR365" s="400" t="str">
        <f>IF(ISBLANK(tabItens[[#This Row],[CÓDIGO]]),"",IFERROR(VLOOKUP(tabItens[[#This Row],[CÓDIGO]],Consumo!$C$2:$AC$862,26,FALSE),0))</f>
        <v>08.2023</v>
      </c>
      <c r="AS365" s="401">
        <f>SUMIF(Consumo!$C$3:$C$862,tabItens[[#This Row],[CÓDIGO]],Consumo!$N$3:$N$862) + SUMIF(Consumo!$C$3:$C$862,tabItens[[#This Row],[CÓDIGO]],Consumo!$O$3:$O$862) + SUMIF(Consumo!$C$3:$C$862,tabItens[[#This Row],[CÓDIGO]],Consumo!$P$3:$P$862) + SUMIF(Consumo!$C$3:$C$862,tabItens[[#This Row],[CÓDIGO]],Consumo!$Q$3:$Q$862)</f>
        <v>3532</v>
      </c>
      <c r="AT365" s="401">
        <f>SUMIF(Consumo!$C$3:$C$862,tabItens[[#This Row],[CÓDIGO]],Consumo!$Z$3:$Z$862)</f>
        <v>34386</v>
      </c>
      <c r="AU365" s="402">
        <f>SUMIF(Consumo!$C$3:$C$862,tabItens[[#This Row],[CÓDIGO]],Consumo!$AA$3:$AA$862)</f>
        <v>8884</v>
      </c>
      <c r="AV365" s="403">
        <f>SUMIF(Consumo!$C$3:$C$862,tabItens[[#This Row],[CÓDIGO]],Consumo!$Y$3:$Y$862)</f>
        <v>2736.5</v>
      </c>
      <c r="AW365" s="380">
        <f>tabItens[[#This Row],[QTDE ATUAL]] + tabItens[[#This Row],[RC QTDE]] + tabItens[[#This Row],[AF SALDO]] + tabItens[[#This Row],[Recentes]]</f>
        <v>1800</v>
      </c>
      <c r="AX365" s="404">
        <v>2760</v>
      </c>
      <c r="AY365" s="404">
        <v>4</v>
      </c>
      <c r="AZ365" s="404">
        <f>IF(ISBLANK(tabItens[[#This Row],[CÓDIGO]]),"",tabItens[[#This Row],[PontoMês]] * (AZ$2+tabItens[[#This Row],[PontoQtM]]))</f>
        <v>11040</v>
      </c>
      <c r="BA365" s="403">
        <f>tabItens[[#This Row],[PontoPed]] - tabItens[[#This Row],[Saldo]] + (1/10)</f>
        <v>9240.1</v>
      </c>
      <c r="BB365" s="403">
        <f xml:space="preserve"> tabItens[[#This Row],[PontoMês]] * BB$2 - tabItens[[#This Row],[QTDE ATUAL]] - (1/10)</f>
        <v>2759.9</v>
      </c>
      <c r="BC365" s="335">
        <f>IF( tabItens[[#This Row],[PontoPed]]&gt;0, IF(tabItens[[#This Row],[PontoPed]]&lt;1, 1, IF( tabItens[[#This Row],[Saldo]]&gt;tabItens[[#This Row],[PontoPed]], 0, (tabItens[[#This Row],[PontoPed]]-tabItens[[#This Row],[Saldo]])/tabItens[[#This Row],[PontoPed]] ) ), 0 )</f>
        <v>0.83695652173913049</v>
      </c>
      <c r="BD365" s="405">
        <f>ROUNDDOWN(IF( OR( AND(tabItens[[#This Row],[PontoPed]]&lt;tabItens[[#This Row],[Saldo]],tabItens[[#This Row],[Saldo]]&gt;0), tabItens[[#This Row],[PontoPed]]=0), 99, IF(AND(tabItens[[#This Row],[Saldo]]=0,tabItens[[#This Row],[PontoPed]]&gt;0), 0, (1-tabItens[[#This Row],[PctAb]])*10 ) ),0)</f>
        <v>1</v>
      </c>
      <c r="BE365" s="406">
        <f>MAX(ROUNDDOWN( IF(tabItens[[#This Row],[Abaixo]] &gt; 0,   tabItens[[#This Row],[Abaixo]] + (tabItens[[#This Row],[PontoMês]] * IF( OR( ISBLANK(tabItens[[#This Row],[ATA Nº/ANO]]), tabItens[[#This Row],[ATA Nº/ANO]] = ""),BE$2,BE$1)),0),0),0)</f>
        <v>17520</v>
      </c>
      <c r="BF36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5" s="338">
        <f>SUMIF(Consumo!$C$3:$C$862,tabItens[[#This Row],[CÓDIGO]],Consumo!$E$3:$E$862)</f>
        <v>2172</v>
      </c>
      <c r="BH365" s="339">
        <f>IF(AND(tabItens[[#This Row],[Pend]] &gt; 0,tabItens[[#This Row],[Consumo]] &lt;&gt; 0), tabItens[[#This Row],[Pend]] / tabItens[[#This Row],[Consumo]], 0 )</f>
        <v>6.316524166812075E-2</v>
      </c>
      <c r="BI365" s="338"/>
      <c r="BJ365" s="407"/>
      <c r="BK365" s="408" t="s">
        <v>2086</v>
      </c>
    </row>
    <row r="366" spans="1:63" x14ac:dyDescent="0.3">
      <c r="A366" s="375">
        <v>13768</v>
      </c>
      <c r="B366" s="376" t="s">
        <v>1048</v>
      </c>
      <c r="C366" s="377" t="s">
        <v>263</v>
      </c>
      <c r="D366" s="378">
        <v>4.29</v>
      </c>
      <c r="E366" s="305"/>
      <c r="F366" s="379"/>
      <c r="G366" s="379" t="s">
        <v>889</v>
      </c>
      <c r="H366" s="380">
        <v>286</v>
      </c>
      <c r="I366" s="307">
        <v>103003</v>
      </c>
      <c r="J366" s="308">
        <v>4.29</v>
      </c>
      <c r="K366" s="381">
        <v>2568</v>
      </c>
      <c r="L366" s="382">
        <f>IF(tabItens[[#This Row],[Média]] &gt; 0, tabItens[[#This Row],[QTDE ATUAL]] / tabItens[[#This Row],[Média]],999.9)</f>
        <v>0.80149462867818777</v>
      </c>
      <c r="M366" s="383">
        <v>0</v>
      </c>
      <c r="N366" s="384">
        <f>tabItens[[#This Row],[VALOR UNIT.]] * tabItens[[#This Row],[LC]]</f>
        <v>0</v>
      </c>
      <c r="O366" s="385" t="s">
        <v>2090</v>
      </c>
      <c r="P366" s="386"/>
      <c r="Q366" s="387"/>
      <c r="R366" s="312"/>
      <c r="S366" s="388"/>
      <c r="T366" s="389">
        <f>ROUNDDOWN(IFERROR(tabItens[[#This Row],[ATA DT.VALID.]] - $D$1,0) / 30,0)</f>
        <v>-1474</v>
      </c>
      <c r="U366" s="302" t="s">
        <v>941</v>
      </c>
      <c r="V366" s="318">
        <v>1</v>
      </c>
      <c r="W366" s="390" t="s">
        <v>2074</v>
      </c>
      <c r="X366" s="391">
        <v>45</v>
      </c>
      <c r="Y366" s="392">
        <v>11</v>
      </c>
      <c r="Z366" s="393">
        <v>6982</v>
      </c>
      <c r="AA366" s="394">
        <v>2023</v>
      </c>
      <c r="AB366" s="395">
        <v>800</v>
      </c>
      <c r="AC366" s="395"/>
      <c r="AD366" s="394"/>
      <c r="AE366" s="395"/>
      <c r="AF366" s="317"/>
      <c r="AG366" s="396" t="s">
        <v>2072</v>
      </c>
      <c r="AH366" s="397"/>
      <c r="AI366" s="317">
        <v>1408</v>
      </c>
      <c r="AJ366" s="397">
        <v>44573</v>
      </c>
      <c r="AK366" s="326" t="s">
        <v>889</v>
      </c>
      <c r="AL366" s="326">
        <v>44999</v>
      </c>
      <c r="AM366" s="316"/>
      <c r="AN366" s="305"/>
      <c r="AO366" s="327" t="str">
        <f>_xlfn.IFNA(IF(VLOOKUP(tabItens[[#This Row],[CÓDIGO]],tabExcluirDoEstoque[#Data],1,FALSE),"sim",""),"")</f>
        <v/>
      </c>
      <c r="AP366" s="398" t="str">
        <f ca="1">IF(OR(ISBLANK(tabItens[[#This Row],[ATA DT.VALID.]]),tabItens[[#This Row],[ATA DT.VALID.]]="",tabItens[[#This Row],[ATA DT.VALID.]]=" "),"",IF(TYPE(tabItens[[#This Row],[ATA DT.VALID.]])=1,ROUNDUP((tabItens[[#This Row],[ATA DT.VALID.]]-TODAY())/7,0),""))</f>
        <v/>
      </c>
      <c r="AQ366" s="399">
        <v>0</v>
      </c>
      <c r="AR366" s="400" t="str">
        <f>IF(ISBLANK(tabItens[[#This Row],[CÓDIGO]]),"",IFERROR(VLOOKUP(tabItens[[#This Row],[CÓDIGO]],Consumo!$C$2:$AC$862,26,FALSE),0))</f>
        <v>09.2023</v>
      </c>
      <c r="AS366" s="401">
        <f>SUMIF(Consumo!$C$3:$C$862,tabItens[[#This Row],[CÓDIGO]],Consumo!$N$3:$N$862) + SUMIF(Consumo!$C$3:$C$862,tabItens[[#This Row],[CÓDIGO]],Consumo!$O$3:$O$862) + SUMIF(Consumo!$C$3:$C$862,tabItens[[#This Row],[CÓDIGO]],Consumo!$P$3:$P$862) + SUMIF(Consumo!$C$3:$C$862,tabItens[[#This Row],[CÓDIGO]],Consumo!$Q$3:$Q$862)</f>
        <v>1102</v>
      </c>
      <c r="AT366" s="401">
        <f>SUMIF(Consumo!$C$3:$C$862,tabItens[[#This Row],[CÓDIGO]],Consumo!$Z$3:$Z$862)</f>
        <v>4282</v>
      </c>
      <c r="AU366" s="402">
        <f>SUMIF(Consumo!$C$3:$C$862,tabItens[[#This Row],[CÓDIGO]],Consumo!$AA$3:$AA$862)</f>
        <v>605</v>
      </c>
      <c r="AV366" s="403">
        <f>SUMIF(Consumo!$C$3:$C$862,tabItens[[#This Row],[CÓDIGO]],Consumo!$Y$3:$Y$862)</f>
        <v>356.83333333333331</v>
      </c>
      <c r="AW366" s="380">
        <f>tabItens[[#This Row],[QTDE ATUAL]] + tabItens[[#This Row],[RC QTDE]] + tabItens[[#This Row],[AF SALDO]] + tabItens[[#This Row],[Recentes]]</f>
        <v>1086</v>
      </c>
      <c r="AX366" s="404">
        <v>580</v>
      </c>
      <c r="AY366" s="404">
        <v>4</v>
      </c>
      <c r="AZ366" s="404">
        <f>IF(ISBLANK(tabItens[[#This Row],[CÓDIGO]]),"",tabItens[[#This Row],[PontoMês]] * (AZ$2+tabItens[[#This Row],[PontoQtM]]))</f>
        <v>2320</v>
      </c>
      <c r="BA366" s="403">
        <f>tabItens[[#This Row],[PontoPed]] - tabItens[[#This Row],[Saldo]] + (1/10)</f>
        <v>1234.0999999999999</v>
      </c>
      <c r="BB366" s="403">
        <f xml:space="preserve"> tabItens[[#This Row],[PontoMês]] * BB$2 - tabItens[[#This Row],[QTDE ATUAL]] - (1/10)</f>
        <v>293.89999999999998</v>
      </c>
      <c r="BC366" s="335">
        <f>IF( tabItens[[#This Row],[PontoPed]]&gt;0, IF(tabItens[[#This Row],[PontoPed]]&lt;1, 1, IF( tabItens[[#This Row],[Saldo]]&gt;tabItens[[#This Row],[PontoPed]], 0, (tabItens[[#This Row],[PontoPed]]-tabItens[[#This Row],[Saldo]])/tabItens[[#This Row],[PontoPed]] ) ), 0 )</f>
        <v>0.53189655172413797</v>
      </c>
      <c r="BD366" s="405">
        <f>ROUNDDOWN(IF( OR( AND(tabItens[[#This Row],[PontoPed]]&lt;tabItens[[#This Row],[Saldo]],tabItens[[#This Row],[Saldo]]&gt;0), tabItens[[#This Row],[PontoPed]]=0), 99, IF(AND(tabItens[[#This Row],[Saldo]]=0,tabItens[[#This Row],[PontoPed]]&gt;0), 0, (1-tabItens[[#This Row],[PctAb]])*10 ) ),0)</f>
        <v>4</v>
      </c>
      <c r="BE366" s="406">
        <f>MAX(ROUNDDOWN( IF(tabItens[[#This Row],[Abaixo]] &gt; 0,   tabItens[[#This Row],[Abaixo]] + (tabItens[[#This Row],[PontoMês]] * IF( OR( ISBLANK(tabItens[[#This Row],[ATA Nº/ANO]]), tabItens[[#This Row],[ATA Nº/ANO]] = ""),BE$2,BE$1)),0),0),0)</f>
        <v>2974</v>
      </c>
      <c r="BF36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6" s="338">
        <f>SUMIF(Consumo!$C$3:$C$862,tabItens[[#This Row],[CÓDIGO]],Consumo!$E$3:$E$862)</f>
        <v>61</v>
      </c>
      <c r="BH366" s="339">
        <f>IF(AND(tabItens[[#This Row],[Pend]] &gt; 0,tabItens[[#This Row],[Consumo]] &lt;&gt; 0), tabItens[[#This Row],[Pend]] / tabItens[[#This Row],[Consumo]], 0 )</f>
        <v>1.4245679588977114E-2</v>
      </c>
      <c r="BI366" s="338"/>
      <c r="BJ366" s="407"/>
      <c r="BK366" s="408" t="s">
        <v>2086</v>
      </c>
    </row>
    <row r="367" spans="1:63" x14ac:dyDescent="0.3">
      <c r="A367" s="375">
        <v>133451</v>
      </c>
      <c r="B367" s="376" t="s">
        <v>1858</v>
      </c>
      <c r="C367" s="377" t="s">
        <v>31</v>
      </c>
      <c r="D367" s="378">
        <v>6.5</v>
      </c>
      <c r="E367" s="305"/>
      <c r="F367" s="379"/>
      <c r="G367" s="379" t="s">
        <v>889</v>
      </c>
      <c r="H367" s="380">
        <v>2195</v>
      </c>
      <c r="I367" s="307">
        <v>103003</v>
      </c>
      <c r="J367" s="308">
        <v>6.5</v>
      </c>
      <c r="K367" s="381">
        <v>825</v>
      </c>
      <c r="L367" s="382">
        <f>IF(tabItens[[#This Row],[Média]] &gt; 0, tabItens[[#This Row],[QTDE ATUAL]] / tabItens[[#This Row],[Média]],999.9)</f>
        <v>24.990512333965846</v>
      </c>
      <c r="M367" s="383">
        <v>0</v>
      </c>
      <c r="N367" s="384">
        <f>tabItens[[#This Row],[VALOR UNIT.]] * tabItens[[#This Row],[LC]]</f>
        <v>0</v>
      </c>
      <c r="O367" s="385" t="s">
        <v>2090</v>
      </c>
      <c r="P367" s="386"/>
      <c r="Q367" s="387"/>
      <c r="R367" s="312"/>
      <c r="S367" s="388"/>
      <c r="T367" s="389">
        <f>ROUNDDOWN(IFERROR(tabItens[[#This Row],[ATA DT.VALID.]] - $D$1,0) / 30,0)</f>
        <v>-1474</v>
      </c>
      <c r="U367" s="302" t="s">
        <v>941</v>
      </c>
      <c r="V367" s="318">
        <v>1</v>
      </c>
      <c r="W367" s="390" t="s">
        <v>2074</v>
      </c>
      <c r="X367" s="391">
        <v>45</v>
      </c>
      <c r="Y367" s="392">
        <v>11</v>
      </c>
      <c r="Z367" s="393"/>
      <c r="AA367" s="394"/>
      <c r="AB367" s="395"/>
      <c r="AC367" s="395"/>
      <c r="AD367" s="394"/>
      <c r="AE367" s="395"/>
      <c r="AF367" s="317"/>
      <c r="AG367" s="396" t="s">
        <v>2072</v>
      </c>
      <c r="AH367" s="397"/>
      <c r="AI367" s="317">
        <v>380</v>
      </c>
      <c r="AJ367" s="397">
        <v>43622</v>
      </c>
      <c r="AK367" s="326">
        <v>42998</v>
      </c>
      <c r="AL367" s="326">
        <v>43607</v>
      </c>
      <c r="AM367" s="316"/>
      <c r="AN367" s="305"/>
      <c r="AO367" s="327" t="str">
        <f>_xlfn.IFNA(IF(VLOOKUP(tabItens[[#This Row],[CÓDIGO]],tabExcluirDoEstoque[#Data],1,FALSE),"sim",""),"")</f>
        <v/>
      </c>
      <c r="AP367" s="398" t="str">
        <f ca="1">IF(OR(ISBLANK(tabItens[[#This Row],[ATA DT.VALID.]]),tabItens[[#This Row],[ATA DT.VALID.]]="",tabItens[[#This Row],[ATA DT.VALID.]]=" "),"",IF(TYPE(tabItens[[#This Row],[ATA DT.VALID.]])=1,ROUNDUP((tabItens[[#This Row],[ATA DT.VALID.]]-TODAY())/7,0),""))</f>
        <v/>
      </c>
      <c r="AQ367" s="399">
        <v>0</v>
      </c>
      <c r="AR367" s="400" t="str">
        <f>IF(ISBLANK(tabItens[[#This Row],[CÓDIGO]]),"",IFERROR(VLOOKUP(tabItens[[#This Row],[CÓDIGO]],Consumo!$C$2:$AC$862,26,FALSE),0))</f>
        <v>09.2023</v>
      </c>
      <c r="AS367" s="401">
        <f>SUMIF(Consumo!$C$3:$C$862,tabItens[[#This Row],[CÓDIGO]],Consumo!$N$3:$N$862) + SUMIF(Consumo!$C$3:$C$862,tabItens[[#This Row],[CÓDIGO]],Consumo!$O$3:$O$862) + SUMIF(Consumo!$C$3:$C$862,tabItens[[#This Row],[CÓDIGO]],Consumo!$P$3:$P$862) + SUMIF(Consumo!$C$3:$C$862,tabItens[[#This Row],[CÓDIGO]],Consumo!$Q$3:$Q$862)</f>
        <v>212</v>
      </c>
      <c r="AT367" s="401">
        <f>SUMIF(Consumo!$C$3:$C$862,tabItens[[#This Row],[CÓDIGO]],Consumo!$Z$3:$Z$862)</f>
        <v>1138</v>
      </c>
      <c r="AU367" s="402">
        <f>SUMIF(Consumo!$C$3:$C$862,tabItens[[#This Row],[CÓDIGO]],Consumo!$AA$3:$AA$862)</f>
        <v>347</v>
      </c>
      <c r="AV367" s="403">
        <f>SUMIF(Consumo!$C$3:$C$862,tabItens[[#This Row],[CÓDIGO]],Consumo!$Y$3:$Y$862)</f>
        <v>87.833333333333329</v>
      </c>
      <c r="AW367" s="380">
        <f>tabItens[[#This Row],[QTDE ATUAL]] + tabItens[[#This Row],[RC QTDE]] + tabItens[[#This Row],[AF SALDO]] + tabItens[[#This Row],[Recentes]]</f>
        <v>2195</v>
      </c>
      <c r="AX367" s="404">
        <v>79</v>
      </c>
      <c r="AY367" s="404">
        <v>4</v>
      </c>
      <c r="AZ367" s="404">
        <f>IF(ISBLANK(tabItens[[#This Row],[CÓDIGO]]),"",tabItens[[#This Row],[PontoMês]] * (AZ$2+tabItens[[#This Row],[PontoQtM]]))</f>
        <v>316</v>
      </c>
      <c r="BA367" s="403">
        <f>tabItens[[#This Row],[PontoPed]] - tabItens[[#This Row],[Saldo]] + (1/10)</f>
        <v>-1878.9</v>
      </c>
      <c r="BB367" s="403">
        <f xml:space="preserve"> tabItens[[#This Row],[PontoMês]] * BB$2 - tabItens[[#This Row],[QTDE ATUAL]] - (1/10)</f>
        <v>-2116.1</v>
      </c>
      <c r="BC367" s="335">
        <f>IF( tabItens[[#This Row],[PontoPed]]&gt;0, IF(tabItens[[#This Row],[PontoPed]]&lt;1, 1, IF( tabItens[[#This Row],[Saldo]]&gt;tabItens[[#This Row],[PontoPed]], 0, (tabItens[[#This Row],[PontoPed]]-tabItens[[#This Row],[Saldo]])/tabItens[[#This Row],[PontoPed]] ) ), 0 )</f>
        <v>0</v>
      </c>
      <c r="BD367" s="405">
        <f>ROUNDDOWN(IF( OR( AND(tabItens[[#This Row],[PontoPed]]&lt;tabItens[[#This Row],[Saldo]],tabItens[[#This Row],[Saldo]]&gt;0), tabItens[[#This Row],[PontoPed]]=0), 99, IF(AND(tabItens[[#This Row],[Saldo]]=0,tabItens[[#This Row],[PontoPed]]&gt;0), 0, (1-tabItens[[#This Row],[PctAb]])*10 ) ),0)</f>
        <v>99</v>
      </c>
      <c r="BE367" s="406">
        <f>MAX(ROUNDDOWN( IF(tabItens[[#This Row],[Abaixo]] &gt; 0,   tabItens[[#This Row],[Abaixo]] + (tabItens[[#This Row],[PontoMês]] * IF( OR( ISBLANK(tabItens[[#This Row],[ATA Nº/ANO]]), tabItens[[#This Row],[ATA Nº/ANO]] = ""),BE$2,BE$1)),0),0),0)</f>
        <v>0</v>
      </c>
      <c r="BF36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7" s="338">
        <f>SUMIF(Consumo!$C$3:$C$862,tabItens[[#This Row],[CÓDIGO]],Consumo!$E$3:$E$862)</f>
        <v>0</v>
      </c>
      <c r="BH367" s="339">
        <f>IF(AND(tabItens[[#This Row],[Pend]] &gt; 0,tabItens[[#This Row],[Consumo]] &lt;&gt; 0), tabItens[[#This Row],[Pend]] / tabItens[[#This Row],[Consumo]], 0 )</f>
        <v>0</v>
      </c>
      <c r="BI367" s="338"/>
      <c r="BJ367" s="407"/>
      <c r="BK367" s="408" t="s">
        <v>2086</v>
      </c>
    </row>
    <row r="368" spans="1:63" x14ac:dyDescent="0.3">
      <c r="A368" s="375">
        <v>139767</v>
      </c>
      <c r="B368" s="376" t="s">
        <v>1991</v>
      </c>
      <c r="C368" s="377" t="s">
        <v>31</v>
      </c>
      <c r="D368" s="378">
        <v>0</v>
      </c>
      <c r="E368" s="305"/>
      <c r="F368" s="379"/>
      <c r="G368" s="379" t="s">
        <v>889</v>
      </c>
      <c r="H368" s="380">
        <v>1813</v>
      </c>
      <c r="I368" s="307">
        <v>103003</v>
      </c>
      <c r="J368" s="308">
        <v>0</v>
      </c>
      <c r="K368" s="381">
        <v>1369</v>
      </c>
      <c r="L368" s="382">
        <f>IF(tabItens[[#This Row],[Média]] &gt; 0, tabItens[[#This Row],[QTDE ATUAL]] / tabItens[[#This Row],[Média]],999.9)</f>
        <v>9.3856773080241584</v>
      </c>
      <c r="M368" s="383">
        <v>0</v>
      </c>
      <c r="N368" s="384">
        <f>tabItens[[#This Row],[VALOR UNIT.]] * tabItens[[#This Row],[LC]]</f>
        <v>0</v>
      </c>
      <c r="O368" s="385" t="s">
        <v>2090</v>
      </c>
      <c r="P368" s="386"/>
      <c r="Q368" s="387"/>
      <c r="R368" s="312"/>
      <c r="S368" s="388"/>
      <c r="T368" s="389">
        <f>ROUNDDOWN(IFERROR(tabItens[[#This Row],[ATA DT.VALID.]] - $D$1,0) / 30,0)</f>
        <v>-1474</v>
      </c>
      <c r="U368" s="302" t="s">
        <v>941</v>
      </c>
      <c r="V368" s="318">
        <v>1</v>
      </c>
      <c r="W368" s="390" t="s">
        <v>2074</v>
      </c>
      <c r="X368" s="391">
        <v>45</v>
      </c>
      <c r="Y368" s="392">
        <v>11</v>
      </c>
      <c r="Z368" s="393"/>
      <c r="AA368" s="394"/>
      <c r="AB368" s="395"/>
      <c r="AC368" s="395"/>
      <c r="AD368" s="394"/>
      <c r="AE368" s="395"/>
      <c r="AF368" s="317"/>
      <c r="AG368" s="396" t="s">
        <v>2072</v>
      </c>
      <c r="AH368" s="397"/>
      <c r="AI368" s="317">
        <v>788</v>
      </c>
      <c r="AJ368" s="397" t="s">
        <v>889</v>
      </c>
      <c r="AK368" s="326">
        <v>44020</v>
      </c>
      <c r="AL368" s="326" t="s">
        <v>889</v>
      </c>
      <c r="AM368" s="316"/>
      <c r="AN368" s="305"/>
      <c r="AO368" s="327" t="str">
        <f>_xlfn.IFNA(IF(VLOOKUP(tabItens[[#This Row],[CÓDIGO]],tabExcluirDoEstoque[#Data],1,FALSE),"sim",""),"")</f>
        <v/>
      </c>
      <c r="AP368" s="398" t="str">
        <f ca="1">IF(OR(ISBLANK(tabItens[[#This Row],[ATA DT.VALID.]]),tabItens[[#This Row],[ATA DT.VALID.]]="",tabItens[[#This Row],[ATA DT.VALID.]]=" "),"",IF(TYPE(tabItens[[#This Row],[ATA DT.VALID.]])=1,ROUNDUP((tabItens[[#This Row],[ATA DT.VALID.]]-TODAY())/7,0),""))</f>
        <v/>
      </c>
      <c r="AQ368" s="399">
        <v>0</v>
      </c>
      <c r="AR368" s="400" t="str">
        <f>IF(ISBLANK(tabItens[[#This Row],[CÓDIGO]]),"",IFERROR(VLOOKUP(tabItens[[#This Row],[CÓDIGO]],Consumo!$C$2:$AC$862,26,FALSE),0))</f>
        <v>09.2023</v>
      </c>
      <c r="AS368" s="401">
        <f>SUMIF(Consumo!$C$3:$C$862,tabItens[[#This Row],[CÓDIGO]],Consumo!$N$3:$N$862) + SUMIF(Consumo!$C$3:$C$862,tabItens[[#This Row],[CÓDIGO]],Consumo!$O$3:$O$862) + SUMIF(Consumo!$C$3:$C$862,tabItens[[#This Row],[CÓDIGO]],Consumo!$P$3:$P$862) + SUMIF(Consumo!$C$3:$C$862,tabItens[[#This Row],[CÓDIGO]],Consumo!$Q$3:$Q$862)</f>
        <v>681</v>
      </c>
      <c r="AT368" s="401">
        <f>SUMIF(Consumo!$C$3:$C$862,tabItens[[#This Row],[CÓDIGO]],Consumo!$Z$3:$Z$862)</f>
        <v>2318</v>
      </c>
      <c r="AU368" s="402">
        <f>SUMIF(Consumo!$C$3:$C$862,tabItens[[#This Row],[CÓDIGO]],Consumo!$AA$3:$AA$862)</f>
        <v>295</v>
      </c>
      <c r="AV368" s="403">
        <f>SUMIF(Consumo!$C$3:$C$862,tabItens[[#This Row],[CÓDIGO]],Consumo!$Y$3:$Y$862)</f>
        <v>193.16666666666666</v>
      </c>
      <c r="AW368" s="380">
        <f>tabItens[[#This Row],[QTDE ATUAL]] + tabItens[[#This Row],[RC QTDE]] + tabItens[[#This Row],[AF SALDO]] + tabItens[[#This Row],[Recentes]]</f>
        <v>1813</v>
      </c>
      <c r="AX368" s="404">
        <v>135</v>
      </c>
      <c r="AY368" s="404">
        <v>4</v>
      </c>
      <c r="AZ368" s="404">
        <f>IF(ISBLANK(tabItens[[#This Row],[CÓDIGO]]),"",tabItens[[#This Row],[PontoMês]] * (AZ$2+tabItens[[#This Row],[PontoQtM]]))</f>
        <v>540</v>
      </c>
      <c r="BA368" s="403">
        <f>tabItens[[#This Row],[PontoPed]] - tabItens[[#This Row],[Saldo]] + (1/10)</f>
        <v>-1272.9000000000001</v>
      </c>
      <c r="BB368" s="403">
        <f xml:space="preserve"> tabItens[[#This Row],[PontoMês]] * BB$2 - tabItens[[#This Row],[QTDE ATUAL]] - (1/10)</f>
        <v>-1678.1</v>
      </c>
      <c r="BC368" s="335">
        <f>IF( tabItens[[#This Row],[PontoPed]]&gt;0, IF(tabItens[[#This Row],[PontoPed]]&lt;1, 1, IF( tabItens[[#This Row],[Saldo]]&gt;tabItens[[#This Row],[PontoPed]], 0, (tabItens[[#This Row],[PontoPed]]-tabItens[[#This Row],[Saldo]])/tabItens[[#This Row],[PontoPed]] ) ), 0 )</f>
        <v>0</v>
      </c>
      <c r="BD368" s="405">
        <f>ROUNDDOWN(IF( OR( AND(tabItens[[#This Row],[PontoPed]]&lt;tabItens[[#This Row],[Saldo]],tabItens[[#This Row],[Saldo]]&gt;0), tabItens[[#This Row],[PontoPed]]=0), 99, IF(AND(tabItens[[#This Row],[Saldo]]=0,tabItens[[#This Row],[PontoPed]]&gt;0), 0, (1-tabItens[[#This Row],[PctAb]])*10 ) ),0)</f>
        <v>99</v>
      </c>
      <c r="BE368" s="406">
        <f>MAX(ROUNDDOWN( IF(tabItens[[#This Row],[Abaixo]] &gt; 0,   tabItens[[#This Row],[Abaixo]] + (tabItens[[#This Row],[PontoMês]] * IF( OR( ISBLANK(tabItens[[#This Row],[ATA Nº/ANO]]), tabItens[[#This Row],[ATA Nº/ANO]] = ""),BE$2,BE$1)),0),0),0)</f>
        <v>0</v>
      </c>
      <c r="BF36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8" s="338">
        <f>SUMIF(Consumo!$C$3:$C$862,tabItens[[#This Row],[CÓDIGO]],Consumo!$E$3:$E$862)</f>
        <v>8</v>
      </c>
      <c r="BH368" s="339">
        <f>IF(AND(tabItens[[#This Row],[Pend]] &gt; 0,tabItens[[#This Row],[Consumo]] &lt;&gt; 0), tabItens[[#This Row],[Pend]] / tabItens[[#This Row],[Consumo]], 0 )</f>
        <v>3.4512510785159622E-3</v>
      </c>
      <c r="BI368" s="338"/>
      <c r="BJ368" s="407"/>
      <c r="BK368" s="408" t="s">
        <v>2086</v>
      </c>
    </row>
    <row r="369" spans="1:63" x14ac:dyDescent="0.3">
      <c r="A369" s="375">
        <v>11072</v>
      </c>
      <c r="B369" s="376" t="s">
        <v>930</v>
      </c>
      <c r="C369" s="377" t="s">
        <v>263</v>
      </c>
      <c r="D369" s="378">
        <v>1.59</v>
      </c>
      <c r="E369" s="305"/>
      <c r="F369" s="379"/>
      <c r="G369" s="379" t="s">
        <v>889</v>
      </c>
      <c r="H369" s="380">
        <v>314</v>
      </c>
      <c r="I369" s="307">
        <v>103003</v>
      </c>
      <c r="J369" s="308">
        <v>1.59</v>
      </c>
      <c r="K369" s="381">
        <v>369</v>
      </c>
      <c r="L369" s="382">
        <f>IF(tabItens[[#This Row],[Média]] &gt; 0, tabItens[[#This Row],[QTDE ATUAL]] / tabItens[[#This Row],[Média]],999.9)</f>
        <v>6.1871921182266014</v>
      </c>
      <c r="M369" s="383">
        <v>0</v>
      </c>
      <c r="N369" s="384">
        <f>tabItens[[#This Row],[VALOR UNIT.]] * tabItens[[#This Row],[LC]]</f>
        <v>0</v>
      </c>
      <c r="O369" s="385" t="s">
        <v>2090</v>
      </c>
      <c r="P369" s="386"/>
      <c r="Q369" s="387"/>
      <c r="R369" s="312"/>
      <c r="S369" s="388"/>
      <c r="T369" s="389">
        <f>ROUNDDOWN(IFERROR(tabItens[[#This Row],[ATA DT.VALID.]] - $D$1,0) / 30,0)</f>
        <v>-1474</v>
      </c>
      <c r="U369" s="302" t="s">
        <v>931</v>
      </c>
      <c r="V369" s="318">
        <v>1</v>
      </c>
      <c r="W369" s="390" t="s">
        <v>2073</v>
      </c>
      <c r="X369" s="391">
        <v>45</v>
      </c>
      <c r="Y369" s="392">
        <v>12</v>
      </c>
      <c r="Z369" s="393"/>
      <c r="AA369" s="394"/>
      <c r="AB369" s="395"/>
      <c r="AC369" s="395"/>
      <c r="AD369" s="394"/>
      <c r="AE369" s="395"/>
      <c r="AF369" s="317"/>
      <c r="AG369" s="396" t="s">
        <v>2072</v>
      </c>
      <c r="AH369" s="397"/>
      <c r="AI369" s="317">
        <v>204</v>
      </c>
      <c r="AJ369" s="397">
        <v>43616</v>
      </c>
      <c r="AK369" s="326" t="s">
        <v>889</v>
      </c>
      <c r="AL369" s="326">
        <v>44998</v>
      </c>
      <c r="AM369" s="316"/>
      <c r="AN369" s="305"/>
      <c r="AO369" s="327" t="str">
        <f>_xlfn.IFNA(IF(VLOOKUP(tabItens[[#This Row],[CÓDIGO]],tabExcluirDoEstoque[#Data],1,FALSE),"sim",""),"")</f>
        <v/>
      </c>
      <c r="AP369" s="398" t="str">
        <f ca="1">IF(OR(ISBLANK(tabItens[[#This Row],[ATA DT.VALID.]]),tabItens[[#This Row],[ATA DT.VALID.]]="",tabItens[[#This Row],[ATA DT.VALID.]]=" "),"",IF(TYPE(tabItens[[#This Row],[ATA DT.VALID.]])=1,ROUNDUP((tabItens[[#This Row],[ATA DT.VALID.]]-TODAY())/7,0),""))</f>
        <v/>
      </c>
      <c r="AQ369" s="399">
        <v>0</v>
      </c>
      <c r="AR369" s="400" t="str">
        <f>IF(ISBLANK(tabItens[[#This Row],[CÓDIGO]]),"",IFERROR(VLOOKUP(tabItens[[#This Row],[CÓDIGO]],Consumo!$C$2:$AC$862,26,FALSE),0))</f>
        <v>09.2023</v>
      </c>
      <c r="AS369" s="401">
        <f>SUMIF(Consumo!$C$3:$C$862,tabItens[[#This Row],[CÓDIGO]],Consumo!$N$3:$N$862) + SUMIF(Consumo!$C$3:$C$862,tabItens[[#This Row],[CÓDIGO]],Consumo!$O$3:$O$862) + SUMIF(Consumo!$C$3:$C$862,tabItens[[#This Row],[CÓDIGO]],Consumo!$P$3:$P$862) + SUMIF(Consumo!$C$3:$C$862,tabItens[[#This Row],[CÓDIGO]],Consumo!$Q$3:$Q$862)</f>
        <v>211</v>
      </c>
      <c r="AT369" s="401">
        <f>SUMIF(Consumo!$C$3:$C$862,tabItens[[#This Row],[CÓDIGO]],Consumo!$Z$3:$Z$862)</f>
        <v>609</v>
      </c>
      <c r="AU369" s="402">
        <f>SUMIF(Consumo!$C$3:$C$862,tabItens[[#This Row],[CÓDIGO]],Consumo!$AA$3:$AA$862)</f>
        <v>73</v>
      </c>
      <c r="AV369" s="403">
        <f>SUMIF(Consumo!$C$3:$C$862,tabItens[[#This Row],[CÓDIGO]],Consumo!$Y$3:$Y$862)</f>
        <v>50.75</v>
      </c>
      <c r="AW369" s="380">
        <f>tabItens[[#This Row],[QTDE ATUAL]] + tabItens[[#This Row],[RC QTDE]] + tabItens[[#This Row],[AF SALDO]] + tabItens[[#This Row],[Recentes]]</f>
        <v>314</v>
      </c>
      <c r="AX369" s="404">
        <v>51</v>
      </c>
      <c r="AY369" s="404">
        <v>4</v>
      </c>
      <c r="AZ369" s="404">
        <f>IF(ISBLANK(tabItens[[#This Row],[CÓDIGO]]),"",tabItens[[#This Row],[PontoMês]] * (AZ$2+tabItens[[#This Row],[PontoQtM]]))</f>
        <v>204</v>
      </c>
      <c r="BA369" s="403">
        <f>tabItens[[#This Row],[PontoPed]] - tabItens[[#This Row],[Saldo]] + (1/10)</f>
        <v>-109.9</v>
      </c>
      <c r="BB369" s="403">
        <f xml:space="preserve"> tabItens[[#This Row],[PontoMês]] * BB$2 - tabItens[[#This Row],[QTDE ATUAL]] - (1/10)</f>
        <v>-263.10000000000002</v>
      </c>
      <c r="BC369" s="335">
        <f>IF( tabItens[[#This Row],[PontoPed]]&gt;0, IF(tabItens[[#This Row],[PontoPed]]&lt;1, 1, IF( tabItens[[#This Row],[Saldo]]&gt;tabItens[[#This Row],[PontoPed]], 0, (tabItens[[#This Row],[PontoPed]]-tabItens[[#This Row],[Saldo]])/tabItens[[#This Row],[PontoPed]] ) ), 0 )</f>
        <v>0</v>
      </c>
      <c r="BD369" s="405">
        <f>ROUNDDOWN(IF( OR( AND(tabItens[[#This Row],[PontoPed]]&lt;tabItens[[#This Row],[Saldo]],tabItens[[#This Row],[Saldo]]&gt;0), tabItens[[#This Row],[PontoPed]]=0), 99, IF(AND(tabItens[[#This Row],[Saldo]]=0,tabItens[[#This Row],[PontoPed]]&gt;0), 0, (1-tabItens[[#This Row],[PctAb]])*10 ) ),0)</f>
        <v>99</v>
      </c>
      <c r="BE369" s="406">
        <f>MAX(ROUNDDOWN( IF(tabItens[[#This Row],[Abaixo]] &gt; 0,   tabItens[[#This Row],[Abaixo]] + (tabItens[[#This Row],[PontoMês]] * IF( OR( ISBLANK(tabItens[[#This Row],[ATA Nº/ANO]]), tabItens[[#This Row],[ATA Nº/ANO]] = ""),BE$2,BE$1)),0),0),0)</f>
        <v>0</v>
      </c>
      <c r="BF36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9" s="338">
        <f>SUMIF(Consumo!$C$3:$C$862,tabItens[[#This Row],[CÓDIGO]],Consumo!$E$3:$E$862)</f>
        <v>0</v>
      </c>
      <c r="BH369" s="339">
        <f>IF(AND(tabItens[[#This Row],[Pend]] &gt; 0,tabItens[[#This Row],[Consumo]] &lt;&gt; 0), tabItens[[#This Row],[Pend]] / tabItens[[#This Row],[Consumo]], 0 )</f>
        <v>0</v>
      </c>
      <c r="BI369" s="338"/>
      <c r="BJ369" s="407"/>
      <c r="BK369" s="408" t="s">
        <v>2086</v>
      </c>
    </row>
    <row r="370" spans="1:63" x14ac:dyDescent="0.3">
      <c r="A370" s="375">
        <v>11109</v>
      </c>
      <c r="B370" s="376" t="s">
        <v>932</v>
      </c>
      <c r="C370" s="377" t="s">
        <v>269</v>
      </c>
      <c r="D370" s="378">
        <v>1.2</v>
      </c>
      <c r="E370" s="305"/>
      <c r="F370" s="379"/>
      <c r="G370" s="379" t="s">
        <v>889</v>
      </c>
      <c r="H370" s="380">
        <v>0</v>
      </c>
      <c r="I370" s="307">
        <v>103003</v>
      </c>
      <c r="J370" s="308">
        <v>1.2</v>
      </c>
      <c r="K370" s="381">
        <v>2323</v>
      </c>
      <c r="L370" s="382">
        <f>IF(tabItens[[#This Row],[Média]] &gt; 0, tabItens[[#This Row],[QTDE ATUAL]] / tabItens[[#This Row],[Média]],999.9)</f>
        <v>0</v>
      </c>
      <c r="M370" s="383">
        <v>0</v>
      </c>
      <c r="N370" s="384">
        <f>tabItens[[#This Row],[VALOR UNIT.]] * tabItens[[#This Row],[LC]]</f>
        <v>0</v>
      </c>
      <c r="O370" s="385" t="s">
        <v>2090</v>
      </c>
      <c r="P370" s="386"/>
      <c r="Q370" s="387"/>
      <c r="R370" s="312"/>
      <c r="S370" s="388"/>
      <c r="T370" s="389">
        <f>ROUNDDOWN(IFERROR(tabItens[[#This Row],[ATA DT.VALID.]] - $D$1,0) / 30,0)</f>
        <v>-1474</v>
      </c>
      <c r="U370" s="302" t="s">
        <v>931</v>
      </c>
      <c r="V370" s="318">
        <v>1</v>
      </c>
      <c r="W370" s="390" t="s">
        <v>2073</v>
      </c>
      <c r="X370" s="391">
        <v>45</v>
      </c>
      <c r="Y370" s="392">
        <v>12</v>
      </c>
      <c r="Z370" s="393">
        <v>6978</v>
      </c>
      <c r="AA370" s="394">
        <v>2023</v>
      </c>
      <c r="AB370" s="395">
        <v>600</v>
      </c>
      <c r="AC370" s="395"/>
      <c r="AD370" s="394"/>
      <c r="AE370" s="395"/>
      <c r="AF370" s="317"/>
      <c r="AG370" s="396" t="s">
        <v>2072</v>
      </c>
      <c r="AH370" s="397"/>
      <c r="AI370" s="317">
        <v>980</v>
      </c>
      <c r="AJ370" s="397">
        <v>45014</v>
      </c>
      <c r="AK370" s="326" t="s">
        <v>889</v>
      </c>
      <c r="AL370" s="326">
        <v>45107</v>
      </c>
      <c r="AM370" s="316"/>
      <c r="AN370" s="305"/>
      <c r="AO370" s="327" t="str">
        <f>_xlfn.IFNA(IF(VLOOKUP(tabItens[[#This Row],[CÓDIGO]],tabExcluirDoEstoque[#Data],1,FALSE),"sim",""),"")</f>
        <v/>
      </c>
      <c r="AP370" s="398" t="str">
        <f ca="1">IF(OR(ISBLANK(tabItens[[#This Row],[ATA DT.VALID.]]),tabItens[[#This Row],[ATA DT.VALID.]]="",tabItens[[#This Row],[ATA DT.VALID.]]=" "),"",IF(TYPE(tabItens[[#This Row],[ATA DT.VALID.]])=1,ROUNDUP((tabItens[[#This Row],[ATA DT.VALID.]]-TODAY())/7,0),""))</f>
        <v/>
      </c>
      <c r="AQ370" s="399">
        <v>0</v>
      </c>
      <c r="AR370" s="400" t="str">
        <f>IF(ISBLANK(tabItens[[#This Row],[CÓDIGO]]),"",IFERROR(VLOOKUP(tabItens[[#This Row],[CÓDIGO]],Consumo!$C$2:$AC$862,26,FALSE),0))</f>
        <v>09.2023</v>
      </c>
      <c r="AS370" s="401">
        <f>SUMIF(Consumo!$C$3:$C$862,tabItens[[#This Row],[CÓDIGO]],Consumo!$N$3:$N$862) + SUMIF(Consumo!$C$3:$C$862,tabItens[[#This Row],[CÓDIGO]],Consumo!$O$3:$O$862) + SUMIF(Consumo!$C$3:$C$862,tabItens[[#This Row],[CÓDIGO]],Consumo!$P$3:$P$862) + SUMIF(Consumo!$C$3:$C$862,tabItens[[#This Row],[CÓDIGO]],Consumo!$Q$3:$Q$862)</f>
        <v>1179</v>
      </c>
      <c r="AT370" s="401">
        <f>SUMIF(Consumo!$C$3:$C$862,tabItens[[#This Row],[CÓDIGO]],Consumo!$Z$3:$Z$862)</f>
        <v>3332</v>
      </c>
      <c r="AU370" s="402">
        <f>SUMIF(Consumo!$C$3:$C$862,tabItens[[#This Row],[CÓDIGO]],Consumo!$AA$3:$AA$862)</f>
        <v>462</v>
      </c>
      <c r="AV370" s="403">
        <f>SUMIF(Consumo!$C$3:$C$862,tabItens[[#This Row],[CÓDIGO]],Consumo!$Y$3:$Y$862)</f>
        <v>277.66666666666669</v>
      </c>
      <c r="AW370" s="380">
        <f>tabItens[[#This Row],[QTDE ATUAL]] + tabItens[[#This Row],[RC QTDE]] + tabItens[[#This Row],[AF SALDO]] + tabItens[[#This Row],[Recentes]]</f>
        <v>600</v>
      </c>
      <c r="AX370" s="404">
        <v>329</v>
      </c>
      <c r="AY370" s="404">
        <v>4</v>
      </c>
      <c r="AZ370" s="404">
        <f>IF(ISBLANK(tabItens[[#This Row],[CÓDIGO]]),"",tabItens[[#This Row],[PontoMês]] * (AZ$2+tabItens[[#This Row],[PontoQtM]]))</f>
        <v>1316</v>
      </c>
      <c r="BA370" s="403">
        <f>tabItens[[#This Row],[PontoPed]] - tabItens[[#This Row],[Saldo]] + (1/10)</f>
        <v>716.1</v>
      </c>
      <c r="BB370" s="403">
        <f xml:space="preserve"> tabItens[[#This Row],[PontoMês]] * BB$2 - tabItens[[#This Row],[QTDE ATUAL]] - (1/10)</f>
        <v>328.9</v>
      </c>
      <c r="BC370" s="335">
        <f>IF( tabItens[[#This Row],[PontoPed]]&gt;0, IF(tabItens[[#This Row],[PontoPed]]&lt;1, 1, IF( tabItens[[#This Row],[Saldo]]&gt;tabItens[[#This Row],[PontoPed]], 0, (tabItens[[#This Row],[PontoPed]]-tabItens[[#This Row],[Saldo]])/tabItens[[#This Row],[PontoPed]] ) ), 0 )</f>
        <v>0.54407294832826747</v>
      </c>
      <c r="BD370" s="405">
        <f>ROUNDDOWN(IF( OR( AND(tabItens[[#This Row],[PontoPed]]&lt;tabItens[[#This Row],[Saldo]],tabItens[[#This Row],[Saldo]]&gt;0), tabItens[[#This Row],[PontoPed]]=0), 99, IF(AND(tabItens[[#This Row],[Saldo]]=0,tabItens[[#This Row],[PontoPed]]&gt;0), 0, (1-tabItens[[#This Row],[PctAb]])*10 ) ),0)</f>
        <v>4</v>
      </c>
      <c r="BE370" s="406">
        <f>MAX(ROUNDDOWN( IF(tabItens[[#This Row],[Abaixo]] &gt; 0,   tabItens[[#This Row],[Abaixo]] + (tabItens[[#This Row],[PontoMês]] * IF( OR( ISBLANK(tabItens[[#This Row],[ATA Nº/ANO]]), tabItens[[#This Row],[ATA Nº/ANO]] = ""),BE$2,BE$1)),0),0),0)</f>
        <v>1703</v>
      </c>
      <c r="BF37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0" s="338">
        <f>SUMIF(Consumo!$C$3:$C$862,tabItens[[#This Row],[CÓDIGO]],Consumo!$E$3:$E$862)</f>
        <v>490</v>
      </c>
      <c r="BH370" s="339">
        <f>IF(AND(tabItens[[#This Row],[Pend]] &gt; 0,tabItens[[#This Row],[Consumo]] &lt;&gt; 0), tabItens[[#This Row],[Pend]] / tabItens[[#This Row],[Consumo]], 0 )</f>
        <v>0.14705882352941177</v>
      </c>
      <c r="BI370" s="338"/>
      <c r="BJ370" s="407"/>
      <c r="BK370" s="408" t="s">
        <v>2086</v>
      </c>
    </row>
    <row r="371" spans="1:63" x14ac:dyDescent="0.3">
      <c r="A371" s="375">
        <v>17136</v>
      </c>
      <c r="B371" s="376" t="s">
        <v>1126</v>
      </c>
      <c r="C371" s="377" t="s">
        <v>269</v>
      </c>
      <c r="D371" s="378">
        <v>4</v>
      </c>
      <c r="E371" s="305"/>
      <c r="F371" s="379"/>
      <c r="G371" s="379" t="s">
        <v>889</v>
      </c>
      <c r="H371" s="380">
        <v>377</v>
      </c>
      <c r="I371" s="307">
        <v>103003</v>
      </c>
      <c r="J371" s="308">
        <v>4</v>
      </c>
      <c r="K371" s="381">
        <v>673</v>
      </c>
      <c r="L371" s="382">
        <f>IF(tabItens[[#This Row],[Média]] &gt; 0, tabItens[[#This Row],[QTDE ATUAL]] / tabItens[[#This Row],[Média]],999.9)</f>
        <v>4.9227421109902068</v>
      </c>
      <c r="M371" s="383">
        <v>0</v>
      </c>
      <c r="N371" s="384">
        <f>tabItens[[#This Row],[VALOR UNIT.]] * tabItens[[#This Row],[LC]]</f>
        <v>0</v>
      </c>
      <c r="O371" s="385" t="s">
        <v>2090</v>
      </c>
      <c r="P371" s="386"/>
      <c r="Q371" s="387"/>
      <c r="R371" s="312"/>
      <c r="S371" s="388"/>
      <c r="T371" s="389">
        <f>ROUNDDOWN(IFERROR(tabItens[[#This Row],[ATA DT.VALID.]] - $D$1,0) / 30,0)</f>
        <v>-1474</v>
      </c>
      <c r="U371" s="302" t="s">
        <v>931</v>
      </c>
      <c r="V371" s="318">
        <v>1</v>
      </c>
      <c r="W371" s="390" t="s">
        <v>2073</v>
      </c>
      <c r="X371" s="391">
        <v>45</v>
      </c>
      <c r="Y371" s="392">
        <v>12</v>
      </c>
      <c r="Z371" s="393"/>
      <c r="AA371" s="394"/>
      <c r="AB371" s="395"/>
      <c r="AC371" s="395"/>
      <c r="AD371" s="394"/>
      <c r="AE371" s="395"/>
      <c r="AF371" s="317"/>
      <c r="AG371" s="396" t="s">
        <v>2072</v>
      </c>
      <c r="AH371" s="397"/>
      <c r="AI371" s="317">
        <v>274</v>
      </c>
      <c r="AJ371" s="397">
        <v>45034</v>
      </c>
      <c r="AK371" s="326" t="s">
        <v>889</v>
      </c>
      <c r="AL371" s="326">
        <v>44998</v>
      </c>
      <c r="AM371" s="316"/>
      <c r="AN371" s="305"/>
      <c r="AO371" s="327" t="str">
        <f>_xlfn.IFNA(IF(VLOOKUP(tabItens[[#This Row],[CÓDIGO]],tabExcluirDoEstoque[#Data],1,FALSE),"sim",""),"")</f>
        <v/>
      </c>
      <c r="AP371" s="398" t="str">
        <f ca="1">IF(OR(ISBLANK(tabItens[[#This Row],[ATA DT.VALID.]]),tabItens[[#This Row],[ATA DT.VALID.]]="",tabItens[[#This Row],[ATA DT.VALID.]]=" "),"",IF(TYPE(tabItens[[#This Row],[ATA DT.VALID.]])=1,ROUNDUP((tabItens[[#This Row],[ATA DT.VALID.]]-TODAY())/7,0),""))</f>
        <v/>
      </c>
      <c r="AQ371" s="399">
        <v>0</v>
      </c>
      <c r="AR371" s="400" t="str">
        <f>IF(ISBLANK(tabItens[[#This Row],[CÓDIGO]]),"",IFERROR(VLOOKUP(tabItens[[#This Row],[CÓDIGO]],Consumo!$C$2:$AC$862,26,FALSE),0))</f>
        <v>09.2023</v>
      </c>
      <c r="AS371" s="401">
        <f>SUMIF(Consumo!$C$3:$C$862,tabItens[[#This Row],[CÓDIGO]],Consumo!$N$3:$N$862) + SUMIF(Consumo!$C$3:$C$862,tabItens[[#This Row],[CÓDIGO]],Consumo!$O$3:$O$862) + SUMIF(Consumo!$C$3:$C$862,tabItens[[#This Row],[CÓDIGO]],Consumo!$P$3:$P$862) + SUMIF(Consumo!$C$3:$C$862,tabItens[[#This Row],[CÓDIGO]],Consumo!$Q$3:$Q$862)</f>
        <v>425</v>
      </c>
      <c r="AT371" s="401">
        <f>SUMIF(Consumo!$C$3:$C$862,tabItens[[#This Row],[CÓDIGO]],Consumo!$Z$3:$Z$862)</f>
        <v>919</v>
      </c>
      <c r="AU371" s="402">
        <f>SUMIF(Consumo!$C$3:$C$862,tabItens[[#This Row],[CÓDIGO]],Consumo!$AA$3:$AA$862)</f>
        <v>131</v>
      </c>
      <c r="AV371" s="403">
        <f>SUMIF(Consumo!$C$3:$C$862,tabItens[[#This Row],[CÓDIGO]],Consumo!$Y$3:$Y$862)</f>
        <v>76.583333333333329</v>
      </c>
      <c r="AW371" s="380">
        <f>tabItens[[#This Row],[QTDE ATUAL]] + tabItens[[#This Row],[RC QTDE]] + tabItens[[#This Row],[AF SALDO]] + tabItens[[#This Row],[Recentes]]</f>
        <v>377</v>
      </c>
      <c r="AX371" s="404">
        <v>100</v>
      </c>
      <c r="AY371" s="404">
        <v>4</v>
      </c>
      <c r="AZ371" s="404">
        <f>IF(ISBLANK(tabItens[[#This Row],[CÓDIGO]]),"",tabItens[[#This Row],[PontoMês]] * (AZ$2+tabItens[[#This Row],[PontoQtM]]))</f>
        <v>400</v>
      </c>
      <c r="BA371" s="403">
        <f>tabItens[[#This Row],[PontoPed]] - tabItens[[#This Row],[Saldo]] + (1/10)</f>
        <v>23.1</v>
      </c>
      <c r="BB371" s="403">
        <f xml:space="preserve"> tabItens[[#This Row],[PontoMês]] * BB$2 - tabItens[[#This Row],[QTDE ATUAL]] - (1/10)</f>
        <v>-277.10000000000002</v>
      </c>
      <c r="BC371" s="335">
        <f>IF( tabItens[[#This Row],[PontoPed]]&gt;0, IF(tabItens[[#This Row],[PontoPed]]&lt;1, 1, IF( tabItens[[#This Row],[Saldo]]&gt;tabItens[[#This Row],[PontoPed]], 0, (tabItens[[#This Row],[PontoPed]]-tabItens[[#This Row],[Saldo]])/tabItens[[#This Row],[PontoPed]] ) ), 0 )</f>
        <v>5.7500000000000002E-2</v>
      </c>
      <c r="BD371" s="405">
        <f>ROUNDDOWN(IF( OR( AND(tabItens[[#This Row],[PontoPed]]&lt;tabItens[[#This Row],[Saldo]],tabItens[[#This Row],[Saldo]]&gt;0), tabItens[[#This Row],[PontoPed]]=0), 99, IF(AND(tabItens[[#This Row],[Saldo]]=0,tabItens[[#This Row],[PontoPed]]&gt;0), 0, (1-tabItens[[#This Row],[PctAb]])*10 ) ),0)</f>
        <v>9</v>
      </c>
      <c r="BE371" s="406">
        <f>MAX(ROUNDDOWN( IF(tabItens[[#This Row],[Abaixo]] &gt; 0,   tabItens[[#This Row],[Abaixo]] + (tabItens[[#This Row],[PontoMês]] * IF( OR( ISBLANK(tabItens[[#This Row],[ATA Nº/ANO]]), tabItens[[#This Row],[ATA Nº/ANO]] = ""),BE$2,BE$1)),0),0),0)</f>
        <v>323</v>
      </c>
      <c r="BF37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1" s="338">
        <f>SUMIF(Consumo!$C$3:$C$862,tabItens[[#This Row],[CÓDIGO]],Consumo!$E$3:$E$862)</f>
        <v>96</v>
      </c>
      <c r="BH371" s="339">
        <f>IF(AND(tabItens[[#This Row],[Pend]] &gt; 0,tabItens[[#This Row],[Consumo]] &lt;&gt; 0), tabItens[[#This Row],[Pend]] / tabItens[[#This Row],[Consumo]], 0 )</f>
        <v>0.10446137105549511</v>
      </c>
      <c r="BI371" s="338"/>
      <c r="BJ371" s="407"/>
      <c r="BK371" s="408" t="s">
        <v>2086</v>
      </c>
    </row>
    <row r="372" spans="1:63" x14ac:dyDescent="0.3">
      <c r="A372" s="375">
        <v>51579</v>
      </c>
      <c r="B372" s="376" t="s">
        <v>1302</v>
      </c>
      <c r="C372" s="377" t="s">
        <v>263</v>
      </c>
      <c r="D372" s="378">
        <v>18.149999999999999</v>
      </c>
      <c r="E372" s="305"/>
      <c r="F372" s="379"/>
      <c r="G372" s="379" t="s">
        <v>889</v>
      </c>
      <c r="H372" s="380">
        <v>422</v>
      </c>
      <c r="I372" s="307">
        <v>103003</v>
      </c>
      <c r="J372" s="308">
        <v>18.149999999999999</v>
      </c>
      <c r="K372" s="381">
        <v>577</v>
      </c>
      <c r="L372" s="382">
        <f>IF(tabItens[[#This Row],[Média]] &gt; 0, tabItens[[#This Row],[QTDE ATUAL]] / tabItens[[#This Row],[Média]],999.9)</f>
        <v>5.2152420185375901</v>
      </c>
      <c r="M372" s="383">
        <v>0</v>
      </c>
      <c r="N372" s="384">
        <f>tabItens[[#This Row],[VALOR UNIT.]] * tabItens[[#This Row],[LC]]</f>
        <v>0</v>
      </c>
      <c r="O372" s="385" t="s">
        <v>2090</v>
      </c>
      <c r="P372" s="386"/>
      <c r="Q372" s="387"/>
      <c r="R372" s="312"/>
      <c r="S372" s="388"/>
      <c r="T372" s="389">
        <f>ROUNDDOWN(IFERROR(tabItens[[#This Row],[ATA DT.VALID.]] - $D$1,0) / 30,0)</f>
        <v>-1474</v>
      </c>
      <c r="U372" s="302" t="s">
        <v>931</v>
      </c>
      <c r="V372" s="318">
        <v>1</v>
      </c>
      <c r="W372" s="390" t="s">
        <v>2073</v>
      </c>
      <c r="X372" s="391">
        <v>45</v>
      </c>
      <c r="Y372" s="392">
        <v>12</v>
      </c>
      <c r="Z372" s="393"/>
      <c r="AA372" s="394"/>
      <c r="AB372" s="395"/>
      <c r="AC372" s="395"/>
      <c r="AD372" s="394"/>
      <c r="AE372" s="395"/>
      <c r="AF372" s="317"/>
      <c r="AG372" s="396" t="s">
        <v>2072</v>
      </c>
      <c r="AH372" s="397"/>
      <c r="AI372" s="317">
        <v>324</v>
      </c>
      <c r="AJ372" s="397">
        <v>45064</v>
      </c>
      <c r="AK372" s="326" t="s">
        <v>889</v>
      </c>
      <c r="AL372" s="326">
        <v>45141</v>
      </c>
      <c r="AM372" s="316"/>
      <c r="AN372" s="305"/>
      <c r="AO372" s="327" t="str">
        <f>_xlfn.IFNA(IF(VLOOKUP(tabItens[[#This Row],[CÓDIGO]],tabExcluirDoEstoque[#Data],1,FALSE),"sim",""),"")</f>
        <v/>
      </c>
      <c r="AP372" s="398" t="str">
        <f ca="1">IF(OR(ISBLANK(tabItens[[#This Row],[ATA DT.VALID.]]),tabItens[[#This Row],[ATA DT.VALID.]]="",tabItens[[#This Row],[ATA DT.VALID.]]=" "),"",IF(TYPE(tabItens[[#This Row],[ATA DT.VALID.]])=1,ROUNDUP((tabItens[[#This Row],[ATA DT.VALID.]]-TODAY())/7,0),""))</f>
        <v/>
      </c>
      <c r="AQ372" s="399">
        <v>0</v>
      </c>
      <c r="AR372" s="400" t="str">
        <f>IF(ISBLANK(tabItens[[#This Row],[CÓDIGO]]),"",IFERROR(VLOOKUP(tabItens[[#This Row],[CÓDIGO]],Consumo!$C$2:$AC$862,26,FALSE),0))</f>
        <v>09.2023</v>
      </c>
      <c r="AS372" s="401">
        <f>SUMIF(Consumo!$C$3:$C$862,tabItens[[#This Row],[CÓDIGO]],Consumo!$N$3:$N$862) + SUMIF(Consumo!$C$3:$C$862,tabItens[[#This Row],[CÓDIGO]],Consumo!$O$3:$O$862) + SUMIF(Consumo!$C$3:$C$862,tabItens[[#This Row],[CÓDIGO]],Consumo!$P$3:$P$862) + SUMIF(Consumo!$C$3:$C$862,tabItens[[#This Row],[CÓDIGO]],Consumo!$Q$3:$Q$862)</f>
        <v>352</v>
      </c>
      <c r="AT372" s="401">
        <f>SUMIF(Consumo!$C$3:$C$862,tabItens[[#This Row],[CÓDIGO]],Consumo!$Z$3:$Z$862)</f>
        <v>971</v>
      </c>
      <c r="AU372" s="402">
        <f>SUMIF(Consumo!$C$3:$C$862,tabItens[[#This Row],[CÓDIGO]],Consumo!$AA$3:$AA$862)</f>
        <v>119</v>
      </c>
      <c r="AV372" s="403">
        <f>SUMIF(Consumo!$C$3:$C$862,tabItens[[#This Row],[CÓDIGO]],Consumo!$Y$3:$Y$862)</f>
        <v>80.916666666666671</v>
      </c>
      <c r="AW372" s="380">
        <f>tabItens[[#This Row],[QTDE ATUAL]] + tabItens[[#This Row],[RC QTDE]] + tabItens[[#This Row],[AF SALDO]] + tabItens[[#This Row],[Recentes]]</f>
        <v>422</v>
      </c>
      <c r="AX372" s="404">
        <v>125</v>
      </c>
      <c r="AY372" s="404">
        <v>4</v>
      </c>
      <c r="AZ372" s="404">
        <f>IF(ISBLANK(tabItens[[#This Row],[CÓDIGO]]),"",tabItens[[#This Row],[PontoMês]] * (AZ$2+tabItens[[#This Row],[PontoQtM]]))</f>
        <v>500</v>
      </c>
      <c r="BA372" s="403">
        <f>tabItens[[#This Row],[PontoPed]] - tabItens[[#This Row],[Saldo]] + (1/10)</f>
        <v>78.099999999999994</v>
      </c>
      <c r="BB372" s="403">
        <f xml:space="preserve"> tabItens[[#This Row],[PontoMês]] * BB$2 - tabItens[[#This Row],[QTDE ATUAL]] - (1/10)</f>
        <v>-297.10000000000002</v>
      </c>
      <c r="BC372" s="335">
        <f>IF( tabItens[[#This Row],[PontoPed]]&gt;0, IF(tabItens[[#This Row],[PontoPed]]&lt;1, 1, IF( tabItens[[#This Row],[Saldo]]&gt;tabItens[[#This Row],[PontoPed]], 0, (tabItens[[#This Row],[PontoPed]]-tabItens[[#This Row],[Saldo]])/tabItens[[#This Row],[PontoPed]] ) ), 0 )</f>
        <v>0.156</v>
      </c>
      <c r="BD372" s="405">
        <f>ROUNDDOWN(IF( OR( AND(tabItens[[#This Row],[PontoPed]]&lt;tabItens[[#This Row],[Saldo]],tabItens[[#This Row],[Saldo]]&gt;0), tabItens[[#This Row],[PontoPed]]=0), 99, IF(AND(tabItens[[#This Row],[Saldo]]=0,tabItens[[#This Row],[PontoPed]]&gt;0), 0, (1-tabItens[[#This Row],[PctAb]])*10 ) ),0)</f>
        <v>8</v>
      </c>
      <c r="BE372" s="406">
        <f>MAX(ROUNDDOWN( IF(tabItens[[#This Row],[Abaixo]] &gt; 0,   tabItens[[#This Row],[Abaixo]] + (tabItens[[#This Row],[PontoMês]] * IF( OR( ISBLANK(tabItens[[#This Row],[ATA Nº/ANO]]), tabItens[[#This Row],[ATA Nº/ANO]] = ""),BE$2,BE$1)),0),0),0)</f>
        <v>453</v>
      </c>
      <c r="BF37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2" s="338">
        <f>SUMIF(Consumo!$C$3:$C$862,tabItens[[#This Row],[CÓDIGO]],Consumo!$E$3:$E$862)</f>
        <v>1</v>
      </c>
      <c r="BH372" s="339">
        <f>IF(AND(tabItens[[#This Row],[Pend]] &gt; 0,tabItens[[#This Row],[Consumo]] &lt;&gt; 0), tabItens[[#This Row],[Pend]] / tabItens[[#This Row],[Consumo]], 0 )</f>
        <v>1.0298661174047373E-3</v>
      </c>
      <c r="BI372" s="338"/>
      <c r="BJ372" s="407"/>
      <c r="BK372" s="408" t="s">
        <v>2086</v>
      </c>
    </row>
    <row r="373" spans="1:63" x14ac:dyDescent="0.3">
      <c r="A373" s="375">
        <v>10547</v>
      </c>
      <c r="B373" s="376" t="s">
        <v>916</v>
      </c>
      <c r="C373" s="377" t="s">
        <v>260</v>
      </c>
      <c r="D373" s="378">
        <v>2.68</v>
      </c>
      <c r="E373" s="305"/>
      <c r="F373" s="379"/>
      <c r="G373" s="379" t="s">
        <v>889</v>
      </c>
      <c r="H373" s="380">
        <v>0</v>
      </c>
      <c r="I373" s="307">
        <v>103003</v>
      </c>
      <c r="J373" s="308">
        <v>2.68</v>
      </c>
      <c r="K373" s="381">
        <v>15113</v>
      </c>
      <c r="L373" s="382">
        <f>IF(tabItens[[#This Row],[Média]] &gt; 0, tabItens[[#This Row],[QTDE ATUAL]] / tabItens[[#This Row],[Média]],999.9)</f>
        <v>0</v>
      </c>
      <c r="M373" s="383">
        <v>0</v>
      </c>
      <c r="N373" s="384">
        <f>tabItens[[#This Row],[VALOR UNIT.]] * tabItens[[#This Row],[LC]]</f>
        <v>0</v>
      </c>
      <c r="O373" s="385" t="s">
        <v>2090</v>
      </c>
      <c r="P373" s="386"/>
      <c r="Q373" s="387"/>
      <c r="R373" s="312"/>
      <c r="S373" s="388"/>
      <c r="T373" s="389">
        <f>ROUNDDOWN(IFERROR(tabItens[[#This Row],[ATA DT.VALID.]] - $D$1,0) / 30,0)</f>
        <v>-1474</v>
      </c>
      <c r="U373" s="302" t="s">
        <v>917</v>
      </c>
      <c r="V373" s="318">
        <v>1</v>
      </c>
      <c r="W373" s="390" t="s">
        <v>2074</v>
      </c>
      <c r="X373" s="391">
        <v>45</v>
      </c>
      <c r="Y373" s="392">
        <v>14</v>
      </c>
      <c r="Z373" s="393">
        <v>6982</v>
      </c>
      <c r="AA373" s="394">
        <v>2023</v>
      </c>
      <c r="AB373" s="395">
        <v>7900</v>
      </c>
      <c r="AC373" s="395"/>
      <c r="AD373" s="394"/>
      <c r="AE373" s="395"/>
      <c r="AF373" s="317"/>
      <c r="AG373" s="396" t="s">
        <v>2072</v>
      </c>
      <c r="AH373" s="397"/>
      <c r="AI373" s="317">
        <v>15038</v>
      </c>
      <c r="AJ373" s="397">
        <v>44924</v>
      </c>
      <c r="AK373" s="326" t="s">
        <v>889</v>
      </c>
      <c r="AL373" s="326">
        <v>45107</v>
      </c>
      <c r="AM373" s="316"/>
      <c r="AN373" s="305"/>
      <c r="AO373" s="327" t="str">
        <f>_xlfn.IFNA(IF(VLOOKUP(tabItens[[#This Row],[CÓDIGO]],tabExcluirDoEstoque[#Data],1,FALSE),"sim",""),"")</f>
        <v/>
      </c>
      <c r="AP373" s="398" t="str">
        <f ca="1">IF(OR(ISBLANK(tabItens[[#This Row],[ATA DT.VALID.]]),tabItens[[#This Row],[ATA DT.VALID.]]="",tabItens[[#This Row],[ATA DT.VALID.]]=" "),"",IF(TYPE(tabItens[[#This Row],[ATA DT.VALID.]])=1,ROUNDUP((tabItens[[#This Row],[ATA DT.VALID.]]-TODAY())/7,0),""))</f>
        <v/>
      </c>
      <c r="AQ373" s="399">
        <v>0</v>
      </c>
      <c r="AR373" s="400" t="str">
        <f>IF(ISBLANK(tabItens[[#This Row],[CÓDIGO]]),"",IFERROR(VLOOKUP(tabItens[[#This Row],[CÓDIGO]],Consumo!$C$2:$AC$862,26,FALSE),0))</f>
        <v>05.2023</v>
      </c>
      <c r="AS373" s="401">
        <f>SUMIF(Consumo!$C$3:$C$862,tabItens[[#This Row],[CÓDIGO]],Consumo!$N$3:$N$862) + SUMIF(Consumo!$C$3:$C$862,tabItens[[#This Row],[CÓDIGO]],Consumo!$O$3:$O$862) + SUMIF(Consumo!$C$3:$C$862,tabItens[[#This Row],[CÓDIGO]],Consumo!$P$3:$P$862) + SUMIF(Consumo!$C$3:$C$862,tabItens[[#This Row],[CÓDIGO]],Consumo!$Q$3:$Q$862)</f>
        <v>0</v>
      </c>
      <c r="AT373" s="401">
        <f>SUMIF(Consumo!$C$3:$C$862,tabItens[[#This Row],[CÓDIGO]],Consumo!$Z$3:$Z$862)</f>
        <v>16639</v>
      </c>
      <c r="AU373" s="402">
        <f>SUMIF(Consumo!$C$3:$C$862,tabItens[[#This Row],[CÓDIGO]],Consumo!$AA$3:$AA$862)</f>
        <v>11820</v>
      </c>
      <c r="AV373" s="403">
        <f>SUMIF(Consumo!$C$3:$C$862,tabItens[[#This Row],[CÓDIGO]],Consumo!$Y$3:$Y$862)</f>
        <v>1053.6666666666667</v>
      </c>
      <c r="AW373" s="380">
        <f>tabItens[[#This Row],[QTDE ATUAL]] + tabItens[[#This Row],[RC QTDE]] + tabItens[[#This Row],[AF SALDO]] + tabItens[[#This Row],[Recentes]]</f>
        <v>7900</v>
      </c>
      <c r="AX373" s="404">
        <v>1355</v>
      </c>
      <c r="AY373" s="404">
        <v>4</v>
      </c>
      <c r="AZ373" s="404">
        <f>IF(ISBLANK(tabItens[[#This Row],[CÓDIGO]]),"",tabItens[[#This Row],[PontoMês]] * (AZ$2+tabItens[[#This Row],[PontoQtM]]))</f>
        <v>5420</v>
      </c>
      <c r="BA373" s="403">
        <f>tabItens[[#This Row],[PontoPed]] - tabItens[[#This Row],[Saldo]] + (1/10)</f>
        <v>-2479.9</v>
      </c>
      <c r="BB373" s="403">
        <f xml:space="preserve"> tabItens[[#This Row],[PontoMês]] * BB$2 - tabItens[[#This Row],[QTDE ATUAL]] - (1/10)</f>
        <v>1354.9</v>
      </c>
      <c r="BC373" s="335">
        <f>IF( tabItens[[#This Row],[PontoPed]]&gt;0, IF(tabItens[[#This Row],[PontoPed]]&lt;1, 1, IF( tabItens[[#This Row],[Saldo]]&gt;tabItens[[#This Row],[PontoPed]], 0, (tabItens[[#This Row],[PontoPed]]-tabItens[[#This Row],[Saldo]])/tabItens[[#This Row],[PontoPed]] ) ), 0 )</f>
        <v>0</v>
      </c>
      <c r="BD373" s="405">
        <f>ROUNDDOWN(IF( OR( AND(tabItens[[#This Row],[PontoPed]]&lt;tabItens[[#This Row],[Saldo]],tabItens[[#This Row],[Saldo]]&gt;0), tabItens[[#This Row],[PontoPed]]=0), 99, IF(AND(tabItens[[#This Row],[Saldo]]=0,tabItens[[#This Row],[PontoPed]]&gt;0), 0, (1-tabItens[[#This Row],[PctAb]])*10 ) ),0)</f>
        <v>99</v>
      </c>
      <c r="BE373" s="406">
        <f>MAX(ROUNDDOWN( IF(tabItens[[#This Row],[Abaixo]] &gt; 0,   tabItens[[#This Row],[Abaixo]] + (tabItens[[#This Row],[PontoMês]] * IF( OR( ISBLANK(tabItens[[#This Row],[ATA Nº/ANO]]), tabItens[[#This Row],[ATA Nº/ANO]] = ""),BE$2,BE$1)),0),0),0)</f>
        <v>0</v>
      </c>
      <c r="BF37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3" s="338">
        <f>SUMIF(Consumo!$C$3:$C$862,tabItens[[#This Row],[CÓDIGO]],Consumo!$E$3:$E$862)</f>
        <v>1526</v>
      </c>
      <c r="BH373" s="339">
        <f>IF(AND(tabItens[[#This Row],[Pend]] &gt; 0,tabItens[[#This Row],[Consumo]] &lt;&gt; 0), tabItens[[#This Row],[Pend]] / tabItens[[#This Row],[Consumo]], 0 )</f>
        <v>9.1712242322254944E-2</v>
      </c>
      <c r="BI373" s="338"/>
      <c r="BJ373" s="407"/>
      <c r="BK373" s="408" t="s">
        <v>2086</v>
      </c>
    </row>
    <row r="374" spans="1:63" x14ac:dyDescent="0.3">
      <c r="A374" s="375">
        <v>13091</v>
      </c>
      <c r="B374" s="376" t="s">
        <v>1001</v>
      </c>
      <c r="C374" s="377" t="s">
        <v>380</v>
      </c>
      <c r="D374" s="378">
        <v>0.95</v>
      </c>
      <c r="E374" s="305"/>
      <c r="F374" s="379"/>
      <c r="G374" s="379" t="s">
        <v>889</v>
      </c>
      <c r="H374" s="380">
        <v>0</v>
      </c>
      <c r="I374" s="307">
        <v>103003</v>
      </c>
      <c r="J374" s="308">
        <v>0.95</v>
      </c>
      <c r="K374" s="381">
        <v>2048</v>
      </c>
      <c r="L374" s="382">
        <f>IF(tabItens[[#This Row],[Média]] &gt; 0, tabItens[[#This Row],[QTDE ATUAL]] / tabItens[[#This Row],[Média]],999.9)</f>
        <v>0</v>
      </c>
      <c r="M374" s="383">
        <v>0</v>
      </c>
      <c r="N374" s="384">
        <f>tabItens[[#This Row],[VALOR UNIT.]] * tabItens[[#This Row],[LC]]</f>
        <v>0</v>
      </c>
      <c r="O374" s="385" t="s">
        <v>2090</v>
      </c>
      <c r="P374" s="386"/>
      <c r="Q374" s="387"/>
      <c r="R374" s="312"/>
      <c r="S374" s="388"/>
      <c r="T374" s="389">
        <f>ROUNDDOWN(IFERROR(tabItens[[#This Row],[ATA DT.VALID.]] - $D$1,0) / 30,0)</f>
        <v>-1474</v>
      </c>
      <c r="U374" s="302" t="s">
        <v>917</v>
      </c>
      <c r="V374" s="318">
        <v>1</v>
      </c>
      <c r="W374" s="390" t="s">
        <v>2074</v>
      </c>
      <c r="X374" s="391">
        <v>45</v>
      </c>
      <c r="Y374" s="392">
        <v>14</v>
      </c>
      <c r="Z374" s="393">
        <v>7338</v>
      </c>
      <c r="AA374" s="394">
        <v>2023</v>
      </c>
      <c r="AB374" s="395">
        <v>2000</v>
      </c>
      <c r="AC374" s="395"/>
      <c r="AD374" s="394"/>
      <c r="AE374" s="395"/>
      <c r="AF374" s="317"/>
      <c r="AG374" s="396" t="s">
        <v>2072</v>
      </c>
      <c r="AH374" s="397"/>
      <c r="AI374" s="317">
        <v>682</v>
      </c>
      <c r="AJ374" s="397">
        <v>44952</v>
      </c>
      <c r="AK374" s="326" t="s">
        <v>889</v>
      </c>
      <c r="AL374" s="326">
        <v>44999</v>
      </c>
      <c r="AM374" s="316"/>
      <c r="AN374" s="305"/>
      <c r="AO374" s="327" t="str">
        <f>_xlfn.IFNA(IF(VLOOKUP(tabItens[[#This Row],[CÓDIGO]],tabExcluirDoEstoque[#Data],1,FALSE),"sim",""),"")</f>
        <v/>
      </c>
      <c r="AP374" s="398" t="str">
        <f ca="1">IF(OR(ISBLANK(tabItens[[#This Row],[ATA DT.VALID.]]),tabItens[[#This Row],[ATA DT.VALID.]]="",tabItens[[#This Row],[ATA DT.VALID.]]=" "),"",IF(TYPE(tabItens[[#This Row],[ATA DT.VALID.]])=1,ROUNDUP((tabItens[[#This Row],[ATA DT.VALID.]]-TODAY())/7,0),""))</f>
        <v/>
      </c>
      <c r="AQ374" s="399">
        <v>0</v>
      </c>
      <c r="AR374" s="400" t="str">
        <f>IF(ISBLANK(tabItens[[#This Row],[CÓDIGO]]),"",IFERROR(VLOOKUP(tabItens[[#This Row],[CÓDIGO]],Consumo!$C$2:$AC$862,26,FALSE),0))</f>
        <v>04.2023</v>
      </c>
      <c r="AS374" s="401">
        <f>SUMIF(Consumo!$C$3:$C$862,tabItens[[#This Row],[CÓDIGO]],Consumo!$N$3:$N$862) + SUMIF(Consumo!$C$3:$C$862,tabItens[[#This Row],[CÓDIGO]],Consumo!$O$3:$O$862) + SUMIF(Consumo!$C$3:$C$862,tabItens[[#This Row],[CÓDIGO]],Consumo!$P$3:$P$862) + SUMIF(Consumo!$C$3:$C$862,tabItens[[#This Row],[CÓDIGO]],Consumo!$Q$3:$Q$862)</f>
        <v>0</v>
      </c>
      <c r="AT374" s="401">
        <f>SUMIF(Consumo!$C$3:$C$862,tabItens[[#This Row],[CÓDIGO]],Consumo!$Z$3:$Z$862)</f>
        <v>2856</v>
      </c>
      <c r="AU374" s="402">
        <f>SUMIF(Consumo!$C$3:$C$862,tabItens[[#This Row],[CÓDIGO]],Consumo!$AA$3:$AA$862)</f>
        <v>915</v>
      </c>
      <c r="AV374" s="403">
        <f>SUMIF(Consumo!$C$3:$C$862,tabItens[[#This Row],[CÓDIGO]],Consumo!$Y$3:$Y$862)</f>
        <v>238</v>
      </c>
      <c r="AW374" s="380">
        <f>tabItens[[#This Row],[QTDE ATUAL]] + tabItens[[#This Row],[RC QTDE]] + tabItens[[#This Row],[AF SALDO]] + tabItens[[#This Row],[Recentes]]</f>
        <v>2000</v>
      </c>
      <c r="AX374" s="404">
        <v>306</v>
      </c>
      <c r="AY374" s="404">
        <v>4</v>
      </c>
      <c r="AZ374" s="404">
        <f>IF(ISBLANK(tabItens[[#This Row],[CÓDIGO]]),"",tabItens[[#This Row],[PontoMês]] * (AZ$2+tabItens[[#This Row],[PontoQtM]]))</f>
        <v>1224</v>
      </c>
      <c r="BA374" s="403">
        <f>tabItens[[#This Row],[PontoPed]] - tabItens[[#This Row],[Saldo]] + (1/10)</f>
        <v>-775.9</v>
      </c>
      <c r="BB374" s="403">
        <f xml:space="preserve"> tabItens[[#This Row],[PontoMês]] * BB$2 - tabItens[[#This Row],[QTDE ATUAL]] - (1/10)</f>
        <v>305.89999999999998</v>
      </c>
      <c r="BC374" s="335">
        <f>IF( tabItens[[#This Row],[PontoPed]]&gt;0, IF(tabItens[[#This Row],[PontoPed]]&lt;1, 1, IF( tabItens[[#This Row],[Saldo]]&gt;tabItens[[#This Row],[PontoPed]], 0, (tabItens[[#This Row],[PontoPed]]-tabItens[[#This Row],[Saldo]])/tabItens[[#This Row],[PontoPed]] ) ), 0 )</f>
        <v>0</v>
      </c>
      <c r="BD374" s="405">
        <f>ROUNDDOWN(IF( OR( AND(tabItens[[#This Row],[PontoPed]]&lt;tabItens[[#This Row],[Saldo]],tabItens[[#This Row],[Saldo]]&gt;0), tabItens[[#This Row],[PontoPed]]=0), 99, IF(AND(tabItens[[#This Row],[Saldo]]=0,tabItens[[#This Row],[PontoPed]]&gt;0), 0, (1-tabItens[[#This Row],[PctAb]])*10 ) ),0)</f>
        <v>99</v>
      </c>
      <c r="BE374" s="406">
        <f>MAX(ROUNDDOWN( IF(tabItens[[#This Row],[Abaixo]] &gt; 0,   tabItens[[#This Row],[Abaixo]] + (tabItens[[#This Row],[PontoMês]] * IF( OR( ISBLANK(tabItens[[#This Row],[ATA Nº/ANO]]), tabItens[[#This Row],[ATA Nº/ANO]] = ""),BE$2,BE$1)),0),0),0)</f>
        <v>0</v>
      </c>
      <c r="BF37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4" s="338">
        <f>SUMIF(Consumo!$C$3:$C$862,tabItens[[#This Row],[CÓDIGO]],Consumo!$E$3:$E$862)</f>
        <v>808</v>
      </c>
      <c r="BH374" s="339">
        <f>IF(AND(tabItens[[#This Row],[Pend]] &gt; 0,tabItens[[#This Row],[Consumo]] &lt;&gt; 0), tabItens[[#This Row],[Pend]] / tabItens[[#This Row],[Consumo]], 0 )</f>
        <v>0.28291316526610644</v>
      </c>
      <c r="BI374" s="338"/>
      <c r="BJ374" s="407"/>
      <c r="BK374" s="408" t="s">
        <v>2086</v>
      </c>
    </row>
    <row r="375" spans="1:63" x14ac:dyDescent="0.3">
      <c r="A375" s="375">
        <v>132296</v>
      </c>
      <c r="B375" s="376" t="s">
        <v>1826</v>
      </c>
      <c r="C375" s="377" t="s">
        <v>260</v>
      </c>
      <c r="D375" s="378">
        <v>1.49</v>
      </c>
      <c r="E375" s="305"/>
      <c r="F375" s="379"/>
      <c r="G375" s="379" t="s">
        <v>889</v>
      </c>
      <c r="H375" s="380">
        <v>3019</v>
      </c>
      <c r="I375" s="307">
        <v>103003</v>
      </c>
      <c r="J375" s="308">
        <v>1.49</v>
      </c>
      <c r="K375" s="381">
        <v>5796</v>
      </c>
      <c r="L375" s="382">
        <f>IF(tabItens[[#This Row],[Média]] &gt; 0, tabItens[[#This Row],[QTDE ATUAL]] / tabItens[[#This Row],[Média]],999.9)</f>
        <v>5.4257900254605369</v>
      </c>
      <c r="M375" s="383">
        <v>0</v>
      </c>
      <c r="N375" s="384">
        <f>tabItens[[#This Row],[VALOR UNIT.]] * tabItens[[#This Row],[LC]]</f>
        <v>0</v>
      </c>
      <c r="O375" s="385" t="s">
        <v>2090</v>
      </c>
      <c r="P375" s="386"/>
      <c r="Q375" s="387"/>
      <c r="R375" s="312"/>
      <c r="S375" s="388"/>
      <c r="T375" s="389">
        <f>ROUNDDOWN(IFERROR(tabItens[[#This Row],[ATA DT.VALID.]] - $D$1,0) / 30,0)</f>
        <v>-1474</v>
      </c>
      <c r="U375" s="302" t="s">
        <v>917</v>
      </c>
      <c r="V375" s="318">
        <v>1</v>
      </c>
      <c r="W375" s="390" t="s">
        <v>2074</v>
      </c>
      <c r="X375" s="391">
        <v>45</v>
      </c>
      <c r="Y375" s="392">
        <v>14</v>
      </c>
      <c r="Z375" s="393"/>
      <c r="AA375" s="394"/>
      <c r="AB375" s="395"/>
      <c r="AC375" s="395"/>
      <c r="AD375" s="394"/>
      <c r="AE375" s="395"/>
      <c r="AF375" s="317"/>
      <c r="AG375" s="396" t="s">
        <v>2072</v>
      </c>
      <c r="AH375" s="397"/>
      <c r="AI375" s="317">
        <v>2128</v>
      </c>
      <c r="AJ375" s="397">
        <v>44998</v>
      </c>
      <c r="AK375" s="326">
        <v>42685</v>
      </c>
      <c r="AL375" s="326">
        <v>44910</v>
      </c>
      <c r="AM375" s="316"/>
      <c r="AN375" s="305"/>
      <c r="AO375" s="327" t="str">
        <f>_xlfn.IFNA(IF(VLOOKUP(tabItens[[#This Row],[CÓDIGO]],tabExcluirDoEstoque[#Data],1,FALSE),"sim",""),"")</f>
        <v/>
      </c>
      <c r="AP375" s="398" t="str">
        <f ca="1">IF(OR(ISBLANK(tabItens[[#This Row],[ATA DT.VALID.]]),tabItens[[#This Row],[ATA DT.VALID.]]="",tabItens[[#This Row],[ATA DT.VALID.]]=" "),"",IF(TYPE(tabItens[[#This Row],[ATA DT.VALID.]])=1,ROUNDUP((tabItens[[#This Row],[ATA DT.VALID.]]-TODAY())/7,0),""))</f>
        <v/>
      </c>
      <c r="AQ375" s="399">
        <v>0</v>
      </c>
      <c r="AR375" s="400" t="str">
        <f>IF(ISBLANK(tabItens[[#This Row],[CÓDIGO]]),"",IFERROR(VLOOKUP(tabItens[[#This Row],[CÓDIGO]],Consumo!$C$2:$AC$862,26,FALSE),0))</f>
        <v>09.2023</v>
      </c>
      <c r="AS375" s="401">
        <f>SUMIF(Consumo!$C$3:$C$862,tabItens[[#This Row],[CÓDIGO]],Consumo!$N$3:$N$862) + SUMIF(Consumo!$C$3:$C$862,tabItens[[#This Row],[CÓDIGO]],Consumo!$O$3:$O$862) + SUMIF(Consumo!$C$3:$C$862,tabItens[[#This Row],[CÓDIGO]],Consumo!$P$3:$P$862) + SUMIF(Consumo!$C$3:$C$862,tabItens[[#This Row],[CÓDIGO]],Consumo!$Q$3:$Q$862)</f>
        <v>3915</v>
      </c>
      <c r="AT375" s="401">
        <f>SUMIF(Consumo!$C$3:$C$862,tabItens[[#This Row],[CÓDIGO]],Consumo!$Z$3:$Z$862)</f>
        <v>6677</v>
      </c>
      <c r="AU375" s="402">
        <f>SUMIF(Consumo!$C$3:$C$862,tabItens[[#This Row],[CÓDIGO]],Consumo!$AA$3:$AA$862)</f>
        <v>1047</v>
      </c>
      <c r="AV375" s="403">
        <f>SUMIF(Consumo!$C$3:$C$862,tabItens[[#This Row],[CÓDIGO]],Consumo!$Y$3:$Y$862)</f>
        <v>556.41666666666663</v>
      </c>
      <c r="AW375" s="380">
        <f>tabItens[[#This Row],[QTDE ATUAL]] + tabItens[[#This Row],[RC QTDE]] + tabItens[[#This Row],[AF SALDO]] + tabItens[[#This Row],[Recentes]]</f>
        <v>3019</v>
      </c>
      <c r="AX375" s="404">
        <v>855</v>
      </c>
      <c r="AY375" s="404">
        <v>4</v>
      </c>
      <c r="AZ375" s="404">
        <f>IF(ISBLANK(tabItens[[#This Row],[CÓDIGO]]),"",tabItens[[#This Row],[PontoMês]] * (AZ$2+tabItens[[#This Row],[PontoQtM]]))</f>
        <v>3420</v>
      </c>
      <c r="BA375" s="403">
        <f>tabItens[[#This Row],[PontoPed]] - tabItens[[#This Row],[Saldo]] + (1/10)</f>
        <v>401.1</v>
      </c>
      <c r="BB375" s="403">
        <f xml:space="preserve"> tabItens[[#This Row],[PontoMês]] * BB$2 - tabItens[[#This Row],[QTDE ATUAL]] - (1/10)</f>
        <v>-2164.1</v>
      </c>
      <c r="BC375" s="335">
        <f>IF( tabItens[[#This Row],[PontoPed]]&gt;0, IF(tabItens[[#This Row],[PontoPed]]&lt;1, 1, IF( tabItens[[#This Row],[Saldo]]&gt;tabItens[[#This Row],[PontoPed]], 0, (tabItens[[#This Row],[PontoPed]]-tabItens[[#This Row],[Saldo]])/tabItens[[#This Row],[PontoPed]] ) ), 0 )</f>
        <v>0.11725146198830409</v>
      </c>
      <c r="BD375" s="405">
        <f>ROUNDDOWN(IF( OR( AND(tabItens[[#This Row],[PontoPed]]&lt;tabItens[[#This Row],[Saldo]],tabItens[[#This Row],[Saldo]]&gt;0), tabItens[[#This Row],[PontoPed]]=0), 99, IF(AND(tabItens[[#This Row],[Saldo]]=0,tabItens[[#This Row],[PontoPed]]&gt;0), 0, (1-tabItens[[#This Row],[PctAb]])*10 ) ),0)</f>
        <v>8</v>
      </c>
      <c r="BE375" s="406">
        <f>MAX(ROUNDDOWN( IF(tabItens[[#This Row],[Abaixo]] &gt; 0,   tabItens[[#This Row],[Abaixo]] + (tabItens[[#This Row],[PontoMês]] * IF( OR( ISBLANK(tabItens[[#This Row],[ATA Nº/ANO]]), tabItens[[#This Row],[ATA Nº/ANO]] = ""),BE$2,BE$1)),0),0),0)</f>
        <v>2966</v>
      </c>
      <c r="BF37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5" s="338">
        <f>SUMIF(Consumo!$C$3:$C$862,tabItens[[#This Row],[CÓDIGO]],Consumo!$E$3:$E$862)</f>
        <v>293</v>
      </c>
      <c r="BH375" s="339">
        <f>IF(AND(tabItens[[#This Row],[Pend]] &gt; 0,tabItens[[#This Row],[Consumo]] &lt;&gt; 0), tabItens[[#This Row],[Pend]] / tabItens[[#This Row],[Consumo]], 0 )</f>
        <v>4.3881982926463982E-2</v>
      </c>
      <c r="BI375" s="338"/>
      <c r="BJ375" s="407"/>
      <c r="BK375" s="408" t="s">
        <v>2086</v>
      </c>
    </row>
    <row r="376" spans="1:63" x14ac:dyDescent="0.3">
      <c r="A376" s="375">
        <v>132297</v>
      </c>
      <c r="B376" s="376" t="s">
        <v>1827</v>
      </c>
      <c r="C376" s="377" t="s">
        <v>260</v>
      </c>
      <c r="D376" s="378">
        <v>3.57</v>
      </c>
      <c r="E376" s="305"/>
      <c r="F376" s="379"/>
      <c r="G376" s="379" t="s">
        <v>889</v>
      </c>
      <c r="H376" s="380">
        <v>0</v>
      </c>
      <c r="I376" s="307">
        <v>103003</v>
      </c>
      <c r="J376" s="308">
        <v>3.14</v>
      </c>
      <c r="K376" s="381">
        <v>16444</v>
      </c>
      <c r="L376" s="382">
        <f>IF(tabItens[[#This Row],[Média]] &gt; 0, tabItens[[#This Row],[QTDE ATUAL]] / tabItens[[#This Row],[Média]],999.9)</f>
        <v>0</v>
      </c>
      <c r="M376" s="383">
        <v>0</v>
      </c>
      <c r="N376" s="384">
        <f>tabItens[[#This Row],[VALOR UNIT.]] * tabItens[[#This Row],[LC]]</f>
        <v>0</v>
      </c>
      <c r="O376" s="385" t="s">
        <v>2090</v>
      </c>
      <c r="P376" s="386"/>
      <c r="Q376" s="387"/>
      <c r="R376" s="312"/>
      <c r="S376" s="388"/>
      <c r="T376" s="389">
        <f>ROUNDDOWN(IFERROR(tabItens[[#This Row],[ATA DT.VALID.]] - $D$1,0) / 30,0)</f>
        <v>-1474</v>
      </c>
      <c r="U376" s="302" t="s">
        <v>917</v>
      </c>
      <c r="V376" s="318">
        <v>1</v>
      </c>
      <c r="W376" s="390" t="s">
        <v>2074</v>
      </c>
      <c r="X376" s="391">
        <v>45</v>
      </c>
      <c r="Y376" s="392">
        <v>14</v>
      </c>
      <c r="Z376" s="393">
        <v>6982</v>
      </c>
      <c r="AA376" s="394">
        <v>2023</v>
      </c>
      <c r="AB376" s="395">
        <v>4000</v>
      </c>
      <c r="AC376" s="395"/>
      <c r="AD376" s="394"/>
      <c r="AE376" s="395"/>
      <c r="AF376" s="317"/>
      <c r="AG376" s="396" t="s">
        <v>2072</v>
      </c>
      <c r="AH376" s="397"/>
      <c r="AI376" s="317">
        <v>10680</v>
      </c>
      <c r="AJ376" s="397">
        <v>45019</v>
      </c>
      <c r="AK376" s="326">
        <v>42685</v>
      </c>
      <c r="AL376" s="326">
        <v>44999</v>
      </c>
      <c r="AM376" s="316"/>
      <c r="AN376" s="305"/>
      <c r="AO376" s="327" t="str">
        <f>_xlfn.IFNA(IF(VLOOKUP(tabItens[[#This Row],[CÓDIGO]],tabExcluirDoEstoque[#Data],1,FALSE),"sim",""),"")</f>
        <v/>
      </c>
      <c r="AP376" s="398" t="str">
        <f ca="1">IF(OR(ISBLANK(tabItens[[#This Row],[ATA DT.VALID.]]),tabItens[[#This Row],[ATA DT.VALID.]]="",tabItens[[#This Row],[ATA DT.VALID.]]=" "),"",IF(TYPE(tabItens[[#This Row],[ATA DT.VALID.]])=1,ROUNDUP((tabItens[[#This Row],[ATA DT.VALID.]]-TODAY())/7,0),""))</f>
        <v/>
      </c>
      <c r="AQ376" s="399">
        <v>0</v>
      </c>
      <c r="AR376" s="400" t="str">
        <f>IF(ISBLANK(tabItens[[#This Row],[CÓDIGO]]),"",IFERROR(VLOOKUP(tabItens[[#This Row],[CÓDIGO]],Consumo!$C$2:$AC$862,26,FALSE),0))</f>
        <v>09.2023</v>
      </c>
      <c r="AS376" s="401">
        <f>SUMIF(Consumo!$C$3:$C$862,tabItens[[#This Row],[CÓDIGO]],Consumo!$N$3:$N$862) + SUMIF(Consumo!$C$3:$C$862,tabItens[[#This Row],[CÓDIGO]],Consumo!$O$3:$O$862) + SUMIF(Consumo!$C$3:$C$862,tabItens[[#This Row],[CÓDIGO]],Consumo!$P$3:$P$862) + SUMIF(Consumo!$C$3:$C$862,tabItens[[#This Row],[CÓDIGO]],Consumo!$Q$3:$Q$862)</f>
        <v>6780</v>
      </c>
      <c r="AT376" s="401">
        <f>SUMIF(Consumo!$C$3:$C$862,tabItens[[#This Row],[CÓDIGO]],Consumo!$Z$3:$Z$862)</f>
        <v>24868</v>
      </c>
      <c r="AU376" s="402">
        <f>SUMIF(Consumo!$C$3:$C$862,tabItens[[#This Row],[CÓDIGO]],Consumo!$AA$3:$AA$862)</f>
        <v>7873</v>
      </c>
      <c r="AV376" s="403">
        <f>SUMIF(Consumo!$C$3:$C$862,tabItens[[#This Row],[CÓDIGO]],Consumo!$Y$3:$Y$862)</f>
        <v>1893.3333333333333</v>
      </c>
      <c r="AW376" s="380">
        <f>tabItens[[#This Row],[QTDE ATUAL]] + tabItens[[#This Row],[RC QTDE]] + tabItens[[#This Row],[AF SALDO]] + tabItens[[#This Row],[Recentes]]</f>
        <v>4000</v>
      </c>
      <c r="AX376" s="404">
        <v>2358</v>
      </c>
      <c r="AY376" s="404">
        <v>4</v>
      </c>
      <c r="AZ376" s="404">
        <f>IF(ISBLANK(tabItens[[#This Row],[CÓDIGO]]),"",tabItens[[#This Row],[PontoMês]] * (AZ$2+tabItens[[#This Row],[PontoQtM]]))</f>
        <v>9432</v>
      </c>
      <c r="BA376" s="403">
        <f>tabItens[[#This Row],[PontoPed]] - tabItens[[#This Row],[Saldo]] + (1/10)</f>
        <v>5432.1</v>
      </c>
      <c r="BB376" s="403">
        <f xml:space="preserve"> tabItens[[#This Row],[PontoMês]] * BB$2 - tabItens[[#This Row],[QTDE ATUAL]] - (1/10)</f>
        <v>2357.9</v>
      </c>
      <c r="BC376" s="335">
        <f>IF( tabItens[[#This Row],[PontoPed]]&gt;0, IF(tabItens[[#This Row],[PontoPed]]&lt;1, 1, IF( tabItens[[#This Row],[Saldo]]&gt;tabItens[[#This Row],[PontoPed]], 0, (tabItens[[#This Row],[PontoPed]]-tabItens[[#This Row],[Saldo]])/tabItens[[#This Row],[PontoPed]] ) ), 0 )</f>
        <v>0.57591178965224765</v>
      </c>
      <c r="BD376" s="405">
        <f>ROUNDDOWN(IF( OR( AND(tabItens[[#This Row],[PontoPed]]&lt;tabItens[[#This Row],[Saldo]],tabItens[[#This Row],[Saldo]]&gt;0), tabItens[[#This Row],[PontoPed]]=0), 99, IF(AND(tabItens[[#This Row],[Saldo]]=0,tabItens[[#This Row],[PontoPed]]&gt;0), 0, (1-tabItens[[#This Row],[PctAb]])*10 ) ),0)</f>
        <v>4</v>
      </c>
      <c r="BE376" s="406">
        <f>MAX(ROUNDDOWN( IF(tabItens[[#This Row],[Abaixo]] &gt; 0,   tabItens[[#This Row],[Abaixo]] + (tabItens[[#This Row],[PontoMês]] * IF( OR( ISBLANK(tabItens[[#This Row],[ATA Nº/ANO]]), tabItens[[#This Row],[ATA Nº/ANO]] = ""),BE$2,BE$1)),0),0),0)</f>
        <v>12506</v>
      </c>
      <c r="BF37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6" s="338">
        <f>SUMIF(Consumo!$C$3:$C$862,tabItens[[#This Row],[CÓDIGO]],Consumo!$E$3:$E$862)</f>
        <v>831</v>
      </c>
      <c r="BH376" s="339">
        <f>IF(AND(tabItens[[#This Row],[Pend]] &gt; 0,tabItens[[#This Row],[Consumo]] &lt;&gt; 0), tabItens[[#This Row],[Pend]] / tabItens[[#This Row],[Consumo]], 0 )</f>
        <v>3.3416438796847352E-2</v>
      </c>
      <c r="BI376" s="338"/>
      <c r="BJ376" s="407"/>
      <c r="BK376" s="408" t="s">
        <v>2086</v>
      </c>
    </row>
    <row r="377" spans="1:63" x14ac:dyDescent="0.3">
      <c r="A377" s="375">
        <v>115765</v>
      </c>
      <c r="B377" s="376" t="s">
        <v>1717</v>
      </c>
      <c r="C377" s="377" t="s">
        <v>269</v>
      </c>
      <c r="D377" s="378">
        <v>145</v>
      </c>
      <c r="E377" s="305"/>
      <c r="F377" s="379"/>
      <c r="G377" s="379" t="s">
        <v>889</v>
      </c>
      <c r="H377" s="380">
        <v>766</v>
      </c>
      <c r="I377" s="307">
        <v>103003</v>
      </c>
      <c r="J377" s="308">
        <v>145</v>
      </c>
      <c r="K377" s="381">
        <v>1030</v>
      </c>
      <c r="L377" s="382">
        <f>IF(tabItens[[#This Row],[Média]] &gt; 0, tabItens[[#This Row],[QTDE ATUAL]] / tabItens[[#This Row],[Média]],999.9)</f>
        <v>8.1852181656277825</v>
      </c>
      <c r="M377" s="383">
        <v>0</v>
      </c>
      <c r="N377" s="384">
        <f>tabItens[[#This Row],[VALOR UNIT.]] * tabItens[[#This Row],[LC]]</f>
        <v>0</v>
      </c>
      <c r="O377" s="385" t="s">
        <v>2090</v>
      </c>
      <c r="P377" s="386"/>
      <c r="Q377" s="387"/>
      <c r="R377" s="312"/>
      <c r="S377" s="388"/>
      <c r="T377" s="389">
        <f>ROUNDDOWN(IFERROR(tabItens[[#This Row],[ATA DT.VALID.]] - $D$1,0) / 30,0)</f>
        <v>-1474</v>
      </c>
      <c r="U377" s="302" t="s">
        <v>1718</v>
      </c>
      <c r="V377" s="318">
        <v>1</v>
      </c>
      <c r="W377" s="390" t="s">
        <v>2074</v>
      </c>
      <c r="X377" s="391">
        <v>45</v>
      </c>
      <c r="Y377" s="392">
        <v>20</v>
      </c>
      <c r="Z377" s="393"/>
      <c r="AA377" s="394"/>
      <c r="AB377" s="395"/>
      <c r="AC377" s="395"/>
      <c r="AD377" s="394"/>
      <c r="AE377" s="395"/>
      <c r="AF377" s="317"/>
      <c r="AG377" s="396" t="s">
        <v>2072</v>
      </c>
      <c r="AH377" s="397"/>
      <c r="AI377" s="317">
        <v>448</v>
      </c>
      <c r="AJ377" s="397">
        <v>44970</v>
      </c>
      <c r="AK377" s="326">
        <v>40347</v>
      </c>
      <c r="AL377" s="326">
        <v>44959</v>
      </c>
      <c r="AM377" s="316"/>
      <c r="AN377" s="305"/>
      <c r="AO377" s="327" t="str">
        <f>_xlfn.IFNA(IF(VLOOKUP(tabItens[[#This Row],[CÓDIGO]],tabExcluirDoEstoque[#Data],1,FALSE),"sim",""),"")</f>
        <v/>
      </c>
      <c r="AP377" s="398" t="str">
        <f ca="1">IF(OR(ISBLANK(tabItens[[#This Row],[ATA DT.VALID.]]),tabItens[[#This Row],[ATA DT.VALID.]]="",tabItens[[#This Row],[ATA DT.VALID.]]=" "),"",IF(TYPE(tabItens[[#This Row],[ATA DT.VALID.]])=1,ROUNDUP((tabItens[[#This Row],[ATA DT.VALID.]]-TODAY())/7,0),""))</f>
        <v/>
      </c>
      <c r="AQ377" s="399">
        <v>0</v>
      </c>
      <c r="AR377" s="400" t="str">
        <f>IF(ISBLANK(tabItens[[#This Row],[CÓDIGO]]),"",IFERROR(VLOOKUP(tabItens[[#This Row],[CÓDIGO]],Consumo!$C$2:$AC$862,26,FALSE),0))</f>
        <v>09.2023</v>
      </c>
      <c r="AS377" s="401">
        <f>SUMIF(Consumo!$C$3:$C$862,tabItens[[#This Row],[CÓDIGO]],Consumo!$N$3:$N$862) + SUMIF(Consumo!$C$3:$C$862,tabItens[[#This Row],[CÓDIGO]],Consumo!$O$3:$O$862) + SUMIF(Consumo!$C$3:$C$862,tabItens[[#This Row],[CÓDIGO]],Consumo!$P$3:$P$862) + SUMIF(Consumo!$C$3:$C$862,tabItens[[#This Row],[CÓDIGO]],Consumo!$Q$3:$Q$862)</f>
        <v>290</v>
      </c>
      <c r="AT377" s="401">
        <f>SUMIF(Consumo!$C$3:$C$862,tabItens[[#This Row],[CÓDIGO]],Consumo!$Z$3:$Z$862)</f>
        <v>1328</v>
      </c>
      <c r="AU377" s="402">
        <f>SUMIF(Consumo!$C$3:$C$862,tabItens[[#This Row],[CÓDIGO]],Consumo!$AA$3:$AA$862)</f>
        <v>643</v>
      </c>
      <c r="AV377" s="403">
        <f>SUMIF(Consumo!$C$3:$C$862,tabItens[[#This Row],[CÓDIGO]],Consumo!$Y$3:$Y$862)</f>
        <v>93.583333333333329</v>
      </c>
      <c r="AW377" s="380">
        <f>tabItens[[#This Row],[QTDE ATUAL]] + tabItens[[#This Row],[RC QTDE]] + tabItens[[#This Row],[AF SALDO]] + tabItens[[#This Row],[Recentes]]</f>
        <v>766</v>
      </c>
      <c r="AX377" s="404">
        <v>69</v>
      </c>
      <c r="AY377" s="404">
        <v>4</v>
      </c>
      <c r="AZ377" s="404">
        <f>IF(ISBLANK(tabItens[[#This Row],[CÓDIGO]]),"",tabItens[[#This Row],[PontoMês]] * (AZ$2+tabItens[[#This Row],[PontoQtM]]))</f>
        <v>276</v>
      </c>
      <c r="BA377" s="403">
        <f>tabItens[[#This Row],[PontoPed]] - tabItens[[#This Row],[Saldo]] + (1/10)</f>
        <v>-489.9</v>
      </c>
      <c r="BB377" s="403">
        <f xml:space="preserve"> tabItens[[#This Row],[PontoMês]] * BB$2 - tabItens[[#This Row],[QTDE ATUAL]] - (1/10)</f>
        <v>-697.1</v>
      </c>
      <c r="BC377" s="335">
        <f>IF( tabItens[[#This Row],[PontoPed]]&gt;0, IF(tabItens[[#This Row],[PontoPed]]&lt;1, 1, IF( tabItens[[#This Row],[Saldo]]&gt;tabItens[[#This Row],[PontoPed]], 0, (tabItens[[#This Row],[PontoPed]]-tabItens[[#This Row],[Saldo]])/tabItens[[#This Row],[PontoPed]] ) ), 0 )</f>
        <v>0</v>
      </c>
      <c r="BD377" s="405">
        <f>ROUNDDOWN(IF( OR( AND(tabItens[[#This Row],[PontoPed]]&lt;tabItens[[#This Row],[Saldo]],tabItens[[#This Row],[Saldo]]&gt;0), tabItens[[#This Row],[PontoPed]]=0), 99, IF(AND(tabItens[[#This Row],[Saldo]]=0,tabItens[[#This Row],[PontoPed]]&gt;0), 0, (1-tabItens[[#This Row],[PctAb]])*10 ) ),0)</f>
        <v>99</v>
      </c>
      <c r="BE377" s="406">
        <f>MAX(ROUNDDOWN( IF(tabItens[[#This Row],[Abaixo]] &gt; 0,   tabItens[[#This Row],[Abaixo]] + (tabItens[[#This Row],[PontoMês]] * IF( OR( ISBLANK(tabItens[[#This Row],[ATA Nº/ANO]]), tabItens[[#This Row],[ATA Nº/ANO]] = ""),BE$2,BE$1)),0),0),0)</f>
        <v>0</v>
      </c>
      <c r="BF37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7" s="338">
        <f>SUMIF(Consumo!$C$3:$C$862,tabItens[[#This Row],[CÓDIGO]],Consumo!$E$3:$E$862)</f>
        <v>11</v>
      </c>
      <c r="BH377" s="339">
        <f>IF(AND(tabItens[[#This Row],[Pend]] &gt; 0,tabItens[[#This Row],[Consumo]] &lt;&gt; 0), tabItens[[#This Row],[Pend]] / tabItens[[#This Row],[Consumo]], 0 )</f>
        <v>8.2831325301204826E-3</v>
      </c>
      <c r="BI377" s="338"/>
      <c r="BJ377" s="407"/>
      <c r="BK377" s="408" t="s">
        <v>2086</v>
      </c>
    </row>
    <row r="378" spans="1:63" x14ac:dyDescent="0.3">
      <c r="A378" s="375">
        <v>136941</v>
      </c>
      <c r="B378" s="376" t="s">
        <v>1954</v>
      </c>
      <c r="C378" s="377" t="s">
        <v>393</v>
      </c>
      <c r="D378" s="378">
        <v>67.5</v>
      </c>
      <c r="E378" s="305"/>
      <c r="F378" s="379"/>
      <c r="G378" s="379" t="s">
        <v>889</v>
      </c>
      <c r="H378" s="380">
        <v>131</v>
      </c>
      <c r="I378" s="307">
        <v>103003</v>
      </c>
      <c r="J378" s="308">
        <v>67.5</v>
      </c>
      <c r="K378" s="381">
        <v>832</v>
      </c>
      <c r="L378" s="382">
        <f>IF(tabItens[[#This Row],[Média]] &gt; 0, tabItens[[#This Row],[QTDE ATUAL]] / tabItens[[#This Row],[Média]],999.9)</f>
        <v>1.2138996138996139</v>
      </c>
      <c r="M378" s="383">
        <v>0</v>
      </c>
      <c r="N378" s="384">
        <f>tabItens[[#This Row],[VALOR UNIT.]] * tabItens[[#This Row],[LC]]</f>
        <v>0</v>
      </c>
      <c r="O378" s="385" t="s">
        <v>2090</v>
      </c>
      <c r="P378" s="386"/>
      <c r="Q378" s="387"/>
      <c r="R378" s="312"/>
      <c r="S378" s="388"/>
      <c r="T378" s="389">
        <f>ROUNDDOWN(IFERROR(tabItens[[#This Row],[ATA DT.VALID.]] - $D$1,0) / 30,0)</f>
        <v>-1474</v>
      </c>
      <c r="U378" s="302" t="s">
        <v>1136</v>
      </c>
      <c r="V378" s="318">
        <v>1</v>
      </c>
      <c r="W378" s="390" t="s">
        <v>2074</v>
      </c>
      <c r="X378" s="391">
        <v>57</v>
      </c>
      <c r="Y378" s="392">
        <v>2</v>
      </c>
      <c r="Z378" s="393"/>
      <c r="AA378" s="394"/>
      <c r="AB378" s="395"/>
      <c r="AC378" s="395"/>
      <c r="AD378" s="394"/>
      <c r="AE378" s="395"/>
      <c r="AF378" s="317"/>
      <c r="AG378" s="396" t="s">
        <v>2072</v>
      </c>
      <c r="AH378" s="397"/>
      <c r="AI378" s="317">
        <v>432</v>
      </c>
      <c r="AJ378" s="397">
        <v>44623</v>
      </c>
      <c r="AK378" s="326">
        <v>43606</v>
      </c>
      <c r="AL378" s="326">
        <v>44551</v>
      </c>
      <c r="AM378" s="316"/>
      <c r="AN378" s="305"/>
      <c r="AO378" s="327" t="str">
        <f>_xlfn.IFNA(IF(VLOOKUP(tabItens[[#This Row],[CÓDIGO]],tabExcluirDoEstoque[#Data],1,FALSE),"sim",""),"")</f>
        <v/>
      </c>
      <c r="AP378" s="398" t="str">
        <f ca="1">IF(OR(ISBLANK(tabItens[[#This Row],[ATA DT.VALID.]]),tabItens[[#This Row],[ATA DT.VALID.]]="",tabItens[[#This Row],[ATA DT.VALID.]]=" "),"",IF(TYPE(tabItens[[#This Row],[ATA DT.VALID.]])=1,ROUNDUP((tabItens[[#This Row],[ATA DT.VALID.]]-TODAY())/7,0),""))</f>
        <v/>
      </c>
      <c r="AQ378" s="399">
        <v>0</v>
      </c>
      <c r="AR378" s="400" t="str">
        <f>IF(ISBLANK(tabItens[[#This Row],[CÓDIGO]]),"",IFERROR(VLOOKUP(tabItens[[#This Row],[CÓDIGO]],Consumo!$C$2:$AC$862,26,FALSE),0))</f>
        <v>09.2023</v>
      </c>
      <c r="AS378" s="401">
        <f>SUMIF(Consumo!$C$3:$C$862,tabItens[[#This Row],[CÓDIGO]],Consumo!$N$3:$N$862) + SUMIF(Consumo!$C$3:$C$862,tabItens[[#This Row],[CÓDIGO]],Consumo!$O$3:$O$862) + SUMIF(Consumo!$C$3:$C$862,tabItens[[#This Row],[CÓDIGO]],Consumo!$P$3:$P$862) + SUMIF(Consumo!$C$3:$C$862,tabItens[[#This Row],[CÓDIGO]],Consumo!$Q$3:$Q$862)</f>
        <v>510</v>
      </c>
      <c r="AT378" s="401">
        <f>SUMIF(Consumo!$C$3:$C$862,tabItens[[#This Row],[CÓDIGO]],Consumo!$Z$3:$Z$862)</f>
        <v>1295</v>
      </c>
      <c r="AU378" s="402">
        <f>SUMIF(Consumo!$C$3:$C$862,tabItens[[#This Row],[CÓDIGO]],Consumo!$AA$3:$AA$862)</f>
        <v>186</v>
      </c>
      <c r="AV378" s="403">
        <f>SUMIF(Consumo!$C$3:$C$862,tabItens[[#This Row],[CÓDIGO]],Consumo!$Y$3:$Y$862)</f>
        <v>107.91666666666667</v>
      </c>
      <c r="AW378" s="380">
        <f>tabItens[[#This Row],[QTDE ATUAL]] + tabItens[[#This Row],[RC QTDE]] + tabItens[[#This Row],[AF SALDO]] + tabItens[[#This Row],[Recentes]]</f>
        <v>131</v>
      </c>
      <c r="AX378" s="404">
        <v>50</v>
      </c>
      <c r="AY378" s="404">
        <v>4</v>
      </c>
      <c r="AZ378" s="404">
        <f>IF(ISBLANK(tabItens[[#This Row],[CÓDIGO]]),"",tabItens[[#This Row],[PontoMês]] * (AZ$2+tabItens[[#This Row],[PontoQtM]]))</f>
        <v>200</v>
      </c>
      <c r="BA378" s="403">
        <f>tabItens[[#This Row],[PontoPed]] - tabItens[[#This Row],[Saldo]] + (1/10)</f>
        <v>69.099999999999994</v>
      </c>
      <c r="BB378" s="403">
        <f xml:space="preserve"> tabItens[[#This Row],[PontoMês]] * BB$2 - tabItens[[#This Row],[QTDE ATUAL]] - (1/10)</f>
        <v>-81.099999999999994</v>
      </c>
      <c r="BC378" s="335">
        <f>IF( tabItens[[#This Row],[PontoPed]]&gt;0, IF(tabItens[[#This Row],[PontoPed]]&lt;1, 1, IF( tabItens[[#This Row],[Saldo]]&gt;tabItens[[#This Row],[PontoPed]], 0, (tabItens[[#This Row],[PontoPed]]-tabItens[[#This Row],[Saldo]])/tabItens[[#This Row],[PontoPed]] ) ), 0 )</f>
        <v>0.34499999999999997</v>
      </c>
      <c r="BD378" s="405">
        <f>ROUNDDOWN(IF( OR( AND(tabItens[[#This Row],[PontoPed]]&lt;tabItens[[#This Row],[Saldo]],tabItens[[#This Row],[Saldo]]&gt;0), tabItens[[#This Row],[PontoPed]]=0), 99, IF(AND(tabItens[[#This Row],[Saldo]]=0,tabItens[[#This Row],[PontoPed]]&gt;0), 0, (1-tabItens[[#This Row],[PctAb]])*10 ) ),0)</f>
        <v>6</v>
      </c>
      <c r="BE378" s="406">
        <f>MAX(ROUNDDOWN( IF(tabItens[[#This Row],[Abaixo]] &gt; 0,   tabItens[[#This Row],[Abaixo]] + (tabItens[[#This Row],[PontoMês]] * IF( OR( ISBLANK(tabItens[[#This Row],[ATA Nº/ANO]]), tabItens[[#This Row],[ATA Nº/ANO]] = ""),BE$2,BE$1)),0),0),0)</f>
        <v>219</v>
      </c>
      <c r="BF37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8" s="338">
        <f>SUMIF(Consumo!$C$3:$C$862,tabItens[[#This Row],[CÓDIGO]],Consumo!$E$3:$E$862)</f>
        <v>2</v>
      </c>
      <c r="BH378" s="339">
        <f>IF(AND(tabItens[[#This Row],[Pend]] &gt; 0,tabItens[[#This Row],[Consumo]] &lt;&gt; 0), tabItens[[#This Row],[Pend]] / tabItens[[#This Row],[Consumo]], 0 )</f>
        <v>1.5444015444015444E-3</v>
      </c>
      <c r="BI378" s="338"/>
      <c r="BJ378" s="407"/>
      <c r="BK378" s="408" t="s">
        <v>2086</v>
      </c>
    </row>
    <row r="379" spans="1:63" x14ac:dyDescent="0.3">
      <c r="A379" s="375">
        <v>17362</v>
      </c>
      <c r="B379" s="376" t="s">
        <v>1129</v>
      </c>
      <c r="C379" s="377" t="s">
        <v>380</v>
      </c>
      <c r="D379" s="378">
        <v>1.25</v>
      </c>
      <c r="E379" s="305"/>
      <c r="F379" s="379"/>
      <c r="G379" s="379" t="s">
        <v>889</v>
      </c>
      <c r="H379" s="380">
        <v>0</v>
      </c>
      <c r="I379" s="307">
        <v>103003</v>
      </c>
      <c r="J379" s="308">
        <v>1.25</v>
      </c>
      <c r="K379" s="381">
        <v>5952</v>
      </c>
      <c r="L379" s="382">
        <f>IF(tabItens[[#This Row],[Média]] &gt; 0, tabItens[[#This Row],[QTDE ATUAL]] / tabItens[[#This Row],[Média]],999.9)</f>
        <v>0</v>
      </c>
      <c r="M379" s="383">
        <v>0</v>
      </c>
      <c r="N379" s="384">
        <f>tabItens[[#This Row],[VALOR UNIT.]] * tabItens[[#This Row],[LC]]</f>
        <v>0</v>
      </c>
      <c r="O379" s="385" t="s">
        <v>2090</v>
      </c>
      <c r="P379" s="386"/>
      <c r="Q379" s="387"/>
      <c r="R379" s="312"/>
      <c r="S379" s="388"/>
      <c r="T379" s="389">
        <f>ROUNDDOWN(IFERROR(tabItens[[#This Row],[ATA DT.VALID.]] - $D$1,0) / 30,0)</f>
        <v>-1474</v>
      </c>
      <c r="U379" s="302" t="s">
        <v>1130</v>
      </c>
      <c r="V379" s="318">
        <v>1</v>
      </c>
      <c r="W379" s="390" t="s">
        <v>2074</v>
      </c>
      <c r="X379" s="391">
        <v>57</v>
      </c>
      <c r="Y379" s="392">
        <v>15</v>
      </c>
      <c r="Z379" s="393">
        <v>6989</v>
      </c>
      <c r="AA379" s="394">
        <v>2023</v>
      </c>
      <c r="AB379" s="395">
        <v>1900</v>
      </c>
      <c r="AC379" s="395"/>
      <c r="AD379" s="394"/>
      <c r="AE379" s="395"/>
      <c r="AF379" s="317"/>
      <c r="AG379" s="396" t="s">
        <v>2072</v>
      </c>
      <c r="AH379" s="397"/>
      <c r="AI379" s="317">
        <v>2834</v>
      </c>
      <c r="AJ379" s="397">
        <v>44967</v>
      </c>
      <c r="AK379" s="326" t="s">
        <v>889</v>
      </c>
      <c r="AL379" s="326">
        <v>44959</v>
      </c>
      <c r="AM379" s="316"/>
      <c r="AN379" s="305"/>
      <c r="AO379" s="327" t="str">
        <f>_xlfn.IFNA(IF(VLOOKUP(tabItens[[#This Row],[CÓDIGO]],tabExcluirDoEstoque[#Data],1,FALSE),"sim",""),"")</f>
        <v/>
      </c>
      <c r="AP379" s="398" t="str">
        <f ca="1">IF(OR(ISBLANK(tabItens[[#This Row],[ATA DT.VALID.]]),tabItens[[#This Row],[ATA DT.VALID.]]="",tabItens[[#This Row],[ATA DT.VALID.]]=" "),"",IF(TYPE(tabItens[[#This Row],[ATA DT.VALID.]])=1,ROUNDUP((tabItens[[#This Row],[ATA DT.VALID.]]-TODAY())/7,0),""))</f>
        <v/>
      </c>
      <c r="AQ379" s="399">
        <v>0</v>
      </c>
      <c r="AR379" s="400" t="str">
        <f>IF(ISBLANK(tabItens[[#This Row],[CÓDIGO]]),"",IFERROR(VLOOKUP(tabItens[[#This Row],[CÓDIGO]],Consumo!$C$2:$AC$862,26,FALSE),0))</f>
        <v>08.2023</v>
      </c>
      <c r="AS379" s="401">
        <f>SUMIF(Consumo!$C$3:$C$862,tabItens[[#This Row],[CÓDIGO]],Consumo!$N$3:$N$862) + SUMIF(Consumo!$C$3:$C$862,tabItens[[#This Row],[CÓDIGO]],Consumo!$O$3:$O$862) + SUMIF(Consumo!$C$3:$C$862,tabItens[[#This Row],[CÓDIGO]],Consumo!$P$3:$P$862) + SUMIF(Consumo!$C$3:$C$862,tabItens[[#This Row],[CÓDIGO]],Consumo!$Q$3:$Q$862)</f>
        <v>2622</v>
      </c>
      <c r="AT379" s="401">
        <f>SUMIF(Consumo!$C$3:$C$862,tabItens[[#This Row],[CÓDIGO]],Consumo!$Z$3:$Z$862)</f>
        <v>8665</v>
      </c>
      <c r="AU379" s="402">
        <f>SUMIF(Consumo!$C$3:$C$862,tabItens[[#This Row],[CÓDIGO]],Consumo!$AA$3:$AA$862)</f>
        <v>1188</v>
      </c>
      <c r="AV379" s="403">
        <f>SUMIF(Consumo!$C$3:$C$862,tabItens[[#This Row],[CÓDIGO]],Consumo!$Y$3:$Y$862)</f>
        <v>722.08333333333337</v>
      </c>
      <c r="AW379" s="380">
        <f>tabItens[[#This Row],[QTDE ATUAL]] + tabItens[[#This Row],[RC QTDE]] + tabItens[[#This Row],[AF SALDO]] + tabItens[[#This Row],[Recentes]]</f>
        <v>1900</v>
      </c>
      <c r="AX379" s="404">
        <v>1000</v>
      </c>
      <c r="AY379" s="404">
        <v>4</v>
      </c>
      <c r="AZ379" s="404">
        <f>IF(ISBLANK(tabItens[[#This Row],[CÓDIGO]]),"",tabItens[[#This Row],[PontoMês]] * (AZ$2+tabItens[[#This Row],[PontoQtM]]))</f>
        <v>4000</v>
      </c>
      <c r="BA379" s="403">
        <f>tabItens[[#This Row],[PontoPed]] - tabItens[[#This Row],[Saldo]] + (1/10)</f>
        <v>2100.1</v>
      </c>
      <c r="BB379" s="403">
        <f xml:space="preserve"> tabItens[[#This Row],[PontoMês]] * BB$2 - tabItens[[#This Row],[QTDE ATUAL]] - (1/10)</f>
        <v>999.9</v>
      </c>
      <c r="BC379" s="335">
        <f>IF( tabItens[[#This Row],[PontoPed]]&gt;0, IF(tabItens[[#This Row],[PontoPed]]&lt;1, 1, IF( tabItens[[#This Row],[Saldo]]&gt;tabItens[[#This Row],[PontoPed]], 0, (tabItens[[#This Row],[PontoPed]]-tabItens[[#This Row],[Saldo]])/tabItens[[#This Row],[PontoPed]] ) ), 0 )</f>
        <v>0.52500000000000002</v>
      </c>
      <c r="BD379" s="405">
        <f>ROUNDDOWN(IF( OR( AND(tabItens[[#This Row],[PontoPed]]&lt;tabItens[[#This Row],[Saldo]],tabItens[[#This Row],[Saldo]]&gt;0), tabItens[[#This Row],[PontoPed]]=0), 99, IF(AND(tabItens[[#This Row],[Saldo]]=0,tabItens[[#This Row],[PontoPed]]&gt;0), 0, (1-tabItens[[#This Row],[PctAb]])*10 ) ),0)</f>
        <v>4</v>
      </c>
      <c r="BE379" s="406">
        <f>MAX(ROUNDDOWN( IF(tabItens[[#This Row],[Abaixo]] &gt; 0,   tabItens[[#This Row],[Abaixo]] + (tabItens[[#This Row],[PontoMês]] * IF( OR( ISBLANK(tabItens[[#This Row],[ATA Nº/ANO]]), tabItens[[#This Row],[ATA Nº/ANO]] = ""),BE$2,BE$1)),0),0),0)</f>
        <v>5100</v>
      </c>
      <c r="BF37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9" s="338">
        <f>SUMIF(Consumo!$C$3:$C$862,tabItens[[#This Row],[CÓDIGO]],Consumo!$E$3:$E$862)</f>
        <v>165</v>
      </c>
      <c r="BH379" s="339">
        <f>IF(AND(tabItens[[#This Row],[Pend]] &gt; 0,tabItens[[#This Row],[Consumo]] &lt;&gt; 0), tabItens[[#This Row],[Pend]] / tabItens[[#This Row],[Consumo]], 0 )</f>
        <v>1.9042123485285632E-2</v>
      </c>
      <c r="BI379" s="338"/>
      <c r="BJ379" s="407"/>
      <c r="BK379" s="408" t="s">
        <v>2086</v>
      </c>
    </row>
    <row r="380" spans="1:63" x14ac:dyDescent="0.3">
      <c r="A380" s="375">
        <v>17370</v>
      </c>
      <c r="B380" s="376" t="s">
        <v>1131</v>
      </c>
      <c r="C380" s="377" t="s">
        <v>380</v>
      </c>
      <c r="D380" s="378">
        <v>1.25</v>
      </c>
      <c r="E380" s="305"/>
      <c r="F380" s="379"/>
      <c r="G380" s="379" t="s">
        <v>889</v>
      </c>
      <c r="H380" s="380">
        <v>0</v>
      </c>
      <c r="I380" s="307">
        <v>103003</v>
      </c>
      <c r="J380" s="308">
        <v>1.25</v>
      </c>
      <c r="K380" s="381">
        <v>5645</v>
      </c>
      <c r="L380" s="382">
        <f>IF(tabItens[[#This Row],[Média]] &gt; 0, tabItens[[#This Row],[QTDE ATUAL]] / tabItens[[#This Row],[Média]],999.9)</f>
        <v>0</v>
      </c>
      <c r="M380" s="383">
        <v>0</v>
      </c>
      <c r="N380" s="384">
        <f>tabItens[[#This Row],[VALOR UNIT.]] * tabItens[[#This Row],[LC]]</f>
        <v>0</v>
      </c>
      <c r="O380" s="385" t="s">
        <v>2090</v>
      </c>
      <c r="P380" s="386"/>
      <c r="Q380" s="387"/>
      <c r="R380" s="312"/>
      <c r="S380" s="388"/>
      <c r="T380" s="389">
        <f>ROUNDDOWN(IFERROR(tabItens[[#This Row],[ATA DT.VALID.]] - $D$1,0) / 30,0)</f>
        <v>-1474</v>
      </c>
      <c r="U380" s="302" t="s">
        <v>1130</v>
      </c>
      <c r="V380" s="318">
        <v>1</v>
      </c>
      <c r="W380" s="390" t="s">
        <v>2074</v>
      </c>
      <c r="X380" s="391">
        <v>57</v>
      </c>
      <c r="Y380" s="392">
        <v>15</v>
      </c>
      <c r="Z380" s="393">
        <v>6989</v>
      </c>
      <c r="AA380" s="394">
        <v>2023</v>
      </c>
      <c r="AB380" s="395">
        <v>1900</v>
      </c>
      <c r="AC380" s="395"/>
      <c r="AD380" s="394"/>
      <c r="AE380" s="395"/>
      <c r="AF380" s="317"/>
      <c r="AG380" s="396" t="s">
        <v>2072</v>
      </c>
      <c r="AH380" s="397"/>
      <c r="AI380" s="317">
        <v>2460</v>
      </c>
      <c r="AJ380" s="397">
        <v>45009</v>
      </c>
      <c r="AK380" s="326" t="s">
        <v>889</v>
      </c>
      <c r="AL380" s="326">
        <v>44959</v>
      </c>
      <c r="AM380" s="316"/>
      <c r="AN380" s="305"/>
      <c r="AO380" s="327" t="str">
        <f>_xlfn.IFNA(IF(VLOOKUP(tabItens[[#This Row],[CÓDIGO]],tabExcluirDoEstoque[#Data],1,FALSE),"sim",""),"")</f>
        <v/>
      </c>
      <c r="AP380" s="398" t="str">
        <f ca="1">IF(OR(ISBLANK(tabItens[[#This Row],[ATA DT.VALID.]]),tabItens[[#This Row],[ATA DT.VALID.]]="",tabItens[[#This Row],[ATA DT.VALID.]]=" "),"",IF(TYPE(tabItens[[#This Row],[ATA DT.VALID.]])=1,ROUNDUP((tabItens[[#This Row],[ATA DT.VALID.]]-TODAY())/7,0),""))</f>
        <v/>
      </c>
      <c r="AQ380" s="399">
        <v>0</v>
      </c>
      <c r="AR380" s="400" t="str">
        <f>IF(ISBLANK(tabItens[[#This Row],[CÓDIGO]]),"",IFERROR(VLOOKUP(tabItens[[#This Row],[CÓDIGO]],Consumo!$C$2:$AC$862,26,FALSE),0))</f>
        <v>08.2023</v>
      </c>
      <c r="AS380" s="401">
        <f>SUMIF(Consumo!$C$3:$C$862,tabItens[[#This Row],[CÓDIGO]],Consumo!$N$3:$N$862) + SUMIF(Consumo!$C$3:$C$862,tabItens[[#This Row],[CÓDIGO]],Consumo!$O$3:$O$862) + SUMIF(Consumo!$C$3:$C$862,tabItens[[#This Row],[CÓDIGO]],Consumo!$P$3:$P$862) + SUMIF(Consumo!$C$3:$C$862,tabItens[[#This Row],[CÓDIGO]],Consumo!$Q$3:$Q$862)</f>
        <v>2134</v>
      </c>
      <c r="AT380" s="401">
        <f>SUMIF(Consumo!$C$3:$C$862,tabItens[[#This Row],[CÓDIGO]],Consumo!$Z$3:$Z$862)</f>
        <v>7728</v>
      </c>
      <c r="AU380" s="402">
        <f>SUMIF(Consumo!$C$3:$C$862,tabItens[[#This Row],[CÓDIGO]],Consumo!$AA$3:$AA$862)</f>
        <v>1173</v>
      </c>
      <c r="AV380" s="403">
        <f>SUMIF(Consumo!$C$3:$C$862,tabItens[[#This Row],[CÓDIGO]],Consumo!$Y$3:$Y$862)</f>
        <v>644</v>
      </c>
      <c r="AW380" s="380">
        <f>tabItens[[#This Row],[QTDE ATUAL]] + tabItens[[#This Row],[RC QTDE]] + tabItens[[#This Row],[AF SALDO]] + tabItens[[#This Row],[Recentes]]</f>
        <v>1900</v>
      </c>
      <c r="AX380" s="404">
        <v>785</v>
      </c>
      <c r="AY380" s="404">
        <v>4</v>
      </c>
      <c r="AZ380" s="404">
        <f>IF(ISBLANK(tabItens[[#This Row],[CÓDIGO]]),"",tabItens[[#This Row],[PontoMês]] * (AZ$2+tabItens[[#This Row],[PontoQtM]]))</f>
        <v>3140</v>
      </c>
      <c r="BA380" s="403">
        <f>tabItens[[#This Row],[PontoPed]] - tabItens[[#This Row],[Saldo]] + (1/10)</f>
        <v>1240.0999999999999</v>
      </c>
      <c r="BB380" s="403">
        <f xml:space="preserve"> tabItens[[#This Row],[PontoMês]] * BB$2 - tabItens[[#This Row],[QTDE ATUAL]] - (1/10)</f>
        <v>784.9</v>
      </c>
      <c r="BC380" s="335">
        <f>IF( tabItens[[#This Row],[PontoPed]]&gt;0, IF(tabItens[[#This Row],[PontoPed]]&lt;1, 1, IF( tabItens[[#This Row],[Saldo]]&gt;tabItens[[#This Row],[PontoPed]], 0, (tabItens[[#This Row],[PontoPed]]-tabItens[[#This Row],[Saldo]])/tabItens[[#This Row],[PontoPed]] ) ), 0 )</f>
        <v>0.39490445859872614</v>
      </c>
      <c r="BD380" s="405">
        <f>ROUNDDOWN(IF( OR( AND(tabItens[[#This Row],[PontoPed]]&lt;tabItens[[#This Row],[Saldo]],tabItens[[#This Row],[Saldo]]&gt;0), tabItens[[#This Row],[PontoPed]]=0), 99, IF(AND(tabItens[[#This Row],[Saldo]]=0,tabItens[[#This Row],[PontoPed]]&gt;0), 0, (1-tabItens[[#This Row],[PctAb]])*10 ) ),0)</f>
        <v>6</v>
      </c>
      <c r="BE380" s="406">
        <f>MAX(ROUNDDOWN( IF(tabItens[[#This Row],[Abaixo]] &gt; 0,   tabItens[[#This Row],[Abaixo]] + (tabItens[[#This Row],[PontoMês]] * IF( OR( ISBLANK(tabItens[[#This Row],[ATA Nº/ANO]]), tabItens[[#This Row],[ATA Nº/ANO]] = ""),BE$2,BE$1)),0),0),0)</f>
        <v>3595</v>
      </c>
      <c r="BF38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0" s="338">
        <f>SUMIF(Consumo!$C$3:$C$862,tabItens[[#This Row],[CÓDIGO]],Consumo!$E$3:$E$862)</f>
        <v>350</v>
      </c>
      <c r="BH380" s="339">
        <f>IF(AND(tabItens[[#This Row],[Pend]] &gt; 0,tabItens[[#This Row],[Consumo]] &lt;&gt; 0), tabItens[[#This Row],[Pend]] / tabItens[[#This Row],[Consumo]], 0 )</f>
        <v>4.5289855072463768E-2</v>
      </c>
      <c r="BI380" s="338"/>
      <c r="BJ380" s="407"/>
      <c r="BK380" s="408" t="s">
        <v>2086</v>
      </c>
    </row>
    <row r="381" spans="1:63" x14ac:dyDescent="0.3">
      <c r="A381" s="375">
        <v>17371</v>
      </c>
      <c r="B381" s="376" t="s">
        <v>1132</v>
      </c>
      <c r="C381" s="377" t="s">
        <v>380</v>
      </c>
      <c r="D381" s="378">
        <v>1.35</v>
      </c>
      <c r="E381" s="305"/>
      <c r="F381" s="379"/>
      <c r="G381" s="379" t="s">
        <v>889</v>
      </c>
      <c r="H381" s="380">
        <v>0</v>
      </c>
      <c r="I381" s="307">
        <v>103003</v>
      </c>
      <c r="J381" s="308">
        <v>1.35</v>
      </c>
      <c r="K381" s="381">
        <v>5652</v>
      </c>
      <c r="L381" s="382">
        <f>IF(tabItens[[#This Row],[Média]] &gt; 0, tabItens[[#This Row],[QTDE ATUAL]] / tabItens[[#This Row],[Média]],999.9)</f>
        <v>0</v>
      </c>
      <c r="M381" s="383">
        <v>0</v>
      </c>
      <c r="N381" s="384">
        <f>tabItens[[#This Row],[VALOR UNIT.]] * tabItens[[#This Row],[LC]]</f>
        <v>0</v>
      </c>
      <c r="O381" s="385" t="s">
        <v>2090</v>
      </c>
      <c r="P381" s="386"/>
      <c r="Q381" s="387"/>
      <c r="R381" s="312"/>
      <c r="S381" s="388"/>
      <c r="T381" s="389">
        <f>ROUNDDOWN(IFERROR(tabItens[[#This Row],[ATA DT.VALID.]] - $D$1,0) / 30,0)</f>
        <v>-1474</v>
      </c>
      <c r="U381" s="302" t="s">
        <v>1130</v>
      </c>
      <c r="V381" s="318">
        <v>1</v>
      </c>
      <c r="W381" s="390" t="s">
        <v>2074</v>
      </c>
      <c r="X381" s="391">
        <v>57</v>
      </c>
      <c r="Y381" s="392">
        <v>15</v>
      </c>
      <c r="Z381" s="393">
        <v>6989</v>
      </c>
      <c r="AA381" s="394">
        <v>2023</v>
      </c>
      <c r="AB381" s="395">
        <v>1900</v>
      </c>
      <c r="AC381" s="395"/>
      <c r="AD381" s="394"/>
      <c r="AE381" s="395"/>
      <c r="AF381" s="317"/>
      <c r="AG381" s="396" t="s">
        <v>2072</v>
      </c>
      <c r="AH381" s="397"/>
      <c r="AI381" s="317">
        <v>2364</v>
      </c>
      <c r="AJ381" s="397">
        <v>44967</v>
      </c>
      <c r="AK381" s="326" t="s">
        <v>889</v>
      </c>
      <c r="AL381" s="326">
        <v>44959</v>
      </c>
      <c r="AM381" s="316"/>
      <c r="AN381" s="305"/>
      <c r="AO381" s="327" t="str">
        <f>_xlfn.IFNA(IF(VLOOKUP(tabItens[[#This Row],[CÓDIGO]],tabExcluirDoEstoque[#Data],1,FALSE),"sim",""),"")</f>
        <v/>
      </c>
      <c r="AP381" s="398" t="str">
        <f ca="1">IF(OR(ISBLANK(tabItens[[#This Row],[ATA DT.VALID.]]),tabItens[[#This Row],[ATA DT.VALID.]]="",tabItens[[#This Row],[ATA DT.VALID.]]=" "),"",IF(TYPE(tabItens[[#This Row],[ATA DT.VALID.]])=1,ROUNDUP((tabItens[[#This Row],[ATA DT.VALID.]]-TODAY())/7,0),""))</f>
        <v/>
      </c>
      <c r="AQ381" s="399">
        <v>0</v>
      </c>
      <c r="AR381" s="400" t="str">
        <f>IF(ISBLANK(tabItens[[#This Row],[CÓDIGO]]),"",IFERROR(VLOOKUP(tabItens[[#This Row],[CÓDIGO]],Consumo!$C$2:$AC$862,26,FALSE),0))</f>
        <v>08.2023</v>
      </c>
      <c r="AS381" s="401">
        <f>SUMIF(Consumo!$C$3:$C$862,tabItens[[#This Row],[CÓDIGO]],Consumo!$N$3:$N$862) + SUMIF(Consumo!$C$3:$C$862,tabItens[[#This Row],[CÓDIGO]],Consumo!$O$3:$O$862) + SUMIF(Consumo!$C$3:$C$862,tabItens[[#This Row],[CÓDIGO]],Consumo!$P$3:$P$862) + SUMIF(Consumo!$C$3:$C$862,tabItens[[#This Row],[CÓDIGO]],Consumo!$Q$3:$Q$862)</f>
        <v>2107</v>
      </c>
      <c r="AT381" s="401">
        <f>SUMIF(Consumo!$C$3:$C$862,tabItens[[#This Row],[CÓDIGO]],Consumo!$Z$3:$Z$862)</f>
        <v>7579</v>
      </c>
      <c r="AU381" s="402">
        <f>SUMIF(Consumo!$C$3:$C$862,tabItens[[#This Row],[CÓDIGO]],Consumo!$AA$3:$AA$862)</f>
        <v>1173</v>
      </c>
      <c r="AV381" s="403">
        <f>SUMIF(Consumo!$C$3:$C$862,tabItens[[#This Row],[CÓDIGO]],Consumo!$Y$3:$Y$862)</f>
        <v>631.58333333333337</v>
      </c>
      <c r="AW381" s="380">
        <f>tabItens[[#This Row],[QTDE ATUAL]] + tabItens[[#This Row],[RC QTDE]] + tabItens[[#This Row],[AF SALDO]] + tabItens[[#This Row],[Recentes]]</f>
        <v>1900</v>
      </c>
      <c r="AX381" s="404">
        <v>750</v>
      </c>
      <c r="AY381" s="404">
        <v>4</v>
      </c>
      <c r="AZ381" s="404">
        <f>IF(ISBLANK(tabItens[[#This Row],[CÓDIGO]]),"",tabItens[[#This Row],[PontoMês]] * (AZ$2+tabItens[[#This Row],[PontoQtM]]))</f>
        <v>3000</v>
      </c>
      <c r="BA381" s="403">
        <f>tabItens[[#This Row],[PontoPed]] - tabItens[[#This Row],[Saldo]] + (1/10)</f>
        <v>1100.0999999999999</v>
      </c>
      <c r="BB381" s="403">
        <f xml:space="preserve"> tabItens[[#This Row],[PontoMês]] * BB$2 - tabItens[[#This Row],[QTDE ATUAL]] - (1/10)</f>
        <v>749.9</v>
      </c>
      <c r="BC381" s="335">
        <f>IF( tabItens[[#This Row],[PontoPed]]&gt;0, IF(tabItens[[#This Row],[PontoPed]]&lt;1, 1, IF( tabItens[[#This Row],[Saldo]]&gt;tabItens[[#This Row],[PontoPed]], 0, (tabItens[[#This Row],[PontoPed]]-tabItens[[#This Row],[Saldo]])/tabItens[[#This Row],[PontoPed]] ) ), 0 )</f>
        <v>0.36666666666666664</v>
      </c>
      <c r="BD381" s="405">
        <f>ROUNDDOWN(IF( OR( AND(tabItens[[#This Row],[PontoPed]]&lt;tabItens[[#This Row],[Saldo]],tabItens[[#This Row],[Saldo]]&gt;0), tabItens[[#This Row],[PontoPed]]=0), 99, IF(AND(tabItens[[#This Row],[Saldo]]=0,tabItens[[#This Row],[PontoPed]]&gt;0), 0, (1-tabItens[[#This Row],[PctAb]])*10 ) ),0)</f>
        <v>6</v>
      </c>
      <c r="BE381" s="406">
        <f>MAX(ROUNDDOWN( IF(tabItens[[#This Row],[Abaixo]] &gt; 0,   tabItens[[#This Row],[Abaixo]] + (tabItens[[#This Row],[PontoMês]] * IF( OR( ISBLANK(tabItens[[#This Row],[ATA Nº/ANO]]), tabItens[[#This Row],[ATA Nº/ANO]] = ""),BE$2,BE$1)),0),0),0)</f>
        <v>3350</v>
      </c>
      <c r="BF38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1" s="338">
        <f>SUMIF(Consumo!$C$3:$C$862,tabItens[[#This Row],[CÓDIGO]],Consumo!$E$3:$E$862)</f>
        <v>486</v>
      </c>
      <c r="BH381" s="339">
        <f>IF(AND(tabItens[[#This Row],[Pend]] &gt; 0,tabItens[[#This Row],[Consumo]] &lt;&gt; 0), tabItens[[#This Row],[Pend]] / tabItens[[#This Row],[Consumo]], 0 )</f>
        <v>6.4124554690592431E-2</v>
      </c>
      <c r="BI381" s="338"/>
      <c r="BJ381" s="407"/>
      <c r="BK381" s="408" t="s">
        <v>2086</v>
      </c>
    </row>
    <row r="382" spans="1:63" x14ac:dyDescent="0.3">
      <c r="A382" s="375">
        <v>32927</v>
      </c>
      <c r="B382" s="376" t="s">
        <v>1249</v>
      </c>
      <c r="C382" s="377" t="s">
        <v>380</v>
      </c>
      <c r="D382" s="378">
        <v>0.53</v>
      </c>
      <c r="E382" s="305"/>
      <c r="F382" s="379"/>
      <c r="G382" s="379" t="s">
        <v>889</v>
      </c>
      <c r="H382" s="380">
        <v>0</v>
      </c>
      <c r="I382" s="307">
        <v>103003</v>
      </c>
      <c r="J382" s="308">
        <v>0.53</v>
      </c>
      <c r="K382" s="381">
        <v>5743</v>
      </c>
      <c r="L382" s="382">
        <f>IF(tabItens[[#This Row],[Média]] &gt; 0, tabItens[[#This Row],[QTDE ATUAL]] / tabItens[[#This Row],[Média]],999.9)</f>
        <v>0</v>
      </c>
      <c r="M382" s="383">
        <v>0</v>
      </c>
      <c r="N382" s="384">
        <f>tabItens[[#This Row],[VALOR UNIT.]] * tabItens[[#This Row],[LC]]</f>
        <v>0</v>
      </c>
      <c r="O382" s="385" t="s">
        <v>2090</v>
      </c>
      <c r="P382" s="386"/>
      <c r="Q382" s="387"/>
      <c r="R382" s="312"/>
      <c r="S382" s="388"/>
      <c r="T382" s="389">
        <f>ROUNDDOWN(IFERROR(tabItens[[#This Row],[ATA DT.VALID.]] - $D$1,0) / 30,0)</f>
        <v>-1474</v>
      </c>
      <c r="U382" s="302" t="s">
        <v>1130</v>
      </c>
      <c r="V382" s="318">
        <v>1</v>
      </c>
      <c r="W382" s="390" t="s">
        <v>2074</v>
      </c>
      <c r="X382" s="391">
        <v>57</v>
      </c>
      <c r="Y382" s="392">
        <v>15</v>
      </c>
      <c r="Z382" s="393">
        <v>6989</v>
      </c>
      <c r="AA382" s="394">
        <v>2023</v>
      </c>
      <c r="AB382" s="395">
        <v>2100</v>
      </c>
      <c r="AC382" s="395"/>
      <c r="AD382" s="394"/>
      <c r="AE382" s="395"/>
      <c r="AF382" s="317"/>
      <c r="AG382" s="396" t="s">
        <v>2072</v>
      </c>
      <c r="AH382" s="397"/>
      <c r="AI382" s="317">
        <v>2524</v>
      </c>
      <c r="AJ382" s="397">
        <v>44967</v>
      </c>
      <c r="AK382" s="326" t="s">
        <v>889</v>
      </c>
      <c r="AL382" s="326">
        <v>44959</v>
      </c>
      <c r="AM382" s="316"/>
      <c r="AN382" s="305"/>
      <c r="AO382" s="327" t="str">
        <f>_xlfn.IFNA(IF(VLOOKUP(tabItens[[#This Row],[CÓDIGO]],tabExcluirDoEstoque[#Data],1,FALSE),"sim",""),"")</f>
        <v/>
      </c>
      <c r="AP382" s="398" t="str">
        <f ca="1">IF(OR(ISBLANK(tabItens[[#This Row],[ATA DT.VALID.]]),tabItens[[#This Row],[ATA DT.VALID.]]="",tabItens[[#This Row],[ATA DT.VALID.]]=" "),"",IF(TYPE(tabItens[[#This Row],[ATA DT.VALID.]])=1,ROUNDUP((tabItens[[#This Row],[ATA DT.VALID.]]-TODAY())/7,0),""))</f>
        <v/>
      </c>
      <c r="AQ382" s="399">
        <v>0</v>
      </c>
      <c r="AR382" s="400" t="str">
        <f>IF(ISBLANK(tabItens[[#This Row],[CÓDIGO]]),"",IFERROR(VLOOKUP(tabItens[[#This Row],[CÓDIGO]],Consumo!$C$2:$AC$862,26,FALSE),0))</f>
        <v>08.2023</v>
      </c>
      <c r="AS382" s="401">
        <f>SUMIF(Consumo!$C$3:$C$862,tabItens[[#This Row],[CÓDIGO]],Consumo!$N$3:$N$862) + SUMIF(Consumo!$C$3:$C$862,tabItens[[#This Row],[CÓDIGO]],Consumo!$O$3:$O$862) + SUMIF(Consumo!$C$3:$C$862,tabItens[[#This Row],[CÓDIGO]],Consumo!$P$3:$P$862) + SUMIF(Consumo!$C$3:$C$862,tabItens[[#This Row],[CÓDIGO]],Consumo!$Q$3:$Q$862)</f>
        <v>2092</v>
      </c>
      <c r="AT382" s="401">
        <f>SUMIF(Consumo!$C$3:$C$862,tabItens[[#This Row],[CÓDIGO]],Consumo!$Z$3:$Z$862)</f>
        <v>7906</v>
      </c>
      <c r="AU382" s="402">
        <f>SUMIF(Consumo!$C$3:$C$862,tabItens[[#This Row],[CÓDIGO]],Consumo!$AA$3:$AA$862)</f>
        <v>1193</v>
      </c>
      <c r="AV382" s="403">
        <f>SUMIF(Consumo!$C$3:$C$862,tabItens[[#This Row],[CÓDIGO]],Consumo!$Y$3:$Y$862)</f>
        <v>658.83333333333337</v>
      </c>
      <c r="AW382" s="380">
        <f>tabItens[[#This Row],[QTDE ATUAL]] + tabItens[[#This Row],[RC QTDE]] + tabItens[[#This Row],[AF SALDO]] + tabItens[[#This Row],[Recentes]]</f>
        <v>2100</v>
      </c>
      <c r="AX382" s="404">
        <v>793</v>
      </c>
      <c r="AY382" s="404">
        <v>4</v>
      </c>
      <c r="AZ382" s="404">
        <f>IF(ISBLANK(tabItens[[#This Row],[CÓDIGO]]),"",tabItens[[#This Row],[PontoMês]] * (AZ$2+tabItens[[#This Row],[PontoQtM]]))</f>
        <v>3172</v>
      </c>
      <c r="BA382" s="403">
        <f>tabItens[[#This Row],[PontoPed]] - tabItens[[#This Row],[Saldo]] + (1/10)</f>
        <v>1072.0999999999999</v>
      </c>
      <c r="BB382" s="403">
        <f xml:space="preserve"> tabItens[[#This Row],[PontoMês]] * BB$2 - tabItens[[#This Row],[QTDE ATUAL]] - (1/10)</f>
        <v>792.9</v>
      </c>
      <c r="BC382" s="335">
        <f>IF( tabItens[[#This Row],[PontoPed]]&gt;0, IF(tabItens[[#This Row],[PontoPed]]&lt;1, 1, IF( tabItens[[#This Row],[Saldo]]&gt;tabItens[[#This Row],[PontoPed]], 0, (tabItens[[#This Row],[PontoPed]]-tabItens[[#This Row],[Saldo]])/tabItens[[#This Row],[PontoPed]] ) ), 0 )</f>
        <v>0.33795712484237073</v>
      </c>
      <c r="BD382" s="405">
        <f>ROUNDDOWN(IF( OR( AND(tabItens[[#This Row],[PontoPed]]&lt;tabItens[[#This Row],[Saldo]],tabItens[[#This Row],[Saldo]]&gt;0), tabItens[[#This Row],[PontoPed]]=0), 99, IF(AND(tabItens[[#This Row],[Saldo]]=0,tabItens[[#This Row],[PontoPed]]&gt;0), 0, (1-tabItens[[#This Row],[PctAb]])*10 ) ),0)</f>
        <v>6</v>
      </c>
      <c r="BE382" s="406">
        <f>MAX(ROUNDDOWN( IF(tabItens[[#This Row],[Abaixo]] &gt; 0,   tabItens[[#This Row],[Abaixo]] + (tabItens[[#This Row],[PontoMês]] * IF( OR( ISBLANK(tabItens[[#This Row],[ATA Nº/ANO]]), tabItens[[#This Row],[ATA Nº/ANO]] = ""),BE$2,BE$1)),0),0),0)</f>
        <v>3451</v>
      </c>
      <c r="BF38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2" s="338">
        <f>SUMIF(Consumo!$C$3:$C$862,tabItens[[#This Row],[CÓDIGO]],Consumo!$E$3:$E$862)</f>
        <v>334</v>
      </c>
      <c r="BH382" s="339">
        <f>IF(AND(tabItens[[#This Row],[Pend]] &gt; 0,tabItens[[#This Row],[Consumo]] &lt;&gt; 0), tabItens[[#This Row],[Pend]] / tabItens[[#This Row],[Consumo]], 0 )</f>
        <v>4.2246395142929417E-2</v>
      </c>
      <c r="BI382" s="338"/>
      <c r="BJ382" s="407"/>
      <c r="BK382" s="408" t="s">
        <v>2086</v>
      </c>
    </row>
    <row r="383" spans="1:63" x14ac:dyDescent="0.3">
      <c r="A383" s="375">
        <v>119595</v>
      </c>
      <c r="B383" s="376" t="s">
        <v>1741</v>
      </c>
      <c r="C383" s="377" t="s">
        <v>260</v>
      </c>
      <c r="D383" s="378">
        <v>4.33</v>
      </c>
      <c r="E383" s="305"/>
      <c r="F383" s="379"/>
      <c r="G383" s="379" t="s">
        <v>889</v>
      </c>
      <c r="H383" s="380">
        <v>311</v>
      </c>
      <c r="I383" s="307">
        <v>103003</v>
      </c>
      <c r="J383" s="308">
        <v>4.33</v>
      </c>
      <c r="K383" s="381">
        <v>33</v>
      </c>
      <c r="L383" s="382">
        <f>IF(tabItens[[#This Row],[Média]] &gt; 0, tabItens[[#This Row],[QTDE ATUAL]] / tabItens[[#This Row],[Média]],999.9)</f>
        <v>109.76470588235294</v>
      </c>
      <c r="M383" s="383">
        <v>0</v>
      </c>
      <c r="N383" s="384">
        <f>tabItens[[#This Row],[VALOR UNIT.]] * tabItens[[#This Row],[LC]]</f>
        <v>0</v>
      </c>
      <c r="O383" s="385" t="s">
        <v>2190</v>
      </c>
      <c r="P383" s="386"/>
      <c r="Q383" s="387"/>
      <c r="R383" s="312"/>
      <c r="S383" s="388"/>
      <c r="T383" s="389">
        <f>ROUNDDOWN(IFERROR(tabItens[[#This Row],[ATA DT.VALID.]] - $D$1,0) / 30,0)</f>
        <v>-1474</v>
      </c>
      <c r="U383" s="302" t="s">
        <v>1742</v>
      </c>
      <c r="V383" s="318">
        <v>1</v>
      </c>
      <c r="W383" s="390" t="s">
        <v>2073</v>
      </c>
      <c r="X383" s="391">
        <v>62</v>
      </c>
      <c r="Y383" s="392">
        <v>26</v>
      </c>
      <c r="Z383" s="393"/>
      <c r="AA383" s="394"/>
      <c r="AB383" s="395"/>
      <c r="AC383" s="395"/>
      <c r="AD383" s="394"/>
      <c r="AE383" s="395"/>
      <c r="AF383" s="317"/>
      <c r="AG383" s="396" t="s">
        <v>2072</v>
      </c>
      <c r="AH383" s="397"/>
      <c r="AI383" s="317">
        <v>12</v>
      </c>
      <c r="AJ383" s="397">
        <v>44145</v>
      </c>
      <c r="AK383" s="326">
        <v>40638</v>
      </c>
      <c r="AL383" s="326">
        <v>45148</v>
      </c>
      <c r="AM383" s="316"/>
      <c r="AN383" s="305"/>
      <c r="AO383" s="327" t="str">
        <f>_xlfn.IFNA(IF(VLOOKUP(tabItens[[#This Row],[CÓDIGO]],tabExcluirDoEstoque[#Data],1,FALSE),"sim",""),"")</f>
        <v/>
      </c>
      <c r="AP383" s="398" t="str">
        <f ca="1">IF(OR(ISBLANK(tabItens[[#This Row],[ATA DT.VALID.]]),tabItens[[#This Row],[ATA DT.VALID.]]="",tabItens[[#This Row],[ATA DT.VALID.]]=" "),"",IF(TYPE(tabItens[[#This Row],[ATA DT.VALID.]])=1,ROUNDUP((tabItens[[#This Row],[ATA DT.VALID.]]-TODAY())/7,0),""))</f>
        <v/>
      </c>
      <c r="AQ383" s="399">
        <v>0</v>
      </c>
      <c r="AR383" s="400" t="str">
        <f>IF(ISBLANK(tabItens[[#This Row],[CÓDIGO]]),"",IFERROR(VLOOKUP(tabItens[[#This Row],[CÓDIGO]],Consumo!$C$2:$AC$862,26,FALSE),0))</f>
        <v>09.2023</v>
      </c>
      <c r="AS383" s="401">
        <f>SUMIF(Consumo!$C$3:$C$862,tabItens[[#This Row],[CÓDIGO]],Consumo!$N$3:$N$862) + SUMIF(Consumo!$C$3:$C$862,tabItens[[#This Row],[CÓDIGO]],Consumo!$O$3:$O$862) + SUMIF(Consumo!$C$3:$C$862,tabItens[[#This Row],[CÓDIGO]],Consumo!$P$3:$P$862) + SUMIF(Consumo!$C$3:$C$862,tabItens[[#This Row],[CÓDIGO]],Consumo!$Q$3:$Q$862)</f>
        <v>8</v>
      </c>
      <c r="AT383" s="401">
        <f>SUMIF(Consumo!$C$3:$C$862,tabItens[[#This Row],[CÓDIGO]],Consumo!$Z$3:$Z$862)</f>
        <v>36</v>
      </c>
      <c r="AU383" s="402">
        <f>SUMIF(Consumo!$C$3:$C$862,tabItens[[#This Row],[CÓDIGO]],Consumo!$AA$3:$AA$862)</f>
        <v>12</v>
      </c>
      <c r="AV383" s="403">
        <f>SUMIF(Consumo!$C$3:$C$862,tabItens[[#This Row],[CÓDIGO]],Consumo!$Y$3:$Y$862)</f>
        <v>2.8333333333333335</v>
      </c>
      <c r="AW383" s="380">
        <f>tabItens[[#This Row],[QTDE ATUAL]] + tabItens[[#This Row],[RC QTDE]] + tabItens[[#This Row],[AF SALDO]] + tabItens[[#This Row],[Recentes]]</f>
        <v>311</v>
      </c>
      <c r="AX383" s="404">
        <v>50</v>
      </c>
      <c r="AY383" s="404">
        <v>4</v>
      </c>
      <c r="AZ383" s="404">
        <f>IF(ISBLANK(tabItens[[#This Row],[CÓDIGO]]),"",tabItens[[#This Row],[PontoMês]] * (AZ$2+tabItens[[#This Row],[PontoQtM]]))</f>
        <v>200</v>
      </c>
      <c r="BA383" s="403">
        <f>tabItens[[#This Row],[PontoPed]] - tabItens[[#This Row],[Saldo]] + (1/10)</f>
        <v>-110.9</v>
      </c>
      <c r="BB383" s="403">
        <f xml:space="preserve"> tabItens[[#This Row],[PontoMês]] * BB$2 - tabItens[[#This Row],[QTDE ATUAL]] - (1/10)</f>
        <v>-261.10000000000002</v>
      </c>
      <c r="BC383" s="335">
        <f>IF( tabItens[[#This Row],[PontoPed]]&gt;0, IF(tabItens[[#This Row],[PontoPed]]&lt;1, 1, IF( tabItens[[#This Row],[Saldo]]&gt;tabItens[[#This Row],[PontoPed]], 0, (tabItens[[#This Row],[PontoPed]]-tabItens[[#This Row],[Saldo]])/tabItens[[#This Row],[PontoPed]] ) ), 0 )</f>
        <v>0</v>
      </c>
      <c r="BD383" s="405">
        <f>ROUNDDOWN(IF( OR( AND(tabItens[[#This Row],[PontoPed]]&lt;tabItens[[#This Row],[Saldo]],tabItens[[#This Row],[Saldo]]&gt;0), tabItens[[#This Row],[PontoPed]]=0), 99, IF(AND(tabItens[[#This Row],[Saldo]]=0,tabItens[[#This Row],[PontoPed]]&gt;0), 0, (1-tabItens[[#This Row],[PctAb]])*10 ) ),0)</f>
        <v>99</v>
      </c>
      <c r="BE383" s="406">
        <f>MAX(ROUNDDOWN( IF(tabItens[[#This Row],[Abaixo]] &gt; 0,   tabItens[[#This Row],[Abaixo]] + (tabItens[[#This Row],[PontoMês]] * IF( OR( ISBLANK(tabItens[[#This Row],[ATA Nº/ANO]]), tabItens[[#This Row],[ATA Nº/ANO]] = ""),BE$2,BE$1)),0),0),0)</f>
        <v>0</v>
      </c>
      <c r="BF38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3" s="338">
        <f>SUMIF(Consumo!$C$3:$C$862,tabItens[[#This Row],[CÓDIGO]],Consumo!$E$3:$E$862)</f>
        <v>0</v>
      </c>
      <c r="BH383" s="339">
        <f>IF(AND(tabItens[[#This Row],[Pend]] &gt; 0,tabItens[[#This Row],[Consumo]] &lt;&gt; 0), tabItens[[#This Row],[Pend]] / tabItens[[#This Row],[Consumo]], 0 )</f>
        <v>0</v>
      </c>
      <c r="BI383" s="338"/>
      <c r="BJ383" s="407"/>
      <c r="BK383" s="408" t="s">
        <v>2086</v>
      </c>
    </row>
    <row r="384" spans="1:63" x14ac:dyDescent="0.3">
      <c r="A384" s="375">
        <v>54550</v>
      </c>
      <c r="B384" s="376" t="s">
        <v>1320</v>
      </c>
      <c r="C384" s="377" t="s">
        <v>345</v>
      </c>
      <c r="D384" s="378">
        <v>140</v>
      </c>
      <c r="E384" s="305"/>
      <c r="F384" s="379"/>
      <c r="G384" s="379" t="s">
        <v>889</v>
      </c>
      <c r="H384" s="380">
        <v>655</v>
      </c>
      <c r="I384" s="307">
        <v>103003</v>
      </c>
      <c r="J384" s="308">
        <v>140</v>
      </c>
      <c r="K384" s="381">
        <v>442</v>
      </c>
      <c r="L384" s="382">
        <f>IF(tabItens[[#This Row],[Média]] &gt; 0, tabItens[[#This Row],[QTDE ATUAL]] / tabItens[[#This Row],[Média]],999.9)</f>
        <v>17.124183006535947</v>
      </c>
      <c r="M384" s="383">
        <v>0</v>
      </c>
      <c r="N384" s="384">
        <f>tabItens[[#This Row],[VALOR UNIT.]] * tabItens[[#This Row],[LC]]</f>
        <v>0</v>
      </c>
      <c r="O384" s="385" t="s">
        <v>2147</v>
      </c>
      <c r="P384" s="386"/>
      <c r="Q384" s="387"/>
      <c r="R384" s="312"/>
      <c r="S384" s="388"/>
      <c r="T384" s="389">
        <f>ROUNDDOWN(IFERROR(tabItens[[#This Row],[ATA DT.VALID.]] - $D$1,0) / 30,0)</f>
        <v>-1474</v>
      </c>
      <c r="U384" s="302" t="s">
        <v>1039</v>
      </c>
      <c r="V384" s="318">
        <v>1</v>
      </c>
      <c r="W384" s="390" t="s">
        <v>2078</v>
      </c>
      <c r="X384" s="391">
        <v>69</v>
      </c>
      <c r="Y384" s="392">
        <v>10</v>
      </c>
      <c r="Z384" s="393"/>
      <c r="AA384" s="394"/>
      <c r="AB384" s="395"/>
      <c r="AC384" s="395"/>
      <c r="AD384" s="394"/>
      <c r="AE384" s="395"/>
      <c r="AF384" s="317"/>
      <c r="AG384" s="396" t="s">
        <v>2072</v>
      </c>
      <c r="AH384" s="397"/>
      <c r="AI384" s="317">
        <v>156</v>
      </c>
      <c r="AJ384" s="397">
        <v>44519</v>
      </c>
      <c r="AK384" s="326" t="s">
        <v>889</v>
      </c>
      <c r="AL384" s="326">
        <v>44883</v>
      </c>
      <c r="AM384" s="316"/>
      <c r="AN384" s="305"/>
      <c r="AO384" s="327" t="str">
        <f>_xlfn.IFNA(IF(VLOOKUP(tabItens[[#This Row],[CÓDIGO]],tabExcluirDoEstoque[#Data],1,FALSE),"sim",""),"")</f>
        <v/>
      </c>
      <c r="AP384" s="398" t="str">
        <f ca="1">IF(OR(ISBLANK(tabItens[[#This Row],[ATA DT.VALID.]]),tabItens[[#This Row],[ATA DT.VALID.]]="",tabItens[[#This Row],[ATA DT.VALID.]]=" "),"",IF(TYPE(tabItens[[#This Row],[ATA DT.VALID.]])=1,ROUNDUP((tabItens[[#This Row],[ATA DT.VALID.]]-TODAY())/7,0),""))</f>
        <v/>
      </c>
      <c r="AQ384" s="399">
        <v>0</v>
      </c>
      <c r="AR384" s="400" t="str">
        <f>IF(ISBLANK(tabItens[[#This Row],[CÓDIGO]]),"",IFERROR(VLOOKUP(tabItens[[#This Row],[CÓDIGO]],Consumo!$C$2:$AC$862,26,FALSE),0))</f>
        <v>08.2023</v>
      </c>
      <c r="AS384" s="401">
        <f>SUMIF(Consumo!$C$3:$C$862,tabItens[[#This Row],[CÓDIGO]],Consumo!$N$3:$N$862) + SUMIF(Consumo!$C$3:$C$862,tabItens[[#This Row],[CÓDIGO]],Consumo!$O$3:$O$862) + SUMIF(Consumo!$C$3:$C$862,tabItens[[#This Row],[CÓDIGO]],Consumo!$P$3:$P$862) + SUMIF(Consumo!$C$3:$C$862,tabItens[[#This Row],[CÓDIGO]],Consumo!$Q$3:$Q$862)</f>
        <v>160</v>
      </c>
      <c r="AT384" s="401">
        <f>SUMIF(Consumo!$C$3:$C$862,tabItens[[#This Row],[CÓDIGO]],Consumo!$Z$3:$Z$862)</f>
        <v>459</v>
      </c>
      <c r="AU384" s="402">
        <f>SUMIF(Consumo!$C$3:$C$862,tabItens[[#This Row],[CÓDIGO]],Consumo!$AA$3:$AA$862)</f>
        <v>112</v>
      </c>
      <c r="AV384" s="403">
        <f>SUMIF(Consumo!$C$3:$C$862,tabItens[[#This Row],[CÓDIGO]],Consumo!$Y$3:$Y$862)</f>
        <v>38.25</v>
      </c>
      <c r="AW384" s="380">
        <f>tabItens[[#This Row],[QTDE ATUAL]] + tabItens[[#This Row],[RC QTDE]] + tabItens[[#This Row],[AF SALDO]] + tabItens[[#This Row],[Recentes]]</f>
        <v>655</v>
      </c>
      <c r="AX384" s="404">
        <v>42</v>
      </c>
      <c r="AY384" s="404">
        <v>4</v>
      </c>
      <c r="AZ384" s="404">
        <f>IF(ISBLANK(tabItens[[#This Row],[CÓDIGO]]),"",tabItens[[#This Row],[PontoMês]] * (AZ$2+tabItens[[#This Row],[PontoQtM]]))</f>
        <v>168</v>
      </c>
      <c r="BA384" s="403">
        <f>tabItens[[#This Row],[PontoPed]] - tabItens[[#This Row],[Saldo]] + (1/10)</f>
        <v>-486.9</v>
      </c>
      <c r="BB384" s="403">
        <f xml:space="preserve"> tabItens[[#This Row],[PontoMês]] * BB$2 - tabItens[[#This Row],[QTDE ATUAL]] - (1/10)</f>
        <v>-613.1</v>
      </c>
      <c r="BC384" s="335">
        <f>IF( tabItens[[#This Row],[PontoPed]]&gt;0, IF(tabItens[[#This Row],[PontoPed]]&lt;1, 1, IF( tabItens[[#This Row],[Saldo]]&gt;tabItens[[#This Row],[PontoPed]], 0, (tabItens[[#This Row],[PontoPed]]-tabItens[[#This Row],[Saldo]])/tabItens[[#This Row],[PontoPed]] ) ), 0 )</f>
        <v>0</v>
      </c>
      <c r="BD384" s="405">
        <f>ROUNDDOWN(IF( OR( AND(tabItens[[#This Row],[PontoPed]]&lt;tabItens[[#This Row],[Saldo]],tabItens[[#This Row],[Saldo]]&gt;0), tabItens[[#This Row],[PontoPed]]=0), 99, IF(AND(tabItens[[#This Row],[Saldo]]=0,tabItens[[#This Row],[PontoPed]]&gt;0), 0, (1-tabItens[[#This Row],[PctAb]])*10 ) ),0)</f>
        <v>99</v>
      </c>
      <c r="BE384" s="406">
        <f>MAX(ROUNDDOWN( IF(tabItens[[#This Row],[Abaixo]] &gt; 0,   tabItens[[#This Row],[Abaixo]] + (tabItens[[#This Row],[PontoMês]] * IF( OR( ISBLANK(tabItens[[#This Row],[ATA Nº/ANO]]), tabItens[[#This Row],[ATA Nº/ANO]] = ""),BE$2,BE$1)),0),0),0)</f>
        <v>0</v>
      </c>
      <c r="BF38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4" s="338">
        <f>SUMIF(Consumo!$C$3:$C$862,tabItens[[#This Row],[CÓDIGO]],Consumo!$E$3:$E$862)</f>
        <v>0</v>
      </c>
      <c r="BH384" s="339">
        <f>IF(AND(tabItens[[#This Row],[Pend]] &gt; 0,tabItens[[#This Row],[Consumo]] &lt;&gt; 0), tabItens[[#This Row],[Pend]] / tabItens[[#This Row],[Consumo]], 0 )</f>
        <v>0</v>
      </c>
      <c r="BI384" s="338"/>
      <c r="BJ384" s="407"/>
      <c r="BK384" s="408" t="s">
        <v>2086</v>
      </c>
    </row>
    <row r="385" spans="1:63" x14ac:dyDescent="0.3">
      <c r="A385" s="375">
        <v>131482</v>
      </c>
      <c r="B385" s="376" t="s">
        <v>1816</v>
      </c>
      <c r="C385" s="377" t="s">
        <v>31</v>
      </c>
      <c r="D385" s="378">
        <v>4.5</v>
      </c>
      <c r="E385" s="305"/>
      <c r="F385" s="379"/>
      <c r="G385" s="379" t="s">
        <v>889</v>
      </c>
      <c r="H385" s="380">
        <v>94</v>
      </c>
      <c r="I385" s="307">
        <v>103003</v>
      </c>
      <c r="J385" s="308">
        <v>4.5</v>
      </c>
      <c r="K385" s="381">
        <v>45</v>
      </c>
      <c r="L385" s="382">
        <f>IF(tabItens[[#This Row],[Média]] &gt; 0, tabItens[[#This Row],[QTDE ATUAL]] / tabItens[[#This Row],[Média]],999.9)</f>
        <v>26.857142857142858</v>
      </c>
      <c r="M385" s="383">
        <v>0</v>
      </c>
      <c r="N385" s="384">
        <f>tabItens[[#This Row],[VALOR UNIT.]] * tabItens[[#This Row],[LC]]</f>
        <v>0</v>
      </c>
      <c r="O385" s="385" t="s">
        <v>2116</v>
      </c>
      <c r="P385" s="386"/>
      <c r="Q385" s="387"/>
      <c r="R385" s="312"/>
      <c r="S385" s="388"/>
      <c r="T385" s="389">
        <f>ROUNDDOWN(IFERROR(tabItens[[#This Row],[ATA DT.VALID.]] - $D$1,0) / 30,0)</f>
        <v>-1474</v>
      </c>
      <c r="U385" s="302" t="s">
        <v>1440</v>
      </c>
      <c r="V385" s="318">
        <v>1</v>
      </c>
      <c r="W385" s="390" t="s">
        <v>2073</v>
      </c>
      <c r="X385" s="391">
        <v>72</v>
      </c>
      <c r="Y385" s="392">
        <v>5</v>
      </c>
      <c r="Z385" s="393"/>
      <c r="AA385" s="394"/>
      <c r="AB385" s="395"/>
      <c r="AC385" s="395"/>
      <c r="AD385" s="394"/>
      <c r="AE385" s="395"/>
      <c r="AF385" s="317"/>
      <c r="AG385" s="396" t="s">
        <v>2072</v>
      </c>
      <c r="AH385" s="397"/>
      <c r="AI385" s="317">
        <v>16</v>
      </c>
      <c r="AJ385" s="397">
        <v>42559</v>
      </c>
      <c r="AK385" s="326">
        <v>42464</v>
      </c>
      <c r="AL385" s="326">
        <v>44582</v>
      </c>
      <c r="AM385" s="316"/>
      <c r="AN385" s="305"/>
      <c r="AO385" s="327" t="str">
        <f>_xlfn.IFNA(IF(VLOOKUP(tabItens[[#This Row],[CÓDIGO]],tabExcluirDoEstoque[#Data],1,FALSE),"sim",""),"")</f>
        <v/>
      </c>
      <c r="AP385" s="398" t="str">
        <f ca="1">IF(OR(ISBLANK(tabItens[[#This Row],[ATA DT.VALID.]]),tabItens[[#This Row],[ATA DT.VALID.]]="",tabItens[[#This Row],[ATA DT.VALID.]]=" "),"",IF(TYPE(tabItens[[#This Row],[ATA DT.VALID.]])=1,ROUNDUP((tabItens[[#This Row],[ATA DT.VALID.]]-TODAY())/7,0),""))</f>
        <v/>
      </c>
      <c r="AQ385" s="399">
        <v>0</v>
      </c>
      <c r="AR385" s="400" t="str">
        <f>IF(ISBLANK(tabItens[[#This Row],[CÓDIGO]]),"",IFERROR(VLOOKUP(tabItens[[#This Row],[CÓDIGO]],Consumo!$C$2:$AC$862,26,FALSE),0))</f>
        <v>08.2023</v>
      </c>
      <c r="AS385" s="401">
        <f>SUMIF(Consumo!$C$3:$C$862,tabItens[[#This Row],[CÓDIGO]],Consumo!$N$3:$N$862) + SUMIF(Consumo!$C$3:$C$862,tabItens[[#This Row],[CÓDIGO]],Consumo!$O$3:$O$862) + SUMIF(Consumo!$C$3:$C$862,tabItens[[#This Row],[CÓDIGO]],Consumo!$P$3:$P$862) + SUMIF(Consumo!$C$3:$C$862,tabItens[[#This Row],[CÓDIGO]],Consumo!$Q$3:$Q$862)</f>
        <v>22</v>
      </c>
      <c r="AT385" s="401">
        <f>SUMIF(Consumo!$C$3:$C$862,tabItens[[#This Row],[CÓDIGO]],Consumo!$Z$3:$Z$862)</f>
        <v>45</v>
      </c>
      <c r="AU385" s="402">
        <f>SUMIF(Consumo!$C$3:$C$862,tabItens[[#This Row],[CÓDIGO]],Consumo!$AA$3:$AA$862)</f>
        <v>22</v>
      </c>
      <c r="AV385" s="403">
        <f>SUMIF(Consumo!$C$3:$C$862,tabItens[[#This Row],[CÓDIGO]],Consumo!$Y$3:$Y$862)</f>
        <v>3.5</v>
      </c>
      <c r="AW385" s="380">
        <f>tabItens[[#This Row],[QTDE ATUAL]] + tabItens[[#This Row],[RC QTDE]] + tabItens[[#This Row],[AF SALDO]] + tabItens[[#This Row],[Recentes]]</f>
        <v>94</v>
      </c>
      <c r="AX385" s="404">
        <v>5</v>
      </c>
      <c r="AY385" s="404">
        <v>4</v>
      </c>
      <c r="AZ385" s="404">
        <f>IF(ISBLANK(tabItens[[#This Row],[CÓDIGO]]),"",tabItens[[#This Row],[PontoMês]] * (AZ$2+tabItens[[#This Row],[PontoQtM]]))</f>
        <v>20</v>
      </c>
      <c r="BA385" s="403">
        <f>tabItens[[#This Row],[PontoPed]] - tabItens[[#This Row],[Saldo]] + (1/10)</f>
        <v>-73.900000000000006</v>
      </c>
      <c r="BB385" s="403">
        <f xml:space="preserve"> tabItens[[#This Row],[PontoMês]] * BB$2 - tabItens[[#This Row],[QTDE ATUAL]] - (1/10)</f>
        <v>-89.1</v>
      </c>
      <c r="BC385" s="335">
        <f>IF( tabItens[[#This Row],[PontoPed]]&gt;0, IF(tabItens[[#This Row],[PontoPed]]&lt;1, 1, IF( tabItens[[#This Row],[Saldo]]&gt;tabItens[[#This Row],[PontoPed]], 0, (tabItens[[#This Row],[PontoPed]]-tabItens[[#This Row],[Saldo]])/tabItens[[#This Row],[PontoPed]] ) ), 0 )</f>
        <v>0</v>
      </c>
      <c r="BD385" s="405">
        <f>ROUNDDOWN(IF( OR( AND(tabItens[[#This Row],[PontoPed]]&lt;tabItens[[#This Row],[Saldo]],tabItens[[#This Row],[Saldo]]&gt;0), tabItens[[#This Row],[PontoPed]]=0), 99, IF(AND(tabItens[[#This Row],[Saldo]]=0,tabItens[[#This Row],[PontoPed]]&gt;0), 0, (1-tabItens[[#This Row],[PctAb]])*10 ) ),0)</f>
        <v>99</v>
      </c>
      <c r="BE385" s="406">
        <f>MAX(ROUNDDOWN( IF(tabItens[[#This Row],[Abaixo]] &gt; 0,   tabItens[[#This Row],[Abaixo]] + (tabItens[[#This Row],[PontoMês]] * IF( OR( ISBLANK(tabItens[[#This Row],[ATA Nº/ANO]]), tabItens[[#This Row],[ATA Nº/ANO]] = ""),BE$2,BE$1)),0),0),0)</f>
        <v>0</v>
      </c>
      <c r="BF38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5" s="338">
        <f>SUMIF(Consumo!$C$3:$C$862,tabItens[[#This Row],[CÓDIGO]],Consumo!$E$3:$E$862)</f>
        <v>0</v>
      </c>
      <c r="BH385" s="339">
        <f>IF(AND(tabItens[[#This Row],[Pend]] &gt; 0,tabItens[[#This Row],[Consumo]] &lt;&gt; 0), tabItens[[#This Row],[Pend]] / tabItens[[#This Row],[Consumo]], 0 )</f>
        <v>0</v>
      </c>
      <c r="BI385" s="338"/>
      <c r="BJ385" s="407"/>
      <c r="BK385" s="408" t="s">
        <v>2086</v>
      </c>
    </row>
    <row r="386" spans="1:63" x14ac:dyDescent="0.3">
      <c r="A386" s="375">
        <v>13991</v>
      </c>
      <c r="B386" s="376" t="s">
        <v>1049</v>
      </c>
      <c r="C386" s="377" t="s">
        <v>263</v>
      </c>
      <c r="D386" s="378">
        <v>22.32</v>
      </c>
      <c r="E386" s="305"/>
      <c r="F386" s="379"/>
      <c r="G386" s="379" t="s">
        <v>889</v>
      </c>
      <c r="H386" s="380">
        <v>0</v>
      </c>
      <c r="I386" s="307">
        <v>103003</v>
      </c>
      <c r="J386" s="308">
        <v>22.32</v>
      </c>
      <c r="K386" s="381">
        <v>248</v>
      </c>
      <c r="L386" s="382">
        <f>IF(tabItens[[#This Row],[Média]] &gt; 0, tabItens[[#This Row],[QTDE ATUAL]] / tabItens[[#This Row],[Média]],999.9)</f>
        <v>0</v>
      </c>
      <c r="M386" s="383">
        <v>0</v>
      </c>
      <c r="N386" s="384">
        <f>tabItens[[#This Row],[VALOR UNIT.]] * tabItens[[#This Row],[LC]]</f>
        <v>0</v>
      </c>
      <c r="O386" s="385" t="s">
        <v>2116</v>
      </c>
      <c r="P386" s="386"/>
      <c r="Q386" s="387"/>
      <c r="R386" s="312"/>
      <c r="S386" s="388"/>
      <c r="T386" s="389">
        <f>ROUNDDOWN(IFERROR(tabItens[[#This Row],[ATA DT.VALID.]] - $D$1,0) / 30,0)</f>
        <v>-1474</v>
      </c>
      <c r="U386" s="302" t="s">
        <v>898</v>
      </c>
      <c r="V386" s="318">
        <v>1</v>
      </c>
      <c r="W386" s="390" t="s">
        <v>2073</v>
      </c>
      <c r="X386" s="391">
        <v>72</v>
      </c>
      <c r="Y386" s="392">
        <v>6</v>
      </c>
      <c r="Z386" s="393">
        <v>5540</v>
      </c>
      <c r="AA386" s="394">
        <v>2023</v>
      </c>
      <c r="AB386" s="395">
        <v>400</v>
      </c>
      <c r="AC386" s="395"/>
      <c r="AD386" s="394"/>
      <c r="AE386" s="395"/>
      <c r="AF386" s="317"/>
      <c r="AG386" s="396" t="s">
        <v>2072</v>
      </c>
      <c r="AH386" s="397"/>
      <c r="AI386" s="317">
        <v>82</v>
      </c>
      <c r="AJ386" s="397">
        <v>44937</v>
      </c>
      <c r="AK386" s="326" t="s">
        <v>889</v>
      </c>
      <c r="AL386" s="326">
        <v>44854</v>
      </c>
      <c r="AM386" s="316"/>
      <c r="AN386" s="305"/>
      <c r="AO386" s="327" t="str">
        <f>_xlfn.IFNA(IF(VLOOKUP(tabItens[[#This Row],[CÓDIGO]],tabExcluirDoEstoque[#Data],1,FALSE),"sim",""),"")</f>
        <v/>
      </c>
      <c r="AP386" s="398" t="str">
        <f ca="1">IF(OR(ISBLANK(tabItens[[#This Row],[ATA DT.VALID.]]),tabItens[[#This Row],[ATA DT.VALID.]]="",tabItens[[#This Row],[ATA DT.VALID.]]=" "),"",IF(TYPE(tabItens[[#This Row],[ATA DT.VALID.]])=1,ROUNDUP((tabItens[[#This Row],[ATA DT.VALID.]]-TODAY())/7,0),""))</f>
        <v/>
      </c>
      <c r="AQ386" s="399">
        <v>0</v>
      </c>
      <c r="AR386" s="400" t="str">
        <f>IF(ISBLANK(tabItens[[#This Row],[CÓDIGO]]),"",IFERROR(VLOOKUP(tabItens[[#This Row],[CÓDIGO]],Consumo!$C$2:$AC$862,26,FALSE),0))</f>
        <v>03.2023</v>
      </c>
      <c r="AS386" s="401">
        <f>SUMIF(Consumo!$C$3:$C$862,tabItens[[#This Row],[CÓDIGO]],Consumo!$N$3:$N$862) + SUMIF(Consumo!$C$3:$C$862,tabItens[[#This Row],[CÓDIGO]],Consumo!$O$3:$O$862) + SUMIF(Consumo!$C$3:$C$862,tabItens[[#This Row],[CÓDIGO]],Consumo!$P$3:$P$862) + SUMIF(Consumo!$C$3:$C$862,tabItens[[#This Row],[CÓDIGO]],Consumo!$Q$3:$Q$862)</f>
        <v>0</v>
      </c>
      <c r="AT386" s="401">
        <f>SUMIF(Consumo!$C$3:$C$862,tabItens[[#This Row],[CÓDIGO]],Consumo!$Z$3:$Z$862)</f>
        <v>298</v>
      </c>
      <c r="AU386" s="402">
        <f>SUMIF(Consumo!$C$3:$C$862,tabItens[[#This Row],[CÓDIGO]],Consumo!$AA$3:$AA$862)</f>
        <v>69</v>
      </c>
      <c r="AV386" s="403">
        <f>SUMIF(Consumo!$C$3:$C$862,tabItens[[#This Row],[CÓDIGO]],Consumo!$Y$3:$Y$862)</f>
        <v>24.833333333333332</v>
      </c>
      <c r="AW386" s="380">
        <f>tabItens[[#This Row],[QTDE ATUAL]] + tabItens[[#This Row],[RC QTDE]] + tabItens[[#This Row],[AF SALDO]] + tabItens[[#This Row],[Recentes]]</f>
        <v>400</v>
      </c>
      <c r="AX386" s="404">
        <v>46</v>
      </c>
      <c r="AY386" s="404">
        <v>4</v>
      </c>
      <c r="AZ386" s="404">
        <f>IF(ISBLANK(tabItens[[#This Row],[CÓDIGO]]),"",tabItens[[#This Row],[PontoMês]] * (AZ$2+tabItens[[#This Row],[PontoQtM]]))</f>
        <v>184</v>
      </c>
      <c r="BA386" s="403">
        <f>tabItens[[#This Row],[PontoPed]] - tabItens[[#This Row],[Saldo]] + (1/10)</f>
        <v>-215.9</v>
      </c>
      <c r="BB386" s="403">
        <f xml:space="preserve"> tabItens[[#This Row],[PontoMês]] * BB$2 - tabItens[[#This Row],[QTDE ATUAL]] - (1/10)</f>
        <v>45.9</v>
      </c>
      <c r="BC386" s="335">
        <f>IF( tabItens[[#This Row],[PontoPed]]&gt;0, IF(tabItens[[#This Row],[PontoPed]]&lt;1, 1, IF( tabItens[[#This Row],[Saldo]]&gt;tabItens[[#This Row],[PontoPed]], 0, (tabItens[[#This Row],[PontoPed]]-tabItens[[#This Row],[Saldo]])/tabItens[[#This Row],[PontoPed]] ) ), 0 )</f>
        <v>0</v>
      </c>
      <c r="BD386" s="405">
        <f>ROUNDDOWN(IF( OR( AND(tabItens[[#This Row],[PontoPed]]&lt;tabItens[[#This Row],[Saldo]],tabItens[[#This Row],[Saldo]]&gt;0), tabItens[[#This Row],[PontoPed]]=0), 99, IF(AND(tabItens[[#This Row],[Saldo]]=0,tabItens[[#This Row],[PontoPed]]&gt;0), 0, (1-tabItens[[#This Row],[PctAb]])*10 ) ),0)</f>
        <v>99</v>
      </c>
      <c r="BE386" s="406">
        <f>MAX(ROUNDDOWN( IF(tabItens[[#This Row],[Abaixo]] &gt; 0,   tabItens[[#This Row],[Abaixo]] + (tabItens[[#This Row],[PontoMês]] * IF( OR( ISBLANK(tabItens[[#This Row],[ATA Nº/ANO]]), tabItens[[#This Row],[ATA Nº/ANO]] = ""),BE$2,BE$1)),0),0),0)</f>
        <v>0</v>
      </c>
      <c r="BF38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6" s="338">
        <f>SUMIF(Consumo!$C$3:$C$862,tabItens[[#This Row],[CÓDIGO]],Consumo!$E$3:$E$862)</f>
        <v>52</v>
      </c>
      <c r="BH386" s="339">
        <f>IF(AND(tabItens[[#This Row],[Pend]] &gt; 0,tabItens[[#This Row],[Consumo]] &lt;&gt; 0), tabItens[[#This Row],[Pend]] / tabItens[[#This Row],[Consumo]], 0 )</f>
        <v>0.17449664429530201</v>
      </c>
      <c r="BI386" s="338"/>
      <c r="BJ386" s="407"/>
      <c r="BK386" s="408" t="s">
        <v>2086</v>
      </c>
    </row>
    <row r="387" spans="1:63" x14ac:dyDescent="0.3">
      <c r="A387" s="375">
        <v>29296</v>
      </c>
      <c r="B387" s="376" t="s">
        <v>1238</v>
      </c>
      <c r="C387" s="377" t="s">
        <v>267</v>
      </c>
      <c r="D387" s="378">
        <v>7.09</v>
      </c>
      <c r="E387" s="305"/>
      <c r="F387" s="379"/>
      <c r="G387" s="379" t="s">
        <v>889</v>
      </c>
      <c r="H387" s="380">
        <v>288</v>
      </c>
      <c r="I387" s="307">
        <v>103003</v>
      </c>
      <c r="J387" s="308">
        <v>7.09</v>
      </c>
      <c r="K387" s="381">
        <v>165</v>
      </c>
      <c r="L387" s="382">
        <f>IF(tabItens[[#This Row],[Média]] &gt; 0, tabItens[[#This Row],[QTDE ATUAL]] / tabItens[[#This Row],[Média]],999.9)</f>
        <v>15.428571428571427</v>
      </c>
      <c r="M387" s="383">
        <v>0</v>
      </c>
      <c r="N387" s="384">
        <f>tabItens[[#This Row],[VALOR UNIT.]] * tabItens[[#This Row],[LC]]</f>
        <v>0</v>
      </c>
      <c r="O387" s="385" t="s">
        <v>2116</v>
      </c>
      <c r="P387" s="386"/>
      <c r="Q387" s="387"/>
      <c r="R387" s="312"/>
      <c r="S387" s="388"/>
      <c r="T387" s="389">
        <f>ROUNDDOWN(IFERROR(tabItens[[#This Row],[ATA DT.VALID.]] - $D$1,0) / 30,0)</f>
        <v>-1474</v>
      </c>
      <c r="U387" s="302" t="s">
        <v>956</v>
      </c>
      <c r="V387" s="318">
        <v>1</v>
      </c>
      <c r="W387" s="390" t="s">
        <v>2073</v>
      </c>
      <c r="X387" s="391">
        <v>72</v>
      </c>
      <c r="Y387" s="392">
        <v>7</v>
      </c>
      <c r="Z387" s="393"/>
      <c r="AA387" s="394"/>
      <c r="AB387" s="395"/>
      <c r="AC387" s="395"/>
      <c r="AD387" s="394"/>
      <c r="AE387" s="395"/>
      <c r="AF387" s="317"/>
      <c r="AG387" s="396" t="s">
        <v>2072</v>
      </c>
      <c r="AH387" s="397"/>
      <c r="AI387" s="317">
        <v>74</v>
      </c>
      <c r="AJ387" s="397">
        <v>44358</v>
      </c>
      <c r="AK387" s="326" t="s">
        <v>889</v>
      </c>
      <c r="AL387" s="326">
        <v>44333</v>
      </c>
      <c r="AM387" s="316"/>
      <c r="AN387" s="305"/>
      <c r="AO387" s="327" t="str">
        <f>_xlfn.IFNA(IF(VLOOKUP(tabItens[[#This Row],[CÓDIGO]],tabExcluirDoEstoque[#Data],1,FALSE),"sim",""),"")</f>
        <v/>
      </c>
      <c r="AP387" s="398" t="str">
        <f ca="1">IF(OR(ISBLANK(tabItens[[#This Row],[ATA DT.VALID.]]),tabItens[[#This Row],[ATA DT.VALID.]]="",tabItens[[#This Row],[ATA DT.VALID.]]=" "),"",IF(TYPE(tabItens[[#This Row],[ATA DT.VALID.]])=1,ROUNDUP((tabItens[[#This Row],[ATA DT.VALID.]]-TODAY())/7,0),""))</f>
        <v/>
      </c>
      <c r="AQ387" s="399">
        <v>0</v>
      </c>
      <c r="AR387" s="400" t="str">
        <f>IF(ISBLANK(tabItens[[#This Row],[CÓDIGO]]),"",IFERROR(VLOOKUP(tabItens[[#This Row],[CÓDIGO]],Consumo!$C$2:$AC$862,26,FALSE),0))</f>
        <v>09.2023</v>
      </c>
      <c r="AS387" s="401">
        <f>SUMIF(Consumo!$C$3:$C$862,tabItens[[#This Row],[CÓDIGO]],Consumo!$N$3:$N$862) + SUMIF(Consumo!$C$3:$C$862,tabItens[[#This Row],[CÓDIGO]],Consumo!$O$3:$O$862) + SUMIF(Consumo!$C$3:$C$862,tabItens[[#This Row],[CÓDIGO]],Consumo!$P$3:$P$862) + SUMIF(Consumo!$C$3:$C$862,tabItens[[#This Row],[CÓDIGO]],Consumo!$Q$3:$Q$862)</f>
        <v>50</v>
      </c>
      <c r="AT387" s="401">
        <f>SUMIF(Consumo!$C$3:$C$862,tabItens[[#This Row],[CÓDIGO]],Consumo!$Z$3:$Z$862)</f>
        <v>224</v>
      </c>
      <c r="AU387" s="402">
        <f>SUMIF(Consumo!$C$3:$C$862,tabItens[[#This Row],[CÓDIGO]],Consumo!$AA$3:$AA$862)</f>
        <v>41</v>
      </c>
      <c r="AV387" s="403">
        <f>SUMIF(Consumo!$C$3:$C$862,tabItens[[#This Row],[CÓDIGO]],Consumo!$Y$3:$Y$862)</f>
        <v>18.666666666666668</v>
      </c>
      <c r="AW387" s="380">
        <f>tabItens[[#This Row],[QTDE ATUAL]] + tabItens[[#This Row],[RC QTDE]] + tabItens[[#This Row],[AF SALDO]] + tabItens[[#This Row],[Recentes]]</f>
        <v>288</v>
      </c>
      <c r="AX387" s="404">
        <v>16</v>
      </c>
      <c r="AY387" s="404">
        <v>4</v>
      </c>
      <c r="AZ387" s="404">
        <f>IF(ISBLANK(tabItens[[#This Row],[CÓDIGO]]),"",tabItens[[#This Row],[PontoMês]] * (AZ$2+tabItens[[#This Row],[PontoQtM]]))</f>
        <v>64</v>
      </c>
      <c r="BA387" s="403">
        <f>tabItens[[#This Row],[PontoPed]] - tabItens[[#This Row],[Saldo]] + (1/10)</f>
        <v>-223.9</v>
      </c>
      <c r="BB387" s="403">
        <f xml:space="preserve"> tabItens[[#This Row],[PontoMês]] * BB$2 - tabItens[[#This Row],[QTDE ATUAL]] - (1/10)</f>
        <v>-272.10000000000002</v>
      </c>
      <c r="BC387" s="335">
        <f>IF( tabItens[[#This Row],[PontoPed]]&gt;0, IF(tabItens[[#This Row],[PontoPed]]&lt;1, 1, IF( tabItens[[#This Row],[Saldo]]&gt;tabItens[[#This Row],[PontoPed]], 0, (tabItens[[#This Row],[PontoPed]]-tabItens[[#This Row],[Saldo]])/tabItens[[#This Row],[PontoPed]] ) ), 0 )</f>
        <v>0</v>
      </c>
      <c r="BD387" s="405">
        <f>ROUNDDOWN(IF( OR( AND(tabItens[[#This Row],[PontoPed]]&lt;tabItens[[#This Row],[Saldo]],tabItens[[#This Row],[Saldo]]&gt;0), tabItens[[#This Row],[PontoPed]]=0), 99, IF(AND(tabItens[[#This Row],[Saldo]]=0,tabItens[[#This Row],[PontoPed]]&gt;0), 0, (1-tabItens[[#This Row],[PctAb]])*10 ) ),0)</f>
        <v>99</v>
      </c>
      <c r="BE387" s="406">
        <f>MAX(ROUNDDOWN( IF(tabItens[[#This Row],[Abaixo]] &gt; 0,   tabItens[[#This Row],[Abaixo]] + (tabItens[[#This Row],[PontoMês]] * IF( OR( ISBLANK(tabItens[[#This Row],[ATA Nº/ANO]]), tabItens[[#This Row],[ATA Nº/ANO]] = ""),BE$2,BE$1)),0),0),0)</f>
        <v>0</v>
      </c>
      <c r="BF38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7" s="338">
        <f>SUMIF(Consumo!$C$3:$C$862,tabItens[[#This Row],[CÓDIGO]],Consumo!$E$3:$E$862)</f>
        <v>0</v>
      </c>
      <c r="BH387" s="339">
        <f>IF(AND(tabItens[[#This Row],[Pend]] &gt; 0,tabItens[[#This Row],[Consumo]] &lt;&gt; 0), tabItens[[#This Row],[Pend]] / tabItens[[#This Row],[Consumo]], 0 )</f>
        <v>0</v>
      </c>
      <c r="BI387" s="338"/>
      <c r="BJ387" s="407"/>
      <c r="BK387" s="408" t="s">
        <v>2086</v>
      </c>
    </row>
    <row r="388" spans="1:63" x14ac:dyDescent="0.3">
      <c r="A388" s="375">
        <v>107483</v>
      </c>
      <c r="B388" s="376" t="s">
        <v>1652</v>
      </c>
      <c r="C388" s="377" t="s">
        <v>31</v>
      </c>
      <c r="D388" s="378">
        <v>15.3</v>
      </c>
      <c r="E388" s="305"/>
      <c r="F388" s="379"/>
      <c r="G388" s="379" t="s">
        <v>889</v>
      </c>
      <c r="H388" s="380">
        <v>51</v>
      </c>
      <c r="I388" s="307">
        <v>103003</v>
      </c>
      <c r="J388" s="308">
        <v>15.3</v>
      </c>
      <c r="K388" s="381">
        <v>227</v>
      </c>
      <c r="L388" s="382">
        <f>IF(tabItens[[#This Row],[Média]] &gt; 0, tabItens[[#This Row],[QTDE ATUAL]] / tabItens[[#This Row],[Média]],999.9)</f>
        <v>2.448</v>
      </c>
      <c r="M388" s="383">
        <v>0</v>
      </c>
      <c r="N388" s="384">
        <f>tabItens[[#This Row],[VALOR UNIT.]] * tabItens[[#This Row],[LC]]</f>
        <v>0</v>
      </c>
      <c r="O388" s="385" t="s">
        <v>2120</v>
      </c>
      <c r="P388" s="386"/>
      <c r="Q388" s="387"/>
      <c r="R388" s="312"/>
      <c r="S388" s="388"/>
      <c r="T388" s="389">
        <f>ROUNDDOWN(IFERROR(tabItens[[#This Row],[ATA DT.VALID.]] - $D$1,0) / 30,0)</f>
        <v>-1474</v>
      </c>
      <c r="U388" s="302" t="s">
        <v>1653</v>
      </c>
      <c r="V388" s="318">
        <v>1</v>
      </c>
      <c r="W388" s="390" t="s">
        <v>2077</v>
      </c>
      <c r="X388" s="391">
        <v>55</v>
      </c>
      <c r="Y388" s="392">
        <v>4</v>
      </c>
      <c r="Z388" s="393">
        <v>10090</v>
      </c>
      <c r="AA388" s="394">
        <v>2023</v>
      </c>
      <c r="AB388" s="395">
        <v>200</v>
      </c>
      <c r="AC388" s="395"/>
      <c r="AD388" s="394"/>
      <c r="AE388" s="395"/>
      <c r="AF388" s="317"/>
      <c r="AG388" s="396" t="s">
        <v>2072</v>
      </c>
      <c r="AH388" s="397"/>
      <c r="AI388" s="317">
        <v>90</v>
      </c>
      <c r="AJ388" s="397">
        <v>44874</v>
      </c>
      <c r="AK388" s="326">
        <v>39679</v>
      </c>
      <c r="AL388" s="326">
        <v>44845</v>
      </c>
      <c r="AM388" s="316"/>
      <c r="AN388" s="305"/>
      <c r="AO388" s="327" t="str">
        <f>_xlfn.IFNA(IF(VLOOKUP(tabItens[[#This Row],[CÓDIGO]],tabExcluirDoEstoque[#Data],1,FALSE),"sim",""),"")</f>
        <v/>
      </c>
      <c r="AP388" s="398" t="str">
        <f ca="1">IF(OR(ISBLANK(tabItens[[#This Row],[ATA DT.VALID.]]),tabItens[[#This Row],[ATA DT.VALID.]]="",tabItens[[#This Row],[ATA DT.VALID.]]=" "),"",IF(TYPE(tabItens[[#This Row],[ATA DT.VALID.]])=1,ROUNDUP((tabItens[[#This Row],[ATA DT.VALID.]]-TODAY())/7,0),""))</f>
        <v/>
      </c>
      <c r="AQ388" s="399">
        <v>0</v>
      </c>
      <c r="AR388" s="400" t="str">
        <f>IF(ISBLANK(tabItens[[#This Row],[CÓDIGO]]),"",IFERROR(VLOOKUP(tabItens[[#This Row],[CÓDIGO]],Consumo!$C$2:$AC$862,26,FALSE),0))</f>
        <v>08.2023</v>
      </c>
      <c r="AS388" s="401">
        <f>SUMIF(Consumo!$C$3:$C$862,tabItens[[#This Row],[CÓDIGO]],Consumo!$N$3:$N$862) + SUMIF(Consumo!$C$3:$C$862,tabItens[[#This Row],[CÓDIGO]],Consumo!$O$3:$O$862) + SUMIF(Consumo!$C$3:$C$862,tabItens[[#This Row],[CÓDIGO]],Consumo!$P$3:$P$862) + SUMIF(Consumo!$C$3:$C$862,tabItens[[#This Row],[CÓDIGO]],Consumo!$Q$3:$Q$862)</f>
        <v>152</v>
      </c>
      <c r="AT388" s="401">
        <f>SUMIF(Consumo!$C$3:$C$862,tabItens[[#This Row],[CÓDIGO]],Consumo!$Z$3:$Z$862)</f>
        <v>268</v>
      </c>
      <c r="AU388" s="402">
        <f>SUMIF(Consumo!$C$3:$C$862,tabItens[[#This Row],[CÓDIGO]],Consumo!$AA$3:$AA$862)</f>
        <v>92</v>
      </c>
      <c r="AV388" s="403">
        <f>SUMIF(Consumo!$C$3:$C$862,tabItens[[#This Row],[CÓDIGO]],Consumo!$Y$3:$Y$862)</f>
        <v>20.833333333333332</v>
      </c>
      <c r="AW388" s="380">
        <f>tabItens[[#This Row],[QTDE ATUAL]] + tabItens[[#This Row],[RC QTDE]] + tabItens[[#This Row],[AF SALDO]] + tabItens[[#This Row],[Recentes]]</f>
        <v>251</v>
      </c>
      <c r="AX388" s="404">
        <v>19</v>
      </c>
      <c r="AY388" s="404">
        <v>4</v>
      </c>
      <c r="AZ388" s="404">
        <f>IF(ISBLANK(tabItens[[#This Row],[CÓDIGO]]),"",tabItens[[#This Row],[PontoMês]] * (AZ$2+tabItens[[#This Row],[PontoQtM]]))</f>
        <v>76</v>
      </c>
      <c r="BA388" s="403">
        <f>tabItens[[#This Row],[PontoPed]] - tabItens[[#This Row],[Saldo]] + (1/10)</f>
        <v>-174.9</v>
      </c>
      <c r="BB388" s="403">
        <f xml:space="preserve"> tabItens[[#This Row],[PontoMês]] * BB$2 - tabItens[[#This Row],[QTDE ATUAL]] - (1/10)</f>
        <v>-32.1</v>
      </c>
      <c r="BC388" s="335">
        <f>IF( tabItens[[#This Row],[PontoPed]]&gt;0, IF(tabItens[[#This Row],[PontoPed]]&lt;1, 1, IF( tabItens[[#This Row],[Saldo]]&gt;tabItens[[#This Row],[PontoPed]], 0, (tabItens[[#This Row],[PontoPed]]-tabItens[[#This Row],[Saldo]])/tabItens[[#This Row],[PontoPed]] ) ), 0 )</f>
        <v>0</v>
      </c>
      <c r="BD388" s="405">
        <f>ROUNDDOWN(IF( OR( AND(tabItens[[#This Row],[PontoPed]]&lt;tabItens[[#This Row],[Saldo]],tabItens[[#This Row],[Saldo]]&gt;0), tabItens[[#This Row],[PontoPed]]=0), 99, IF(AND(tabItens[[#This Row],[Saldo]]=0,tabItens[[#This Row],[PontoPed]]&gt;0), 0, (1-tabItens[[#This Row],[PctAb]])*10 ) ),0)</f>
        <v>99</v>
      </c>
      <c r="BE388" s="406">
        <f>MAX(ROUNDDOWN( IF(tabItens[[#This Row],[Abaixo]] &gt; 0,   tabItens[[#This Row],[Abaixo]] + (tabItens[[#This Row],[PontoMês]] * IF( OR( ISBLANK(tabItens[[#This Row],[ATA Nº/ANO]]), tabItens[[#This Row],[ATA Nº/ANO]] = ""),BE$2,BE$1)),0),0),0)</f>
        <v>0</v>
      </c>
      <c r="BF38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8" s="338">
        <f>SUMIF(Consumo!$C$3:$C$862,tabItens[[#This Row],[CÓDIGO]],Consumo!$E$3:$E$862)</f>
        <v>0</v>
      </c>
      <c r="BH388" s="339">
        <f>IF(AND(tabItens[[#This Row],[Pend]] &gt; 0,tabItens[[#This Row],[Consumo]] &lt;&gt; 0), tabItens[[#This Row],[Pend]] / tabItens[[#This Row],[Consumo]], 0 )</f>
        <v>0</v>
      </c>
      <c r="BI388" s="338"/>
      <c r="BJ388" s="407"/>
      <c r="BK388" s="408" t="s">
        <v>2086</v>
      </c>
    </row>
    <row r="389" spans="1:63" x14ac:dyDescent="0.3">
      <c r="A389" s="375">
        <v>107889</v>
      </c>
      <c r="B389" s="376" t="s">
        <v>1656</v>
      </c>
      <c r="C389" s="377" t="s">
        <v>31</v>
      </c>
      <c r="D389" s="378">
        <v>28.5</v>
      </c>
      <c r="E389" s="305"/>
      <c r="F389" s="379"/>
      <c r="G389" s="379" t="s">
        <v>889</v>
      </c>
      <c r="H389" s="380">
        <v>0</v>
      </c>
      <c r="I389" s="307">
        <v>103003</v>
      </c>
      <c r="J389" s="308">
        <v>28.5</v>
      </c>
      <c r="K389" s="381">
        <v>191</v>
      </c>
      <c r="L389" s="382">
        <f>IF(tabItens[[#This Row],[Média]] &gt; 0, tabItens[[#This Row],[QTDE ATUAL]] / tabItens[[#This Row],[Média]],999.9)</f>
        <v>0</v>
      </c>
      <c r="M389" s="383">
        <v>0</v>
      </c>
      <c r="N389" s="384">
        <f>tabItens[[#This Row],[VALOR UNIT.]] * tabItens[[#This Row],[LC]]</f>
        <v>0</v>
      </c>
      <c r="O389" s="385" t="s">
        <v>2120</v>
      </c>
      <c r="P389" s="386"/>
      <c r="Q389" s="387"/>
      <c r="R389" s="312"/>
      <c r="S389" s="388"/>
      <c r="T389" s="389">
        <f>ROUNDDOWN(IFERROR(tabItens[[#This Row],[ATA DT.VALID.]] - $D$1,0) / 30,0)</f>
        <v>-1474</v>
      </c>
      <c r="U389" s="302" t="s">
        <v>1290</v>
      </c>
      <c r="V389" s="318">
        <v>1</v>
      </c>
      <c r="W389" s="390" t="s">
        <v>2077</v>
      </c>
      <c r="X389" s="391">
        <v>55</v>
      </c>
      <c r="Y389" s="392">
        <v>9</v>
      </c>
      <c r="Z389" s="393"/>
      <c r="AA389" s="394"/>
      <c r="AB389" s="395"/>
      <c r="AC389" s="395">
        <v>9649</v>
      </c>
      <c r="AD389" s="394">
        <v>2023</v>
      </c>
      <c r="AE389" s="395">
        <v>0</v>
      </c>
      <c r="AF389" s="317">
        <v>200</v>
      </c>
      <c r="AG389" s="396" t="s">
        <v>2055</v>
      </c>
      <c r="AH389" s="397">
        <v>45162</v>
      </c>
      <c r="AI389" s="317">
        <v>70</v>
      </c>
      <c r="AJ389" s="397">
        <v>44874</v>
      </c>
      <c r="AK389" s="326">
        <v>39709</v>
      </c>
      <c r="AL389" s="326">
        <v>45145</v>
      </c>
      <c r="AM389" s="316"/>
      <c r="AN389" s="305"/>
      <c r="AO389" s="327" t="str">
        <f>_xlfn.IFNA(IF(VLOOKUP(tabItens[[#This Row],[CÓDIGO]],tabExcluirDoEstoque[#Data],1,FALSE),"sim",""),"")</f>
        <v/>
      </c>
      <c r="AP389" s="398" t="str">
        <f ca="1">IF(OR(ISBLANK(tabItens[[#This Row],[ATA DT.VALID.]]),tabItens[[#This Row],[ATA DT.VALID.]]="",tabItens[[#This Row],[ATA DT.VALID.]]=" "),"",IF(TYPE(tabItens[[#This Row],[ATA DT.VALID.]])=1,ROUNDUP((tabItens[[#This Row],[ATA DT.VALID.]]-TODAY())/7,0),""))</f>
        <v/>
      </c>
      <c r="AQ389" s="399">
        <v>0</v>
      </c>
      <c r="AR389" s="400" t="str">
        <f>IF(ISBLANK(tabItens[[#This Row],[CÓDIGO]]),"",IFERROR(VLOOKUP(tabItens[[#This Row],[CÓDIGO]],Consumo!$C$2:$AC$862,26,FALSE),0))</f>
        <v>07.2023</v>
      </c>
      <c r="AS389" s="401">
        <f>SUMIF(Consumo!$C$3:$C$862,tabItens[[#This Row],[CÓDIGO]],Consumo!$N$3:$N$862) + SUMIF(Consumo!$C$3:$C$862,tabItens[[#This Row],[CÓDIGO]],Consumo!$O$3:$O$862) + SUMIF(Consumo!$C$3:$C$862,tabItens[[#This Row],[CÓDIGO]],Consumo!$P$3:$P$862) + SUMIF(Consumo!$C$3:$C$862,tabItens[[#This Row],[CÓDIGO]],Consumo!$Q$3:$Q$862)</f>
        <v>39</v>
      </c>
      <c r="AT389" s="401">
        <f>SUMIF(Consumo!$C$3:$C$862,tabItens[[#This Row],[CÓDIGO]],Consumo!$Z$3:$Z$862)</f>
        <v>227</v>
      </c>
      <c r="AU389" s="402">
        <f>SUMIF(Consumo!$C$3:$C$862,tabItens[[#This Row],[CÓDIGO]],Consumo!$AA$3:$AA$862)</f>
        <v>57</v>
      </c>
      <c r="AV389" s="403">
        <f>SUMIF(Consumo!$C$3:$C$862,tabItens[[#This Row],[CÓDIGO]],Consumo!$Y$3:$Y$862)</f>
        <v>18.75</v>
      </c>
      <c r="AW389" s="380">
        <f>tabItens[[#This Row],[QTDE ATUAL]] + tabItens[[#This Row],[RC QTDE]] + tabItens[[#This Row],[AF SALDO]] + tabItens[[#This Row],[Recentes]]</f>
        <v>0</v>
      </c>
      <c r="AX389" s="404">
        <v>21</v>
      </c>
      <c r="AY389" s="404">
        <v>4</v>
      </c>
      <c r="AZ389" s="404">
        <f>IF(ISBLANK(tabItens[[#This Row],[CÓDIGO]]),"",tabItens[[#This Row],[PontoMês]] * (AZ$2+tabItens[[#This Row],[PontoQtM]]))</f>
        <v>84</v>
      </c>
      <c r="BA389" s="403">
        <f>tabItens[[#This Row],[PontoPed]] - tabItens[[#This Row],[Saldo]] + (1/10)</f>
        <v>84.1</v>
      </c>
      <c r="BB389" s="403">
        <f xml:space="preserve"> tabItens[[#This Row],[PontoMês]] * BB$2 - tabItens[[#This Row],[QTDE ATUAL]] - (1/10)</f>
        <v>20.9</v>
      </c>
      <c r="BC389" s="335">
        <f>IF( tabItens[[#This Row],[PontoPed]]&gt;0, IF(tabItens[[#This Row],[PontoPed]]&lt;1, 1, IF( tabItens[[#This Row],[Saldo]]&gt;tabItens[[#This Row],[PontoPed]], 0, (tabItens[[#This Row],[PontoPed]]-tabItens[[#This Row],[Saldo]])/tabItens[[#This Row],[PontoPed]] ) ), 0 )</f>
        <v>1</v>
      </c>
      <c r="BD389" s="405">
        <f>ROUNDDOWN(IF( OR( AND(tabItens[[#This Row],[PontoPed]]&lt;tabItens[[#This Row],[Saldo]],tabItens[[#This Row],[Saldo]]&gt;0), tabItens[[#This Row],[PontoPed]]=0), 99, IF(AND(tabItens[[#This Row],[Saldo]]=0,tabItens[[#This Row],[PontoPed]]&gt;0), 0, (1-tabItens[[#This Row],[PctAb]])*10 ) ),0)</f>
        <v>0</v>
      </c>
      <c r="BE389" s="406">
        <f>MAX(ROUNDDOWN( IF(tabItens[[#This Row],[Abaixo]] &gt; 0,   tabItens[[#This Row],[Abaixo]] + (tabItens[[#This Row],[PontoMês]] * IF( OR( ISBLANK(tabItens[[#This Row],[ATA Nº/ANO]]), tabItens[[#This Row],[ATA Nº/ANO]] = ""),BE$2,BE$1)),0),0),0)</f>
        <v>147</v>
      </c>
      <c r="BF38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9" s="338">
        <f>SUMIF(Consumo!$C$3:$C$862,tabItens[[#This Row],[CÓDIGO]],Consumo!$E$3:$E$862)</f>
        <v>19</v>
      </c>
      <c r="BH389" s="339">
        <f>IF(AND(tabItens[[#This Row],[Pend]] &gt; 0,tabItens[[#This Row],[Consumo]] &lt;&gt; 0), tabItens[[#This Row],[Pend]] / tabItens[[#This Row],[Consumo]], 0 )</f>
        <v>8.3700440528634359E-2</v>
      </c>
      <c r="BI389" s="338"/>
      <c r="BJ389" s="407"/>
      <c r="BK389" s="408" t="s">
        <v>2086</v>
      </c>
    </row>
    <row r="390" spans="1:63" x14ac:dyDescent="0.3">
      <c r="A390" s="375">
        <v>14831</v>
      </c>
      <c r="B390" s="376" t="s">
        <v>1075</v>
      </c>
      <c r="C390" s="377" t="s">
        <v>263</v>
      </c>
      <c r="D390" s="378">
        <v>1.69</v>
      </c>
      <c r="E390" s="305"/>
      <c r="F390" s="379"/>
      <c r="G390" s="379" t="s">
        <v>889</v>
      </c>
      <c r="H390" s="380">
        <v>380</v>
      </c>
      <c r="I390" s="307">
        <v>103003</v>
      </c>
      <c r="J390" s="308">
        <v>1.69</v>
      </c>
      <c r="K390" s="381">
        <v>266</v>
      </c>
      <c r="L390" s="382">
        <f>IF(tabItens[[#This Row],[Média]] &gt; 0, tabItens[[#This Row],[QTDE ATUAL]] / tabItens[[#This Row],[Média]],999.9)</f>
        <v>17.272727272727273</v>
      </c>
      <c r="M390" s="383">
        <v>0</v>
      </c>
      <c r="N390" s="384">
        <f>tabItens[[#This Row],[VALOR UNIT.]] * tabItens[[#This Row],[LC]]</f>
        <v>0</v>
      </c>
      <c r="O390" s="385" t="s">
        <v>2120</v>
      </c>
      <c r="P390" s="386"/>
      <c r="Q390" s="387"/>
      <c r="R390" s="312"/>
      <c r="S390" s="388"/>
      <c r="T390" s="389">
        <f>ROUNDDOWN(IFERROR(tabItens[[#This Row],[ATA DT.VALID.]] - $D$1,0) / 30,0)</f>
        <v>-1474</v>
      </c>
      <c r="U390" s="302" t="s">
        <v>1076</v>
      </c>
      <c r="V390" s="318">
        <v>1</v>
      </c>
      <c r="W390" s="390" t="s">
        <v>2077</v>
      </c>
      <c r="X390" s="391">
        <v>55</v>
      </c>
      <c r="Y390" s="392">
        <v>27</v>
      </c>
      <c r="Z390" s="393"/>
      <c r="AA390" s="394"/>
      <c r="AB390" s="395"/>
      <c r="AC390" s="395"/>
      <c r="AD390" s="394"/>
      <c r="AE390" s="395"/>
      <c r="AF390" s="317"/>
      <c r="AG390" s="396" t="s">
        <v>2072</v>
      </c>
      <c r="AH390" s="397"/>
      <c r="AI390" s="317">
        <v>96</v>
      </c>
      <c r="AJ390" s="397">
        <v>44544</v>
      </c>
      <c r="AK390" s="326" t="s">
        <v>889</v>
      </c>
      <c r="AL390" s="326">
        <v>44470</v>
      </c>
      <c r="AM390" s="316"/>
      <c r="AN390" s="305"/>
      <c r="AO390" s="327" t="str">
        <f>_xlfn.IFNA(IF(VLOOKUP(tabItens[[#This Row],[CÓDIGO]],tabExcluirDoEstoque[#Data],1,FALSE),"sim",""),"")</f>
        <v/>
      </c>
      <c r="AP390" s="398" t="str">
        <f ca="1">IF(OR(ISBLANK(tabItens[[#This Row],[ATA DT.VALID.]]),tabItens[[#This Row],[ATA DT.VALID.]]="",tabItens[[#This Row],[ATA DT.VALID.]]=" "),"",IF(TYPE(tabItens[[#This Row],[ATA DT.VALID.]])=1,ROUNDUP((tabItens[[#This Row],[ATA DT.VALID.]]-TODAY())/7,0),""))</f>
        <v/>
      </c>
      <c r="AQ390" s="399">
        <v>0</v>
      </c>
      <c r="AR390" s="400" t="str">
        <f>IF(ISBLANK(tabItens[[#This Row],[CÓDIGO]]),"",IFERROR(VLOOKUP(tabItens[[#This Row],[CÓDIGO]],Consumo!$C$2:$AC$862,26,FALSE),0))</f>
        <v>09.2023</v>
      </c>
      <c r="AS390" s="401">
        <f>SUMIF(Consumo!$C$3:$C$862,tabItens[[#This Row],[CÓDIGO]],Consumo!$N$3:$N$862) + SUMIF(Consumo!$C$3:$C$862,tabItens[[#This Row],[CÓDIGO]],Consumo!$O$3:$O$862) + SUMIF(Consumo!$C$3:$C$862,tabItens[[#This Row],[CÓDIGO]],Consumo!$P$3:$P$862) + SUMIF(Consumo!$C$3:$C$862,tabItens[[#This Row],[CÓDIGO]],Consumo!$Q$3:$Q$862)</f>
        <v>65</v>
      </c>
      <c r="AT390" s="401">
        <f>SUMIF(Consumo!$C$3:$C$862,tabItens[[#This Row],[CÓDIGO]],Consumo!$Z$3:$Z$862)</f>
        <v>286</v>
      </c>
      <c r="AU390" s="402">
        <f>SUMIF(Consumo!$C$3:$C$862,tabItens[[#This Row],[CÓDIGO]],Consumo!$AA$3:$AA$862)</f>
        <v>109</v>
      </c>
      <c r="AV390" s="403">
        <f>SUMIF(Consumo!$C$3:$C$862,tabItens[[#This Row],[CÓDIGO]],Consumo!$Y$3:$Y$862)</f>
        <v>22</v>
      </c>
      <c r="AW390" s="380">
        <f>tabItens[[#This Row],[QTDE ATUAL]] + tabItens[[#This Row],[RC QTDE]] + tabItens[[#This Row],[AF SALDO]] + tabItens[[#This Row],[Recentes]]</f>
        <v>380</v>
      </c>
      <c r="AX390" s="404">
        <v>50</v>
      </c>
      <c r="AY390" s="404">
        <v>4</v>
      </c>
      <c r="AZ390" s="404">
        <f>IF(ISBLANK(tabItens[[#This Row],[CÓDIGO]]),"",tabItens[[#This Row],[PontoMês]] * (AZ$2+tabItens[[#This Row],[PontoQtM]]))</f>
        <v>200</v>
      </c>
      <c r="BA390" s="403">
        <f>tabItens[[#This Row],[PontoPed]] - tabItens[[#This Row],[Saldo]] + (1/10)</f>
        <v>-179.9</v>
      </c>
      <c r="BB390" s="403">
        <f xml:space="preserve"> tabItens[[#This Row],[PontoMês]] * BB$2 - tabItens[[#This Row],[QTDE ATUAL]] - (1/10)</f>
        <v>-330.1</v>
      </c>
      <c r="BC390" s="335">
        <f>IF( tabItens[[#This Row],[PontoPed]]&gt;0, IF(tabItens[[#This Row],[PontoPed]]&lt;1, 1, IF( tabItens[[#This Row],[Saldo]]&gt;tabItens[[#This Row],[PontoPed]], 0, (tabItens[[#This Row],[PontoPed]]-tabItens[[#This Row],[Saldo]])/tabItens[[#This Row],[PontoPed]] ) ), 0 )</f>
        <v>0</v>
      </c>
      <c r="BD390" s="405">
        <f>ROUNDDOWN(IF( OR( AND(tabItens[[#This Row],[PontoPed]]&lt;tabItens[[#This Row],[Saldo]],tabItens[[#This Row],[Saldo]]&gt;0), tabItens[[#This Row],[PontoPed]]=0), 99, IF(AND(tabItens[[#This Row],[Saldo]]=0,tabItens[[#This Row],[PontoPed]]&gt;0), 0, (1-tabItens[[#This Row],[PctAb]])*10 ) ),0)</f>
        <v>99</v>
      </c>
      <c r="BE390" s="406">
        <f>MAX(ROUNDDOWN( IF(tabItens[[#This Row],[Abaixo]] &gt; 0,   tabItens[[#This Row],[Abaixo]] + (tabItens[[#This Row],[PontoMês]] * IF( OR( ISBLANK(tabItens[[#This Row],[ATA Nº/ANO]]), tabItens[[#This Row],[ATA Nº/ANO]] = ""),BE$2,BE$1)),0),0),0)</f>
        <v>0</v>
      </c>
      <c r="BF39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0" s="338">
        <f>SUMIF(Consumo!$C$3:$C$862,tabItens[[#This Row],[CÓDIGO]],Consumo!$E$3:$E$862)</f>
        <v>0</v>
      </c>
      <c r="BH390" s="339">
        <f>IF(AND(tabItens[[#This Row],[Pend]] &gt; 0,tabItens[[#This Row],[Consumo]] &lt;&gt; 0), tabItens[[#This Row],[Pend]] / tabItens[[#This Row],[Consumo]], 0 )</f>
        <v>0</v>
      </c>
      <c r="BI390" s="338"/>
      <c r="BJ390" s="407"/>
      <c r="BK390" s="408" t="s">
        <v>2086</v>
      </c>
    </row>
    <row r="391" spans="1:63" x14ac:dyDescent="0.3">
      <c r="A391" s="375">
        <v>112154</v>
      </c>
      <c r="B391" s="376" t="s">
        <v>1686</v>
      </c>
      <c r="C391" s="377" t="s">
        <v>31</v>
      </c>
      <c r="D391" s="378">
        <v>6.05</v>
      </c>
      <c r="E391" s="305"/>
      <c r="F391" s="379"/>
      <c r="G391" s="379" t="s">
        <v>889</v>
      </c>
      <c r="H391" s="380">
        <v>0</v>
      </c>
      <c r="I391" s="307">
        <v>103003</v>
      </c>
      <c r="J391" s="308">
        <v>6.05</v>
      </c>
      <c r="K391" s="381">
        <v>359</v>
      </c>
      <c r="L391" s="382">
        <f>IF(tabItens[[#This Row],[Média]] &gt; 0, tabItens[[#This Row],[QTDE ATUAL]] / tabItens[[#This Row],[Média]],999.9)</f>
        <v>0</v>
      </c>
      <c r="M391" s="383">
        <v>0</v>
      </c>
      <c r="N391" s="384">
        <f>tabItens[[#This Row],[VALOR UNIT.]] * tabItens[[#This Row],[LC]]</f>
        <v>0</v>
      </c>
      <c r="O391" s="385" t="s">
        <v>2120</v>
      </c>
      <c r="P391" s="386"/>
      <c r="Q391" s="387"/>
      <c r="R391" s="312"/>
      <c r="S391" s="388"/>
      <c r="T391" s="389">
        <f>ROUNDDOWN(IFERROR(tabItens[[#This Row],[ATA DT.VALID.]] - $D$1,0) / 30,0)</f>
        <v>-1474</v>
      </c>
      <c r="U391" s="302" t="s">
        <v>1687</v>
      </c>
      <c r="V391" s="318">
        <v>1</v>
      </c>
      <c r="W391" s="390" t="s">
        <v>2077</v>
      </c>
      <c r="X391" s="391">
        <v>55</v>
      </c>
      <c r="Y391" s="392">
        <v>37</v>
      </c>
      <c r="Z391" s="393">
        <v>10083</v>
      </c>
      <c r="AA391" s="394">
        <v>2023</v>
      </c>
      <c r="AB391" s="395">
        <v>600</v>
      </c>
      <c r="AC391" s="395"/>
      <c r="AD391" s="394"/>
      <c r="AE391" s="395"/>
      <c r="AF391" s="317"/>
      <c r="AG391" s="396" t="s">
        <v>2072</v>
      </c>
      <c r="AH391" s="397"/>
      <c r="AI391" s="317">
        <v>140</v>
      </c>
      <c r="AJ391" s="397">
        <v>44544</v>
      </c>
      <c r="AK391" s="326">
        <v>40045</v>
      </c>
      <c r="AL391" s="326">
        <v>45195</v>
      </c>
      <c r="AM391" s="316"/>
      <c r="AN391" s="305"/>
      <c r="AO391" s="327" t="str">
        <f>_xlfn.IFNA(IF(VLOOKUP(tabItens[[#This Row],[CÓDIGO]],tabExcluirDoEstoque[#Data],1,FALSE),"sim",""),"")</f>
        <v/>
      </c>
      <c r="AP391" s="398" t="str">
        <f ca="1">IF(OR(ISBLANK(tabItens[[#This Row],[ATA DT.VALID.]]),tabItens[[#This Row],[ATA DT.VALID.]]="",tabItens[[#This Row],[ATA DT.VALID.]]=" "),"",IF(TYPE(tabItens[[#This Row],[ATA DT.VALID.]])=1,ROUNDUP((tabItens[[#This Row],[ATA DT.VALID.]]-TODAY())/7,0),""))</f>
        <v/>
      </c>
      <c r="AQ391" s="399">
        <v>0</v>
      </c>
      <c r="AR391" s="400" t="str">
        <f>IF(ISBLANK(tabItens[[#This Row],[CÓDIGO]]),"",IFERROR(VLOOKUP(tabItens[[#This Row],[CÓDIGO]],Consumo!$C$2:$AC$862,26,FALSE),0))</f>
        <v>09.2023</v>
      </c>
      <c r="AS391" s="401">
        <f>SUMIF(Consumo!$C$3:$C$862,tabItens[[#This Row],[CÓDIGO]],Consumo!$N$3:$N$862) + SUMIF(Consumo!$C$3:$C$862,tabItens[[#This Row],[CÓDIGO]],Consumo!$O$3:$O$862) + SUMIF(Consumo!$C$3:$C$862,tabItens[[#This Row],[CÓDIGO]],Consumo!$P$3:$P$862) + SUMIF(Consumo!$C$3:$C$862,tabItens[[#This Row],[CÓDIGO]],Consumo!$Q$3:$Q$862)</f>
        <v>68</v>
      </c>
      <c r="AT391" s="401">
        <f>SUMIF(Consumo!$C$3:$C$862,tabItens[[#This Row],[CÓDIGO]],Consumo!$Z$3:$Z$862)</f>
        <v>444</v>
      </c>
      <c r="AU391" s="402">
        <f>SUMIF(Consumo!$C$3:$C$862,tabItens[[#This Row],[CÓDIGO]],Consumo!$AA$3:$AA$862)</f>
        <v>114</v>
      </c>
      <c r="AV391" s="403">
        <f>SUMIF(Consumo!$C$3:$C$862,tabItens[[#This Row],[CÓDIGO]],Consumo!$Y$3:$Y$862)</f>
        <v>36.166666666666664</v>
      </c>
      <c r="AW391" s="380">
        <f>tabItens[[#This Row],[QTDE ATUAL]] + tabItens[[#This Row],[RC QTDE]] + tabItens[[#This Row],[AF SALDO]] + tabItens[[#This Row],[Recentes]]</f>
        <v>600</v>
      </c>
      <c r="AX391" s="404">
        <v>35</v>
      </c>
      <c r="AY391" s="404">
        <v>4</v>
      </c>
      <c r="AZ391" s="404">
        <f>IF(ISBLANK(tabItens[[#This Row],[CÓDIGO]]),"",tabItens[[#This Row],[PontoMês]] * (AZ$2+tabItens[[#This Row],[PontoQtM]]))</f>
        <v>140</v>
      </c>
      <c r="BA391" s="403">
        <f>tabItens[[#This Row],[PontoPed]] - tabItens[[#This Row],[Saldo]] + (1/10)</f>
        <v>-459.9</v>
      </c>
      <c r="BB391" s="403">
        <f xml:space="preserve"> tabItens[[#This Row],[PontoMês]] * BB$2 - tabItens[[#This Row],[QTDE ATUAL]] - (1/10)</f>
        <v>34.9</v>
      </c>
      <c r="BC391" s="335">
        <f>IF( tabItens[[#This Row],[PontoPed]]&gt;0, IF(tabItens[[#This Row],[PontoPed]]&lt;1, 1, IF( tabItens[[#This Row],[Saldo]]&gt;tabItens[[#This Row],[PontoPed]], 0, (tabItens[[#This Row],[PontoPed]]-tabItens[[#This Row],[Saldo]])/tabItens[[#This Row],[PontoPed]] ) ), 0 )</f>
        <v>0</v>
      </c>
      <c r="BD391" s="405">
        <f>ROUNDDOWN(IF( OR( AND(tabItens[[#This Row],[PontoPed]]&lt;tabItens[[#This Row],[Saldo]],tabItens[[#This Row],[Saldo]]&gt;0), tabItens[[#This Row],[PontoPed]]=0), 99, IF(AND(tabItens[[#This Row],[Saldo]]=0,tabItens[[#This Row],[PontoPed]]&gt;0), 0, (1-tabItens[[#This Row],[PctAb]])*10 ) ),0)</f>
        <v>99</v>
      </c>
      <c r="BE391" s="406">
        <f>MAX(ROUNDDOWN( IF(tabItens[[#This Row],[Abaixo]] &gt; 0,   tabItens[[#This Row],[Abaixo]] + (tabItens[[#This Row],[PontoMês]] * IF( OR( ISBLANK(tabItens[[#This Row],[ATA Nº/ANO]]), tabItens[[#This Row],[ATA Nº/ANO]] = ""),BE$2,BE$1)),0),0),0)</f>
        <v>0</v>
      </c>
      <c r="BF39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1" s="338">
        <f>SUMIF(Consumo!$C$3:$C$862,tabItens[[#This Row],[CÓDIGO]],Consumo!$E$3:$E$862)</f>
        <v>27</v>
      </c>
      <c r="BH391" s="339">
        <f>IF(AND(tabItens[[#This Row],[Pend]] &gt; 0,tabItens[[#This Row],[Consumo]] &lt;&gt; 0), tabItens[[#This Row],[Pend]] / tabItens[[#This Row],[Consumo]], 0 )</f>
        <v>6.0810810810810814E-2</v>
      </c>
      <c r="BI391" s="338"/>
      <c r="BJ391" s="407"/>
      <c r="BK391" s="408" t="s">
        <v>2086</v>
      </c>
    </row>
    <row r="392" spans="1:63" x14ac:dyDescent="0.3">
      <c r="A392" s="375">
        <v>112155</v>
      </c>
      <c r="B392" s="376" t="s">
        <v>1688</v>
      </c>
      <c r="C392" s="377" t="s">
        <v>31</v>
      </c>
      <c r="D392" s="378">
        <v>6.09</v>
      </c>
      <c r="E392" s="305"/>
      <c r="F392" s="379"/>
      <c r="G392" s="379" t="s">
        <v>889</v>
      </c>
      <c r="H392" s="380">
        <v>0</v>
      </c>
      <c r="I392" s="307">
        <v>103003</v>
      </c>
      <c r="J392" s="308">
        <v>6.09</v>
      </c>
      <c r="K392" s="381">
        <v>252</v>
      </c>
      <c r="L392" s="382">
        <f>IF(tabItens[[#This Row],[Média]] &gt; 0, tabItens[[#This Row],[QTDE ATUAL]] / tabItens[[#This Row],[Média]],999.9)</f>
        <v>0</v>
      </c>
      <c r="M392" s="383">
        <v>0</v>
      </c>
      <c r="N392" s="384">
        <f>tabItens[[#This Row],[VALOR UNIT.]] * tabItens[[#This Row],[LC]]</f>
        <v>0</v>
      </c>
      <c r="O392" s="385" t="s">
        <v>2120</v>
      </c>
      <c r="P392" s="386"/>
      <c r="Q392" s="387"/>
      <c r="R392" s="312"/>
      <c r="S392" s="388"/>
      <c r="T392" s="389">
        <f>ROUNDDOWN(IFERROR(tabItens[[#This Row],[ATA DT.VALID.]] - $D$1,0) / 30,0)</f>
        <v>-1474</v>
      </c>
      <c r="U392" s="302" t="s">
        <v>1687</v>
      </c>
      <c r="V392" s="318">
        <v>1</v>
      </c>
      <c r="W392" s="390" t="s">
        <v>2077</v>
      </c>
      <c r="X392" s="391">
        <v>55</v>
      </c>
      <c r="Y392" s="392">
        <v>37</v>
      </c>
      <c r="Z392" s="393">
        <v>9003</v>
      </c>
      <c r="AA392" s="394">
        <v>2023</v>
      </c>
      <c r="AB392" s="395">
        <v>100</v>
      </c>
      <c r="AC392" s="395"/>
      <c r="AD392" s="394"/>
      <c r="AE392" s="395"/>
      <c r="AF392" s="317"/>
      <c r="AG392" s="396" t="s">
        <v>2072</v>
      </c>
      <c r="AH392" s="397"/>
      <c r="AI392" s="317">
        <v>88</v>
      </c>
      <c r="AJ392" s="397">
        <v>44951</v>
      </c>
      <c r="AK392" s="326">
        <v>40045</v>
      </c>
      <c r="AL392" s="326">
        <v>45195</v>
      </c>
      <c r="AM392" s="316"/>
      <c r="AN392" s="305"/>
      <c r="AO392" s="327" t="str">
        <f>_xlfn.IFNA(IF(VLOOKUP(tabItens[[#This Row],[CÓDIGO]],tabExcluirDoEstoque[#Data],1,FALSE),"sim",""),"")</f>
        <v/>
      </c>
      <c r="AP392" s="398" t="str">
        <f ca="1">IF(OR(ISBLANK(tabItens[[#This Row],[ATA DT.VALID.]]),tabItens[[#This Row],[ATA DT.VALID.]]="",tabItens[[#This Row],[ATA DT.VALID.]]=" "),"",IF(TYPE(tabItens[[#This Row],[ATA DT.VALID.]])=1,ROUNDUP((tabItens[[#This Row],[ATA DT.VALID.]]-TODAY())/7,0),""))</f>
        <v/>
      </c>
      <c r="AQ392" s="399">
        <v>0</v>
      </c>
      <c r="AR392" s="400" t="str">
        <f>IF(ISBLANK(tabItens[[#This Row],[CÓDIGO]]),"",IFERROR(VLOOKUP(tabItens[[#This Row],[CÓDIGO]],Consumo!$C$2:$AC$862,26,FALSE),0))</f>
        <v>08.2023</v>
      </c>
      <c r="AS392" s="401">
        <f>SUMIF(Consumo!$C$3:$C$862,tabItens[[#This Row],[CÓDIGO]],Consumo!$N$3:$N$862) + SUMIF(Consumo!$C$3:$C$862,tabItens[[#This Row],[CÓDIGO]],Consumo!$O$3:$O$862) + SUMIF(Consumo!$C$3:$C$862,tabItens[[#This Row],[CÓDIGO]],Consumo!$P$3:$P$862) + SUMIF(Consumo!$C$3:$C$862,tabItens[[#This Row],[CÓDIGO]],Consumo!$Q$3:$Q$862)</f>
        <v>122</v>
      </c>
      <c r="AT392" s="401">
        <f>SUMIF(Consumo!$C$3:$C$862,tabItens[[#This Row],[CÓDIGO]],Consumo!$Z$3:$Z$862)</f>
        <v>260</v>
      </c>
      <c r="AU392" s="402">
        <f>SUMIF(Consumo!$C$3:$C$862,tabItens[[#This Row],[CÓDIGO]],Consumo!$AA$3:$AA$862)</f>
        <v>100</v>
      </c>
      <c r="AV392" s="403">
        <f>SUMIF(Consumo!$C$3:$C$862,tabItens[[#This Row],[CÓDIGO]],Consumo!$Y$3:$Y$862)</f>
        <v>20.083333333333332</v>
      </c>
      <c r="AW392" s="380">
        <f>tabItens[[#This Row],[QTDE ATUAL]] + tabItens[[#This Row],[RC QTDE]] + tabItens[[#This Row],[AF SALDO]] + tabItens[[#This Row],[Recentes]]</f>
        <v>100</v>
      </c>
      <c r="AX392" s="404">
        <v>17</v>
      </c>
      <c r="AY392" s="404">
        <v>4</v>
      </c>
      <c r="AZ392" s="404">
        <f>IF(ISBLANK(tabItens[[#This Row],[CÓDIGO]]),"",tabItens[[#This Row],[PontoMês]] * (AZ$2+tabItens[[#This Row],[PontoQtM]]))</f>
        <v>68</v>
      </c>
      <c r="BA392" s="403">
        <f>tabItens[[#This Row],[PontoPed]] - tabItens[[#This Row],[Saldo]] + (1/10)</f>
        <v>-31.9</v>
      </c>
      <c r="BB392" s="403">
        <f xml:space="preserve"> tabItens[[#This Row],[PontoMês]] * BB$2 - tabItens[[#This Row],[QTDE ATUAL]] - (1/10)</f>
        <v>16.899999999999999</v>
      </c>
      <c r="BC392" s="335">
        <f>IF( tabItens[[#This Row],[PontoPed]]&gt;0, IF(tabItens[[#This Row],[PontoPed]]&lt;1, 1, IF( tabItens[[#This Row],[Saldo]]&gt;tabItens[[#This Row],[PontoPed]], 0, (tabItens[[#This Row],[PontoPed]]-tabItens[[#This Row],[Saldo]])/tabItens[[#This Row],[PontoPed]] ) ), 0 )</f>
        <v>0</v>
      </c>
      <c r="BD392" s="405">
        <f>ROUNDDOWN(IF( OR( AND(tabItens[[#This Row],[PontoPed]]&lt;tabItens[[#This Row],[Saldo]],tabItens[[#This Row],[Saldo]]&gt;0), tabItens[[#This Row],[PontoPed]]=0), 99, IF(AND(tabItens[[#This Row],[Saldo]]=0,tabItens[[#This Row],[PontoPed]]&gt;0), 0, (1-tabItens[[#This Row],[PctAb]])*10 ) ),0)</f>
        <v>99</v>
      </c>
      <c r="BE392" s="406">
        <f>MAX(ROUNDDOWN( IF(tabItens[[#This Row],[Abaixo]] &gt; 0,   tabItens[[#This Row],[Abaixo]] + (tabItens[[#This Row],[PontoMês]] * IF( OR( ISBLANK(tabItens[[#This Row],[ATA Nº/ANO]]), tabItens[[#This Row],[ATA Nº/ANO]] = ""),BE$2,BE$1)),0),0),0)</f>
        <v>0</v>
      </c>
      <c r="BF39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2" s="338">
        <f>SUMIF(Consumo!$C$3:$C$862,tabItens[[#This Row],[CÓDIGO]],Consumo!$E$3:$E$862)</f>
        <v>8</v>
      </c>
      <c r="BH392" s="339">
        <f>IF(AND(tabItens[[#This Row],[Pend]] &gt; 0,tabItens[[#This Row],[Consumo]] &lt;&gt; 0), tabItens[[#This Row],[Pend]] / tabItens[[#This Row],[Consumo]], 0 )</f>
        <v>3.0769230769230771E-2</v>
      </c>
      <c r="BI392" s="338"/>
      <c r="BJ392" s="407"/>
      <c r="BK392" s="408" t="s">
        <v>2086</v>
      </c>
    </row>
    <row r="393" spans="1:63" x14ac:dyDescent="0.3">
      <c r="A393" s="375">
        <v>112156</v>
      </c>
      <c r="B393" s="376" t="s">
        <v>1689</v>
      </c>
      <c r="C393" s="377" t="s">
        <v>31</v>
      </c>
      <c r="D393" s="378">
        <v>3.8</v>
      </c>
      <c r="E393" s="305"/>
      <c r="F393" s="379"/>
      <c r="G393" s="379" t="s">
        <v>889</v>
      </c>
      <c r="H393" s="380">
        <v>112</v>
      </c>
      <c r="I393" s="307">
        <v>103003</v>
      </c>
      <c r="J393" s="308">
        <v>3.8</v>
      </c>
      <c r="K393" s="381">
        <v>440</v>
      </c>
      <c r="L393" s="382">
        <f>IF(tabItens[[#This Row],[Média]] &gt; 0, tabItens[[#This Row],[QTDE ATUAL]] / tabItens[[#This Row],[Média]],999.9)</f>
        <v>3.1549295774647885</v>
      </c>
      <c r="M393" s="383">
        <v>0</v>
      </c>
      <c r="N393" s="384">
        <f>tabItens[[#This Row],[VALOR UNIT.]] * tabItens[[#This Row],[LC]]</f>
        <v>0</v>
      </c>
      <c r="O393" s="385" t="s">
        <v>2120</v>
      </c>
      <c r="P393" s="386"/>
      <c r="Q393" s="387"/>
      <c r="R393" s="312"/>
      <c r="S393" s="388"/>
      <c r="T393" s="389">
        <f>ROUNDDOWN(IFERROR(tabItens[[#This Row],[ATA DT.VALID.]] - $D$1,0) / 30,0)</f>
        <v>-1474</v>
      </c>
      <c r="U393" s="302" t="s">
        <v>1687</v>
      </c>
      <c r="V393" s="318">
        <v>1</v>
      </c>
      <c r="W393" s="390" t="s">
        <v>2077</v>
      </c>
      <c r="X393" s="391">
        <v>55</v>
      </c>
      <c r="Y393" s="392">
        <v>37</v>
      </c>
      <c r="Z393" s="393">
        <v>2649</v>
      </c>
      <c r="AA393" s="394">
        <v>2023</v>
      </c>
      <c r="AB393" s="395">
        <v>200</v>
      </c>
      <c r="AC393" s="395"/>
      <c r="AD393" s="394"/>
      <c r="AE393" s="395"/>
      <c r="AF393" s="317"/>
      <c r="AG393" s="396" t="s">
        <v>2072</v>
      </c>
      <c r="AH393" s="397"/>
      <c r="AI393" s="317">
        <v>172</v>
      </c>
      <c r="AJ393" s="397">
        <v>44855</v>
      </c>
      <c r="AK393" s="326">
        <v>40045</v>
      </c>
      <c r="AL393" s="326">
        <v>44845</v>
      </c>
      <c r="AM393" s="316"/>
      <c r="AN393" s="305"/>
      <c r="AO393" s="327" t="str">
        <f>_xlfn.IFNA(IF(VLOOKUP(tabItens[[#This Row],[CÓDIGO]],tabExcluirDoEstoque[#Data],1,FALSE),"sim",""),"")</f>
        <v/>
      </c>
      <c r="AP393" s="398" t="str">
        <f ca="1">IF(OR(ISBLANK(tabItens[[#This Row],[ATA DT.VALID.]]),tabItens[[#This Row],[ATA DT.VALID.]]="",tabItens[[#This Row],[ATA DT.VALID.]]=" "),"",IF(TYPE(tabItens[[#This Row],[ATA DT.VALID.]])=1,ROUNDUP((tabItens[[#This Row],[ATA DT.VALID.]]-TODAY())/7,0),""))</f>
        <v/>
      </c>
      <c r="AQ393" s="399">
        <v>0</v>
      </c>
      <c r="AR393" s="400" t="str">
        <f>IF(ISBLANK(tabItens[[#This Row],[CÓDIGO]]),"",IFERROR(VLOOKUP(tabItens[[#This Row],[CÓDIGO]],Consumo!$C$2:$AC$862,26,FALSE),0))</f>
        <v>09.2023</v>
      </c>
      <c r="AS393" s="401">
        <f>SUMIF(Consumo!$C$3:$C$862,tabItens[[#This Row],[CÓDIGO]],Consumo!$N$3:$N$862) + SUMIF(Consumo!$C$3:$C$862,tabItens[[#This Row],[CÓDIGO]],Consumo!$O$3:$O$862) + SUMIF(Consumo!$C$3:$C$862,tabItens[[#This Row],[CÓDIGO]],Consumo!$P$3:$P$862) + SUMIF(Consumo!$C$3:$C$862,tabItens[[#This Row],[CÓDIGO]],Consumo!$Q$3:$Q$862)</f>
        <v>83</v>
      </c>
      <c r="AT393" s="401">
        <f>SUMIF(Consumo!$C$3:$C$862,tabItens[[#This Row],[CÓDIGO]],Consumo!$Z$3:$Z$862)</f>
        <v>498</v>
      </c>
      <c r="AU393" s="402">
        <f>SUMIF(Consumo!$C$3:$C$862,tabItens[[#This Row],[CÓDIGO]],Consumo!$AA$3:$AA$862)</f>
        <v>245</v>
      </c>
      <c r="AV393" s="403">
        <f>SUMIF(Consumo!$C$3:$C$862,tabItens[[#This Row],[CÓDIGO]],Consumo!$Y$3:$Y$862)</f>
        <v>35.5</v>
      </c>
      <c r="AW393" s="380">
        <f>tabItens[[#This Row],[QTDE ATUAL]] + tabItens[[#This Row],[RC QTDE]] + tabItens[[#This Row],[AF SALDO]] + tabItens[[#This Row],[Recentes]]</f>
        <v>312</v>
      </c>
      <c r="AX393" s="404">
        <v>50</v>
      </c>
      <c r="AY393" s="404">
        <v>4</v>
      </c>
      <c r="AZ393" s="404">
        <f>IF(ISBLANK(tabItens[[#This Row],[CÓDIGO]]),"",tabItens[[#This Row],[PontoMês]] * (AZ$2+tabItens[[#This Row],[PontoQtM]]))</f>
        <v>200</v>
      </c>
      <c r="BA393" s="403">
        <f>tabItens[[#This Row],[PontoPed]] - tabItens[[#This Row],[Saldo]] + (1/10)</f>
        <v>-111.9</v>
      </c>
      <c r="BB393" s="403">
        <f xml:space="preserve"> tabItens[[#This Row],[PontoMês]] * BB$2 - tabItens[[#This Row],[QTDE ATUAL]] - (1/10)</f>
        <v>-62.1</v>
      </c>
      <c r="BC393" s="335">
        <f>IF( tabItens[[#This Row],[PontoPed]]&gt;0, IF(tabItens[[#This Row],[PontoPed]]&lt;1, 1, IF( tabItens[[#This Row],[Saldo]]&gt;tabItens[[#This Row],[PontoPed]], 0, (tabItens[[#This Row],[PontoPed]]-tabItens[[#This Row],[Saldo]])/tabItens[[#This Row],[PontoPed]] ) ), 0 )</f>
        <v>0</v>
      </c>
      <c r="BD393" s="405">
        <f>ROUNDDOWN(IF( OR( AND(tabItens[[#This Row],[PontoPed]]&lt;tabItens[[#This Row],[Saldo]],tabItens[[#This Row],[Saldo]]&gt;0), tabItens[[#This Row],[PontoPed]]=0), 99, IF(AND(tabItens[[#This Row],[Saldo]]=0,tabItens[[#This Row],[PontoPed]]&gt;0), 0, (1-tabItens[[#This Row],[PctAb]])*10 ) ),0)</f>
        <v>99</v>
      </c>
      <c r="BE393" s="406">
        <f>MAX(ROUNDDOWN( IF(tabItens[[#This Row],[Abaixo]] &gt; 0,   tabItens[[#This Row],[Abaixo]] + (tabItens[[#This Row],[PontoMês]] * IF( OR( ISBLANK(tabItens[[#This Row],[ATA Nº/ANO]]), tabItens[[#This Row],[ATA Nº/ANO]] = ""),BE$2,BE$1)),0),0),0)</f>
        <v>0</v>
      </c>
      <c r="BF39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3" s="338">
        <f>SUMIF(Consumo!$C$3:$C$862,tabItens[[#This Row],[CÓDIGO]],Consumo!$E$3:$E$862)</f>
        <v>0</v>
      </c>
      <c r="BH393" s="339">
        <f>IF(AND(tabItens[[#This Row],[Pend]] &gt; 0,tabItens[[#This Row],[Consumo]] &lt;&gt; 0), tabItens[[#This Row],[Pend]] / tabItens[[#This Row],[Consumo]], 0 )</f>
        <v>0</v>
      </c>
      <c r="BI393" s="338"/>
      <c r="BJ393" s="407"/>
      <c r="BK393" s="408" t="s">
        <v>2086</v>
      </c>
    </row>
    <row r="394" spans="1:63" x14ac:dyDescent="0.3">
      <c r="A394" s="375">
        <v>112157</v>
      </c>
      <c r="B394" s="376" t="s">
        <v>1690</v>
      </c>
      <c r="C394" s="377" t="s">
        <v>31</v>
      </c>
      <c r="D394" s="378">
        <v>5.69</v>
      </c>
      <c r="E394" s="305"/>
      <c r="F394" s="379"/>
      <c r="G394" s="379" t="s">
        <v>889</v>
      </c>
      <c r="H394" s="380">
        <v>53</v>
      </c>
      <c r="I394" s="307">
        <v>103003</v>
      </c>
      <c r="J394" s="308">
        <v>5.69</v>
      </c>
      <c r="K394" s="381">
        <v>64</v>
      </c>
      <c r="L394" s="382">
        <f>IF(tabItens[[#This Row],[Média]] &gt; 0, tabItens[[#This Row],[QTDE ATUAL]] / tabItens[[#This Row],[Média]],999.9)</f>
        <v>12</v>
      </c>
      <c r="M394" s="383">
        <v>0</v>
      </c>
      <c r="N394" s="384">
        <f>tabItens[[#This Row],[VALOR UNIT.]] * tabItens[[#This Row],[LC]]</f>
        <v>0</v>
      </c>
      <c r="O394" s="385" t="s">
        <v>2120</v>
      </c>
      <c r="P394" s="386"/>
      <c r="Q394" s="387"/>
      <c r="R394" s="312"/>
      <c r="S394" s="388"/>
      <c r="T394" s="389">
        <f>ROUNDDOWN(IFERROR(tabItens[[#This Row],[ATA DT.VALID.]] - $D$1,0) / 30,0)</f>
        <v>-1474</v>
      </c>
      <c r="U394" s="302" t="s">
        <v>1687</v>
      </c>
      <c r="V394" s="318">
        <v>1</v>
      </c>
      <c r="W394" s="390" t="s">
        <v>2077</v>
      </c>
      <c r="X394" s="391">
        <v>55</v>
      </c>
      <c r="Y394" s="392">
        <v>37</v>
      </c>
      <c r="Z394" s="393"/>
      <c r="AA394" s="394"/>
      <c r="AB394" s="395"/>
      <c r="AC394" s="395"/>
      <c r="AD394" s="394"/>
      <c r="AE394" s="395"/>
      <c r="AF394" s="317"/>
      <c r="AG394" s="396" t="s">
        <v>2072</v>
      </c>
      <c r="AH394" s="397"/>
      <c r="AI394" s="317">
        <v>22</v>
      </c>
      <c r="AJ394" s="397">
        <v>44224</v>
      </c>
      <c r="AK394" s="326">
        <v>40045</v>
      </c>
      <c r="AL394" s="326">
        <v>44725</v>
      </c>
      <c r="AM394" s="316"/>
      <c r="AN394" s="305"/>
      <c r="AO394" s="327" t="str">
        <f>_xlfn.IFNA(IF(VLOOKUP(tabItens[[#This Row],[CÓDIGO]],tabExcluirDoEstoque[#Data],1,FALSE),"sim",""),"")</f>
        <v/>
      </c>
      <c r="AP394" s="398" t="str">
        <f ca="1">IF(OR(ISBLANK(tabItens[[#This Row],[ATA DT.VALID.]]),tabItens[[#This Row],[ATA DT.VALID.]]="",tabItens[[#This Row],[ATA DT.VALID.]]=" "),"",IF(TYPE(tabItens[[#This Row],[ATA DT.VALID.]])=1,ROUNDUP((tabItens[[#This Row],[ATA DT.VALID.]]-TODAY())/7,0),""))</f>
        <v/>
      </c>
      <c r="AQ394" s="399">
        <v>0</v>
      </c>
      <c r="AR394" s="400" t="str">
        <f>IF(ISBLANK(tabItens[[#This Row],[CÓDIGO]]),"",IFERROR(VLOOKUP(tabItens[[#This Row],[CÓDIGO]],Consumo!$C$2:$AC$862,26,FALSE),0))</f>
        <v>08.2023</v>
      </c>
      <c r="AS394" s="401">
        <f>SUMIF(Consumo!$C$3:$C$862,tabItens[[#This Row],[CÓDIGO]],Consumo!$N$3:$N$862) + SUMIF(Consumo!$C$3:$C$862,tabItens[[#This Row],[CÓDIGO]],Consumo!$O$3:$O$862) + SUMIF(Consumo!$C$3:$C$862,tabItens[[#This Row],[CÓDIGO]],Consumo!$P$3:$P$862) + SUMIF(Consumo!$C$3:$C$862,tabItens[[#This Row],[CÓDIGO]],Consumo!$Q$3:$Q$862)</f>
        <v>60</v>
      </c>
      <c r="AT394" s="401">
        <f>SUMIF(Consumo!$C$3:$C$862,tabItens[[#This Row],[CÓDIGO]],Consumo!$Z$3:$Z$862)</f>
        <v>64</v>
      </c>
      <c r="AU394" s="402">
        <f>SUMIF(Consumo!$C$3:$C$862,tabItens[[#This Row],[CÓDIGO]],Consumo!$AA$3:$AA$862)</f>
        <v>40</v>
      </c>
      <c r="AV394" s="403">
        <f>SUMIF(Consumo!$C$3:$C$862,tabItens[[#This Row],[CÓDIGO]],Consumo!$Y$3:$Y$862)</f>
        <v>4.416666666666667</v>
      </c>
      <c r="AW394" s="380">
        <f>tabItens[[#This Row],[QTDE ATUAL]] + tabItens[[#This Row],[RC QTDE]] + tabItens[[#This Row],[AF SALDO]] + tabItens[[#This Row],[Recentes]]</f>
        <v>53</v>
      </c>
      <c r="AX394" s="404">
        <v>12</v>
      </c>
      <c r="AY394" s="404">
        <v>4</v>
      </c>
      <c r="AZ394" s="404">
        <f>IF(ISBLANK(tabItens[[#This Row],[CÓDIGO]]),"",tabItens[[#This Row],[PontoMês]] * (AZ$2+tabItens[[#This Row],[PontoQtM]]))</f>
        <v>48</v>
      </c>
      <c r="BA394" s="403">
        <f>tabItens[[#This Row],[PontoPed]] - tabItens[[#This Row],[Saldo]] + (1/10)</f>
        <v>-4.9000000000000004</v>
      </c>
      <c r="BB394" s="403">
        <f xml:space="preserve"> tabItens[[#This Row],[PontoMês]] * BB$2 - tabItens[[#This Row],[QTDE ATUAL]] - (1/10)</f>
        <v>-41.1</v>
      </c>
      <c r="BC394" s="335">
        <f>IF( tabItens[[#This Row],[PontoPed]]&gt;0, IF(tabItens[[#This Row],[PontoPed]]&lt;1, 1, IF( tabItens[[#This Row],[Saldo]]&gt;tabItens[[#This Row],[PontoPed]], 0, (tabItens[[#This Row],[PontoPed]]-tabItens[[#This Row],[Saldo]])/tabItens[[#This Row],[PontoPed]] ) ), 0 )</f>
        <v>0</v>
      </c>
      <c r="BD394" s="405">
        <f>ROUNDDOWN(IF( OR( AND(tabItens[[#This Row],[PontoPed]]&lt;tabItens[[#This Row],[Saldo]],tabItens[[#This Row],[Saldo]]&gt;0), tabItens[[#This Row],[PontoPed]]=0), 99, IF(AND(tabItens[[#This Row],[Saldo]]=0,tabItens[[#This Row],[PontoPed]]&gt;0), 0, (1-tabItens[[#This Row],[PctAb]])*10 ) ),0)</f>
        <v>99</v>
      </c>
      <c r="BE394" s="406">
        <f>MAX(ROUNDDOWN( IF(tabItens[[#This Row],[Abaixo]] &gt; 0,   tabItens[[#This Row],[Abaixo]] + (tabItens[[#This Row],[PontoMês]] * IF( OR( ISBLANK(tabItens[[#This Row],[ATA Nº/ANO]]), tabItens[[#This Row],[ATA Nº/ANO]] = ""),BE$2,BE$1)),0),0),0)</f>
        <v>0</v>
      </c>
      <c r="BF39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4" s="338">
        <f>SUMIF(Consumo!$C$3:$C$862,tabItens[[#This Row],[CÓDIGO]],Consumo!$E$3:$E$862)</f>
        <v>0</v>
      </c>
      <c r="BH394" s="339">
        <f>IF(AND(tabItens[[#This Row],[Pend]] &gt; 0,tabItens[[#This Row],[Consumo]] &lt;&gt; 0), tabItens[[#This Row],[Pend]] / tabItens[[#This Row],[Consumo]], 0 )</f>
        <v>0</v>
      </c>
      <c r="BI394" s="338"/>
      <c r="BJ394" s="407"/>
      <c r="BK394" s="408" t="s">
        <v>2086</v>
      </c>
    </row>
    <row r="395" spans="1:63" x14ac:dyDescent="0.3">
      <c r="A395" s="375">
        <v>116874</v>
      </c>
      <c r="B395" s="376" t="s">
        <v>1726</v>
      </c>
      <c r="C395" s="377" t="s">
        <v>31</v>
      </c>
      <c r="D395" s="378">
        <v>5.08</v>
      </c>
      <c r="E395" s="305"/>
      <c r="F395" s="379"/>
      <c r="G395" s="379" t="s">
        <v>889</v>
      </c>
      <c r="H395" s="380">
        <v>203</v>
      </c>
      <c r="I395" s="307">
        <v>103003</v>
      </c>
      <c r="J395" s="308">
        <v>5.08</v>
      </c>
      <c r="K395" s="381">
        <v>1211</v>
      </c>
      <c r="L395" s="382">
        <f>IF(tabItens[[#This Row],[Média]] &gt; 0, tabItens[[#This Row],[QTDE ATUAL]] / tabItens[[#This Row],[Média]],999.9)</f>
        <v>1.4228971962616823</v>
      </c>
      <c r="M395" s="383">
        <v>0</v>
      </c>
      <c r="N395" s="384">
        <f>tabItens[[#This Row],[VALOR UNIT.]] * tabItens[[#This Row],[LC]]</f>
        <v>0</v>
      </c>
      <c r="O395" s="385" t="s">
        <v>2120</v>
      </c>
      <c r="P395" s="386"/>
      <c r="Q395" s="387"/>
      <c r="R395" s="312"/>
      <c r="S395" s="388"/>
      <c r="T395" s="389">
        <f>ROUNDDOWN(IFERROR(tabItens[[#This Row],[ATA DT.VALID.]] - $D$1,0) / 30,0)</f>
        <v>-1474</v>
      </c>
      <c r="U395" s="302" t="s">
        <v>1687</v>
      </c>
      <c r="V395" s="318">
        <v>1</v>
      </c>
      <c r="W395" s="390" t="s">
        <v>2077</v>
      </c>
      <c r="X395" s="391">
        <v>55</v>
      </c>
      <c r="Y395" s="392">
        <v>37</v>
      </c>
      <c r="Z395" s="393">
        <v>10083</v>
      </c>
      <c r="AA395" s="394">
        <v>2023</v>
      </c>
      <c r="AB395" s="395">
        <v>500</v>
      </c>
      <c r="AC395" s="395"/>
      <c r="AD395" s="394"/>
      <c r="AE395" s="395"/>
      <c r="AF395" s="317"/>
      <c r="AG395" s="396" t="s">
        <v>2072</v>
      </c>
      <c r="AH395" s="397"/>
      <c r="AI395" s="317">
        <v>612</v>
      </c>
      <c r="AJ395" s="397">
        <v>44638</v>
      </c>
      <c r="AK395" s="326">
        <v>40406</v>
      </c>
      <c r="AL395" s="326">
        <v>45195</v>
      </c>
      <c r="AM395" s="316"/>
      <c r="AN395" s="305"/>
      <c r="AO395" s="327" t="str">
        <f>_xlfn.IFNA(IF(VLOOKUP(tabItens[[#This Row],[CÓDIGO]],tabExcluirDoEstoque[#Data],1,FALSE),"sim",""),"")</f>
        <v/>
      </c>
      <c r="AP395" s="398" t="str">
        <f ca="1">IF(OR(ISBLANK(tabItens[[#This Row],[ATA DT.VALID.]]),tabItens[[#This Row],[ATA DT.VALID.]]="",tabItens[[#This Row],[ATA DT.VALID.]]=" "),"",IF(TYPE(tabItens[[#This Row],[ATA DT.VALID.]])=1,ROUNDUP((tabItens[[#This Row],[ATA DT.VALID.]]-TODAY())/7,0),""))</f>
        <v/>
      </c>
      <c r="AQ395" s="399">
        <v>0</v>
      </c>
      <c r="AR395" s="400" t="str">
        <f>IF(ISBLANK(tabItens[[#This Row],[CÓDIGO]]),"",IFERROR(VLOOKUP(tabItens[[#This Row],[CÓDIGO]],Consumo!$C$2:$AC$862,26,FALSE),0))</f>
        <v>09.2023</v>
      </c>
      <c r="AS395" s="401">
        <f>SUMIF(Consumo!$C$3:$C$862,tabItens[[#This Row],[CÓDIGO]],Consumo!$N$3:$N$862) + SUMIF(Consumo!$C$3:$C$862,tabItens[[#This Row],[CÓDIGO]],Consumo!$O$3:$O$862) + SUMIF(Consumo!$C$3:$C$862,tabItens[[#This Row],[CÓDIGO]],Consumo!$P$3:$P$862) + SUMIF(Consumo!$C$3:$C$862,tabItens[[#This Row],[CÓDIGO]],Consumo!$Q$3:$Q$862)</f>
        <v>650</v>
      </c>
      <c r="AT395" s="401">
        <f>SUMIF(Consumo!$C$3:$C$862,tabItens[[#This Row],[CÓDIGO]],Consumo!$Z$3:$Z$862)</f>
        <v>1751</v>
      </c>
      <c r="AU395" s="402">
        <f>SUMIF(Consumo!$C$3:$C$862,tabItens[[#This Row],[CÓDIGO]],Consumo!$AA$3:$AA$862)</f>
        <v>373</v>
      </c>
      <c r="AV395" s="403">
        <f>SUMIF(Consumo!$C$3:$C$862,tabItens[[#This Row],[CÓDIGO]],Consumo!$Y$3:$Y$862)</f>
        <v>142.66666666666666</v>
      </c>
      <c r="AW395" s="380">
        <f>tabItens[[#This Row],[QTDE ATUAL]] + tabItens[[#This Row],[RC QTDE]] + tabItens[[#This Row],[AF SALDO]] + tabItens[[#This Row],[Recentes]]</f>
        <v>703</v>
      </c>
      <c r="AX395" s="404">
        <v>109</v>
      </c>
      <c r="AY395" s="404">
        <v>4</v>
      </c>
      <c r="AZ395" s="404">
        <f>IF(ISBLANK(tabItens[[#This Row],[CÓDIGO]]),"",tabItens[[#This Row],[PontoMês]] * (AZ$2+tabItens[[#This Row],[PontoQtM]]))</f>
        <v>436</v>
      </c>
      <c r="BA395" s="403">
        <f>tabItens[[#This Row],[PontoPed]] - tabItens[[#This Row],[Saldo]] + (1/10)</f>
        <v>-266.89999999999998</v>
      </c>
      <c r="BB395" s="403">
        <f xml:space="preserve"> tabItens[[#This Row],[PontoMês]] * BB$2 - tabItens[[#This Row],[QTDE ATUAL]] - (1/10)</f>
        <v>-94.1</v>
      </c>
      <c r="BC395" s="335">
        <f>IF( tabItens[[#This Row],[PontoPed]]&gt;0, IF(tabItens[[#This Row],[PontoPed]]&lt;1, 1, IF( tabItens[[#This Row],[Saldo]]&gt;tabItens[[#This Row],[PontoPed]], 0, (tabItens[[#This Row],[PontoPed]]-tabItens[[#This Row],[Saldo]])/tabItens[[#This Row],[PontoPed]] ) ), 0 )</f>
        <v>0</v>
      </c>
      <c r="BD395" s="405">
        <f>ROUNDDOWN(IF( OR( AND(tabItens[[#This Row],[PontoPed]]&lt;tabItens[[#This Row],[Saldo]],tabItens[[#This Row],[Saldo]]&gt;0), tabItens[[#This Row],[PontoPed]]=0), 99, IF(AND(tabItens[[#This Row],[Saldo]]=0,tabItens[[#This Row],[PontoPed]]&gt;0), 0, (1-tabItens[[#This Row],[PctAb]])*10 ) ),0)</f>
        <v>99</v>
      </c>
      <c r="BE395" s="406">
        <f>MAX(ROUNDDOWN( IF(tabItens[[#This Row],[Abaixo]] &gt; 0,   tabItens[[#This Row],[Abaixo]] + (tabItens[[#This Row],[PontoMês]] * IF( OR( ISBLANK(tabItens[[#This Row],[ATA Nº/ANO]]), tabItens[[#This Row],[ATA Nº/ANO]] = ""),BE$2,BE$1)),0),0),0)</f>
        <v>0</v>
      </c>
      <c r="BF39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5" s="338">
        <f>SUMIF(Consumo!$C$3:$C$862,tabItens[[#This Row],[CÓDIGO]],Consumo!$E$3:$E$862)</f>
        <v>0</v>
      </c>
      <c r="BH395" s="339">
        <f>IF(AND(tabItens[[#This Row],[Pend]] &gt; 0,tabItens[[#This Row],[Consumo]] &lt;&gt; 0), tabItens[[#This Row],[Pend]] / tabItens[[#This Row],[Consumo]], 0 )</f>
        <v>0</v>
      </c>
      <c r="BI395" s="338"/>
      <c r="BJ395" s="407"/>
      <c r="BK395" s="408" t="s">
        <v>2086</v>
      </c>
    </row>
    <row r="396" spans="1:63" x14ac:dyDescent="0.3">
      <c r="A396" s="375">
        <v>119181</v>
      </c>
      <c r="B396" s="376" t="s">
        <v>1737</v>
      </c>
      <c r="C396" s="377" t="s">
        <v>31</v>
      </c>
      <c r="D396" s="378">
        <v>2.68</v>
      </c>
      <c r="E396" s="305"/>
      <c r="F396" s="379"/>
      <c r="G396" s="379" t="s">
        <v>889</v>
      </c>
      <c r="H396" s="380">
        <v>610</v>
      </c>
      <c r="I396" s="307">
        <v>103003</v>
      </c>
      <c r="J396" s="308">
        <v>2.68</v>
      </c>
      <c r="K396" s="381">
        <v>385</v>
      </c>
      <c r="L396" s="382">
        <f>IF(tabItens[[#This Row],[Média]] &gt; 0, tabItens[[#This Row],[QTDE ATUAL]] / tabItens[[#This Row],[Média]],999.9)</f>
        <v>15.708154506437767</v>
      </c>
      <c r="M396" s="383">
        <v>0</v>
      </c>
      <c r="N396" s="384">
        <f>tabItens[[#This Row],[VALOR UNIT.]] * tabItens[[#This Row],[LC]]</f>
        <v>0</v>
      </c>
      <c r="O396" s="385" t="s">
        <v>2120</v>
      </c>
      <c r="P396" s="386"/>
      <c r="Q396" s="387"/>
      <c r="R396" s="312"/>
      <c r="S396" s="388"/>
      <c r="T396" s="389">
        <f>ROUNDDOWN(IFERROR(tabItens[[#This Row],[ATA DT.VALID.]] - $D$1,0) / 30,0)</f>
        <v>-1474</v>
      </c>
      <c r="U396" s="302" t="s">
        <v>1687</v>
      </c>
      <c r="V396" s="318">
        <v>1</v>
      </c>
      <c r="W396" s="390" t="s">
        <v>2077</v>
      </c>
      <c r="X396" s="391">
        <v>55</v>
      </c>
      <c r="Y396" s="392">
        <v>37</v>
      </c>
      <c r="Z396" s="393"/>
      <c r="AA396" s="394"/>
      <c r="AB396" s="395"/>
      <c r="AC396" s="395"/>
      <c r="AD396" s="394"/>
      <c r="AE396" s="395"/>
      <c r="AF396" s="317"/>
      <c r="AG396" s="396" t="s">
        <v>2072</v>
      </c>
      <c r="AH396" s="397"/>
      <c r="AI396" s="317">
        <v>170</v>
      </c>
      <c r="AJ396" s="397">
        <v>44544</v>
      </c>
      <c r="AK396" s="326">
        <v>40581</v>
      </c>
      <c r="AL396" s="326">
        <v>44470</v>
      </c>
      <c r="AM396" s="316"/>
      <c r="AN396" s="305"/>
      <c r="AO396" s="327" t="str">
        <f>_xlfn.IFNA(IF(VLOOKUP(tabItens[[#This Row],[CÓDIGO]],tabExcluirDoEstoque[#Data],1,FALSE),"sim",""),"")</f>
        <v/>
      </c>
      <c r="AP396" s="398" t="str">
        <f ca="1">IF(OR(ISBLANK(tabItens[[#This Row],[ATA DT.VALID.]]),tabItens[[#This Row],[ATA DT.VALID.]]="",tabItens[[#This Row],[ATA DT.VALID.]]=" "),"",IF(TYPE(tabItens[[#This Row],[ATA DT.VALID.]])=1,ROUNDUP((tabItens[[#This Row],[ATA DT.VALID.]]-TODAY())/7,0),""))</f>
        <v/>
      </c>
      <c r="AQ396" s="399">
        <v>0</v>
      </c>
      <c r="AR396" s="400" t="str">
        <f>IF(ISBLANK(tabItens[[#This Row],[CÓDIGO]]),"",IFERROR(VLOOKUP(tabItens[[#This Row],[CÓDIGO]],Consumo!$C$2:$AC$862,26,FALSE),0))</f>
        <v>09.2023</v>
      </c>
      <c r="AS396" s="401">
        <f>SUMIF(Consumo!$C$3:$C$862,tabItens[[#This Row],[CÓDIGO]],Consumo!$N$3:$N$862) + SUMIF(Consumo!$C$3:$C$862,tabItens[[#This Row],[CÓDIGO]],Consumo!$O$3:$O$862) + SUMIF(Consumo!$C$3:$C$862,tabItens[[#This Row],[CÓDIGO]],Consumo!$P$3:$P$862) + SUMIF(Consumo!$C$3:$C$862,tabItens[[#This Row],[CÓDIGO]],Consumo!$Q$3:$Q$862)</f>
        <v>120</v>
      </c>
      <c r="AT396" s="401">
        <f>SUMIF(Consumo!$C$3:$C$862,tabItens[[#This Row],[CÓDIGO]],Consumo!$Z$3:$Z$862)</f>
        <v>507</v>
      </c>
      <c r="AU396" s="402">
        <f>SUMIF(Consumo!$C$3:$C$862,tabItens[[#This Row],[CÓDIGO]],Consumo!$AA$3:$AA$862)</f>
        <v>166</v>
      </c>
      <c r="AV396" s="403">
        <f>SUMIF(Consumo!$C$3:$C$862,tabItens[[#This Row],[CÓDIGO]],Consumo!$Y$3:$Y$862)</f>
        <v>38.833333333333336</v>
      </c>
      <c r="AW396" s="380">
        <f>tabItens[[#This Row],[QTDE ATUAL]] + tabItens[[#This Row],[RC QTDE]] + tabItens[[#This Row],[AF SALDO]] + tabItens[[#This Row],[Recentes]]</f>
        <v>610</v>
      </c>
      <c r="AX396" s="404">
        <v>58</v>
      </c>
      <c r="AY396" s="404">
        <v>4</v>
      </c>
      <c r="AZ396" s="404">
        <f>IF(ISBLANK(tabItens[[#This Row],[CÓDIGO]]),"",tabItens[[#This Row],[PontoMês]] * (AZ$2+tabItens[[#This Row],[PontoQtM]]))</f>
        <v>232</v>
      </c>
      <c r="BA396" s="403">
        <f>tabItens[[#This Row],[PontoPed]] - tabItens[[#This Row],[Saldo]] + (1/10)</f>
        <v>-377.9</v>
      </c>
      <c r="BB396" s="403">
        <f xml:space="preserve"> tabItens[[#This Row],[PontoMês]] * BB$2 - tabItens[[#This Row],[QTDE ATUAL]] - (1/10)</f>
        <v>-552.1</v>
      </c>
      <c r="BC396" s="335">
        <f>IF( tabItens[[#This Row],[PontoPed]]&gt;0, IF(tabItens[[#This Row],[PontoPed]]&lt;1, 1, IF( tabItens[[#This Row],[Saldo]]&gt;tabItens[[#This Row],[PontoPed]], 0, (tabItens[[#This Row],[PontoPed]]-tabItens[[#This Row],[Saldo]])/tabItens[[#This Row],[PontoPed]] ) ), 0 )</f>
        <v>0</v>
      </c>
      <c r="BD396" s="405">
        <f>ROUNDDOWN(IF( OR( AND(tabItens[[#This Row],[PontoPed]]&lt;tabItens[[#This Row],[Saldo]],tabItens[[#This Row],[Saldo]]&gt;0), tabItens[[#This Row],[PontoPed]]=0), 99, IF(AND(tabItens[[#This Row],[Saldo]]=0,tabItens[[#This Row],[PontoPed]]&gt;0), 0, (1-tabItens[[#This Row],[PctAb]])*10 ) ),0)</f>
        <v>99</v>
      </c>
      <c r="BE396" s="406">
        <f>MAX(ROUNDDOWN( IF(tabItens[[#This Row],[Abaixo]] &gt; 0,   tabItens[[#This Row],[Abaixo]] + (tabItens[[#This Row],[PontoMês]] * IF( OR( ISBLANK(tabItens[[#This Row],[ATA Nº/ANO]]), tabItens[[#This Row],[ATA Nº/ANO]] = ""),BE$2,BE$1)),0),0),0)</f>
        <v>0</v>
      </c>
      <c r="BF39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6" s="338">
        <f>SUMIF(Consumo!$C$3:$C$862,tabItens[[#This Row],[CÓDIGO]],Consumo!$E$3:$E$862)</f>
        <v>0</v>
      </c>
      <c r="BH396" s="339">
        <f>IF(AND(tabItens[[#This Row],[Pend]] &gt; 0,tabItens[[#This Row],[Consumo]] &lt;&gt; 0), tabItens[[#This Row],[Pend]] / tabItens[[#This Row],[Consumo]], 0 )</f>
        <v>0</v>
      </c>
      <c r="BI396" s="338"/>
      <c r="BJ396" s="407"/>
      <c r="BK396" s="408" t="s">
        <v>2086</v>
      </c>
    </row>
    <row r="397" spans="1:63" x14ac:dyDescent="0.3">
      <c r="A397" s="375">
        <v>136082</v>
      </c>
      <c r="B397" s="376" t="s">
        <v>1922</v>
      </c>
      <c r="C397" s="377" t="s">
        <v>31</v>
      </c>
      <c r="D397" s="378">
        <v>9.1999999999999993</v>
      </c>
      <c r="E397" s="305"/>
      <c r="F397" s="379"/>
      <c r="G397" s="379" t="s">
        <v>889</v>
      </c>
      <c r="H397" s="380">
        <v>0</v>
      </c>
      <c r="I397" s="307">
        <v>103003</v>
      </c>
      <c r="J397" s="308">
        <v>9.1999999999999993</v>
      </c>
      <c r="K397" s="381">
        <v>281</v>
      </c>
      <c r="L397" s="382">
        <f>IF(tabItens[[#This Row],[Média]] &gt; 0, tabItens[[#This Row],[QTDE ATUAL]] / tabItens[[#This Row],[Média]],999.9)</f>
        <v>0</v>
      </c>
      <c r="M397" s="383">
        <v>0</v>
      </c>
      <c r="N397" s="384">
        <f>tabItens[[#This Row],[VALOR UNIT.]] * tabItens[[#This Row],[LC]]</f>
        <v>0</v>
      </c>
      <c r="O397" s="385" t="s">
        <v>2120</v>
      </c>
      <c r="P397" s="386"/>
      <c r="Q397" s="387"/>
      <c r="R397" s="312"/>
      <c r="S397" s="388"/>
      <c r="T397" s="389">
        <f>ROUNDDOWN(IFERROR(tabItens[[#This Row],[ATA DT.VALID.]] - $D$1,0) / 30,0)</f>
        <v>-1474</v>
      </c>
      <c r="U397" s="302" t="s">
        <v>1687</v>
      </c>
      <c r="V397" s="318">
        <v>1</v>
      </c>
      <c r="W397" s="390" t="s">
        <v>2077</v>
      </c>
      <c r="X397" s="391">
        <v>55</v>
      </c>
      <c r="Y397" s="392">
        <v>37</v>
      </c>
      <c r="Z397" s="393">
        <v>10090</v>
      </c>
      <c r="AA397" s="394">
        <v>2023</v>
      </c>
      <c r="AB397" s="395">
        <v>700</v>
      </c>
      <c r="AC397" s="395"/>
      <c r="AD397" s="394"/>
      <c r="AE397" s="395"/>
      <c r="AF397" s="317"/>
      <c r="AG397" s="396" t="s">
        <v>2072</v>
      </c>
      <c r="AH397" s="397"/>
      <c r="AI397" s="317">
        <v>94</v>
      </c>
      <c r="AJ397" s="397">
        <v>44568</v>
      </c>
      <c r="AK397" s="326">
        <v>43446</v>
      </c>
      <c r="AL397" s="326">
        <v>45195</v>
      </c>
      <c r="AM397" s="316"/>
      <c r="AN397" s="305"/>
      <c r="AO397" s="327" t="str">
        <f>_xlfn.IFNA(IF(VLOOKUP(tabItens[[#This Row],[CÓDIGO]],tabExcluirDoEstoque[#Data],1,FALSE),"sim",""),"")</f>
        <v/>
      </c>
      <c r="AP397" s="398" t="str">
        <f ca="1">IF(OR(ISBLANK(tabItens[[#This Row],[ATA DT.VALID.]]),tabItens[[#This Row],[ATA DT.VALID.]]="",tabItens[[#This Row],[ATA DT.VALID.]]=" "),"",IF(TYPE(tabItens[[#This Row],[ATA DT.VALID.]])=1,ROUNDUP((tabItens[[#This Row],[ATA DT.VALID.]]-TODAY())/7,0),""))</f>
        <v/>
      </c>
      <c r="AQ397" s="399">
        <v>0</v>
      </c>
      <c r="AR397" s="400" t="str">
        <f>IF(ISBLANK(tabItens[[#This Row],[CÓDIGO]]),"",IFERROR(VLOOKUP(tabItens[[#This Row],[CÓDIGO]],Consumo!$C$2:$AC$862,26,FALSE),0))</f>
        <v>06.2023</v>
      </c>
      <c r="AS397" s="401">
        <f>SUMIF(Consumo!$C$3:$C$862,tabItens[[#This Row],[CÓDIGO]],Consumo!$N$3:$N$862) + SUMIF(Consumo!$C$3:$C$862,tabItens[[#This Row],[CÓDIGO]],Consumo!$O$3:$O$862) + SUMIF(Consumo!$C$3:$C$862,tabItens[[#This Row],[CÓDIGO]],Consumo!$P$3:$P$862) + SUMIF(Consumo!$C$3:$C$862,tabItens[[#This Row],[CÓDIGO]],Consumo!$Q$3:$Q$862)</f>
        <v>12</v>
      </c>
      <c r="AT397" s="401">
        <f>SUMIF(Consumo!$C$3:$C$862,tabItens[[#This Row],[CÓDIGO]],Consumo!$Z$3:$Z$862)</f>
        <v>571</v>
      </c>
      <c r="AU397" s="402">
        <f>SUMIF(Consumo!$C$3:$C$862,tabItens[[#This Row],[CÓDIGO]],Consumo!$AA$3:$AA$862)</f>
        <v>100</v>
      </c>
      <c r="AV397" s="403">
        <f>SUMIF(Consumo!$C$3:$C$862,tabItens[[#This Row],[CÓDIGO]],Consumo!$Y$3:$Y$862)</f>
        <v>47.583333333333336</v>
      </c>
      <c r="AW397" s="380">
        <f>tabItens[[#This Row],[QTDE ATUAL]] + tabItens[[#This Row],[RC QTDE]] + tabItens[[#This Row],[AF SALDO]] + tabItens[[#This Row],[Recentes]]</f>
        <v>700</v>
      </c>
      <c r="AX397" s="404">
        <v>17</v>
      </c>
      <c r="AY397" s="404">
        <v>4</v>
      </c>
      <c r="AZ397" s="404">
        <f>IF(ISBLANK(tabItens[[#This Row],[CÓDIGO]]),"",tabItens[[#This Row],[PontoMês]] * (AZ$2+tabItens[[#This Row],[PontoQtM]]))</f>
        <v>68</v>
      </c>
      <c r="BA397" s="403">
        <f>tabItens[[#This Row],[PontoPed]] - tabItens[[#This Row],[Saldo]] + (1/10)</f>
        <v>-631.9</v>
      </c>
      <c r="BB397" s="403">
        <f xml:space="preserve"> tabItens[[#This Row],[PontoMês]] * BB$2 - tabItens[[#This Row],[QTDE ATUAL]] - (1/10)</f>
        <v>16.899999999999999</v>
      </c>
      <c r="BC397" s="335">
        <f>IF( tabItens[[#This Row],[PontoPed]]&gt;0, IF(tabItens[[#This Row],[PontoPed]]&lt;1, 1, IF( tabItens[[#This Row],[Saldo]]&gt;tabItens[[#This Row],[PontoPed]], 0, (tabItens[[#This Row],[PontoPed]]-tabItens[[#This Row],[Saldo]])/tabItens[[#This Row],[PontoPed]] ) ), 0 )</f>
        <v>0</v>
      </c>
      <c r="BD397" s="405">
        <f>ROUNDDOWN(IF( OR( AND(tabItens[[#This Row],[PontoPed]]&lt;tabItens[[#This Row],[Saldo]],tabItens[[#This Row],[Saldo]]&gt;0), tabItens[[#This Row],[PontoPed]]=0), 99, IF(AND(tabItens[[#This Row],[Saldo]]=0,tabItens[[#This Row],[PontoPed]]&gt;0), 0, (1-tabItens[[#This Row],[PctAb]])*10 ) ),0)</f>
        <v>99</v>
      </c>
      <c r="BE397" s="406">
        <f>MAX(ROUNDDOWN( IF(tabItens[[#This Row],[Abaixo]] &gt; 0,   tabItens[[#This Row],[Abaixo]] + (tabItens[[#This Row],[PontoMês]] * IF( OR( ISBLANK(tabItens[[#This Row],[ATA Nº/ANO]]), tabItens[[#This Row],[ATA Nº/ANO]] = ""),BE$2,BE$1)),0),0),0)</f>
        <v>0</v>
      </c>
      <c r="BF39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7" s="338">
        <f>SUMIF(Consumo!$C$3:$C$862,tabItens[[#This Row],[CÓDIGO]],Consumo!$E$3:$E$862)</f>
        <v>290</v>
      </c>
      <c r="BH397" s="339">
        <f>IF(AND(tabItens[[#This Row],[Pend]] &gt; 0,tabItens[[#This Row],[Consumo]] &lt;&gt; 0), tabItens[[#This Row],[Pend]] / tabItens[[#This Row],[Consumo]], 0 )</f>
        <v>0.50788091068301222</v>
      </c>
      <c r="BI397" s="338"/>
      <c r="BJ397" s="407"/>
      <c r="BK397" s="408" t="s">
        <v>2086</v>
      </c>
    </row>
    <row r="398" spans="1:63" x14ac:dyDescent="0.3">
      <c r="A398" s="375">
        <v>136083</v>
      </c>
      <c r="B398" s="376" t="s">
        <v>1923</v>
      </c>
      <c r="C398" s="377" t="s">
        <v>31</v>
      </c>
      <c r="D398" s="378">
        <v>5.83</v>
      </c>
      <c r="E398" s="305"/>
      <c r="F398" s="379"/>
      <c r="G398" s="379" t="s">
        <v>889</v>
      </c>
      <c r="H398" s="380">
        <v>436</v>
      </c>
      <c r="I398" s="307">
        <v>103003</v>
      </c>
      <c r="J398" s="308">
        <v>5.83</v>
      </c>
      <c r="K398" s="381">
        <v>110</v>
      </c>
      <c r="L398" s="382">
        <f>IF(tabItens[[#This Row],[Média]] &gt; 0, tabItens[[#This Row],[QTDE ATUAL]] / tabItens[[#This Row],[Média]],999.9)</f>
        <v>56.258064516129032</v>
      </c>
      <c r="M398" s="383">
        <v>0</v>
      </c>
      <c r="N398" s="384">
        <f>tabItens[[#This Row],[VALOR UNIT.]] * tabItens[[#This Row],[LC]]</f>
        <v>0</v>
      </c>
      <c r="O398" s="385" t="s">
        <v>2120</v>
      </c>
      <c r="P398" s="386"/>
      <c r="Q398" s="387"/>
      <c r="R398" s="312"/>
      <c r="S398" s="388"/>
      <c r="T398" s="389">
        <f>ROUNDDOWN(IFERROR(tabItens[[#This Row],[ATA DT.VALID.]] - $D$1,0) / 30,0)</f>
        <v>-1474</v>
      </c>
      <c r="U398" s="302" t="s">
        <v>1687</v>
      </c>
      <c r="V398" s="318">
        <v>1</v>
      </c>
      <c r="W398" s="390" t="s">
        <v>2077</v>
      </c>
      <c r="X398" s="391">
        <v>55</v>
      </c>
      <c r="Y398" s="392">
        <v>37</v>
      </c>
      <c r="Z398" s="393"/>
      <c r="AA398" s="394"/>
      <c r="AB398" s="395"/>
      <c r="AC398" s="395"/>
      <c r="AD398" s="394"/>
      <c r="AE398" s="395"/>
      <c r="AF398" s="317"/>
      <c r="AG398" s="396" t="s">
        <v>2072</v>
      </c>
      <c r="AH398" s="397"/>
      <c r="AI398" s="317">
        <v>36</v>
      </c>
      <c r="AJ398" s="397">
        <v>44448</v>
      </c>
      <c r="AK398" s="326">
        <v>43446</v>
      </c>
      <c r="AL398" s="326">
        <v>44725</v>
      </c>
      <c r="AM398" s="316"/>
      <c r="AN398" s="305"/>
      <c r="AO398" s="327" t="str">
        <f>_xlfn.IFNA(IF(VLOOKUP(tabItens[[#This Row],[CÓDIGO]],tabExcluirDoEstoque[#Data],1,FALSE),"sim",""),"")</f>
        <v/>
      </c>
      <c r="AP398" s="398" t="str">
        <f ca="1">IF(OR(ISBLANK(tabItens[[#This Row],[ATA DT.VALID.]]),tabItens[[#This Row],[ATA DT.VALID.]]="",tabItens[[#This Row],[ATA DT.VALID.]]=" "),"",IF(TYPE(tabItens[[#This Row],[ATA DT.VALID.]])=1,ROUNDUP((tabItens[[#This Row],[ATA DT.VALID.]]-TODAY())/7,0),""))</f>
        <v/>
      </c>
      <c r="AQ398" s="399">
        <v>0</v>
      </c>
      <c r="AR398" s="400" t="str">
        <f>IF(ISBLANK(tabItens[[#This Row],[CÓDIGO]]),"",IFERROR(VLOOKUP(tabItens[[#This Row],[CÓDIGO]],Consumo!$C$2:$AC$862,26,FALSE),0))</f>
        <v>06.2023</v>
      </c>
      <c r="AS398" s="401">
        <f>SUMIF(Consumo!$C$3:$C$862,tabItens[[#This Row],[CÓDIGO]],Consumo!$N$3:$N$862) + SUMIF(Consumo!$C$3:$C$862,tabItens[[#This Row],[CÓDIGO]],Consumo!$O$3:$O$862) + SUMIF(Consumo!$C$3:$C$862,tabItens[[#This Row],[CÓDIGO]],Consumo!$P$3:$P$862) + SUMIF(Consumo!$C$3:$C$862,tabItens[[#This Row],[CÓDIGO]],Consumo!$Q$3:$Q$862)</f>
        <v>62</v>
      </c>
      <c r="AT398" s="401">
        <f>SUMIF(Consumo!$C$3:$C$862,tabItens[[#This Row],[CÓDIGO]],Consumo!$Z$3:$Z$862)</f>
        <v>110</v>
      </c>
      <c r="AU398" s="402">
        <f>SUMIF(Consumo!$C$3:$C$862,tabItens[[#This Row],[CÓDIGO]],Consumo!$AA$3:$AA$862)</f>
        <v>62</v>
      </c>
      <c r="AV398" s="403">
        <f>SUMIF(Consumo!$C$3:$C$862,tabItens[[#This Row],[CÓDIGO]],Consumo!$Y$3:$Y$862)</f>
        <v>7.75</v>
      </c>
      <c r="AW398" s="380">
        <f>tabItens[[#This Row],[QTDE ATUAL]] + tabItens[[#This Row],[RC QTDE]] + tabItens[[#This Row],[AF SALDO]] + tabItens[[#This Row],[Recentes]]</f>
        <v>436</v>
      </c>
      <c r="AX398" s="404">
        <v>25</v>
      </c>
      <c r="AY398" s="404">
        <v>4</v>
      </c>
      <c r="AZ398" s="404">
        <f>IF(ISBLANK(tabItens[[#This Row],[CÓDIGO]]),"",tabItens[[#This Row],[PontoMês]] * (AZ$2+tabItens[[#This Row],[PontoQtM]]))</f>
        <v>100</v>
      </c>
      <c r="BA398" s="403">
        <f>tabItens[[#This Row],[PontoPed]] - tabItens[[#This Row],[Saldo]] + (1/10)</f>
        <v>-335.9</v>
      </c>
      <c r="BB398" s="403">
        <f xml:space="preserve"> tabItens[[#This Row],[PontoMês]] * BB$2 - tabItens[[#This Row],[QTDE ATUAL]] - (1/10)</f>
        <v>-411.1</v>
      </c>
      <c r="BC398" s="335">
        <f>IF( tabItens[[#This Row],[PontoPed]]&gt;0, IF(tabItens[[#This Row],[PontoPed]]&lt;1, 1, IF( tabItens[[#This Row],[Saldo]]&gt;tabItens[[#This Row],[PontoPed]], 0, (tabItens[[#This Row],[PontoPed]]-tabItens[[#This Row],[Saldo]])/tabItens[[#This Row],[PontoPed]] ) ), 0 )</f>
        <v>0</v>
      </c>
      <c r="BD398" s="405">
        <f>ROUNDDOWN(IF( OR( AND(tabItens[[#This Row],[PontoPed]]&lt;tabItens[[#This Row],[Saldo]],tabItens[[#This Row],[Saldo]]&gt;0), tabItens[[#This Row],[PontoPed]]=0), 99, IF(AND(tabItens[[#This Row],[Saldo]]=0,tabItens[[#This Row],[PontoPed]]&gt;0), 0, (1-tabItens[[#This Row],[PctAb]])*10 ) ),0)</f>
        <v>99</v>
      </c>
      <c r="BE398" s="406">
        <f>MAX(ROUNDDOWN( IF(tabItens[[#This Row],[Abaixo]] &gt; 0,   tabItens[[#This Row],[Abaixo]] + (tabItens[[#This Row],[PontoMês]] * IF( OR( ISBLANK(tabItens[[#This Row],[ATA Nº/ANO]]), tabItens[[#This Row],[ATA Nº/ANO]] = ""),BE$2,BE$1)),0),0),0)</f>
        <v>0</v>
      </c>
      <c r="BF39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8" s="338">
        <f>SUMIF(Consumo!$C$3:$C$862,tabItens[[#This Row],[CÓDIGO]],Consumo!$E$3:$E$862)</f>
        <v>0</v>
      </c>
      <c r="BH398" s="339">
        <f>IF(AND(tabItens[[#This Row],[Pend]] &gt; 0,tabItens[[#This Row],[Consumo]] &lt;&gt; 0), tabItens[[#This Row],[Pend]] / tabItens[[#This Row],[Consumo]], 0 )</f>
        <v>0</v>
      </c>
      <c r="BI398" s="338"/>
      <c r="BJ398" s="407"/>
      <c r="BK398" s="408" t="s">
        <v>2086</v>
      </c>
    </row>
    <row r="399" spans="1:63" x14ac:dyDescent="0.3">
      <c r="A399" s="375">
        <v>50797</v>
      </c>
      <c r="B399" s="376" t="s">
        <v>1299</v>
      </c>
      <c r="C399" s="377" t="s">
        <v>263</v>
      </c>
      <c r="D399" s="378">
        <v>38.17</v>
      </c>
      <c r="E399" s="305"/>
      <c r="F399" s="379"/>
      <c r="G399" s="379" t="s">
        <v>889</v>
      </c>
      <c r="H399" s="380">
        <v>108</v>
      </c>
      <c r="I399" s="307">
        <v>103003</v>
      </c>
      <c r="J399" s="308">
        <v>38.17</v>
      </c>
      <c r="K399" s="381">
        <v>190</v>
      </c>
      <c r="L399" s="382">
        <f>IF(tabItens[[#This Row],[Média]] &gt; 0, tabItens[[#This Row],[QTDE ATUAL]] / tabItens[[#This Row],[Média]],999.9)</f>
        <v>6.3219512195121954</v>
      </c>
      <c r="M399" s="383">
        <v>0</v>
      </c>
      <c r="N399" s="384">
        <f>tabItens[[#This Row],[VALOR UNIT.]] * tabItens[[#This Row],[LC]]</f>
        <v>0</v>
      </c>
      <c r="O399" s="385" t="s">
        <v>2120</v>
      </c>
      <c r="P399" s="386"/>
      <c r="Q399" s="387"/>
      <c r="R399" s="312"/>
      <c r="S399" s="388"/>
      <c r="T399" s="389">
        <f>ROUNDDOWN(IFERROR(tabItens[[#This Row],[ATA DT.VALID.]] - $D$1,0) / 30,0)</f>
        <v>-1474</v>
      </c>
      <c r="U399" s="302" t="s">
        <v>1300</v>
      </c>
      <c r="V399" s="318">
        <v>1</v>
      </c>
      <c r="W399" s="390" t="s">
        <v>2076</v>
      </c>
      <c r="X399" s="391">
        <v>61</v>
      </c>
      <c r="Y399" s="392">
        <v>16</v>
      </c>
      <c r="Z399" s="393"/>
      <c r="AA399" s="394"/>
      <c r="AB399" s="395"/>
      <c r="AC399" s="395"/>
      <c r="AD399" s="394"/>
      <c r="AE399" s="395"/>
      <c r="AF399" s="317"/>
      <c r="AG399" s="396" t="s">
        <v>2072</v>
      </c>
      <c r="AH399" s="397"/>
      <c r="AI399" s="317">
        <v>70</v>
      </c>
      <c r="AJ399" s="397">
        <v>45189</v>
      </c>
      <c r="AK399" s="326" t="s">
        <v>889</v>
      </c>
      <c r="AL399" s="326">
        <v>45145</v>
      </c>
      <c r="AM399" s="316"/>
      <c r="AN399" s="305"/>
      <c r="AO399" s="327" t="str">
        <f>_xlfn.IFNA(IF(VLOOKUP(tabItens[[#This Row],[CÓDIGO]],tabExcluirDoEstoque[#Data],1,FALSE),"sim",""),"")</f>
        <v/>
      </c>
      <c r="AP399" s="398" t="str">
        <f ca="1">IF(OR(ISBLANK(tabItens[[#This Row],[ATA DT.VALID.]]),tabItens[[#This Row],[ATA DT.VALID.]]="",tabItens[[#This Row],[ATA DT.VALID.]]=" "),"",IF(TYPE(tabItens[[#This Row],[ATA DT.VALID.]])=1,ROUNDUP((tabItens[[#This Row],[ATA DT.VALID.]]-TODAY())/7,0),""))</f>
        <v/>
      </c>
      <c r="AQ399" s="399">
        <v>0</v>
      </c>
      <c r="AR399" s="400" t="str">
        <f>IF(ISBLANK(tabItens[[#This Row],[CÓDIGO]]),"",IFERROR(VLOOKUP(tabItens[[#This Row],[CÓDIGO]],Consumo!$C$2:$AC$862,26,FALSE),0))</f>
        <v>08.2023</v>
      </c>
      <c r="AS399" s="401">
        <f>SUMIF(Consumo!$C$3:$C$862,tabItens[[#This Row],[CÓDIGO]],Consumo!$N$3:$N$862) + SUMIF(Consumo!$C$3:$C$862,tabItens[[#This Row],[CÓDIGO]],Consumo!$O$3:$O$862) + SUMIF(Consumo!$C$3:$C$862,tabItens[[#This Row],[CÓDIGO]],Consumo!$P$3:$P$862) + SUMIF(Consumo!$C$3:$C$862,tabItens[[#This Row],[CÓDIGO]],Consumo!$Q$3:$Q$862)</f>
        <v>63</v>
      </c>
      <c r="AT399" s="401">
        <f>SUMIF(Consumo!$C$3:$C$862,tabItens[[#This Row],[CÓDIGO]],Consumo!$Z$3:$Z$862)</f>
        <v>210</v>
      </c>
      <c r="AU399" s="402">
        <f>SUMIF(Consumo!$C$3:$C$862,tabItens[[#This Row],[CÓDIGO]],Consumo!$AA$3:$AA$862)</f>
        <v>61</v>
      </c>
      <c r="AV399" s="403">
        <f>SUMIF(Consumo!$C$3:$C$862,tabItens[[#This Row],[CÓDIGO]],Consumo!$Y$3:$Y$862)</f>
        <v>17.083333333333332</v>
      </c>
      <c r="AW399" s="380">
        <f>tabItens[[#This Row],[QTDE ATUAL]] + tabItens[[#This Row],[RC QTDE]] + tabItens[[#This Row],[AF SALDO]] + tabItens[[#This Row],[Recentes]]</f>
        <v>108</v>
      </c>
      <c r="AX399" s="404">
        <v>15</v>
      </c>
      <c r="AY399" s="404">
        <v>4</v>
      </c>
      <c r="AZ399" s="404">
        <f>IF(ISBLANK(tabItens[[#This Row],[CÓDIGO]]),"",tabItens[[#This Row],[PontoMês]] * (AZ$2+tabItens[[#This Row],[PontoQtM]]))</f>
        <v>60</v>
      </c>
      <c r="BA399" s="403">
        <f>tabItens[[#This Row],[PontoPed]] - tabItens[[#This Row],[Saldo]] + (1/10)</f>
        <v>-47.9</v>
      </c>
      <c r="BB399" s="403">
        <f xml:space="preserve"> tabItens[[#This Row],[PontoMês]] * BB$2 - tabItens[[#This Row],[QTDE ATUAL]] - (1/10)</f>
        <v>-93.1</v>
      </c>
      <c r="BC399" s="335">
        <f>IF( tabItens[[#This Row],[PontoPed]]&gt;0, IF(tabItens[[#This Row],[PontoPed]]&lt;1, 1, IF( tabItens[[#This Row],[Saldo]]&gt;tabItens[[#This Row],[PontoPed]], 0, (tabItens[[#This Row],[PontoPed]]-tabItens[[#This Row],[Saldo]])/tabItens[[#This Row],[PontoPed]] ) ), 0 )</f>
        <v>0</v>
      </c>
      <c r="BD399" s="405">
        <f>ROUNDDOWN(IF( OR( AND(tabItens[[#This Row],[PontoPed]]&lt;tabItens[[#This Row],[Saldo]],tabItens[[#This Row],[Saldo]]&gt;0), tabItens[[#This Row],[PontoPed]]=0), 99, IF(AND(tabItens[[#This Row],[Saldo]]=0,tabItens[[#This Row],[PontoPed]]&gt;0), 0, (1-tabItens[[#This Row],[PctAb]])*10 ) ),0)</f>
        <v>99</v>
      </c>
      <c r="BE399" s="406">
        <f>MAX(ROUNDDOWN( IF(tabItens[[#This Row],[Abaixo]] &gt; 0,   tabItens[[#This Row],[Abaixo]] + (tabItens[[#This Row],[PontoMês]] * IF( OR( ISBLANK(tabItens[[#This Row],[ATA Nº/ANO]]), tabItens[[#This Row],[ATA Nº/ANO]] = ""),BE$2,BE$1)),0),0),0)</f>
        <v>0</v>
      </c>
      <c r="BF39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9" s="338">
        <f>SUMIF(Consumo!$C$3:$C$862,tabItens[[#This Row],[CÓDIGO]],Consumo!$E$3:$E$862)</f>
        <v>0</v>
      </c>
      <c r="BH399" s="339">
        <f>IF(AND(tabItens[[#This Row],[Pend]] &gt; 0,tabItens[[#This Row],[Consumo]] &lt;&gt; 0), tabItens[[#This Row],[Pend]] / tabItens[[#This Row],[Consumo]], 0 )</f>
        <v>0</v>
      </c>
      <c r="BI399" s="338"/>
      <c r="BJ399" s="407"/>
      <c r="BK399" s="408" t="s">
        <v>2086</v>
      </c>
    </row>
    <row r="400" spans="1:63" x14ac:dyDescent="0.3">
      <c r="A400" s="375">
        <v>59882</v>
      </c>
      <c r="B400" s="376" t="s">
        <v>1346</v>
      </c>
      <c r="C400" s="377" t="s">
        <v>345</v>
      </c>
      <c r="D400" s="378">
        <v>47</v>
      </c>
      <c r="E400" s="305"/>
      <c r="F400" s="379"/>
      <c r="G400" s="379" t="s">
        <v>889</v>
      </c>
      <c r="H400" s="380">
        <v>1986</v>
      </c>
      <c r="I400" s="307">
        <v>103003</v>
      </c>
      <c r="J400" s="308">
        <v>46.943440000000002</v>
      </c>
      <c r="K400" s="381">
        <v>669</v>
      </c>
      <c r="L400" s="382">
        <f>IF(tabItens[[#This Row],[Média]] &gt; 0, tabItens[[#This Row],[QTDE ATUAL]] / tabItens[[#This Row],[Média]],999.9)</f>
        <v>32.512960436562075</v>
      </c>
      <c r="M400" s="383">
        <v>0</v>
      </c>
      <c r="N400" s="384">
        <f>tabItens[[#This Row],[VALOR UNIT.]] * tabItens[[#This Row],[LC]]</f>
        <v>0</v>
      </c>
      <c r="O400" s="385" t="s">
        <v>2153</v>
      </c>
      <c r="P400" s="386"/>
      <c r="Q400" s="387"/>
      <c r="R400" s="312"/>
      <c r="S400" s="388"/>
      <c r="T400" s="389">
        <f>ROUNDDOWN(IFERROR(tabItens[[#This Row],[ATA DT.VALID.]] - $D$1,0) / 30,0)</f>
        <v>-1474</v>
      </c>
      <c r="U400" s="302" t="s">
        <v>1347</v>
      </c>
      <c r="V400" s="318">
        <v>1</v>
      </c>
      <c r="W400" s="390" t="s">
        <v>2071</v>
      </c>
      <c r="X400" s="391">
        <v>69</v>
      </c>
      <c r="Y400" s="392">
        <v>8</v>
      </c>
      <c r="Z400" s="393"/>
      <c r="AA400" s="394"/>
      <c r="AB400" s="395"/>
      <c r="AC400" s="395"/>
      <c r="AD400" s="394"/>
      <c r="AE400" s="395"/>
      <c r="AF400" s="317"/>
      <c r="AG400" s="396" t="s">
        <v>2072</v>
      </c>
      <c r="AH400" s="397"/>
      <c r="AI400" s="317">
        <v>270</v>
      </c>
      <c r="AJ400" s="397">
        <v>45181</v>
      </c>
      <c r="AK400" s="326" t="s">
        <v>889</v>
      </c>
      <c r="AL400" s="326">
        <v>45141</v>
      </c>
      <c r="AM400" s="316"/>
      <c r="AN400" s="305"/>
      <c r="AO400" s="327" t="str">
        <f>_xlfn.IFNA(IF(VLOOKUP(tabItens[[#This Row],[CÓDIGO]],tabExcluirDoEstoque[#Data],1,FALSE),"sim",""),"")</f>
        <v/>
      </c>
      <c r="AP400" s="398" t="str">
        <f ca="1">IF(OR(ISBLANK(tabItens[[#This Row],[ATA DT.VALID.]]),tabItens[[#This Row],[ATA DT.VALID.]]="",tabItens[[#This Row],[ATA DT.VALID.]]=" "),"",IF(TYPE(tabItens[[#This Row],[ATA DT.VALID.]])=1,ROUNDUP((tabItens[[#This Row],[ATA DT.VALID.]]-TODAY())/7,0),""))</f>
        <v/>
      </c>
      <c r="AQ400" s="399">
        <v>0</v>
      </c>
      <c r="AR400" s="400" t="str">
        <f>IF(ISBLANK(tabItens[[#This Row],[CÓDIGO]]),"",IFERROR(VLOOKUP(tabItens[[#This Row],[CÓDIGO]],Consumo!$C$2:$AC$862,26,FALSE),0))</f>
        <v>08.2023</v>
      </c>
      <c r="AS400" s="401">
        <f>SUMIF(Consumo!$C$3:$C$862,tabItens[[#This Row],[CÓDIGO]],Consumo!$N$3:$N$862) + SUMIF(Consumo!$C$3:$C$862,tabItens[[#This Row],[CÓDIGO]],Consumo!$O$3:$O$862) + SUMIF(Consumo!$C$3:$C$862,tabItens[[#This Row],[CÓDIGO]],Consumo!$P$3:$P$862) + SUMIF(Consumo!$C$3:$C$862,tabItens[[#This Row],[CÓDIGO]],Consumo!$Q$3:$Q$862)</f>
        <v>103</v>
      </c>
      <c r="AT400" s="401">
        <f>SUMIF(Consumo!$C$3:$C$862,tabItens[[#This Row],[CÓDIGO]],Consumo!$Z$3:$Z$862)</f>
        <v>770</v>
      </c>
      <c r="AU400" s="402">
        <f>SUMIF(Consumo!$C$3:$C$862,tabItens[[#This Row],[CÓDIGO]],Consumo!$AA$3:$AA$862)</f>
        <v>240</v>
      </c>
      <c r="AV400" s="403">
        <f>SUMIF(Consumo!$C$3:$C$862,tabItens[[#This Row],[CÓDIGO]],Consumo!$Y$3:$Y$862)</f>
        <v>61.083333333333336</v>
      </c>
      <c r="AW400" s="380">
        <f>tabItens[[#This Row],[QTDE ATUAL]] + tabItens[[#This Row],[RC QTDE]] + tabItens[[#This Row],[AF SALDO]] + tabItens[[#This Row],[Recentes]]</f>
        <v>1986</v>
      </c>
      <c r="AX400" s="404">
        <v>97</v>
      </c>
      <c r="AY400" s="404">
        <v>4</v>
      </c>
      <c r="AZ400" s="404">
        <f>IF(ISBLANK(tabItens[[#This Row],[CÓDIGO]]),"",tabItens[[#This Row],[PontoMês]] * (AZ$2+tabItens[[#This Row],[PontoQtM]]))</f>
        <v>388</v>
      </c>
      <c r="BA400" s="403">
        <f>tabItens[[#This Row],[PontoPed]] - tabItens[[#This Row],[Saldo]] + (1/10)</f>
        <v>-1597.9</v>
      </c>
      <c r="BB400" s="403">
        <f xml:space="preserve"> tabItens[[#This Row],[PontoMês]] * BB$2 - tabItens[[#This Row],[QTDE ATUAL]] - (1/10)</f>
        <v>-1889.1</v>
      </c>
      <c r="BC400" s="335">
        <f>IF( tabItens[[#This Row],[PontoPed]]&gt;0, IF(tabItens[[#This Row],[PontoPed]]&lt;1, 1, IF( tabItens[[#This Row],[Saldo]]&gt;tabItens[[#This Row],[PontoPed]], 0, (tabItens[[#This Row],[PontoPed]]-tabItens[[#This Row],[Saldo]])/tabItens[[#This Row],[PontoPed]] ) ), 0 )</f>
        <v>0</v>
      </c>
      <c r="BD400" s="405">
        <f>ROUNDDOWN(IF( OR( AND(tabItens[[#This Row],[PontoPed]]&lt;tabItens[[#This Row],[Saldo]],tabItens[[#This Row],[Saldo]]&gt;0), tabItens[[#This Row],[PontoPed]]=0), 99, IF(AND(tabItens[[#This Row],[Saldo]]=0,tabItens[[#This Row],[PontoPed]]&gt;0), 0, (1-tabItens[[#This Row],[PctAb]])*10 ) ),0)</f>
        <v>99</v>
      </c>
      <c r="BE400" s="406">
        <f>MAX(ROUNDDOWN( IF(tabItens[[#This Row],[Abaixo]] &gt; 0,   tabItens[[#This Row],[Abaixo]] + (tabItens[[#This Row],[PontoMês]] * IF( OR( ISBLANK(tabItens[[#This Row],[ATA Nº/ANO]]), tabItens[[#This Row],[ATA Nº/ANO]] = ""),BE$2,BE$1)),0),0),0)</f>
        <v>0</v>
      </c>
      <c r="BF40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0" s="338">
        <f>SUMIF(Consumo!$C$3:$C$862,tabItens[[#This Row],[CÓDIGO]],Consumo!$E$3:$E$862)</f>
        <v>0</v>
      </c>
      <c r="BH400" s="339">
        <f>IF(AND(tabItens[[#This Row],[Pend]] &gt; 0,tabItens[[#This Row],[Consumo]] &lt;&gt; 0), tabItens[[#This Row],[Pend]] / tabItens[[#This Row],[Consumo]], 0 )</f>
        <v>0</v>
      </c>
      <c r="BI400" s="338"/>
      <c r="BJ400" s="407"/>
      <c r="BK400" s="408" t="s">
        <v>2086</v>
      </c>
    </row>
    <row r="401" spans="1:63" x14ac:dyDescent="0.3">
      <c r="A401" s="375">
        <v>59942</v>
      </c>
      <c r="B401" s="376" t="s">
        <v>1348</v>
      </c>
      <c r="C401" s="377" t="s">
        <v>345</v>
      </c>
      <c r="D401" s="378">
        <v>31.4</v>
      </c>
      <c r="E401" s="305"/>
      <c r="F401" s="379"/>
      <c r="G401" s="379" t="s">
        <v>889</v>
      </c>
      <c r="H401" s="380">
        <v>508</v>
      </c>
      <c r="I401" s="307">
        <v>103003</v>
      </c>
      <c r="J401" s="308">
        <v>31.4</v>
      </c>
      <c r="K401" s="381">
        <v>116</v>
      </c>
      <c r="L401" s="382">
        <f>IF(tabItens[[#This Row],[Média]] &gt; 0, tabItens[[#This Row],[QTDE ATUAL]] / tabItens[[#This Row],[Média]],999.9)</f>
        <v>50.380165289256198</v>
      </c>
      <c r="M401" s="383">
        <v>0</v>
      </c>
      <c r="N401" s="384">
        <f>tabItens[[#This Row],[VALOR UNIT.]] * tabItens[[#This Row],[LC]]</f>
        <v>0</v>
      </c>
      <c r="O401" s="385" t="s">
        <v>2153</v>
      </c>
      <c r="P401" s="386"/>
      <c r="Q401" s="387"/>
      <c r="R401" s="312"/>
      <c r="S401" s="388"/>
      <c r="T401" s="389">
        <f>ROUNDDOWN(IFERROR(tabItens[[#This Row],[ATA DT.VALID.]] - $D$1,0) / 30,0)</f>
        <v>-1474</v>
      </c>
      <c r="U401" s="302" t="s">
        <v>1347</v>
      </c>
      <c r="V401" s="318">
        <v>1</v>
      </c>
      <c r="W401" s="390" t="s">
        <v>2071</v>
      </c>
      <c r="X401" s="391">
        <v>69</v>
      </c>
      <c r="Y401" s="392">
        <v>8</v>
      </c>
      <c r="Z401" s="393"/>
      <c r="AA401" s="394"/>
      <c r="AB401" s="395"/>
      <c r="AC401" s="395"/>
      <c r="AD401" s="394"/>
      <c r="AE401" s="395"/>
      <c r="AF401" s="317"/>
      <c r="AG401" s="396" t="s">
        <v>2072</v>
      </c>
      <c r="AH401" s="397"/>
      <c r="AI401" s="317">
        <v>42</v>
      </c>
      <c r="AJ401" s="397">
        <v>44551</v>
      </c>
      <c r="AK401" s="326" t="s">
        <v>889</v>
      </c>
      <c r="AL401" s="326">
        <v>45141</v>
      </c>
      <c r="AM401" s="316"/>
      <c r="AN401" s="305"/>
      <c r="AO401" s="327" t="str">
        <f>_xlfn.IFNA(IF(VLOOKUP(tabItens[[#This Row],[CÓDIGO]],tabExcluirDoEstoque[#Data],1,FALSE),"sim",""),"")</f>
        <v/>
      </c>
      <c r="AP401" s="398" t="str">
        <f ca="1">IF(OR(ISBLANK(tabItens[[#This Row],[ATA DT.VALID.]]),tabItens[[#This Row],[ATA DT.VALID.]]="",tabItens[[#This Row],[ATA DT.VALID.]]=" "),"",IF(TYPE(tabItens[[#This Row],[ATA DT.VALID.]])=1,ROUNDUP((tabItens[[#This Row],[ATA DT.VALID.]]-TODAY())/7,0),""))</f>
        <v/>
      </c>
      <c r="AQ401" s="399">
        <v>0</v>
      </c>
      <c r="AR401" s="400" t="str">
        <f>IF(ISBLANK(tabItens[[#This Row],[CÓDIGO]]),"",IFERROR(VLOOKUP(tabItens[[#This Row],[CÓDIGO]],Consumo!$C$2:$AC$862,26,FALSE),0))</f>
        <v>08.2023</v>
      </c>
      <c r="AS401" s="401">
        <f>SUMIF(Consumo!$C$3:$C$862,tabItens[[#This Row],[CÓDIGO]],Consumo!$N$3:$N$862) + SUMIF(Consumo!$C$3:$C$862,tabItens[[#This Row],[CÓDIGO]],Consumo!$O$3:$O$862) + SUMIF(Consumo!$C$3:$C$862,tabItens[[#This Row],[CÓDIGO]],Consumo!$P$3:$P$862) + SUMIF(Consumo!$C$3:$C$862,tabItens[[#This Row],[CÓDIGO]],Consumo!$Q$3:$Q$862)</f>
        <v>51</v>
      </c>
      <c r="AT401" s="401">
        <f>SUMIF(Consumo!$C$3:$C$862,tabItens[[#This Row],[CÓDIGO]],Consumo!$Z$3:$Z$862)</f>
        <v>125</v>
      </c>
      <c r="AU401" s="402">
        <f>SUMIF(Consumo!$C$3:$C$862,tabItens[[#This Row],[CÓDIGO]],Consumo!$AA$3:$AA$862)</f>
        <v>39</v>
      </c>
      <c r="AV401" s="403">
        <f>SUMIF(Consumo!$C$3:$C$862,tabItens[[#This Row],[CÓDIGO]],Consumo!$Y$3:$Y$862)</f>
        <v>10.083333333333334</v>
      </c>
      <c r="AW401" s="380">
        <f>tabItens[[#This Row],[QTDE ATUAL]] + tabItens[[#This Row],[RC QTDE]] + tabItens[[#This Row],[AF SALDO]] + tabItens[[#This Row],[Recentes]]</f>
        <v>508</v>
      </c>
      <c r="AX401" s="404">
        <v>44</v>
      </c>
      <c r="AY401" s="404">
        <v>4</v>
      </c>
      <c r="AZ401" s="404">
        <f>IF(ISBLANK(tabItens[[#This Row],[CÓDIGO]]),"",tabItens[[#This Row],[PontoMês]] * (AZ$2+tabItens[[#This Row],[PontoQtM]]))</f>
        <v>176</v>
      </c>
      <c r="BA401" s="403">
        <f>tabItens[[#This Row],[PontoPed]] - tabItens[[#This Row],[Saldo]] + (1/10)</f>
        <v>-331.9</v>
      </c>
      <c r="BB401" s="403">
        <f xml:space="preserve"> tabItens[[#This Row],[PontoMês]] * BB$2 - tabItens[[#This Row],[QTDE ATUAL]] - (1/10)</f>
        <v>-464.1</v>
      </c>
      <c r="BC401" s="335">
        <f>IF( tabItens[[#This Row],[PontoPed]]&gt;0, IF(tabItens[[#This Row],[PontoPed]]&lt;1, 1, IF( tabItens[[#This Row],[Saldo]]&gt;tabItens[[#This Row],[PontoPed]], 0, (tabItens[[#This Row],[PontoPed]]-tabItens[[#This Row],[Saldo]])/tabItens[[#This Row],[PontoPed]] ) ), 0 )</f>
        <v>0</v>
      </c>
      <c r="BD401" s="405">
        <f>ROUNDDOWN(IF( OR( AND(tabItens[[#This Row],[PontoPed]]&lt;tabItens[[#This Row],[Saldo]],tabItens[[#This Row],[Saldo]]&gt;0), tabItens[[#This Row],[PontoPed]]=0), 99, IF(AND(tabItens[[#This Row],[Saldo]]=0,tabItens[[#This Row],[PontoPed]]&gt;0), 0, (1-tabItens[[#This Row],[PctAb]])*10 ) ),0)</f>
        <v>99</v>
      </c>
      <c r="BE401" s="406">
        <f>MAX(ROUNDDOWN( IF(tabItens[[#This Row],[Abaixo]] &gt; 0,   tabItens[[#This Row],[Abaixo]] + (tabItens[[#This Row],[PontoMês]] * IF( OR( ISBLANK(tabItens[[#This Row],[ATA Nº/ANO]]), tabItens[[#This Row],[ATA Nº/ANO]] = ""),BE$2,BE$1)),0),0),0)</f>
        <v>0</v>
      </c>
      <c r="BF40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1" s="338">
        <f>SUMIF(Consumo!$C$3:$C$862,tabItens[[#This Row],[CÓDIGO]],Consumo!$E$3:$E$862)</f>
        <v>0</v>
      </c>
      <c r="BH401" s="339">
        <f>IF(AND(tabItens[[#This Row],[Pend]] &gt; 0,tabItens[[#This Row],[Consumo]] &lt;&gt; 0), tabItens[[#This Row],[Pend]] / tabItens[[#This Row],[Consumo]], 0 )</f>
        <v>0</v>
      </c>
      <c r="BI401" s="338"/>
      <c r="BJ401" s="407"/>
      <c r="BK401" s="408" t="s">
        <v>2086</v>
      </c>
    </row>
    <row r="402" spans="1:63" x14ac:dyDescent="0.3">
      <c r="A402" s="375">
        <v>64604</v>
      </c>
      <c r="B402" s="376" t="s">
        <v>1375</v>
      </c>
      <c r="C402" s="377" t="s">
        <v>345</v>
      </c>
      <c r="D402" s="378">
        <v>19.579999999999998</v>
      </c>
      <c r="E402" s="305"/>
      <c r="F402" s="379"/>
      <c r="G402" s="379" t="s">
        <v>889</v>
      </c>
      <c r="H402" s="380">
        <v>1361</v>
      </c>
      <c r="I402" s="307">
        <v>103003</v>
      </c>
      <c r="J402" s="308">
        <v>19.579999999999998</v>
      </c>
      <c r="K402" s="381">
        <v>48</v>
      </c>
      <c r="L402" s="382">
        <f>IF(tabItens[[#This Row],[Média]] &gt; 0, tabItens[[#This Row],[QTDE ATUAL]] / tabItens[[#This Row],[Média]],999.9)</f>
        <v>418.76923076923077</v>
      </c>
      <c r="M402" s="383">
        <v>0</v>
      </c>
      <c r="N402" s="384">
        <f>tabItens[[#This Row],[VALOR UNIT.]] * tabItens[[#This Row],[LC]]</f>
        <v>0</v>
      </c>
      <c r="O402" s="385" t="s">
        <v>2153</v>
      </c>
      <c r="P402" s="386"/>
      <c r="Q402" s="387"/>
      <c r="R402" s="312"/>
      <c r="S402" s="388"/>
      <c r="T402" s="389">
        <f>ROUNDDOWN(IFERROR(tabItens[[#This Row],[ATA DT.VALID.]] - $D$1,0) / 30,0)</f>
        <v>-1474</v>
      </c>
      <c r="U402" s="302" t="s">
        <v>1347</v>
      </c>
      <c r="V402" s="318">
        <v>1</v>
      </c>
      <c r="W402" s="390" t="s">
        <v>2071</v>
      </c>
      <c r="X402" s="391">
        <v>69</v>
      </c>
      <c r="Y402" s="392">
        <v>8</v>
      </c>
      <c r="Z402" s="393"/>
      <c r="AA402" s="394"/>
      <c r="AB402" s="395"/>
      <c r="AC402" s="395"/>
      <c r="AD402" s="394"/>
      <c r="AE402" s="395"/>
      <c r="AF402" s="317"/>
      <c r="AG402" s="396" t="s">
        <v>2072</v>
      </c>
      <c r="AH402" s="397"/>
      <c r="AI402" s="317">
        <v>32</v>
      </c>
      <c r="AJ402" s="397">
        <v>44551</v>
      </c>
      <c r="AK402" s="326" t="s">
        <v>889</v>
      </c>
      <c r="AL402" s="326">
        <v>45141</v>
      </c>
      <c r="AM402" s="316"/>
      <c r="AN402" s="305"/>
      <c r="AO402" s="327" t="str">
        <f>_xlfn.IFNA(IF(VLOOKUP(tabItens[[#This Row],[CÓDIGO]],tabExcluirDoEstoque[#Data],1,FALSE),"sim",""),"")</f>
        <v/>
      </c>
      <c r="AP402" s="398" t="str">
        <f ca="1">IF(OR(ISBLANK(tabItens[[#This Row],[ATA DT.VALID.]]),tabItens[[#This Row],[ATA DT.VALID.]]="",tabItens[[#This Row],[ATA DT.VALID.]]=" "),"",IF(TYPE(tabItens[[#This Row],[ATA DT.VALID.]])=1,ROUNDUP((tabItens[[#This Row],[ATA DT.VALID.]]-TODAY())/7,0),""))</f>
        <v/>
      </c>
      <c r="AQ402" s="399">
        <v>0</v>
      </c>
      <c r="AR402" s="400" t="str">
        <f>IF(ISBLANK(tabItens[[#This Row],[CÓDIGO]]),"",IFERROR(VLOOKUP(tabItens[[#This Row],[CÓDIGO]],Consumo!$C$2:$AC$862,26,FALSE),0))</f>
        <v>08.2023</v>
      </c>
      <c r="AS402" s="401">
        <f>SUMIF(Consumo!$C$3:$C$862,tabItens[[#This Row],[CÓDIGO]],Consumo!$N$3:$N$862) + SUMIF(Consumo!$C$3:$C$862,tabItens[[#This Row],[CÓDIGO]],Consumo!$O$3:$O$862) + SUMIF(Consumo!$C$3:$C$862,tabItens[[#This Row],[CÓDIGO]],Consumo!$P$3:$P$862) + SUMIF(Consumo!$C$3:$C$862,tabItens[[#This Row],[CÓDIGO]],Consumo!$Q$3:$Q$862)</f>
        <v>15</v>
      </c>
      <c r="AT402" s="401">
        <f>SUMIF(Consumo!$C$3:$C$862,tabItens[[#This Row],[CÓDIGO]],Consumo!$Z$3:$Z$862)</f>
        <v>48</v>
      </c>
      <c r="AU402" s="402">
        <f>SUMIF(Consumo!$C$3:$C$862,tabItens[[#This Row],[CÓDIGO]],Consumo!$AA$3:$AA$862)</f>
        <v>30</v>
      </c>
      <c r="AV402" s="403">
        <f>SUMIF(Consumo!$C$3:$C$862,tabItens[[#This Row],[CÓDIGO]],Consumo!$Y$3:$Y$862)</f>
        <v>3.25</v>
      </c>
      <c r="AW402" s="380">
        <f>tabItens[[#This Row],[QTDE ATUAL]] + tabItens[[#This Row],[RC QTDE]] + tabItens[[#This Row],[AF SALDO]] + tabItens[[#This Row],[Recentes]]</f>
        <v>1361</v>
      </c>
      <c r="AX402" s="404">
        <v>25</v>
      </c>
      <c r="AY402" s="404">
        <v>4</v>
      </c>
      <c r="AZ402" s="404">
        <f>IF(ISBLANK(tabItens[[#This Row],[CÓDIGO]]),"",tabItens[[#This Row],[PontoMês]] * (AZ$2+tabItens[[#This Row],[PontoQtM]]))</f>
        <v>100</v>
      </c>
      <c r="BA402" s="403">
        <f>tabItens[[#This Row],[PontoPed]] - tabItens[[#This Row],[Saldo]] + (1/10)</f>
        <v>-1260.9000000000001</v>
      </c>
      <c r="BB402" s="403">
        <f xml:space="preserve"> tabItens[[#This Row],[PontoMês]] * BB$2 - tabItens[[#This Row],[QTDE ATUAL]] - (1/10)</f>
        <v>-1336.1</v>
      </c>
      <c r="BC402" s="335">
        <f>IF( tabItens[[#This Row],[PontoPed]]&gt;0, IF(tabItens[[#This Row],[PontoPed]]&lt;1, 1, IF( tabItens[[#This Row],[Saldo]]&gt;tabItens[[#This Row],[PontoPed]], 0, (tabItens[[#This Row],[PontoPed]]-tabItens[[#This Row],[Saldo]])/tabItens[[#This Row],[PontoPed]] ) ), 0 )</f>
        <v>0</v>
      </c>
      <c r="BD402" s="405">
        <f>ROUNDDOWN(IF( OR( AND(tabItens[[#This Row],[PontoPed]]&lt;tabItens[[#This Row],[Saldo]],tabItens[[#This Row],[Saldo]]&gt;0), tabItens[[#This Row],[PontoPed]]=0), 99, IF(AND(tabItens[[#This Row],[Saldo]]=0,tabItens[[#This Row],[PontoPed]]&gt;0), 0, (1-tabItens[[#This Row],[PctAb]])*10 ) ),0)</f>
        <v>99</v>
      </c>
      <c r="BE402" s="406">
        <f>MAX(ROUNDDOWN( IF(tabItens[[#This Row],[Abaixo]] &gt; 0,   tabItens[[#This Row],[Abaixo]] + (tabItens[[#This Row],[PontoMês]] * IF( OR( ISBLANK(tabItens[[#This Row],[ATA Nº/ANO]]), tabItens[[#This Row],[ATA Nº/ANO]] = ""),BE$2,BE$1)),0),0),0)</f>
        <v>0</v>
      </c>
      <c r="BF40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2" s="338">
        <f>SUMIF(Consumo!$C$3:$C$862,tabItens[[#This Row],[CÓDIGO]],Consumo!$E$3:$E$862)</f>
        <v>0</v>
      </c>
      <c r="BH402" s="339">
        <f>IF(AND(tabItens[[#This Row],[Pend]] &gt; 0,tabItens[[#This Row],[Consumo]] &lt;&gt; 0), tabItens[[#This Row],[Pend]] / tabItens[[#This Row],[Consumo]], 0 )</f>
        <v>0</v>
      </c>
      <c r="BI402" s="338"/>
      <c r="BJ402" s="407"/>
      <c r="BK402" s="408" t="s">
        <v>2086</v>
      </c>
    </row>
    <row r="403" spans="1:63" x14ac:dyDescent="0.3">
      <c r="A403" s="375">
        <v>64605</v>
      </c>
      <c r="B403" s="376" t="s">
        <v>1376</v>
      </c>
      <c r="C403" s="377" t="s">
        <v>345</v>
      </c>
      <c r="D403" s="378">
        <v>9.98</v>
      </c>
      <c r="E403" s="305"/>
      <c r="F403" s="379"/>
      <c r="G403" s="379" t="s">
        <v>889</v>
      </c>
      <c r="H403" s="380">
        <v>1020</v>
      </c>
      <c r="I403" s="307">
        <v>103003</v>
      </c>
      <c r="J403" s="308">
        <v>9.8965800000000002</v>
      </c>
      <c r="K403" s="381">
        <v>398</v>
      </c>
      <c r="L403" s="382">
        <f>IF(tabItens[[#This Row],[Média]] &gt; 0, tabItens[[#This Row],[QTDE ATUAL]] / tabItens[[#This Row],[Média]],999.9)</f>
        <v>27.881548974943051</v>
      </c>
      <c r="M403" s="383">
        <v>0</v>
      </c>
      <c r="N403" s="384">
        <f>tabItens[[#This Row],[VALOR UNIT.]] * tabItens[[#This Row],[LC]]</f>
        <v>0</v>
      </c>
      <c r="O403" s="385" t="s">
        <v>2153</v>
      </c>
      <c r="P403" s="386"/>
      <c r="Q403" s="387"/>
      <c r="R403" s="312"/>
      <c r="S403" s="388"/>
      <c r="T403" s="389">
        <f>ROUNDDOWN(IFERROR(tabItens[[#This Row],[ATA DT.VALID.]] - $D$1,0) / 30,0)</f>
        <v>-1474</v>
      </c>
      <c r="U403" s="302" t="s">
        <v>1347</v>
      </c>
      <c r="V403" s="318">
        <v>1</v>
      </c>
      <c r="W403" s="390" t="s">
        <v>2071</v>
      </c>
      <c r="X403" s="391">
        <v>69</v>
      </c>
      <c r="Y403" s="392">
        <v>8</v>
      </c>
      <c r="Z403" s="393"/>
      <c r="AA403" s="394"/>
      <c r="AB403" s="395"/>
      <c r="AC403" s="395"/>
      <c r="AD403" s="394"/>
      <c r="AE403" s="395"/>
      <c r="AF403" s="317"/>
      <c r="AG403" s="396" t="s">
        <v>2072</v>
      </c>
      <c r="AH403" s="397"/>
      <c r="AI403" s="317">
        <v>506</v>
      </c>
      <c r="AJ403" s="397">
        <v>45190</v>
      </c>
      <c r="AK403" s="326" t="s">
        <v>889</v>
      </c>
      <c r="AL403" s="326">
        <v>45156</v>
      </c>
      <c r="AM403" s="316"/>
      <c r="AN403" s="305"/>
      <c r="AO403" s="327" t="str">
        <f>_xlfn.IFNA(IF(VLOOKUP(tabItens[[#This Row],[CÓDIGO]],tabExcluirDoEstoque[#Data],1,FALSE),"sim",""),"")</f>
        <v/>
      </c>
      <c r="AP403" s="398" t="str">
        <f ca="1">IF(OR(ISBLANK(tabItens[[#This Row],[ATA DT.VALID.]]),tabItens[[#This Row],[ATA DT.VALID.]]="",tabItens[[#This Row],[ATA DT.VALID.]]=" "),"",IF(TYPE(tabItens[[#This Row],[ATA DT.VALID.]])=1,ROUNDUP((tabItens[[#This Row],[ATA DT.VALID.]]-TODAY())/7,0),""))</f>
        <v/>
      </c>
      <c r="AQ403" s="399">
        <v>0</v>
      </c>
      <c r="AR403" s="400" t="str">
        <f>IF(ISBLANK(tabItens[[#This Row],[CÓDIGO]]),"",IFERROR(VLOOKUP(tabItens[[#This Row],[CÓDIGO]],Consumo!$C$2:$AC$862,26,FALSE),0))</f>
        <v>08.2023</v>
      </c>
      <c r="AS403" s="401">
        <f>SUMIF(Consumo!$C$3:$C$862,tabItens[[#This Row],[CÓDIGO]],Consumo!$N$3:$N$862) + SUMIF(Consumo!$C$3:$C$862,tabItens[[#This Row],[CÓDIGO]],Consumo!$O$3:$O$862) + SUMIF(Consumo!$C$3:$C$862,tabItens[[#This Row],[CÓDIGO]],Consumo!$P$3:$P$862) + SUMIF(Consumo!$C$3:$C$862,tabItens[[#This Row],[CÓDIGO]],Consumo!$Q$3:$Q$862)</f>
        <v>62</v>
      </c>
      <c r="AT403" s="401">
        <f>SUMIF(Consumo!$C$3:$C$862,tabItens[[#This Row],[CÓDIGO]],Consumo!$Z$3:$Z$862)</f>
        <v>439</v>
      </c>
      <c r="AU403" s="402">
        <f>SUMIF(Consumo!$C$3:$C$862,tabItens[[#This Row],[CÓDIGO]],Consumo!$AA$3:$AA$862)</f>
        <v>106</v>
      </c>
      <c r="AV403" s="403">
        <f>SUMIF(Consumo!$C$3:$C$862,tabItens[[#This Row],[CÓDIGO]],Consumo!$Y$3:$Y$862)</f>
        <v>36.583333333333336</v>
      </c>
      <c r="AW403" s="380">
        <f>tabItens[[#This Row],[QTDE ATUAL]] + tabItens[[#This Row],[RC QTDE]] + tabItens[[#This Row],[AF SALDO]] + tabItens[[#This Row],[Recentes]]</f>
        <v>1020</v>
      </c>
      <c r="AX403" s="404">
        <v>50</v>
      </c>
      <c r="AY403" s="404">
        <v>4</v>
      </c>
      <c r="AZ403" s="404">
        <f>IF(ISBLANK(tabItens[[#This Row],[CÓDIGO]]),"",tabItens[[#This Row],[PontoMês]] * (AZ$2+tabItens[[#This Row],[PontoQtM]]))</f>
        <v>200</v>
      </c>
      <c r="BA403" s="403">
        <f>tabItens[[#This Row],[PontoPed]] - tabItens[[#This Row],[Saldo]] + (1/10)</f>
        <v>-819.9</v>
      </c>
      <c r="BB403" s="403">
        <f xml:space="preserve"> tabItens[[#This Row],[PontoMês]] * BB$2 - tabItens[[#This Row],[QTDE ATUAL]] - (1/10)</f>
        <v>-970.1</v>
      </c>
      <c r="BC403" s="335">
        <f>IF( tabItens[[#This Row],[PontoPed]]&gt;0, IF(tabItens[[#This Row],[PontoPed]]&lt;1, 1, IF( tabItens[[#This Row],[Saldo]]&gt;tabItens[[#This Row],[PontoPed]], 0, (tabItens[[#This Row],[PontoPed]]-tabItens[[#This Row],[Saldo]])/tabItens[[#This Row],[PontoPed]] ) ), 0 )</f>
        <v>0</v>
      </c>
      <c r="BD403" s="405">
        <f>ROUNDDOWN(IF( OR( AND(tabItens[[#This Row],[PontoPed]]&lt;tabItens[[#This Row],[Saldo]],tabItens[[#This Row],[Saldo]]&gt;0), tabItens[[#This Row],[PontoPed]]=0), 99, IF(AND(tabItens[[#This Row],[Saldo]]=0,tabItens[[#This Row],[PontoPed]]&gt;0), 0, (1-tabItens[[#This Row],[PctAb]])*10 ) ),0)</f>
        <v>99</v>
      </c>
      <c r="BE403" s="406">
        <f>MAX(ROUNDDOWN( IF(tabItens[[#This Row],[Abaixo]] &gt; 0,   tabItens[[#This Row],[Abaixo]] + (tabItens[[#This Row],[PontoMês]] * IF( OR( ISBLANK(tabItens[[#This Row],[ATA Nº/ANO]]), tabItens[[#This Row],[ATA Nº/ANO]] = ""),BE$2,BE$1)),0),0),0)</f>
        <v>0</v>
      </c>
      <c r="BF40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3" s="338">
        <f>SUMIF(Consumo!$C$3:$C$862,tabItens[[#This Row],[CÓDIGO]],Consumo!$E$3:$E$862)</f>
        <v>0</v>
      </c>
      <c r="BH403" s="339">
        <f>IF(AND(tabItens[[#This Row],[Pend]] &gt; 0,tabItens[[#This Row],[Consumo]] &lt;&gt; 0), tabItens[[#This Row],[Pend]] / tabItens[[#This Row],[Consumo]], 0 )</f>
        <v>0</v>
      </c>
      <c r="BI403" s="338"/>
      <c r="BJ403" s="407"/>
      <c r="BK403" s="408" t="s">
        <v>2086</v>
      </c>
    </row>
    <row r="404" spans="1:63" x14ac:dyDescent="0.3">
      <c r="A404" s="375">
        <v>64627</v>
      </c>
      <c r="B404" s="376" t="s">
        <v>1382</v>
      </c>
      <c r="C404" s="377" t="s">
        <v>345</v>
      </c>
      <c r="D404" s="378">
        <v>66</v>
      </c>
      <c r="E404" s="305"/>
      <c r="F404" s="379"/>
      <c r="G404" s="379" t="s">
        <v>889</v>
      </c>
      <c r="H404" s="380">
        <v>2121</v>
      </c>
      <c r="I404" s="307">
        <v>103003</v>
      </c>
      <c r="J404" s="308">
        <v>66</v>
      </c>
      <c r="K404" s="381">
        <v>40</v>
      </c>
      <c r="L404" s="382">
        <f>IF(tabItens[[#This Row],[Média]] &gt; 0, tabItens[[#This Row],[QTDE ATUAL]] / tabItens[[#This Row],[Média]],999.9)</f>
        <v>978.92307692307702</v>
      </c>
      <c r="M404" s="383">
        <v>0</v>
      </c>
      <c r="N404" s="384">
        <f>tabItens[[#This Row],[VALOR UNIT.]] * tabItens[[#This Row],[LC]]</f>
        <v>0</v>
      </c>
      <c r="O404" s="385" t="s">
        <v>2153</v>
      </c>
      <c r="P404" s="386"/>
      <c r="Q404" s="387"/>
      <c r="R404" s="312"/>
      <c r="S404" s="388"/>
      <c r="T404" s="389">
        <f>ROUNDDOWN(IFERROR(tabItens[[#This Row],[ATA DT.VALID.]] - $D$1,0) / 30,0)</f>
        <v>-1474</v>
      </c>
      <c r="U404" s="302" t="s">
        <v>1347</v>
      </c>
      <c r="V404" s="318">
        <v>1</v>
      </c>
      <c r="W404" s="390" t="s">
        <v>2071</v>
      </c>
      <c r="X404" s="391">
        <v>69</v>
      </c>
      <c r="Y404" s="392">
        <v>8</v>
      </c>
      <c r="Z404" s="393"/>
      <c r="AA404" s="394"/>
      <c r="AB404" s="395"/>
      <c r="AC404" s="395"/>
      <c r="AD404" s="394"/>
      <c r="AE404" s="395"/>
      <c r="AF404" s="317"/>
      <c r="AG404" s="396" t="s">
        <v>2072</v>
      </c>
      <c r="AH404" s="397"/>
      <c r="AI404" s="317">
        <v>14</v>
      </c>
      <c r="AJ404" s="397">
        <v>44579</v>
      </c>
      <c r="AK404" s="326" t="s">
        <v>889</v>
      </c>
      <c r="AL404" s="326">
        <v>44883</v>
      </c>
      <c r="AM404" s="316"/>
      <c r="AN404" s="305"/>
      <c r="AO404" s="327" t="str">
        <f>_xlfn.IFNA(IF(VLOOKUP(tabItens[[#This Row],[CÓDIGO]],tabExcluirDoEstoque[#Data],1,FALSE),"sim",""),"")</f>
        <v/>
      </c>
      <c r="AP404" s="398" t="str">
        <f ca="1">IF(OR(ISBLANK(tabItens[[#This Row],[ATA DT.VALID.]]),tabItens[[#This Row],[ATA DT.VALID.]]="",tabItens[[#This Row],[ATA DT.VALID.]]=" "),"",IF(TYPE(tabItens[[#This Row],[ATA DT.VALID.]])=1,ROUNDUP((tabItens[[#This Row],[ATA DT.VALID.]]-TODAY())/7,0),""))</f>
        <v/>
      </c>
      <c r="AQ404" s="399">
        <v>0</v>
      </c>
      <c r="AR404" s="400" t="str">
        <f>IF(ISBLANK(tabItens[[#This Row],[CÓDIGO]]),"",IFERROR(VLOOKUP(tabItens[[#This Row],[CÓDIGO]],Consumo!$C$2:$AC$862,26,FALSE),0))</f>
        <v>05.2023</v>
      </c>
      <c r="AS404" s="401">
        <f>SUMIF(Consumo!$C$3:$C$862,tabItens[[#This Row],[CÓDIGO]],Consumo!$N$3:$N$862) + SUMIF(Consumo!$C$3:$C$862,tabItens[[#This Row],[CÓDIGO]],Consumo!$O$3:$O$862) + SUMIF(Consumo!$C$3:$C$862,tabItens[[#This Row],[CÓDIGO]],Consumo!$P$3:$P$862) + SUMIF(Consumo!$C$3:$C$862,tabItens[[#This Row],[CÓDIGO]],Consumo!$Q$3:$Q$862)</f>
        <v>0</v>
      </c>
      <c r="AT404" s="401">
        <f>SUMIF(Consumo!$C$3:$C$862,tabItens[[#This Row],[CÓDIGO]],Consumo!$Z$3:$Z$862)</f>
        <v>40</v>
      </c>
      <c r="AU404" s="402">
        <f>SUMIF(Consumo!$C$3:$C$862,tabItens[[#This Row],[CÓDIGO]],Consumo!$AA$3:$AA$862)</f>
        <v>40</v>
      </c>
      <c r="AV404" s="403">
        <f>SUMIF(Consumo!$C$3:$C$862,tabItens[[#This Row],[CÓDIGO]],Consumo!$Y$3:$Y$862)</f>
        <v>2.1666666666666665</v>
      </c>
      <c r="AW404" s="380">
        <f>tabItens[[#This Row],[QTDE ATUAL]] + tabItens[[#This Row],[RC QTDE]] + tabItens[[#This Row],[AF SALDO]] + tabItens[[#This Row],[Recentes]]</f>
        <v>2121</v>
      </c>
      <c r="AX404" s="404">
        <v>50</v>
      </c>
      <c r="AY404" s="404">
        <v>4</v>
      </c>
      <c r="AZ404" s="404">
        <f>IF(ISBLANK(tabItens[[#This Row],[CÓDIGO]]),"",tabItens[[#This Row],[PontoMês]] * (AZ$2+tabItens[[#This Row],[PontoQtM]]))</f>
        <v>200</v>
      </c>
      <c r="BA404" s="403">
        <f>tabItens[[#This Row],[PontoPed]] - tabItens[[#This Row],[Saldo]] + (1/10)</f>
        <v>-1920.9</v>
      </c>
      <c r="BB404" s="403">
        <f xml:space="preserve"> tabItens[[#This Row],[PontoMês]] * BB$2 - tabItens[[#This Row],[QTDE ATUAL]] - (1/10)</f>
        <v>-2071.1</v>
      </c>
      <c r="BC404" s="335">
        <f>IF( tabItens[[#This Row],[PontoPed]]&gt;0, IF(tabItens[[#This Row],[PontoPed]]&lt;1, 1, IF( tabItens[[#This Row],[Saldo]]&gt;tabItens[[#This Row],[PontoPed]], 0, (tabItens[[#This Row],[PontoPed]]-tabItens[[#This Row],[Saldo]])/tabItens[[#This Row],[PontoPed]] ) ), 0 )</f>
        <v>0</v>
      </c>
      <c r="BD404" s="405">
        <f>ROUNDDOWN(IF( OR( AND(tabItens[[#This Row],[PontoPed]]&lt;tabItens[[#This Row],[Saldo]],tabItens[[#This Row],[Saldo]]&gt;0), tabItens[[#This Row],[PontoPed]]=0), 99, IF(AND(tabItens[[#This Row],[Saldo]]=0,tabItens[[#This Row],[PontoPed]]&gt;0), 0, (1-tabItens[[#This Row],[PctAb]])*10 ) ),0)</f>
        <v>99</v>
      </c>
      <c r="BE404" s="406">
        <f>MAX(ROUNDDOWN( IF(tabItens[[#This Row],[Abaixo]] &gt; 0,   tabItens[[#This Row],[Abaixo]] + (tabItens[[#This Row],[PontoMês]] * IF( OR( ISBLANK(tabItens[[#This Row],[ATA Nº/ANO]]), tabItens[[#This Row],[ATA Nº/ANO]] = ""),BE$2,BE$1)),0),0),0)</f>
        <v>0</v>
      </c>
      <c r="BF40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4" s="338">
        <f>SUMIF(Consumo!$C$3:$C$862,tabItens[[#This Row],[CÓDIGO]],Consumo!$E$3:$E$862)</f>
        <v>0</v>
      </c>
      <c r="BH404" s="339">
        <f>IF(AND(tabItens[[#This Row],[Pend]] &gt; 0,tabItens[[#This Row],[Consumo]] &lt;&gt; 0), tabItens[[#This Row],[Pend]] / tabItens[[#This Row],[Consumo]], 0 )</f>
        <v>0</v>
      </c>
      <c r="BI404" s="338"/>
      <c r="BJ404" s="407"/>
      <c r="BK404" s="408" t="s">
        <v>2086</v>
      </c>
    </row>
    <row r="405" spans="1:63" x14ac:dyDescent="0.3">
      <c r="A405" s="375">
        <v>64860</v>
      </c>
      <c r="B405" s="376" t="s">
        <v>1392</v>
      </c>
      <c r="C405" s="377" t="s">
        <v>345</v>
      </c>
      <c r="D405" s="378">
        <v>41</v>
      </c>
      <c r="E405" s="305"/>
      <c r="F405" s="379"/>
      <c r="G405" s="379" t="s">
        <v>889</v>
      </c>
      <c r="H405" s="380">
        <v>106</v>
      </c>
      <c r="I405" s="307">
        <v>103003</v>
      </c>
      <c r="J405" s="308">
        <v>41</v>
      </c>
      <c r="K405" s="381">
        <v>201</v>
      </c>
      <c r="L405" s="382">
        <f>IF(tabItens[[#This Row],[Média]] &gt; 0, tabItens[[#This Row],[QTDE ATUAL]] / tabItens[[#This Row],[Média]],999.9)</f>
        <v>9.5639097744360893</v>
      </c>
      <c r="M405" s="383">
        <v>0</v>
      </c>
      <c r="N405" s="384">
        <f>tabItens[[#This Row],[VALOR UNIT.]] * tabItens[[#This Row],[LC]]</f>
        <v>0</v>
      </c>
      <c r="O405" s="385" t="s">
        <v>2153</v>
      </c>
      <c r="P405" s="386"/>
      <c r="Q405" s="387"/>
      <c r="R405" s="312"/>
      <c r="S405" s="388"/>
      <c r="T405" s="389">
        <f>ROUNDDOWN(IFERROR(tabItens[[#This Row],[ATA DT.VALID.]] - $D$1,0) / 30,0)</f>
        <v>-1474</v>
      </c>
      <c r="U405" s="302" t="s">
        <v>1347</v>
      </c>
      <c r="V405" s="318">
        <v>1</v>
      </c>
      <c r="W405" s="390" t="s">
        <v>2071</v>
      </c>
      <c r="X405" s="391">
        <v>69</v>
      </c>
      <c r="Y405" s="392">
        <v>8</v>
      </c>
      <c r="Z405" s="393"/>
      <c r="AA405" s="394"/>
      <c r="AB405" s="395"/>
      <c r="AC405" s="395"/>
      <c r="AD405" s="394"/>
      <c r="AE405" s="395"/>
      <c r="AF405" s="317"/>
      <c r="AG405" s="396" t="s">
        <v>2072</v>
      </c>
      <c r="AH405" s="397"/>
      <c r="AI405" s="317">
        <v>68</v>
      </c>
      <c r="AJ405" s="397">
        <v>45184</v>
      </c>
      <c r="AK405" s="326" t="s">
        <v>889</v>
      </c>
      <c r="AL405" s="326">
        <v>45156</v>
      </c>
      <c r="AM405" s="316"/>
      <c r="AN405" s="305"/>
      <c r="AO405" s="327" t="str">
        <f>_xlfn.IFNA(IF(VLOOKUP(tabItens[[#This Row],[CÓDIGO]],tabExcluirDoEstoque[#Data],1,FALSE),"sim",""),"")</f>
        <v/>
      </c>
      <c r="AP405" s="398" t="str">
        <f ca="1">IF(OR(ISBLANK(tabItens[[#This Row],[ATA DT.VALID.]]),tabItens[[#This Row],[ATA DT.VALID.]]="",tabItens[[#This Row],[ATA DT.VALID.]]=" "),"",IF(TYPE(tabItens[[#This Row],[ATA DT.VALID.]])=1,ROUNDUP((tabItens[[#This Row],[ATA DT.VALID.]]-TODAY())/7,0),""))</f>
        <v/>
      </c>
      <c r="AQ405" s="399">
        <v>0</v>
      </c>
      <c r="AR405" s="400" t="str">
        <f>IF(ISBLANK(tabItens[[#This Row],[CÓDIGO]]),"",IFERROR(VLOOKUP(tabItens[[#This Row],[CÓDIGO]],Consumo!$C$2:$AC$862,26,FALSE),0))</f>
        <v>02.2023</v>
      </c>
      <c r="AS405" s="401">
        <f>SUMIF(Consumo!$C$3:$C$862,tabItens[[#This Row],[CÓDIGO]],Consumo!$N$3:$N$862) + SUMIF(Consumo!$C$3:$C$862,tabItens[[#This Row],[CÓDIGO]],Consumo!$O$3:$O$862) + SUMIF(Consumo!$C$3:$C$862,tabItens[[#This Row],[CÓDIGO]],Consumo!$P$3:$P$862) + SUMIF(Consumo!$C$3:$C$862,tabItens[[#This Row],[CÓDIGO]],Consumo!$Q$3:$Q$862)</f>
        <v>0</v>
      </c>
      <c r="AT405" s="401">
        <f>SUMIF(Consumo!$C$3:$C$862,tabItens[[#This Row],[CÓDIGO]],Consumo!$Z$3:$Z$862)</f>
        <v>201</v>
      </c>
      <c r="AU405" s="402">
        <f>SUMIF(Consumo!$C$3:$C$862,tabItens[[#This Row],[CÓDIGO]],Consumo!$AA$3:$AA$862)</f>
        <v>200</v>
      </c>
      <c r="AV405" s="403">
        <f>SUMIF(Consumo!$C$3:$C$862,tabItens[[#This Row],[CÓDIGO]],Consumo!$Y$3:$Y$862)</f>
        <v>11.083333333333334</v>
      </c>
      <c r="AW405" s="380">
        <f>tabItens[[#This Row],[QTDE ATUAL]] + tabItens[[#This Row],[RC QTDE]] + tabItens[[#This Row],[AF SALDO]] + tabItens[[#This Row],[Recentes]]</f>
        <v>106</v>
      </c>
      <c r="AX405" s="404">
        <v>10</v>
      </c>
      <c r="AY405" s="404">
        <v>4</v>
      </c>
      <c r="AZ405" s="404">
        <f>IF(ISBLANK(tabItens[[#This Row],[CÓDIGO]]),"",tabItens[[#This Row],[PontoMês]] * (AZ$2+tabItens[[#This Row],[PontoQtM]]))</f>
        <v>40</v>
      </c>
      <c r="BA405" s="403">
        <f>tabItens[[#This Row],[PontoPed]] - tabItens[[#This Row],[Saldo]] + (1/10)</f>
        <v>-65.900000000000006</v>
      </c>
      <c r="BB405" s="403">
        <f xml:space="preserve"> tabItens[[#This Row],[PontoMês]] * BB$2 - tabItens[[#This Row],[QTDE ATUAL]] - (1/10)</f>
        <v>-96.1</v>
      </c>
      <c r="BC405" s="335">
        <f>IF( tabItens[[#This Row],[PontoPed]]&gt;0, IF(tabItens[[#This Row],[PontoPed]]&lt;1, 1, IF( tabItens[[#This Row],[Saldo]]&gt;tabItens[[#This Row],[PontoPed]], 0, (tabItens[[#This Row],[PontoPed]]-tabItens[[#This Row],[Saldo]])/tabItens[[#This Row],[PontoPed]] ) ), 0 )</f>
        <v>0</v>
      </c>
      <c r="BD405" s="405">
        <f>ROUNDDOWN(IF( OR( AND(tabItens[[#This Row],[PontoPed]]&lt;tabItens[[#This Row],[Saldo]],tabItens[[#This Row],[Saldo]]&gt;0), tabItens[[#This Row],[PontoPed]]=0), 99, IF(AND(tabItens[[#This Row],[Saldo]]=0,tabItens[[#This Row],[PontoPed]]&gt;0), 0, (1-tabItens[[#This Row],[PctAb]])*10 ) ),0)</f>
        <v>99</v>
      </c>
      <c r="BE405" s="406">
        <f>MAX(ROUNDDOWN( IF(tabItens[[#This Row],[Abaixo]] &gt; 0,   tabItens[[#This Row],[Abaixo]] + (tabItens[[#This Row],[PontoMês]] * IF( OR( ISBLANK(tabItens[[#This Row],[ATA Nº/ANO]]), tabItens[[#This Row],[ATA Nº/ANO]] = ""),BE$2,BE$1)),0),0),0)</f>
        <v>0</v>
      </c>
      <c r="BF40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5" s="338">
        <f>SUMIF(Consumo!$C$3:$C$862,tabItens[[#This Row],[CÓDIGO]],Consumo!$E$3:$E$862)</f>
        <v>0</v>
      </c>
      <c r="BH405" s="339">
        <f>IF(AND(tabItens[[#This Row],[Pend]] &gt; 0,tabItens[[#This Row],[Consumo]] &lt;&gt; 0), tabItens[[#This Row],[Pend]] / tabItens[[#This Row],[Consumo]], 0 )</f>
        <v>0</v>
      </c>
      <c r="BI405" s="338"/>
      <c r="BJ405" s="407"/>
      <c r="BK405" s="408" t="s">
        <v>2086</v>
      </c>
    </row>
    <row r="406" spans="1:63" x14ac:dyDescent="0.3">
      <c r="A406" s="375">
        <v>64861</v>
      </c>
      <c r="B406" s="376" t="s">
        <v>1393</v>
      </c>
      <c r="C406" s="377" t="s">
        <v>345</v>
      </c>
      <c r="D406" s="378">
        <v>38.89</v>
      </c>
      <c r="E406" s="305"/>
      <c r="F406" s="379"/>
      <c r="G406" s="379" t="s">
        <v>889</v>
      </c>
      <c r="H406" s="380">
        <v>1790</v>
      </c>
      <c r="I406" s="307">
        <v>103003</v>
      </c>
      <c r="J406" s="308">
        <v>38.89</v>
      </c>
      <c r="K406" s="381"/>
      <c r="L406" s="382">
        <f>IF(tabItens[[#This Row],[Média]] &gt; 0, tabItens[[#This Row],[QTDE ATUAL]] / tabItens[[#This Row],[Média]],999.9)</f>
        <v>999.9</v>
      </c>
      <c r="M406" s="383">
        <v>0</v>
      </c>
      <c r="N406" s="384">
        <f>tabItens[[#This Row],[VALOR UNIT.]] * tabItens[[#This Row],[LC]]</f>
        <v>0</v>
      </c>
      <c r="O406" s="385" t="s">
        <v>2153</v>
      </c>
      <c r="P406" s="386"/>
      <c r="Q406" s="387"/>
      <c r="R406" s="312"/>
      <c r="S406" s="388"/>
      <c r="T406" s="389">
        <f>ROUNDDOWN(IFERROR(tabItens[[#This Row],[ATA DT.VALID.]] - $D$1,0) / 30,0)</f>
        <v>-1474</v>
      </c>
      <c r="U406" s="302" t="s">
        <v>1347</v>
      </c>
      <c r="V406" s="318">
        <v>1</v>
      </c>
      <c r="W406" s="390" t="s">
        <v>2071</v>
      </c>
      <c r="X406" s="391">
        <v>69</v>
      </c>
      <c r="Y406" s="392">
        <v>8</v>
      </c>
      <c r="Z406" s="393"/>
      <c r="AA406" s="394"/>
      <c r="AB406" s="395"/>
      <c r="AC406" s="395"/>
      <c r="AD406" s="394"/>
      <c r="AE406" s="395"/>
      <c r="AF406" s="317"/>
      <c r="AG406" s="396" t="s">
        <v>2072</v>
      </c>
      <c r="AH406" s="397"/>
      <c r="AI406" s="317">
        <v>0</v>
      </c>
      <c r="AJ406" s="397">
        <v>44579</v>
      </c>
      <c r="AK406" s="326" t="s">
        <v>889</v>
      </c>
      <c r="AL406" s="326">
        <v>44883</v>
      </c>
      <c r="AM406" s="316"/>
      <c r="AN406" s="305"/>
      <c r="AO406" s="327" t="str">
        <f>_xlfn.IFNA(IF(VLOOKUP(tabItens[[#This Row],[CÓDIGO]],tabExcluirDoEstoque[#Data],1,FALSE),"sim",""),"")</f>
        <v/>
      </c>
      <c r="AP406" s="398" t="str">
        <f ca="1">IF(OR(ISBLANK(tabItens[[#This Row],[ATA DT.VALID.]]),tabItens[[#This Row],[ATA DT.VALID.]]="",tabItens[[#This Row],[ATA DT.VALID.]]=" "),"",IF(TYPE(tabItens[[#This Row],[ATA DT.VALID.]])=1,ROUNDUP((tabItens[[#This Row],[ATA DT.VALID.]]-TODAY())/7,0),""))</f>
        <v/>
      </c>
      <c r="AQ406" s="399">
        <v>0</v>
      </c>
      <c r="AR406" s="400">
        <f>IF(ISBLANK(tabItens[[#This Row],[CÓDIGO]]),"",IFERROR(VLOOKUP(tabItens[[#This Row],[CÓDIGO]],Consumo!$C$2:$AC$862,26,FALSE),0))</f>
        <v>0</v>
      </c>
      <c r="AS406" s="401">
        <f>SUMIF(Consumo!$C$3:$C$862,tabItens[[#This Row],[CÓDIGO]],Consumo!$N$3:$N$862) + SUMIF(Consumo!$C$3:$C$862,tabItens[[#This Row],[CÓDIGO]],Consumo!$O$3:$O$862) + SUMIF(Consumo!$C$3:$C$862,tabItens[[#This Row],[CÓDIGO]],Consumo!$P$3:$P$862) + SUMIF(Consumo!$C$3:$C$862,tabItens[[#This Row],[CÓDIGO]],Consumo!$Q$3:$Q$862)</f>
        <v>0</v>
      </c>
      <c r="AT406" s="401">
        <f>SUMIF(Consumo!$C$3:$C$862,tabItens[[#This Row],[CÓDIGO]],Consumo!$Z$3:$Z$862)</f>
        <v>0</v>
      </c>
      <c r="AU406" s="402">
        <f>SUMIF(Consumo!$C$3:$C$862,tabItens[[#This Row],[CÓDIGO]],Consumo!$AA$3:$AA$862)</f>
        <v>0</v>
      </c>
      <c r="AV406" s="403">
        <f>SUMIF(Consumo!$C$3:$C$862,tabItens[[#This Row],[CÓDIGO]],Consumo!$Y$3:$Y$862)</f>
        <v>0</v>
      </c>
      <c r="AW406" s="380">
        <f>tabItens[[#This Row],[QTDE ATUAL]] + tabItens[[#This Row],[RC QTDE]] + tabItens[[#This Row],[AF SALDO]] + tabItens[[#This Row],[Recentes]]</f>
        <v>1790</v>
      </c>
      <c r="AX406" s="404">
        <v>35</v>
      </c>
      <c r="AY406" s="404">
        <v>4</v>
      </c>
      <c r="AZ406" s="404">
        <f>IF(ISBLANK(tabItens[[#This Row],[CÓDIGO]]),"",tabItens[[#This Row],[PontoMês]] * (AZ$2+tabItens[[#This Row],[PontoQtM]]))</f>
        <v>140</v>
      </c>
      <c r="BA406" s="403">
        <f>tabItens[[#This Row],[PontoPed]] - tabItens[[#This Row],[Saldo]] + (1/10)</f>
        <v>-1649.9</v>
      </c>
      <c r="BB406" s="403">
        <f xml:space="preserve"> tabItens[[#This Row],[PontoMês]] * BB$2 - tabItens[[#This Row],[QTDE ATUAL]] - (1/10)</f>
        <v>-1755.1</v>
      </c>
      <c r="BC406" s="335">
        <f>IF( tabItens[[#This Row],[PontoPed]]&gt;0, IF(tabItens[[#This Row],[PontoPed]]&lt;1, 1, IF( tabItens[[#This Row],[Saldo]]&gt;tabItens[[#This Row],[PontoPed]], 0, (tabItens[[#This Row],[PontoPed]]-tabItens[[#This Row],[Saldo]])/tabItens[[#This Row],[PontoPed]] ) ), 0 )</f>
        <v>0</v>
      </c>
      <c r="BD406" s="405">
        <f>ROUNDDOWN(IF( OR( AND(tabItens[[#This Row],[PontoPed]]&lt;tabItens[[#This Row],[Saldo]],tabItens[[#This Row],[Saldo]]&gt;0), tabItens[[#This Row],[PontoPed]]=0), 99, IF(AND(tabItens[[#This Row],[Saldo]]=0,tabItens[[#This Row],[PontoPed]]&gt;0), 0, (1-tabItens[[#This Row],[PctAb]])*10 ) ),0)</f>
        <v>99</v>
      </c>
      <c r="BE406" s="406">
        <f>MAX(ROUNDDOWN( IF(tabItens[[#This Row],[Abaixo]] &gt; 0,   tabItens[[#This Row],[Abaixo]] + (tabItens[[#This Row],[PontoMês]] * IF( OR( ISBLANK(tabItens[[#This Row],[ATA Nº/ANO]]), tabItens[[#This Row],[ATA Nº/ANO]] = ""),BE$2,BE$1)),0),0),0)</f>
        <v>0</v>
      </c>
      <c r="BF40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6" s="338">
        <f>SUMIF(Consumo!$C$3:$C$862,tabItens[[#This Row],[CÓDIGO]],Consumo!$E$3:$E$862)</f>
        <v>0</v>
      </c>
      <c r="BH406" s="339">
        <f>IF(AND(tabItens[[#This Row],[Pend]] &gt; 0,tabItens[[#This Row],[Consumo]] &lt;&gt; 0), tabItens[[#This Row],[Pend]] / tabItens[[#This Row],[Consumo]], 0 )</f>
        <v>0</v>
      </c>
      <c r="BI406" s="338"/>
      <c r="BJ406" s="407"/>
      <c r="BK406" s="408" t="s">
        <v>2086</v>
      </c>
    </row>
    <row r="407" spans="1:63" x14ac:dyDescent="0.3">
      <c r="A407" s="375">
        <v>77786</v>
      </c>
      <c r="B407" s="376" t="s">
        <v>1434</v>
      </c>
      <c r="C407" s="377" t="s">
        <v>263</v>
      </c>
      <c r="D407" s="378">
        <v>115</v>
      </c>
      <c r="E407" s="305"/>
      <c r="F407" s="379"/>
      <c r="G407" s="379" t="s">
        <v>889</v>
      </c>
      <c r="H407" s="380">
        <v>50</v>
      </c>
      <c r="I407" s="307">
        <v>103003</v>
      </c>
      <c r="J407" s="308">
        <v>115</v>
      </c>
      <c r="K407" s="381"/>
      <c r="L407" s="382">
        <f>IF(tabItens[[#This Row],[Média]] &gt; 0, tabItens[[#This Row],[QTDE ATUAL]] / tabItens[[#This Row],[Média]],999.9)</f>
        <v>999.9</v>
      </c>
      <c r="M407" s="383">
        <v>0</v>
      </c>
      <c r="N407" s="384">
        <f>tabItens[[#This Row],[VALOR UNIT.]] * tabItens[[#This Row],[LC]]</f>
        <v>0</v>
      </c>
      <c r="O407" s="385" t="s">
        <v>2153</v>
      </c>
      <c r="P407" s="386"/>
      <c r="Q407" s="387"/>
      <c r="R407" s="312"/>
      <c r="S407" s="388"/>
      <c r="T407" s="389">
        <f>ROUNDDOWN(IFERROR(tabItens[[#This Row],[ATA DT.VALID.]] - $D$1,0) / 30,0)</f>
        <v>-1474</v>
      </c>
      <c r="U407" s="302" t="s">
        <v>1347</v>
      </c>
      <c r="V407" s="318">
        <v>1</v>
      </c>
      <c r="W407" s="390" t="s">
        <v>2071</v>
      </c>
      <c r="X407" s="391">
        <v>69</v>
      </c>
      <c r="Y407" s="392">
        <v>8</v>
      </c>
      <c r="Z407" s="393"/>
      <c r="AA407" s="394"/>
      <c r="AB407" s="395"/>
      <c r="AC407" s="395"/>
      <c r="AD407" s="394"/>
      <c r="AE407" s="395"/>
      <c r="AF407" s="317"/>
      <c r="AG407" s="396" t="s">
        <v>2072</v>
      </c>
      <c r="AH407" s="397"/>
      <c r="AI407" s="317">
        <v>0</v>
      </c>
      <c r="AJ407" s="397">
        <v>44067</v>
      </c>
      <c r="AK407" s="326">
        <v>38064</v>
      </c>
      <c r="AL407" s="326">
        <v>44047</v>
      </c>
      <c r="AM407" s="316"/>
      <c r="AN407" s="305"/>
      <c r="AO407" s="327" t="str">
        <f>_xlfn.IFNA(IF(VLOOKUP(tabItens[[#This Row],[CÓDIGO]],tabExcluirDoEstoque[#Data],1,FALSE),"sim",""),"")</f>
        <v/>
      </c>
      <c r="AP407" s="398" t="str">
        <f ca="1">IF(OR(ISBLANK(tabItens[[#This Row],[ATA DT.VALID.]]),tabItens[[#This Row],[ATA DT.VALID.]]="",tabItens[[#This Row],[ATA DT.VALID.]]=" "),"",IF(TYPE(tabItens[[#This Row],[ATA DT.VALID.]])=1,ROUNDUP((tabItens[[#This Row],[ATA DT.VALID.]]-TODAY())/7,0),""))</f>
        <v/>
      </c>
      <c r="AQ407" s="399">
        <v>0</v>
      </c>
      <c r="AR407" s="400">
        <f>IF(ISBLANK(tabItens[[#This Row],[CÓDIGO]]),"",IFERROR(VLOOKUP(tabItens[[#This Row],[CÓDIGO]],Consumo!$C$2:$AC$862,26,FALSE),0))</f>
        <v>0</v>
      </c>
      <c r="AS407" s="401">
        <f>SUMIF(Consumo!$C$3:$C$862,tabItens[[#This Row],[CÓDIGO]],Consumo!$N$3:$N$862) + SUMIF(Consumo!$C$3:$C$862,tabItens[[#This Row],[CÓDIGO]],Consumo!$O$3:$O$862) + SUMIF(Consumo!$C$3:$C$862,tabItens[[#This Row],[CÓDIGO]],Consumo!$P$3:$P$862) + SUMIF(Consumo!$C$3:$C$862,tabItens[[#This Row],[CÓDIGO]],Consumo!$Q$3:$Q$862)</f>
        <v>0</v>
      </c>
      <c r="AT407" s="401">
        <f>SUMIF(Consumo!$C$3:$C$862,tabItens[[#This Row],[CÓDIGO]],Consumo!$Z$3:$Z$862)</f>
        <v>0</v>
      </c>
      <c r="AU407" s="402">
        <f>SUMIF(Consumo!$C$3:$C$862,tabItens[[#This Row],[CÓDIGO]],Consumo!$AA$3:$AA$862)</f>
        <v>0</v>
      </c>
      <c r="AV407" s="403">
        <f>SUMIF(Consumo!$C$3:$C$862,tabItens[[#This Row],[CÓDIGO]],Consumo!$Y$3:$Y$862)</f>
        <v>0</v>
      </c>
      <c r="AW407" s="380">
        <f>tabItens[[#This Row],[QTDE ATUAL]] + tabItens[[#This Row],[RC QTDE]] + tabItens[[#This Row],[AF SALDO]] + tabItens[[#This Row],[Recentes]]</f>
        <v>50</v>
      </c>
      <c r="AX407" s="404">
        <v>5</v>
      </c>
      <c r="AY407" s="404">
        <v>4</v>
      </c>
      <c r="AZ407" s="404">
        <f>IF(ISBLANK(tabItens[[#This Row],[CÓDIGO]]),"",tabItens[[#This Row],[PontoMês]] * (AZ$2+tabItens[[#This Row],[PontoQtM]]))</f>
        <v>20</v>
      </c>
      <c r="BA407" s="403">
        <f>tabItens[[#This Row],[PontoPed]] - tabItens[[#This Row],[Saldo]] + (1/10)</f>
        <v>-29.9</v>
      </c>
      <c r="BB407" s="403">
        <f xml:space="preserve"> tabItens[[#This Row],[PontoMês]] * BB$2 - tabItens[[#This Row],[QTDE ATUAL]] - (1/10)</f>
        <v>-45.1</v>
      </c>
      <c r="BC407" s="335">
        <f>IF( tabItens[[#This Row],[PontoPed]]&gt;0, IF(tabItens[[#This Row],[PontoPed]]&lt;1, 1, IF( tabItens[[#This Row],[Saldo]]&gt;tabItens[[#This Row],[PontoPed]], 0, (tabItens[[#This Row],[PontoPed]]-tabItens[[#This Row],[Saldo]])/tabItens[[#This Row],[PontoPed]] ) ), 0 )</f>
        <v>0</v>
      </c>
      <c r="BD407" s="405">
        <f>ROUNDDOWN(IF( OR( AND(tabItens[[#This Row],[PontoPed]]&lt;tabItens[[#This Row],[Saldo]],tabItens[[#This Row],[Saldo]]&gt;0), tabItens[[#This Row],[PontoPed]]=0), 99, IF(AND(tabItens[[#This Row],[Saldo]]=0,tabItens[[#This Row],[PontoPed]]&gt;0), 0, (1-tabItens[[#This Row],[PctAb]])*10 ) ),0)</f>
        <v>99</v>
      </c>
      <c r="BE407" s="406">
        <f>MAX(ROUNDDOWN( IF(tabItens[[#This Row],[Abaixo]] &gt; 0,   tabItens[[#This Row],[Abaixo]] + (tabItens[[#This Row],[PontoMês]] * IF( OR( ISBLANK(tabItens[[#This Row],[ATA Nº/ANO]]), tabItens[[#This Row],[ATA Nº/ANO]] = ""),BE$2,BE$1)),0),0),0)</f>
        <v>0</v>
      </c>
      <c r="BF40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7" s="338">
        <f>SUMIF(Consumo!$C$3:$C$862,tabItens[[#This Row],[CÓDIGO]],Consumo!$E$3:$E$862)</f>
        <v>0</v>
      </c>
      <c r="BH407" s="339">
        <f>IF(AND(tabItens[[#This Row],[Pend]] &gt; 0,tabItens[[#This Row],[Consumo]] &lt;&gt; 0), tabItens[[#This Row],[Pend]] / tabItens[[#This Row],[Consumo]], 0 )</f>
        <v>0</v>
      </c>
      <c r="BI407" s="338"/>
      <c r="BJ407" s="407"/>
      <c r="BK407" s="408" t="s">
        <v>2086</v>
      </c>
    </row>
    <row r="408" spans="1:63" x14ac:dyDescent="0.3">
      <c r="A408" s="375">
        <v>61046</v>
      </c>
      <c r="B408" s="376" t="s">
        <v>1355</v>
      </c>
      <c r="C408" s="377" t="s">
        <v>345</v>
      </c>
      <c r="D408" s="378">
        <v>144</v>
      </c>
      <c r="E408" s="305"/>
      <c r="F408" s="379"/>
      <c r="G408" s="379" t="s">
        <v>889</v>
      </c>
      <c r="H408" s="380">
        <v>496</v>
      </c>
      <c r="I408" s="307">
        <v>103003</v>
      </c>
      <c r="J408" s="308">
        <v>144</v>
      </c>
      <c r="K408" s="381">
        <v>13</v>
      </c>
      <c r="L408" s="382">
        <f>IF(tabItens[[#This Row],[Média]] &gt; 0, tabItens[[#This Row],[QTDE ATUAL]] / tabItens[[#This Row],[Média]],999.9)</f>
        <v>457.84615384615387</v>
      </c>
      <c r="M408" s="383">
        <v>0</v>
      </c>
      <c r="N408" s="384">
        <f>tabItens[[#This Row],[VALOR UNIT.]] * tabItens[[#This Row],[LC]]</f>
        <v>0</v>
      </c>
      <c r="O408" s="385" t="s">
        <v>2154</v>
      </c>
      <c r="P408" s="386"/>
      <c r="Q408" s="387"/>
      <c r="R408" s="312"/>
      <c r="S408" s="388"/>
      <c r="T408" s="389">
        <f>ROUNDDOWN(IFERROR(tabItens[[#This Row],[ATA DT.VALID.]] - $D$1,0) / 30,0)</f>
        <v>-1474</v>
      </c>
      <c r="U408" s="302" t="s">
        <v>1259</v>
      </c>
      <c r="V408" s="318">
        <v>1</v>
      </c>
      <c r="W408" s="390" t="s">
        <v>2078</v>
      </c>
      <c r="X408" s="391">
        <v>69</v>
      </c>
      <c r="Y408" s="392">
        <v>3</v>
      </c>
      <c r="Z408" s="393"/>
      <c r="AA408" s="394"/>
      <c r="AB408" s="395"/>
      <c r="AC408" s="395"/>
      <c r="AD408" s="394"/>
      <c r="AE408" s="395"/>
      <c r="AF408" s="317"/>
      <c r="AG408" s="396" t="s">
        <v>2072</v>
      </c>
      <c r="AH408" s="397"/>
      <c r="AI408" s="317">
        <v>4</v>
      </c>
      <c r="AJ408" s="397">
        <v>44510</v>
      </c>
      <c r="AK408" s="326" t="s">
        <v>889</v>
      </c>
      <c r="AL408" s="326">
        <v>44483</v>
      </c>
      <c r="AM408" s="316"/>
      <c r="AN408" s="305"/>
      <c r="AO408" s="327" t="str">
        <f>_xlfn.IFNA(IF(VLOOKUP(tabItens[[#This Row],[CÓDIGO]],tabExcluirDoEstoque[#Data],1,FALSE),"sim",""),"")</f>
        <v/>
      </c>
      <c r="AP408" s="398" t="str">
        <f ca="1">IF(OR(ISBLANK(tabItens[[#This Row],[ATA DT.VALID.]]),tabItens[[#This Row],[ATA DT.VALID.]]="",tabItens[[#This Row],[ATA DT.VALID.]]=" "),"",IF(TYPE(tabItens[[#This Row],[ATA DT.VALID.]])=1,ROUNDUP((tabItens[[#This Row],[ATA DT.VALID.]]-TODAY())/7,0),""))</f>
        <v/>
      </c>
      <c r="AQ408" s="399">
        <v>0</v>
      </c>
      <c r="AR408" s="400" t="str">
        <f>IF(ISBLANK(tabItens[[#This Row],[CÓDIGO]]),"",IFERROR(VLOOKUP(tabItens[[#This Row],[CÓDIGO]],Consumo!$C$2:$AC$862,26,FALSE),0))</f>
        <v>03.2023</v>
      </c>
      <c r="AS408" s="401">
        <f>SUMIF(Consumo!$C$3:$C$862,tabItens[[#This Row],[CÓDIGO]],Consumo!$N$3:$N$862) + SUMIF(Consumo!$C$3:$C$862,tabItens[[#This Row],[CÓDIGO]],Consumo!$O$3:$O$862) + SUMIF(Consumo!$C$3:$C$862,tabItens[[#This Row],[CÓDIGO]],Consumo!$P$3:$P$862) + SUMIF(Consumo!$C$3:$C$862,tabItens[[#This Row],[CÓDIGO]],Consumo!$Q$3:$Q$862)</f>
        <v>0</v>
      </c>
      <c r="AT408" s="401">
        <f>SUMIF(Consumo!$C$3:$C$862,tabItens[[#This Row],[CÓDIGO]],Consumo!$Z$3:$Z$862)</f>
        <v>13</v>
      </c>
      <c r="AU408" s="402">
        <f>SUMIF(Consumo!$C$3:$C$862,tabItens[[#This Row],[CÓDIGO]],Consumo!$AA$3:$AA$862)</f>
        <v>4</v>
      </c>
      <c r="AV408" s="403">
        <f>SUMIF(Consumo!$C$3:$C$862,tabItens[[#This Row],[CÓDIGO]],Consumo!$Y$3:$Y$862)</f>
        <v>1.0833333333333333</v>
      </c>
      <c r="AW408" s="380">
        <f>tabItens[[#This Row],[QTDE ATUAL]] + tabItens[[#This Row],[RC QTDE]] + tabItens[[#This Row],[AF SALDO]] + tabItens[[#This Row],[Recentes]]</f>
        <v>496</v>
      </c>
      <c r="AX408" s="404">
        <v>8</v>
      </c>
      <c r="AY408" s="404">
        <v>4</v>
      </c>
      <c r="AZ408" s="404">
        <f>IF(ISBLANK(tabItens[[#This Row],[CÓDIGO]]),"",tabItens[[#This Row],[PontoMês]] * (AZ$2+tabItens[[#This Row],[PontoQtM]]))</f>
        <v>32</v>
      </c>
      <c r="BA408" s="403">
        <f>tabItens[[#This Row],[PontoPed]] - tabItens[[#This Row],[Saldo]] + (1/10)</f>
        <v>-463.9</v>
      </c>
      <c r="BB408" s="403">
        <f xml:space="preserve"> tabItens[[#This Row],[PontoMês]] * BB$2 - tabItens[[#This Row],[QTDE ATUAL]] - (1/10)</f>
        <v>-488.1</v>
      </c>
      <c r="BC408" s="335">
        <f>IF( tabItens[[#This Row],[PontoPed]]&gt;0, IF(tabItens[[#This Row],[PontoPed]]&lt;1, 1, IF( tabItens[[#This Row],[Saldo]]&gt;tabItens[[#This Row],[PontoPed]], 0, (tabItens[[#This Row],[PontoPed]]-tabItens[[#This Row],[Saldo]])/tabItens[[#This Row],[PontoPed]] ) ), 0 )</f>
        <v>0</v>
      </c>
      <c r="BD408" s="405">
        <f>ROUNDDOWN(IF( OR( AND(tabItens[[#This Row],[PontoPed]]&lt;tabItens[[#This Row],[Saldo]],tabItens[[#This Row],[Saldo]]&gt;0), tabItens[[#This Row],[PontoPed]]=0), 99, IF(AND(tabItens[[#This Row],[Saldo]]=0,tabItens[[#This Row],[PontoPed]]&gt;0), 0, (1-tabItens[[#This Row],[PctAb]])*10 ) ),0)</f>
        <v>99</v>
      </c>
      <c r="BE408" s="406">
        <f>MAX(ROUNDDOWN( IF(tabItens[[#This Row],[Abaixo]] &gt; 0,   tabItens[[#This Row],[Abaixo]] + (tabItens[[#This Row],[PontoMês]] * IF( OR( ISBLANK(tabItens[[#This Row],[ATA Nº/ANO]]), tabItens[[#This Row],[ATA Nº/ANO]] = ""),BE$2,BE$1)),0),0),0)</f>
        <v>0</v>
      </c>
      <c r="BF40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8" s="338">
        <f>SUMIF(Consumo!$C$3:$C$862,tabItens[[#This Row],[CÓDIGO]],Consumo!$E$3:$E$862)</f>
        <v>0</v>
      </c>
      <c r="BH408" s="339">
        <f>IF(AND(tabItens[[#This Row],[Pend]] &gt; 0,tabItens[[#This Row],[Consumo]] &lt;&gt; 0), tabItens[[#This Row],[Pend]] / tabItens[[#This Row],[Consumo]], 0 )</f>
        <v>0</v>
      </c>
      <c r="BI408" s="338"/>
      <c r="BJ408" s="407"/>
      <c r="BK408" s="408" t="s">
        <v>2086</v>
      </c>
    </row>
    <row r="409" spans="1:63" x14ac:dyDescent="0.3">
      <c r="A409" s="375">
        <v>64607</v>
      </c>
      <c r="B409" s="376" t="s">
        <v>1377</v>
      </c>
      <c r="C409" s="377" t="s">
        <v>345</v>
      </c>
      <c r="D409" s="378">
        <v>49.4</v>
      </c>
      <c r="E409" s="305"/>
      <c r="F409" s="379"/>
      <c r="G409" s="379" t="s">
        <v>889</v>
      </c>
      <c r="H409" s="380">
        <v>1236</v>
      </c>
      <c r="I409" s="307">
        <v>103003</v>
      </c>
      <c r="J409" s="308">
        <v>49.4</v>
      </c>
      <c r="K409" s="381">
        <v>510</v>
      </c>
      <c r="L409" s="382">
        <f>IF(tabItens[[#This Row],[Média]] &gt; 0, tabItens[[#This Row],[QTDE ATUAL]] / tabItens[[#This Row],[Média]],999.9)</f>
        <v>29.139489194499021</v>
      </c>
      <c r="M409" s="383">
        <v>0</v>
      </c>
      <c r="N409" s="384">
        <f>tabItens[[#This Row],[VALOR UNIT.]] * tabItens[[#This Row],[LC]]</f>
        <v>0</v>
      </c>
      <c r="O409" s="385" t="s">
        <v>2154</v>
      </c>
      <c r="P409" s="386"/>
      <c r="Q409" s="387"/>
      <c r="R409" s="312"/>
      <c r="S409" s="388"/>
      <c r="T409" s="389">
        <f>ROUNDDOWN(IFERROR(tabItens[[#This Row],[ATA DT.VALID.]] - $D$1,0) / 30,0)</f>
        <v>-1474</v>
      </c>
      <c r="U409" s="302" t="s">
        <v>1259</v>
      </c>
      <c r="V409" s="318">
        <v>1</v>
      </c>
      <c r="W409" s="390" t="s">
        <v>2078</v>
      </c>
      <c r="X409" s="391">
        <v>69</v>
      </c>
      <c r="Y409" s="392">
        <v>3</v>
      </c>
      <c r="Z409" s="393"/>
      <c r="AA409" s="394"/>
      <c r="AB409" s="395"/>
      <c r="AC409" s="395"/>
      <c r="AD409" s="394"/>
      <c r="AE409" s="395"/>
      <c r="AF409" s="317"/>
      <c r="AG409" s="396" t="s">
        <v>2072</v>
      </c>
      <c r="AH409" s="397"/>
      <c r="AI409" s="317">
        <v>170</v>
      </c>
      <c r="AJ409" s="397">
        <v>45181</v>
      </c>
      <c r="AK409" s="326" t="s">
        <v>889</v>
      </c>
      <c r="AL409" s="326">
        <v>45128</v>
      </c>
      <c r="AM409" s="316"/>
      <c r="AN409" s="305"/>
      <c r="AO409" s="327" t="str">
        <f>_xlfn.IFNA(IF(VLOOKUP(tabItens[[#This Row],[CÓDIGO]],tabExcluirDoEstoque[#Data],1,FALSE),"sim",""),"")</f>
        <v/>
      </c>
      <c r="AP409" s="398" t="str">
        <f ca="1">IF(OR(ISBLANK(tabItens[[#This Row],[ATA DT.VALID.]]),tabItens[[#This Row],[ATA DT.VALID.]]="",tabItens[[#This Row],[ATA DT.VALID.]]=" "),"",IF(TYPE(tabItens[[#This Row],[ATA DT.VALID.]])=1,ROUNDUP((tabItens[[#This Row],[ATA DT.VALID.]]-TODAY())/7,0),""))</f>
        <v/>
      </c>
      <c r="AQ409" s="399">
        <v>0</v>
      </c>
      <c r="AR409" s="400" t="str">
        <f>IF(ISBLANK(tabItens[[#This Row],[CÓDIGO]]),"",IFERROR(VLOOKUP(tabItens[[#This Row],[CÓDIGO]],Consumo!$C$2:$AC$862,26,FALSE),0))</f>
        <v>07.2023</v>
      </c>
      <c r="AS409" s="401">
        <f>SUMIF(Consumo!$C$3:$C$862,tabItens[[#This Row],[CÓDIGO]],Consumo!$N$3:$N$862) + SUMIF(Consumo!$C$3:$C$862,tabItens[[#This Row],[CÓDIGO]],Consumo!$O$3:$O$862) + SUMIF(Consumo!$C$3:$C$862,tabItens[[#This Row],[CÓDIGO]],Consumo!$P$3:$P$862) + SUMIF(Consumo!$C$3:$C$862,tabItens[[#This Row],[CÓDIGO]],Consumo!$Q$3:$Q$862)</f>
        <v>150</v>
      </c>
      <c r="AT409" s="401">
        <f>SUMIF(Consumo!$C$3:$C$862,tabItens[[#This Row],[CÓDIGO]],Consumo!$Z$3:$Z$862)</f>
        <v>514</v>
      </c>
      <c r="AU409" s="402">
        <f>SUMIF(Consumo!$C$3:$C$862,tabItens[[#This Row],[CÓDIGO]],Consumo!$AA$3:$AA$862)</f>
        <v>190</v>
      </c>
      <c r="AV409" s="403">
        <f>SUMIF(Consumo!$C$3:$C$862,tabItens[[#This Row],[CÓDIGO]],Consumo!$Y$3:$Y$862)</f>
        <v>42.416666666666664</v>
      </c>
      <c r="AW409" s="380">
        <f>tabItens[[#This Row],[QTDE ATUAL]] + tabItens[[#This Row],[RC QTDE]] + tabItens[[#This Row],[AF SALDO]] + tabItens[[#This Row],[Recentes]]</f>
        <v>1236</v>
      </c>
      <c r="AX409" s="404">
        <v>27</v>
      </c>
      <c r="AY409" s="404">
        <v>4</v>
      </c>
      <c r="AZ409" s="404">
        <f>IF(ISBLANK(tabItens[[#This Row],[CÓDIGO]]),"",tabItens[[#This Row],[PontoMês]] * (AZ$2+tabItens[[#This Row],[PontoQtM]]))</f>
        <v>108</v>
      </c>
      <c r="BA409" s="403">
        <f>tabItens[[#This Row],[PontoPed]] - tabItens[[#This Row],[Saldo]] + (1/10)</f>
        <v>-1127.9000000000001</v>
      </c>
      <c r="BB409" s="403">
        <f xml:space="preserve"> tabItens[[#This Row],[PontoMês]] * BB$2 - tabItens[[#This Row],[QTDE ATUAL]] - (1/10)</f>
        <v>-1209.0999999999999</v>
      </c>
      <c r="BC409" s="335">
        <f>IF( tabItens[[#This Row],[PontoPed]]&gt;0, IF(tabItens[[#This Row],[PontoPed]]&lt;1, 1, IF( tabItens[[#This Row],[Saldo]]&gt;tabItens[[#This Row],[PontoPed]], 0, (tabItens[[#This Row],[PontoPed]]-tabItens[[#This Row],[Saldo]])/tabItens[[#This Row],[PontoPed]] ) ), 0 )</f>
        <v>0</v>
      </c>
      <c r="BD409" s="405">
        <f>ROUNDDOWN(IF( OR( AND(tabItens[[#This Row],[PontoPed]]&lt;tabItens[[#This Row],[Saldo]],tabItens[[#This Row],[Saldo]]&gt;0), tabItens[[#This Row],[PontoPed]]=0), 99, IF(AND(tabItens[[#This Row],[Saldo]]=0,tabItens[[#This Row],[PontoPed]]&gt;0), 0, (1-tabItens[[#This Row],[PctAb]])*10 ) ),0)</f>
        <v>99</v>
      </c>
      <c r="BE409" s="406">
        <f>MAX(ROUNDDOWN( IF(tabItens[[#This Row],[Abaixo]] &gt; 0,   tabItens[[#This Row],[Abaixo]] + (tabItens[[#This Row],[PontoMês]] * IF( OR( ISBLANK(tabItens[[#This Row],[ATA Nº/ANO]]), tabItens[[#This Row],[ATA Nº/ANO]] = ""),BE$2,BE$1)),0),0),0)</f>
        <v>0</v>
      </c>
      <c r="BF40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9" s="338">
        <f>SUMIF(Consumo!$C$3:$C$862,tabItens[[#This Row],[CÓDIGO]],Consumo!$E$3:$E$862)</f>
        <v>4</v>
      </c>
      <c r="BH409" s="339">
        <f>IF(AND(tabItens[[#This Row],[Pend]] &gt; 0,tabItens[[#This Row],[Consumo]] &lt;&gt; 0), tabItens[[#This Row],[Pend]] / tabItens[[#This Row],[Consumo]], 0 )</f>
        <v>7.7821011673151752E-3</v>
      </c>
      <c r="BI409" s="338"/>
      <c r="BJ409" s="407"/>
      <c r="BK409" s="408" t="s">
        <v>2086</v>
      </c>
    </row>
    <row r="410" spans="1:63" x14ac:dyDescent="0.3">
      <c r="A410" s="375">
        <v>64609</v>
      </c>
      <c r="B410" s="376" t="s">
        <v>1378</v>
      </c>
      <c r="C410" s="377" t="s">
        <v>345</v>
      </c>
      <c r="D410" s="378">
        <v>62</v>
      </c>
      <c r="E410" s="305"/>
      <c r="F410" s="379"/>
      <c r="G410" s="379" t="s">
        <v>889</v>
      </c>
      <c r="H410" s="380">
        <v>435</v>
      </c>
      <c r="I410" s="307">
        <v>103003</v>
      </c>
      <c r="J410" s="308">
        <v>62</v>
      </c>
      <c r="K410" s="381">
        <v>286</v>
      </c>
      <c r="L410" s="382">
        <f>IF(tabItens[[#This Row],[Média]] &gt; 0, tabItens[[#This Row],[QTDE ATUAL]] / tabItens[[#This Row],[Média]],999.9)</f>
        <v>19.051094890510949</v>
      </c>
      <c r="M410" s="383">
        <v>0</v>
      </c>
      <c r="N410" s="384">
        <f>tabItens[[#This Row],[VALOR UNIT.]] * tabItens[[#This Row],[LC]]</f>
        <v>0</v>
      </c>
      <c r="O410" s="385" t="s">
        <v>2154</v>
      </c>
      <c r="P410" s="386"/>
      <c r="Q410" s="387"/>
      <c r="R410" s="312"/>
      <c r="S410" s="388"/>
      <c r="T410" s="389">
        <f>ROUNDDOWN(IFERROR(tabItens[[#This Row],[ATA DT.VALID.]] - $D$1,0) / 30,0)</f>
        <v>-1474</v>
      </c>
      <c r="U410" s="302" t="s">
        <v>1259</v>
      </c>
      <c r="V410" s="318">
        <v>1</v>
      </c>
      <c r="W410" s="390" t="s">
        <v>2078</v>
      </c>
      <c r="X410" s="391">
        <v>69</v>
      </c>
      <c r="Y410" s="392">
        <v>3</v>
      </c>
      <c r="Z410" s="393"/>
      <c r="AA410" s="394"/>
      <c r="AB410" s="395"/>
      <c r="AC410" s="395"/>
      <c r="AD410" s="394"/>
      <c r="AE410" s="395"/>
      <c r="AF410" s="317"/>
      <c r="AG410" s="396" t="s">
        <v>2072</v>
      </c>
      <c r="AH410" s="397"/>
      <c r="AI410" s="317">
        <v>96</v>
      </c>
      <c r="AJ410" s="397">
        <v>44510</v>
      </c>
      <c r="AK410" s="326" t="s">
        <v>889</v>
      </c>
      <c r="AL410" s="326">
        <v>44781</v>
      </c>
      <c r="AM410" s="316"/>
      <c r="AN410" s="305"/>
      <c r="AO410" s="327" t="str">
        <f>_xlfn.IFNA(IF(VLOOKUP(tabItens[[#This Row],[CÓDIGO]],tabExcluirDoEstoque[#Data],1,FALSE),"sim",""),"")</f>
        <v/>
      </c>
      <c r="AP410" s="398" t="str">
        <f ca="1">IF(OR(ISBLANK(tabItens[[#This Row],[ATA DT.VALID.]]),tabItens[[#This Row],[ATA DT.VALID.]]="",tabItens[[#This Row],[ATA DT.VALID.]]=" "),"",IF(TYPE(tabItens[[#This Row],[ATA DT.VALID.]])=1,ROUNDUP((tabItens[[#This Row],[ATA DT.VALID.]]-TODAY())/7,0),""))</f>
        <v/>
      </c>
      <c r="AQ410" s="399">
        <v>0</v>
      </c>
      <c r="AR410" s="400" t="str">
        <f>IF(ISBLANK(tabItens[[#This Row],[CÓDIGO]]),"",IFERROR(VLOOKUP(tabItens[[#This Row],[CÓDIGO]],Consumo!$C$2:$AC$862,26,FALSE),0))</f>
        <v>06.2023</v>
      </c>
      <c r="AS410" s="401">
        <f>SUMIF(Consumo!$C$3:$C$862,tabItens[[#This Row],[CÓDIGO]],Consumo!$N$3:$N$862) + SUMIF(Consumo!$C$3:$C$862,tabItens[[#This Row],[CÓDIGO]],Consumo!$O$3:$O$862) + SUMIF(Consumo!$C$3:$C$862,tabItens[[#This Row],[CÓDIGO]],Consumo!$P$3:$P$862) + SUMIF(Consumo!$C$3:$C$862,tabItens[[#This Row],[CÓDIGO]],Consumo!$Q$3:$Q$862)</f>
        <v>100</v>
      </c>
      <c r="AT410" s="401">
        <f>SUMIF(Consumo!$C$3:$C$862,tabItens[[#This Row],[CÓDIGO]],Consumo!$Z$3:$Z$862)</f>
        <v>286</v>
      </c>
      <c r="AU410" s="402">
        <f>SUMIF(Consumo!$C$3:$C$862,tabItens[[#This Row],[CÓDIGO]],Consumo!$AA$3:$AA$862)</f>
        <v>100</v>
      </c>
      <c r="AV410" s="403">
        <f>SUMIF(Consumo!$C$3:$C$862,tabItens[[#This Row],[CÓDIGO]],Consumo!$Y$3:$Y$862)</f>
        <v>22.833333333333332</v>
      </c>
      <c r="AW410" s="380">
        <f>tabItens[[#This Row],[QTDE ATUAL]] + tabItens[[#This Row],[RC QTDE]] + tabItens[[#This Row],[AF SALDO]] + tabItens[[#This Row],[Recentes]]</f>
        <v>435</v>
      </c>
      <c r="AX410" s="404">
        <v>28</v>
      </c>
      <c r="AY410" s="404">
        <v>4</v>
      </c>
      <c r="AZ410" s="404">
        <f>IF(ISBLANK(tabItens[[#This Row],[CÓDIGO]]),"",tabItens[[#This Row],[PontoMês]] * (AZ$2+tabItens[[#This Row],[PontoQtM]]))</f>
        <v>112</v>
      </c>
      <c r="BA410" s="403">
        <f>tabItens[[#This Row],[PontoPed]] - tabItens[[#This Row],[Saldo]] + (1/10)</f>
        <v>-322.89999999999998</v>
      </c>
      <c r="BB410" s="403">
        <f xml:space="preserve"> tabItens[[#This Row],[PontoMês]] * BB$2 - tabItens[[#This Row],[QTDE ATUAL]] - (1/10)</f>
        <v>-407.1</v>
      </c>
      <c r="BC410" s="335">
        <f>IF( tabItens[[#This Row],[PontoPed]]&gt;0, IF(tabItens[[#This Row],[PontoPed]]&lt;1, 1, IF( tabItens[[#This Row],[Saldo]]&gt;tabItens[[#This Row],[PontoPed]], 0, (tabItens[[#This Row],[PontoPed]]-tabItens[[#This Row],[Saldo]])/tabItens[[#This Row],[PontoPed]] ) ), 0 )</f>
        <v>0</v>
      </c>
      <c r="BD410" s="405">
        <f>ROUNDDOWN(IF( OR( AND(tabItens[[#This Row],[PontoPed]]&lt;tabItens[[#This Row],[Saldo]],tabItens[[#This Row],[Saldo]]&gt;0), tabItens[[#This Row],[PontoPed]]=0), 99, IF(AND(tabItens[[#This Row],[Saldo]]=0,tabItens[[#This Row],[PontoPed]]&gt;0), 0, (1-tabItens[[#This Row],[PctAb]])*10 ) ),0)</f>
        <v>99</v>
      </c>
      <c r="BE410" s="406">
        <f>MAX(ROUNDDOWN( IF(tabItens[[#This Row],[Abaixo]] &gt; 0,   tabItens[[#This Row],[Abaixo]] + (tabItens[[#This Row],[PontoMês]] * IF( OR( ISBLANK(tabItens[[#This Row],[ATA Nº/ANO]]), tabItens[[#This Row],[ATA Nº/ANO]] = ""),BE$2,BE$1)),0),0),0)</f>
        <v>0</v>
      </c>
      <c r="BF41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0" s="338">
        <f>SUMIF(Consumo!$C$3:$C$862,tabItens[[#This Row],[CÓDIGO]],Consumo!$E$3:$E$862)</f>
        <v>0</v>
      </c>
      <c r="BH410" s="339">
        <f>IF(AND(tabItens[[#This Row],[Pend]] &gt; 0,tabItens[[#This Row],[Consumo]] &lt;&gt; 0), tabItens[[#This Row],[Pend]] / tabItens[[#This Row],[Consumo]], 0 )</f>
        <v>0</v>
      </c>
      <c r="BI410" s="338"/>
      <c r="BJ410" s="407"/>
      <c r="BK410" s="408" t="s">
        <v>2086</v>
      </c>
    </row>
    <row r="411" spans="1:63" x14ac:dyDescent="0.3">
      <c r="A411" s="375">
        <v>64625</v>
      </c>
      <c r="B411" s="376" t="s">
        <v>1380</v>
      </c>
      <c r="C411" s="377" t="s">
        <v>345</v>
      </c>
      <c r="D411" s="378">
        <v>61.42</v>
      </c>
      <c r="E411" s="305"/>
      <c r="F411" s="379"/>
      <c r="G411" s="379" t="s">
        <v>889</v>
      </c>
      <c r="H411" s="380">
        <v>677</v>
      </c>
      <c r="I411" s="307">
        <v>103003</v>
      </c>
      <c r="J411" s="308">
        <v>61.42</v>
      </c>
      <c r="K411" s="381">
        <v>60</v>
      </c>
      <c r="L411" s="382">
        <f>IF(tabItens[[#This Row],[Média]] &gt; 0, tabItens[[#This Row],[QTDE ATUAL]] / tabItens[[#This Row],[Média]],999.9)</f>
        <v>153.28301886792451</v>
      </c>
      <c r="M411" s="383">
        <v>0</v>
      </c>
      <c r="N411" s="384">
        <f>tabItens[[#This Row],[VALOR UNIT.]] * tabItens[[#This Row],[LC]]</f>
        <v>0</v>
      </c>
      <c r="O411" s="385" t="s">
        <v>2154</v>
      </c>
      <c r="P411" s="386"/>
      <c r="Q411" s="387"/>
      <c r="R411" s="312"/>
      <c r="S411" s="388"/>
      <c r="T411" s="389">
        <f>ROUNDDOWN(IFERROR(tabItens[[#This Row],[ATA DT.VALID.]] - $D$1,0) / 30,0)</f>
        <v>-1474</v>
      </c>
      <c r="U411" s="302" t="s">
        <v>1347</v>
      </c>
      <c r="V411" s="318">
        <v>1</v>
      </c>
      <c r="W411" s="390" t="s">
        <v>2071</v>
      </c>
      <c r="X411" s="391">
        <v>69</v>
      </c>
      <c r="Y411" s="392">
        <v>8</v>
      </c>
      <c r="Z411" s="393"/>
      <c r="AA411" s="394"/>
      <c r="AB411" s="395"/>
      <c r="AC411" s="395"/>
      <c r="AD411" s="394"/>
      <c r="AE411" s="395"/>
      <c r="AF411" s="317"/>
      <c r="AG411" s="396" t="s">
        <v>2072</v>
      </c>
      <c r="AH411" s="397"/>
      <c r="AI411" s="317">
        <v>20</v>
      </c>
      <c r="AJ411" s="397">
        <v>44893</v>
      </c>
      <c r="AK411" s="326" t="s">
        <v>889</v>
      </c>
      <c r="AL411" s="326">
        <v>44881</v>
      </c>
      <c r="AM411" s="316"/>
      <c r="AN411" s="305"/>
      <c r="AO411" s="327" t="str">
        <f>_xlfn.IFNA(IF(VLOOKUP(tabItens[[#This Row],[CÓDIGO]],tabExcluirDoEstoque[#Data],1,FALSE),"sim",""),"")</f>
        <v/>
      </c>
      <c r="AP411" s="398" t="str">
        <f ca="1">IF(OR(ISBLANK(tabItens[[#This Row],[ATA DT.VALID.]]),tabItens[[#This Row],[ATA DT.VALID.]]="",tabItens[[#This Row],[ATA DT.VALID.]]=" "),"",IF(TYPE(tabItens[[#This Row],[ATA DT.VALID.]])=1,ROUNDUP((tabItens[[#This Row],[ATA DT.VALID.]]-TODAY())/7,0),""))</f>
        <v/>
      </c>
      <c r="AQ411" s="399">
        <v>0</v>
      </c>
      <c r="AR411" s="400" t="str">
        <f>IF(ISBLANK(tabItens[[#This Row],[CÓDIGO]]),"",IFERROR(VLOOKUP(tabItens[[#This Row],[CÓDIGO]],Consumo!$C$2:$AC$862,26,FALSE),0))</f>
        <v>02.2023</v>
      </c>
      <c r="AS411" s="401">
        <f>SUMIF(Consumo!$C$3:$C$862,tabItens[[#This Row],[CÓDIGO]],Consumo!$N$3:$N$862) + SUMIF(Consumo!$C$3:$C$862,tabItens[[#This Row],[CÓDIGO]],Consumo!$O$3:$O$862) + SUMIF(Consumo!$C$3:$C$862,tabItens[[#This Row],[CÓDIGO]],Consumo!$P$3:$P$862) + SUMIF(Consumo!$C$3:$C$862,tabItens[[#This Row],[CÓDIGO]],Consumo!$Q$3:$Q$862)</f>
        <v>0</v>
      </c>
      <c r="AT411" s="401">
        <f>SUMIF(Consumo!$C$3:$C$862,tabItens[[#This Row],[CÓDIGO]],Consumo!$Z$3:$Z$862)</f>
        <v>60</v>
      </c>
      <c r="AU411" s="402">
        <f>SUMIF(Consumo!$C$3:$C$862,tabItens[[#This Row],[CÓDIGO]],Consumo!$AA$3:$AA$862)</f>
        <v>35</v>
      </c>
      <c r="AV411" s="403">
        <f>SUMIF(Consumo!$C$3:$C$862,tabItens[[#This Row],[CÓDIGO]],Consumo!$Y$3:$Y$862)</f>
        <v>4.416666666666667</v>
      </c>
      <c r="AW411" s="380">
        <f>tabItens[[#This Row],[QTDE ATUAL]] + tabItens[[#This Row],[RC QTDE]] + tabItens[[#This Row],[AF SALDO]] + tabItens[[#This Row],[Recentes]]</f>
        <v>677</v>
      </c>
      <c r="AX411" s="404">
        <v>34</v>
      </c>
      <c r="AY411" s="404">
        <v>4</v>
      </c>
      <c r="AZ411" s="404">
        <f>IF(ISBLANK(tabItens[[#This Row],[CÓDIGO]]),"",tabItens[[#This Row],[PontoMês]] * (AZ$2+tabItens[[#This Row],[PontoQtM]]))</f>
        <v>136</v>
      </c>
      <c r="BA411" s="403">
        <f>tabItens[[#This Row],[PontoPed]] - tabItens[[#This Row],[Saldo]] + (1/10)</f>
        <v>-540.9</v>
      </c>
      <c r="BB411" s="403">
        <f xml:space="preserve"> tabItens[[#This Row],[PontoMês]] * BB$2 - tabItens[[#This Row],[QTDE ATUAL]] - (1/10)</f>
        <v>-643.1</v>
      </c>
      <c r="BC411" s="335">
        <f>IF( tabItens[[#This Row],[PontoPed]]&gt;0, IF(tabItens[[#This Row],[PontoPed]]&lt;1, 1, IF( tabItens[[#This Row],[Saldo]]&gt;tabItens[[#This Row],[PontoPed]], 0, (tabItens[[#This Row],[PontoPed]]-tabItens[[#This Row],[Saldo]])/tabItens[[#This Row],[PontoPed]] ) ), 0 )</f>
        <v>0</v>
      </c>
      <c r="BD411" s="405">
        <f>ROUNDDOWN(IF( OR( AND(tabItens[[#This Row],[PontoPed]]&lt;tabItens[[#This Row],[Saldo]],tabItens[[#This Row],[Saldo]]&gt;0), tabItens[[#This Row],[PontoPed]]=0), 99, IF(AND(tabItens[[#This Row],[Saldo]]=0,tabItens[[#This Row],[PontoPed]]&gt;0), 0, (1-tabItens[[#This Row],[PctAb]])*10 ) ),0)</f>
        <v>99</v>
      </c>
      <c r="BE411" s="406">
        <f>MAX(ROUNDDOWN( IF(tabItens[[#This Row],[Abaixo]] &gt; 0,   tabItens[[#This Row],[Abaixo]] + (tabItens[[#This Row],[PontoMês]] * IF( OR( ISBLANK(tabItens[[#This Row],[ATA Nº/ANO]]), tabItens[[#This Row],[ATA Nº/ANO]] = ""),BE$2,BE$1)),0),0),0)</f>
        <v>0</v>
      </c>
      <c r="BF41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1" s="338">
        <f>SUMIF(Consumo!$C$3:$C$862,tabItens[[#This Row],[CÓDIGO]],Consumo!$E$3:$E$862)</f>
        <v>0</v>
      </c>
      <c r="BH411" s="339">
        <f>IF(AND(tabItens[[#This Row],[Pend]] &gt; 0,tabItens[[#This Row],[Consumo]] &lt;&gt; 0), tabItens[[#This Row],[Pend]] / tabItens[[#This Row],[Consumo]], 0 )</f>
        <v>0</v>
      </c>
      <c r="BI411" s="338"/>
      <c r="BJ411" s="407"/>
      <c r="BK411" s="408" t="s">
        <v>2086</v>
      </c>
    </row>
    <row r="412" spans="1:63" x14ac:dyDescent="0.3">
      <c r="A412" s="375">
        <v>64817</v>
      </c>
      <c r="B412" s="376" t="s">
        <v>1390</v>
      </c>
      <c r="C412" s="377" t="s">
        <v>345</v>
      </c>
      <c r="D412" s="378">
        <v>16</v>
      </c>
      <c r="E412" s="305"/>
      <c r="F412" s="379"/>
      <c r="G412" s="379" t="s">
        <v>889</v>
      </c>
      <c r="H412" s="380">
        <v>86</v>
      </c>
      <c r="I412" s="307">
        <v>103003</v>
      </c>
      <c r="J412" s="308">
        <v>16</v>
      </c>
      <c r="K412" s="381">
        <v>2</v>
      </c>
      <c r="L412" s="382">
        <f>IF(tabItens[[#This Row],[Média]] &gt; 0, tabItens[[#This Row],[QTDE ATUAL]] / tabItens[[#This Row],[Média]],999.9)</f>
        <v>1032</v>
      </c>
      <c r="M412" s="383">
        <v>0</v>
      </c>
      <c r="N412" s="384">
        <f>tabItens[[#This Row],[VALOR UNIT.]] * tabItens[[#This Row],[LC]]</f>
        <v>0</v>
      </c>
      <c r="O412" s="385" t="s">
        <v>2154</v>
      </c>
      <c r="P412" s="386"/>
      <c r="Q412" s="387"/>
      <c r="R412" s="312"/>
      <c r="S412" s="388"/>
      <c r="T412" s="389">
        <f>ROUNDDOWN(IFERROR(tabItens[[#This Row],[ATA DT.VALID.]] - $D$1,0) / 30,0)</f>
        <v>-1474</v>
      </c>
      <c r="U412" s="302" t="s">
        <v>1347</v>
      </c>
      <c r="V412" s="318">
        <v>1</v>
      </c>
      <c r="W412" s="390" t="s">
        <v>2071</v>
      </c>
      <c r="X412" s="391">
        <v>69</v>
      </c>
      <c r="Y412" s="392">
        <v>8</v>
      </c>
      <c r="Z412" s="393"/>
      <c r="AA412" s="394"/>
      <c r="AB412" s="395"/>
      <c r="AC412" s="395"/>
      <c r="AD412" s="394"/>
      <c r="AE412" s="395"/>
      <c r="AF412" s="317"/>
      <c r="AG412" s="396" t="s">
        <v>2072</v>
      </c>
      <c r="AH412" s="397"/>
      <c r="AI412" s="317">
        <v>0</v>
      </c>
      <c r="AJ412" s="397">
        <v>43788</v>
      </c>
      <c r="AK412" s="326" t="s">
        <v>889</v>
      </c>
      <c r="AL412" s="326">
        <v>44012</v>
      </c>
      <c r="AM412" s="316"/>
      <c r="AN412" s="305"/>
      <c r="AO412" s="327" t="str">
        <f>_xlfn.IFNA(IF(VLOOKUP(tabItens[[#This Row],[CÓDIGO]],tabExcluirDoEstoque[#Data],1,FALSE),"sim",""),"")</f>
        <v/>
      </c>
      <c r="AP412" s="398" t="str">
        <f ca="1">IF(OR(ISBLANK(tabItens[[#This Row],[ATA DT.VALID.]]),tabItens[[#This Row],[ATA DT.VALID.]]="",tabItens[[#This Row],[ATA DT.VALID.]]=" "),"",IF(TYPE(tabItens[[#This Row],[ATA DT.VALID.]])=1,ROUNDUP((tabItens[[#This Row],[ATA DT.VALID.]]-TODAY())/7,0),""))</f>
        <v/>
      </c>
      <c r="AQ412" s="399">
        <v>0</v>
      </c>
      <c r="AR412" s="400" t="str">
        <f>IF(ISBLANK(tabItens[[#This Row],[CÓDIGO]]),"",IFERROR(VLOOKUP(tabItens[[#This Row],[CÓDIGO]],Consumo!$C$2:$AC$862,26,FALSE),0))</f>
        <v>01.2023</v>
      </c>
      <c r="AS412" s="401">
        <f>SUMIF(Consumo!$C$3:$C$862,tabItens[[#This Row],[CÓDIGO]],Consumo!$N$3:$N$862) + SUMIF(Consumo!$C$3:$C$862,tabItens[[#This Row],[CÓDIGO]],Consumo!$O$3:$O$862) + SUMIF(Consumo!$C$3:$C$862,tabItens[[#This Row],[CÓDIGO]],Consumo!$P$3:$P$862) + SUMIF(Consumo!$C$3:$C$862,tabItens[[#This Row],[CÓDIGO]],Consumo!$Q$3:$Q$862)</f>
        <v>0</v>
      </c>
      <c r="AT412" s="401">
        <f>SUMIF(Consumo!$C$3:$C$862,tabItens[[#This Row],[CÓDIGO]],Consumo!$Z$3:$Z$862)</f>
        <v>2</v>
      </c>
      <c r="AU412" s="402">
        <f>SUMIF(Consumo!$C$3:$C$862,tabItens[[#This Row],[CÓDIGO]],Consumo!$AA$3:$AA$862)</f>
        <v>2</v>
      </c>
      <c r="AV412" s="403">
        <f>SUMIF(Consumo!$C$3:$C$862,tabItens[[#This Row],[CÓDIGO]],Consumo!$Y$3:$Y$862)</f>
        <v>8.3333333333333329E-2</v>
      </c>
      <c r="AW412" s="380">
        <f>tabItens[[#This Row],[QTDE ATUAL]] + tabItens[[#This Row],[RC QTDE]] + tabItens[[#This Row],[AF SALDO]] + tabItens[[#This Row],[Recentes]]</f>
        <v>86</v>
      </c>
      <c r="AX412" s="404">
        <v>17</v>
      </c>
      <c r="AY412" s="404">
        <v>4</v>
      </c>
      <c r="AZ412" s="404">
        <f>IF(ISBLANK(tabItens[[#This Row],[CÓDIGO]]),"",tabItens[[#This Row],[PontoMês]] * (AZ$2+tabItens[[#This Row],[PontoQtM]]))</f>
        <v>68</v>
      </c>
      <c r="BA412" s="403">
        <f>tabItens[[#This Row],[PontoPed]] - tabItens[[#This Row],[Saldo]] + (1/10)</f>
        <v>-17.899999999999999</v>
      </c>
      <c r="BB412" s="403">
        <f xml:space="preserve"> tabItens[[#This Row],[PontoMês]] * BB$2 - tabItens[[#This Row],[QTDE ATUAL]] - (1/10)</f>
        <v>-69.099999999999994</v>
      </c>
      <c r="BC412" s="335">
        <f>IF( tabItens[[#This Row],[PontoPed]]&gt;0, IF(tabItens[[#This Row],[PontoPed]]&lt;1, 1, IF( tabItens[[#This Row],[Saldo]]&gt;tabItens[[#This Row],[PontoPed]], 0, (tabItens[[#This Row],[PontoPed]]-tabItens[[#This Row],[Saldo]])/tabItens[[#This Row],[PontoPed]] ) ), 0 )</f>
        <v>0</v>
      </c>
      <c r="BD412" s="405">
        <f>ROUNDDOWN(IF( OR( AND(tabItens[[#This Row],[PontoPed]]&lt;tabItens[[#This Row],[Saldo]],tabItens[[#This Row],[Saldo]]&gt;0), tabItens[[#This Row],[PontoPed]]=0), 99, IF(AND(tabItens[[#This Row],[Saldo]]=0,tabItens[[#This Row],[PontoPed]]&gt;0), 0, (1-tabItens[[#This Row],[PctAb]])*10 ) ),0)</f>
        <v>99</v>
      </c>
      <c r="BE412" s="406">
        <f>MAX(ROUNDDOWN( IF(tabItens[[#This Row],[Abaixo]] &gt; 0,   tabItens[[#This Row],[Abaixo]] + (tabItens[[#This Row],[PontoMês]] * IF( OR( ISBLANK(tabItens[[#This Row],[ATA Nº/ANO]]), tabItens[[#This Row],[ATA Nº/ANO]] = ""),BE$2,BE$1)),0),0),0)</f>
        <v>0</v>
      </c>
      <c r="BF41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2" s="338">
        <f>SUMIF(Consumo!$C$3:$C$862,tabItens[[#This Row],[CÓDIGO]],Consumo!$E$3:$E$862)</f>
        <v>0</v>
      </c>
      <c r="BH412" s="339">
        <f>IF(AND(tabItens[[#This Row],[Pend]] &gt; 0,tabItens[[#This Row],[Consumo]] &lt;&gt; 0), tabItens[[#This Row],[Pend]] / tabItens[[#This Row],[Consumo]], 0 )</f>
        <v>0</v>
      </c>
      <c r="BI412" s="338"/>
      <c r="BJ412" s="407"/>
      <c r="BK412" s="408" t="s">
        <v>2086</v>
      </c>
    </row>
    <row r="413" spans="1:63" x14ac:dyDescent="0.3">
      <c r="A413" s="375">
        <v>136895</v>
      </c>
      <c r="B413" s="376" t="s">
        <v>1951</v>
      </c>
      <c r="C413" s="377" t="s">
        <v>31</v>
      </c>
      <c r="D413" s="378">
        <v>3.8</v>
      </c>
      <c r="E413" s="305"/>
      <c r="F413" s="379"/>
      <c r="G413" s="379" t="s">
        <v>889</v>
      </c>
      <c r="H413" s="380">
        <v>15</v>
      </c>
      <c r="I413" s="307">
        <v>103003</v>
      </c>
      <c r="J413" s="308">
        <v>3.8</v>
      </c>
      <c r="K413" s="381">
        <v>524</v>
      </c>
      <c r="L413" s="382">
        <f>IF(tabItens[[#This Row],[Média]] &gt; 0, tabItens[[#This Row],[QTDE ATUAL]] / tabItens[[#This Row],[Média]],999.9)</f>
        <v>0.29363784665579118</v>
      </c>
      <c r="M413" s="383">
        <v>0</v>
      </c>
      <c r="N413" s="384">
        <f>tabItens[[#This Row],[VALOR UNIT.]] * tabItens[[#This Row],[LC]]</f>
        <v>0</v>
      </c>
      <c r="O413" s="385" t="s">
        <v>2208</v>
      </c>
      <c r="P413" s="386"/>
      <c r="Q413" s="387"/>
      <c r="R413" s="312"/>
      <c r="S413" s="388"/>
      <c r="T413" s="389">
        <f>ROUNDDOWN(IFERROR(tabItens[[#This Row],[ATA DT.VALID.]] - $D$1,0) / 30,0)</f>
        <v>-1474</v>
      </c>
      <c r="U413" s="302" t="s">
        <v>1881</v>
      </c>
      <c r="V413" s="318">
        <v>1</v>
      </c>
      <c r="W413" s="390" t="s">
        <v>2077</v>
      </c>
      <c r="X413" s="391">
        <v>55</v>
      </c>
      <c r="Y413" s="392">
        <v>66</v>
      </c>
      <c r="Z413" s="393">
        <v>2957</v>
      </c>
      <c r="AA413" s="394">
        <v>2023</v>
      </c>
      <c r="AB413" s="395">
        <v>300</v>
      </c>
      <c r="AC413" s="395"/>
      <c r="AD413" s="394"/>
      <c r="AE413" s="395"/>
      <c r="AF413" s="317"/>
      <c r="AG413" s="396" t="s">
        <v>2072</v>
      </c>
      <c r="AH413" s="397"/>
      <c r="AI413" s="317">
        <v>204</v>
      </c>
      <c r="AJ413" s="397">
        <v>44883</v>
      </c>
      <c r="AK413" s="326">
        <v>43584</v>
      </c>
      <c r="AL413" s="326">
        <v>45163</v>
      </c>
      <c r="AM413" s="316"/>
      <c r="AN413" s="305"/>
      <c r="AO413" s="327" t="str">
        <f>_xlfn.IFNA(IF(VLOOKUP(tabItens[[#This Row],[CÓDIGO]],tabExcluirDoEstoque[#Data],1,FALSE),"sim",""),"")</f>
        <v/>
      </c>
      <c r="AP413" s="398" t="str">
        <f ca="1">IF(OR(ISBLANK(tabItens[[#This Row],[ATA DT.VALID.]]),tabItens[[#This Row],[ATA DT.VALID.]]="",tabItens[[#This Row],[ATA DT.VALID.]]=" "),"",IF(TYPE(tabItens[[#This Row],[ATA DT.VALID.]])=1,ROUNDUP((tabItens[[#This Row],[ATA DT.VALID.]]-TODAY())/7,0),""))</f>
        <v/>
      </c>
      <c r="AQ413" s="399">
        <v>0</v>
      </c>
      <c r="AR413" s="400" t="str">
        <f>IF(ISBLANK(tabItens[[#This Row],[CÓDIGO]]),"",IFERROR(VLOOKUP(tabItens[[#This Row],[CÓDIGO]],Consumo!$C$2:$AC$862,26,FALSE),0))</f>
        <v>09.2023</v>
      </c>
      <c r="AS413" s="401">
        <f>SUMIF(Consumo!$C$3:$C$862,tabItens[[#This Row],[CÓDIGO]],Consumo!$N$3:$N$862) + SUMIF(Consumo!$C$3:$C$862,tabItens[[#This Row],[CÓDIGO]],Consumo!$O$3:$O$862) + SUMIF(Consumo!$C$3:$C$862,tabItens[[#This Row],[CÓDIGO]],Consumo!$P$3:$P$862) + SUMIF(Consumo!$C$3:$C$862,tabItens[[#This Row],[CÓDIGO]],Consumo!$Q$3:$Q$862)</f>
        <v>370</v>
      </c>
      <c r="AT413" s="401">
        <f>SUMIF(Consumo!$C$3:$C$862,tabItens[[#This Row],[CÓDIGO]],Consumo!$Z$3:$Z$862)</f>
        <v>613</v>
      </c>
      <c r="AU413" s="402">
        <f>SUMIF(Consumo!$C$3:$C$862,tabItens[[#This Row],[CÓDIGO]],Consumo!$AA$3:$AA$862)</f>
        <v>150</v>
      </c>
      <c r="AV413" s="403">
        <f>SUMIF(Consumo!$C$3:$C$862,tabItens[[#This Row],[CÓDIGO]],Consumo!$Y$3:$Y$862)</f>
        <v>51.083333333333336</v>
      </c>
      <c r="AW413" s="380">
        <f>tabItens[[#This Row],[QTDE ATUAL]] + tabItens[[#This Row],[RC QTDE]] + tabItens[[#This Row],[AF SALDO]] + tabItens[[#This Row],[Recentes]]</f>
        <v>315</v>
      </c>
      <c r="AX413" s="404">
        <v>42</v>
      </c>
      <c r="AY413" s="404">
        <v>4</v>
      </c>
      <c r="AZ413" s="404">
        <f>IF(ISBLANK(tabItens[[#This Row],[CÓDIGO]]),"",tabItens[[#This Row],[PontoMês]] * (AZ$2+tabItens[[#This Row],[PontoQtM]]))</f>
        <v>168</v>
      </c>
      <c r="BA413" s="403">
        <f>tabItens[[#This Row],[PontoPed]] - tabItens[[#This Row],[Saldo]] + (1/10)</f>
        <v>-146.9</v>
      </c>
      <c r="BB413" s="403">
        <f xml:space="preserve"> tabItens[[#This Row],[PontoMês]] * BB$2 - tabItens[[#This Row],[QTDE ATUAL]] - (1/10)</f>
        <v>26.9</v>
      </c>
      <c r="BC413" s="335">
        <f>IF( tabItens[[#This Row],[PontoPed]]&gt;0, IF(tabItens[[#This Row],[PontoPed]]&lt;1, 1, IF( tabItens[[#This Row],[Saldo]]&gt;tabItens[[#This Row],[PontoPed]], 0, (tabItens[[#This Row],[PontoPed]]-tabItens[[#This Row],[Saldo]])/tabItens[[#This Row],[PontoPed]] ) ), 0 )</f>
        <v>0</v>
      </c>
      <c r="BD413" s="405">
        <f>ROUNDDOWN(IF( OR( AND(tabItens[[#This Row],[PontoPed]]&lt;tabItens[[#This Row],[Saldo]],tabItens[[#This Row],[Saldo]]&gt;0), tabItens[[#This Row],[PontoPed]]=0), 99, IF(AND(tabItens[[#This Row],[Saldo]]=0,tabItens[[#This Row],[PontoPed]]&gt;0), 0, (1-tabItens[[#This Row],[PctAb]])*10 ) ),0)</f>
        <v>99</v>
      </c>
      <c r="BE413" s="406">
        <f>MAX(ROUNDDOWN( IF(tabItens[[#This Row],[Abaixo]] &gt; 0,   tabItens[[#This Row],[Abaixo]] + (tabItens[[#This Row],[PontoMês]] * IF( OR( ISBLANK(tabItens[[#This Row],[ATA Nº/ANO]]), tabItens[[#This Row],[ATA Nº/ANO]] = ""),BE$2,BE$1)),0),0),0)</f>
        <v>0</v>
      </c>
      <c r="BF41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3" s="338">
        <f>SUMIF(Consumo!$C$3:$C$862,tabItens[[#This Row],[CÓDIGO]],Consumo!$E$3:$E$862)</f>
        <v>0</v>
      </c>
      <c r="BH413" s="339">
        <f>IF(AND(tabItens[[#This Row],[Pend]] &gt; 0,tabItens[[#This Row],[Consumo]] &lt;&gt; 0), tabItens[[#This Row],[Pend]] / tabItens[[#This Row],[Consumo]], 0 )</f>
        <v>0</v>
      </c>
      <c r="BI413" s="338"/>
      <c r="BJ413" s="407"/>
      <c r="BK413" s="408" t="s">
        <v>2086</v>
      </c>
    </row>
    <row r="414" spans="1:63" x14ac:dyDescent="0.3">
      <c r="A414" s="375">
        <v>16571</v>
      </c>
      <c r="B414" s="376" t="s">
        <v>1118</v>
      </c>
      <c r="C414" s="377" t="s">
        <v>335</v>
      </c>
      <c r="D414" s="378">
        <v>6.75</v>
      </c>
      <c r="E414" s="305"/>
      <c r="F414" s="379"/>
      <c r="G414" s="379" t="s">
        <v>889</v>
      </c>
      <c r="H414" s="380">
        <v>2828</v>
      </c>
      <c r="I414" s="307">
        <v>103003</v>
      </c>
      <c r="J414" s="308">
        <v>6.75</v>
      </c>
      <c r="K414" s="381">
        <v>1488</v>
      </c>
      <c r="L414" s="382">
        <f>IF(tabItens[[#This Row],[Média]] &gt; 0, tabItens[[#This Row],[QTDE ATUAL]] / tabItens[[#This Row],[Média]],999.9)</f>
        <v>14.228930817610063</v>
      </c>
      <c r="M414" s="383">
        <v>0</v>
      </c>
      <c r="N414" s="384">
        <f>tabItens[[#This Row],[VALOR UNIT.]] * tabItens[[#This Row],[LC]]</f>
        <v>0</v>
      </c>
      <c r="O414" s="385" t="s">
        <v>2128</v>
      </c>
      <c r="P414" s="386"/>
      <c r="Q414" s="387"/>
      <c r="R414" s="312"/>
      <c r="S414" s="388"/>
      <c r="T414" s="389">
        <f>ROUNDDOWN(IFERROR(tabItens[[#This Row],[ATA DT.VALID.]] - $D$1,0) / 30,0)</f>
        <v>-1474</v>
      </c>
      <c r="U414" s="302" t="s">
        <v>1119</v>
      </c>
      <c r="V414" s="318">
        <v>1</v>
      </c>
      <c r="W414" s="390" t="s">
        <v>2073</v>
      </c>
      <c r="X414" s="391">
        <v>48</v>
      </c>
      <c r="Y414" s="392">
        <v>24</v>
      </c>
      <c r="Z414" s="393"/>
      <c r="AA414" s="394"/>
      <c r="AB414" s="395"/>
      <c r="AC414" s="395"/>
      <c r="AD414" s="394"/>
      <c r="AE414" s="395"/>
      <c r="AF414" s="317"/>
      <c r="AG414" s="396" t="s">
        <v>2072</v>
      </c>
      <c r="AH414" s="397"/>
      <c r="AI414" s="317">
        <v>812</v>
      </c>
      <c r="AJ414" s="397">
        <v>45167</v>
      </c>
      <c r="AK414" s="326" t="s">
        <v>889</v>
      </c>
      <c r="AL414" s="326">
        <v>45133</v>
      </c>
      <c r="AM414" s="316"/>
      <c r="AN414" s="305"/>
      <c r="AO414" s="327" t="str">
        <f>_xlfn.IFNA(IF(VLOOKUP(tabItens[[#This Row],[CÓDIGO]],tabExcluirDoEstoque[#Data],1,FALSE),"sim",""),"")</f>
        <v/>
      </c>
      <c r="AP414" s="398" t="str">
        <f ca="1">IF(OR(ISBLANK(tabItens[[#This Row],[ATA DT.VALID.]]),tabItens[[#This Row],[ATA DT.VALID.]]="",tabItens[[#This Row],[ATA DT.VALID.]]=" "),"",IF(TYPE(tabItens[[#This Row],[ATA DT.VALID.]])=1,ROUNDUP((tabItens[[#This Row],[ATA DT.VALID.]]-TODAY())/7,0),""))</f>
        <v/>
      </c>
      <c r="AQ414" s="399">
        <v>0</v>
      </c>
      <c r="AR414" s="400" t="str">
        <f>IF(ISBLANK(tabItens[[#This Row],[CÓDIGO]]),"",IFERROR(VLOOKUP(tabItens[[#This Row],[CÓDIGO]],Consumo!$C$2:$AC$862,26,FALSE),0))</f>
        <v>09.2023</v>
      </c>
      <c r="AS414" s="401">
        <f>SUMIF(Consumo!$C$3:$C$862,tabItens[[#This Row],[CÓDIGO]],Consumo!$N$3:$N$862) + SUMIF(Consumo!$C$3:$C$862,tabItens[[#This Row],[CÓDIGO]],Consumo!$O$3:$O$862) + SUMIF(Consumo!$C$3:$C$862,tabItens[[#This Row],[CÓDIGO]],Consumo!$P$3:$P$862) + SUMIF(Consumo!$C$3:$C$862,tabItens[[#This Row],[CÓDIGO]],Consumo!$Q$3:$Q$862)</f>
        <v>682</v>
      </c>
      <c r="AT414" s="401">
        <f>SUMIF(Consumo!$C$3:$C$862,tabItens[[#This Row],[CÓDIGO]],Consumo!$Z$3:$Z$862)</f>
        <v>2437</v>
      </c>
      <c r="AU414" s="402">
        <f>SUMIF(Consumo!$C$3:$C$862,tabItens[[#This Row],[CÓDIGO]],Consumo!$AA$3:$AA$862)</f>
        <v>395</v>
      </c>
      <c r="AV414" s="403">
        <f>SUMIF(Consumo!$C$3:$C$862,tabItens[[#This Row],[CÓDIGO]],Consumo!$Y$3:$Y$862)</f>
        <v>198.75</v>
      </c>
      <c r="AW414" s="380">
        <f>tabItens[[#This Row],[QTDE ATUAL]] + tabItens[[#This Row],[RC QTDE]] + tabItens[[#This Row],[AF SALDO]] + tabItens[[#This Row],[Recentes]]</f>
        <v>2828</v>
      </c>
      <c r="AX414" s="404">
        <v>256</v>
      </c>
      <c r="AY414" s="404">
        <v>4</v>
      </c>
      <c r="AZ414" s="404">
        <f>IF(ISBLANK(tabItens[[#This Row],[CÓDIGO]]),"",tabItens[[#This Row],[PontoMês]] * (AZ$2+tabItens[[#This Row],[PontoQtM]]))</f>
        <v>1024</v>
      </c>
      <c r="BA414" s="403">
        <f>tabItens[[#This Row],[PontoPed]] - tabItens[[#This Row],[Saldo]] + (1/10)</f>
        <v>-1803.9</v>
      </c>
      <c r="BB414" s="403">
        <f xml:space="preserve"> tabItens[[#This Row],[PontoMês]] * BB$2 - tabItens[[#This Row],[QTDE ATUAL]] - (1/10)</f>
        <v>-2572.1</v>
      </c>
      <c r="BC414" s="335">
        <f>IF( tabItens[[#This Row],[PontoPed]]&gt;0, IF(tabItens[[#This Row],[PontoPed]]&lt;1, 1, IF( tabItens[[#This Row],[Saldo]]&gt;tabItens[[#This Row],[PontoPed]], 0, (tabItens[[#This Row],[PontoPed]]-tabItens[[#This Row],[Saldo]])/tabItens[[#This Row],[PontoPed]] ) ), 0 )</f>
        <v>0</v>
      </c>
      <c r="BD414" s="405">
        <f>ROUNDDOWN(IF( OR( AND(tabItens[[#This Row],[PontoPed]]&lt;tabItens[[#This Row],[Saldo]],tabItens[[#This Row],[Saldo]]&gt;0), tabItens[[#This Row],[PontoPed]]=0), 99, IF(AND(tabItens[[#This Row],[Saldo]]=0,tabItens[[#This Row],[PontoPed]]&gt;0), 0, (1-tabItens[[#This Row],[PctAb]])*10 ) ),0)</f>
        <v>99</v>
      </c>
      <c r="BE414" s="406">
        <f>MAX(ROUNDDOWN( IF(tabItens[[#This Row],[Abaixo]] &gt; 0,   tabItens[[#This Row],[Abaixo]] + (tabItens[[#This Row],[PontoMês]] * IF( OR( ISBLANK(tabItens[[#This Row],[ATA Nº/ANO]]), tabItens[[#This Row],[ATA Nº/ANO]] = ""),BE$2,BE$1)),0),0),0)</f>
        <v>0</v>
      </c>
      <c r="BF41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4" s="338">
        <f>SUMIF(Consumo!$C$3:$C$862,tabItens[[#This Row],[CÓDIGO]],Consumo!$E$3:$E$862)</f>
        <v>0</v>
      </c>
      <c r="BH414" s="339">
        <f>IF(AND(tabItens[[#This Row],[Pend]] &gt; 0,tabItens[[#This Row],[Consumo]] &lt;&gt; 0), tabItens[[#This Row],[Pend]] / tabItens[[#This Row],[Consumo]], 0 )</f>
        <v>0</v>
      </c>
      <c r="BI414" s="338"/>
      <c r="BJ414" s="407"/>
      <c r="BK414" s="408" t="s">
        <v>2086</v>
      </c>
    </row>
    <row r="415" spans="1:63" x14ac:dyDescent="0.3">
      <c r="A415" s="375">
        <v>134546</v>
      </c>
      <c r="B415" s="376" t="s">
        <v>1884</v>
      </c>
      <c r="C415" s="377" t="s">
        <v>560</v>
      </c>
      <c r="D415" s="378">
        <v>45.2</v>
      </c>
      <c r="E415" s="305"/>
      <c r="F415" s="379"/>
      <c r="G415" s="379" t="s">
        <v>889</v>
      </c>
      <c r="H415" s="380">
        <v>1035.5</v>
      </c>
      <c r="I415" s="307">
        <v>103003</v>
      </c>
      <c r="J415" s="308">
        <v>45.2</v>
      </c>
      <c r="K415" s="381">
        <v>773</v>
      </c>
      <c r="L415" s="382">
        <f>IF(tabItens[[#This Row],[Média]] &gt; 0, tabItens[[#This Row],[QTDE ATUAL]] / tabItens[[#This Row],[Média]],999.9)</f>
        <v>16.634538152610443</v>
      </c>
      <c r="M415" s="383">
        <v>0</v>
      </c>
      <c r="N415" s="384">
        <f>tabItens[[#This Row],[VALOR UNIT.]] * tabItens[[#This Row],[LC]]</f>
        <v>0</v>
      </c>
      <c r="O415" s="385" t="s">
        <v>2205</v>
      </c>
      <c r="P415" s="386"/>
      <c r="Q415" s="387"/>
      <c r="R415" s="312"/>
      <c r="S415" s="388"/>
      <c r="T415" s="389">
        <f>ROUNDDOWN(IFERROR(tabItens[[#This Row],[ATA DT.VALID.]] - $D$1,0) / 30,0)</f>
        <v>-1474</v>
      </c>
      <c r="U415" s="302" t="s">
        <v>1308</v>
      </c>
      <c r="V415" s="318">
        <v>1</v>
      </c>
      <c r="W415" s="390" t="s">
        <v>2071</v>
      </c>
      <c r="X415" s="391">
        <v>51</v>
      </c>
      <c r="Y415" s="392">
        <v>19</v>
      </c>
      <c r="Z415" s="393"/>
      <c r="AA415" s="394"/>
      <c r="AB415" s="395"/>
      <c r="AC415" s="395"/>
      <c r="AD415" s="394"/>
      <c r="AE415" s="395"/>
      <c r="AF415" s="317"/>
      <c r="AG415" s="396" t="s">
        <v>2072</v>
      </c>
      <c r="AH415" s="397"/>
      <c r="AI415" s="317">
        <v>260</v>
      </c>
      <c r="AJ415" s="397">
        <v>45190</v>
      </c>
      <c r="AK415" s="326">
        <v>43172</v>
      </c>
      <c r="AL415" s="326">
        <v>45160</v>
      </c>
      <c r="AM415" s="316"/>
      <c r="AN415" s="305"/>
      <c r="AO415" s="327" t="str">
        <f>_xlfn.IFNA(IF(VLOOKUP(tabItens[[#This Row],[CÓDIGO]],tabExcluirDoEstoque[#Data],1,FALSE),"sim",""),"")</f>
        <v/>
      </c>
      <c r="AP415" s="398" t="str">
        <f ca="1">IF(OR(ISBLANK(tabItens[[#This Row],[ATA DT.VALID.]]),tabItens[[#This Row],[ATA DT.VALID.]]="",tabItens[[#This Row],[ATA DT.VALID.]]=" "),"",IF(TYPE(tabItens[[#This Row],[ATA DT.VALID.]])=1,ROUNDUP((tabItens[[#This Row],[ATA DT.VALID.]]-TODAY())/7,0),""))</f>
        <v/>
      </c>
      <c r="AQ415" s="399">
        <v>0</v>
      </c>
      <c r="AR415" s="400" t="str">
        <f>IF(ISBLANK(tabItens[[#This Row],[CÓDIGO]]),"",IFERROR(VLOOKUP(tabItens[[#This Row],[CÓDIGO]],Consumo!$C$2:$AC$862,26,FALSE),0))</f>
        <v>09.2023</v>
      </c>
      <c r="AS415" s="401">
        <f>SUMIF(Consumo!$C$3:$C$862,tabItens[[#This Row],[CÓDIGO]],Consumo!$N$3:$N$862) + SUMIF(Consumo!$C$3:$C$862,tabItens[[#This Row],[CÓDIGO]],Consumo!$O$3:$O$862) + SUMIF(Consumo!$C$3:$C$862,tabItens[[#This Row],[CÓDIGO]],Consumo!$P$3:$P$862) + SUMIF(Consumo!$C$3:$C$862,tabItens[[#This Row],[CÓDIGO]],Consumo!$Q$3:$Q$862)</f>
        <v>404</v>
      </c>
      <c r="AT415" s="401">
        <f>SUMIF(Consumo!$C$3:$C$862,tabItens[[#This Row],[CÓDIGO]],Consumo!$Z$3:$Z$862)</f>
        <v>779</v>
      </c>
      <c r="AU415" s="402">
        <f>SUMIF(Consumo!$C$3:$C$862,tabItens[[#This Row],[CÓDIGO]],Consumo!$AA$3:$AA$862)</f>
        <v>300</v>
      </c>
      <c r="AV415" s="403">
        <f>SUMIF(Consumo!$C$3:$C$862,tabItens[[#This Row],[CÓDIGO]],Consumo!$Y$3:$Y$862)</f>
        <v>62.25</v>
      </c>
      <c r="AW415" s="380">
        <f>tabItens[[#This Row],[QTDE ATUAL]] + tabItens[[#This Row],[RC QTDE]] + tabItens[[#This Row],[AF SALDO]] + tabItens[[#This Row],[Recentes]]</f>
        <v>1035.5</v>
      </c>
      <c r="AX415" s="404">
        <v>45</v>
      </c>
      <c r="AY415" s="404">
        <v>4</v>
      </c>
      <c r="AZ415" s="404">
        <f>IF(ISBLANK(tabItens[[#This Row],[CÓDIGO]]),"",tabItens[[#This Row],[PontoMês]] * (AZ$2+tabItens[[#This Row],[PontoQtM]]))</f>
        <v>180</v>
      </c>
      <c r="BA415" s="403">
        <f>tabItens[[#This Row],[PontoPed]] - tabItens[[#This Row],[Saldo]] + (1/10)</f>
        <v>-855.4</v>
      </c>
      <c r="BB415" s="403">
        <f xml:space="preserve"> tabItens[[#This Row],[PontoMês]] * BB$2 - tabItens[[#This Row],[QTDE ATUAL]] - (1/10)</f>
        <v>-990.6</v>
      </c>
      <c r="BC415" s="335">
        <f>IF( tabItens[[#This Row],[PontoPed]]&gt;0, IF(tabItens[[#This Row],[PontoPed]]&lt;1, 1, IF( tabItens[[#This Row],[Saldo]]&gt;tabItens[[#This Row],[PontoPed]], 0, (tabItens[[#This Row],[PontoPed]]-tabItens[[#This Row],[Saldo]])/tabItens[[#This Row],[PontoPed]] ) ), 0 )</f>
        <v>0</v>
      </c>
      <c r="BD415" s="405">
        <f>ROUNDDOWN(IF( OR( AND(tabItens[[#This Row],[PontoPed]]&lt;tabItens[[#This Row],[Saldo]],tabItens[[#This Row],[Saldo]]&gt;0), tabItens[[#This Row],[PontoPed]]=0), 99, IF(AND(tabItens[[#This Row],[Saldo]]=0,tabItens[[#This Row],[PontoPed]]&gt;0), 0, (1-tabItens[[#This Row],[PctAb]])*10 ) ),0)</f>
        <v>99</v>
      </c>
      <c r="BE415" s="406">
        <f>MAX(ROUNDDOWN( IF(tabItens[[#This Row],[Abaixo]] &gt; 0,   tabItens[[#This Row],[Abaixo]] + (tabItens[[#This Row],[PontoMês]] * IF( OR( ISBLANK(tabItens[[#This Row],[ATA Nº/ANO]]), tabItens[[#This Row],[ATA Nº/ANO]] = ""),BE$2,BE$1)),0),0),0)</f>
        <v>0</v>
      </c>
      <c r="BF41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5" s="338">
        <f>SUMIF(Consumo!$C$3:$C$862,tabItens[[#This Row],[CÓDIGO]],Consumo!$E$3:$E$862)</f>
        <v>0</v>
      </c>
      <c r="BH415" s="339">
        <f>IF(AND(tabItens[[#This Row],[Pend]] &gt; 0,tabItens[[#This Row],[Consumo]] &lt;&gt; 0), tabItens[[#This Row],[Pend]] / tabItens[[#This Row],[Consumo]], 0 )</f>
        <v>0</v>
      </c>
      <c r="BI415" s="338"/>
      <c r="BJ415" s="407"/>
      <c r="BK415" s="408" t="s">
        <v>2086</v>
      </c>
    </row>
    <row r="416" spans="1:63" x14ac:dyDescent="0.3">
      <c r="A416" s="375">
        <v>134547</v>
      </c>
      <c r="B416" s="376" t="s">
        <v>1885</v>
      </c>
      <c r="C416" s="377" t="s">
        <v>560</v>
      </c>
      <c r="D416" s="378">
        <v>45</v>
      </c>
      <c r="E416" s="305"/>
      <c r="F416" s="379"/>
      <c r="G416" s="379" t="s">
        <v>889</v>
      </c>
      <c r="H416" s="380">
        <v>1095.44</v>
      </c>
      <c r="I416" s="307">
        <v>103003</v>
      </c>
      <c r="J416" s="308">
        <v>45</v>
      </c>
      <c r="K416" s="381">
        <v>752</v>
      </c>
      <c r="L416" s="382">
        <f>IF(tabItens[[#This Row],[Média]] &gt; 0, tabItens[[#This Row],[QTDE ATUAL]] / tabItens[[#This Row],[Média]],999.9)</f>
        <v>17.480425531914896</v>
      </c>
      <c r="M416" s="383">
        <v>0</v>
      </c>
      <c r="N416" s="384">
        <f>tabItens[[#This Row],[VALOR UNIT.]] * tabItens[[#This Row],[LC]]</f>
        <v>0</v>
      </c>
      <c r="O416" s="385" t="s">
        <v>2205</v>
      </c>
      <c r="P416" s="386"/>
      <c r="Q416" s="387"/>
      <c r="R416" s="312"/>
      <c r="S416" s="388"/>
      <c r="T416" s="389">
        <f>ROUNDDOWN(IFERROR(tabItens[[#This Row],[ATA DT.VALID.]] - $D$1,0) / 30,0)</f>
        <v>-1474</v>
      </c>
      <c r="U416" s="302" t="s">
        <v>1308</v>
      </c>
      <c r="V416" s="318">
        <v>1</v>
      </c>
      <c r="W416" s="390" t="s">
        <v>2071</v>
      </c>
      <c r="X416" s="391">
        <v>51</v>
      </c>
      <c r="Y416" s="392">
        <v>19</v>
      </c>
      <c r="Z416" s="393"/>
      <c r="AA416" s="394"/>
      <c r="AB416" s="395"/>
      <c r="AC416" s="395"/>
      <c r="AD416" s="394"/>
      <c r="AE416" s="395"/>
      <c r="AF416" s="317"/>
      <c r="AG416" s="396" t="s">
        <v>2072</v>
      </c>
      <c r="AH416" s="397"/>
      <c r="AI416" s="317">
        <v>262</v>
      </c>
      <c r="AJ416" s="397">
        <v>45184</v>
      </c>
      <c r="AK416" s="326">
        <v>43172</v>
      </c>
      <c r="AL416" s="326">
        <v>45160</v>
      </c>
      <c r="AM416" s="316"/>
      <c r="AN416" s="305"/>
      <c r="AO416" s="327" t="str">
        <f>_xlfn.IFNA(IF(VLOOKUP(tabItens[[#This Row],[CÓDIGO]],tabExcluirDoEstoque[#Data],1,FALSE),"sim",""),"")</f>
        <v/>
      </c>
      <c r="AP416" s="398" t="str">
        <f ca="1">IF(OR(ISBLANK(tabItens[[#This Row],[ATA DT.VALID.]]),tabItens[[#This Row],[ATA DT.VALID.]]="",tabItens[[#This Row],[ATA DT.VALID.]]=" "),"",IF(TYPE(tabItens[[#This Row],[ATA DT.VALID.]])=1,ROUNDUP((tabItens[[#This Row],[ATA DT.VALID.]]-TODAY())/7,0),""))</f>
        <v/>
      </c>
      <c r="AQ416" s="399">
        <v>0</v>
      </c>
      <c r="AR416" s="400" t="str">
        <f>IF(ISBLANK(tabItens[[#This Row],[CÓDIGO]]),"",IFERROR(VLOOKUP(tabItens[[#This Row],[CÓDIGO]],Consumo!$C$2:$AC$862,26,FALSE),0))</f>
        <v>09.2023</v>
      </c>
      <c r="AS416" s="401">
        <f>SUMIF(Consumo!$C$3:$C$862,tabItens[[#This Row],[CÓDIGO]],Consumo!$N$3:$N$862) + SUMIF(Consumo!$C$3:$C$862,tabItens[[#This Row],[CÓDIGO]],Consumo!$O$3:$O$862) + SUMIF(Consumo!$C$3:$C$862,tabItens[[#This Row],[CÓDIGO]],Consumo!$P$3:$P$862) + SUMIF(Consumo!$C$3:$C$862,tabItens[[#This Row],[CÓDIGO]],Consumo!$Q$3:$Q$862)</f>
        <v>548</v>
      </c>
      <c r="AT416" s="401">
        <f>SUMIF(Consumo!$C$3:$C$862,tabItens[[#This Row],[CÓDIGO]],Consumo!$Z$3:$Z$862)</f>
        <v>788</v>
      </c>
      <c r="AU416" s="402">
        <f>SUMIF(Consumo!$C$3:$C$862,tabItens[[#This Row],[CÓDIGO]],Consumo!$AA$3:$AA$862)</f>
        <v>285</v>
      </c>
      <c r="AV416" s="403">
        <f>SUMIF(Consumo!$C$3:$C$862,tabItens[[#This Row],[CÓDIGO]],Consumo!$Y$3:$Y$862)</f>
        <v>62.666666666666664</v>
      </c>
      <c r="AW416" s="380">
        <f>tabItens[[#This Row],[QTDE ATUAL]] + tabItens[[#This Row],[RC QTDE]] + tabItens[[#This Row],[AF SALDO]] + tabItens[[#This Row],[Recentes]]</f>
        <v>1095.44</v>
      </c>
      <c r="AX416" s="404">
        <v>100</v>
      </c>
      <c r="AY416" s="404">
        <v>4</v>
      </c>
      <c r="AZ416" s="404">
        <f>IF(ISBLANK(tabItens[[#This Row],[CÓDIGO]]),"",tabItens[[#This Row],[PontoMês]] * (AZ$2+tabItens[[#This Row],[PontoQtM]]))</f>
        <v>400</v>
      </c>
      <c r="BA416" s="403">
        <f>tabItens[[#This Row],[PontoPed]] - tabItens[[#This Row],[Saldo]] + (1/10)</f>
        <v>-695.34</v>
      </c>
      <c r="BB416" s="403">
        <f xml:space="preserve"> tabItens[[#This Row],[PontoMês]] * BB$2 - tabItens[[#This Row],[QTDE ATUAL]] - (1/10)</f>
        <v>-995.54000000000008</v>
      </c>
      <c r="BC416" s="335">
        <f>IF( tabItens[[#This Row],[PontoPed]]&gt;0, IF(tabItens[[#This Row],[PontoPed]]&lt;1, 1, IF( tabItens[[#This Row],[Saldo]]&gt;tabItens[[#This Row],[PontoPed]], 0, (tabItens[[#This Row],[PontoPed]]-tabItens[[#This Row],[Saldo]])/tabItens[[#This Row],[PontoPed]] ) ), 0 )</f>
        <v>0</v>
      </c>
      <c r="BD416" s="405">
        <f>ROUNDDOWN(IF( OR( AND(tabItens[[#This Row],[PontoPed]]&lt;tabItens[[#This Row],[Saldo]],tabItens[[#This Row],[Saldo]]&gt;0), tabItens[[#This Row],[PontoPed]]=0), 99, IF(AND(tabItens[[#This Row],[Saldo]]=0,tabItens[[#This Row],[PontoPed]]&gt;0), 0, (1-tabItens[[#This Row],[PctAb]])*10 ) ),0)</f>
        <v>99</v>
      </c>
      <c r="BE416" s="406">
        <f>MAX(ROUNDDOWN( IF(tabItens[[#This Row],[Abaixo]] &gt; 0,   tabItens[[#This Row],[Abaixo]] + (tabItens[[#This Row],[PontoMês]] * IF( OR( ISBLANK(tabItens[[#This Row],[ATA Nº/ANO]]), tabItens[[#This Row],[ATA Nº/ANO]] = ""),BE$2,BE$1)),0),0),0)</f>
        <v>0</v>
      </c>
      <c r="BF41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6" s="338">
        <f>SUMIF(Consumo!$C$3:$C$862,tabItens[[#This Row],[CÓDIGO]],Consumo!$E$3:$E$862)</f>
        <v>0</v>
      </c>
      <c r="BH416" s="339">
        <f>IF(AND(tabItens[[#This Row],[Pend]] &gt; 0,tabItens[[#This Row],[Consumo]] &lt;&gt; 0), tabItens[[#This Row],[Pend]] / tabItens[[#This Row],[Consumo]], 0 )</f>
        <v>0</v>
      </c>
      <c r="BI416" s="338"/>
      <c r="BJ416" s="407"/>
      <c r="BK416" s="408" t="s">
        <v>2086</v>
      </c>
    </row>
    <row r="417" spans="1:63" x14ac:dyDescent="0.3">
      <c r="A417" s="375">
        <v>134548</v>
      </c>
      <c r="B417" s="376" t="s">
        <v>1886</v>
      </c>
      <c r="C417" s="377" t="s">
        <v>560</v>
      </c>
      <c r="D417" s="378">
        <v>42.3</v>
      </c>
      <c r="E417" s="305"/>
      <c r="F417" s="379"/>
      <c r="G417" s="379" t="s">
        <v>889</v>
      </c>
      <c r="H417" s="380">
        <v>3021.18</v>
      </c>
      <c r="I417" s="307">
        <v>103003</v>
      </c>
      <c r="J417" s="308">
        <v>42.3</v>
      </c>
      <c r="K417" s="381">
        <v>1364</v>
      </c>
      <c r="L417" s="382">
        <f>IF(tabItens[[#This Row],[Média]] &gt; 0, tabItens[[#This Row],[QTDE ATUAL]] / tabItens[[#This Row],[Média]],999.9)</f>
        <v>27.506949924127465</v>
      </c>
      <c r="M417" s="383">
        <v>0</v>
      </c>
      <c r="N417" s="384">
        <f>tabItens[[#This Row],[VALOR UNIT.]] * tabItens[[#This Row],[LC]]</f>
        <v>0</v>
      </c>
      <c r="O417" s="385" t="s">
        <v>2205</v>
      </c>
      <c r="P417" s="386"/>
      <c r="Q417" s="387"/>
      <c r="R417" s="312"/>
      <c r="S417" s="388"/>
      <c r="T417" s="389">
        <f>ROUNDDOWN(IFERROR(tabItens[[#This Row],[ATA DT.VALID.]] - $D$1,0) / 30,0)</f>
        <v>-1474</v>
      </c>
      <c r="U417" s="302" t="s">
        <v>1308</v>
      </c>
      <c r="V417" s="318">
        <v>1</v>
      </c>
      <c r="W417" s="390" t="s">
        <v>2071</v>
      </c>
      <c r="X417" s="391">
        <v>51</v>
      </c>
      <c r="Y417" s="392">
        <v>19</v>
      </c>
      <c r="Z417" s="393"/>
      <c r="AA417" s="394"/>
      <c r="AB417" s="395"/>
      <c r="AC417" s="395"/>
      <c r="AD417" s="394"/>
      <c r="AE417" s="395"/>
      <c r="AF417" s="317"/>
      <c r="AG417" s="396" t="s">
        <v>2072</v>
      </c>
      <c r="AH417" s="397"/>
      <c r="AI417" s="317">
        <v>466</v>
      </c>
      <c r="AJ417" s="397">
        <v>45201</v>
      </c>
      <c r="AK417" s="326">
        <v>43172</v>
      </c>
      <c r="AL417" s="326">
        <v>45160</v>
      </c>
      <c r="AM417" s="316"/>
      <c r="AN417" s="305"/>
      <c r="AO417" s="327" t="str">
        <f>_xlfn.IFNA(IF(VLOOKUP(tabItens[[#This Row],[CÓDIGO]],tabExcluirDoEstoque[#Data],1,FALSE),"sim",""),"")</f>
        <v/>
      </c>
      <c r="AP417" s="398" t="str">
        <f ca="1">IF(OR(ISBLANK(tabItens[[#This Row],[ATA DT.VALID.]]),tabItens[[#This Row],[ATA DT.VALID.]]="",tabItens[[#This Row],[ATA DT.VALID.]]=" "),"",IF(TYPE(tabItens[[#This Row],[ATA DT.VALID.]])=1,ROUNDUP((tabItens[[#This Row],[ATA DT.VALID.]]-TODAY())/7,0),""))</f>
        <v/>
      </c>
      <c r="AQ417" s="399">
        <v>0</v>
      </c>
      <c r="AR417" s="400" t="str">
        <f>IF(ISBLANK(tabItens[[#This Row],[CÓDIGO]]),"",IFERROR(VLOOKUP(tabItens[[#This Row],[CÓDIGO]],Consumo!$C$2:$AC$862,26,FALSE),0))</f>
        <v>09.2023</v>
      </c>
      <c r="AS417" s="401">
        <f>SUMIF(Consumo!$C$3:$C$862,tabItens[[#This Row],[CÓDIGO]],Consumo!$N$3:$N$862) + SUMIF(Consumo!$C$3:$C$862,tabItens[[#This Row],[CÓDIGO]],Consumo!$O$3:$O$862) + SUMIF(Consumo!$C$3:$C$862,tabItens[[#This Row],[CÓDIGO]],Consumo!$P$3:$P$862) + SUMIF(Consumo!$C$3:$C$862,tabItens[[#This Row],[CÓDIGO]],Consumo!$Q$3:$Q$862)</f>
        <v>405</v>
      </c>
      <c r="AT417" s="401">
        <f>SUMIF(Consumo!$C$3:$C$862,tabItens[[#This Row],[CÓDIGO]],Consumo!$Z$3:$Z$862)</f>
        <v>1400</v>
      </c>
      <c r="AU417" s="402">
        <f>SUMIF(Consumo!$C$3:$C$862,tabItens[[#This Row],[CÓDIGO]],Consumo!$AA$3:$AA$862)</f>
        <v>576</v>
      </c>
      <c r="AV417" s="403">
        <f>SUMIF(Consumo!$C$3:$C$862,tabItens[[#This Row],[CÓDIGO]],Consumo!$Y$3:$Y$862)</f>
        <v>109.83333333333333</v>
      </c>
      <c r="AW417" s="380">
        <f>tabItens[[#This Row],[QTDE ATUAL]] + tabItens[[#This Row],[RC QTDE]] + tabItens[[#This Row],[AF SALDO]] + tabItens[[#This Row],[Recentes]]</f>
        <v>3021.18</v>
      </c>
      <c r="AX417" s="404">
        <v>109</v>
      </c>
      <c r="AY417" s="404">
        <v>4</v>
      </c>
      <c r="AZ417" s="404">
        <f>IF(ISBLANK(tabItens[[#This Row],[CÓDIGO]]),"",tabItens[[#This Row],[PontoMês]] * (AZ$2+tabItens[[#This Row],[PontoQtM]]))</f>
        <v>436</v>
      </c>
      <c r="BA417" s="403">
        <f>tabItens[[#This Row],[PontoPed]] - tabItens[[#This Row],[Saldo]] + (1/10)</f>
        <v>-2585.08</v>
      </c>
      <c r="BB417" s="403">
        <f xml:space="preserve"> tabItens[[#This Row],[PontoMês]] * BB$2 - tabItens[[#This Row],[QTDE ATUAL]] - (1/10)</f>
        <v>-2912.2799999999997</v>
      </c>
      <c r="BC417" s="335">
        <f>IF( tabItens[[#This Row],[PontoPed]]&gt;0, IF(tabItens[[#This Row],[PontoPed]]&lt;1, 1, IF( tabItens[[#This Row],[Saldo]]&gt;tabItens[[#This Row],[PontoPed]], 0, (tabItens[[#This Row],[PontoPed]]-tabItens[[#This Row],[Saldo]])/tabItens[[#This Row],[PontoPed]] ) ), 0 )</f>
        <v>0</v>
      </c>
      <c r="BD417" s="405">
        <f>ROUNDDOWN(IF( OR( AND(tabItens[[#This Row],[PontoPed]]&lt;tabItens[[#This Row],[Saldo]],tabItens[[#This Row],[Saldo]]&gt;0), tabItens[[#This Row],[PontoPed]]=0), 99, IF(AND(tabItens[[#This Row],[Saldo]]=0,tabItens[[#This Row],[PontoPed]]&gt;0), 0, (1-tabItens[[#This Row],[PctAb]])*10 ) ),0)</f>
        <v>99</v>
      </c>
      <c r="BE417" s="406">
        <f>MAX(ROUNDDOWN( IF(tabItens[[#This Row],[Abaixo]] &gt; 0,   tabItens[[#This Row],[Abaixo]] + (tabItens[[#This Row],[PontoMês]] * IF( OR( ISBLANK(tabItens[[#This Row],[ATA Nº/ANO]]), tabItens[[#This Row],[ATA Nº/ANO]] = ""),BE$2,BE$1)),0),0),0)</f>
        <v>0</v>
      </c>
      <c r="BF41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7" s="338">
        <f>SUMIF(Consumo!$C$3:$C$862,tabItens[[#This Row],[CÓDIGO]],Consumo!$E$3:$E$862)</f>
        <v>0</v>
      </c>
      <c r="BH417" s="339">
        <f>IF(AND(tabItens[[#This Row],[Pend]] &gt; 0,tabItens[[#This Row],[Consumo]] &lt;&gt; 0), tabItens[[#This Row],[Pend]] / tabItens[[#This Row],[Consumo]], 0 )</f>
        <v>0</v>
      </c>
      <c r="BI417" s="338"/>
      <c r="BJ417" s="407"/>
      <c r="BK417" s="408" t="s">
        <v>2086</v>
      </c>
    </row>
    <row r="418" spans="1:63" x14ac:dyDescent="0.3">
      <c r="A418" s="375">
        <v>134549</v>
      </c>
      <c r="B418" s="376" t="s">
        <v>1887</v>
      </c>
      <c r="C418" s="377" t="s">
        <v>560</v>
      </c>
      <c r="D418" s="378">
        <v>44</v>
      </c>
      <c r="E418" s="305"/>
      <c r="F418" s="379"/>
      <c r="G418" s="379" t="s">
        <v>889</v>
      </c>
      <c r="H418" s="380">
        <v>1451.15</v>
      </c>
      <c r="I418" s="307">
        <v>103003</v>
      </c>
      <c r="J418" s="308">
        <v>44</v>
      </c>
      <c r="K418" s="381">
        <v>32</v>
      </c>
      <c r="L418" s="382">
        <f>IF(tabItens[[#This Row],[Média]] &gt; 0, tabItens[[#This Row],[QTDE ATUAL]] / tabItens[[#This Row],[Média]],999.9)</f>
        <v>669.76153846153852</v>
      </c>
      <c r="M418" s="383">
        <v>0</v>
      </c>
      <c r="N418" s="384">
        <f>tabItens[[#This Row],[VALOR UNIT.]] * tabItens[[#This Row],[LC]]</f>
        <v>0</v>
      </c>
      <c r="O418" s="385" t="s">
        <v>2205</v>
      </c>
      <c r="P418" s="386"/>
      <c r="Q418" s="387"/>
      <c r="R418" s="312"/>
      <c r="S418" s="388"/>
      <c r="T418" s="389">
        <f>ROUNDDOWN(IFERROR(tabItens[[#This Row],[ATA DT.VALID.]] - $D$1,0) / 30,0)</f>
        <v>-1474</v>
      </c>
      <c r="U418" s="302" t="s">
        <v>1308</v>
      </c>
      <c r="V418" s="318">
        <v>1</v>
      </c>
      <c r="W418" s="390" t="s">
        <v>2071</v>
      </c>
      <c r="X418" s="391">
        <v>51</v>
      </c>
      <c r="Y418" s="392">
        <v>19</v>
      </c>
      <c r="Z418" s="393"/>
      <c r="AA418" s="394"/>
      <c r="AB418" s="395"/>
      <c r="AC418" s="395"/>
      <c r="AD418" s="394"/>
      <c r="AE418" s="395"/>
      <c r="AF418" s="317"/>
      <c r="AG418" s="396" t="s">
        <v>2072</v>
      </c>
      <c r="AH418" s="397"/>
      <c r="AI418" s="317">
        <v>10</v>
      </c>
      <c r="AJ418" s="397">
        <v>45201</v>
      </c>
      <c r="AK418" s="326">
        <v>43172</v>
      </c>
      <c r="AL418" s="326">
        <v>45160</v>
      </c>
      <c r="AM418" s="316"/>
      <c r="AN418" s="305"/>
      <c r="AO418" s="327" t="str">
        <f>_xlfn.IFNA(IF(VLOOKUP(tabItens[[#This Row],[CÓDIGO]],tabExcluirDoEstoque[#Data],1,FALSE),"sim",""),"")</f>
        <v/>
      </c>
      <c r="AP418" s="398" t="str">
        <f ca="1">IF(OR(ISBLANK(tabItens[[#This Row],[ATA DT.VALID.]]),tabItens[[#This Row],[ATA DT.VALID.]]="",tabItens[[#This Row],[ATA DT.VALID.]]=" "),"",IF(TYPE(tabItens[[#This Row],[ATA DT.VALID.]])=1,ROUNDUP((tabItens[[#This Row],[ATA DT.VALID.]]-TODAY())/7,0),""))</f>
        <v/>
      </c>
      <c r="AQ418" s="399">
        <v>0</v>
      </c>
      <c r="AR418" s="400" t="str">
        <f>IF(ISBLANK(tabItens[[#This Row],[CÓDIGO]]),"",IFERROR(VLOOKUP(tabItens[[#This Row],[CÓDIGO]],Consumo!$C$2:$AC$862,26,FALSE),0))</f>
        <v>07.2023</v>
      </c>
      <c r="AS418" s="401">
        <f>SUMIF(Consumo!$C$3:$C$862,tabItens[[#This Row],[CÓDIGO]],Consumo!$N$3:$N$862) + SUMIF(Consumo!$C$3:$C$862,tabItens[[#This Row],[CÓDIGO]],Consumo!$O$3:$O$862) + SUMIF(Consumo!$C$3:$C$862,tabItens[[#This Row],[CÓDIGO]],Consumo!$P$3:$P$862) + SUMIF(Consumo!$C$3:$C$862,tabItens[[#This Row],[CÓDIGO]],Consumo!$Q$3:$Q$862)</f>
        <v>23</v>
      </c>
      <c r="AT418" s="401">
        <f>SUMIF(Consumo!$C$3:$C$862,tabItens[[#This Row],[CÓDIGO]],Consumo!$Z$3:$Z$862)</f>
        <v>32</v>
      </c>
      <c r="AU418" s="402">
        <f>SUMIF(Consumo!$C$3:$C$862,tabItens[[#This Row],[CÓDIGO]],Consumo!$AA$3:$AA$862)</f>
        <v>20</v>
      </c>
      <c r="AV418" s="403">
        <f>SUMIF(Consumo!$C$3:$C$862,tabItens[[#This Row],[CÓDIGO]],Consumo!$Y$3:$Y$862)</f>
        <v>2.1666666666666665</v>
      </c>
      <c r="AW418" s="380">
        <f>tabItens[[#This Row],[QTDE ATUAL]] + tabItens[[#This Row],[RC QTDE]] + tabItens[[#This Row],[AF SALDO]] + tabItens[[#This Row],[Recentes]]</f>
        <v>1451.15</v>
      </c>
      <c r="AX418" s="404">
        <v>40</v>
      </c>
      <c r="AY418" s="404">
        <v>4</v>
      </c>
      <c r="AZ418" s="404">
        <f>IF(ISBLANK(tabItens[[#This Row],[CÓDIGO]]),"",tabItens[[#This Row],[PontoMês]] * (AZ$2+tabItens[[#This Row],[PontoQtM]]))</f>
        <v>160</v>
      </c>
      <c r="BA418" s="403">
        <f>tabItens[[#This Row],[PontoPed]] - tabItens[[#This Row],[Saldo]] + (1/10)</f>
        <v>-1291.0500000000002</v>
      </c>
      <c r="BB418" s="403">
        <f xml:space="preserve"> tabItens[[#This Row],[PontoMês]] * BB$2 - tabItens[[#This Row],[QTDE ATUAL]] - (1/10)</f>
        <v>-1411.25</v>
      </c>
      <c r="BC418" s="335">
        <f>IF( tabItens[[#This Row],[PontoPed]]&gt;0, IF(tabItens[[#This Row],[PontoPed]]&lt;1, 1, IF( tabItens[[#This Row],[Saldo]]&gt;tabItens[[#This Row],[PontoPed]], 0, (tabItens[[#This Row],[PontoPed]]-tabItens[[#This Row],[Saldo]])/tabItens[[#This Row],[PontoPed]] ) ), 0 )</f>
        <v>0</v>
      </c>
      <c r="BD418" s="405">
        <f>ROUNDDOWN(IF( OR( AND(tabItens[[#This Row],[PontoPed]]&lt;tabItens[[#This Row],[Saldo]],tabItens[[#This Row],[Saldo]]&gt;0), tabItens[[#This Row],[PontoPed]]=0), 99, IF(AND(tabItens[[#This Row],[Saldo]]=0,tabItens[[#This Row],[PontoPed]]&gt;0), 0, (1-tabItens[[#This Row],[PctAb]])*10 ) ),0)</f>
        <v>99</v>
      </c>
      <c r="BE418" s="406">
        <f>MAX(ROUNDDOWN( IF(tabItens[[#This Row],[Abaixo]] &gt; 0,   tabItens[[#This Row],[Abaixo]] + (tabItens[[#This Row],[PontoMês]] * IF( OR( ISBLANK(tabItens[[#This Row],[ATA Nº/ANO]]), tabItens[[#This Row],[ATA Nº/ANO]] = ""),BE$2,BE$1)),0),0),0)</f>
        <v>0</v>
      </c>
      <c r="BF41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8" s="338">
        <f>SUMIF(Consumo!$C$3:$C$862,tabItens[[#This Row],[CÓDIGO]],Consumo!$E$3:$E$862)</f>
        <v>0</v>
      </c>
      <c r="BH418" s="339">
        <f>IF(AND(tabItens[[#This Row],[Pend]] &gt; 0,tabItens[[#This Row],[Consumo]] &lt;&gt; 0), tabItens[[#This Row],[Pend]] / tabItens[[#This Row],[Consumo]], 0 )</f>
        <v>0</v>
      </c>
      <c r="BI418" s="338"/>
      <c r="BJ418" s="407"/>
      <c r="BK418" s="408" t="s">
        <v>2086</v>
      </c>
    </row>
    <row r="419" spans="1:63" x14ac:dyDescent="0.3">
      <c r="A419" s="375">
        <v>12847</v>
      </c>
      <c r="B419" s="376" t="s">
        <v>971</v>
      </c>
      <c r="C419" s="377" t="s">
        <v>263</v>
      </c>
      <c r="D419" s="378">
        <v>1.02</v>
      </c>
      <c r="E419" s="305"/>
      <c r="F419" s="379"/>
      <c r="G419" s="379" t="s">
        <v>889</v>
      </c>
      <c r="H419" s="380">
        <v>947</v>
      </c>
      <c r="I419" s="307">
        <v>103003</v>
      </c>
      <c r="J419" s="308">
        <v>1.02</v>
      </c>
      <c r="K419" s="381">
        <v>4409</v>
      </c>
      <c r="L419" s="382">
        <f>IF(tabItens[[#This Row],[Média]] &gt; 0, tabItens[[#This Row],[QTDE ATUAL]] / tabItens[[#This Row],[Média]],999.9)</f>
        <v>3.31892523364486</v>
      </c>
      <c r="M419" s="383">
        <v>0</v>
      </c>
      <c r="N419" s="384">
        <f>tabItens[[#This Row],[VALOR UNIT.]] * tabItens[[#This Row],[LC]]</f>
        <v>0</v>
      </c>
      <c r="O419" s="385" t="s">
        <v>2100</v>
      </c>
      <c r="P419" s="386"/>
      <c r="Q419" s="387"/>
      <c r="R419" s="312"/>
      <c r="S419" s="388"/>
      <c r="T419" s="389">
        <f>ROUNDDOWN(IFERROR(tabItens[[#This Row],[ATA DT.VALID.]] - $D$1,0) / 30,0)</f>
        <v>-1474</v>
      </c>
      <c r="U419" s="302" t="s">
        <v>964</v>
      </c>
      <c r="V419" s="318">
        <v>1</v>
      </c>
      <c r="W419" s="390" t="s">
        <v>2075</v>
      </c>
      <c r="X419" s="391">
        <v>76</v>
      </c>
      <c r="Y419" s="392">
        <v>11</v>
      </c>
      <c r="Z419" s="393">
        <v>9007</v>
      </c>
      <c r="AA419" s="394">
        <v>2023</v>
      </c>
      <c r="AB419" s="395">
        <v>900</v>
      </c>
      <c r="AC419" s="395"/>
      <c r="AD419" s="394"/>
      <c r="AE419" s="395"/>
      <c r="AF419" s="317"/>
      <c r="AG419" s="396" t="s">
        <v>2072</v>
      </c>
      <c r="AH419" s="397"/>
      <c r="AI419" s="317">
        <v>1580</v>
      </c>
      <c r="AJ419" s="397">
        <v>44874</v>
      </c>
      <c r="AK419" s="326" t="s">
        <v>889</v>
      </c>
      <c r="AL419" s="326">
        <v>44865</v>
      </c>
      <c r="AM419" s="316"/>
      <c r="AN419" s="305"/>
      <c r="AO419" s="327" t="str">
        <f>_xlfn.IFNA(IF(VLOOKUP(tabItens[[#This Row],[CÓDIGO]],tabExcluirDoEstoque[#Data],1,FALSE),"sim",""),"")</f>
        <v/>
      </c>
      <c r="AP419" s="398" t="str">
        <f ca="1">IF(OR(ISBLANK(tabItens[[#This Row],[ATA DT.VALID.]]),tabItens[[#This Row],[ATA DT.VALID.]]="",tabItens[[#This Row],[ATA DT.VALID.]]=" "),"",IF(TYPE(tabItens[[#This Row],[ATA DT.VALID.]])=1,ROUNDUP((tabItens[[#This Row],[ATA DT.VALID.]]-TODAY())/7,0),""))</f>
        <v/>
      </c>
      <c r="AQ419" s="399">
        <v>0</v>
      </c>
      <c r="AR419" s="400" t="str">
        <f>IF(ISBLANK(tabItens[[#This Row],[CÓDIGO]]),"",IFERROR(VLOOKUP(tabItens[[#This Row],[CÓDIGO]],Consumo!$C$2:$AC$862,26,FALSE),0))</f>
        <v>09.2023</v>
      </c>
      <c r="AS419" s="401">
        <f>SUMIF(Consumo!$C$3:$C$862,tabItens[[#This Row],[CÓDIGO]],Consumo!$N$3:$N$862) + SUMIF(Consumo!$C$3:$C$862,tabItens[[#This Row],[CÓDIGO]],Consumo!$O$3:$O$862) + SUMIF(Consumo!$C$3:$C$862,tabItens[[#This Row],[CÓDIGO]],Consumo!$P$3:$P$862) + SUMIF(Consumo!$C$3:$C$862,tabItens[[#This Row],[CÓDIGO]],Consumo!$Q$3:$Q$862)</f>
        <v>285</v>
      </c>
      <c r="AT419" s="401">
        <f>SUMIF(Consumo!$C$3:$C$862,tabItens[[#This Row],[CÓDIGO]],Consumo!$Z$3:$Z$862)</f>
        <v>4740</v>
      </c>
      <c r="AU419" s="402">
        <f>SUMIF(Consumo!$C$3:$C$862,tabItens[[#This Row],[CÓDIGO]],Consumo!$AA$3:$AA$862)</f>
        <v>3950</v>
      </c>
      <c r="AV419" s="403">
        <f>SUMIF(Consumo!$C$3:$C$862,tabItens[[#This Row],[CÓDIGO]],Consumo!$Y$3:$Y$862)</f>
        <v>285.33333333333331</v>
      </c>
      <c r="AW419" s="380">
        <f>tabItens[[#This Row],[QTDE ATUAL]] + tabItens[[#This Row],[RC QTDE]] + tabItens[[#This Row],[AF SALDO]] + tabItens[[#This Row],[Recentes]]</f>
        <v>1847</v>
      </c>
      <c r="AX419" s="404">
        <v>220</v>
      </c>
      <c r="AY419" s="404">
        <v>4</v>
      </c>
      <c r="AZ419" s="404">
        <f>IF(ISBLANK(tabItens[[#This Row],[CÓDIGO]]),"",tabItens[[#This Row],[PontoMês]] * (AZ$2+tabItens[[#This Row],[PontoQtM]]))</f>
        <v>880</v>
      </c>
      <c r="BA419" s="403">
        <f>tabItens[[#This Row],[PontoPed]] - tabItens[[#This Row],[Saldo]] + (1/10)</f>
        <v>-966.9</v>
      </c>
      <c r="BB419" s="403">
        <f xml:space="preserve"> tabItens[[#This Row],[PontoMês]] * BB$2 - tabItens[[#This Row],[QTDE ATUAL]] - (1/10)</f>
        <v>-727.1</v>
      </c>
      <c r="BC419" s="335">
        <f>IF( tabItens[[#This Row],[PontoPed]]&gt;0, IF(tabItens[[#This Row],[PontoPed]]&lt;1, 1, IF( tabItens[[#This Row],[Saldo]]&gt;tabItens[[#This Row],[PontoPed]], 0, (tabItens[[#This Row],[PontoPed]]-tabItens[[#This Row],[Saldo]])/tabItens[[#This Row],[PontoPed]] ) ), 0 )</f>
        <v>0</v>
      </c>
      <c r="BD419" s="405">
        <f>ROUNDDOWN(IF( OR( AND(tabItens[[#This Row],[PontoPed]]&lt;tabItens[[#This Row],[Saldo]],tabItens[[#This Row],[Saldo]]&gt;0), tabItens[[#This Row],[PontoPed]]=0), 99, IF(AND(tabItens[[#This Row],[Saldo]]=0,tabItens[[#This Row],[PontoPed]]&gt;0), 0, (1-tabItens[[#This Row],[PctAb]])*10 ) ),0)</f>
        <v>99</v>
      </c>
      <c r="BE419" s="406">
        <f>MAX(ROUNDDOWN( IF(tabItens[[#This Row],[Abaixo]] &gt; 0,   tabItens[[#This Row],[Abaixo]] + (tabItens[[#This Row],[PontoMês]] * IF( OR( ISBLANK(tabItens[[#This Row],[ATA Nº/ANO]]), tabItens[[#This Row],[ATA Nº/ANO]] = ""),BE$2,BE$1)),0),0),0)</f>
        <v>0</v>
      </c>
      <c r="BF41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9" s="338">
        <f>SUMIF(Consumo!$C$3:$C$862,tabItens[[#This Row],[CÓDIGO]],Consumo!$E$3:$E$862)</f>
        <v>0</v>
      </c>
      <c r="BH419" s="339">
        <f>IF(AND(tabItens[[#This Row],[Pend]] &gt; 0,tabItens[[#This Row],[Consumo]] &lt;&gt; 0), tabItens[[#This Row],[Pend]] / tabItens[[#This Row],[Consumo]], 0 )</f>
        <v>0</v>
      </c>
      <c r="BI419" s="338"/>
      <c r="BJ419" s="407"/>
      <c r="BK419" s="408" t="s">
        <v>2086</v>
      </c>
    </row>
    <row r="420" spans="1:63" x14ac:dyDescent="0.3">
      <c r="A420" s="375">
        <v>24204</v>
      </c>
      <c r="B420" s="376" t="s">
        <v>1192</v>
      </c>
      <c r="C420" s="377" t="s">
        <v>263</v>
      </c>
      <c r="D420" s="378">
        <v>4.63</v>
      </c>
      <c r="E420" s="305"/>
      <c r="F420" s="379"/>
      <c r="G420" s="379" t="s">
        <v>889</v>
      </c>
      <c r="H420" s="380">
        <v>0</v>
      </c>
      <c r="I420" s="307">
        <v>103003</v>
      </c>
      <c r="J420" s="308">
        <v>4.63</v>
      </c>
      <c r="K420" s="381">
        <v>503</v>
      </c>
      <c r="L420" s="382">
        <f>IF(tabItens[[#This Row],[Média]] &gt; 0, tabItens[[#This Row],[QTDE ATUAL]] / tabItens[[#This Row],[Média]],999.9)</f>
        <v>0</v>
      </c>
      <c r="M420" s="383">
        <v>0</v>
      </c>
      <c r="N420" s="384">
        <f>tabItens[[#This Row],[VALOR UNIT.]] * tabItens[[#This Row],[LC]]</f>
        <v>0</v>
      </c>
      <c r="O420" s="385" t="s">
        <v>2100</v>
      </c>
      <c r="P420" s="386"/>
      <c r="Q420" s="387"/>
      <c r="R420" s="312"/>
      <c r="S420" s="388"/>
      <c r="T420" s="389">
        <f>ROUNDDOWN(IFERROR(tabItens[[#This Row],[ATA DT.VALID.]] - $D$1,0) / 30,0)</f>
        <v>-1474</v>
      </c>
      <c r="U420" s="302" t="s">
        <v>964</v>
      </c>
      <c r="V420" s="318">
        <v>1</v>
      </c>
      <c r="W420" s="390" t="s">
        <v>2075</v>
      </c>
      <c r="X420" s="391">
        <v>76</v>
      </c>
      <c r="Y420" s="392">
        <v>11</v>
      </c>
      <c r="Z420" s="393">
        <v>2659</v>
      </c>
      <c r="AA420" s="394">
        <v>2023</v>
      </c>
      <c r="AB420" s="395">
        <v>500</v>
      </c>
      <c r="AC420" s="395"/>
      <c r="AD420" s="394"/>
      <c r="AE420" s="395"/>
      <c r="AF420" s="317"/>
      <c r="AG420" s="396" t="s">
        <v>2072</v>
      </c>
      <c r="AH420" s="397"/>
      <c r="AI420" s="317">
        <v>260</v>
      </c>
      <c r="AJ420" s="397">
        <v>44523</v>
      </c>
      <c r="AK420" s="326" t="s">
        <v>889</v>
      </c>
      <c r="AL420" s="326">
        <v>45180</v>
      </c>
      <c r="AM420" s="316"/>
      <c r="AN420" s="305"/>
      <c r="AO420" s="327" t="str">
        <f>_xlfn.IFNA(IF(VLOOKUP(tabItens[[#This Row],[CÓDIGO]],tabExcluirDoEstoque[#Data],1,FALSE),"sim",""),"")</f>
        <v/>
      </c>
      <c r="AP420" s="398" t="str">
        <f ca="1">IF(OR(ISBLANK(tabItens[[#This Row],[ATA DT.VALID.]]),tabItens[[#This Row],[ATA DT.VALID.]]="",tabItens[[#This Row],[ATA DT.VALID.]]=" "),"",IF(TYPE(tabItens[[#This Row],[ATA DT.VALID.]])=1,ROUNDUP((tabItens[[#This Row],[ATA DT.VALID.]]-TODAY())/7,0),""))</f>
        <v/>
      </c>
      <c r="AQ420" s="399">
        <v>0</v>
      </c>
      <c r="AR420" s="400" t="str">
        <f>IF(ISBLANK(tabItens[[#This Row],[CÓDIGO]]),"",IFERROR(VLOOKUP(tabItens[[#This Row],[CÓDIGO]],Consumo!$C$2:$AC$862,26,FALSE),0))</f>
        <v>08.2023</v>
      </c>
      <c r="AS420" s="401">
        <f>SUMIF(Consumo!$C$3:$C$862,tabItens[[#This Row],[CÓDIGO]],Consumo!$N$3:$N$862) + SUMIF(Consumo!$C$3:$C$862,tabItens[[#This Row],[CÓDIGO]],Consumo!$O$3:$O$862) + SUMIF(Consumo!$C$3:$C$862,tabItens[[#This Row],[CÓDIGO]],Consumo!$P$3:$P$862) + SUMIF(Consumo!$C$3:$C$862,tabItens[[#This Row],[CÓDIGO]],Consumo!$Q$3:$Q$862)</f>
        <v>223</v>
      </c>
      <c r="AT420" s="401">
        <f>SUMIF(Consumo!$C$3:$C$862,tabItens[[#This Row],[CÓDIGO]],Consumo!$Z$3:$Z$862)</f>
        <v>796</v>
      </c>
      <c r="AU420" s="402">
        <f>SUMIF(Consumo!$C$3:$C$862,tabItens[[#This Row],[CÓDIGO]],Consumo!$AA$3:$AA$862)</f>
        <v>102</v>
      </c>
      <c r="AV420" s="403">
        <f>SUMIF(Consumo!$C$3:$C$862,tabItens[[#This Row],[CÓDIGO]],Consumo!$Y$3:$Y$862)</f>
        <v>66.333333333333329</v>
      </c>
      <c r="AW420" s="380">
        <f>tabItens[[#This Row],[QTDE ATUAL]] + tabItens[[#This Row],[RC QTDE]] + tabItens[[#This Row],[AF SALDO]] + tabItens[[#This Row],[Recentes]]</f>
        <v>500</v>
      </c>
      <c r="AX420" s="404">
        <v>15</v>
      </c>
      <c r="AY420" s="404">
        <v>4</v>
      </c>
      <c r="AZ420" s="404">
        <f>IF(ISBLANK(tabItens[[#This Row],[CÓDIGO]]),"",tabItens[[#This Row],[PontoMês]] * (AZ$2+tabItens[[#This Row],[PontoQtM]]))</f>
        <v>60</v>
      </c>
      <c r="BA420" s="403">
        <f>tabItens[[#This Row],[PontoPed]] - tabItens[[#This Row],[Saldo]] + (1/10)</f>
        <v>-439.9</v>
      </c>
      <c r="BB420" s="403">
        <f xml:space="preserve"> tabItens[[#This Row],[PontoMês]] * BB$2 - tabItens[[#This Row],[QTDE ATUAL]] - (1/10)</f>
        <v>14.9</v>
      </c>
      <c r="BC420" s="335">
        <f>IF( tabItens[[#This Row],[PontoPed]]&gt;0, IF(tabItens[[#This Row],[PontoPed]]&lt;1, 1, IF( tabItens[[#This Row],[Saldo]]&gt;tabItens[[#This Row],[PontoPed]], 0, (tabItens[[#This Row],[PontoPed]]-tabItens[[#This Row],[Saldo]])/tabItens[[#This Row],[PontoPed]] ) ), 0 )</f>
        <v>0</v>
      </c>
      <c r="BD420" s="405">
        <f>ROUNDDOWN(IF( OR( AND(tabItens[[#This Row],[PontoPed]]&lt;tabItens[[#This Row],[Saldo]],tabItens[[#This Row],[Saldo]]&gt;0), tabItens[[#This Row],[PontoPed]]=0), 99, IF(AND(tabItens[[#This Row],[Saldo]]=0,tabItens[[#This Row],[PontoPed]]&gt;0), 0, (1-tabItens[[#This Row],[PctAb]])*10 ) ),0)</f>
        <v>99</v>
      </c>
      <c r="BE420" s="406">
        <f>MAX(ROUNDDOWN( IF(tabItens[[#This Row],[Abaixo]] &gt; 0,   tabItens[[#This Row],[Abaixo]] + (tabItens[[#This Row],[PontoMês]] * IF( OR( ISBLANK(tabItens[[#This Row],[ATA Nº/ANO]]), tabItens[[#This Row],[ATA Nº/ANO]] = ""),BE$2,BE$1)),0),0),0)</f>
        <v>0</v>
      </c>
      <c r="BF42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0" s="338">
        <f>SUMIF(Consumo!$C$3:$C$862,tabItens[[#This Row],[CÓDIGO]],Consumo!$E$3:$E$862)</f>
        <v>19</v>
      </c>
      <c r="BH420" s="339">
        <f>IF(AND(tabItens[[#This Row],[Pend]] &gt; 0,tabItens[[#This Row],[Consumo]] &lt;&gt; 0), tabItens[[#This Row],[Pend]] / tabItens[[#This Row],[Consumo]], 0 )</f>
        <v>2.3869346733668341E-2</v>
      </c>
      <c r="BI420" s="338"/>
      <c r="BJ420" s="407"/>
      <c r="BK420" s="408" t="s">
        <v>2086</v>
      </c>
    </row>
    <row r="421" spans="1:63" x14ac:dyDescent="0.3">
      <c r="A421" s="375">
        <v>88839</v>
      </c>
      <c r="B421" s="376" t="s">
        <v>1519</v>
      </c>
      <c r="C421" s="377" t="s">
        <v>287</v>
      </c>
      <c r="D421" s="378">
        <v>62.2</v>
      </c>
      <c r="E421" s="305"/>
      <c r="F421" s="379"/>
      <c r="G421" s="379" t="s">
        <v>889</v>
      </c>
      <c r="H421" s="380">
        <v>51</v>
      </c>
      <c r="I421" s="307">
        <v>103003</v>
      </c>
      <c r="J421" s="308">
        <v>62.2</v>
      </c>
      <c r="K421" s="381">
        <v>37</v>
      </c>
      <c r="L421" s="382">
        <f>IF(tabItens[[#This Row],[Média]] &gt; 0, tabItens[[#This Row],[QTDE ATUAL]] / tabItens[[#This Row],[Média]],999.9)</f>
        <v>14.926829268292684</v>
      </c>
      <c r="M421" s="383">
        <v>0</v>
      </c>
      <c r="N421" s="384">
        <f>tabItens[[#This Row],[VALOR UNIT.]] * tabItens[[#This Row],[LC]]</f>
        <v>0</v>
      </c>
      <c r="O421" s="385" t="s">
        <v>2100</v>
      </c>
      <c r="P421" s="386"/>
      <c r="Q421" s="387"/>
      <c r="R421" s="312"/>
      <c r="S421" s="388"/>
      <c r="T421" s="389">
        <f>ROUNDDOWN(IFERROR(tabItens[[#This Row],[ATA DT.VALID.]] - $D$1,0) / 30,0)</f>
        <v>-1474</v>
      </c>
      <c r="U421" s="302" t="s">
        <v>1520</v>
      </c>
      <c r="V421" s="318">
        <v>1</v>
      </c>
      <c r="W421" s="390" t="s">
        <v>2075</v>
      </c>
      <c r="X421" s="391">
        <v>76</v>
      </c>
      <c r="Y421" s="392">
        <v>13</v>
      </c>
      <c r="Z421" s="393"/>
      <c r="AA421" s="394"/>
      <c r="AB421" s="395"/>
      <c r="AC421" s="395"/>
      <c r="AD421" s="394"/>
      <c r="AE421" s="395"/>
      <c r="AF421" s="317"/>
      <c r="AG421" s="396" t="s">
        <v>2072</v>
      </c>
      <c r="AH421" s="397"/>
      <c r="AI421" s="317">
        <v>14</v>
      </c>
      <c r="AJ421" s="397">
        <v>45190</v>
      </c>
      <c r="AK421" s="326">
        <v>38663</v>
      </c>
      <c r="AL421" s="326">
        <v>45181</v>
      </c>
      <c r="AM421" s="316"/>
      <c r="AN421" s="305"/>
      <c r="AO421" s="327" t="str">
        <f>_xlfn.IFNA(IF(VLOOKUP(tabItens[[#This Row],[CÓDIGO]],tabExcluirDoEstoque[#Data],1,FALSE),"sim",""),"")</f>
        <v/>
      </c>
      <c r="AP421" s="398" t="str">
        <f ca="1">IF(OR(ISBLANK(tabItens[[#This Row],[ATA DT.VALID.]]),tabItens[[#This Row],[ATA DT.VALID.]]="",tabItens[[#This Row],[ATA DT.VALID.]]=" "),"",IF(TYPE(tabItens[[#This Row],[ATA DT.VALID.]])=1,ROUNDUP((tabItens[[#This Row],[ATA DT.VALID.]]-TODAY())/7,0),""))</f>
        <v/>
      </c>
      <c r="AQ421" s="399">
        <v>0</v>
      </c>
      <c r="AR421" s="400" t="str">
        <f>IF(ISBLANK(tabItens[[#This Row],[CÓDIGO]]),"",IFERROR(VLOOKUP(tabItens[[#This Row],[CÓDIGO]],Consumo!$C$2:$AC$862,26,FALSE),0))</f>
        <v>09.2023</v>
      </c>
      <c r="AS421" s="401">
        <f>SUMIF(Consumo!$C$3:$C$862,tabItens[[#This Row],[CÓDIGO]],Consumo!$N$3:$N$862) + SUMIF(Consumo!$C$3:$C$862,tabItens[[#This Row],[CÓDIGO]],Consumo!$O$3:$O$862) + SUMIF(Consumo!$C$3:$C$862,tabItens[[#This Row],[CÓDIGO]],Consumo!$P$3:$P$862) + SUMIF(Consumo!$C$3:$C$862,tabItens[[#This Row],[CÓDIGO]],Consumo!$Q$3:$Q$862)</f>
        <v>5</v>
      </c>
      <c r="AT421" s="401">
        <f>SUMIF(Consumo!$C$3:$C$862,tabItens[[#This Row],[CÓDIGO]],Consumo!$Z$3:$Z$862)</f>
        <v>41</v>
      </c>
      <c r="AU421" s="402">
        <f>SUMIF(Consumo!$C$3:$C$862,tabItens[[#This Row],[CÓDIGO]],Consumo!$AA$3:$AA$862)</f>
        <v>10</v>
      </c>
      <c r="AV421" s="403">
        <f>SUMIF(Consumo!$C$3:$C$862,tabItens[[#This Row],[CÓDIGO]],Consumo!$Y$3:$Y$862)</f>
        <v>3.4166666666666665</v>
      </c>
      <c r="AW421" s="380">
        <f>tabItens[[#This Row],[QTDE ATUAL]] + tabItens[[#This Row],[RC QTDE]] + tabItens[[#This Row],[AF SALDO]] + tabItens[[#This Row],[Recentes]]</f>
        <v>51</v>
      </c>
      <c r="AX421" s="404">
        <v>2</v>
      </c>
      <c r="AY421" s="404">
        <v>4</v>
      </c>
      <c r="AZ421" s="404">
        <f>IF(ISBLANK(tabItens[[#This Row],[CÓDIGO]]),"",tabItens[[#This Row],[PontoMês]] * (AZ$2+tabItens[[#This Row],[PontoQtM]]))</f>
        <v>8</v>
      </c>
      <c r="BA421" s="403">
        <f>tabItens[[#This Row],[PontoPed]] - tabItens[[#This Row],[Saldo]] + (1/10)</f>
        <v>-42.9</v>
      </c>
      <c r="BB421" s="403">
        <f xml:space="preserve"> tabItens[[#This Row],[PontoMês]] * BB$2 - tabItens[[#This Row],[QTDE ATUAL]] - (1/10)</f>
        <v>-49.1</v>
      </c>
      <c r="BC421" s="335">
        <f>IF( tabItens[[#This Row],[PontoPed]]&gt;0, IF(tabItens[[#This Row],[PontoPed]]&lt;1, 1, IF( tabItens[[#This Row],[Saldo]]&gt;tabItens[[#This Row],[PontoPed]], 0, (tabItens[[#This Row],[PontoPed]]-tabItens[[#This Row],[Saldo]])/tabItens[[#This Row],[PontoPed]] ) ), 0 )</f>
        <v>0</v>
      </c>
      <c r="BD421" s="405">
        <f>ROUNDDOWN(IF( OR( AND(tabItens[[#This Row],[PontoPed]]&lt;tabItens[[#This Row],[Saldo]],tabItens[[#This Row],[Saldo]]&gt;0), tabItens[[#This Row],[PontoPed]]=0), 99, IF(AND(tabItens[[#This Row],[Saldo]]=0,tabItens[[#This Row],[PontoPed]]&gt;0), 0, (1-tabItens[[#This Row],[PctAb]])*10 ) ),0)</f>
        <v>99</v>
      </c>
      <c r="BE421" s="406">
        <f>MAX(ROUNDDOWN( IF(tabItens[[#This Row],[Abaixo]] &gt; 0,   tabItens[[#This Row],[Abaixo]] + (tabItens[[#This Row],[PontoMês]] * IF( OR( ISBLANK(tabItens[[#This Row],[ATA Nº/ANO]]), tabItens[[#This Row],[ATA Nº/ANO]] = ""),BE$2,BE$1)),0),0),0)</f>
        <v>0</v>
      </c>
      <c r="BF42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1" s="338">
        <f>SUMIF(Consumo!$C$3:$C$862,tabItens[[#This Row],[CÓDIGO]],Consumo!$E$3:$E$862)</f>
        <v>0</v>
      </c>
      <c r="BH421" s="339">
        <f>IF(AND(tabItens[[#This Row],[Pend]] &gt; 0,tabItens[[#This Row],[Consumo]] &lt;&gt; 0), tabItens[[#This Row],[Pend]] / tabItens[[#This Row],[Consumo]], 0 )</f>
        <v>0</v>
      </c>
      <c r="BI421" s="338"/>
      <c r="BJ421" s="407"/>
      <c r="BK421" s="408" t="s">
        <v>2086</v>
      </c>
    </row>
    <row r="422" spans="1:63" x14ac:dyDescent="0.3">
      <c r="A422" s="375">
        <v>128287</v>
      </c>
      <c r="B422" s="376" t="s">
        <v>1791</v>
      </c>
      <c r="C422" s="377" t="s">
        <v>287</v>
      </c>
      <c r="D422" s="378">
        <v>62.57</v>
      </c>
      <c r="E422" s="305"/>
      <c r="F422" s="379"/>
      <c r="G422" s="379" t="s">
        <v>889</v>
      </c>
      <c r="H422" s="380">
        <v>677</v>
      </c>
      <c r="I422" s="307">
        <v>103003</v>
      </c>
      <c r="J422" s="308">
        <v>62.57</v>
      </c>
      <c r="K422" s="381">
        <v>283</v>
      </c>
      <c r="L422" s="382">
        <f>IF(tabItens[[#This Row],[Média]] &gt; 0, tabItens[[#This Row],[QTDE ATUAL]] / tabItens[[#This Row],[Média]],999.9)</f>
        <v>25.872611464968152</v>
      </c>
      <c r="M422" s="383">
        <v>0</v>
      </c>
      <c r="N422" s="384">
        <f>tabItens[[#This Row],[VALOR UNIT.]] * tabItens[[#This Row],[LC]]</f>
        <v>0</v>
      </c>
      <c r="O422" s="385" t="s">
        <v>2100</v>
      </c>
      <c r="P422" s="386"/>
      <c r="Q422" s="387"/>
      <c r="R422" s="312"/>
      <c r="S422" s="388"/>
      <c r="T422" s="389">
        <f>ROUNDDOWN(IFERROR(tabItens[[#This Row],[ATA DT.VALID.]] - $D$1,0) / 30,0)</f>
        <v>-1474</v>
      </c>
      <c r="U422" s="302" t="s">
        <v>1184</v>
      </c>
      <c r="V422" s="318">
        <v>1</v>
      </c>
      <c r="W422" s="390" t="s">
        <v>2075</v>
      </c>
      <c r="X422" s="391">
        <v>76</v>
      </c>
      <c r="Y422" s="392">
        <v>16</v>
      </c>
      <c r="Z422" s="393"/>
      <c r="AA422" s="394"/>
      <c r="AB422" s="395"/>
      <c r="AC422" s="395"/>
      <c r="AD422" s="394"/>
      <c r="AE422" s="395"/>
      <c r="AF422" s="317"/>
      <c r="AG422" s="396" t="s">
        <v>2072</v>
      </c>
      <c r="AH422" s="397"/>
      <c r="AI422" s="317">
        <v>96</v>
      </c>
      <c r="AJ422" s="397">
        <v>45190</v>
      </c>
      <c r="AK422" s="326">
        <v>41828</v>
      </c>
      <c r="AL422" s="326">
        <v>45181</v>
      </c>
      <c r="AM422" s="316"/>
      <c r="AN422" s="305"/>
      <c r="AO422" s="327" t="str">
        <f>_xlfn.IFNA(IF(VLOOKUP(tabItens[[#This Row],[CÓDIGO]],tabExcluirDoEstoque[#Data],1,FALSE),"sim",""),"")</f>
        <v/>
      </c>
      <c r="AP422" s="398" t="str">
        <f ca="1">IF(OR(ISBLANK(tabItens[[#This Row],[ATA DT.VALID.]]),tabItens[[#This Row],[ATA DT.VALID.]]="",tabItens[[#This Row],[ATA DT.VALID.]]=" "),"",IF(TYPE(tabItens[[#This Row],[ATA DT.VALID.]])=1,ROUNDUP((tabItens[[#This Row],[ATA DT.VALID.]]-TODAY())/7,0),""))</f>
        <v/>
      </c>
      <c r="AQ422" s="399">
        <v>0</v>
      </c>
      <c r="AR422" s="400" t="str">
        <f>IF(ISBLANK(tabItens[[#This Row],[CÓDIGO]]),"",IFERROR(VLOOKUP(tabItens[[#This Row],[CÓDIGO]],Consumo!$C$2:$AC$862,26,FALSE),0))</f>
        <v>09.2023</v>
      </c>
      <c r="AS422" s="401">
        <f>SUMIF(Consumo!$C$3:$C$862,tabItens[[#This Row],[CÓDIGO]],Consumo!$N$3:$N$862) + SUMIF(Consumo!$C$3:$C$862,tabItens[[#This Row],[CÓDIGO]],Consumo!$O$3:$O$862) + SUMIF(Consumo!$C$3:$C$862,tabItens[[#This Row],[CÓDIGO]],Consumo!$P$3:$P$862) + SUMIF(Consumo!$C$3:$C$862,tabItens[[#This Row],[CÓDIGO]],Consumo!$Q$3:$Q$862)</f>
        <v>7</v>
      </c>
      <c r="AT422" s="401">
        <f>SUMIF(Consumo!$C$3:$C$862,tabItens[[#This Row],[CÓDIGO]],Consumo!$Z$3:$Z$862)</f>
        <v>314</v>
      </c>
      <c r="AU422" s="402">
        <f>SUMIF(Consumo!$C$3:$C$862,tabItens[[#This Row],[CÓDIGO]],Consumo!$AA$3:$AA$862)</f>
        <v>74</v>
      </c>
      <c r="AV422" s="403">
        <f>SUMIF(Consumo!$C$3:$C$862,tabItens[[#This Row],[CÓDIGO]],Consumo!$Y$3:$Y$862)</f>
        <v>26.166666666666668</v>
      </c>
      <c r="AW422" s="380">
        <f>tabItens[[#This Row],[QTDE ATUAL]] + tabItens[[#This Row],[RC QTDE]] + tabItens[[#This Row],[AF SALDO]] + tabItens[[#This Row],[Recentes]]</f>
        <v>677</v>
      </c>
      <c r="AX422" s="404">
        <v>45</v>
      </c>
      <c r="AY422" s="404">
        <v>4</v>
      </c>
      <c r="AZ422" s="404">
        <f>IF(ISBLANK(tabItens[[#This Row],[CÓDIGO]]),"",tabItens[[#This Row],[PontoMês]] * (AZ$2+tabItens[[#This Row],[PontoQtM]]))</f>
        <v>180</v>
      </c>
      <c r="BA422" s="403">
        <f>tabItens[[#This Row],[PontoPed]] - tabItens[[#This Row],[Saldo]] + (1/10)</f>
        <v>-496.9</v>
      </c>
      <c r="BB422" s="403">
        <f xml:space="preserve"> tabItens[[#This Row],[PontoMês]] * BB$2 - tabItens[[#This Row],[QTDE ATUAL]] - (1/10)</f>
        <v>-632.1</v>
      </c>
      <c r="BC422" s="335">
        <f>IF( tabItens[[#This Row],[PontoPed]]&gt;0, IF(tabItens[[#This Row],[PontoPed]]&lt;1, 1, IF( tabItens[[#This Row],[Saldo]]&gt;tabItens[[#This Row],[PontoPed]], 0, (tabItens[[#This Row],[PontoPed]]-tabItens[[#This Row],[Saldo]])/tabItens[[#This Row],[PontoPed]] ) ), 0 )</f>
        <v>0</v>
      </c>
      <c r="BD422" s="405">
        <f>ROUNDDOWN(IF( OR( AND(tabItens[[#This Row],[PontoPed]]&lt;tabItens[[#This Row],[Saldo]],tabItens[[#This Row],[Saldo]]&gt;0), tabItens[[#This Row],[PontoPed]]=0), 99, IF(AND(tabItens[[#This Row],[Saldo]]=0,tabItens[[#This Row],[PontoPed]]&gt;0), 0, (1-tabItens[[#This Row],[PctAb]])*10 ) ),0)</f>
        <v>99</v>
      </c>
      <c r="BE422" s="406">
        <f>MAX(ROUNDDOWN( IF(tabItens[[#This Row],[Abaixo]] &gt; 0,   tabItens[[#This Row],[Abaixo]] + (tabItens[[#This Row],[PontoMês]] * IF( OR( ISBLANK(tabItens[[#This Row],[ATA Nº/ANO]]), tabItens[[#This Row],[ATA Nº/ANO]] = ""),BE$2,BE$1)),0),0),0)</f>
        <v>0</v>
      </c>
      <c r="BF42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2" s="338">
        <f>SUMIF(Consumo!$C$3:$C$862,tabItens[[#This Row],[CÓDIGO]],Consumo!$E$3:$E$862)</f>
        <v>24</v>
      </c>
      <c r="BH422" s="339">
        <f>IF(AND(tabItens[[#This Row],[Pend]] &gt; 0,tabItens[[#This Row],[Consumo]] &lt;&gt; 0), tabItens[[#This Row],[Pend]] / tabItens[[#This Row],[Consumo]], 0 )</f>
        <v>7.6433121019108277E-2</v>
      </c>
      <c r="BI422" s="338"/>
      <c r="BJ422" s="407"/>
      <c r="BK422" s="408" t="s">
        <v>2086</v>
      </c>
    </row>
    <row r="423" spans="1:63" x14ac:dyDescent="0.3">
      <c r="A423" s="375">
        <v>13066</v>
      </c>
      <c r="B423" s="376" t="s">
        <v>995</v>
      </c>
      <c r="C423" s="377" t="s">
        <v>380</v>
      </c>
      <c r="D423" s="378">
        <v>0.99</v>
      </c>
      <c r="E423" s="305"/>
      <c r="F423" s="379"/>
      <c r="G423" s="379" t="s">
        <v>889</v>
      </c>
      <c r="H423" s="380">
        <v>855</v>
      </c>
      <c r="I423" s="307">
        <v>103003</v>
      </c>
      <c r="J423" s="308">
        <v>0.99</v>
      </c>
      <c r="K423" s="381">
        <v>10</v>
      </c>
      <c r="L423" s="382">
        <f>IF(tabItens[[#This Row],[Média]] &gt; 0, tabItens[[#This Row],[QTDE ATUAL]] / tabItens[[#This Row],[Média]],999.9)</f>
        <v>1710</v>
      </c>
      <c r="M423" s="383">
        <v>0</v>
      </c>
      <c r="N423" s="384">
        <f>tabItens[[#This Row],[VALOR UNIT.]] * tabItens[[#This Row],[LC]]</f>
        <v>0</v>
      </c>
      <c r="O423" s="385" t="s">
        <v>2100</v>
      </c>
      <c r="P423" s="386"/>
      <c r="Q423" s="387"/>
      <c r="R423" s="312"/>
      <c r="S423" s="388"/>
      <c r="T423" s="389">
        <f>ROUNDDOWN(IFERROR(tabItens[[#This Row],[ATA DT.VALID.]] - $D$1,0) / 30,0)</f>
        <v>-1474</v>
      </c>
      <c r="U423" s="302" t="s">
        <v>996</v>
      </c>
      <c r="V423" s="318">
        <v>1</v>
      </c>
      <c r="W423" s="390" t="s">
        <v>2078</v>
      </c>
      <c r="X423" s="391">
        <v>83</v>
      </c>
      <c r="Y423" s="392">
        <v>2</v>
      </c>
      <c r="Z423" s="393"/>
      <c r="AA423" s="394"/>
      <c r="AB423" s="395"/>
      <c r="AC423" s="395"/>
      <c r="AD423" s="394"/>
      <c r="AE423" s="395"/>
      <c r="AF423" s="317"/>
      <c r="AG423" s="396" t="s">
        <v>2072</v>
      </c>
      <c r="AH423" s="397"/>
      <c r="AI423" s="317">
        <v>4</v>
      </c>
      <c r="AJ423" s="397">
        <v>44067</v>
      </c>
      <c r="AK423" s="326" t="s">
        <v>889</v>
      </c>
      <c r="AL423" s="326">
        <v>44040</v>
      </c>
      <c r="AM423" s="316"/>
      <c r="AN423" s="305"/>
      <c r="AO423" s="327" t="str">
        <f>_xlfn.IFNA(IF(VLOOKUP(tabItens[[#This Row],[CÓDIGO]],tabExcluirDoEstoque[#Data],1,FALSE),"sim",""),"")</f>
        <v/>
      </c>
      <c r="AP423" s="398" t="str">
        <f ca="1">IF(OR(ISBLANK(tabItens[[#This Row],[ATA DT.VALID.]]),tabItens[[#This Row],[ATA DT.VALID.]]="",tabItens[[#This Row],[ATA DT.VALID.]]=" "),"",IF(TYPE(tabItens[[#This Row],[ATA DT.VALID.]])=1,ROUNDUP((tabItens[[#This Row],[ATA DT.VALID.]]-TODAY())/7,0),""))</f>
        <v/>
      </c>
      <c r="AQ423" s="399">
        <v>0</v>
      </c>
      <c r="AR423" s="400" t="str">
        <f>IF(ISBLANK(tabItens[[#This Row],[CÓDIGO]]),"",IFERROR(VLOOKUP(tabItens[[#This Row],[CÓDIGO]],Consumo!$C$2:$AC$862,26,FALSE),0))</f>
        <v>05.2023</v>
      </c>
      <c r="AS423" s="401">
        <f>SUMIF(Consumo!$C$3:$C$862,tabItens[[#This Row],[CÓDIGO]],Consumo!$N$3:$N$862) + SUMIF(Consumo!$C$3:$C$862,tabItens[[#This Row],[CÓDIGO]],Consumo!$O$3:$O$862) + SUMIF(Consumo!$C$3:$C$862,tabItens[[#This Row],[CÓDIGO]],Consumo!$P$3:$P$862) + SUMIF(Consumo!$C$3:$C$862,tabItens[[#This Row],[CÓDIGO]],Consumo!$Q$3:$Q$862)</f>
        <v>0</v>
      </c>
      <c r="AT423" s="401">
        <f>SUMIF(Consumo!$C$3:$C$862,tabItens[[#This Row],[CÓDIGO]],Consumo!$Z$3:$Z$862)</f>
        <v>10</v>
      </c>
      <c r="AU423" s="402">
        <f>SUMIF(Consumo!$C$3:$C$862,tabItens[[#This Row],[CÓDIGO]],Consumo!$AA$3:$AA$862)</f>
        <v>10</v>
      </c>
      <c r="AV423" s="403">
        <f>SUMIF(Consumo!$C$3:$C$862,tabItens[[#This Row],[CÓDIGO]],Consumo!$Y$3:$Y$862)</f>
        <v>0.5</v>
      </c>
      <c r="AW423" s="380">
        <f>tabItens[[#This Row],[QTDE ATUAL]] + tabItens[[#This Row],[RC QTDE]] + tabItens[[#This Row],[AF SALDO]] + tabItens[[#This Row],[Recentes]]</f>
        <v>855</v>
      </c>
      <c r="AX423" s="404">
        <v>24</v>
      </c>
      <c r="AY423" s="404">
        <v>4</v>
      </c>
      <c r="AZ423" s="404">
        <f>IF(ISBLANK(tabItens[[#This Row],[CÓDIGO]]),"",tabItens[[#This Row],[PontoMês]] * (AZ$2+tabItens[[#This Row],[PontoQtM]]))</f>
        <v>96</v>
      </c>
      <c r="BA423" s="403">
        <f>tabItens[[#This Row],[PontoPed]] - tabItens[[#This Row],[Saldo]] + (1/10)</f>
        <v>-758.9</v>
      </c>
      <c r="BB423" s="403">
        <f xml:space="preserve"> tabItens[[#This Row],[PontoMês]] * BB$2 - tabItens[[#This Row],[QTDE ATUAL]] - (1/10)</f>
        <v>-831.1</v>
      </c>
      <c r="BC423" s="335">
        <f>IF( tabItens[[#This Row],[PontoPed]]&gt;0, IF(tabItens[[#This Row],[PontoPed]]&lt;1, 1, IF( tabItens[[#This Row],[Saldo]]&gt;tabItens[[#This Row],[PontoPed]], 0, (tabItens[[#This Row],[PontoPed]]-tabItens[[#This Row],[Saldo]])/tabItens[[#This Row],[PontoPed]] ) ), 0 )</f>
        <v>0</v>
      </c>
      <c r="BD423" s="405">
        <f>ROUNDDOWN(IF( OR( AND(tabItens[[#This Row],[PontoPed]]&lt;tabItens[[#This Row],[Saldo]],tabItens[[#This Row],[Saldo]]&gt;0), tabItens[[#This Row],[PontoPed]]=0), 99, IF(AND(tabItens[[#This Row],[Saldo]]=0,tabItens[[#This Row],[PontoPed]]&gt;0), 0, (1-tabItens[[#This Row],[PctAb]])*10 ) ),0)</f>
        <v>99</v>
      </c>
      <c r="BE423" s="406">
        <f>MAX(ROUNDDOWN( IF(tabItens[[#This Row],[Abaixo]] &gt; 0,   tabItens[[#This Row],[Abaixo]] + (tabItens[[#This Row],[PontoMês]] * IF( OR( ISBLANK(tabItens[[#This Row],[ATA Nº/ANO]]), tabItens[[#This Row],[ATA Nº/ANO]] = ""),BE$2,BE$1)),0),0),0)</f>
        <v>0</v>
      </c>
      <c r="BF42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3" s="338">
        <f>SUMIF(Consumo!$C$3:$C$862,tabItens[[#This Row],[CÓDIGO]],Consumo!$E$3:$E$862)</f>
        <v>0</v>
      </c>
      <c r="BH423" s="339">
        <f>IF(AND(tabItens[[#This Row],[Pend]] &gt; 0,tabItens[[#This Row],[Consumo]] &lt;&gt; 0), tabItens[[#This Row],[Pend]] / tabItens[[#This Row],[Consumo]], 0 )</f>
        <v>0</v>
      </c>
      <c r="BI423" s="338"/>
      <c r="BJ423" s="407"/>
      <c r="BK423" s="408" t="s">
        <v>2086</v>
      </c>
    </row>
    <row r="424" spans="1:63" x14ac:dyDescent="0.3">
      <c r="A424" s="375">
        <v>13087</v>
      </c>
      <c r="B424" s="376" t="s">
        <v>999</v>
      </c>
      <c r="C424" s="377" t="s">
        <v>380</v>
      </c>
      <c r="D424" s="378">
        <v>1.3</v>
      </c>
      <c r="E424" s="305"/>
      <c r="F424" s="379"/>
      <c r="G424" s="379" t="s">
        <v>889</v>
      </c>
      <c r="H424" s="380">
        <v>222</v>
      </c>
      <c r="I424" s="307">
        <v>103003</v>
      </c>
      <c r="J424" s="308">
        <v>1.3</v>
      </c>
      <c r="K424" s="381">
        <v>55</v>
      </c>
      <c r="L424" s="382">
        <f>IF(tabItens[[#This Row],[Média]] &gt; 0, tabItens[[#This Row],[QTDE ATUAL]] / tabItens[[#This Row],[Média]],999.9)</f>
        <v>49.333333333333336</v>
      </c>
      <c r="M424" s="383">
        <v>0</v>
      </c>
      <c r="N424" s="384">
        <f>tabItens[[#This Row],[VALOR UNIT.]] * tabItens[[#This Row],[LC]]</f>
        <v>0</v>
      </c>
      <c r="O424" s="385" t="s">
        <v>2100</v>
      </c>
      <c r="P424" s="386"/>
      <c r="Q424" s="387"/>
      <c r="R424" s="312"/>
      <c r="S424" s="388"/>
      <c r="T424" s="389">
        <f>ROUNDDOWN(IFERROR(tabItens[[#This Row],[ATA DT.VALID.]] - $D$1,0) / 30,0)</f>
        <v>-1474</v>
      </c>
      <c r="U424" s="302" t="s">
        <v>996</v>
      </c>
      <c r="V424" s="318">
        <v>1</v>
      </c>
      <c r="W424" s="390" t="s">
        <v>2078</v>
      </c>
      <c r="X424" s="391">
        <v>83</v>
      </c>
      <c r="Y424" s="392">
        <v>2</v>
      </c>
      <c r="Z424" s="393"/>
      <c r="AA424" s="394"/>
      <c r="AB424" s="395"/>
      <c r="AC424" s="395"/>
      <c r="AD424" s="394"/>
      <c r="AE424" s="395"/>
      <c r="AF424" s="317"/>
      <c r="AG424" s="396" t="s">
        <v>2072</v>
      </c>
      <c r="AH424" s="397"/>
      <c r="AI424" s="317">
        <v>18</v>
      </c>
      <c r="AJ424" s="397">
        <v>44067</v>
      </c>
      <c r="AK424" s="326" t="s">
        <v>889</v>
      </c>
      <c r="AL424" s="326">
        <v>44922</v>
      </c>
      <c r="AM424" s="316"/>
      <c r="AN424" s="305"/>
      <c r="AO424" s="327" t="str">
        <f>_xlfn.IFNA(IF(VLOOKUP(tabItens[[#This Row],[CÓDIGO]],tabExcluirDoEstoque[#Data],1,FALSE),"sim",""),"")</f>
        <v/>
      </c>
      <c r="AP424" s="398" t="str">
        <f ca="1">IF(OR(ISBLANK(tabItens[[#This Row],[ATA DT.VALID.]]),tabItens[[#This Row],[ATA DT.VALID.]]="",tabItens[[#This Row],[ATA DT.VALID.]]=" "),"",IF(TYPE(tabItens[[#This Row],[ATA DT.VALID.]])=1,ROUNDUP((tabItens[[#This Row],[ATA DT.VALID.]]-TODAY())/7,0),""))</f>
        <v/>
      </c>
      <c r="AQ424" s="399">
        <v>0</v>
      </c>
      <c r="AR424" s="400" t="str">
        <f>IF(ISBLANK(tabItens[[#This Row],[CÓDIGO]]),"",IFERROR(VLOOKUP(tabItens[[#This Row],[CÓDIGO]],Consumo!$C$2:$AC$862,26,FALSE),0))</f>
        <v>05.2023</v>
      </c>
      <c r="AS424" s="401">
        <f>SUMIF(Consumo!$C$3:$C$862,tabItens[[#This Row],[CÓDIGO]],Consumo!$N$3:$N$862) + SUMIF(Consumo!$C$3:$C$862,tabItens[[#This Row],[CÓDIGO]],Consumo!$O$3:$O$862) + SUMIF(Consumo!$C$3:$C$862,tabItens[[#This Row],[CÓDIGO]],Consumo!$P$3:$P$862) + SUMIF(Consumo!$C$3:$C$862,tabItens[[#This Row],[CÓDIGO]],Consumo!$Q$3:$Q$862)</f>
        <v>0</v>
      </c>
      <c r="AT424" s="401">
        <f>SUMIF(Consumo!$C$3:$C$862,tabItens[[#This Row],[CÓDIGO]],Consumo!$Z$3:$Z$862)</f>
        <v>55</v>
      </c>
      <c r="AU424" s="402">
        <f>SUMIF(Consumo!$C$3:$C$862,tabItens[[#This Row],[CÓDIGO]],Consumo!$AA$3:$AA$862)</f>
        <v>20</v>
      </c>
      <c r="AV424" s="403">
        <f>SUMIF(Consumo!$C$3:$C$862,tabItens[[#This Row],[CÓDIGO]],Consumo!$Y$3:$Y$862)</f>
        <v>4.5</v>
      </c>
      <c r="AW424" s="380">
        <f>tabItens[[#This Row],[QTDE ATUAL]] + tabItens[[#This Row],[RC QTDE]] + tabItens[[#This Row],[AF SALDO]] + tabItens[[#This Row],[Recentes]]</f>
        <v>222</v>
      </c>
      <c r="AX424" s="404">
        <v>25</v>
      </c>
      <c r="AY424" s="404">
        <v>4</v>
      </c>
      <c r="AZ424" s="404">
        <f>IF(ISBLANK(tabItens[[#This Row],[CÓDIGO]]),"",tabItens[[#This Row],[PontoMês]] * (AZ$2+tabItens[[#This Row],[PontoQtM]]))</f>
        <v>100</v>
      </c>
      <c r="BA424" s="403">
        <f>tabItens[[#This Row],[PontoPed]] - tabItens[[#This Row],[Saldo]] + (1/10)</f>
        <v>-121.9</v>
      </c>
      <c r="BB424" s="403">
        <f xml:space="preserve"> tabItens[[#This Row],[PontoMês]] * BB$2 - tabItens[[#This Row],[QTDE ATUAL]] - (1/10)</f>
        <v>-197.1</v>
      </c>
      <c r="BC424" s="335">
        <f>IF( tabItens[[#This Row],[PontoPed]]&gt;0, IF(tabItens[[#This Row],[PontoPed]]&lt;1, 1, IF( tabItens[[#This Row],[Saldo]]&gt;tabItens[[#This Row],[PontoPed]], 0, (tabItens[[#This Row],[PontoPed]]-tabItens[[#This Row],[Saldo]])/tabItens[[#This Row],[PontoPed]] ) ), 0 )</f>
        <v>0</v>
      </c>
      <c r="BD424" s="405">
        <f>ROUNDDOWN(IF( OR( AND(tabItens[[#This Row],[PontoPed]]&lt;tabItens[[#This Row],[Saldo]],tabItens[[#This Row],[Saldo]]&gt;0), tabItens[[#This Row],[PontoPed]]=0), 99, IF(AND(tabItens[[#This Row],[Saldo]]=0,tabItens[[#This Row],[PontoPed]]&gt;0), 0, (1-tabItens[[#This Row],[PctAb]])*10 ) ),0)</f>
        <v>99</v>
      </c>
      <c r="BE424" s="406">
        <f>MAX(ROUNDDOWN( IF(tabItens[[#This Row],[Abaixo]] &gt; 0,   tabItens[[#This Row],[Abaixo]] + (tabItens[[#This Row],[PontoMês]] * IF( OR( ISBLANK(tabItens[[#This Row],[ATA Nº/ANO]]), tabItens[[#This Row],[ATA Nº/ANO]] = ""),BE$2,BE$1)),0),0),0)</f>
        <v>0</v>
      </c>
      <c r="BF42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4" s="338">
        <f>SUMIF(Consumo!$C$3:$C$862,tabItens[[#This Row],[CÓDIGO]],Consumo!$E$3:$E$862)</f>
        <v>0</v>
      </c>
      <c r="BH424" s="339">
        <f>IF(AND(tabItens[[#This Row],[Pend]] &gt; 0,tabItens[[#This Row],[Consumo]] &lt;&gt; 0), tabItens[[#This Row],[Pend]] / tabItens[[#This Row],[Consumo]], 0 )</f>
        <v>0</v>
      </c>
      <c r="BI424" s="338"/>
      <c r="BJ424" s="407"/>
      <c r="BK424" s="408" t="s">
        <v>2086</v>
      </c>
    </row>
    <row r="425" spans="1:63" x14ac:dyDescent="0.3">
      <c r="A425" s="375">
        <v>13088</v>
      </c>
      <c r="B425" s="376" t="s">
        <v>1000</v>
      </c>
      <c r="C425" s="377" t="s">
        <v>380</v>
      </c>
      <c r="D425" s="378">
        <v>1.32</v>
      </c>
      <c r="E425" s="305"/>
      <c r="F425" s="379"/>
      <c r="G425" s="379" t="s">
        <v>889</v>
      </c>
      <c r="H425" s="380">
        <v>50</v>
      </c>
      <c r="I425" s="307">
        <v>103003</v>
      </c>
      <c r="J425" s="308">
        <v>1.32</v>
      </c>
      <c r="K425" s="381">
        <v>44</v>
      </c>
      <c r="L425" s="382">
        <f>IF(tabItens[[#This Row],[Média]] &gt; 0, tabItens[[#This Row],[QTDE ATUAL]] / tabItens[[#This Row],[Média]],999.9)</f>
        <v>16.666666666666668</v>
      </c>
      <c r="M425" s="383">
        <v>0</v>
      </c>
      <c r="N425" s="384">
        <f>tabItens[[#This Row],[VALOR UNIT.]] * tabItens[[#This Row],[LC]]</f>
        <v>0</v>
      </c>
      <c r="O425" s="385" t="s">
        <v>2100</v>
      </c>
      <c r="P425" s="386"/>
      <c r="Q425" s="387"/>
      <c r="R425" s="312"/>
      <c r="S425" s="388"/>
      <c r="T425" s="389">
        <f>ROUNDDOWN(IFERROR(tabItens[[#This Row],[ATA DT.VALID.]] - $D$1,0) / 30,0)</f>
        <v>-1474</v>
      </c>
      <c r="U425" s="302" t="s">
        <v>996</v>
      </c>
      <c r="V425" s="318">
        <v>1</v>
      </c>
      <c r="W425" s="390" t="s">
        <v>2078</v>
      </c>
      <c r="X425" s="391">
        <v>83</v>
      </c>
      <c r="Y425" s="392">
        <v>2</v>
      </c>
      <c r="Z425" s="393"/>
      <c r="AA425" s="394"/>
      <c r="AB425" s="395"/>
      <c r="AC425" s="395"/>
      <c r="AD425" s="394"/>
      <c r="AE425" s="395"/>
      <c r="AF425" s="317"/>
      <c r="AG425" s="396" t="s">
        <v>2072</v>
      </c>
      <c r="AH425" s="397"/>
      <c r="AI425" s="317">
        <v>14</v>
      </c>
      <c r="AJ425" s="397">
        <v>45201</v>
      </c>
      <c r="AK425" s="326" t="s">
        <v>889</v>
      </c>
      <c r="AL425" s="326">
        <v>45189</v>
      </c>
      <c r="AM425" s="316"/>
      <c r="AN425" s="305"/>
      <c r="AO425" s="327" t="str">
        <f>_xlfn.IFNA(IF(VLOOKUP(tabItens[[#This Row],[CÓDIGO]],tabExcluirDoEstoque[#Data],1,FALSE),"sim",""),"")</f>
        <v/>
      </c>
      <c r="AP425" s="398" t="str">
        <f ca="1">IF(OR(ISBLANK(tabItens[[#This Row],[ATA DT.VALID.]]),tabItens[[#This Row],[ATA DT.VALID.]]="",tabItens[[#This Row],[ATA DT.VALID.]]=" "),"",IF(TYPE(tabItens[[#This Row],[ATA DT.VALID.]])=1,ROUNDUP((tabItens[[#This Row],[ATA DT.VALID.]]-TODAY())/7,0),""))</f>
        <v/>
      </c>
      <c r="AQ425" s="399">
        <v>0</v>
      </c>
      <c r="AR425" s="400" t="str">
        <f>IF(ISBLANK(tabItens[[#This Row],[CÓDIGO]]),"",IFERROR(VLOOKUP(tabItens[[#This Row],[CÓDIGO]],Consumo!$C$2:$AC$862,26,FALSE),0))</f>
        <v>05.2023</v>
      </c>
      <c r="AS425" s="401">
        <f>SUMIF(Consumo!$C$3:$C$862,tabItens[[#This Row],[CÓDIGO]],Consumo!$N$3:$N$862) + SUMIF(Consumo!$C$3:$C$862,tabItens[[#This Row],[CÓDIGO]],Consumo!$O$3:$O$862) + SUMIF(Consumo!$C$3:$C$862,tabItens[[#This Row],[CÓDIGO]],Consumo!$P$3:$P$862) + SUMIF(Consumo!$C$3:$C$862,tabItens[[#This Row],[CÓDIGO]],Consumo!$Q$3:$Q$862)</f>
        <v>0</v>
      </c>
      <c r="AT425" s="401">
        <f>SUMIF(Consumo!$C$3:$C$862,tabItens[[#This Row],[CÓDIGO]],Consumo!$Z$3:$Z$862)</f>
        <v>44</v>
      </c>
      <c r="AU425" s="402">
        <f>SUMIF(Consumo!$C$3:$C$862,tabItens[[#This Row],[CÓDIGO]],Consumo!$AA$3:$AA$862)</f>
        <v>29</v>
      </c>
      <c r="AV425" s="403">
        <f>SUMIF(Consumo!$C$3:$C$862,tabItens[[#This Row],[CÓDIGO]],Consumo!$Y$3:$Y$862)</f>
        <v>3</v>
      </c>
      <c r="AW425" s="380">
        <f>tabItens[[#This Row],[QTDE ATUAL]] + tabItens[[#This Row],[RC QTDE]] + tabItens[[#This Row],[AF SALDO]] + tabItens[[#This Row],[Recentes]]</f>
        <v>50</v>
      </c>
      <c r="AX425" s="404">
        <v>25</v>
      </c>
      <c r="AY425" s="404">
        <v>4</v>
      </c>
      <c r="AZ425" s="404">
        <f>IF(ISBLANK(tabItens[[#This Row],[CÓDIGO]]),"",tabItens[[#This Row],[PontoMês]] * (AZ$2+tabItens[[#This Row],[PontoQtM]]))</f>
        <v>100</v>
      </c>
      <c r="BA425" s="403">
        <f>tabItens[[#This Row],[PontoPed]] - tabItens[[#This Row],[Saldo]] + (1/10)</f>
        <v>50.1</v>
      </c>
      <c r="BB425" s="403">
        <f xml:space="preserve"> tabItens[[#This Row],[PontoMês]] * BB$2 - tabItens[[#This Row],[QTDE ATUAL]] - (1/10)</f>
        <v>-25.1</v>
      </c>
      <c r="BC425" s="335">
        <f>IF( tabItens[[#This Row],[PontoPed]]&gt;0, IF(tabItens[[#This Row],[PontoPed]]&lt;1, 1, IF( tabItens[[#This Row],[Saldo]]&gt;tabItens[[#This Row],[PontoPed]], 0, (tabItens[[#This Row],[PontoPed]]-tabItens[[#This Row],[Saldo]])/tabItens[[#This Row],[PontoPed]] ) ), 0 )</f>
        <v>0.5</v>
      </c>
      <c r="BD425" s="405">
        <f>ROUNDDOWN(IF( OR( AND(tabItens[[#This Row],[PontoPed]]&lt;tabItens[[#This Row],[Saldo]],tabItens[[#This Row],[Saldo]]&gt;0), tabItens[[#This Row],[PontoPed]]=0), 99, IF(AND(tabItens[[#This Row],[Saldo]]=0,tabItens[[#This Row],[PontoPed]]&gt;0), 0, (1-tabItens[[#This Row],[PctAb]])*10 ) ),0)</f>
        <v>5</v>
      </c>
      <c r="BE425" s="406">
        <f>MAX(ROUNDDOWN( IF(tabItens[[#This Row],[Abaixo]] &gt; 0,   tabItens[[#This Row],[Abaixo]] + (tabItens[[#This Row],[PontoMês]] * IF( OR( ISBLANK(tabItens[[#This Row],[ATA Nº/ANO]]), tabItens[[#This Row],[ATA Nº/ANO]] = ""),BE$2,BE$1)),0),0),0)</f>
        <v>125</v>
      </c>
      <c r="BF42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5" s="338">
        <f>SUMIF(Consumo!$C$3:$C$862,tabItens[[#This Row],[CÓDIGO]],Consumo!$E$3:$E$862)</f>
        <v>0</v>
      </c>
      <c r="BH425" s="339">
        <f>IF(AND(tabItens[[#This Row],[Pend]] &gt; 0,tabItens[[#This Row],[Consumo]] &lt;&gt; 0), tabItens[[#This Row],[Pend]] / tabItens[[#This Row],[Consumo]], 0 )</f>
        <v>0</v>
      </c>
      <c r="BI425" s="338"/>
      <c r="BJ425" s="407"/>
      <c r="BK425" s="408" t="s">
        <v>2086</v>
      </c>
    </row>
    <row r="426" spans="1:63" x14ac:dyDescent="0.3">
      <c r="A426" s="375">
        <v>13101</v>
      </c>
      <c r="B426" s="376" t="s">
        <v>1007</v>
      </c>
      <c r="C426" s="377" t="s">
        <v>380</v>
      </c>
      <c r="D426" s="378">
        <v>3.2</v>
      </c>
      <c r="E426" s="305"/>
      <c r="F426" s="379"/>
      <c r="G426" s="379" t="s">
        <v>889</v>
      </c>
      <c r="H426" s="380">
        <v>85</v>
      </c>
      <c r="I426" s="307">
        <v>103003</v>
      </c>
      <c r="J426" s="308">
        <v>3.2</v>
      </c>
      <c r="K426" s="381">
        <v>101</v>
      </c>
      <c r="L426" s="382">
        <f>IF(tabItens[[#This Row],[Média]] &gt; 0, tabItens[[#This Row],[QTDE ATUAL]] / tabItens[[#This Row],[Média]],999.9)</f>
        <v>9.7142857142857135</v>
      </c>
      <c r="M426" s="383">
        <v>0</v>
      </c>
      <c r="N426" s="384">
        <f>tabItens[[#This Row],[VALOR UNIT.]] * tabItens[[#This Row],[LC]]</f>
        <v>0</v>
      </c>
      <c r="O426" s="385" t="s">
        <v>2100</v>
      </c>
      <c r="P426" s="386"/>
      <c r="Q426" s="387"/>
      <c r="R426" s="312"/>
      <c r="S426" s="388"/>
      <c r="T426" s="389">
        <f>ROUNDDOWN(IFERROR(tabItens[[#This Row],[ATA DT.VALID.]] - $D$1,0) / 30,0)</f>
        <v>-1474</v>
      </c>
      <c r="U426" s="302" t="s">
        <v>996</v>
      </c>
      <c r="V426" s="318">
        <v>1</v>
      </c>
      <c r="W426" s="390" t="s">
        <v>2078</v>
      </c>
      <c r="X426" s="391">
        <v>83</v>
      </c>
      <c r="Y426" s="392">
        <v>2</v>
      </c>
      <c r="Z426" s="393"/>
      <c r="AA426" s="394"/>
      <c r="AB426" s="395"/>
      <c r="AC426" s="395"/>
      <c r="AD426" s="394"/>
      <c r="AE426" s="395"/>
      <c r="AF426" s="317"/>
      <c r="AG426" s="396" t="s">
        <v>2072</v>
      </c>
      <c r="AH426" s="397"/>
      <c r="AI426" s="317">
        <v>36</v>
      </c>
      <c r="AJ426" s="397">
        <v>45201</v>
      </c>
      <c r="AK426" s="326" t="s">
        <v>889</v>
      </c>
      <c r="AL426" s="326">
        <v>45189</v>
      </c>
      <c r="AM426" s="316"/>
      <c r="AN426" s="305"/>
      <c r="AO426" s="327" t="str">
        <f>_xlfn.IFNA(IF(VLOOKUP(tabItens[[#This Row],[CÓDIGO]],tabExcluirDoEstoque[#Data],1,FALSE),"sim",""),"")</f>
        <v/>
      </c>
      <c r="AP426" s="398" t="str">
        <f ca="1">IF(OR(ISBLANK(tabItens[[#This Row],[ATA DT.VALID.]]),tabItens[[#This Row],[ATA DT.VALID.]]="",tabItens[[#This Row],[ATA DT.VALID.]]=" "),"",IF(TYPE(tabItens[[#This Row],[ATA DT.VALID.]])=1,ROUNDUP((tabItens[[#This Row],[ATA DT.VALID.]]-TODAY())/7,0),""))</f>
        <v/>
      </c>
      <c r="AQ426" s="399">
        <v>0</v>
      </c>
      <c r="AR426" s="400" t="str">
        <f>IF(ISBLANK(tabItens[[#This Row],[CÓDIGO]]),"",IFERROR(VLOOKUP(tabItens[[#This Row],[CÓDIGO]],Consumo!$C$2:$AC$862,26,FALSE),0))</f>
        <v>09.2023</v>
      </c>
      <c r="AS426" s="401">
        <f>SUMIF(Consumo!$C$3:$C$862,tabItens[[#This Row],[CÓDIGO]],Consumo!$N$3:$N$862) + SUMIF(Consumo!$C$3:$C$862,tabItens[[#This Row],[CÓDIGO]],Consumo!$O$3:$O$862) + SUMIF(Consumo!$C$3:$C$862,tabItens[[#This Row],[CÓDIGO]],Consumo!$P$3:$P$862) + SUMIF(Consumo!$C$3:$C$862,tabItens[[#This Row],[CÓDIGO]],Consumo!$Q$3:$Q$862)</f>
        <v>10</v>
      </c>
      <c r="AT426" s="401">
        <f>SUMIF(Consumo!$C$3:$C$862,tabItens[[#This Row],[CÓDIGO]],Consumo!$Z$3:$Z$862)</f>
        <v>107</v>
      </c>
      <c r="AU426" s="402">
        <f>SUMIF(Consumo!$C$3:$C$862,tabItens[[#This Row],[CÓDIGO]],Consumo!$AA$3:$AA$862)</f>
        <v>30</v>
      </c>
      <c r="AV426" s="403">
        <f>SUMIF(Consumo!$C$3:$C$862,tabItens[[#This Row],[CÓDIGO]],Consumo!$Y$3:$Y$862)</f>
        <v>8.75</v>
      </c>
      <c r="AW426" s="380">
        <f>tabItens[[#This Row],[QTDE ATUAL]] + tabItens[[#This Row],[RC QTDE]] + tabItens[[#This Row],[AF SALDO]] + tabItens[[#This Row],[Recentes]]</f>
        <v>85</v>
      </c>
      <c r="AX426" s="404">
        <v>17</v>
      </c>
      <c r="AY426" s="404">
        <v>4</v>
      </c>
      <c r="AZ426" s="404">
        <f>IF(ISBLANK(tabItens[[#This Row],[CÓDIGO]]),"",tabItens[[#This Row],[PontoMês]] * (AZ$2+tabItens[[#This Row],[PontoQtM]]))</f>
        <v>68</v>
      </c>
      <c r="BA426" s="403">
        <f>tabItens[[#This Row],[PontoPed]] - tabItens[[#This Row],[Saldo]] + (1/10)</f>
        <v>-16.899999999999999</v>
      </c>
      <c r="BB426" s="403">
        <f xml:space="preserve"> tabItens[[#This Row],[PontoMês]] * BB$2 - tabItens[[#This Row],[QTDE ATUAL]] - (1/10)</f>
        <v>-68.099999999999994</v>
      </c>
      <c r="BC426" s="335">
        <f>IF( tabItens[[#This Row],[PontoPed]]&gt;0, IF(tabItens[[#This Row],[PontoPed]]&lt;1, 1, IF( tabItens[[#This Row],[Saldo]]&gt;tabItens[[#This Row],[PontoPed]], 0, (tabItens[[#This Row],[PontoPed]]-tabItens[[#This Row],[Saldo]])/tabItens[[#This Row],[PontoPed]] ) ), 0 )</f>
        <v>0</v>
      </c>
      <c r="BD426" s="405">
        <f>ROUNDDOWN(IF( OR( AND(tabItens[[#This Row],[PontoPed]]&lt;tabItens[[#This Row],[Saldo]],tabItens[[#This Row],[Saldo]]&gt;0), tabItens[[#This Row],[PontoPed]]=0), 99, IF(AND(tabItens[[#This Row],[Saldo]]=0,tabItens[[#This Row],[PontoPed]]&gt;0), 0, (1-tabItens[[#This Row],[PctAb]])*10 ) ),0)</f>
        <v>99</v>
      </c>
      <c r="BE426" s="406">
        <f>MAX(ROUNDDOWN( IF(tabItens[[#This Row],[Abaixo]] &gt; 0,   tabItens[[#This Row],[Abaixo]] + (tabItens[[#This Row],[PontoMês]] * IF( OR( ISBLANK(tabItens[[#This Row],[ATA Nº/ANO]]), tabItens[[#This Row],[ATA Nº/ANO]] = ""),BE$2,BE$1)),0),0),0)</f>
        <v>0</v>
      </c>
      <c r="BF42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6" s="338">
        <f>SUMIF(Consumo!$C$3:$C$862,tabItens[[#This Row],[CÓDIGO]],Consumo!$E$3:$E$862)</f>
        <v>0</v>
      </c>
      <c r="BH426" s="339">
        <f>IF(AND(tabItens[[#This Row],[Pend]] &gt; 0,tabItens[[#This Row],[Consumo]] &lt;&gt; 0), tabItens[[#This Row],[Pend]] / tabItens[[#This Row],[Consumo]], 0 )</f>
        <v>0</v>
      </c>
      <c r="BI426" s="338"/>
      <c r="BJ426" s="407"/>
      <c r="BK426" s="408" t="s">
        <v>2086</v>
      </c>
    </row>
    <row r="427" spans="1:63" x14ac:dyDescent="0.3">
      <c r="A427" s="375">
        <v>13109</v>
      </c>
      <c r="B427" s="376" t="s">
        <v>1009</v>
      </c>
      <c r="C427" s="377" t="s">
        <v>380</v>
      </c>
      <c r="D427" s="378">
        <v>1.66</v>
      </c>
      <c r="E427" s="305"/>
      <c r="F427" s="379"/>
      <c r="G427" s="379" t="s">
        <v>889</v>
      </c>
      <c r="H427" s="380">
        <v>0</v>
      </c>
      <c r="I427" s="307">
        <v>103003</v>
      </c>
      <c r="J427" s="308">
        <v>1.66</v>
      </c>
      <c r="K427" s="381">
        <v>164</v>
      </c>
      <c r="L427" s="382">
        <f>IF(tabItens[[#This Row],[Média]] &gt; 0, tabItens[[#This Row],[QTDE ATUAL]] / tabItens[[#This Row],[Média]],999.9)</f>
        <v>0</v>
      </c>
      <c r="M427" s="383">
        <v>0</v>
      </c>
      <c r="N427" s="384">
        <f>tabItens[[#This Row],[VALOR UNIT.]] * tabItens[[#This Row],[LC]]</f>
        <v>0</v>
      </c>
      <c r="O427" s="385" t="s">
        <v>2100</v>
      </c>
      <c r="P427" s="386"/>
      <c r="Q427" s="387"/>
      <c r="R427" s="312"/>
      <c r="S427" s="388"/>
      <c r="T427" s="389">
        <f>ROUNDDOWN(IFERROR(tabItens[[#This Row],[ATA DT.VALID.]] - $D$1,0) / 30,0)</f>
        <v>-1474</v>
      </c>
      <c r="U427" s="302" t="s">
        <v>996</v>
      </c>
      <c r="V427" s="318">
        <v>1</v>
      </c>
      <c r="W427" s="390" t="s">
        <v>2078</v>
      </c>
      <c r="X427" s="391">
        <v>83</v>
      </c>
      <c r="Y427" s="392">
        <v>2</v>
      </c>
      <c r="Z427" s="393"/>
      <c r="AA427" s="394"/>
      <c r="AB427" s="395"/>
      <c r="AC427" s="395"/>
      <c r="AD427" s="394"/>
      <c r="AE427" s="395"/>
      <c r="AF427" s="317"/>
      <c r="AG427" s="396" t="s">
        <v>2072</v>
      </c>
      <c r="AH427" s="397"/>
      <c r="AI427" s="317">
        <v>54</v>
      </c>
      <c r="AJ427" s="397">
        <v>44211</v>
      </c>
      <c r="AK427" s="326" t="s">
        <v>889</v>
      </c>
      <c r="AL427" s="326">
        <v>44438</v>
      </c>
      <c r="AM427" s="316"/>
      <c r="AN427" s="305"/>
      <c r="AO427" s="327" t="str">
        <f>_xlfn.IFNA(IF(VLOOKUP(tabItens[[#This Row],[CÓDIGO]],tabExcluirDoEstoque[#Data],1,FALSE),"sim",""),"")</f>
        <v/>
      </c>
      <c r="AP427" s="398" t="str">
        <f ca="1">IF(OR(ISBLANK(tabItens[[#This Row],[ATA DT.VALID.]]),tabItens[[#This Row],[ATA DT.VALID.]]="",tabItens[[#This Row],[ATA DT.VALID.]]=" "),"",IF(TYPE(tabItens[[#This Row],[ATA DT.VALID.]])=1,ROUNDUP((tabItens[[#This Row],[ATA DT.VALID.]]-TODAY())/7,0),""))</f>
        <v/>
      </c>
      <c r="AQ427" s="399">
        <v>0</v>
      </c>
      <c r="AR427" s="400" t="str">
        <f>IF(ISBLANK(tabItens[[#This Row],[CÓDIGO]]),"",IFERROR(VLOOKUP(tabItens[[#This Row],[CÓDIGO]],Consumo!$C$2:$AC$862,26,FALSE),0))</f>
        <v>07.2023</v>
      </c>
      <c r="AS427" s="401">
        <f>SUMIF(Consumo!$C$3:$C$862,tabItens[[#This Row],[CÓDIGO]],Consumo!$N$3:$N$862) + SUMIF(Consumo!$C$3:$C$862,tabItens[[#This Row],[CÓDIGO]],Consumo!$O$3:$O$862) + SUMIF(Consumo!$C$3:$C$862,tabItens[[#This Row],[CÓDIGO]],Consumo!$P$3:$P$862) + SUMIF(Consumo!$C$3:$C$862,tabItens[[#This Row],[CÓDIGO]],Consumo!$Q$3:$Q$862)</f>
        <v>12</v>
      </c>
      <c r="AT427" s="401">
        <f>SUMIF(Consumo!$C$3:$C$862,tabItens[[#This Row],[CÓDIGO]],Consumo!$Z$3:$Z$862)</f>
        <v>193</v>
      </c>
      <c r="AU427" s="402">
        <f>SUMIF(Consumo!$C$3:$C$862,tabItens[[#This Row],[CÓDIGO]],Consumo!$AA$3:$AA$862)</f>
        <v>102</v>
      </c>
      <c r="AV427" s="403">
        <f>SUMIF(Consumo!$C$3:$C$862,tabItens[[#This Row],[CÓDIGO]],Consumo!$Y$3:$Y$862)</f>
        <v>13.583333333333334</v>
      </c>
      <c r="AW427" s="380">
        <f>tabItens[[#This Row],[QTDE ATUAL]] + tabItens[[#This Row],[RC QTDE]] + tabItens[[#This Row],[AF SALDO]] + tabItens[[#This Row],[Recentes]]</f>
        <v>0</v>
      </c>
      <c r="AX427" s="404">
        <v>17</v>
      </c>
      <c r="AY427" s="404">
        <v>4</v>
      </c>
      <c r="AZ427" s="404">
        <f>IF(ISBLANK(tabItens[[#This Row],[CÓDIGO]]),"",tabItens[[#This Row],[PontoMês]] * (AZ$2+tabItens[[#This Row],[PontoQtM]]))</f>
        <v>68</v>
      </c>
      <c r="BA427" s="403">
        <f>tabItens[[#This Row],[PontoPed]] - tabItens[[#This Row],[Saldo]] + (1/10)</f>
        <v>68.099999999999994</v>
      </c>
      <c r="BB427" s="403">
        <f xml:space="preserve"> tabItens[[#This Row],[PontoMês]] * BB$2 - tabItens[[#This Row],[QTDE ATUAL]] - (1/10)</f>
        <v>16.899999999999999</v>
      </c>
      <c r="BC427" s="335">
        <f>IF( tabItens[[#This Row],[PontoPed]]&gt;0, IF(tabItens[[#This Row],[PontoPed]]&lt;1, 1, IF( tabItens[[#This Row],[Saldo]]&gt;tabItens[[#This Row],[PontoPed]], 0, (tabItens[[#This Row],[PontoPed]]-tabItens[[#This Row],[Saldo]])/tabItens[[#This Row],[PontoPed]] ) ), 0 )</f>
        <v>1</v>
      </c>
      <c r="BD427" s="405">
        <f>ROUNDDOWN(IF( OR( AND(tabItens[[#This Row],[PontoPed]]&lt;tabItens[[#This Row],[Saldo]],tabItens[[#This Row],[Saldo]]&gt;0), tabItens[[#This Row],[PontoPed]]=0), 99, IF(AND(tabItens[[#This Row],[Saldo]]=0,tabItens[[#This Row],[PontoPed]]&gt;0), 0, (1-tabItens[[#This Row],[PctAb]])*10 ) ),0)</f>
        <v>0</v>
      </c>
      <c r="BE427" s="406">
        <f>MAX(ROUNDDOWN( IF(tabItens[[#This Row],[Abaixo]] &gt; 0,   tabItens[[#This Row],[Abaixo]] + (tabItens[[#This Row],[PontoMês]] * IF( OR( ISBLANK(tabItens[[#This Row],[ATA Nº/ANO]]), tabItens[[#This Row],[ATA Nº/ANO]] = ""),BE$2,BE$1)),0),0),0)</f>
        <v>119</v>
      </c>
      <c r="BF42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7" s="338">
        <f>SUMIF(Consumo!$C$3:$C$862,tabItens[[#This Row],[CÓDIGO]],Consumo!$E$3:$E$862)</f>
        <v>29</v>
      </c>
      <c r="BH427" s="339">
        <f>IF(AND(tabItens[[#This Row],[Pend]] &gt; 0,tabItens[[#This Row],[Consumo]] &lt;&gt; 0), tabItens[[#This Row],[Pend]] / tabItens[[#This Row],[Consumo]], 0 )</f>
        <v>0.15025906735751296</v>
      </c>
      <c r="BI427" s="338"/>
      <c r="BJ427" s="407"/>
      <c r="BK427" s="408" t="s">
        <v>2086</v>
      </c>
    </row>
    <row r="428" spans="1:63" x14ac:dyDescent="0.3">
      <c r="A428" s="375">
        <v>13218</v>
      </c>
      <c r="B428" s="376" t="s">
        <v>1030</v>
      </c>
      <c r="C428" s="377" t="s">
        <v>380</v>
      </c>
      <c r="D428" s="378">
        <v>1.3</v>
      </c>
      <c r="E428" s="305"/>
      <c r="F428" s="379"/>
      <c r="G428" s="379" t="s">
        <v>889</v>
      </c>
      <c r="H428" s="380">
        <v>204</v>
      </c>
      <c r="I428" s="307">
        <v>103003</v>
      </c>
      <c r="J428" s="308">
        <v>1.3</v>
      </c>
      <c r="K428" s="381">
        <v>1</v>
      </c>
      <c r="L428" s="382">
        <f>IF(tabItens[[#This Row],[Média]] &gt; 0, tabItens[[#This Row],[QTDE ATUAL]] / tabItens[[#This Row],[Média]],999.9)</f>
        <v>999.9</v>
      </c>
      <c r="M428" s="383">
        <v>0</v>
      </c>
      <c r="N428" s="384">
        <f>tabItens[[#This Row],[VALOR UNIT.]] * tabItens[[#This Row],[LC]]</f>
        <v>0</v>
      </c>
      <c r="O428" s="385" t="s">
        <v>2100</v>
      </c>
      <c r="P428" s="386"/>
      <c r="Q428" s="387"/>
      <c r="R428" s="312"/>
      <c r="S428" s="388"/>
      <c r="T428" s="389">
        <f>ROUNDDOWN(IFERROR(tabItens[[#This Row],[ATA DT.VALID.]] - $D$1,0) / 30,0)</f>
        <v>-1474</v>
      </c>
      <c r="U428" s="302" t="s">
        <v>996</v>
      </c>
      <c r="V428" s="318">
        <v>1</v>
      </c>
      <c r="W428" s="390" t="s">
        <v>2078</v>
      </c>
      <c r="X428" s="391">
        <v>83</v>
      </c>
      <c r="Y428" s="392">
        <v>2</v>
      </c>
      <c r="Z428" s="393"/>
      <c r="AA428" s="394"/>
      <c r="AB428" s="395"/>
      <c r="AC428" s="395"/>
      <c r="AD428" s="394"/>
      <c r="AE428" s="395"/>
      <c r="AF428" s="317"/>
      <c r="AG428" s="396" t="s">
        <v>2072</v>
      </c>
      <c r="AH428" s="397"/>
      <c r="AI428" s="317">
        <v>0</v>
      </c>
      <c r="AJ428" s="397">
        <v>44067</v>
      </c>
      <c r="AK428" s="326" t="s">
        <v>889</v>
      </c>
      <c r="AL428" s="326">
        <v>44922</v>
      </c>
      <c r="AM428" s="316"/>
      <c r="AN428" s="305"/>
      <c r="AO428" s="327" t="str">
        <f>_xlfn.IFNA(IF(VLOOKUP(tabItens[[#This Row],[CÓDIGO]],tabExcluirDoEstoque[#Data],1,FALSE),"sim",""),"")</f>
        <v/>
      </c>
      <c r="AP428" s="398" t="str">
        <f ca="1">IF(OR(ISBLANK(tabItens[[#This Row],[ATA DT.VALID.]]),tabItens[[#This Row],[ATA DT.VALID.]]="",tabItens[[#This Row],[ATA DT.VALID.]]=" "),"",IF(TYPE(tabItens[[#This Row],[ATA DT.VALID.]])=1,ROUNDUP((tabItens[[#This Row],[ATA DT.VALID.]]-TODAY())/7,0),""))</f>
        <v/>
      </c>
      <c r="AQ428" s="399">
        <v>0</v>
      </c>
      <c r="AR428" s="400" t="str">
        <f>IF(ISBLANK(tabItens[[#This Row],[CÓDIGO]]),"",IFERROR(VLOOKUP(tabItens[[#This Row],[CÓDIGO]],Consumo!$C$2:$AC$862,26,FALSE),0))</f>
        <v>04.2023</v>
      </c>
      <c r="AS428" s="401">
        <f>SUMIF(Consumo!$C$3:$C$862,tabItens[[#This Row],[CÓDIGO]],Consumo!$N$3:$N$862) + SUMIF(Consumo!$C$3:$C$862,tabItens[[#This Row],[CÓDIGO]],Consumo!$O$3:$O$862) + SUMIF(Consumo!$C$3:$C$862,tabItens[[#This Row],[CÓDIGO]],Consumo!$P$3:$P$862) + SUMIF(Consumo!$C$3:$C$862,tabItens[[#This Row],[CÓDIGO]],Consumo!$Q$3:$Q$862)</f>
        <v>0</v>
      </c>
      <c r="AT428" s="401">
        <f>SUMIF(Consumo!$C$3:$C$862,tabItens[[#This Row],[CÓDIGO]],Consumo!$Z$3:$Z$862)</f>
        <v>1</v>
      </c>
      <c r="AU428" s="402">
        <f>SUMIF(Consumo!$C$3:$C$862,tabItens[[#This Row],[CÓDIGO]],Consumo!$AA$3:$AA$862)</f>
        <v>1</v>
      </c>
      <c r="AV428" s="403">
        <f>SUMIF(Consumo!$C$3:$C$862,tabItens[[#This Row],[CÓDIGO]],Consumo!$Y$3:$Y$862)</f>
        <v>0</v>
      </c>
      <c r="AW428" s="380">
        <f>tabItens[[#This Row],[QTDE ATUAL]] + tabItens[[#This Row],[RC QTDE]] + tabItens[[#This Row],[AF SALDO]] + tabItens[[#This Row],[Recentes]]</f>
        <v>204</v>
      </c>
      <c r="AX428" s="404">
        <v>42</v>
      </c>
      <c r="AY428" s="404">
        <v>4</v>
      </c>
      <c r="AZ428" s="404">
        <f>IF(ISBLANK(tabItens[[#This Row],[CÓDIGO]]),"",tabItens[[#This Row],[PontoMês]] * (AZ$2+tabItens[[#This Row],[PontoQtM]]))</f>
        <v>168</v>
      </c>
      <c r="BA428" s="403">
        <f>tabItens[[#This Row],[PontoPed]] - tabItens[[#This Row],[Saldo]] + (1/10)</f>
        <v>-35.9</v>
      </c>
      <c r="BB428" s="403">
        <f xml:space="preserve"> tabItens[[#This Row],[PontoMês]] * BB$2 - tabItens[[#This Row],[QTDE ATUAL]] - (1/10)</f>
        <v>-162.1</v>
      </c>
      <c r="BC428" s="335">
        <f>IF( tabItens[[#This Row],[PontoPed]]&gt;0, IF(tabItens[[#This Row],[PontoPed]]&lt;1, 1, IF( tabItens[[#This Row],[Saldo]]&gt;tabItens[[#This Row],[PontoPed]], 0, (tabItens[[#This Row],[PontoPed]]-tabItens[[#This Row],[Saldo]])/tabItens[[#This Row],[PontoPed]] ) ), 0 )</f>
        <v>0</v>
      </c>
      <c r="BD428" s="405">
        <f>ROUNDDOWN(IF( OR( AND(tabItens[[#This Row],[PontoPed]]&lt;tabItens[[#This Row],[Saldo]],tabItens[[#This Row],[Saldo]]&gt;0), tabItens[[#This Row],[PontoPed]]=0), 99, IF(AND(tabItens[[#This Row],[Saldo]]=0,tabItens[[#This Row],[PontoPed]]&gt;0), 0, (1-tabItens[[#This Row],[PctAb]])*10 ) ),0)</f>
        <v>99</v>
      </c>
      <c r="BE428" s="406">
        <f>MAX(ROUNDDOWN( IF(tabItens[[#This Row],[Abaixo]] &gt; 0,   tabItens[[#This Row],[Abaixo]] + (tabItens[[#This Row],[PontoMês]] * IF( OR( ISBLANK(tabItens[[#This Row],[ATA Nº/ANO]]), tabItens[[#This Row],[ATA Nº/ANO]] = ""),BE$2,BE$1)),0),0),0)</f>
        <v>0</v>
      </c>
      <c r="BF42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8" s="338">
        <f>SUMIF(Consumo!$C$3:$C$862,tabItens[[#This Row],[CÓDIGO]],Consumo!$E$3:$E$862)</f>
        <v>0</v>
      </c>
      <c r="BH428" s="339">
        <f>IF(AND(tabItens[[#This Row],[Pend]] &gt; 0,tabItens[[#This Row],[Consumo]] &lt;&gt; 0), tabItens[[#This Row],[Pend]] / tabItens[[#This Row],[Consumo]], 0 )</f>
        <v>0</v>
      </c>
      <c r="BI428" s="338"/>
      <c r="BJ428" s="407"/>
      <c r="BK428" s="408" t="s">
        <v>2086</v>
      </c>
    </row>
    <row r="429" spans="1:63" x14ac:dyDescent="0.3">
      <c r="A429" s="375">
        <v>17662</v>
      </c>
      <c r="B429" s="376" t="s">
        <v>1139</v>
      </c>
      <c r="C429" s="377" t="s">
        <v>380</v>
      </c>
      <c r="D429" s="378">
        <v>0.99</v>
      </c>
      <c r="E429" s="305"/>
      <c r="F429" s="379"/>
      <c r="G429" s="379" t="s">
        <v>889</v>
      </c>
      <c r="H429" s="380">
        <v>1410</v>
      </c>
      <c r="I429" s="307">
        <v>103003</v>
      </c>
      <c r="J429" s="308">
        <v>0.99</v>
      </c>
      <c r="K429" s="381">
        <v>10</v>
      </c>
      <c r="L429" s="382">
        <f>IF(tabItens[[#This Row],[Média]] &gt; 0, tabItens[[#This Row],[QTDE ATUAL]] / tabItens[[#This Row],[Média]],999.9)</f>
        <v>2820</v>
      </c>
      <c r="M429" s="383">
        <v>0</v>
      </c>
      <c r="N429" s="384">
        <f>tabItens[[#This Row],[VALOR UNIT.]] * tabItens[[#This Row],[LC]]</f>
        <v>0</v>
      </c>
      <c r="O429" s="385" t="s">
        <v>2100</v>
      </c>
      <c r="P429" s="386"/>
      <c r="Q429" s="387"/>
      <c r="R429" s="312"/>
      <c r="S429" s="388"/>
      <c r="T429" s="389">
        <f>ROUNDDOWN(IFERROR(tabItens[[#This Row],[ATA DT.VALID.]] - $D$1,0) / 30,0)</f>
        <v>-1474</v>
      </c>
      <c r="U429" s="302" t="s">
        <v>996</v>
      </c>
      <c r="V429" s="318">
        <v>1</v>
      </c>
      <c r="W429" s="390" t="s">
        <v>2078</v>
      </c>
      <c r="X429" s="391">
        <v>83</v>
      </c>
      <c r="Y429" s="392">
        <v>2</v>
      </c>
      <c r="Z429" s="393"/>
      <c r="AA429" s="394"/>
      <c r="AB429" s="395"/>
      <c r="AC429" s="395"/>
      <c r="AD429" s="394"/>
      <c r="AE429" s="395"/>
      <c r="AF429" s="317"/>
      <c r="AG429" s="396" t="s">
        <v>2072</v>
      </c>
      <c r="AH429" s="397"/>
      <c r="AI429" s="317">
        <v>4</v>
      </c>
      <c r="AJ429" s="397">
        <v>43826</v>
      </c>
      <c r="AK429" s="326" t="s">
        <v>889</v>
      </c>
      <c r="AL429" s="326">
        <v>44349</v>
      </c>
      <c r="AM429" s="316"/>
      <c r="AN429" s="305"/>
      <c r="AO429" s="327" t="str">
        <f>_xlfn.IFNA(IF(VLOOKUP(tabItens[[#This Row],[CÓDIGO]],tabExcluirDoEstoque[#Data],1,FALSE),"sim",""),"")</f>
        <v/>
      </c>
      <c r="AP429" s="398" t="str">
        <f ca="1">IF(OR(ISBLANK(tabItens[[#This Row],[ATA DT.VALID.]]),tabItens[[#This Row],[ATA DT.VALID.]]="",tabItens[[#This Row],[ATA DT.VALID.]]=" "),"",IF(TYPE(tabItens[[#This Row],[ATA DT.VALID.]])=1,ROUNDUP((tabItens[[#This Row],[ATA DT.VALID.]]-TODAY())/7,0),""))</f>
        <v/>
      </c>
      <c r="AQ429" s="399">
        <v>0</v>
      </c>
      <c r="AR429" s="400" t="str">
        <f>IF(ISBLANK(tabItens[[#This Row],[CÓDIGO]]),"",IFERROR(VLOOKUP(tabItens[[#This Row],[CÓDIGO]],Consumo!$C$2:$AC$862,26,FALSE),0))</f>
        <v>11.2022</v>
      </c>
      <c r="AS429" s="401">
        <f>SUMIF(Consumo!$C$3:$C$862,tabItens[[#This Row],[CÓDIGO]],Consumo!$N$3:$N$862) + SUMIF(Consumo!$C$3:$C$862,tabItens[[#This Row],[CÓDIGO]],Consumo!$O$3:$O$862) + SUMIF(Consumo!$C$3:$C$862,tabItens[[#This Row],[CÓDIGO]],Consumo!$P$3:$P$862) + SUMIF(Consumo!$C$3:$C$862,tabItens[[#This Row],[CÓDIGO]],Consumo!$Q$3:$Q$862)</f>
        <v>0</v>
      </c>
      <c r="AT429" s="401">
        <f>SUMIF(Consumo!$C$3:$C$862,tabItens[[#This Row],[CÓDIGO]],Consumo!$Z$3:$Z$862)</f>
        <v>10</v>
      </c>
      <c r="AU429" s="402">
        <f>SUMIF(Consumo!$C$3:$C$862,tabItens[[#This Row],[CÓDIGO]],Consumo!$AA$3:$AA$862)</f>
        <v>10</v>
      </c>
      <c r="AV429" s="403">
        <f>SUMIF(Consumo!$C$3:$C$862,tabItens[[#This Row],[CÓDIGO]],Consumo!$Y$3:$Y$862)</f>
        <v>0.5</v>
      </c>
      <c r="AW429" s="380">
        <f>tabItens[[#This Row],[QTDE ATUAL]] + tabItens[[#This Row],[RC QTDE]] + tabItens[[#This Row],[AF SALDO]] + tabItens[[#This Row],[Recentes]]</f>
        <v>1410</v>
      </c>
      <c r="AX429" s="404">
        <v>24</v>
      </c>
      <c r="AY429" s="404">
        <v>4</v>
      </c>
      <c r="AZ429" s="404">
        <f>IF(ISBLANK(tabItens[[#This Row],[CÓDIGO]]),"",tabItens[[#This Row],[PontoMês]] * (AZ$2+tabItens[[#This Row],[PontoQtM]]))</f>
        <v>96</v>
      </c>
      <c r="BA429" s="403">
        <f>tabItens[[#This Row],[PontoPed]] - tabItens[[#This Row],[Saldo]] + (1/10)</f>
        <v>-1313.9</v>
      </c>
      <c r="BB429" s="403">
        <f xml:space="preserve"> tabItens[[#This Row],[PontoMês]] * BB$2 - tabItens[[#This Row],[QTDE ATUAL]] - (1/10)</f>
        <v>-1386.1</v>
      </c>
      <c r="BC429" s="335">
        <f>IF( tabItens[[#This Row],[PontoPed]]&gt;0, IF(tabItens[[#This Row],[PontoPed]]&lt;1, 1, IF( tabItens[[#This Row],[Saldo]]&gt;tabItens[[#This Row],[PontoPed]], 0, (tabItens[[#This Row],[PontoPed]]-tabItens[[#This Row],[Saldo]])/tabItens[[#This Row],[PontoPed]] ) ), 0 )</f>
        <v>0</v>
      </c>
      <c r="BD429" s="405">
        <f>ROUNDDOWN(IF( OR( AND(tabItens[[#This Row],[PontoPed]]&lt;tabItens[[#This Row],[Saldo]],tabItens[[#This Row],[Saldo]]&gt;0), tabItens[[#This Row],[PontoPed]]=0), 99, IF(AND(tabItens[[#This Row],[Saldo]]=0,tabItens[[#This Row],[PontoPed]]&gt;0), 0, (1-tabItens[[#This Row],[PctAb]])*10 ) ),0)</f>
        <v>99</v>
      </c>
      <c r="BE429" s="406">
        <f>MAX(ROUNDDOWN( IF(tabItens[[#This Row],[Abaixo]] &gt; 0,   tabItens[[#This Row],[Abaixo]] + (tabItens[[#This Row],[PontoMês]] * IF( OR( ISBLANK(tabItens[[#This Row],[ATA Nº/ANO]]), tabItens[[#This Row],[ATA Nº/ANO]] = ""),BE$2,BE$1)),0),0),0)</f>
        <v>0</v>
      </c>
      <c r="BF42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9" s="338">
        <f>SUMIF(Consumo!$C$3:$C$862,tabItens[[#This Row],[CÓDIGO]],Consumo!$E$3:$E$862)</f>
        <v>0</v>
      </c>
      <c r="BH429" s="339">
        <f>IF(AND(tabItens[[#This Row],[Pend]] &gt; 0,tabItens[[#This Row],[Consumo]] &lt;&gt; 0), tabItens[[#This Row],[Pend]] / tabItens[[#This Row],[Consumo]], 0 )</f>
        <v>0</v>
      </c>
      <c r="BI429" s="338"/>
      <c r="BJ429" s="407"/>
      <c r="BK429" s="408" t="s">
        <v>2086</v>
      </c>
    </row>
    <row r="430" spans="1:63" x14ac:dyDescent="0.3">
      <c r="A430" s="375">
        <v>17696</v>
      </c>
      <c r="B430" s="376" t="s">
        <v>1140</v>
      </c>
      <c r="C430" s="377" t="s">
        <v>380</v>
      </c>
      <c r="D430" s="378">
        <v>2.4</v>
      </c>
      <c r="E430" s="305"/>
      <c r="F430" s="379"/>
      <c r="G430" s="379" t="s">
        <v>889</v>
      </c>
      <c r="H430" s="380">
        <v>0</v>
      </c>
      <c r="I430" s="307">
        <v>103003</v>
      </c>
      <c r="J430" s="308">
        <v>2.4</v>
      </c>
      <c r="K430" s="381">
        <v>29</v>
      </c>
      <c r="L430" s="382">
        <f>IF(tabItens[[#This Row],[Média]] &gt; 0, tabItens[[#This Row],[QTDE ATUAL]] / tabItens[[#This Row],[Média]],999.9)</f>
        <v>0</v>
      </c>
      <c r="M430" s="383">
        <v>0</v>
      </c>
      <c r="N430" s="384">
        <f>tabItens[[#This Row],[VALOR UNIT.]] * tabItens[[#This Row],[LC]]</f>
        <v>0</v>
      </c>
      <c r="O430" s="385" t="s">
        <v>2100</v>
      </c>
      <c r="P430" s="386"/>
      <c r="Q430" s="387"/>
      <c r="R430" s="312"/>
      <c r="S430" s="388"/>
      <c r="T430" s="389">
        <f>ROUNDDOWN(IFERROR(tabItens[[#This Row],[ATA DT.VALID.]] - $D$1,0) / 30,0)</f>
        <v>-1474</v>
      </c>
      <c r="U430" s="302" t="s">
        <v>996</v>
      </c>
      <c r="V430" s="318">
        <v>1</v>
      </c>
      <c r="W430" s="390" t="s">
        <v>2078</v>
      </c>
      <c r="X430" s="391">
        <v>83</v>
      </c>
      <c r="Y430" s="392">
        <v>2</v>
      </c>
      <c r="Z430" s="393"/>
      <c r="AA430" s="394"/>
      <c r="AB430" s="395"/>
      <c r="AC430" s="395"/>
      <c r="AD430" s="394"/>
      <c r="AE430" s="395"/>
      <c r="AF430" s="317"/>
      <c r="AG430" s="396" t="s">
        <v>2072</v>
      </c>
      <c r="AH430" s="397"/>
      <c r="AI430" s="317">
        <v>10</v>
      </c>
      <c r="AJ430" s="397">
        <v>44743</v>
      </c>
      <c r="AK430" s="326" t="s">
        <v>889</v>
      </c>
      <c r="AL430" s="326">
        <v>44922</v>
      </c>
      <c r="AM430" s="316"/>
      <c r="AN430" s="305"/>
      <c r="AO430" s="327" t="str">
        <f>_xlfn.IFNA(IF(VLOOKUP(tabItens[[#This Row],[CÓDIGO]],tabExcluirDoEstoque[#Data],1,FALSE),"sim",""),"")</f>
        <v/>
      </c>
      <c r="AP430" s="398" t="str">
        <f ca="1">IF(OR(ISBLANK(tabItens[[#This Row],[ATA DT.VALID.]]),tabItens[[#This Row],[ATA DT.VALID.]]="",tabItens[[#This Row],[ATA DT.VALID.]]=" "),"",IF(TYPE(tabItens[[#This Row],[ATA DT.VALID.]])=1,ROUNDUP((tabItens[[#This Row],[ATA DT.VALID.]]-TODAY())/7,0),""))</f>
        <v/>
      </c>
      <c r="AQ430" s="399">
        <v>0</v>
      </c>
      <c r="AR430" s="400" t="str">
        <f>IF(ISBLANK(tabItens[[#This Row],[CÓDIGO]]),"",IFERROR(VLOOKUP(tabItens[[#This Row],[CÓDIGO]],Consumo!$C$2:$AC$862,26,FALSE),0))</f>
        <v>10.2022</v>
      </c>
      <c r="AS430" s="401">
        <f>SUMIF(Consumo!$C$3:$C$862,tabItens[[#This Row],[CÓDIGO]],Consumo!$N$3:$N$862) + SUMIF(Consumo!$C$3:$C$862,tabItens[[#This Row],[CÓDIGO]],Consumo!$O$3:$O$862) + SUMIF(Consumo!$C$3:$C$862,tabItens[[#This Row],[CÓDIGO]],Consumo!$P$3:$P$862) + SUMIF(Consumo!$C$3:$C$862,tabItens[[#This Row],[CÓDIGO]],Consumo!$Q$3:$Q$862)</f>
        <v>0</v>
      </c>
      <c r="AT430" s="401">
        <f>SUMIF(Consumo!$C$3:$C$862,tabItens[[#This Row],[CÓDIGO]],Consumo!$Z$3:$Z$862)</f>
        <v>56</v>
      </c>
      <c r="AU430" s="402">
        <f>SUMIF(Consumo!$C$3:$C$862,tabItens[[#This Row],[CÓDIGO]],Consumo!$AA$3:$AA$862)</f>
        <v>29</v>
      </c>
      <c r="AV430" s="403">
        <f>SUMIF(Consumo!$C$3:$C$862,tabItens[[#This Row],[CÓDIGO]],Consumo!$Y$3:$Y$862)</f>
        <v>4.333333333333333</v>
      </c>
      <c r="AW430" s="380">
        <f>tabItens[[#This Row],[QTDE ATUAL]] + tabItens[[#This Row],[RC QTDE]] + tabItens[[#This Row],[AF SALDO]] + tabItens[[#This Row],[Recentes]]</f>
        <v>0</v>
      </c>
      <c r="AX430" s="404">
        <v>17</v>
      </c>
      <c r="AY430" s="404">
        <v>4</v>
      </c>
      <c r="AZ430" s="404">
        <f>IF(ISBLANK(tabItens[[#This Row],[CÓDIGO]]),"",tabItens[[#This Row],[PontoMês]] * (AZ$2+tabItens[[#This Row],[PontoQtM]]))</f>
        <v>68</v>
      </c>
      <c r="BA430" s="403">
        <f>tabItens[[#This Row],[PontoPed]] - tabItens[[#This Row],[Saldo]] + (1/10)</f>
        <v>68.099999999999994</v>
      </c>
      <c r="BB430" s="403">
        <f xml:space="preserve"> tabItens[[#This Row],[PontoMês]] * BB$2 - tabItens[[#This Row],[QTDE ATUAL]] - (1/10)</f>
        <v>16.899999999999999</v>
      </c>
      <c r="BC430" s="335">
        <f>IF( tabItens[[#This Row],[PontoPed]]&gt;0, IF(tabItens[[#This Row],[PontoPed]]&lt;1, 1, IF( tabItens[[#This Row],[Saldo]]&gt;tabItens[[#This Row],[PontoPed]], 0, (tabItens[[#This Row],[PontoPed]]-tabItens[[#This Row],[Saldo]])/tabItens[[#This Row],[PontoPed]] ) ), 0 )</f>
        <v>1</v>
      </c>
      <c r="BD430" s="405">
        <f>ROUNDDOWN(IF( OR( AND(tabItens[[#This Row],[PontoPed]]&lt;tabItens[[#This Row],[Saldo]],tabItens[[#This Row],[Saldo]]&gt;0), tabItens[[#This Row],[PontoPed]]=0), 99, IF(AND(tabItens[[#This Row],[Saldo]]=0,tabItens[[#This Row],[PontoPed]]&gt;0), 0, (1-tabItens[[#This Row],[PctAb]])*10 ) ),0)</f>
        <v>0</v>
      </c>
      <c r="BE430" s="406">
        <f>MAX(ROUNDDOWN( IF(tabItens[[#This Row],[Abaixo]] &gt; 0,   tabItens[[#This Row],[Abaixo]] + (tabItens[[#This Row],[PontoMês]] * IF( OR( ISBLANK(tabItens[[#This Row],[ATA Nº/ANO]]), tabItens[[#This Row],[ATA Nº/ANO]] = ""),BE$2,BE$1)),0),0),0)</f>
        <v>119</v>
      </c>
      <c r="BF43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0" s="338">
        <f>SUMIF(Consumo!$C$3:$C$862,tabItens[[#This Row],[CÓDIGO]],Consumo!$E$3:$E$862)</f>
        <v>27</v>
      </c>
      <c r="BH430" s="339">
        <f>IF(AND(tabItens[[#This Row],[Pend]] &gt; 0,tabItens[[#This Row],[Consumo]] &lt;&gt; 0), tabItens[[#This Row],[Pend]] / tabItens[[#This Row],[Consumo]], 0 )</f>
        <v>0.48214285714285715</v>
      </c>
      <c r="BI430" s="338"/>
      <c r="BJ430" s="407"/>
      <c r="BK430" s="408" t="s">
        <v>2086</v>
      </c>
    </row>
    <row r="431" spans="1:63" x14ac:dyDescent="0.3">
      <c r="A431" s="375">
        <v>17698</v>
      </c>
      <c r="B431" s="376" t="s">
        <v>1141</v>
      </c>
      <c r="C431" s="377" t="s">
        <v>380</v>
      </c>
      <c r="D431" s="378">
        <v>2.5</v>
      </c>
      <c r="E431" s="305"/>
      <c r="F431" s="379"/>
      <c r="G431" s="379" t="s">
        <v>889</v>
      </c>
      <c r="H431" s="380">
        <v>546</v>
      </c>
      <c r="I431" s="307">
        <v>103003</v>
      </c>
      <c r="J431" s="308">
        <v>2.5</v>
      </c>
      <c r="K431" s="381">
        <v>301</v>
      </c>
      <c r="L431" s="382">
        <f>IF(tabItens[[#This Row],[Média]] &gt; 0, tabItens[[#This Row],[QTDE ATUAL]] / tabItens[[#This Row],[Média]],999.9)</f>
        <v>19.616766467065869</v>
      </c>
      <c r="M431" s="383">
        <v>0</v>
      </c>
      <c r="N431" s="384">
        <f>tabItens[[#This Row],[VALOR UNIT.]] * tabItens[[#This Row],[LC]]</f>
        <v>0</v>
      </c>
      <c r="O431" s="385" t="s">
        <v>2100</v>
      </c>
      <c r="P431" s="386"/>
      <c r="Q431" s="387"/>
      <c r="R431" s="312"/>
      <c r="S431" s="388"/>
      <c r="T431" s="389">
        <f>ROUNDDOWN(IFERROR(tabItens[[#This Row],[ATA DT.VALID.]] - $D$1,0) / 30,0)</f>
        <v>-1474</v>
      </c>
      <c r="U431" s="302" t="s">
        <v>996</v>
      </c>
      <c r="V431" s="318">
        <v>1</v>
      </c>
      <c r="W431" s="390" t="s">
        <v>2078</v>
      </c>
      <c r="X431" s="391">
        <v>83</v>
      </c>
      <c r="Y431" s="392">
        <v>2</v>
      </c>
      <c r="Z431" s="393"/>
      <c r="AA431" s="394"/>
      <c r="AB431" s="395"/>
      <c r="AC431" s="395"/>
      <c r="AD431" s="394"/>
      <c r="AE431" s="395"/>
      <c r="AF431" s="317"/>
      <c r="AG431" s="396" t="s">
        <v>2072</v>
      </c>
      <c r="AH431" s="397"/>
      <c r="AI431" s="317">
        <v>102</v>
      </c>
      <c r="AJ431" s="397">
        <v>45201</v>
      </c>
      <c r="AK431" s="326" t="s">
        <v>889</v>
      </c>
      <c r="AL431" s="326">
        <v>45189</v>
      </c>
      <c r="AM431" s="316"/>
      <c r="AN431" s="305"/>
      <c r="AO431" s="327" t="str">
        <f>_xlfn.IFNA(IF(VLOOKUP(tabItens[[#This Row],[CÓDIGO]],tabExcluirDoEstoque[#Data],1,FALSE),"sim",""),"")</f>
        <v/>
      </c>
      <c r="AP431" s="398" t="str">
        <f ca="1">IF(OR(ISBLANK(tabItens[[#This Row],[ATA DT.VALID.]]),tabItens[[#This Row],[ATA DT.VALID.]]="",tabItens[[#This Row],[ATA DT.VALID.]]=" "),"",IF(TYPE(tabItens[[#This Row],[ATA DT.VALID.]])=1,ROUNDUP((tabItens[[#This Row],[ATA DT.VALID.]]-TODAY())/7,0),""))</f>
        <v/>
      </c>
      <c r="AQ431" s="399">
        <v>0</v>
      </c>
      <c r="AR431" s="400" t="str">
        <f>IF(ISBLANK(tabItens[[#This Row],[CÓDIGO]]),"",IFERROR(VLOOKUP(tabItens[[#This Row],[CÓDIGO]],Consumo!$C$2:$AC$862,26,FALSE),0))</f>
        <v>07.2023</v>
      </c>
      <c r="AS431" s="401">
        <f>SUMIF(Consumo!$C$3:$C$862,tabItens[[#This Row],[CÓDIGO]],Consumo!$N$3:$N$862) + SUMIF(Consumo!$C$3:$C$862,tabItens[[#This Row],[CÓDIGO]],Consumo!$O$3:$O$862) + SUMIF(Consumo!$C$3:$C$862,tabItens[[#This Row],[CÓDIGO]],Consumo!$P$3:$P$862) + SUMIF(Consumo!$C$3:$C$862,tabItens[[#This Row],[CÓDIGO]],Consumo!$Q$3:$Q$862)</f>
        <v>83</v>
      </c>
      <c r="AT431" s="401">
        <f>SUMIF(Consumo!$C$3:$C$862,tabItens[[#This Row],[CÓDIGO]],Consumo!$Z$3:$Z$862)</f>
        <v>334</v>
      </c>
      <c r="AU431" s="402">
        <f>SUMIF(Consumo!$C$3:$C$862,tabItens[[#This Row],[CÓDIGO]],Consumo!$AA$3:$AA$862)</f>
        <v>78</v>
      </c>
      <c r="AV431" s="403">
        <f>SUMIF(Consumo!$C$3:$C$862,tabItens[[#This Row],[CÓDIGO]],Consumo!$Y$3:$Y$862)</f>
        <v>27.833333333333332</v>
      </c>
      <c r="AW431" s="380">
        <f>tabItens[[#This Row],[QTDE ATUAL]] + tabItens[[#This Row],[RC QTDE]] + tabItens[[#This Row],[AF SALDO]] + tabItens[[#This Row],[Recentes]]</f>
        <v>546</v>
      </c>
      <c r="AX431" s="404">
        <v>44</v>
      </c>
      <c r="AY431" s="404">
        <v>4</v>
      </c>
      <c r="AZ431" s="404">
        <f>IF(ISBLANK(tabItens[[#This Row],[CÓDIGO]]),"",tabItens[[#This Row],[PontoMês]] * (AZ$2+tabItens[[#This Row],[PontoQtM]]))</f>
        <v>176</v>
      </c>
      <c r="BA431" s="403">
        <f>tabItens[[#This Row],[PontoPed]] - tabItens[[#This Row],[Saldo]] + (1/10)</f>
        <v>-369.9</v>
      </c>
      <c r="BB431" s="403">
        <f xml:space="preserve"> tabItens[[#This Row],[PontoMês]] * BB$2 - tabItens[[#This Row],[QTDE ATUAL]] - (1/10)</f>
        <v>-502.1</v>
      </c>
      <c r="BC431" s="335">
        <f>IF( tabItens[[#This Row],[PontoPed]]&gt;0, IF(tabItens[[#This Row],[PontoPed]]&lt;1, 1, IF( tabItens[[#This Row],[Saldo]]&gt;tabItens[[#This Row],[PontoPed]], 0, (tabItens[[#This Row],[PontoPed]]-tabItens[[#This Row],[Saldo]])/tabItens[[#This Row],[PontoPed]] ) ), 0 )</f>
        <v>0</v>
      </c>
      <c r="BD431" s="405">
        <f>ROUNDDOWN(IF( OR( AND(tabItens[[#This Row],[PontoPed]]&lt;tabItens[[#This Row],[Saldo]],tabItens[[#This Row],[Saldo]]&gt;0), tabItens[[#This Row],[PontoPed]]=0), 99, IF(AND(tabItens[[#This Row],[Saldo]]=0,tabItens[[#This Row],[PontoPed]]&gt;0), 0, (1-tabItens[[#This Row],[PctAb]])*10 ) ),0)</f>
        <v>99</v>
      </c>
      <c r="BE431" s="406">
        <f>MAX(ROUNDDOWN( IF(tabItens[[#This Row],[Abaixo]] &gt; 0,   tabItens[[#This Row],[Abaixo]] + (tabItens[[#This Row],[PontoMês]] * IF( OR( ISBLANK(tabItens[[#This Row],[ATA Nº/ANO]]), tabItens[[#This Row],[ATA Nº/ANO]] = ""),BE$2,BE$1)),0),0),0)</f>
        <v>0</v>
      </c>
      <c r="BF43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1" s="338">
        <f>SUMIF(Consumo!$C$3:$C$862,tabItens[[#This Row],[CÓDIGO]],Consumo!$E$3:$E$862)</f>
        <v>30</v>
      </c>
      <c r="BH431" s="339">
        <f>IF(AND(tabItens[[#This Row],[Pend]] &gt; 0,tabItens[[#This Row],[Consumo]] &lt;&gt; 0), tabItens[[#This Row],[Pend]] / tabItens[[#This Row],[Consumo]], 0 )</f>
        <v>8.9820359281437126E-2</v>
      </c>
      <c r="BI431" s="338"/>
      <c r="BJ431" s="407"/>
      <c r="BK431" s="408" t="s">
        <v>2086</v>
      </c>
    </row>
    <row r="432" spans="1:63" x14ac:dyDescent="0.3">
      <c r="A432" s="375">
        <v>35550</v>
      </c>
      <c r="B432" s="376" t="s">
        <v>1260</v>
      </c>
      <c r="C432" s="377" t="s">
        <v>380</v>
      </c>
      <c r="D432" s="378">
        <v>0.4</v>
      </c>
      <c r="E432" s="305"/>
      <c r="F432" s="379"/>
      <c r="G432" s="379" t="s">
        <v>889</v>
      </c>
      <c r="H432" s="380">
        <v>39</v>
      </c>
      <c r="I432" s="307">
        <v>103003</v>
      </c>
      <c r="J432" s="308">
        <v>0.4</v>
      </c>
      <c r="K432" s="381">
        <v>76</v>
      </c>
      <c r="L432" s="382">
        <f>IF(tabItens[[#This Row],[Média]] &gt; 0, tabItens[[#This Row],[QTDE ATUAL]] / tabItens[[#This Row],[Média]],999.9)</f>
        <v>8.6666666666666661</v>
      </c>
      <c r="M432" s="383">
        <v>0</v>
      </c>
      <c r="N432" s="384">
        <f>tabItens[[#This Row],[VALOR UNIT.]] * tabItens[[#This Row],[LC]]</f>
        <v>0</v>
      </c>
      <c r="O432" s="385" t="s">
        <v>2100</v>
      </c>
      <c r="P432" s="386"/>
      <c r="Q432" s="387"/>
      <c r="R432" s="312"/>
      <c r="S432" s="388"/>
      <c r="T432" s="389">
        <f>ROUNDDOWN(IFERROR(tabItens[[#This Row],[ATA DT.VALID.]] - $D$1,0) / 30,0)</f>
        <v>-1474</v>
      </c>
      <c r="U432" s="302" t="s">
        <v>996</v>
      </c>
      <c r="V432" s="318">
        <v>1</v>
      </c>
      <c r="W432" s="390" t="s">
        <v>2078</v>
      </c>
      <c r="X432" s="391">
        <v>83</v>
      </c>
      <c r="Y432" s="392">
        <v>2</v>
      </c>
      <c r="Z432" s="393"/>
      <c r="AA432" s="394"/>
      <c r="AB432" s="395"/>
      <c r="AC432" s="395"/>
      <c r="AD432" s="394"/>
      <c r="AE432" s="395"/>
      <c r="AF432" s="317"/>
      <c r="AG432" s="396" t="s">
        <v>2072</v>
      </c>
      <c r="AH432" s="397"/>
      <c r="AI432" s="317">
        <v>26</v>
      </c>
      <c r="AJ432" s="397">
        <v>43257</v>
      </c>
      <c r="AK432" s="326" t="s">
        <v>889</v>
      </c>
      <c r="AL432" s="326">
        <v>43217</v>
      </c>
      <c r="AM432" s="316"/>
      <c r="AN432" s="305"/>
      <c r="AO432" s="327" t="str">
        <f>_xlfn.IFNA(IF(VLOOKUP(tabItens[[#This Row],[CÓDIGO]],tabExcluirDoEstoque[#Data],1,FALSE),"sim",""),"")</f>
        <v/>
      </c>
      <c r="AP432" s="398" t="str">
        <f ca="1">IF(OR(ISBLANK(tabItens[[#This Row],[ATA DT.VALID.]]),tabItens[[#This Row],[ATA DT.VALID.]]="",tabItens[[#This Row],[ATA DT.VALID.]]=" "),"",IF(TYPE(tabItens[[#This Row],[ATA DT.VALID.]])=1,ROUNDUP((tabItens[[#This Row],[ATA DT.VALID.]]-TODAY())/7,0),""))</f>
        <v/>
      </c>
      <c r="AQ432" s="399">
        <v>0</v>
      </c>
      <c r="AR432" s="400" t="str">
        <f>IF(ISBLANK(tabItens[[#This Row],[CÓDIGO]]),"",IFERROR(VLOOKUP(tabItens[[#This Row],[CÓDIGO]],Consumo!$C$2:$AC$862,26,FALSE),0))</f>
        <v>04.2023</v>
      </c>
      <c r="AS432" s="401">
        <f>SUMIF(Consumo!$C$3:$C$862,tabItens[[#This Row],[CÓDIGO]],Consumo!$N$3:$N$862) + SUMIF(Consumo!$C$3:$C$862,tabItens[[#This Row],[CÓDIGO]],Consumo!$O$3:$O$862) + SUMIF(Consumo!$C$3:$C$862,tabItens[[#This Row],[CÓDIGO]],Consumo!$P$3:$P$862) + SUMIF(Consumo!$C$3:$C$862,tabItens[[#This Row],[CÓDIGO]],Consumo!$Q$3:$Q$862)</f>
        <v>0</v>
      </c>
      <c r="AT432" s="401">
        <f>SUMIF(Consumo!$C$3:$C$862,tabItens[[#This Row],[CÓDIGO]],Consumo!$Z$3:$Z$862)</f>
        <v>76</v>
      </c>
      <c r="AU432" s="402">
        <f>SUMIF(Consumo!$C$3:$C$862,tabItens[[#This Row],[CÓDIGO]],Consumo!$AA$3:$AA$862)</f>
        <v>65</v>
      </c>
      <c r="AV432" s="403">
        <f>SUMIF(Consumo!$C$3:$C$862,tabItens[[#This Row],[CÓDIGO]],Consumo!$Y$3:$Y$862)</f>
        <v>4.5</v>
      </c>
      <c r="AW432" s="380">
        <f>tabItens[[#This Row],[QTDE ATUAL]] + tabItens[[#This Row],[RC QTDE]] + tabItens[[#This Row],[AF SALDO]] + tabItens[[#This Row],[Recentes]]</f>
        <v>39</v>
      </c>
      <c r="AX432" s="404">
        <v>25</v>
      </c>
      <c r="AY432" s="404">
        <v>4</v>
      </c>
      <c r="AZ432" s="404">
        <f>IF(ISBLANK(tabItens[[#This Row],[CÓDIGO]]),"",tabItens[[#This Row],[PontoMês]] * (AZ$2+tabItens[[#This Row],[PontoQtM]]))</f>
        <v>100</v>
      </c>
      <c r="BA432" s="403">
        <f>tabItens[[#This Row],[PontoPed]] - tabItens[[#This Row],[Saldo]] + (1/10)</f>
        <v>61.1</v>
      </c>
      <c r="BB432" s="403">
        <f xml:space="preserve"> tabItens[[#This Row],[PontoMês]] * BB$2 - tabItens[[#This Row],[QTDE ATUAL]] - (1/10)</f>
        <v>-14.1</v>
      </c>
      <c r="BC432" s="335">
        <f>IF( tabItens[[#This Row],[PontoPed]]&gt;0, IF(tabItens[[#This Row],[PontoPed]]&lt;1, 1, IF( tabItens[[#This Row],[Saldo]]&gt;tabItens[[#This Row],[PontoPed]], 0, (tabItens[[#This Row],[PontoPed]]-tabItens[[#This Row],[Saldo]])/tabItens[[#This Row],[PontoPed]] ) ), 0 )</f>
        <v>0.61</v>
      </c>
      <c r="BD432" s="405">
        <f>ROUNDDOWN(IF( OR( AND(tabItens[[#This Row],[PontoPed]]&lt;tabItens[[#This Row],[Saldo]],tabItens[[#This Row],[Saldo]]&gt;0), tabItens[[#This Row],[PontoPed]]=0), 99, IF(AND(tabItens[[#This Row],[Saldo]]=0,tabItens[[#This Row],[PontoPed]]&gt;0), 0, (1-tabItens[[#This Row],[PctAb]])*10 ) ),0)</f>
        <v>3</v>
      </c>
      <c r="BE432" s="406">
        <f>MAX(ROUNDDOWN( IF(tabItens[[#This Row],[Abaixo]] &gt; 0,   tabItens[[#This Row],[Abaixo]] + (tabItens[[#This Row],[PontoMês]] * IF( OR( ISBLANK(tabItens[[#This Row],[ATA Nº/ANO]]), tabItens[[#This Row],[ATA Nº/ANO]] = ""),BE$2,BE$1)),0),0),0)</f>
        <v>136</v>
      </c>
      <c r="BF43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2" s="338">
        <f>SUMIF(Consumo!$C$3:$C$862,tabItens[[#This Row],[CÓDIGO]],Consumo!$E$3:$E$862)</f>
        <v>0</v>
      </c>
      <c r="BH432" s="339">
        <f>IF(AND(tabItens[[#This Row],[Pend]] &gt; 0,tabItens[[#This Row],[Consumo]] &lt;&gt; 0), tabItens[[#This Row],[Pend]] / tabItens[[#This Row],[Consumo]], 0 )</f>
        <v>0</v>
      </c>
      <c r="BI432" s="338"/>
      <c r="BJ432" s="407"/>
      <c r="BK432" s="408" t="s">
        <v>2086</v>
      </c>
    </row>
    <row r="433" spans="1:63" x14ac:dyDescent="0.3">
      <c r="A433" s="375">
        <v>35554</v>
      </c>
      <c r="B433" s="376" t="s">
        <v>1261</v>
      </c>
      <c r="C433" s="377" t="s">
        <v>380</v>
      </c>
      <c r="D433" s="378">
        <v>1.01</v>
      </c>
      <c r="E433" s="305"/>
      <c r="F433" s="379"/>
      <c r="G433" s="379" t="s">
        <v>889</v>
      </c>
      <c r="H433" s="380">
        <v>20</v>
      </c>
      <c r="I433" s="307">
        <v>103003</v>
      </c>
      <c r="J433" s="308">
        <v>1.01</v>
      </c>
      <c r="K433" s="381">
        <v>38</v>
      </c>
      <c r="L433" s="382">
        <f>IF(tabItens[[#This Row],[Média]] &gt; 0, tabItens[[#This Row],[QTDE ATUAL]] / tabItens[[#This Row],[Média]],999.9)</f>
        <v>3.2876712328767126</v>
      </c>
      <c r="M433" s="383">
        <v>0</v>
      </c>
      <c r="N433" s="384">
        <f>tabItens[[#This Row],[VALOR UNIT.]] * tabItens[[#This Row],[LC]]</f>
        <v>0</v>
      </c>
      <c r="O433" s="385" t="s">
        <v>2100</v>
      </c>
      <c r="P433" s="386"/>
      <c r="Q433" s="387"/>
      <c r="R433" s="312"/>
      <c r="S433" s="388"/>
      <c r="T433" s="389">
        <f>ROUNDDOWN(IFERROR(tabItens[[#This Row],[ATA DT.VALID.]] - $D$1,0) / 30,0)</f>
        <v>-1474</v>
      </c>
      <c r="U433" s="302" t="s">
        <v>996</v>
      </c>
      <c r="V433" s="318">
        <v>1</v>
      </c>
      <c r="W433" s="390" t="s">
        <v>2078</v>
      </c>
      <c r="X433" s="391">
        <v>83</v>
      </c>
      <c r="Y433" s="392">
        <v>2</v>
      </c>
      <c r="Z433" s="393"/>
      <c r="AA433" s="394"/>
      <c r="AB433" s="395"/>
      <c r="AC433" s="395"/>
      <c r="AD433" s="394"/>
      <c r="AE433" s="395"/>
      <c r="AF433" s="317"/>
      <c r="AG433" s="396" t="s">
        <v>2072</v>
      </c>
      <c r="AH433" s="397"/>
      <c r="AI433" s="317">
        <v>12</v>
      </c>
      <c r="AJ433" s="397">
        <v>45201</v>
      </c>
      <c r="AK433" s="326" t="s">
        <v>889</v>
      </c>
      <c r="AL433" s="326">
        <v>45189</v>
      </c>
      <c r="AM433" s="316"/>
      <c r="AN433" s="305"/>
      <c r="AO433" s="327" t="str">
        <f>_xlfn.IFNA(IF(VLOOKUP(tabItens[[#This Row],[CÓDIGO]],tabExcluirDoEstoque[#Data],1,FALSE),"sim",""),"")</f>
        <v/>
      </c>
      <c r="AP433" s="398" t="str">
        <f ca="1">IF(OR(ISBLANK(tabItens[[#This Row],[ATA DT.VALID.]]),tabItens[[#This Row],[ATA DT.VALID.]]="",tabItens[[#This Row],[ATA DT.VALID.]]=" "),"",IF(TYPE(tabItens[[#This Row],[ATA DT.VALID.]])=1,ROUNDUP((tabItens[[#This Row],[ATA DT.VALID.]]-TODAY())/7,0),""))</f>
        <v/>
      </c>
      <c r="AQ433" s="399">
        <v>0</v>
      </c>
      <c r="AR433" s="400" t="str">
        <f>IF(ISBLANK(tabItens[[#This Row],[CÓDIGO]]),"",IFERROR(VLOOKUP(tabItens[[#This Row],[CÓDIGO]],Consumo!$C$2:$AC$862,26,FALSE),0))</f>
        <v>04.2023</v>
      </c>
      <c r="AS433" s="401">
        <f>SUMIF(Consumo!$C$3:$C$862,tabItens[[#This Row],[CÓDIGO]],Consumo!$N$3:$N$862) + SUMIF(Consumo!$C$3:$C$862,tabItens[[#This Row],[CÓDIGO]],Consumo!$O$3:$O$862) + SUMIF(Consumo!$C$3:$C$862,tabItens[[#This Row],[CÓDIGO]],Consumo!$P$3:$P$862) + SUMIF(Consumo!$C$3:$C$862,tabItens[[#This Row],[CÓDIGO]],Consumo!$Q$3:$Q$862)</f>
        <v>0</v>
      </c>
      <c r="AT433" s="401">
        <f>SUMIF(Consumo!$C$3:$C$862,tabItens[[#This Row],[CÓDIGO]],Consumo!$Z$3:$Z$862)</f>
        <v>73</v>
      </c>
      <c r="AU433" s="402">
        <f>SUMIF(Consumo!$C$3:$C$862,tabItens[[#This Row],[CÓDIGO]],Consumo!$AA$3:$AA$862)</f>
        <v>22</v>
      </c>
      <c r="AV433" s="403">
        <f>SUMIF(Consumo!$C$3:$C$862,tabItens[[#This Row],[CÓDIGO]],Consumo!$Y$3:$Y$862)</f>
        <v>6.083333333333333</v>
      </c>
      <c r="AW433" s="380">
        <f>tabItens[[#This Row],[QTDE ATUAL]] + tabItens[[#This Row],[RC QTDE]] + tabItens[[#This Row],[AF SALDO]] + tabItens[[#This Row],[Recentes]]</f>
        <v>20</v>
      </c>
      <c r="AX433" s="404">
        <v>8</v>
      </c>
      <c r="AY433" s="404">
        <v>4</v>
      </c>
      <c r="AZ433" s="404">
        <f>IF(ISBLANK(tabItens[[#This Row],[CÓDIGO]]),"",tabItens[[#This Row],[PontoMês]] * (AZ$2+tabItens[[#This Row],[PontoQtM]]))</f>
        <v>32</v>
      </c>
      <c r="BA433" s="403">
        <f>tabItens[[#This Row],[PontoPed]] - tabItens[[#This Row],[Saldo]] + (1/10)</f>
        <v>12.1</v>
      </c>
      <c r="BB433" s="403">
        <f xml:space="preserve"> tabItens[[#This Row],[PontoMês]] * BB$2 - tabItens[[#This Row],[QTDE ATUAL]] - (1/10)</f>
        <v>-12.1</v>
      </c>
      <c r="BC433" s="335">
        <f>IF( tabItens[[#This Row],[PontoPed]]&gt;0, IF(tabItens[[#This Row],[PontoPed]]&lt;1, 1, IF( tabItens[[#This Row],[Saldo]]&gt;tabItens[[#This Row],[PontoPed]], 0, (tabItens[[#This Row],[PontoPed]]-tabItens[[#This Row],[Saldo]])/tabItens[[#This Row],[PontoPed]] ) ), 0 )</f>
        <v>0.375</v>
      </c>
      <c r="BD433" s="405">
        <f>ROUNDDOWN(IF( OR( AND(tabItens[[#This Row],[PontoPed]]&lt;tabItens[[#This Row],[Saldo]],tabItens[[#This Row],[Saldo]]&gt;0), tabItens[[#This Row],[PontoPed]]=0), 99, IF(AND(tabItens[[#This Row],[Saldo]]=0,tabItens[[#This Row],[PontoPed]]&gt;0), 0, (1-tabItens[[#This Row],[PctAb]])*10 ) ),0)</f>
        <v>6</v>
      </c>
      <c r="BE433" s="406">
        <f>MAX(ROUNDDOWN( IF(tabItens[[#This Row],[Abaixo]] &gt; 0,   tabItens[[#This Row],[Abaixo]] + (tabItens[[#This Row],[PontoMês]] * IF( OR( ISBLANK(tabItens[[#This Row],[ATA Nº/ANO]]), tabItens[[#This Row],[ATA Nº/ANO]] = ""),BE$2,BE$1)),0),0),0)</f>
        <v>36</v>
      </c>
      <c r="BF43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3" s="338">
        <f>SUMIF(Consumo!$C$3:$C$862,tabItens[[#This Row],[CÓDIGO]],Consumo!$E$3:$E$862)</f>
        <v>35</v>
      </c>
      <c r="BH433" s="339">
        <f>IF(AND(tabItens[[#This Row],[Pend]] &gt; 0,tabItens[[#This Row],[Consumo]] &lt;&gt; 0), tabItens[[#This Row],[Pend]] / tabItens[[#This Row],[Consumo]], 0 )</f>
        <v>0.47945205479452052</v>
      </c>
      <c r="BI433" s="338"/>
      <c r="BJ433" s="407"/>
      <c r="BK433" s="408" t="s">
        <v>2086</v>
      </c>
    </row>
    <row r="434" spans="1:63" x14ac:dyDescent="0.3">
      <c r="A434" s="375">
        <v>35555</v>
      </c>
      <c r="B434" s="376" t="s">
        <v>1262</v>
      </c>
      <c r="C434" s="377" t="s">
        <v>380</v>
      </c>
      <c r="D434" s="378">
        <v>0.4</v>
      </c>
      <c r="E434" s="305"/>
      <c r="F434" s="379"/>
      <c r="G434" s="379" t="s">
        <v>889</v>
      </c>
      <c r="H434" s="380">
        <v>63</v>
      </c>
      <c r="I434" s="307">
        <v>103003</v>
      </c>
      <c r="J434" s="308">
        <v>0.4</v>
      </c>
      <c r="K434" s="381">
        <v>75</v>
      </c>
      <c r="L434" s="382">
        <f>IF(tabItens[[#This Row],[Média]] &gt; 0, tabItens[[#This Row],[QTDE ATUAL]] / tabItens[[#This Row],[Média]],999.9)</f>
        <v>12.813559322033898</v>
      </c>
      <c r="M434" s="383">
        <v>0</v>
      </c>
      <c r="N434" s="384">
        <f>tabItens[[#This Row],[VALOR UNIT.]] * tabItens[[#This Row],[LC]]</f>
        <v>0</v>
      </c>
      <c r="O434" s="385" t="s">
        <v>2100</v>
      </c>
      <c r="P434" s="386"/>
      <c r="Q434" s="387"/>
      <c r="R434" s="312"/>
      <c r="S434" s="388"/>
      <c r="T434" s="389">
        <f>ROUNDDOWN(IFERROR(tabItens[[#This Row],[ATA DT.VALID.]] - $D$1,0) / 30,0)</f>
        <v>-1474</v>
      </c>
      <c r="U434" s="302" t="s">
        <v>996</v>
      </c>
      <c r="V434" s="318">
        <v>1</v>
      </c>
      <c r="W434" s="390" t="s">
        <v>2078</v>
      </c>
      <c r="X434" s="391">
        <v>83</v>
      </c>
      <c r="Y434" s="392">
        <v>2</v>
      </c>
      <c r="Z434" s="393"/>
      <c r="AA434" s="394"/>
      <c r="AB434" s="395"/>
      <c r="AC434" s="395"/>
      <c r="AD434" s="394"/>
      <c r="AE434" s="395"/>
      <c r="AF434" s="317"/>
      <c r="AG434" s="396" t="s">
        <v>2072</v>
      </c>
      <c r="AH434" s="397"/>
      <c r="AI434" s="317">
        <v>26</v>
      </c>
      <c r="AJ434" s="397">
        <v>43257</v>
      </c>
      <c r="AK434" s="326" t="s">
        <v>889</v>
      </c>
      <c r="AL434" s="326">
        <v>43217</v>
      </c>
      <c r="AM434" s="316"/>
      <c r="AN434" s="305"/>
      <c r="AO434" s="327" t="str">
        <f>_xlfn.IFNA(IF(VLOOKUP(tabItens[[#This Row],[CÓDIGO]],tabExcluirDoEstoque[#Data],1,FALSE),"sim",""),"")</f>
        <v/>
      </c>
      <c r="AP434" s="398" t="str">
        <f ca="1">IF(OR(ISBLANK(tabItens[[#This Row],[ATA DT.VALID.]]),tabItens[[#This Row],[ATA DT.VALID.]]="",tabItens[[#This Row],[ATA DT.VALID.]]=" "),"",IF(TYPE(tabItens[[#This Row],[ATA DT.VALID.]])=1,ROUNDUP((tabItens[[#This Row],[ATA DT.VALID.]]-TODAY())/7,0),""))</f>
        <v/>
      </c>
      <c r="AQ434" s="399">
        <v>0</v>
      </c>
      <c r="AR434" s="400" t="str">
        <f>IF(ISBLANK(tabItens[[#This Row],[CÓDIGO]]),"",IFERROR(VLOOKUP(tabItens[[#This Row],[CÓDIGO]],Consumo!$C$2:$AC$862,26,FALSE),0))</f>
        <v>04.2023</v>
      </c>
      <c r="AS434" s="401">
        <f>SUMIF(Consumo!$C$3:$C$862,tabItens[[#This Row],[CÓDIGO]],Consumo!$N$3:$N$862) + SUMIF(Consumo!$C$3:$C$862,tabItens[[#This Row],[CÓDIGO]],Consumo!$O$3:$O$862) + SUMIF(Consumo!$C$3:$C$862,tabItens[[#This Row],[CÓDIGO]],Consumo!$P$3:$P$862) + SUMIF(Consumo!$C$3:$C$862,tabItens[[#This Row],[CÓDIGO]],Consumo!$Q$3:$Q$862)</f>
        <v>0</v>
      </c>
      <c r="AT434" s="401">
        <f>SUMIF(Consumo!$C$3:$C$862,tabItens[[#This Row],[CÓDIGO]],Consumo!$Z$3:$Z$862)</f>
        <v>75</v>
      </c>
      <c r="AU434" s="402">
        <f>SUMIF(Consumo!$C$3:$C$862,tabItens[[#This Row],[CÓDIGO]],Consumo!$AA$3:$AA$862)</f>
        <v>55</v>
      </c>
      <c r="AV434" s="403">
        <f>SUMIF(Consumo!$C$3:$C$862,tabItens[[#This Row],[CÓDIGO]],Consumo!$Y$3:$Y$862)</f>
        <v>4.916666666666667</v>
      </c>
      <c r="AW434" s="380">
        <f>tabItens[[#This Row],[QTDE ATUAL]] + tabItens[[#This Row],[RC QTDE]] + tabItens[[#This Row],[AF SALDO]] + tabItens[[#This Row],[Recentes]]</f>
        <v>63</v>
      </c>
      <c r="AX434" s="404">
        <v>17</v>
      </c>
      <c r="AY434" s="404">
        <v>4</v>
      </c>
      <c r="AZ434" s="404">
        <f>IF(ISBLANK(tabItens[[#This Row],[CÓDIGO]]),"",tabItens[[#This Row],[PontoMês]] * (AZ$2+tabItens[[#This Row],[PontoQtM]]))</f>
        <v>68</v>
      </c>
      <c r="BA434" s="403">
        <f>tabItens[[#This Row],[PontoPed]] - tabItens[[#This Row],[Saldo]] + (1/10)</f>
        <v>5.0999999999999996</v>
      </c>
      <c r="BB434" s="403">
        <f xml:space="preserve"> tabItens[[#This Row],[PontoMês]] * BB$2 - tabItens[[#This Row],[QTDE ATUAL]] - (1/10)</f>
        <v>-46.1</v>
      </c>
      <c r="BC434" s="335">
        <f>IF( tabItens[[#This Row],[PontoPed]]&gt;0, IF(tabItens[[#This Row],[PontoPed]]&lt;1, 1, IF( tabItens[[#This Row],[Saldo]]&gt;tabItens[[#This Row],[PontoPed]], 0, (tabItens[[#This Row],[PontoPed]]-tabItens[[#This Row],[Saldo]])/tabItens[[#This Row],[PontoPed]] ) ), 0 )</f>
        <v>7.3529411764705885E-2</v>
      </c>
      <c r="BD434" s="405">
        <f>ROUNDDOWN(IF( OR( AND(tabItens[[#This Row],[PontoPed]]&lt;tabItens[[#This Row],[Saldo]],tabItens[[#This Row],[Saldo]]&gt;0), tabItens[[#This Row],[PontoPed]]=0), 99, IF(AND(tabItens[[#This Row],[Saldo]]=0,tabItens[[#This Row],[PontoPed]]&gt;0), 0, (1-tabItens[[#This Row],[PctAb]])*10 ) ),0)</f>
        <v>9</v>
      </c>
      <c r="BE434" s="406">
        <f>MAX(ROUNDDOWN( IF(tabItens[[#This Row],[Abaixo]] &gt; 0,   tabItens[[#This Row],[Abaixo]] + (tabItens[[#This Row],[PontoMês]] * IF( OR( ISBLANK(tabItens[[#This Row],[ATA Nº/ANO]]), tabItens[[#This Row],[ATA Nº/ANO]] = ""),BE$2,BE$1)),0),0),0)</f>
        <v>56</v>
      </c>
      <c r="BF43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4" s="338">
        <f>SUMIF(Consumo!$C$3:$C$862,tabItens[[#This Row],[CÓDIGO]],Consumo!$E$3:$E$862)</f>
        <v>0</v>
      </c>
      <c r="BH434" s="339">
        <f>IF(AND(tabItens[[#This Row],[Pend]] &gt; 0,tabItens[[#This Row],[Consumo]] &lt;&gt; 0), tabItens[[#This Row],[Pend]] / tabItens[[#This Row],[Consumo]], 0 )</f>
        <v>0</v>
      </c>
      <c r="BI434" s="338"/>
      <c r="BJ434" s="407"/>
      <c r="BK434" s="408" t="s">
        <v>2086</v>
      </c>
    </row>
    <row r="435" spans="1:63" x14ac:dyDescent="0.3">
      <c r="A435" s="375">
        <v>71697</v>
      </c>
      <c r="B435" s="376" t="s">
        <v>1402</v>
      </c>
      <c r="C435" s="377" t="s">
        <v>380</v>
      </c>
      <c r="D435" s="378">
        <v>0.85</v>
      </c>
      <c r="E435" s="305"/>
      <c r="F435" s="379"/>
      <c r="G435" s="379" t="s">
        <v>889</v>
      </c>
      <c r="H435" s="380">
        <v>1894</v>
      </c>
      <c r="I435" s="307">
        <v>103003</v>
      </c>
      <c r="J435" s="308">
        <v>0.85</v>
      </c>
      <c r="K435" s="381">
        <v>1609</v>
      </c>
      <c r="L435" s="382">
        <f>IF(tabItens[[#This Row],[Média]] &gt; 0, tabItens[[#This Row],[QTDE ATUAL]] / tabItens[[#This Row],[Média]],999.9)</f>
        <v>9.2315190901705932</v>
      </c>
      <c r="M435" s="383">
        <v>0</v>
      </c>
      <c r="N435" s="384">
        <f>tabItens[[#This Row],[VALOR UNIT.]] * tabItens[[#This Row],[LC]]</f>
        <v>0</v>
      </c>
      <c r="O435" s="385" t="s">
        <v>2100</v>
      </c>
      <c r="P435" s="386"/>
      <c r="Q435" s="387"/>
      <c r="R435" s="312"/>
      <c r="S435" s="388"/>
      <c r="T435" s="389">
        <f>ROUNDDOWN(IFERROR(tabItens[[#This Row],[ATA DT.VALID.]] - $D$1,0) / 30,0)</f>
        <v>-1474</v>
      </c>
      <c r="U435" s="302" t="s">
        <v>996</v>
      </c>
      <c r="V435" s="318">
        <v>1</v>
      </c>
      <c r="W435" s="390" t="s">
        <v>2078</v>
      </c>
      <c r="X435" s="391">
        <v>83</v>
      </c>
      <c r="Y435" s="392">
        <v>2</v>
      </c>
      <c r="Z435" s="393"/>
      <c r="AA435" s="394"/>
      <c r="AB435" s="395"/>
      <c r="AC435" s="395"/>
      <c r="AD435" s="394"/>
      <c r="AE435" s="395"/>
      <c r="AF435" s="317"/>
      <c r="AG435" s="396" t="s">
        <v>2072</v>
      </c>
      <c r="AH435" s="397"/>
      <c r="AI435" s="317">
        <v>786</v>
      </c>
      <c r="AJ435" s="397">
        <v>45203</v>
      </c>
      <c r="AK435" s="326" t="s">
        <v>889</v>
      </c>
      <c r="AL435" s="326">
        <v>45189</v>
      </c>
      <c r="AM435" s="316"/>
      <c r="AN435" s="305"/>
      <c r="AO435" s="327" t="str">
        <f>_xlfn.IFNA(IF(VLOOKUP(tabItens[[#This Row],[CÓDIGO]],tabExcluirDoEstoque[#Data],1,FALSE),"sim",""),"")</f>
        <v/>
      </c>
      <c r="AP435" s="398" t="str">
        <f ca="1">IF(OR(ISBLANK(tabItens[[#This Row],[ATA DT.VALID.]]),tabItens[[#This Row],[ATA DT.VALID.]]="",tabItens[[#This Row],[ATA DT.VALID.]]=" "),"",IF(TYPE(tabItens[[#This Row],[ATA DT.VALID.]])=1,ROUNDUP((tabItens[[#This Row],[ATA DT.VALID.]]-TODAY())/7,0),""))</f>
        <v/>
      </c>
      <c r="AQ435" s="399">
        <v>0</v>
      </c>
      <c r="AR435" s="400" t="str">
        <f>IF(ISBLANK(tabItens[[#This Row],[CÓDIGO]]),"",IFERROR(VLOOKUP(tabItens[[#This Row],[CÓDIGO]],Consumo!$C$2:$AC$862,26,FALSE),0))</f>
        <v>08.2023</v>
      </c>
      <c r="AS435" s="401">
        <f>SUMIF(Consumo!$C$3:$C$862,tabItens[[#This Row],[CÓDIGO]],Consumo!$N$3:$N$862) + SUMIF(Consumo!$C$3:$C$862,tabItens[[#This Row],[CÓDIGO]],Consumo!$O$3:$O$862) + SUMIF(Consumo!$C$3:$C$862,tabItens[[#This Row],[CÓDIGO]],Consumo!$P$3:$P$862) + SUMIF(Consumo!$C$3:$C$862,tabItens[[#This Row],[CÓDIGO]],Consumo!$Q$3:$Q$862)</f>
        <v>598</v>
      </c>
      <c r="AT435" s="401">
        <f>SUMIF(Consumo!$C$3:$C$862,tabItens[[#This Row],[CÓDIGO]],Consumo!$Z$3:$Z$862)</f>
        <v>2462</v>
      </c>
      <c r="AU435" s="402">
        <f>SUMIF(Consumo!$C$3:$C$862,tabItens[[#This Row],[CÓDIGO]],Consumo!$AA$3:$AA$862)</f>
        <v>358</v>
      </c>
      <c r="AV435" s="403">
        <f>SUMIF(Consumo!$C$3:$C$862,tabItens[[#This Row],[CÓDIGO]],Consumo!$Y$3:$Y$862)</f>
        <v>205.16666666666666</v>
      </c>
      <c r="AW435" s="380">
        <f>tabItens[[#This Row],[QTDE ATUAL]] + tabItens[[#This Row],[RC QTDE]] + tabItens[[#This Row],[AF SALDO]] + tabItens[[#This Row],[Recentes]]</f>
        <v>1894</v>
      </c>
      <c r="AX435" s="404">
        <v>103</v>
      </c>
      <c r="AY435" s="404">
        <v>4</v>
      </c>
      <c r="AZ435" s="404">
        <f>IF(ISBLANK(tabItens[[#This Row],[CÓDIGO]]),"",tabItens[[#This Row],[PontoMês]] * (AZ$2+tabItens[[#This Row],[PontoQtM]]))</f>
        <v>412</v>
      </c>
      <c r="BA435" s="403">
        <f>tabItens[[#This Row],[PontoPed]] - tabItens[[#This Row],[Saldo]] + (1/10)</f>
        <v>-1481.9</v>
      </c>
      <c r="BB435" s="403">
        <f xml:space="preserve"> tabItens[[#This Row],[PontoMês]] * BB$2 - tabItens[[#This Row],[QTDE ATUAL]] - (1/10)</f>
        <v>-1791.1</v>
      </c>
      <c r="BC435" s="335">
        <f>IF( tabItens[[#This Row],[PontoPed]]&gt;0, IF(tabItens[[#This Row],[PontoPed]]&lt;1, 1, IF( tabItens[[#This Row],[Saldo]]&gt;tabItens[[#This Row],[PontoPed]], 0, (tabItens[[#This Row],[PontoPed]]-tabItens[[#This Row],[Saldo]])/tabItens[[#This Row],[PontoPed]] ) ), 0 )</f>
        <v>0</v>
      </c>
      <c r="BD435" s="405">
        <f>ROUNDDOWN(IF( OR( AND(tabItens[[#This Row],[PontoPed]]&lt;tabItens[[#This Row],[Saldo]],tabItens[[#This Row],[Saldo]]&gt;0), tabItens[[#This Row],[PontoPed]]=0), 99, IF(AND(tabItens[[#This Row],[Saldo]]=0,tabItens[[#This Row],[PontoPed]]&gt;0), 0, (1-tabItens[[#This Row],[PctAb]])*10 ) ),0)</f>
        <v>99</v>
      </c>
      <c r="BE435" s="406">
        <f>MAX(ROUNDDOWN( IF(tabItens[[#This Row],[Abaixo]] &gt; 0,   tabItens[[#This Row],[Abaixo]] + (tabItens[[#This Row],[PontoMês]] * IF( OR( ISBLANK(tabItens[[#This Row],[ATA Nº/ANO]]), tabItens[[#This Row],[ATA Nº/ANO]] = ""),BE$2,BE$1)),0),0),0)</f>
        <v>0</v>
      </c>
      <c r="BF43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5" s="338">
        <f>SUMIF(Consumo!$C$3:$C$862,tabItens[[#This Row],[CÓDIGO]],Consumo!$E$3:$E$862)</f>
        <v>105</v>
      </c>
      <c r="BH435" s="339">
        <f>IF(AND(tabItens[[#This Row],[Pend]] &gt; 0,tabItens[[#This Row],[Consumo]] &lt;&gt; 0), tabItens[[#This Row],[Pend]] / tabItens[[#This Row],[Consumo]], 0 )</f>
        <v>4.2648253452477664E-2</v>
      </c>
      <c r="BI435" s="338"/>
      <c r="BJ435" s="407"/>
      <c r="BK435" s="408" t="s">
        <v>2086</v>
      </c>
    </row>
    <row r="436" spans="1:63" x14ac:dyDescent="0.3">
      <c r="A436" s="375">
        <v>88838</v>
      </c>
      <c r="B436" s="376" t="s">
        <v>1518</v>
      </c>
      <c r="C436" s="377" t="s">
        <v>380</v>
      </c>
      <c r="D436" s="378">
        <v>0.7</v>
      </c>
      <c r="E436" s="305"/>
      <c r="F436" s="379"/>
      <c r="G436" s="379" t="s">
        <v>889</v>
      </c>
      <c r="H436" s="380">
        <v>2384</v>
      </c>
      <c r="I436" s="307">
        <v>103003</v>
      </c>
      <c r="J436" s="308">
        <v>0.7</v>
      </c>
      <c r="K436" s="381">
        <v>2044</v>
      </c>
      <c r="L436" s="382">
        <f>IF(tabItens[[#This Row],[Média]] &gt; 0, tabItens[[#This Row],[QTDE ATUAL]] / tabItens[[#This Row],[Média]],999.9)</f>
        <v>8.7060255629945225</v>
      </c>
      <c r="M436" s="383">
        <v>0</v>
      </c>
      <c r="N436" s="384">
        <f>tabItens[[#This Row],[VALOR UNIT.]] * tabItens[[#This Row],[LC]]</f>
        <v>0</v>
      </c>
      <c r="O436" s="385" t="s">
        <v>2100</v>
      </c>
      <c r="P436" s="386"/>
      <c r="Q436" s="387"/>
      <c r="R436" s="312"/>
      <c r="S436" s="388"/>
      <c r="T436" s="389">
        <f>ROUNDDOWN(IFERROR(tabItens[[#This Row],[ATA DT.VALID.]] - $D$1,0) / 30,0)</f>
        <v>-1474</v>
      </c>
      <c r="U436" s="302" t="s">
        <v>996</v>
      </c>
      <c r="V436" s="318">
        <v>1</v>
      </c>
      <c r="W436" s="390" t="s">
        <v>2078</v>
      </c>
      <c r="X436" s="391">
        <v>83</v>
      </c>
      <c r="Y436" s="392">
        <v>2</v>
      </c>
      <c r="Z436" s="393"/>
      <c r="AA436" s="394"/>
      <c r="AB436" s="395"/>
      <c r="AC436" s="395"/>
      <c r="AD436" s="394"/>
      <c r="AE436" s="395"/>
      <c r="AF436" s="317"/>
      <c r="AG436" s="396" t="s">
        <v>2072</v>
      </c>
      <c r="AH436" s="397"/>
      <c r="AI436" s="317">
        <v>1130</v>
      </c>
      <c r="AJ436" s="397">
        <v>45203</v>
      </c>
      <c r="AK436" s="326">
        <v>38663</v>
      </c>
      <c r="AL436" s="326">
        <v>45189</v>
      </c>
      <c r="AM436" s="316"/>
      <c r="AN436" s="305"/>
      <c r="AO436" s="327" t="str">
        <f>_xlfn.IFNA(IF(VLOOKUP(tabItens[[#This Row],[CÓDIGO]],tabExcluirDoEstoque[#Data],1,FALSE),"sim",""),"")</f>
        <v/>
      </c>
      <c r="AP436" s="398" t="str">
        <f ca="1">IF(OR(ISBLANK(tabItens[[#This Row],[ATA DT.VALID.]]),tabItens[[#This Row],[ATA DT.VALID.]]="",tabItens[[#This Row],[ATA DT.VALID.]]=" "),"",IF(TYPE(tabItens[[#This Row],[ATA DT.VALID.]])=1,ROUNDUP((tabItens[[#This Row],[ATA DT.VALID.]]-TODAY())/7,0),""))</f>
        <v/>
      </c>
      <c r="AQ436" s="399">
        <v>0</v>
      </c>
      <c r="AR436" s="400" t="str">
        <f>IF(ISBLANK(tabItens[[#This Row],[CÓDIGO]]),"",IFERROR(VLOOKUP(tabItens[[#This Row],[CÓDIGO]],Consumo!$C$2:$AC$862,26,FALSE),0))</f>
        <v>09.2023</v>
      </c>
      <c r="AS436" s="401">
        <f>SUMIF(Consumo!$C$3:$C$862,tabItens[[#This Row],[CÓDIGO]],Consumo!$N$3:$N$862) + SUMIF(Consumo!$C$3:$C$862,tabItens[[#This Row],[CÓDIGO]],Consumo!$O$3:$O$862) + SUMIF(Consumo!$C$3:$C$862,tabItens[[#This Row],[CÓDIGO]],Consumo!$P$3:$P$862) + SUMIF(Consumo!$C$3:$C$862,tabItens[[#This Row],[CÓDIGO]],Consumo!$Q$3:$Q$862)</f>
        <v>1064</v>
      </c>
      <c r="AT436" s="401">
        <f>SUMIF(Consumo!$C$3:$C$862,tabItens[[#This Row],[CÓDIGO]],Consumo!$Z$3:$Z$862)</f>
        <v>3286</v>
      </c>
      <c r="AU436" s="402">
        <f>SUMIF(Consumo!$C$3:$C$862,tabItens[[#This Row],[CÓDIGO]],Consumo!$AA$3:$AA$862)</f>
        <v>448</v>
      </c>
      <c r="AV436" s="403">
        <f>SUMIF(Consumo!$C$3:$C$862,tabItens[[#This Row],[CÓDIGO]],Consumo!$Y$3:$Y$862)</f>
        <v>273.83333333333331</v>
      </c>
      <c r="AW436" s="380">
        <f>tabItens[[#This Row],[QTDE ATUAL]] + tabItens[[#This Row],[RC QTDE]] + tabItens[[#This Row],[AF SALDO]] + tabItens[[#This Row],[Recentes]]</f>
        <v>2384</v>
      </c>
      <c r="AX436" s="404">
        <v>125</v>
      </c>
      <c r="AY436" s="404">
        <v>4</v>
      </c>
      <c r="AZ436" s="404">
        <f>IF(ISBLANK(tabItens[[#This Row],[CÓDIGO]]),"",tabItens[[#This Row],[PontoMês]] * (AZ$2+tabItens[[#This Row],[PontoQtM]]))</f>
        <v>500</v>
      </c>
      <c r="BA436" s="403">
        <f>tabItens[[#This Row],[PontoPed]] - tabItens[[#This Row],[Saldo]] + (1/10)</f>
        <v>-1883.9</v>
      </c>
      <c r="BB436" s="403">
        <f xml:space="preserve"> tabItens[[#This Row],[PontoMês]] * BB$2 - tabItens[[#This Row],[QTDE ATUAL]] - (1/10)</f>
        <v>-2259.1</v>
      </c>
      <c r="BC436" s="335">
        <f>IF( tabItens[[#This Row],[PontoPed]]&gt;0, IF(tabItens[[#This Row],[PontoPed]]&lt;1, 1, IF( tabItens[[#This Row],[Saldo]]&gt;tabItens[[#This Row],[PontoPed]], 0, (tabItens[[#This Row],[PontoPed]]-tabItens[[#This Row],[Saldo]])/tabItens[[#This Row],[PontoPed]] ) ), 0 )</f>
        <v>0</v>
      </c>
      <c r="BD436" s="405">
        <f>ROUNDDOWN(IF( OR( AND(tabItens[[#This Row],[PontoPed]]&lt;tabItens[[#This Row],[Saldo]],tabItens[[#This Row],[Saldo]]&gt;0), tabItens[[#This Row],[PontoPed]]=0), 99, IF(AND(tabItens[[#This Row],[Saldo]]=0,tabItens[[#This Row],[PontoPed]]&gt;0), 0, (1-tabItens[[#This Row],[PctAb]])*10 ) ),0)</f>
        <v>99</v>
      </c>
      <c r="BE436" s="406">
        <f>MAX(ROUNDDOWN( IF(tabItens[[#This Row],[Abaixo]] &gt; 0,   tabItens[[#This Row],[Abaixo]] + (tabItens[[#This Row],[PontoMês]] * IF( OR( ISBLANK(tabItens[[#This Row],[ATA Nº/ANO]]), tabItens[[#This Row],[ATA Nº/ANO]] = ""),BE$2,BE$1)),0),0),0)</f>
        <v>0</v>
      </c>
      <c r="BF43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6" s="338">
        <f>SUMIF(Consumo!$C$3:$C$862,tabItens[[#This Row],[CÓDIGO]],Consumo!$E$3:$E$862)</f>
        <v>0</v>
      </c>
      <c r="BH436" s="339">
        <f>IF(AND(tabItens[[#This Row],[Pend]] &gt; 0,tabItens[[#This Row],[Consumo]] &lt;&gt; 0), tabItens[[#This Row],[Pend]] / tabItens[[#This Row],[Consumo]], 0 )</f>
        <v>0</v>
      </c>
      <c r="BI436" s="338"/>
      <c r="BJ436" s="407"/>
      <c r="BK436" s="408" t="s">
        <v>2086</v>
      </c>
    </row>
    <row r="437" spans="1:63" x14ac:dyDescent="0.3">
      <c r="A437" s="375">
        <v>58706</v>
      </c>
      <c r="B437" s="376" t="s">
        <v>1338</v>
      </c>
      <c r="C437" s="377" t="s">
        <v>263</v>
      </c>
      <c r="D437" s="378">
        <v>88.22</v>
      </c>
      <c r="E437" s="305"/>
      <c r="F437" s="379"/>
      <c r="G437" s="379" t="s">
        <v>889</v>
      </c>
      <c r="H437" s="380">
        <v>0</v>
      </c>
      <c r="I437" s="307">
        <v>103003</v>
      </c>
      <c r="J437" s="308">
        <v>88.22</v>
      </c>
      <c r="K437" s="381">
        <v>296</v>
      </c>
      <c r="L437" s="382">
        <f>IF(tabItens[[#This Row],[Média]] &gt; 0, tabItens[[#This Row],[QTDE ATUAL]] / tabItens[[#This Row],[Média]],999.9)</f>
        <v>0</v>
      </c>
      <c r="M437" s="383">
        <v>0</v>
      </c>
      <c r="N437" s="384">
        <f>tabItens[[#This Row],[VALOR UNIT.]] * tabItens[[#This Row],[LC]]</f>
        <v>0</v>
      </c>
      <c r="O437" s="385" t="s">
        <v>2150</v>
      </c>
      <c r="P437" s="386"/>
      <c r="Q437" s="387"/>
      <c r="R437" s="312"/>
      <c r="S437" s="388"/>
      <c r="T437" s="389">
        <f>ROUNDDOWN(IFERROR(tabItens[[#This Row],[ATA DT.VALID.]] - $D$1,0) / 30,0)</f>
        <v>-1474</v>
      </c>
      <c r="U437" s="302" t="s">
        <v>1339</v>
      </c>
      <c r="V437" s="318">
        <v>1</v>
      </c>
      <c r="W437" s="390" t="s">
        <v>2071</v>
      </c>
      <c r="X437" s="391">
        <v>74</v>
      </c>
      <c r="Y437" s="392">
        <v>3</v>
      </c>
      <c r="Z437" s="393"/>
      <c r="AA437" s="394"/>
      <c r="AB437" s="395"/>
      <c r="AC437" s="395"/>
      <c r="AD437" s="394"/>
      <c r="AE437" s="395"/>
      <c r="AF437" s="317"/>
      <c r="AG437" s="396" t="s">
        <v>2072</v>
      </c>
      <c r="AH437" s="397"/>
      <c r="AI437" s="317">
        <v>136</v>
      </c>
      <c r="AJ437" s="397">
        <v>44974</v>
      </c>
      <c r="AK437" s="326" t="s">
        <v>889</v>
      </c>
      <c r="AL437" s="326">
        <v>45210</v>
      </c>
      <c r="AM437" s="316"/>
      <c r="AN437" s="305"/>
      <c r="AO437" s="327" t="str">
        <f>_xlfn.IFNA(IF(VLOOKUP(tabItens[[#This Row],[CÓDIGO]],tabExcluirDoEstoque[#Data],1,FALSE),"sim",""),"")</f>
        <v/>
      </c>
      <c r="AP437" s="398" t="str">
        <f ca="1">IF(OR(ISBLANK(tabItens[[#This Row],[ATA DT.VALID.]]),tabItens[[#This Row],[ATA DT.VALID.]]="",tabItens[[#This Row],[ATA DT.VALID.]]=" "),"",IF(TYPE(tabItens[[#This Row],[ATA DT.VALID.]])=1,ROUNDUP((tabItens[[#This Row],[ATA DT.VALID.]]-TODAY())/7,0),""))</f>
        <v/>
      </c>
      <c r="AQ437" s="399">
        <v>0</v>
      </c>
      <c r="AR437" s="400" t="str">
        <f>IF(ISBLANK(tabItens[[#This Row],[CÓDIGO]]),"",IFERROR(VLOOKUP(tabItens[[#This Row],[CÓDIGO]],Consumo!$C$2:$AC$862,26,FALSE),0))</f>
        <v>08.2023</v>
      </c>
      <c r="AS437" s="401">
        <f>SUMIF(Consumo!$C$3:$C$862,tabItens[[#This Row],[CÓDIGO]],Consumo!$N$3:$N$862) + SUMIF(Consumo!$C$3:$C$862,tabItens[[#This Row],[CÓDIGO]],Consumo!$O$3:$O$862) + SUMIF(Consumo!$C$3:$C$862,tabItens[[#This Row],[CÓDIGO]],Consumo!$P$3:$P$862) + SUMIF(Consumo!$C$3:$C$862,tabItens[[#This Row],[CÓDIGO]],Consumo!$Q$3:$Q$862)</f>
        <v>105</v>
      </c>
      <c r="AT437" s="401">
        <f>SUMIF(Consumo!$C$3:$C$862,tabItens[[#This Row],[CÓDIGO]],Consumo!$Z$3:$Z$862)</f>
        <v>412</v>
      </c>
      <c r="AU437" s="402">
        <f>SUMIF(Consumo!$C$3:$C$862,tabItens[[#This Row],[CÓDIGO]],Consumo!$AA$3:$AA$862)</f>
        <v>64</v>
      </c>
      <c r="AV437" s="403">
        <f>SUMIF(Consumo!$C$3:$C$862,tabItens[[#This Row],[CÓDIGO]],Consumo!$Y$3:$Y$862)</f>
        <v>34.333333333333336</v>
      </c>
      <c r="AW437" s="380">
        <f>tabItens[[#This Row],[QTDE ATUAL]] + tabItens[[#This Row],[RC QTDE]] + tabItens[[#This Row],[AF SALDO]] + tabItens[[#This Row],[Recentes]]</f>
        <v>0</v>
      </c>
      <c r="AX437" s="404">
        <v>32</v>
      </c>
      <c r="AY437" s="404">
        <v>4</v>
      </c>
      <c r="AZ437" s="404">
        <f>IF(ISBLANK(tabItens[[#This Row],[CÓDIGO]]),"",tabItens[[#This Row],[PontoMês]] * (AZ$2+tabItens[[#This Row],[PontoQtM]]))</f>
        <v>128</v>
      </c>
      <c r="BA437" s="403">
        <f>tabItens[[#This Row],[PontoPed]] - tabItens[[#This Row],[Saldo]] + (1/10)</f>
        <v>128.1</v>
      </c>
      <c r="BB437" s="403">
        <f xml:space="preserve"> tabItens[[#This Row],[PontoMês]] * BB$2 - tabItens[[#This Row],[QTDE ATUAL]] - (1/10)</f>
        <v>31.9</v>
      </c>
      <c r="BC437" s="335">
        <f>IF( tabItens[[#This Row],[PontoPed]]&gt;0, IF(tabItens[[#This Row],[PontoPed]]&lt;1, 1, IF( tabItens[[#This Row],[Saldo]]&gt;tabItens[[#This Row],[PontoPed]], 0, (tabItens[[#This Row],[PontoPed]]-tabItens[[#This Row],[Saldo]])/tabItens[[#This Row],[PontoPed]] ) ), 0 )</f>
        <v>1</v>
      </c>
      <c r="BD437" s="405">
        <f>ROUNDDOWN(IF( OR( AND(tabItens[[#This Row],[PontoPed]]&lt;tabItens[[#This Row],[Saldo]],tabItens[[#This Row],[Saldo]]&gt;0), tabItens[[#This Row],[PontoPed]]=0), 99, IF(AND(tabItens[[#This Row],[Saldo]]=0,tabItens[[#This Row],[PontoPed]]&gt;0), 0, (1-tabItens[[#This Row],[PctAb]])*10 ) ),0)</f>
        <v>0</v>
      </c>
      <c r="BE437" s="406">
        <f>MAX(ROUNDDOWN( IF(tabItens[[#This Row],[Abaixo]] &gt; 0,   tabItens[[#This Row],[Abaixo]] + (tabItens[[#This Row],[PontoMês]] * IF( OR( ISBLANK(tabItens[[#This Row],[ATA Nº/ANO]]), tabItens[[#This Row],[ATA Nº/ANO]] = ""),BE$2,BE$1)),0),0),0)</f>
        <v>224</v>
      </c>
      <c r="BF43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7" s="338">
        <f>SUMIF(Consumo!$C$3:$C$862,tabItens[[#This Row],[CÓDIGO]],Consumo!$E$3:$E$862)</f>
        <v>5</v>
      </c>
      <c r="BH437" s="339">
        <f>IF(AND(tabItens[[#This Row],[Pend]] &gt; 0,tabItens[[#This Row],[Consumo]] &lt;&gt; 0), tabItens[[#This Row],[Pend]] / tabItens[[#This Row],[Consumo]], 0 )</f>
        <v>1.2135922330097087E-2</v>
      </c>
      <c r="BI437" s="338"/>
      <c r="BJ437" s="407"/>
      <c r="BK437" s="408" t="s">
        <v>2086</v>
      </c>
    </row>
    <row r="438" spans="1:63" x14ac:dyDescent="0.3">
      <c r="A438" s="375">
        <v>130695</v>
      </c>
      <c r="B438" s="376" t="s">
        <v>1810</v>
      </c>
      <c r="C438" s="377" t="s">
        <v>269</v>
      </c>
      <c r="D438" s="378">
        <v>18.989999999999998</v>
      </c>
      <c r="E438" s="305" t="s">
        <v>1811</v>
      </c>
      <c r="F438" s="379" t="s">
        <v>1812</v>
      </c>
      <c r="G438" s="379" t="s">
        <v>1813</v>
      </c>
      <c r="H438" s="380">
        <v>2080</v>
      </c>
      <c r="I438" s="307">
        <v>103003</v>
      </c>
      <c r="J438" s="308">
        <v>18.989999999999998</v>
      </c>
      <c r="K438" s="381">
        <v>3063</v>
      </c>
      <c r="L438" s="382">
        <f>IF(tabItens[[#This Row],[Média]] &gt; 0, tabItens[[#This Row],[QTDE ATUAL]] / tabItens[[#This Row],[Média]],999.9)</f>
        <v>5.6611476525289177</v>
      </c>
      <c r="M438" s="383">
        <v>0</v>
      </c>
      <c r="N438" s="384">
        <f>tabItens[[#This Row],[VALOR UNIT.]] * tabItens[[#This Row],[LC]]</f>
        <v>0</v>
      </c>
      <c r="O438" s="385" t="s">
        <v>2199</v>
      </c>
      <c r="P438" s="386"/>
      <c r="Q438" s="387"/>
      <c r="R438" s="312"/>
      <c r="S438" s="388"/>
      <c r="T438" s="389">
        <f>ROUNDDOWN(IFERROR(tabItens[[#This Row],[ATA DT.VALID.]] - $D$1,0) / 30,0)</f>
        <v>-1474</v>
      </c>
      <c r="U438" s="302" t="s">
        <v>1742</v>
      </c>
      <c r="V438" s="318">
        <v>1</v>
      </c>
      <c r="W438" s="390" t="s">
        <v>2073</v>
      </c>
      <c r="X438" s="391">
        <v>62</v>
      </c>
      <c r="Y438" s="392">
        <v>26</v>
      </c>
      <c r="Z438" s="393"/>
      <c r="AA438" s="394"/>
      <c r="AB438" s="395"/>
      <c r="AC438" s="395"/>
      <c r="AD438" s="394"/>
      <c r="AE438" s="395"/>
      <c r="AF438" s="317"/>
      <c r="AG438" s="396" t="s">
        <v>2072</v>
      </c>
      <c r="AH438" s="397"/>
      <c r="AI438" s="317">
        <v>1584</v>
      </c>
      <c r="AJ438" s="397">
        <v>45147</v>
      </c>
      <c r="AK438" s="326">
        <v>42230</v>
      </c>
      <c r="AL438" s="326">
        <v>45113</v>
      </c>
      <c r="AM438" s="316"/>
      <c r="AN438" s="305"/>
      <c r="AO438" s="327" t="str">
        <f>_xlfn.IFNA(IF(VLOOKUP(tabItens[[#This Row],[CÓDIGO]],tabExcluirDoEstoque[#Data],1,FALSE),"sim",""),"")</f>
        <v/>
      </c>
      <c r="AP438" s="398" t="str">
        <f ca="1">IF(OR(ISBLANK(tabItens[[#This Row],[ATA DT.VALID.]]),tabItens[[#This Row],[ATA DT.VALID.]]="",tabItens[[#This Row],[ATA DT.VALID.]]=" "),"",IF(TYPE(tabItens[[#This Row],[ATA DT.VALID.]])=1,ROUNDUP((tabItens[[#This Row],[ATA DT.VALID.]]-TODAY())/7,0),""))</f>
        <v/>
      </c>
      <c r="AQ438" s="399">
        <v>2000</v>
      </c>
      <c r="AR438" s="400" t="str">
        <f>IF(ISBLANK(tabItens[[#This Row],[CÓDIGO]]),"",IFERROR(VLOOKUP(tabItens[[#This Row],[CÓDIGO]],Consumo!$C$2:$AC$862,26,FALSE),0))</f>
        <v>09.2023</v>
      </c>
      <c r="AS438" s="401">
        <f>SUMIF(Consumo!$C$3:$C$862,tabItens[[#This Row],[CÓDIGO]],Consumo!$N$3:$N$862) + SUMIF(Consumo!$C$3:$C$862,tabItens[[#This Row],[CÓDIGO]],Consumo!$O$3:$O$862) + SUMIF(Consumo!$C$3:$C$862,tabItens[[#This Row],[CÓDIGO]],Consumo!$P$3:$P$862) + SUMIF(Consumo!$C$3:$C$862,tabItens[[#This Row],[CÓDIGO]],Consumo!$Q$3:$Q$862)</f>
        <v>1300</v>
      </c>
      <c r="AT438" s="401">
        <f>SUMIF(Consumo!$C$3:$C$862,tabItens[[#This Row],[CÓDIGO]],Consumo!$Z$3:$Z$862)</f>
        <v>4692</v>
      </c>
      <c r="AU438" s="402">
        <f>SUMIF(Consumo!$C$3:$C$862,tabItens[[#This Row],[CÓDIGO]],Consumo!$AA$3:$AA$862)</f>
        <v>1244</v>
      </c>
      <c r="AV438" s="403">
        <f>SUMIF(Consumo!$C$3:$C$862,tabItens[[#This Row],[CÓDIGO]],Consumo!$Y$3:$Y$862)</f>
        <v>367.41666666666669</v>
      </c>
      <c r="AW438" s="380">
        <f>tabItens[[#This Row],[QTDE ATUAL]] + tabItens[[#This Row],[RC QTDE]] + tabItens[[#This Row],[AF SALDO]] + tabItens[[#This Row],[Recentes]]</f>
        <v>4080</v>
      </c>
      <c r="AX438" s="404">
        <v>266</v>
      </c>
      <c r="AY438" s="404">
        <v>4</v>
      </c>
      <c r="AZ438" s="404">
        <f>IF(ISBLANK(tabItens[[#This Row],[CÓDIGO]]),"",tabItens[[#This Row],[PontoMês]] * (AZ$2+tabItens[[#This Row],[PontoQtM]]))</f>
        <v>1064</v>
      </c>
      <c r="BA438" s="403">
        <f>tabItens[[#This Row],[PontoPed]] - tabItens[[#This Row],[Saldo]] + (1/10)</f>
        <v>-3015.9</v>
      </c>
      <c r="BB438" s="403">
        <f xml:space="preserve"> tabItens[[#This Row],[PontoMês]] * BB$2 - tabItens[[#This Row],[QTDE ATUAL]] - (1/10)</f>
        <v>-1814.1</v>
      </c>
      <c r="BC438" s="335">
        <f>IF( tabItens[[#This Row],[PontoPed]]&gt;0, IF(tabItens[[#This Row],[PontoPed]]&lt;1, 1, IF( tabItens[[#This Row],[Saldo]]&gt;tabItens[[#This Row],[PontoPed]], 0, (tabItens[[#This Row],[PontoPed]]-tabItens[[#This Row],[Saldo]])/tabItens[[#This Row],[PontoPed]] ) ), 0 )</f>
        <v>0</v>
      </c>
      <c r="BD438" s="405">
        <f>ROUNDDOWN(IF( OR( AND(tabItens[[#This Row],[PontoPed]]&lt;tabItens[[#This Row],[Saldo]],tabItens[[#This Row],[Saldo]]&gt;0), tabItens[[#This Row],[PontoPed]]=0), 99, IF(AND(tabItens[[#This Row],[Saldo]]=0,tabItens[[#This Row],[PontoPed]]&gt;0), 0, (1-tabItens[[#This Row],[PctAb]])*10 ) ),0)</f>
        <v>99</v>
      </c>
      <c r="BE438" s="406">
        <f>MAX(ROUNDDOWN( IF(tabItens[[#This Row],[Abaixo]] &gt; 0,   tabItens[[#This Row],[Abaixo]] + (tabItens[[#This Row],[PontoMês]] * IF( OR( ISBLANK(tabItens[[#This Row],[ATA Nº/ANO]]), tabItens[[#This Row],[ATA Nº/ANO]] = ""),BE$2,BE$1)),0),0),0)</f>
        <v>0</v>
      </c>
      <c r="BF43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8" s="338">
        <f>SUMIF(Consumo!$C$3:$C$862,tabItens[[#This Row],[CÓDIGO]],Consumo!$E$3:$E$862)</f>
        <v>29</v>
      </c>
      <c r="BH438" s="339">
        <f>IF(AND(tabItens[[#This Row],[Pend]] &gt; 0,tabItens[[#This Row],[Consumo]] &lt;&gt; 0), tabItens[[#This Row],[Pend]] / tabItens[[#This Row],[Consumo]], 0 )</f>
        <v>6.1807331628303498E-3</v>
      </c>
      <c r="BI438" s="338"/>
      <c r="BJ438" s="407"/>
      <c r="BK438" s="408" t="s">
        <v>2086</v>
      </c>
    </row>
    <row r="439" spans="1:63" x14ac:dyDescent="0.3">
      <c r="A439" s="375">
        <v>12754</v>
      </c>
      <c r="B439" s="376" t="s">
        <v>961</v>
      </c>
      <c r="C439" s="377" t="s">
        <v>267</v>
      </c>
      <c r="D439" s="378">
        <v>1.76</v>
      </c>
      <c r="E439" s="305"/>
      <c r="F439" s="379"/>
      <c r="G439" s="379" t="s">
        <v>889</v>
      </c>
      <c r="H439" s="380">
        <v>311</v>
      </c>
      <c r="I439" s="307">
        <v>103003</v>
      </c>
      <c r="J439" s="308">
        <v>1.76</v>
      </c>
      <c r="K439" s="381">
        <v>870</v>
      </c>
      <c r="L439" s="382">
        <f>IF(tabItens[[#This Row],[Média]] &gt; 0, tabItens[[#This Row],[QTDE ATUAL]] / tabItens[[#This Row],[Média]],999.9)</f>
        <v>2.7421013960323291</v>
      </c>
      <c r="M439" s="383">
        <v>0</v>
      </c>
      <c r="N439" s="384">
        <f>tabItens[[#This Row],[VALOR UNIT.]] * tabItens[[#This Row],[LC]]</f>
        <v>0</v>
      </c>
      <c r="O439" s="385" t="s">
        <v>2094</v>
      </c>
      <c r="P439" s="386"/>
      <c r="Q439" s="387"/>
      <c r="R439" s="312"/>
      <c r="S439" s="388"/>
      <c r="T439" s="389">
        <f>ROUNDDOWN(IFERROR(tabItens[[#This Row],[ATA DT.VALID.]] - $D$1,0) / 30,0)</f>
        <v>-1474</v>
      </c>
      <c r="U439" s="302" t="s">
        <v>898</v>
      </c>
      <c r="V439" s="318">
        <v>1</v>
      </c>
      <c r="W439" s="390" t="s">
        <v>2073</v>
      </c>
      <c r="X439" s="391">
        <v>72</v>
      </c>
      <c r="Y439" s="392">
        <v>6</v>
      </c>
      <c r="Z439" s="393"/>
      <c r="AA439" s="394"/>
      <c r="AB439" s="395"/>
      <c r="AC439" s="395"/>
      <c r="AD439" s="394"/>
      <c r="AE439" s="395"/>
      <c r="AF439" s="317"/>
      <c r="AG439" s="396" t="s">
        <v>2072</v>
      </c>
      <c r="AH439" s="397"/>
      <c r="AI439" s="317">
        <v>454</v>
      </c>
      <c r="AJ439" s="397">
        <v>44874</v>
      </c>
      <c r="AK439" s="326" t="s">
        <v>889</v>
      </c>
      <c r="AL439" s="326">
        <v>45133</v>
      </c>
      <c r="AM439" s="316"/>
      <c r="AN439" s="305"/>
      <c r="AO439" s="327" t="str">
        <f>_xlfn.IFNA(IF(VLOOKUP(tabItens[[#This Row],[CÓDIGO]],tabExcluirDoEstoque[#Data],1,FALSE),"sim",""),"")</f>
        <v/>
      </c>
      <c r="AP439" s="398" t="str">
        <f ca="1">IF(OR(ISBLANK(tabItens[[#This Row],[ATA DT.VALID.]]),tabItens[[#This Row],[ATA DT.VALID.]]="",tabItens[[#This Row],[ATA DT.VALID.]]=" "),"",IF(TYPE(tabItens[[#This Row],[ATA DT.VALID.]])=1,ROUNDUP((tabItens[[#This Row],[ATA DT.VALID.]]-TODAY())/7,0),""))</f>
        <v/>
      </c>
      <c r="AQ439" s="399">
        <v>0</v>
      </c>
      <c r="AR439" s="400" t="str">
        <f>IF(ISBLANK(tabItens[[#This Row],[CÓDIGO]]),"",IFERROR(VLOOKUP(tabItens[[#This Row],[CÓDIGO]],Consumo!$C$2:$AC$862,26,FALSE),0))</f>
        <v>09.2023</v>
      </c>
      <c r="AS439" s="401">
        <f>SUMIF(Consumo!$C$3:$C$862,tabItens[[#This Row],[CÓDIGO]],Consumo!$N$3:$N$862) + SUMIF(Consumo!$C$3:$C$862,tabItens[[#This Row],[CÓDIGO]],Consumo!$O$3:$O$862) + SUMIF(Consumo!$C$3:$C$862,tabItens[[#This Row],[CÓDIGO]],Consumo!$P$3:$P$862) + SUMIF(Consumo!$C$3:$C$862,tabItens[[#This Row],[CÓDIGO]],Consumo!$Q$3:$Q$862)</f>
        <v>540</v>
      </c>
      <c r="AT439" s="401">
        <f>SUMIF(Consumo!$C$3:$C$862,tabItens[[#This Row],[CÓDIGO]],Consumo!$Z$3:$Z$862)</f>
        <v>1361</v>
      </c>
      <c r="AU439" s="402">
        <f>SUMIF(Consumo!$C$3:$C$862,tabItens[[#This Row],[CÓDIGO]],Consumo!$AA$3:$AA$862)</f>
        <v>192</v>
      </c>
      <c r="AV439" s="403">
        <f>SUMIF(Consumo!$C$3:$C$862,tabItens[[#This Row],[CÓDIGO]],Consumo!$Y$3:$Y$862)</f>
        <v>113.41666666666667</v>
      </c>
      <c r="AW439" s="380">
        <f>tabItens[[#This Row],[QTDE ATUAL]] + tabItens[[#This Row],[RC QTDE]] + tabItens[[#This Row],[AF SALDO]] + tabItens[[#This Row],[Recentes]]</f>
        <v>311</v>
      </c>
      <c r="AX439" s="404">
        <v>87</v>
      </c>
      <c r="AY439" s="404">
        <v>4</v>
      </c>
      <c r="AZ439" s="404">
        <f>IF(ISBLANK(tabItens[[#This Row],[CÓDIGO]]),"",tabItens[[#This Row],[PontoMês]] * (AZ$2+tabItens[[#This Row],[PontoQtM]]))</f>
        <v>348</v>
      </c>
      <c r="BA439" s="403">
        <f>tabItens[[#This Row],[PontoPed]] - tabItens[[#This Row],[Saldo]] + (1/10)</f>
        <v>37.1</v>
      </c>
      <c r="BB439" s="403">
        <f xml:space="preserve"> tabItens[[#This Row],[PontoMês]] * BB$2 - tabItens[[#This Row],[QTDE ATUAL]] - (1/10)</f>
        <v>-224.1</v>
      </c>
      <c r="BC439" s="335">
        <f>IF( tabItens[[#This Row],[PontoPed]]&gt;0, IF(tabItens[[#This Row],[PontoPed]]&lt;1, 1, IF( tabItens[[#This Row],[Saldo]]&gt;tabItens[[#This Row],[PontoPed]], 0, (tabItens[[#This Row],[PontoPed]]-tabItens[[#This Row],[Saldo]])/tabItens[[#This Row],[PontoPed]] ) ), 0 )</f>
        <v>0.10632183908045977</v>
      </c>
      <c r="BD439" s="405">
        <f>ROUNDDOWN(IF( OR( AND(tabItens[[#This Row],[PontoPed]]&lt;tabItens[[#This Row],[Saldo]],tabItens[[#This Row],[Saldo]]&gt;0), tabItens[[#This Row],[PontoPed]]=0), 99, IF(AND(tabItens[[#This Row],[Saldo]]=0,tabItens[[#This Row],[PontoPed]]&gt;0), 0, (1-tabItens[[#This Row],[PctAb]])*10 ) ),0)</f>
        <v>8</v>
      </c>
      <c r="BE439" s="406">
        <f>MAX(ROUNDDOWN( IF(tabItens[[#This Row],[Abaixo]] &gt; 0,   tabItens[[#This Row],[Abaixo]] + (tabItens[[#This Row],[PontoMês]] * IF( OR( ISBLANK(tabItens[[#This Row],[ATA Nº/ANO]]), tabItens[[#This Row],[ATA Nº/ANO]] = ""),BE$2,BE$1)),0),0),0)</f>
        <v>298</v>
      </c>
      <c r="BF43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9" s="338">
        <f>SUMIF(Consumo!$C$3:$C$862,tabItens[[#This Row],[CÓDIGO]],Consumo!$E$3:$E$862)</f>
        <v>0</v>
      </c>
      <c r="BH439" s="339">
        <f>IF(AND(tabItens[[#This Row],[Pend]] &gt; 0,tabItens[[#This Row],[Consumo]] &lt;&gt; 0), tabItens[[#This Row],[Pend]] / tabItens[[#This Row],[Consumo]], 0 )</f>
        <v>0</v>
      </c>
      <c r="BI439" s="338"/>
      <c r="BJ439" s="407"/>
      <c r="BK439" s="408" t="s">
        <v>2086</v>
      </c>
    </row>
    <row r="440" spans="1:63" x14ac:dyDescent="0.3">
      <c r="A440" s="375">
        <v>81131</v>
      </c>
      <c r="B440" s="376" t="s">
        <v>1470</v>
      </c>
      <c r="C440" s="377" t="s">
        <v>267</v>
      </c>
      <c r="D440" s="378">
        <v>0.52</v>
      </c>
      <c r="E440" s="305"/>
      <c r="F440" s="379"/>
      <c r="G440" s="379" t="s">
        <v>889</v>
      </c>
      <c r="H440" s="380">
        <v>0</v>
      </c>
      <c r="I440" s="307">
        <v>103003</v>
      </c>
      <c r="J440" s="308">
        <v>0.52</v>
      </c>
      <c r="K440" s="381">
        <v>210</v>
      </c>
      <c r="L440" s="382">
        <f>IF(tabItens[[#This Row],[Média]] &gt; 0, tabItens[[#This Row],[QTDE ATUAL]] / tabItens[[#This Row],[Média]],999.9)</f>
        <v>0</v>
      </c>
      <c r="M440" s="383">
        <v>0</v>
      </c>
      <c r="N440" s="384">
        <f>tabItens[[#This Row],[VALOR UNIT.]] * tabItens[[#This Row],[LC]]</f>
        <v>0</v>
      </c>
      <c r="O440" s="385" t="s">
        <v>2094</v>
      </c>
      <c r="P440" s="386"/>
      <c r="Q440" s="387"/>
      <c r="R440" s="312"/>
      <c r="S440" s="388"/>
      <c r="T440" s="389">
        <f>ROUNDDOWN(IFERROR(tabItens[[#This Row],[ATA DT.VALID.]] - $D$1,0) / 30,0)</f>
        <v>-1474</v>
      </c>
      <c r="U440" s="302" t="s">
        <v>898</v>
      </c>
      <c r="V440" s="318">
        <v>1</v>
      </c>
      <c r="W440" s="390" t="s">
        <v>2073</v>
      </c>
      <c r="X440" s="391">
        <v>72</v>
      </c>
      <c r="Y440" s="392">
        <v>6</v>
      </c>
      <c r="Z440" s="393">
        <v>9010</v>
      </c>
      <c r="AA440" s="394">
        <v>2023</v>
      </c>
      <c r="AB440" s="395">
        <v>70</v>
      </c>
      <c r="AC440" s="395"/>
      <c r="AD440" s="394"/>
      <c r="AE440" s="395"/>
      <c r="AF440" s="317"/>
      <c r="AG440" s="396" t="s">
        <v>2072</v>
      </c>
      <c r="AH440" s="397"/>
      <c r="AI440" s="317">
        <v>78</v>
      </c>
      <c r="AJ440" s="397">
        <v>43682</v>
      </c>
      <c r="AK440" s="326">
        <v>38205</v>
      </c>
      <c r="AL440" s="326">
        <v>43851</v>
      </c>
      <c r="AM440" s="316"/>
      <c r="AN440" s="305"/>
      <c r="AO440" s="327" t="str">
        <f>_xlfn.IFNA(IF(VLOOKUP(tabItens[[#This Row],[CÓDIGO]],tabExcluirDoEstoque[#Data],1,FALSE),"sim",""),"")</f>
        <v/>
      </c>
      <c r="AP440" s="398" t="str">
        <f ca="1">IF(OR(ISBLANK(tabItens[[#This Row],[ATA DT.VALID.]]),tabItens[[#This Row],[ATA DT.VALID.]]="",tabItens[[#This Row],[ATA DT.VALID.]]=" "),"",IF(TYPE(tabItens[[#This Row],[ATA DT.VALID.]])=1,ROUNDUP((tabItens[[#This Row],[ATA DT.VALID.]]-TODAY())/7,0),""))</f>
        <v/>
      </c>
      <c r="AQ440" s="399">
        <v>0</v>
      </c>
      <c r="AR440" s="400" t="str">
        <f>IF(ISBLANK(tabItens[[#This Row],[CÓDIGO]]),"",IFERROR(VLOOKUP(tabItens[[#This Row],[CÓDIGO]],Consumo!$C$2:$AC$862,26,FALSE),0))</f>
        <v>06.2023</v>
      </c>
      <c r="AS440" s="401">
        <f>SUMIF(Consumo!$C$3:$C$862,tabItens[[#This Row],[CÓDIGO]],Consumo!$N$3:$N$862) + SUMIF(Consumo!$C$3:$C$862,tabItens[[#This Row],[CÓDIGO]],Consumo!$O$3:$O$862) + SUMIF(Consumo!$C$3:$C$862,tabItens[[#This Row],[CÓDIGO]],Consumo!$P$3:$P$862) + SUMIF(Consumo!$C$3:$C$862,tabItens[[#This Row],[CÓDIGO]],Consumo!$Q$3:$Q$862)</f>
        <v>17</v>
      </c>
      <c r="AT440" s="401">
        <f>SUMIF(Consumo!$C$3:$C$862,tabItens[[#This Row],[CÓDIGO]],Consumo!$Z$3:$Z$862)</f>
        <v>233</v>
      </c>
      <c r="AU440" s="402">
        <f>SUMIF(Consumo!$C$3:$C$862,tabItens[[#This Row],[CÓDIGO]],Consumo!$AA$3:$AA$862)</f>
        <v>71</v>
      </c>
      <c r="AV440" s="403">
        <f>SUMIF(Consumo!$C$3:$C$862,tabItens[[#This Row],[CÓDIGO]],Consumo!$Y$3:$Y$862)</f>
        <v>18.75</v>
      </c>
      <c r="AW440" s="380">
        <f>tabItens[[#This Row],[QTDE ATUAL]] + tabItens[[#This Row],[RC QTDE]] + tabItens[[#This Row],[AF SALDO]] + tabItens[[#This Row],[Recentes]]</f>
        <v>70</v>
      </c>
      <c r="AX440" s="404">
        <v>10</v>
      </c>
      <c r="AY440" s="404">
        <v>4</v>
      </c>
      <c r="AZ440" s="404">
        <f>IF(ISBLANK(tabItens[[#This Row],[CÓDIGO]]),"",tabItens[[#This Row],[PontoMês]] * (AZ$2+tabItens[[#This Row],[PontoQtM]]))</f>
        <v>40</v>
      </c>
      <c r="BA440" s="403">
        <f>tabItens[[#This Row],[PontoPed]] - tabItens[[#This Row],[Saldo]] + (1/10)</f>
        <v>-29.9</v>
      </c>
      <c r="BB440" s="403">
        <f xml:space="preserve"> tabItens[[#This Row],[PontoMês]] * BB$2 - tabItens[[#This Row],[QTDE ATUAL]] - (1/10)</f>
        <v>9.9</v>
      </c>
      <c r="BC440" s="335">
        <f>IF( tabItens[[#This Row],[PontoPed]]&gt;0, IF(tabItens[[#This Row],[PontoPed]]&lt;1, 1, IF( tabItens[[#This Row],[Saldo]]&gt;tabItens[[#This Row],[PontoPed]], 0, (tabItens[[#This Row],[PontoPed]]-tabItens[[#This Row],[Saldo]])/tabItens[[#This Row],[PontoPed]] ) ), 0 )</f>
        <v>0</v>
      </c>
      <c r="BD440" s="405">
        <f>ROUNDDOWN(IF( OR( AND(tabItens[[#This Row],[PontoPed]]&lt;tabItens[[#This Row],[Saldo]],tabItens[[#This Row],[Saldo]]&gt;0), tabItens[[#This Row],[PontoPed]]=0), 99, IF(AND(tabItens[[#This Row],[Saldo]]=0,tabItens[[#This Row],[PontoPed]]&gt;0), 0, (1-tabItens[[#This Row],[PctAb]])*10 ) ),0)</f>
        <v>99</v>
      </c>
      <c r="BE440" s="406">
        <f>MAX(ROUNDDOWN( IF(tabItens[[#This Row],[Abaixo]] &gt; 0,   tabItens[[#This Row],[Abaixo]] + (tabItens[[#This Row],[PontoMês]] * IF( OR( ISBLANK(tabItens[[#This Row],[ATA Nº/ANO]]), tabItens[[#This Row],[ATA Nº/ANO]] = ""),BE$2,BE$1)),0),0),0)</f>
        <v>0</v>
      </c>
      <c r="BF44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0" s="338">
        <f>SUMIF(Consumo!$C$3:$C$862,tabItens[[#This Row],[CÓDIGO]],Consumo!$E$3:$E$862)</f>
        <v>0</v>
      </c>
      <c r="BH440" s="339">
        <f>IF(AND(tabItens[[#This Row],[Pend]] &gt; 0,tabItens[[#This Row],[Consumo]] &lt;&gt; 0), tabItens[[#This Row],[Pend]] / tabItens[[#This Row],[Consumo]], 0 )</f>
        <v>0</v>
      </c>
      <c r="BI440" s="338"/>
      <c r="BJ440" s="407"/>
      <c r="BK440" s="408" t="s">
        <v>2086</v>
      </c>
    </row>
    <row r="441" spans="1:63" x14ac:dyDescent="0.3">
      <c r="A441" s="375">
        <v>134373</v>
      </c>
      <c r="B441" s="376" t="s">
        <v>1880</v>
      </c>
      <c r="C441" s="377" t="s">
        <v>31</v>
      </c>
      <c r="D441" s="378">
        <v>18.88</v>
      </c>
      <c r="E441" s="305"/>
      <c r="F441" s="379"/>
      <c r="G441" s="379" t="s">
        <v>889</v>
      </c>
      <c r="H441" s="380">
        <v>0</v>
      </c>
      <c r="I441" s="307">
        <v>103003</v>
      </c>
      <c r="J441" s="308">
        <v>18.88</v>
      </c>
      <c r="K441" s="381">
        <v>4131</v>
      </c>
      <c r="L441" s="382">
        <f>IF(tabItens[[#This Row],[Média]] &gt; 0, tabItens[[#This Row],[QTDE ATUAL]] / tabItens[[#This Row],[Média]],999.9)</f>
        <v>0</v>
      </c>
      <c r="M441" s="383">
        <v>0</v>
      </c>
      <c r="N441" s="384">
        <f>tabItens[[#This Row],[VALOR UNIT.]] * tabItens[[#This Row],[LC]]</f>
        <v>0</v>
      </c>
      <c r="O441" s="385" t="s">
        <v>2203</v>
      </c>
      <c r="P441" s="386"/>
      <c r="Q441" s="387"/>
      <c r="R441" s="312"/>
      <c r="S441" s="388"/>
      <c r="T441" s="389">
        <f>ROUNDDOWN(IFERROR(tabItens[[#This Row],[ATA DT.VALID.]] - $D$1,0) / 30,0)</f>
        <v>-1474</v>
      </c>
      <c r="U441" s="302" t="s">
        <v>1881</v>
      </c>
      <c r="V441" s="318">
        <v>1</v>
      </c>
      <c r="W441" s="390" t="s">
        <v>2077</v>
      </c>
      <c r="X441" s="391">
        <v>55</v>
      </c>
      <c r="Y441" s="392">
        <v>66</v>
      </c>
      <c r="Z441" s="393">
        <v>2376</v>
      </c>
      <c r="AA441" s="394">
        <v>2023</v>
      </c>
      <c r="AB441" s="395">
        <v>3000</v>
      </c>
      <c r="AC441" s="395"/>
      <c r="AD441" s="394"/>
      <c r="AE441" s="395"/>
      <c r="AF441" s="317"/>
      <c r="AG441" s="396" t="s">
        <v>2072</v>
      </c>
      <c r="AH441" s="397"/>
      <c r="AI441" s="317">
        <v>1970</v>
      </c>
      <c r="AJ441" s="397">
        <v>44522</v>
      </c>
      <c r="AK441" s="326">
        <v>43154</v>
      </c>
      <c r="AL441" s="326">
        <v>44917</v>
      </c>
      <c r="AM441" s="316"/>
      <c r="AN441" s="305"/>
      <c r="AO441" s="327" t="str">
        <f>_xlfn.IFNA(IF(VLOOKUP(tabItens[[#This Row],[CÓDIGO]],tabExcluirDoEstoque[#Data],1,FALSE),"sim",""),"")</f>
        <v/>
      </c>
      <c r="AP441" s="398" t="str">
        <f ca="1">IF(OR(ISBLANK(tabItens[[#This Row],[ATA DT.VALID.]]),tabItens[[#This Row],[ATA DT.VALID.]]="",tabItens[[#This Row],[ATA DT.VALID.]]=" "),"",IF(TYPE(tabItens[[#This Row],[ATA DT.VALID.]])=1,ROUNDUP((tabItens[[#This Row],[ATA DT.VALID.]]-TODAY())/7,0),""))</f>
        <v/>
      </c>
      <c r="AQ441" s="399">
        <v>0</v>
      </c>
      <c r="AR441" s="400" t="str">
        <f>IF(ISBLANK(tabItens[[#This Row],[CÓDIGO]]),"",IFERROR(VLOOKUP(tabItens[[#This Row],[CÓDIGO]],Consumo!$C$2:$AC$862,26,FALSE),0))</f>
        <v>09.2023</v>
      </c>
      <c r="AS441" s="401">
        <f>SUMIF(Consumo!$C$3:$C$862,tabItens[[#This Row],[CÓDIGO]],Consumo!$N$3:$N$862) + SUMIF(Consumo!$C$3:$C$862,tabItens[[#This Row],[CÓDIGO]],Consumo!$O$3:$O$862) + SUMIF(Consumo!$C$3:$C$862,tabItens[[#This Row],[CÓDIGO]],Consumo!$P$3:$P$862) + SUMIF(Consumo!$C$3:$C$862,tabItens[[#This Row],[CÓDIGO]],Consumo!$Q$3:$Q$862)</f>
        <v>1923</v>
      </c>
      <c r="AT441" s="401">
        <f>SUMIF(Consumo!$C$3:$C$862,tabItens[[#This Row],[CÓDIGO]],Consumo!$Z$3:$Z$862)</f>
        <v>5816</v>
      </c>
      <c r="AU441" s="402">
        <f>SUMIF(Consumo!$C$3:$C$862,tabItens[[#This Row],[CÓDIGO]],Consumo!$AA$3:$AA$862)</f>
        <v>925</v>
      </c>
      <c r="AV441" s="403">
        <f>SUMIF(Consumo!$C$3:$C$862,tabItens[[#This Row],[CÓDIGO]],Consumo!$Y$3:$Y$862)</f>
        <v>484.66666666666669</v>
      </c>
      <c r="AW441" s="380">
        <f>tabItens[[#This Row],[QTDE ATUAL]] + tabItens[[#This Row],[RC QTDE]] + tabItens[[#This Row],[AF SALDO]] + tabItens[[#This Row],[Recentes]]</f>
        <v>3000</v>
      </c>
      <c r="AX441" s="404">
        <v>1000</v>
      </c>
      <c r="AY441" s="404">
        <v>4</v>
      </c>
      <c r="AZ441" s="404">
        <f>IF(ISBLANK(tabItens[[#This Row],[CÓDIGO]]),"",tabItens[[#This Row],[PontoMês]] * (AZ$2+tabItens[[#This Row],[PontoQtM]]))</f>
        <v>4000</v>
      </c>
      <c r="BA441" s="403">
        <f>tabItens[[#This Row],[PontoPed]] - tabItens[[#This Row],[Saldo]] + (1/10)</f>
        <v>1000.1</v>
      </c>
      <c r="BB441" s="403">
        <f xml:space="preserve"> tabItens[[#This Row],[PontoMês]] * BB$2 - tabItens[[#This Row],[QTDE ATUAL]] - (1/10)</f>
        <v>999.9</v>
      </c>
      <c r="BC441" s="335">
        <f>IF( tabItens[[#This Row],[PontoPed]]&gt;0, IF(tabItens[[#This Row],[PontoPed]]&lt;1, 1, IF( tabItens[[#This Row],[Saldo]]&gt;tabItens[[#This Row],[PontoPed]], 0, (tabItens[[#This Row],[PontoPed]]-tabItens[[#This Row],[Saldo]])/tabItens[[#This Row],[PontoPed]] ) ), 0 )</f>
        <v>0.25</v>
      </c>
      <c r="BD441" s="405">
        <f>ROUNDDOWN(IF( OR( AND(tabItens[[#This Row],[PontoPed]]&lt;tabItens[[#This Row],[Saldo]],tabItens[[#This Row],[Saldo]]&gt;0), tabItens[[#This Row],[PontoPed]]=0), 99, IF(AND(tabItens[[#This Row],[Saldo]]=0,tabItens[[#This Row],[PontoPed]]&gt;0), 0, (1-tabItens[[#This Row],[PctAb]])*10 ) ),0)</f>
        <v>7</v>
      </c>
      <c r="BE441" s="406">
        <f>MAX(ROUNDDOWN( IF(tabItens[[#This Row],[Abaixo]] &gt; 0,   tabItens[[#This Row],[Abaixo]] + (tabItens[[#This Row],[PontoMês]] * IF( OR( ISBLANK(tabItens[[#This Row],[ATA Nº/ANO]]), tabItens[[#This Row],[ATA Nº/ANO]] = ""),BE$2,BE$1)),0),0),0)</f>
        <v>4000</v>
      </c>
      <c r="BF44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1" s="338">
        <f>SUMIF(Consumo!$C$3:$C$862,tabItens[[#This Row],[CÓDIGO]],Consumo!$E$3:$E$862)</f>
        <v>12</v>
      </c>
      <c r="BH441" s="339">
        <f>IF(AND(tabItens[[#This Row],[Pend]] &gt; 0,tabItens[[#This Row],[Consumo]] &lt;&gt; 0), tabItens[[#This Row],[Pend]] / tabItens[[#This Row],[Consumo]], 0 )</f>
        <v>2.0632737276478678E-3</v>
      </c>
      <c r="BI441" s="338"/>
      <c r="BJ441" s="407"/>
      <c r="BK441" s="408" t="s">
        <v>2086</v>
      </c>
    </row>
    <row r="442" spans="1:63" x14ac:dyDescent="0.3">
      <c r="A442" s="375">
        <v>135088</v>
      </c>
      <c r="B442" s="376" t="s">
        <v>1909</v>
      </c>
      <c r="C442" s="377" t="s">
        <v>31</v>
      </c>
      <c r="D442" s="378">
        <v>10.83</v>
      </c>
      <c r="E442" s="305"/>
      <c r="F442" s="379"/>
      <c r="G442" s="379" t="s">
        <v>889</v>
      </c>
      <c r="H442" s="380">
        <v>354</v>
      </c>
      <c r="I442" s="307">
        <v>103003</v>
      </c>
      <c r="J442" s="308">
        <v>10.83</v>
      </c>
      <c r="K442" s="381">
        <v>257</v>
      </c>
      <c r="L442" s="382">
        <f>IF(tabItens[[#This Row],[Média]] &gt; 0, tabItens[[#This Row],[QTDE ATUAL]] / tabItens[[#This Row],[Média]],999.9)</f>
        <v>18.153846153846153</v>
      </c>
      <c r="M442" s="383">
        <v>0</v>
      </c>
      <c r="N442" s="384">
        <f>tabItens[[#This Row],[VALOR UNIT.]] * tabItens[[#This Row],[LC]]</f>
        <v>0</v>
      </c>
      <c r="O442" s="385" t="s">
        <v>2203</v>
      </c>
      <c r="P442" s="386"/>
      <c r="Q442" s="387"/>
      <c r="R442" s="312"/>
      <c r="S442" s="388"/>
      <c r="T442" s="389">
        <f>ROUNDDOWN(IFERROR(tabItens[[#This Row],[ATA DT.VALID.]] - $D$1,0) / 30,0)</f>
        <v>-1474</v>
      </c>
      <c r="U442" s="302" t="s">
        <v>1881</v>
      </c>
      <c r="V442" s="318">
        <v>1</v>
      </c>
      <c r="W442" s="390" t="s">
        <v>2077</v>
      </c>
      <c r="X442" s="391">
        <v>55</v>
      </c>
      <c r="Y442" s="392">
        <v>66</v>
      </c>
      <c r="Z442" s="393">
        <v>2664</v>
      </c>
      <c r="AA442" s="394">
        <v>2023</v>
      </c>
      <c r="AB442" s="395">
        <v>300</v>
      </c>
      <c r="AC442" s="395"/>
      <c r="AD442" s="394"/>
      <c r="AE442" s="395"/>
      <c r="AF442" s="317"/>
      <c r="AG442" s="396" t="s">
        <v>2072</v>
      </c>
      <c r="AH442" s="397"/>
      <c r="AI442" s="317">
        <v>86</v>
      </c>
      <c r="AJ442" s="397">
        <v>44742</v>
      </c>
      <c r="AK442" s="326">
        <v>43238</v>
      </c>
      <c r="AL442" s="326">
        <v>44722</v>
      </c>
      <c r="AM442" s="316"/>
      <c r="AN442" s="305"/>
      <c r="AO442" s="327" t="str">
        <f>_xlfn.IFNA(IF(VLOOKUP(tabItens[[#This Row],[CÓDIGO]],tabExcluirDoEstoque[#Data],1,FALSE),"sim",""),"")</f>
        <v/>
      </c>
      <c r="AP442" s="398" t="str">
        <f ca="1">IF(OR(ISBLANK(tabItens[[#This Row],[ATA DT.VALID.]]),tabItens[[#This Row],[ATA DT.VALID.]]="",tabItens[[#This Row],[ATA DT.VALID.]]=" "),"",IF(TYPE(tabItens[[#This Row],[ATA DT.VALID.]])=1,ROUNDUP((tabItens[[#This Row],[ATA DT.VALID.]]-TODAY())/7,0),""))</f>
        <v/>
      </c>
      <c r="AQ442" s="399">
        <v>0</v>
      </c>
      <c r="AR442" s="400" t="str">
        <f>IF(ISBLANK(tabItens[[#This Row],[CÓDIGO]]),"",IFERROR(VLOOKUP(tabItens[[#This Row],[CÓDIGO]],Consumo!$C$2:$AC$862,26,FALSE),0))</f>
        <v>06.2023</v>
      </c>
      <c r="AS442" s="401">
        <f>SUMIF(Consumo!$C$3:$C$862,tabItens[[#This Row],[CÓDIGO]],Consumo!$N$3:$N$862) + SUMIF(Consumo!$C$3:$C$862,tabItens[[#This Row],[CÓDIGO]],Consumo!$O$3:$O$862) + SUMIF(Consumo!$C$3:$C$862,tabItens[[#This Row],[CÓDIGO]],Consumo!$P$3:$P$862) + SUMIF(Consumo!$C$3:$C$862,tabItens[[#This Row],[CÓDIGO]],Consumo!$Q$3:$Q$862)</f>
        <v>2</v>
      </c>
      <c r="AT442" s="401">
        <f>SUMIF(Consumo!$C$3:$C$862,tabItens[[#This Row],[CÓDIGO]],Consumo!$Z$3:$Z$862)</f>
        <v>257</v>
      </c>
      <c r="AU442" s="402">
        <f>SUMIF(Consumo!$C$3:$C$862,tabItens[[#This Row],[CÓDIGO]],Consumo!$AA$3:$AA$862)</f>
        <v>125</v>
      </c>
      <c r="AV442" s="403">
        <f>SUMIF(Consumo!$C$3:$C$862,tabItens[[#This Row],[CÓDIGO]],Consumo!$Y$3:$Y$862)</f>
        <v>19.5</v>
      </c>
      <c r="AW442" s="380">
        <f>tabItens[[#This Row],[QTDE ATUAL]] + tabItens[[#This Row],[RC QTDE]] + tabItens[[#This Row],[AF SALDO]] + tabItens[[#This Row],[Recentes]]</f>
        <v>654</v>
      </c>
      <c r="AX442" s="404">
        <v>40</v>
      </c>
      <c r="AY442" s="404">
        <v>4</v>
      </c>
      <c r="AZ442" s="404">
        <f>IF(ISBLANK(tabItens[[#This Row],[CÓDIGO]]),"",tabItens[[#This Row],[PontoMês]] * (AZ$2+tabItens[[#This Row],[PontoQtM]]))</f>
        <v>160</v>
      </c>
      <c r="BA442" s="403">
        <f>tabItens[[#This Row],[PontoPed]] - tabItens[[#This Row],[Saldo]] + (1/10)</f>
        <v>-493.9</v>
      </c>
      <c r="BB442" s="403">
        <f xml:space="preserve"> tabItens[[#This Row],[PontoMês]] * BB$2 - tabItens[[#This Row],[QTDE ATUAL]] - (1/10)</f>
        <v>-314.10000000000002</v>
      </c>
      <c r="BC442" s="335">
        <f>IF( tabItens[[#This Row],[PontoPed]]&gt;0, IF(tabItens[[#This Row],[PontoPed]]&lt;1, 1, IF( tabItens[[#This Row],[Saldo]]&gt;tabItens[[#This Row],[PontoPed]], 0, (tabItens[[#This Row],[PontoPed]]-tabItens[[#This Row],[Saldo]])/tabItens[[#This Row],[PontoPed]] ) ), 0 )</f>
        <v>0</v>
      </c>
      <c r="BD442" s="405">
        <f>ROUNDDOWN(IF( OR( AND(tabItens[[#This Row],[PontoPed]]&lt;tabItens[[#This Row],[Saldo]],tabItens[[#This Row],[Saldo]]&gt;0), tabItens[[#This Row],[PontoPed]]=0), 99, IF(AND(tabItens[[#This Row],[Saldo]]=0,tabItens[[#This Row],[PontoPed]]&gt;0), 0, (1-tabItens[[#This Row],[PctAb]])*10 ) ),0)</f>
        <v>99</v>
      </c>
      <c r="BE442" s="406">
        <f>MAX(ROUNDDOWN( IF(tabItens[[#This Row],[Abaixo]] &gt; 0,   tabItens[[#This Row],[Abaixo]] + (tabItens[[#This Row],[PontoMês]] * IF( OR( ISBLANK(tabItens[[#This Row],[ATA Nº/ANO]]), tabItens[[#This Row],[ATA Nº/ANO]] = ""),BE$2,BE$1)),0),0),0)</f>
        <v>0</v>
      </c>
      <c r="BF44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2" s="338">
        <f>SUMIF(Consumo!$C$3:$C$862,tabItens[[#This Row],[CÓDIGO]],Consumo!$E$3:$E$862)</f>
        <v>0</v>
      </c>
      <c r="BH442" s="339">
        <f>IF(AND(tabItens[[#This Row],[Pend]] &gt; 0,tabItens[[#This Row],[Consumo]] &lt;&gt; 0), tabItens[[#This Row],[Pend]] / tabItens[[#This Row],[Consumo]], 0 )</f>
        <v>0</v>
      </c>
      <c r="BI442" s="338"/>
      <c r="BJ442" s="407"/>
      <c r="BK442" s="408" t="s">
        <v>2086</v>
      </c>
    </row>
    <row r="443" spans="1:63" x14ac:dyDescent="0.3">
      <c r="A443" s="375">
        <v>130572</v>
      </c>
      <c r="B443" s="376" t="s">
        <v>1805</v>
      </c>
      <c r="C443" s="377" t="s">
        <v>436</v>
      </c>
      <c r="D443" s="378">
        <v>6.47</v>
      </c>
      <c r="E443" s="305"/>
      <c r="F443" s="379"/>
      <c r="G443" s="379" t="s">
        <v>889</v>
      </c>
      <c r="H443" s="380">
        <v>0</v>
      </c>
      <c r="I443" s="307">
        <v>103003</v>
      </c>
      <c r="J443" s="308">
        <v>6.47</v>
      </c>
      <c r="K443" s="381"/>
      <c r="L443" s="382">
        <f>IF(tabItens[[#This Row],[Média]] &gt; 0, tabItens[[#This Row],[QTDE ATUAL]] / tabItens[[#This Row],[Média]],999.9)</f>
        <v>999.9</v>
      </c>
      <c r="M443" s="383">
        <v>0</v>
      </c>
      <c r="N443" s="384">
        <f>tabItens[[#This Row],[VALOR UNIT.]] * tabItens[[#This Row],[LC]]</f>
        <v>0</v>
      </c>
      <c r="O443" s="385" t="s">
        <v>2198</v>
      </c>
      <c r="P443" s="386"/>
      <c r="Q443" s="387"/>
      <c r="R443" s="312"/>
      <c r="S443" s="388"/>
      <c r="T443" s="389">
        <f>ROUNDDOWN(IFERROR(tabItens[[#This Row],[ATA DT.VALID.]] - $D$1,0) / 30,0)</f>
        <v>-1474</v>
      </c>
      <c r="U443" s="302" t="s">
        <v>1492</v>
      </c>
      <c r="V443" s="318">
        <v>1</v>
      </c>
      <c r="W443" s="390" t="s">
        <v>2081</v>
      </c>
      <c r="X443" s="391">
        <v>54</v>
      </c>
      <c r="Y443" s="392">
        <v>4</v>
      </c>
      <c r="Z443" s="393">
        <v>2825</v>
      </c>
      <c r="AA443" s="394">
        <v>2023</v>
      </c>
      <c r="AB443" s="395">
        <v>20</v>
      </c>
      <c r="AC443" s="395"/>
      <c r="AD443" s="394"/>
      <c r="AE443" s="395"/>
      <c r="AF443" s="317"/>
      <c r="AG443" s="396" t="s">
        <v>2072</v>
      </c>
      <c r="AH443" s="397"/>
      <c r="AI443" s="317">
        <v>0</v>
      </c>
      <c r="AJ443" s="397">
        <v>43819</v>
      </c>
      <c r="AK443" s="326">
        <v>42188</v>
      </c>
      <c r="AL443" s="326">
        <v>44232</v>
      </c>
      <c r="AM443" s="316"/>
      <c r="AN443" s="305"/>
      <c r="AO443" s="327" t="str">
        <f>_xlfn.IFNA(IF(VLOOKUP(tabItens[[#This Row],[CÓDIGO]],tabExcluirDoEstoque[#Data],1,FALSE),"sim",""),"")</f>
        <v/>
      </c>
      <c r="AP443" s="398" t="str">
        <f ca="1">IF(OR(ISBLANK(tabItens[[#This Row],[ATA DT.VALID.]]),tabItens[[#This Row],[ATA DT.VALID.]]="",tabItens[[#This Row],[ATA DT.VALID.]]=" "),"",IF(TYPE(tabItens[[#This Row],[ATA DT.VALID.]])=1,ROUNDUP((tabItens[[#This Row],[ATA DT.VALID.]]-TODAY())/7,0),""))</f>
        <v/>
      </c>
      <c r="AQ443" s="399">
        <v>0</v>
      </c>
      <c r="AR443" s="400">
        <f>IF(ISBLANK(tabItens[[#This Row],[CÓDIGO]]),"",IFERROR(VLOOKUP(tabItens[[#This Row],[CÓDIGO]],Consumo!$C$2:$AC$862,26,FALSE),0))</f>
        <v>0</v>
      </c>
      <c r="AS443" s="401">
        <f>SUMIF(Consumo!$C$3:$C$862,tabItens[[#This Row],[CÓDIGO]],Consumo!$N$3:$N$862) + SUMIF(Consumo!$C$3:$C$862,tabItens[[#This Row],[CÓDIGO]],Consumo!$O$3:$O$862) + SUMIF(Consumo!$C$3:$C$862,tabItens[[#This Row],[CÓDIGO]],Consumo!$P$3:$P$862) + SUMIF(Consumo!$C$3:$C$862,tabItens[[#This Row],[CÓDIGO]],Consumo!$Q$3:$Q$862)</f>
        <v>0</v>
      </c>
      <c r="AT443" s="401">
        <f>SUMIF(Consumo!$C$3:$C$862,tabItens[[#This Row],[CÓDIGO]],Consumo!$Z$3:$Z$862)</f>
        <v>0</v>
      </c>
      <c r="AU443" s="402">
        <f>SUMIF(Consumo!$C$3:$C$862,tabItens[[#This Row],[CÓDIGO]],Consumo!$AA$3:$AA$862)</f>
        <v>0</v>
      </c>
      <c r="AV443" s="403">
        <f>SUMIF(Consumo!$C$3:$C$862,tabItens[[#This Row],[CÓDIGO]],Consumo!$Y$3:$Y$862)</f>
        <v>0</v>
      </c>
      <c r="AW443" s="380">
        <f>tabItens[[#This Row],[QTDE ATUAL]] + tabItens[[#This Row],[RC QTDE]] + tabItens[[#This Row],[AF SALDO]] + tabItens[[#This Row],[Recentes]]</f>
        <v>20</v>
      </c>
      <c r="AX443" s="404">
        <v>0</v>
      </c>
      <c r="AY443" s="404">
        <v>4</v>
      </c>
      <c r="AZ443" s="404">
        <f>IF(ISBLANK(tabItens[[#This Row],[CÓDIGO]]),"",tabItens[[#This Row],[PontoMês]] * (AZ$2+tabItens[[#This Row],[PontoQtM]]))</f>
        <v>0</v>
      </c>
      <c r="BA443" s="403">
        <f>tabItens[[#This Row],[PontoPed]] - tabItens[[#This Row],[Saldo]] + (1/10)</f>
        <v>-19.899999999999999</v>
      </c>
      <c r="BB443" s="403">
        <f xml:space="preserve"> tabItens[[#This Row],[PontoMês]] * BB$2 - tabItens[[#This Row],[QTDE ATUAL]] - (1/10)</f>
        <v>-0.1</v>
      </c>
      <c r="BC443" s="335">
        <f>IF( tabItens[[#This Row],[PontoPed]]&gt;0, IF(tabItens[[#This Row],[PontoPed]]&lt;1, 1, IF( tabItens[[#This Row],[Saldo]]&gt;tabItens[[#This Row],[PontoPed]], 0, (tabItens[[#This Row],[PontoPed]]-tabItens[[#This Row],[Saldo]])/tabItens[[#This Row],[PontoPed]] ) ), 0 )</f>
        <v>0</v>
      </c>
      <c r="BD443" s="405">
        <f>ROUNDDOWN(IF( OR( AND(tabItens[[#This Row],[PontoPed]]&lt;tabItens[[#This Row],[Saldo]],tabItens[[#This Row],[Saldo]]&gt;0), tabItens[[#This Row],[PontoPed]]=0), 99, IF(AND(tabItens[[#This Row],[Saldo]]=0,tabItens[[#This Row],[PontoPed]]&gt;0), 0, (1-tabItens[[#This Row],[PctAb]])*10 ) ),0)</f>
        <v>99</v>
      </c>
      <c r="BE443" s="406">
        <f>MAX(ROUNDDOWN( IF(tabItens[[#This Row],[Abaixo]] &gt; 0,   tabItens[[#This Row],[Abaixo]] + (tabItens[[#This Row],[PontoMês]] * IF( OR( ISBLANK(tabItens[[#This Row],[ATA Nº/ANO]]), tabItens[[#This Row],[ATA Nº/ANO]] = ""),BE$2,BE$1)),0),0),0)</f>
        <v>0</v>
      </c>
      <c r="BF44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3" s="338">
        <f>SUMIF(Consumo!$C$3:$C$862,tabItens[[#This Row],[CÓDIGO]],Consumo!$E$3:$E$862)</f>
        <v>0</v>
      </c>
      <c r="BH443" s="339">
        <f>IF(AND(tabItens[[#This Row],[Pend]] &gt; 0,tabItens[[#This Row],[Consumo]] &lt;&gt; 0), tabItens[[#This Row],[Pend]] / tabItens[[#This Row],[Consumo]], 0 )</f>
        <v>0</v>
      </c>
      <c r="BI443" s="338"/>
      <c r="BJ443" s="407"/>
      <c r="BK443" s="408" t="s">
        <v>2086</v>
      </c>
    </row>
    <row r="444" spans="1:63" x14ac:dyDescent="0.3">
      <c r="A444" s="375">
        <v>15813</v>
      </c>
      <c r="B444" s="376" t="s">
        <v>1110</v>
      </c>
      <c r="C444" s="377" t="s">
        <v>263</v>
      </c>
      <c r="D444" s="378">
        <v>0.6</v>
      </c>
      <c r="E444" s="305"/>
      <c r="F444" s="379"/>
      <c r="G444" s="379" t="s">
        <v>889</v>
      </c>
      <c r="H444" s="380">
        <v>1765</v>
      </c>
      <c r="I444" s="307">
        <v>103003</v>
      </c>
      <c r="J444" s="308">
        <v>0.6</v>
      </c>
      <c r="K444" s="381">
        <v>5635</v>
      </c>
      <c r="L444" s="382">
        <f>IF(tabItens[[#This Row],[Média]] &gt; 0, tabItens[[#This Row],[QTDE ATUAL]] / tabItens[[#This Row],[Média]],999.9)</f>
        <v>3.0924222514235655</v>
      </c>
      <c r="M444" s="383">
        <v>0</v>
      </c>
      <c r="N444" s="384">
        <f>tabItens[[#This Row],[VALOR UNIT.]] * tabItens[[#This Row],[LC]]</f>
        <v>0</v>
      </c>
      <c r="O444" s="385" t="s">
        <v>2126</v>
      </c>
      <c r="P444" s="386"/>
      <c r="Q444" s="387"/>
      <c r="R444" s="312"/>
      <c r="S444" s="388"/>
      <c r="T444" s="389">
        <f>ROUNDDOWN(IFERROR(tabItens[[#This Row],[ATA DT.VALID.]] - $D$1,0) / 30,0)</f>
        <v>-1474</v>
      </c>
      <c r="U444" s="302" t="s">
        <v>1111</v>
      </c>
      <c r="V444" s="318">
        <v>1</v>
      </c>
      <c r="W444" s="390" t="s">
        <v>2071</v>
      </c>
      <c r="X444" s="391">
        <v>51</v>
      </c>
      <c r="Y444" s="392">
        <v>6</v>
      </c>
      <c r="Z444" s="393">
        <v>9011</v>
      </c>
      <c r="AA444" s="394">
        <v>2023</v>
      </c>
      <c r="AB444" s="395">
        <v>2200</v>
      </c>
      <c r="AC444" s="395"/>
      <c r="AD444" s="394"/>
      <c r="AE444" s="395"/>
      <c r="AF444" s="317"/>
      <c r="AG444" s="396" t="s">
        <v>2072</v>
      </c>
      <c r="AH444" s="397"/>
      <c r="AI444" s="317">
        <v>2296</v>
      </c>
      <c r="AJ444" s="397">
        <v>44560</v>
      </c>
      <c r="AK444" s="326" t="s">
        <v>889</v>
      </c>
      <c r="AL444" s="326">
        <v>45078</v>
      </c>
      <c r="AM444" s="316"/>
      <c r="AN444" s="305"/>
      <c r="AO444" s="327" t="str">
        <f>_xlfn.IFNA(IF(VLOOKUP(tabItens[[#This Row],[CÓDIGO]],tabExcluirDoEstoque[#Data],1,FALSE),"sim",""),"")</f>
        <v/>
      </c>
      <c r="AP444" s="398" t="str">
        <f ca="1">IF(OR(ISBLANK(tabItens[[#This Row],[ATA DT.VALID.]]),tabItens[[#This Row],[ATA DT.VALID.]]="",tabItens[[#This Row],[ATA DT.VALID.]]=" "),"",IF(TYPE(tabItens[[#This Row],[ATA DT.VALID.]])=1,ROUNDUP((tabItens[[#This Row],[ATA DT.VALID.]]-TODAY())/7,0),""))</f>
        <v/>
      </c>
      <c r="AQ444" s="399">
        <v>0</v>
      </c>
      <c r="AR444" s="400" t="str">
        <f>IF(ISBLANK(tabItens[[#This Row],[CÓDIGO]]),"",IFERROR(VLOOKUP(tabItens[[#This Row],[CÓDIGO]],Consumo!$C$2:$AC$862,26,FALSE),0))</f>
        <v>09.2023</v>
      </c>
      <c r="AS444" s="401">
        <f>SUMIF(Consumo!$C$3:$C$862,tabItens[[#This Row],[CÓDIGO]],Consumo!$N$3:$N$862) + SUMIF(Consumo!$C$3:$C$862,tabItens[[#This Row],[CÓDIGO]],Consumo!$O$3:$O$862) + SUMIF(Consumo!$C$3:$C$862,tabItens[[#This Row],[CÓDIGO]],Consumo!$P$3:$P$862) + SUMIF(Consumo!$C$3:$C$862,tabItens[[#This Row],[CÓDIGO]],Consumo!$Q$3:$Q$862)</f>
        <v>1950</v>
      </c>
      <c r="AT444" s="401">
        <f>SUMIF(Consumo!$C$3:$C$862,tabItens[[#This Row],[CÓDIGO]],Consumo!$Z$3:$Z$862)</f>
        <v>6885</v>
      </c>
      <c r="AU444" s="402">
        <f>SUMIF(Consumo!$C$3:$C$862,tabItens[[#This Row],[CÓDIGO]],Consumo!$AA$3:$AA$862)</f>
        <v>1635</v>
      </c>
      <c r="AV444" s="403">
        <f>SUMIF(Consumo!$C$3:$C$862,tabItens[[#This Row],[CÓDIGO]],Consumo!$Y$3:$Y$862)</f>
        <v>570.75</v>
      </c>
      <c r="AW444" s="380">
        <f>tabItens[[#This Row],[QTDE ATUAL]] + tabItens[[#This Row],[RC QTDE]] + tabItens[[#This Row],[AF SALDO]] + tabItens[[#This Row],[Recentes]]</f>
        <v>3965</v>
      </c>
      <c r="AX444" s="404">
        <v>542</v>
      </c>
      <c r="AY444" s="404">
        <v>4</v>
      </c>
      <c r="AZ444" s="404">
        <f>IF(ISBLANK(tabItens[[#This Row],[CÓDIGO]]),"",tabItens[[#This Row],[PontoMês]] * (AZ$2+tabItens[[#This Row],[PontoQtM]]))</f>
        <v>2168</v>
      </c>
      <c r="BA444" s="403">
        <f>tabItens[[#This Row],[PontoPed]] - tabItens[[#This Row],[Saldo]] + (1/10)</f>
        <v>-1796.9</v>
      </c>
      <c r="BB444" s="403">
        <f xml:space="preserve"> tabItens[[#This Row],[PontoMês]] * BB$2 - tabItens[[#This Row],[QTDE ATUAL]] - (1/10)</f>
        <v>-1223.0999999999999</v>
      </c>
      <c r="BC444" s="335">
        <f>IF( tabItens[[#This Row],[PontoPed]]&gt;0, IF(tabItens[[#This Row],[PontoPed]]&lt;1, 1, IF( tabItens[[#This Row],[Saldo]]&gt;tabItens[[#This Row],[PontoPed]], 0, (tabItens[[#This Row],[PontoPed]]-tabItens[[#This Row],[Saldo]])/tabItens[[#This Row],[PontoPed]] ) ), 0 )</f>
        <v>0</v>
      </c>
      <c r="BD444" s="405">
        <f>ROUNDDOWN(IF( OR( AND(tabItens[[#This Row],[PontoPed]]&lt;tabItens[[#This Row],[Saldo]],tabItens[[#This Row],[Saldo]]&gt;0), tabItens[[#This Row],[PontoPed]]=0), 99, IF(AND(tabItens[[#This Row],[Saldo]]=0,tabItens[[#This Row],[PontoPed]]&gt;0), 0, (1-tabItens[[#This Row],[PctAb]])*10 ) ),0)</f>
        <v>99</v>
      </c>
      <c r="BE444" s="406">
        <f>MAX(ROUNDDOWN( IF(tabItens[[#This Row],[Abaixo]] &gt; 0,   tabItens[[#This Row],[Abaixo]] + (tabItens[[#This Row],[PontoMês]] * IF( OR( ISBLANK(tabItens[[#This Row],[ATA Nº/ANO]]), tabItens[[#This Row],[ATA Nº/ANO]] = ""),BE$2,BE$1)),0),0),0)</f>
        <v>0</v>
      </c>
      <c r="BF44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4" s="338">
        <f>SUMIF(Consumo!$C$3:$C$862,tabItens[[#This Row],[CÓDIGO]],Consumo!$E$3:$E$862)</f>
        <v>0</v>
      </c>
      <c r="BH444" s="339">
        <f>IF(AND(tabItens[[#This Row],[Pend]] &gt; 0,tabItens[[#This Row],[Consumo]] &lt;&gt; 0), tabItens[[#This Row],[Pend]] / tabItens[[#This Row],[Consumo]], 0 )</f>
        <v>0</v>
      </c>
      <c r="BI444" s="338"/>
      <c r="BJ444" s="407"/>
      <c r="BK444" s="408" t="s">
        <v>2086</v>
      </c>
    </row>
    <row r="445" spans="1:63" x14ac:dyDescent="0.3">
      <c r="A445" s="375">
        <v>114297</v>
      </c>
      <c r="B445" s="376" t="s">
        <v>1701</v>
      </c>
      <c r="C445" s="377" t="s">
        <v>263</v>
      </c>
      <c r="D445" s="378">
        <v>2.06</v>
      </c>
      <c r="E445" s="305"/>
      <c r="F445" s="379"/>
      <c r="G445" s="379" t="s">
        <v>889</v>
      </c>
      <c r="H445" s="380">
        <v>4224</v>
      </c>
      <c r="I445" s="307">
        <v>103003</v>
      </c>
      <c r="J445" s="308">
        <v>2.06</v>
      </c>
      <c r="K445" s="381">
        <v>53</v>
      </c>
      <c r="L445" s="382">
        <f>IF(tabItens[[#This Row],[Média]] &gt; 0, tabItens[[#This Row],[QTDE ATUAL]] / tabItens[[#This Row],[Média]],999.9)</f>
        <v>1078.4680851063831</v>
      </c>
      <c r="M445" s="383">
        <v>0</v>
      </c>
      <c r="N445" s="384">
        <f>tabItens[[#This Row],[VALOR UNIT.]] * tabItens[[#This Row],[LC]]</f>
        <v>0</v>
      </c>
      <c r="O445" s="385" t="s">
        <v>2126</v>
      </c>
      <c r="P445" s="386"/>
      <c r="Q445" s="387"/>
      <c r="R445" s="312"/>
      <c r="S445" s="388"/>
      <c r="T445" s="389">
        <f>ROUNDDOWN(IFERROR(tabItens[[#This Row],[ATA DT.VALID.]] - $D$1,0) / 30,0)</f>
        <v>-1474</v>
      </c>
      <c r="U445" s="302" t="s">
        <v>1274</v>
      </c>
      <c r="V445" s="318">
        <v>1</v>
      </c>
      <c r="W445" s="390" t="s">
        <v>2071</v>
      </c>
      <c r="X445" s="391">
        <v>51</v>
      </c>
      <c r="Y445" s="392">
        <v>17</v>
      </c>
      <c r="Z445" s="393"/>
      <c r="AA445" s="394"/>
      <c r="AB445" s="395"/>
      <c r="AC445" s="395"/>
      <c r="AD445" s="394"/>
      <c r="AE445" s="395"/>
      <c r="AF445" s="317"/>
      <c r="AG445" s="396" t="s">
        <v>2072</v>
      </c>
      <c r="AH445" s="397"/>
      <c r="AI445" s="317">
        <v>18</v>
      </c>
      <c r="AJ445" s="397">
        <v>42552</v>
      </c>
      <c r="AK445" s="326">
        <v>40240</v>
      </c>
      <c r="AL445" s="326">
        <v>42543</v>
      </c>
      <c r="AM445" s="316"/>
      <c r="AN445" s="305"/>
      <c r="AO445" s="327" t="str">
        <f>_xlfn.IFNA(IF(VLOOKUP(tabItens[[#This Row],[CÓDIGO]],tabExcluirDoEstoque[#Data],1,FALSE),"sim",""),"")</f>
        <v/>
      </c>
      <c r="AP445" s="398" t="str">
        <f ca="1">IF(OR(ISBLANK(tabItens[[#This Row],[ATA DT.VALID.]]),tabItens[[#This Row],[ATA DT.VALID.]]="",tabItens[[#This Row],[ATA DT.VALID.]]=" "),"",IF(TYPE(tabItens[[#This Row],[ATA DT.VALID.]])=1,ROUNDUP((tabItens[[#This Row],[ATA DT.VALID.]]-TODAY())/7,0),""))</f>
        <v/>
      </c>
      <c r="AQ445" s="399">
        <v>0</v>
      </c>
      <c r="AR445" s="400" t="str">
        <f>IF(ISBLANK(tabItens[[#This Row],[CÓDIGO]]),"",IFERROR(VLOOKUP(tabItens[[#This Row],[CÓDIGO]],Consumo!$C$2:$AC$862,26,FALSE),0))</f>
        <v>02.2023</v>
      </c>
      <c r="AS445" s="401">
        <f>SUMIF(Consumo!$C$3:$C$862,tabItens[[#This Row],[CÓDIGO]],Consumo!$N$3:$N$862) + SUMIF(Consumo!$C$3:$C$862,tabItens[[#This Row],[CÓDIGO]],Consumo!$O$3:$O$862) + SUMIF(Consumo!$C$3:$C$862,tabItens[[#This Row],[CÓDIGO]],Consumo!$P$3:$P$862) + SUMIF(Consumo!$C$3:$C$862,tabItens[[#This Row],[CÓDIGO]],Consumo!$Q$3:$Q$862)</f>
        <v>0</v>
      </c>
      <c r="AT445" s="401">
        <f>SUMIF(Consumo!$C$3:$C$862,tabItens[[#This Row],[CÓDIGO]],Consumo!$Z$3:$Z$862)</f>
        <v>53</v>
      </c>
      <c r="AU445" s="402">
        <f>SUMIF(Consumo!$C$3:$C$862,tabItens[[#This Row],[CÓDIGO]],Consumo!$AA$3:$AA$862)</f>
        <v>28</v>
      </c>
      <c r="AV445" s="403">
        <f>SUMIF(Consumo!$C$3:$C$862,tabItens[[#This Row],[CÓDIGO]],Consumo!$Y$3:$Y$862)</f>
        <v>3.9166666666666665</v>
      </c>
      <c r="AW445" s="380">
        <f>tabItens[[#This Row],[QTDE ATUAL]] + tabItens[[#This Row],[RC QTDE]] + tabItens[[#This Row],[AF SALDO]] + tabItens[[#This Row],[Recentes]]</f>
        <v>4224</v>
      </c>
      <c r="AX445" s="404">
        <v>49</v>
      </c>
      <c r="AY445" s="404">
        <v>4</v>
      </c>
      <c r="AZ445" s="404">
        <f>IF(ISBLANK(tabItens[[#This Row],[CÓDIGO]]),"",tabItens[[#This Row],[PontoMês]] * (AZ$2+tabItens[[#This Row],[PontoQtM]]))</f>
        <v>196</v>
      </c>
      <c r="BA445" s="403">
        <f>tabItens[[#This Row],[PontoPed]] - tabItens[[#This Row],[Saldo]] + (1/10)</f>
        <v>-4027.9</v>
      </c>
      <c r="BB445" s="403">
        <f xml:space="preserve"> tabItens[[#This Row],[PontoMês]] * BB$2 - tabItens[[#This Row],[QTDE ATUAL]] - (1/10)</f>
        <v>-4175.1000000000004</v>
      </c>
      <c r="BC445" s="335">
        <f>IF( tabItens[[#This Row],[PontoPed]]&gt;0, IF(tabItens[[#This Row],[PontoPed]]&lt;1, 1, IF( tabItens[[#This Row],[Saldo]]&gt;tabItens[[#This Row],[PontoPed]], 0, (tabItens[[#This Row],[PontoPed]]-tabItens[[#This Row],[Saldo]])/tabItens[[#This Row],[PontoPed]] ) ), 0 )</f>
        <v>0</v>
      </c>
      <c r="BD445" s="405">
        <f>ROUNDDOWN(IF( OR( AND(tabItens[[#This Row],[PontoPed]]&lt;tabItens[[#This Row],[Saldo]],tabItens[[#This Row],[Saldo]]&gt;0), tabItens[[#This Row],[PontoPed]]=0), 99, IF(AND(tabItens[[#This Row],[Saldo]]=0,tabItens[[#This Row],[PontoPed]]&gt;0), 0, (1-tabItens[[#This Row],[PctAb]])*10 ) ),0)</f>
        <v>99</v>
      </c>
      <c r="BE445" s="406">
        <f>MAX(ROUNDDOWN( IF(tabItens[[#This Row],[Abaixo]] &gt; 0,   tabItens[[#This Row],[Abaixo]] + (tabItens[[#This Row],[PontoMês]] * IF( OR( ISBLANK(tabItens[[#This Row],[ATA Nº/ANO]]), tabItens[[#This Row],[ATA Nº/ANO]] = ""),BE$2,BE$1)),0),0),0)</f>
        <v>0</v>
      </c>
      <c r="BF44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5" s="338">
        <f>SUMIF(Consumo!$C$3:$C$862,tabItens[[#This Row],[CÓDIGO]],Consumo!$E$3:$E$862)</f>
        <v>0</v>
      </c>
      <c r="BH445" s="339">
        <f>IF(AND(tabItens[[#This Row],[Pend]] &gt; 0,tabItens[[#This Row],[Consumo]] &lt;&gt; 0), tabItens[[#This Row],[Pend]] / tabItens[[#This Row],[Consumo]], 0 )</f>
        <v>0</v>
      </c>
      <c r="BI445" s="338"/>
      <c r="BJ445" s="407"/>
      <c r="BK445" s="408" t="s">
        <v>2086</v>
      </c>
    </row>
    <row r="446" spans="1:63" x14ac:dyDescent="0.3">
      <c r="A446" s="375">
        <v>63382</v>
      </c>
      <c r="B446" s="376" t="s">
        <v>1362</v>
      </c>
      <c r="C446" s="377" t="s">
        <v>269</v>
      </c>
      <c r="D446" s="378">
        <v>9.3000000000000007</v>
      </c>
      <c r="E446" s="305"/>
      <c r="F446" s="379"/>
      <c r="G446" s="379" t="s">
        <v>889</v>
      </c>
      <c r="H446" s="380">
        <v>214</v>
      </c>
      <c r="I446" s="307">
        <v>103003</v>
      </c>
      <c r="J446" s="308">
        <v>9.3000000000000007</v>
      </c>
      <c r="K446" s="381">
        <v>37</v>
      </c>
      <c r="L446" s="382">
        <f>IF(tabItens[[#This Row],[Média]] &gt; 0, tabItens[[#This Row],[QTDE ATUAL]] / tabItens[[#This Row],[Média]],999.9)</f>
        <v>98.769230769230774</v>
      </c>
      <c r="M446" s="383">
        <v>0</v>
      </c>
      <c r="N446" s="384">
        <f>tabItens[[#This Row],[VALOR UNIT.]] * tabItens[[#This Row],[LC]]</f>
        <v>0</v>
      </c>
      <c r="O446" s="385" t="s">
        <v>2126</v>
      </c>
      <c r="P446" s="386"/>
      <c r="Q446" s="387"/>
      <c r="R446" s="312"/>
      <c r="S446" s="388"/>
      <c r="T446" s="389">
        <f>ROUNDDOWN(IFERROR(tabItens[[#This Row],[ATA DT.VALID.]] - $D$1,0) / 30,0)</f>
        <v>-1474</v>
      </c>
      <c r="U446" s="302" t="s">
        <v>1113</v>
      </c>
      <c r="V446" s="318">
        <v>1</v>
      </c>
      <c r="W446" s="390" t="s">
        <v>2071</v>
      </c>
      <c r="X446" s="391">
        <v>51</v>
      </c>
      <c r="Y446" s="392">
        <v>33</v>
      </c>
      <c r="Z446" s="393"/>
      <c r="AA446" s="394"/>
      <c r="AB446" s="395"/>
      <c r="AC446" s="395"/>
      <c r="AD446" s="394"/>
      <c r="AE446" s="395"/>
      <c r="AF446" s="317"/>
      <c r="AG446" s="396" t="s">
        <v>2072</v>
      </c>
      <c r="AH446" s="397"/>
      <c r="AI446" s="317">
        <v>12</v>
      </c>
      <c r="AJ446" s="397">
        <v>43627</v>
      </c>
      <c r="AK446" s="326" t="s">
        <v>889</v>
      </c>
      <c r="AL446" s="326">
        <v>45161</v>
      </c>
      <c r="AM446" s="316"/>
      <c r="AN446" s="305"/>
      <c r="AO446" s="327" t="str">
        <f>_xlfn.IFNA(IF(VLOOKUP(tabItens[[#This Row],[CÓDIGO]],tabExcluirDoEstoque[#Data],1,FALSE),"sim",""),"")</f>
        <v/>
      </c>
      <c r="AP446" s="398" t="str">
        <f ca="1">IF(OR(ISBLANK(tabItens[[#This Row],[ATA DT.VALID.]]),tabItens[[#This Row],[ATA DT.VALID.]]="",tabItens[[#This Row],[ATA DT.VALID.]]=" "),"",IF(TYPE(tabItens[[#This Row],[ATA DT.VALID.]])=1,ROUNDUP((tabItens[[#This Row],[ATA DT.VALID.]]-TODAY())/7,0),""))</f>
        <v/>
      </c>
      <c r="AQ446" s="399">
        <v>0</v>
      </c>
      <c r="AR446" s="400" t="str">
        <f>IF(ISBLANK(tabItens[[#This Row],[CÓDIGO]]),"",IFERROR(VLOOKUP(tabItens[[#This Row],[CÓDIGO]],Consumo!$C$2:$AC$862,26,FALSE),0))</f>
        <v>04.2023</v>
      </c>
      <c r="AS446" s="401">
        <f>SUMIF(Consumo!$C$3:$C$862,tabItens[[#This Row],[CÓDIGO]],Consumo!$N$3:$N$862) + SUMIF(Consumo!$C$3:$C$862,tabItens[[#This Row],[CÓDIGO]],Consumo!$O$3:$O$862) + SUMIF(Consumo!$C$3:$C$862,tabItens[[#This Row],[CÓDIGO]],Consumo!$P$3:$P$862) + SUMIF(Consumo!$C$3:$C$862,tabItens[[#This Row],[CÓDIGO]],Consumo!$Q$3:$Q$862)</f>
        <v>0</v>
      </c>
      <c r="AT446" s="401">
        <f>SUMIF(Consumo!$C$3:$C$862,tabItens[[#This Row],[CÓDIGO]],Consumo!$Z$3:$Z$862)</f>
        <v>37</v>
      </c>
      <c r="AU446" s="402">
        <f>SUMIF(Consumo!$C$3:$C$862,tabItens[[#This Row],[CÓDIGO]],Consumo!$AA$3:$AA$862)</f>
        <v>32</v>
      </c>
      <c r="AV446" s="403">
        <f>SUMIF(Consumo!$C$3:$C$862,tabItens[[#This Row],[CÓDIGO]],Consumo!$Y$3:$Y$862)</f>
        <v>2.1666666666666665</v>
      </c>
      <c r="AW446" s="380">
        <f>tabItens[[#This Row],[QTDE ATUAL]] + tabItens[[#This Row],[RC QTDE]] + tabItens[[#This Row],[AF SALDO]] + tabItens[[#This Row],[Recentes]]</f>
        <v>214</v>
      </c>
      <c r="AX446" s="404">
        <v>2</v>
      </c>
      <c r="AY446" s="404">
        <v>4</v>
      </c>
      <c r="AZ446" s="404">
        <f>IF(ISBLANK(tabItens[[#This Row],[CÓDIGO]]),"",tabItens[[#This Row],[PontoMês]] * (AZ$2+tabItens[[#This Row],[PontoQtM]]))</f>
        <v>8</v>
      </c>
      <c r="BA446" s="403">
        <f>tabItens[[#This Row],[PontoPed]] - tabItens[[#This Row],[Saldo]] + (1/10)</f>
        <v>-205.9</v>
      </c>
      <c r="BB446" s="403">
        <f xml:space="preserve"> tabItens[[#This Row],[PontoMês]] * BB$2 - tabItens[[#This Row],[QTDE ATUAL]] - (1/10)</f>
        <v>-212.1</v>
      </c>
      <c r="BC446" s="335">
        <f>IF( tabItens[[#This Row],[PontoPed]]&gt;0, IF(tabItens[[#This Row],[PontoPed]]&lt;1, 1, IF( tabItens[[#This Row],[Saldo]]&gt;tabItens[[#This Row],[PontoPed]], 0, (tabItens[[#This Row],[PontoPed]]-tabItens[[#This Row],[Saldo]])/tabItens[[#This Row],[PontoPed]] ) ), 0 )</f>
        <v>0</v>
      </c>
      <c r="BD446" s="405">
        <f>ROUNDDOWN(IF( OR( AND(tabItens[[#This Row],[PontoPed]]&lt;tabItens[[#This Row],[Saldo]],tabItens[[#This Row],[Saldo]]&gt;0), tabItens[[#This Row],[PontoPed]]=0), 99, IF(AND(tabItens[[#This Row],[Saldo]]=0,tabItens[[#This Row],[PontoPed]]&gt;0), 0, (1-tabItens[[#This Row],[PctAb]])*10 ) ),0)</f>
        <v>99</v>
      </c>
      <c r="BE446" s="406">
        <f>MAX(ROUNDDOWN( IF(tabItens[[#This Row],[Abaixo]] &gt; 0,   tabItens[[#This Row],[Abaixo]] + (tabItens[[#This Row],[PontoMês]] * IF( OR( ISBLANK(tabItens[[#This Row],[ATA Nº/ANO]]), tabItens[[#This Row],[ATA Nº/ANO]] = ""),BE$2,BE$1)),0),0),0)</f>
        <v>0</v>
      </c>
      <c r="BF44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6" s="338">
        <f>SUMIF(Consumo!$C$3:$C$862,tabItens[[#This Row],[CÓDIGO]],Consumo!$E$3:$E$862)</f>
        <v>0</v>
      </c>
      <c r="BH446" s="339">
        <f>IF(AND(tabItens[[#This Row],[Pend]] &gt; 0,tabItens[[#This Row],[Consumo]] &lt;&gt; 0), tabItens[[#This Row],[Pend]] / tabItens[[#This Row],[Consumo]], 0 )</f>
        <v>0</v>
      </c>
      <c r="BI446" s="338"/>
      <c r="BJ446" s="407"/>
      <c r="BK446" s="408" t="s">
        <v>2086</v>
      </c>
    </row>
    <row r="447" spans="1:63" x14ac:dyDescent="0.3">
      <c r="A447" s="375">
        <v>102277</v>
      </c>
      <c r="B447" s="376" t="s">
        <v>1584</v>
      </c>
      <c r="C447" s="377" t="s">
        <v>263</v>
      </c>
      <c r="D447" s="378">
        <v>355</v>
      </c>
      <c r="E447" s="305"/>
      <c r="F447" s="379"/>
      <c r="G447" s="379" t="s">
        <v>889</v>
      </c>
      <c r="H447" s="380">
        <v>162</v>
      </c>
      <c r="I447" s="307">
        <v>103003</v>
      </c>
      <c r="J447" s="308">
        <v>355</v>
      </c>
      <c r="K447" s="381"/>
      <c r="L447" s="382">
        <f>IF(tabItens[[#This Row],[Média]] &gt; 0, tabItens[[#This Row],[QTDE ATUAL]] / tabItens[[#This Row],[Média]],999.9)</f>
        <v>999.9</v>
      </c>
      <c r="M447" s="383">
        <v>0</v>
      </c>
      <c r="N447" s="384">
        <f>tabItens[[#This Row],[VALOR UNIT.]] * tabItens[[#This Row],[LC]]</f>
        <v>0</v>
      </c>
      <c r="O447" s="385" t="s">
        <v>2126</v>
      </c>
      <c r="P447" s="386"/>
      <c r="Q447" s="387"/>
      <c r="R447" s="312"/>
      <c r="S447" s="388"/>
      <c r="T447" s="389">
        <f>ROUNDDOWN(IFERROR(tabItens[[#This Row],[ATA DT.VALID.]] - $D$1,0) / 30,0)</f>
        <v>-1474</v>
      </c>
      <c r="U447" s="302" t="s">
        <v>1039</v>
      </c>
      <c r="V447" s="318">
        <v>1</v>
      </c>
      <c r="W447" s="390" t="s">
        <v>2078</v>
      </c>
      <c r="X447" s="391">
        <v>69</v>
      </c>
      <c r="Y447" s="392">
        <v>10</v>
      </c>
      <c r="Z447" s="393"/>
      <c r="AA447" s="394"/>
      <c r="AB447" s="395"/>
      <c r="AC447" s="395"/>
      <c r="AD447" s="394"/>
      <c r="AE447" s="395"/>
      <c r="AF447" s="317"/>
      <c r="AG447" s="396" t="s">
        <v>2072</v>
      </c>
      <c r="AH447" s="397"/>
      <c r="AI447" s="317">
        <v>8</v>
      </c>
      <c r="AJ447" s="397">
        <v>44516</v>
      </c>
      <c r="AK447" s="326">
        <v>39352</v>
      </c>
      <c r="AL447" s="326">
        <v>44483</v>
      </c>
      <c r="AM447" s="316"/>
      <c r="AN447" s="305"/>
      <c r="AO447" s="327" t="str">
        <f>_xlfn.IFNA(IF(VLOOKUP(tabItens[[#This Row],[CÓDIGO]],tabExcluirDoEstoque[#Data],1,FALSE),"sim",""),"")</f>
        <v/>
      </c>
      <c r="AP447" s="398" t="str">
        <f ca="1">IF(OR(ISBLANK(tabItens[[#This Row],[ATA DT.VALID.]]),tabItens[[#This Row],[ATA DT.VALID.]]="",tabItens[[#This Row],[ATA DT.VALID.]]=" "),"",IF(TYPE(tabItens[[#This Row],[ATA DT.VALID.]])=1,ROUNDUP((tabItens[[#This Row],[ATA DT.VALID.]]-TODAY())/7,0),""))</f>
        <v/>
      </c>
      <c r="AQ447" s="399">
        <v>0</v>
      </c>
      <c r="AR447" s="400">
        <f>IF(ISBLANK(tabItens[[#This Row],[CÓDIGO]]),"",IFERROR(VLOOKUP(tabItens[[#This Row],[CÓDIGO]],Consumo!$C$2:$AC$862,26,FALSE),0))</f>
        <v>0</v>
      </c>
      <c r="AS447" s="401">
        <f>SUMIF(Consumo!$C$3:$C$862,tabItens[[#This Row],[CÓDIGO]],Consumo!$N$3:$N$862) + SUMIF(Consumo!$C$3:$C$862,tabItens[[#This Row],[CÓDIGO]],Consumo!$O$3:$O$862) + SUMIF(Consumo!$C$3:$C$862,tabItens[[#This Row],[CÓDIGO]],Consumo!$P$3:$P$862) + SUMIF(Consumo!$C$3:$C$862,tabItens[[#This Row],[CÓDIGO]],Consumo!$Q$3:$Q$862)</f>
        <v>0</v>
      </c>
      <c r="AT447" s="401">
        <f>SUMIF(Consumo!$C$3:$C$862,tabItens[[#This Row],[CÓDIGO]],Consumo!$Z$3:$Z$862)</f>
        <v>0</v>
      </c>
      <c r="AU447" s="402">
        <f>SUMIF(Consumo!$C$3:$C$862,tabItens[[#This Row],[CÓDIGO]],Consumo!$AA$3:$AA$862)</f>
        <v>0</v>
      </c>
      <c r="AV447" s="403">
        <f>SUMIF(Consumo!$C$3:$C$862,tabItens[[#This Row],[CÓDIGO]],Consumo!$Y$3:$Y$862)</f>
        <v>0</v>
      </c>
      <c r="AW447" s="380">
        <f>tabItens[[#This Row],[QTDE ATUAL]] + tabItens[[#This Row],[RC QTDE]] + tabItens[[#This Row],[AF SALDO]] + tabItens[[#This Row],[Recentes]]</f>
        <v>162</v>
      </c>
      <c r="AX447" s="404">
        <v>15</v>
      </c>
      <c r="AY447" s="404">
        <v>4</v>
      </c>
      <c r="AZ447" s="404">
        <f>IF(ISBLANK(tabItens[[#This Row],[CÓDIGO]]),"",tabItens[[#This Row],[PontoMês]] * (AZ$2+tabItens[[#This Row],[PontoQtM]]))</f>
        <v>60</v>
      </c>
      <c r="BA447" s="403">
        <f>tabItens[[#This Row],[PontoPed]] - tabItens[[#This Row],[Saldo]] + (1/10)</f>
        <v>-101.9</v>
      </c>
      <c r="BB447" s="403">
        <f xml:space="preserve"> tabItens[[#This Row],[PontoMês]] * BB$2 - tabItens[[#This Row],[QTDE ATUAL]] - (1/10)</f>
        <v>-147.1</v>
      </c>
      <c r="BC447" s="335">
        <f>IF( tabItens[[#This Row],[PontoPed]]&gt;0, IF(tabItens[[#This Row],[PontoPed]]&lt;1, 1, IF( tabItens[[#This Row],[Saldo]]&gt;tabItens[[#This Row],[PontoPed]], 0, (tabItens[[#This Row],[PontoPed]]-tabItens[[#This Row],[Saldo]])/tabItens[[#This Row],[PontoPed]] ) ), 0 )</f>
        <v>0</v>
      </c>
      <c r="BD447" s="405">
        <f>ROUNDDOWN(IF( OR( AND(tabItens[[#This Row],[PontoPed]]&lt;tabItens[[#This Row],[Saldo]],tabItens[[#This Row],[Saldo]]&gt;0), tabItens[[#This Row],[PontoPed]]=0), 99, IF(AND(tabItens[[#This Row],[Saldo]]=0,tabItens[[#This Row],[PontoPed]]&gt;0), 0, (1-tabItens[[#This Row],[PctAb]])*10 ) ),0)</f>
        <v>99</v>
      </c>
      <c r="BE447" s="406">
        <f>MAX(ROUNDDOWN( IF(tabItens[[#This Row],[Abaixo]] &gt; 0,   tabItens[[#This Row],[Abaixo]] + (tabItens[[#This Row],[PontoMês]] * IF( OR( ISBLANK(tabItens[[#This Row],[ATA Nº/ANO]]), tabItens[[#This Row],[ATA Nº/ANO]] = ""),BE$2,BE$1)),0),0),0)</f>
        <v>0</v>
      </c>
      <c r="BF44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7" s="338">
        <f>SUMIF(Consumo!$C$3:$C$862,tabItens[[#This Row],[CÓDIGO]],Consumo!$E$3:$E$862)</f>
        <v>0</v>
      </c>
      <c r="BH447" s="339">
        <f>IF(AND(tabItens[[#This Row],[Pend]] &gt; 0,tabItens[[#This Row],[Consumo]] &lt;&gt; 0), tabItens[[#This Row],[Pend]] / tabItens[[#This Row],[Consumo]], 0 )</f>
        <v>0</v>
      </c>
      <c r="BI447" s="338"/>
      <c r="BJ447" s="407"/>
      <c r="BK447" s="408" t="s">
        <v>2086</v>
      </c>
    </row>
    <row r="448" spans="1:63" x14ac:dyDescent="0.3">
      <c r="A448" s="375">
        <v>134545</v>
      </c>
      <c r="B448" s="376" t="s">
        <v>1883</v>
      </c>
      <c r="C448" s="377" t="s">
        <v>560</v>
      </c>
      <c r="D448" s="378">
        <v>32</v>
      </c>
      <c r="E448" s="305"/>
      <c r="F448" s="379"/>
      <c r="G448" s="379" t="s">
        <v>889</v>
      </c>
      <c r="H448" s="380">
        <v>894.81</v>
      </c>
      <c r="I448" s="307">
        <v>103003</v>
      </c>
      <c r="J448" s="308">
        <v>32</v>
      </c>
      <c r="K448" s="381">
        <v>43</v>
      </c>
      <c r="L448" s="382">
        <f>IF(tabItens[[#This Row],[Média]] &gt; 0, tabItens[[#This Row],[QTDE ATUAL]] / tabItens[[#This Row],[Média]],999.9)</f>
        <v>268.44299999999998</v>
      </c>
      <c r="M448" s="383">
        <v>0</v>
      </c>
      <c r="N448" s="384">
        <f>tabItens[[#This Row],[VALOR UNIT.]] * tabItens[[#This Row],[LC]]</f>
        <v>0</v>
      </c>
      <c r="O448" s="385" t="s">
        <v>2204</v>
      </c>
      <c r="P448" s="386"/>
      <c r="Q448" s="387"/>
      <c r="R448" s="312"/>
      <c r="S448" s="388"/>
      <c r="T448" s="389">
        <f>ROUNDDOWN(IFERROR(tabItens[[#This Row],[ATA DT.VALID.]] - $D$1,0) / 30,0)</f>
        <v>-1474</v>
      </c>
      <c r="U448" s="302" t="s">
        <v>1308</v>
      </c>
      <c r="V448" s="318">
        <v>1</v>
      </c>
      <c r="W448" s="390" t="s">
        <v>2071</v>
      </c>
      <c r="X448" s="391">
        <v>51</v>
      </c>
      <c r="Y448" s="392">
        <v>19</v>
      </c>
      <c r="Z448" s="393"/>
      <c r="AA448" s="394"/>
      <c r="AB448" s="395"/>
      <c r="AC448" s="395"/>
      <c r="AD448" s="394"/>
      <c r="AE448" s="395"/>
      <c r="AF448" s="317"/>
      <c r="AG448" s="396" t="s">
        <v>2072</v>
      </c>
      <c r="AH448" s="397"/>
      <c r="AI448" s="317">
        <v>14</v>
      </c>
      <c r="AJ448" s="397">
        <v>43731</v>
      </c>
      <c r="AK448" s="326">
        <v>43172</v>
      </c>
      <c r="AL448" s="326">
        <v>43720</v>
      </c>
      <c r="AM448" s="316"/>
      <c r="AN448" s="305"/>
      <c r="AO448" s="327" t="str">
        <f>_xlfn.IFNA(IF(VLOOKUP(tabItens[[#This Row],[CÓDIGO]],tabExcluirDoEstoque[#Data],1,FALSE),"sim",""),"")</f>
        <v/>
      </c>
      <c r="AP448" s="398" t="str">
        <f ca="1">IF(OR(ISBLANK(tabItens[[#This Row],[ATA DT.VALID.]]),tabItens[[#This Row],[ATA DT.VALID.]]="",tabItens[[#This Row],[ATA DT.VALID.]]=" "),"",IF(TYPE(tabItens[[#This Row],[ATA DT.VALID.]])=1,ROUNDUP((tabItens[[#This Row],[ATA DT.VALID.]]-TODAY())/7,0),""))</f>
        <v/>
      </c>
      <c r="AQ448" s="399">
        <v>0</v>
      </c>
      <c r="AR448" s="400" t="str">
        <f>IF(ISBLANK(tabItens[[#This Row],[CÓDIGO]]),"",IFERROR(VLOOKUP(tabItens[[#This Row],[CÓDIGO]],Consumo!$C$2:$AC$862,26,FALSE),0))</f>
        <v>07.2023</v>
      </c>
      <c r="AS448" s="401">
        <f>SUMIF(Consumo!$C$3:$C$862,tabItens[[#This Row],[CÓDIGO]],Consumo!$N$3:$N$862) + SUMIF(Consumo!$C$3:$C$862,tabItens[[#This Row],[CÓDIGO]],Consumo!$O$3:$O$862) + SUMIF(Consumo!$C$3:$C$862,tabItens[[#This Row],[CÓDIGO]],Consumo!$P$3:$P$862) + SUMIF(Consumo!$C$3:$C$862,tabItens[[#This Row],[CÓDIGO]],Consumo!$Q$3:$Q$862)</f>
        <v>21</v>
      </c>
      <c r="AT448" s="401">
        <f>SUMIF(Consumo!$C$3:$C$862,tabItens[[#This Row],[CÓDIGO]],Consumo!$Z$3:$Z$862)</f>
        <v>43</v>
      </c>
      <c r="AU448" s="402">
        <f>SUMIF(Consumo!$C$3:$C$862,tabItens[[#This Row],[CÓDIGO]],Consumo!$AA$3:$AA$862)</f>
        <v>22</v>
      </c>
      <c r="AV448" s="403">
        <f>SUMIF(Consumo!$C$3:$C$862,tabItens[[#This Row],[CÓDIGO]],Consumo!$Y$3:$Y$862)</f>
        <v>3.3333333333333335</v>
      </c>
      <c r="AW448" s="380">
        <f>tabItens[[#This Row],[QTDE ATUAL]] + tabItens[[#This Row],[RC QTDE]] + tabItens[[#This Row],[AF SALDO]] + tabItens[[#This Row],[Recentes]]</f>
        <v>894.81</v>
      </c>
      <c r="AX448" s="404">
        <v>83</v>
      </c>
      <c r="AY448" s="404">
        <v>4</v>
      </c>
      <c r="AZ448" s="404">
        <f>IF(ISBLANK(tabItens[[#This Row],[CÓDIGO]]),"",tabItens[[#This Row],[PontoMês]] * (AZ$2+tabItens[[#This Row],[PontoQtM]]))</f>
        <v>332</v>
      </c>
      <c r="BA448" s="403">
        <f>tabItens[[#This Row],[PontoPed]] - tabItens[[#This Row],[Saldo]] + (1/10)</f>
        <v>-562.70999999999992</v>
      </c>
      <c r="BB448" s="403">
        <f xml:space="preserve"> tabItens[[#This Row],[PontoMês]] * BB$2 - tabItens[[#This Row],[QTDE ATUAL]] - (1/10)</f>
        <v>-811.91</v>
      </c>
      <c r="BC448" s="335">
        <f>IF( tabItens[[#This Row],[PontoPed]]&gt;0, IF(tabItens[[#This Row],[PontoPed]]&lt;1, 1, IF( tabItens[[#This Row],[Saldo]]&gt;tabItens[[#This Row],[PontoPed]], 0, (tabItens[[#This Row],[PontoPed]]-tabItens[[#This Row],[Saldo]])/tabItens[[#This Row],[PontoPed]] ) ), 0 )</f>
        <v>0</v>
      </c>
      <c r="BD448" s="405">
        <f>ROUNDDOWN(IF( OR( AND(tabItens[[#This Row],[PontoPed]]&lt;tabItens[[#This Row],[Saldo]],tabItens[[#This Row],[Saldo]]&gt;0), tabItens[[#This Row],[PontoPed]]=0), 99, IF(AND(tabItens[[#This Row],[Saldo]]=0,tabItens[[#This Row],[PontoPed]]&gt;0), 0, (1-tabItens[[#This Row],[PctAb]])*10 ) ),0)</f>
        <v>99</v>
      </c>
      <c r="BE448" s="406">
        <f>MAX(ROUNDDOWN( IF(tabItens[[#This Row],[Abaixo]] &gt; 0,   tabItens[[#This Row],[Abaixo]] + (tabItens[[#This Row],[PontoMês]] * IF( OR( ISBLANK(tabItens[[#This Row],[ATA Nº/ANO]]), tabItens[[#This Row],[ATA Nº/ANO]] = ""),BE$2,BE$1)),0),0),0)</f>
        <v>0</v>
      </c>
      <c r="BF44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8" s="338">
        <f>SUMIF(Consumo!$C$3:$C$862,tabItens[[#This Row],[CÓDIGO]],Consumo!$E$3:$E$862)</f>
        <v>0</v>
      </c>
      <c r="BH448" s="339">
        <f>IF(AND(tabItens[[#This Row],[Pend]] &gt; 0,tabItens[[#This Row],[Consumo]] &lt;&gt; 0), tabItens[[#This Row],[Pend]] / tabItens[[#This Row],[Consumo]], 0 )</f>
        <v>0</v>
      </c>
      <c r="BI448" s="338"/>
      <c r="BJ448" s="407"/>
      <c r="BK448" s="408" t="s">
        <v>2086</v>
      </c>
    </row>
    <row r="449" spans="1:63" x14ac:dyDescent="0.3">
      <c r="A449" s="375">
        <v>134544</v>
      </c>
      <c r="B449" s="376" t="s">
        <v>1882</v>
      </c>
      <c r="C449" s="377" t="s">
        <v>560</v>
      </c>
      <c r="D449" s="378">
        <v>19.68</v>
      </c>
      <c r="E449" s="305"/>
      <c r="F449" s="379"/>
      <c r="G449" s="379" t="s">
        <v>889</v>
      </c>
      <c r="H449" s="380">
        <v>2655.3</v>
      </c>
      <c r="I449" s="307">
        <v>103003</v>
      </c>
      <c r="J449" s="308">
        <v>19.68</v>
      </c>
      <c r="K449" s="381">
        <v>806</v>
      </c>
      <c r="L449" s="382">
        <f>IF(tabItens[[#This Row],[Média]] &gt; 0, tabItens[[#This Row],[QTDE ATUAL]] / tabItens[[#This Row],[Média]],999.9)</f>
        <v>36.498969072164954</v>
      </c>
      <c r="M449" s="383">
        <v>0</v>
      </c>
      <c r="N449" s="384">
        <f>tabItens[[#This Row],[VALOR UNIT.]] * tabItens[[#This Row],[LC]]</f>
        <v>0</v>
      </c>
      <c r="O449" s="385" t="s">
        <v>2204</v>
      </c>
      <c r="P449" s="386"/>
      <c r="Q449" s="387"/>
      <c r="R449" s="312"/>
      <c r="S449" s="388"/>
      <c r="T449" s="389">
        <f>ROUNDDOWN(IFERROR(tabItens[[#This Row],[ATA DT.VALID.]] - $D$1,0) / 30,0)</f>
        <v>-1474</v>
      </c>
      <c r="U449" s="302" t="s">
        <v>1734</v>
      </c>
      <c r="V449" s="318">
        <v>1</v>
      </c>
      <c r="W449" s="390" t="s">
        <v>2071</v>
      </c>
      <c r="X449" s="391">
        <v>51</v>
      </c>
      <c r="Y449" s="392">
        <v>21</v>
      </c>
      <c r="Z449" s="393"/>
      <c r="AA449" s="394"/>
      <c r="AB449" s="395"/>
      <c r="AC449" s="395"/>
      <c r="AD449" s="394"/>
      <c r="AE449" s="395"/>
      <c r="AF449" s="317"/>
      <c r="AG449" s="396" t="s">
        <v>2072</v>
      </c>
      <c r="AH449" s="397"/>
      <c r="AI449" s="317">
        <v>292</v>
      </c>
      <c r="AJ449" s="397">
        <v>45189</v>
      </c>
      <c r="AK449" s="326">
        <v>43172</v>
      </c>
      <c r="AL449" s="326">
        <v>45160</v>
      </c>
      <c r="AM449" s="316"/>
      <c r="AN449" s="305"/>
      <c r="AO449" s="327" t="str">
        <f>_xlfn.IFNA(IF(VLOOKUP(tabItens[[#This Row],[CÓDIGO]],tabExcluirDoEstoque[#Data],1,FALSE),"sim",""),"")</f>
        <v/>
      </c>
      <c r="AP449" s="398" t="str">
        <f ca="1">IF(OR(ISBLANK(tabItens[[#This Row],[ATA DT.VALID.]]),tabItens[[#This Row],[ATA DT.VALID.]]="",tabItens[[#This Row],[ATA DT.VALID.]]=" "),"",IF(TYPE(tabItens[[#This Row],[ATA DT.VALID.]])=1,ROUNDUP((tabItens[[#This Row],[ATA DT.VALID.]]-TODAY())/7,0),""))</f>
        <v/>
      </c>
      <c r="AQ449" s="399">
        <v>0</v>
      </c>
      <c r="AR449" s="400" t="str">
        <f>IF(ISBLANK(tabItens[[#This Row],[CÓDIGO]]),"",IFERROR(VLOOKUP(tabItens[[#This Row],[CÓDIGO]],Consumo!$C$2:$AC$862,26,FALSE),0))</f>
        <v>09.2023</v>
      </c>
      <c r="AS449" s="401">
        <f>SUMIF(Consumo!$C$3:$C$862,tabItens[[#This Row],[CÓDIGO]],Consumo!$N$3:$N$862) + SUMIF(Consumo!$C$3:$C$862,tabItens[[#This Row],[CÓDIGO]],Consumo!$O$3:$O$862) + SUMIF(Consumo!$C$3:$C$862,tabItens[[#This Row],[CÓDIGO]],Consumo!$P$3:$P$862) + SUMIF(Consumo!$C$3:$C$862,tabItens[[#This Row],[CÓDIGO]],Consumo!$Q$3:$Q$862)</f>
        <v>180</v>
      </c>
      <c r="AT449" s="401">
        <f>SUMIF(Consumo!$C$3:$C$862,tabItens[[#This Row],[CÓDIGO]],Consumo!$Z$3:$Z$862)</f>
        <v>873</v>
      </c>
      <c r="AU449" s="402">
        <f>SUMIF(Consumo!$C$3:$C$862,tabItens[[#This Row],[CÓDIGO]],Consumo!$AA$3:$AA$862)</f>
        <v>217</v>
      </c>
      <c r="AV449" s="403">
        <f>SUMIF(Consumo!$C$3:$C$862,tabItens[[#This Row],[CÓDIGO]],Consumo!$Y$3:$Y$862)</f>
        <v>72.75</v>
      </c>
      <c r="AW449" s="380">
        <f>tabItens[[#This Row],[QTDE ATUAL]] + tabItens[[#This Row],[RC QTDE]] + tabItens[[#This Row],[AF SALDO]] + tabItens[[#This Row],[Recentes]]</f>
        <v>2655.3</v>
      </c>
      <c r="AX449" s="404">
        <v>125</v>
      </c>
      <c r="AY449" s="404">
        <v>4</v>
      </c>
      <c r="AZ449" s="404">
        <f>IF(ISBLANK(tabItens[[#This Row],[CÓDIGO]]),"",tabItens[[#This Row],[PontoMês]] * (AZ$2+tabItens[[#This Row],[PontoQtM]]))</f>
        <v>500</v>
      </c>
      <c r="BA449" s="403">
        <f>tabItens[[#This Row],[PontoPed]] - tabItens[[#This Row],[Saldo]] + (1/10)</f>
        <v>-2155.2000000000003</v>
      </c>
      <c r="BB449" s="403">
        <f xml:space="preserve"> tabItens[[#This Row],[PontoMês]] * BB$2 - tabItens[[#This Row],[QTDE ATUAL]] - (1/10)</f>
        <v>-2530.4</v>
      </c>
      <c r="BC449" s="335">
        <f>IF( tabItens[[#This Row],[PontoPed]]&gt;0, IF(tabItens[[#This Row],[PontoPed]]&lt;1, 1, IF( tabItens[[#This Row],[Saldo]]&gt;tabItens[[#This Row],[PontoPed]], 0, (tabItens[[#This Row],[PontoPed]]-tabItens[[#This Row],[Saldo]])/tabItens[[#This Row],[PontoPed]] ) ), 0 )</f>
        <v>0</v>
      </c>
      <c r="BD449" s="405">
        <f>ROUNDDOWN(IF( OR( AND(tabItens[[#This Row],[PontoPed]]&lt;tabItens[[#This Row],[Saldo]],tabItens[[#This Row],[Saldo]]&gt;0), tabItens[[#This Row],[PontoPed]]=0), 99, IF(AND(tabItens[[#This Row],[Saldo]]=0,tabItens[[#This Row],[PontoPed]]&gt;0), 0, (1-tabItens[[#This Row],[PctAb]])*10 ) ),0)</f>
        <v>99</v>
      </c>
      <c r="BE449" s="406">
        <f>MAX(ROUNDDOWN( IF(tabItens[[#This Row],[Abaixo]] &gt; 0,   tabItens[[#This Row],[Abaixo]] + (tabItens[[#This Row],[PontoMês]] * IF( OR( ISBLANK(tabItens[[#This Row],[ATA Nº/ANO]]), tabItens[[#This Row],[ATA Nº/ANO]] = ""),BE$2,BE$1)),0),0),0)</f>
        <v>0</v>
      </c>
      <c r="BF44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9" s="338">
        <f>SUMIF(Consumo!$C$3:$C$862,tabItens[[#This Row],[CÓDIGO]],Consumo!$E$3:$E$862)</f>
        <v>0</v>
      </c>
      <c r="BH449" s="339">
        <f>IF(AND(tabItens[[#This Row],[Pend]] &gt; 0,tabItens[[#This Row],[Consumo]] &lt;&gt; 0), tabItens[[#This Row],[Pend]] / tabItens[[#This Row],[Consumo]], 0 )</f>
        <v>0</v>
      </c>
      <c r="BI449" s="338"/>
      <c r="BJ449" s="407"/>
      <c r="BK449" s="408" t="s">
        <v>2086</v>
      </c>
    </row>
    <row r="450" spans="1:63" x14ac:dyDescent="0.3">
      <c r="A450" s="375">
        <v>12835</v>
      </c>
      <c r="B450" s="376" t="s">
        <v>970</v>
      </c>
      <c r="C450" s="377" t="s">
        <v>263</v>
      </c>
      <c r="D450" s="378">
        <v>0.46</v>
      </c>
      <c r="E450" s="305"/>
      <c r="F450" s="379"/>
      <c r="G450" s="379" t="s">
        <v>889</v>
      </c>
      <c r="H450" s="380">
        <v>459</v>
      </c>
      <c r="I450" s="307">
        <v>103003</v>
      </c>
      <c r="J450" s="308">
        <v>0.46</v>
      </c>
      <c r="K450" s="381">
        <v>243</v>
      </c>
      <c r="L450" s="382">
        <f>IF(tabItens[[#This Row],[Média]] &gt; 0, tabItens[[#This Row],[QTDE ATUAL]] / tabItens[[#This Row],[Média]],999.9)</f>
        <v>23.947826086956521</v>
      </c>
      <c r="M450" s="383">
        <v>0</v>
      </c>
      <c r="N450" s="384">
        <f>tabItens[[#This Row],[VALOR UNIT.]] * tabItens[[#This Row],[LC]]</f>
        <v>0</v>
      </c>
      <c r="O450" s="385" t="s">
        <v>2099</v>
      </c>
      <c r="P450" s="386"/>
      <c r="Q450" s="387"/>
      <c r="R450" s="312"/>
      <c r="S450" s="388"/>
      <c r="T450" s="389">
        <f>ROUNDDOWN(IFERROR(tabItens[[#This Row],[ATA DT.VALID.]] - $D$1,0) / 30,0)</f>
        <v>-1474</v>
      </c>
      <c r="U450" s="302" t="s">
        <v>966</v>
      </c>
      <c r="V450" s="318">
        <v>1</v>
      </c>
      <c r="W450" s="390" t="s">
        <v>2076</v>
      </c>
      <c r="X450" s="391">
        <v>61</v>
      </c>
      <c r="Y450" s="392">
        <v>8</v>
      </c>
      <c r="Z450" s="393"/>
      <c r="AA450" s="394"/>
      <c r="AB450" s="395"/>
      <c r="AC450" s="395"/>
      <c r="AD450" s="394"/>
      <c r="AE450" s="395"/>
      <c r="AF450" s="317"/>
      <c r="AG450" s="396" t="s">
        <v>2072</v>
      </c>
      <c r="AH450" s="397"/>
      <c r="AI450" s="317">
        <v>84</v>
      </c>
      <c r="AJ450" s="397">
        <v>45180</v>
      </c>
      <c r="AK450" s="326" t="s">
        <v>889</v>
      </c>
      <c r="AL450" s="326">
        <v>45145</v>
      </c>
      <c r="AM450" s="316"/>
      <c r="AN450" s="305"/>
      <c r="AO450" s="327" t="str">
        <f>_xlfn.IFNA(IF(VLOOKUP(tabItens[[#This Row],[CÓDIGO]],tabExcluirDoEstoque[#Data],1,FALSE),"sim",""),"")</f>
        <v/>
      </c>
      <c r="AP450" s="398" t="str">
        <f ca="1">IF(OR(ISBLANK(tabItens[[#This Row],[ATA DT.VALID.]]),tabItens[[#This Row],[ATA DT.VALID.]]="",tabItens[[#This Row],[ATA DT.VALID.]]=" "),"",IF(TYPE(tabItens[[#This Row],[ATA DT.VALID.]])=1,ROUNDUP((tabItens[[#This Row],[ATA DT.VALID.]]-TODAY())/7,0),""))</f>
        <v/>
      </c>
      <c r="AQ450" s="399">
        <v>0</v>
      </c>
      <c r="AR450" s="400" t="str">
        <f>IF(ISBLANK(tabItens[[#This Row],[CÓDIGO]]),"",IFERROR(VLOOKUP(tabItens[[#This Row],[CÓDIGO]],Consumo!$C$2:$AC$862,26,FALSE),0))</f>
        <v>09.2023</v>
      </c>
      <c r="AS450" s="401">
        <f>SUMIF(Consumo!$C$3:$C$862,tabItens[[#This Row],[CÓDIGO]],Consumo!$N$3:$N$862) + SUMIF(Consumo!$C$3:$C$862,tabItens[[#This Row],[CÓDIGO]],Consumo!$O$3:$O$862) + SUMIF(Consumo!$C$3:$C$862,tabItens[[#This Row],[CÓDIGO]],Consumo!$P$3:$P$862) + SUMIF(Consumo!$C$3:$C$862,tabItens[[#This Row],[CÓDIGO]],Consumo!$Q$3:$Q$862)</f>
        <v>50</v>
      </c>
      <c r="AT450" s="401">
        <f>SUMIF(Consumo!$C$3:$C$862,tabItens[[#This Row],[CÓDIGO]],Consumo!$Z$3:$Z$862)</f>
        <v>249</v>
      </c>
      <c r="AU450" s="402">
        <f>SUMIF(Consumo!$C$3:$C$862,tabItens[[#This Row],[CÓDIGO]],Consumo!$AA$3:$AA$862)</f>
        <v>100</v>
      </c>
      <c r="AV450" s="403">
        <f>SUMIF(Consumo!$C$3:$C$862,tabItens[[#This Row],[CÓDIGO]],Consumo!$Y$3:$Y$862)</f>
        <v>19.166666666666668</v>
      </c>
      <c r="AW450" s="380">
        <f>tabItens[[#This Row],[QTDE ATUAL]] + tabItens[[#This Row],[RC QTDE]] + tabItens[[#This Row],[AF SALDO]] + tabItens[[#This Row],[Recentes]]</f>
        <v>459</v>
      </c>
      <c r="AX450" s="404">
        <v>40</v>
      </c>
      <c r="AY450" s="404">
        <v>4</v>
      </c>
      <c r="AZ450" s="404">
        <f>IF(ISBLANK(tabItens[[#This Row],[CÓDIGO]]),"",tabItens[[#This Row],[PontoMês]] * (AZ$2+tabItens[[#This Row],[PontoQtM]]))</f>
        <v>160</v>
      </c>
      <c r="BA450" s="403">
        <f>tabItens[[#This Row],[PontoPed]] - tabItens[[#This Row],[Saldo]] + (1/10)</f>
        <v>-298.89999999999998</v>
      </c>
      <c r="BB450" s="403">
        <f xml:space="preserve"> tabItens[[#This Row],[PontoMês]] * BB$2 - tabItens[[#This Row],[QTDE ATUAL]] - (1/10)</f>
        <v>-419.1</v>
      </c>
      <c r="BC450" s="335">
        <f>IF( tabItens[[#This Row],[PontoPed]]&gt;0, IF(tabItens[[#This Row],[PontoPed]]&lt;1, 1, IF( tabItens[[#This Row],[Saldo]]&gt;tabItens[[#This Row],[PontoPed]], 0, (tabItens[[#This Row],[PontoPed]]-tabItens[[#This Row],[Saldo]])/tabItens[[#This Row],[PontoPed]] ) ), 0 )</f>
        <v>0</v>
      </c>
      <c r="BD450" s="405">
        <f>ROUNDDOWN(IF( OR( AND(tabItens[[#This Row],[PontoPed]]&lt;tabItens[[#This Row],[Saldo]],tabItens[[#This Row],[Saldo]]&gt;0), tabItens[[#This Row],[PontoPed]]=0), 99, IF(AND(tabItens[[#This Row],[Saldo]]=0,tabItens[[#This Row],[PontoPed]]&gt;0), 0, (1-tabItens[[#This Row],[PctAb]])*10 ) ),0)</f>
        <v>99</v>
      </c>
      <c r="BE450" s="406">
        <f>MAX(ROUNDDOWN( IF(tabItens[[#This Row],[Abaixo]] &gt; 0,   tabItens[[#This Row],[Abaixo]] + (tabItens[[#This Row],[PontoMês]] * IF( OR( ISBLANK(tabItens[[#This Row],[ATA Nº/ANO]]), tabItens[[#This Row],[ATA Nº/ANO]] = ""),BE$2,BE$1)),0),0),0)</f>
        <v>0</v>
      </c>
      <c r="BF45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0" s="338">
        <f>SUMIF(Consumo!$C$3:$C$862,tabItens[[#This Row],[CÓDIGO]],Consumo!$E$3:$E$862)</f>
        <v>0</v>
      </c>
      <c r="BH450" s="339">
        <f>IF(AND(tabItens[[#This Row],[Pend]] &gt; 0,tabItens[[#This Row],[Consumo]] &lt;&gt; 0), tabItens[[#This Row],[Pend]] / tabItens[[#This Row],[Consumo]], 0 )</f>
        <v>0</v>
      </c>
      <c r="BI450" s="338"/>
      <c r="BJ450" s="407"/>
      <c r="BK450" s="408" t="s">
        <v>2086</v>
      </c>
    </row>
    <row r="451" spans="1:63" x14ac:dyDescent="0.3">
      <c r="A451" s="375">
        <v>135414</v>
      </c>
      <c r="B451" s="376" t="s">
        <v>1918</v>
      </c>
      <c r="C451" s="377" t="s">
        <v>263</v>
      </c>
      <c r="D451" s="378">
        <v>55</v>
      </c>
      <c r="E451" s="305"/>
      <c r="F451" s="379"/>
      <c r="G451" s="379" t="s">
        <v>889</v>
      </c>
      <c r="H451" s="380">
        <v>432</v>
      </c>
      <c r="I451" s="307">
        <v>103003</v>
      </c>
      <c r="J451" s="308">
        <v>55</v>
      </c>
      <c r="K451" s="381">
        <v>187</v>
      </c>
      <c r="L451" s="382">
        <f>IF(tabItens[[#This Row],[Média]] &gt; 0, tabItens[[#This Row],[QTDE ATUAL]] / tabItens[[#This Row],[Média]],999.9)</f>
        <v>20.093023255813954</v>
      </c>
      <c r="M451" s="383">
        <v>0</v>
      </c>
      <c r="N451" s="384">
        <f>tabItens[[#This Row],[VALOR UNIT.]] * tabItens[[#This Row],[LC]]</f>
        <v>0</v>
      </c>
      <c r="O451" s="385" t="s">
        <v>2099</v>
      </c>
      <c r="P451" s="386"/>
      <c r="Q451" s="387"/>
      <c r="R451" s="312"/>
      <c r="S451" s="388"/>
      <c r="T451" s="389">
        <f>ROUNDDOWN(IFERROR(tabItens[[#This Row],[ATA DT.VALID.]] - $D$1,0) / 30,0)</f>
        <v>-1474</v>
      </c>
      <c r="U451" s="302" t="s">
        <v>1015</v>
      </c>
      <c r="V451" s="318">
        <v>1</v>
      </c>
      <c r="W451" s="390" t="s">
        <v>2076</v>
      </c>
      <c r="X451" s="391">
        <v>61</v>
      </c>
      <c r="Y451" s="392">
        <v>14</v>
      </c>
      <c r="Z451" s="393"/>
      <c r="AA451" s="394"/>
      <c r="AB451" s="395"/>
      <c r="AC451" s="395"/>
      <c r="AD451" s="394"/>
      <c r="AE451" s="395"/>
      <c r="AF451" s="317"/>
      <c r="AG451" s="396" t="s">
        <v>2072</v>
      </c>
      <c r="AH451" s="397"/>
      <c r="AI451" s="317">
        <v>62</v>
      </c>
      <c r="AJ451" s="397">
        <v>45166</v>
      </c>
      <c r="AK451" s="326">
        <v>43294</v>
      </c>
      <c r="AL451" s="326">
        <v>45145</v>
      </c>
      <c r="AM451" s="316"/>
      <c r="AN451" s="305"/>
      <c r="AO451" s="327" t="str">
        <f>_xlfn.IFNA(IF(VLOOKUP(tabItens[[#This Row],[CÓDIGO]],tabExcluirDoEstoque[#Data],1,FALSE),"sim",""),"")</f>
        <v/>
      </c>
      <c r="AP451" s="398" t="str">
        <f ca="1">IF(OR(ISBLANK(tabItens[[#This Row],[ATA DT.VALID.]]),tabItens[[#This Row],[ATA DT.VALID.]]="",tabItens[[#This Row],[ATA DT.VALID.]]=" "),"",IF(TYPE(tabItens[[#This Row],[ATA DT.VALID.]])=1,ROUNDUP((tabItens[[#This Row],[ATA DT.VALID.]]-TODAY())/7,0),""))</f>
        <v/>
      </c>
      <c r="AQ451" s="399">
        <v>0</v>
      </c>
      <c r="AR451" s="400" t="str">
        <f>IF(ISBLANK(tabItens[[#This Row],[CÓDIGO]]),"",IFERROR(VLOOKUP(tabItens[[#This Row],[CÓDIGO]],Consumo!$C$2:$AC$862,26,FALSE),0))</f>
        <v>09.2023</v>
      </c>
      <c r="AS451" s="401">
        <f>SUMIF(Consumo!$C$3:$C$862,tabItens[[#This Row],[CÓDIGO]],Consumo!$N$3:$N$862) + SUMIF(Consumo!$C$3:$C$862,tabItens[[#This Row],[CÓDIGO]],Consumo!$O$3:$O$862) + SUMIF(Consumo!$C$3:$C$862,tabItens[[#This Row],[CÓDIGO]],Consumo!$P$3:$P$862) + SUMIF(Consumo!$C$3:$C$862,tabItens[[#This Row],[CÓDIGO]],Consumo!$Q$3:$Q$862)</f>
        <v>113</v>
      </c>
      <c r="AT451" s="401">
        <f>SUMIF(Consumo!$C$3:$C$862,tabItens[[#This Row],[CÓDIGO]],Consumo!$Z$3:$Z$862)</f>
        <v>258</v>
      </c>
      <c r="AU451" s="402">
        <f>SUMIF(Consumo!$C$3:$C$862,tabItens[[#This Row],[CÓDIGO]],Consumo!$AA$3:$AA$862)</f>
        <v>53</v>
      </c>
      <c r="AV451" s="403">
        <f>SUMIF(Consumo!$C$3:$C$862,tabItens[[#This Row],[CÓDIGO]],Consumo!$Y$3:$Y$862)</f>
        <v>21.5</v>
      </c>
      <c r="AW451" s="380">
        <f>tabItens[[#This Row],[QTDE ATUAL]] + tabItens[[#This Row],[RC QTDE]] + tabItens[[#This Row],[AF SALDO]] + tabItens[[#This Row],[Recentes]]</f>
        <v>432</v>
      </c>
      <c r="AX451" s="404">
        <v>34</v>
      </c>
      <c r="AY451" s="404">
        <v>4</v>
      </c>
      <c r="AZ451" s="404">
        <f>IF(ISBLANK(tabItens[[#This Row],[CÓDIGO]]),"",tabItens[[#This Row],[PontoMês]] * (AZ$2+tabItens[[#This Row],[PontoQtM]]))</f>
        <v>136</v>
      </c>
      <c r="BA451" s="403">
        <f>tabItens[[#This Row],[PontoPed]] - tabItens[[#This Row],[Saldo]] + (1/10)</f>
        <v>-295.89999999999998</v>
      </c>
      <c r="BB451" s="403">
        <f xml:space="preserve"> tabItens[[#This Row],[PontoMês]] * BB$2 - tabItens[[#This Row],[QTDE ATUAL]] - (1/10)</f>
        <v>-398.1</v>
      </c>
      <c r="BC451" s="335">
        <f>IF( tabItens[[#This Row],[PontoPed]]&gt;0, IF(tabItens[[#This Row],[PontoPed]]&lt;1, 1, IF( tabItens[[#This Row],[Saldo]]&gt;tabItens[[#This Row],[PontoPed]], 0, (tabItens[[#This Row],[PontoPed]]-tabItens[[#This Row],[Saldo]])/tabItens[[#This Row],[PontoPed]] ) ), 0 )</f>
        <v>0</v>
      </c>
      <c r="BD451" s="405">
        <f>ROUNDDOWN(IF( OR( AND(tabItens[[#This Row],[PontoPed]]&lt;tabItens[[#This Row],[Saldo]],tabItens[[#This Row],[Saldo]]&gt;0), tabItens[[#This Row],[PontoPed]]=0), 99, IF(AND(tabItens[[#This Row],[Saldo]]=0,tabItens[[#This Row],[PontoPed]]&gt;0), 0, (1-tabItens[[#This Row],[PctAb]])*10 ) ),0)</f>
        <v>99</v>
      </c>
      <c r="BE451" s="406">
        <f>MAX(ROUNDDOWN( IF(tabItens[[#This Row],[Abaixo]] &gt; 0,   tabItens[[#This Row],[Abaixo]] + (tabItens[[#This Row],[PontoMês]] * IF( OR( ISBLANK(tabItens[[#This Row],[ATA Nº/ANO]]), tabItens[[#This Row],[ATA Nº/ANO]] = ""),BE$2,BE$1)),0),0),0)</f>
        <v>0</v>
      </c>
      <c r="BF45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1" s="338">
        <f>SUMIF(Consumo!$C$3:$C$862,tabItens[[#This Row],[CÓDIGO]],Consumo!$E$3:$E$862)</f>
        <v>71</v>
      </c>
      <c r="BH451" s="339">
        <f>IF(AND(tabItens[[#This Row],[Pend]] &gt; 0,tabItens[[#This Row],[Consumo]] &lt;&gt; 0), tabItens[[#This Row],[Pend]] / tabItens[[#This Row],[Consumo]], 0 )</f>
        <v>0.27519379844961239</v>
      </c>
      <c r="BI451" s="338"/>
      <c r="BJ451" s="407"/>
      <c r="BK451" s="408" t="s">
        <v>2086</v>
      </c>
    </row>
    <row r="452" spans="1:63" x14ac:dyDescent="0.3">
      <c r="A452" s="375">
        <v>28181</v>
      </c>
      <c r="B452" s="376" t="s">
        <v>1231</v>
      </c>
      <c r="C452" s="377" t="s">
        <v>263</v>
      </c>
      <c r="D452" s="378">
        <v>11.99</v>
      </c>
      <c r="E452" s="305"/>
      <c r="F452" s="379"/>
      <c r="G452" s="379" t="s">
        <v>889</v>
      </c>
      <c r="H452" s="380">
        <v>12</v>
      </c>
      <c r="I452" s="307">
        <v>103003</v>
      </c>
      <c r="J452" s="308">
        <v>11.99</v>
      </c>
      <c r="K452" s="381">
        <v>5</v>
      </c>
      <c r="L452" s="382">
        <f>IF(tabItens[[#This Row],[Média]] &gt; 0, tabItens[[#This Row],[QTDE ATUAL]] / tabItens[[#This Row],[Média]],999.9)</f>
        <v>48</v>
      </c>
      <c r="M452" s="383">
        <v>0</v>
      </c>
      <c r="N452" s="384">
        <f>tabItens[[#This Row],[VALOR UNIT.]] * tabItens[[#This Row],[LC]]</f>
        <v>0</v>
      </c>
      <c r="O452" s="385" t="s">
        <v>2141</v>
      </c>
      <c r="P452" s="386"/>
      <c r="Q452" s="387"/>
      <c r="R452" s="312"/>
      <c r="S452" s="388"/>
      <c r="T452" s="389">
        <f>ROUNDDOWN(IFERROR(tabItens[[#This Row],[ATA DT.VALID.]] - $D$1,0) / 30,0)</f>
        <v>-1474</v>
      </c>
      <c r="U452" s="302" t="s">
        <v>966</v>
      </c>
      <c r="V452" s="318">
        <v>1</v>
      </c>
      <c r="W452" s="390" t="s">
        <v>2076</v>
      </c>
      <c r="X452" s="391">
        <v>61</v>
      </c>
      <c r="Y452" s="392">
        <v>8</v>
      </c>
      <c r="Z452" s="393"/>
      <c r="AA452" s="394"/>
      <c r="AB452" s="395"/>
      <c r="AC452" s="395"/>
      <c r="AD452" s="394"/>
      <c r="AE452" s="395"/>
      <c r="AF452" s="317"/>
      <c r="AG452" s="396" t="s">
        <v>2072</v>
      </c>
      <c r="AH452" s="397"/>
      <c r="AI452" s="317">
        <v>2</v>
      </c>
      <c r="AJ452" s="397">
        <v>43798</v>
      </c>
      <c r="AK452" s="326" t="s">
        <v>889</v>
      </c>
      <c r="AL452" s="326">
        <v>44421</v>
      </c>
      <c r="AM452" s="316"/>
      <c r="AN452" s="305"/>
      <c r="AO452" s="327" t="str">
        <f>_xlfn.IFNA(IF(VLOOKUP(tabItens[[#This Row],[CÓDIGO]],tabExcluirDoEstoque[#Data],1,FALSE),"sim",""),"")</f>
        <v/>
      </c>
      <c r="AP452" s="398" t="str">
        <f ca="1">IF(OR(ISBLANK(tabItens[[#This Row],[ATA DT.VALID.]]),tabItens[[#This Row],[ATA DT.VALID.]]="",tabItens[[#This Row],[ATA DT.VALID.]]=" "),"",IF(TYPE(tabItens[[#This Row],[ATA DT.VALID.]])=1,ROUNDUP((tabItens[[#This Row],[ATA DT.VALID.]]-TODAY())/7,0),""))</f>
        <v/>
      </c>
      <c r="AQ452" s="399">
        <v>0</v>
      </c>
      <c r="AR452" s="400" t="str">
        <f>IF(ISBLANK(tabItens[[#This Row],[CÓDIGO]]),"",IFERROR(VLOOKUP(tabItens[[#This Row],[CÓDIGO]],Consumo!$C$2:$AC$862,26,FALSE),0))</f>
        <v>04.2023</v>
      </c>
      <c r="AS452" s="401">
        <f>SUMIF(Consumo!$C$3:$C$862,tabItens[[#This Row],[CÓDIGO]],Consumo!$N$3:$N$862) + SUMIF(Consumo!$C$3:$C$862,tabItens[[#This Row],[CÓDIGO]],Consumo!$O$3:$O$862) + SUMIF(Consumo!$C$3:$C$862,tabItens[[#This Row],[CÓDIGO]],Consumo!$P$3:$P$862) + SUMIF(Consumo!$C$3:$C$862,tabItens[[#This Row],[CÓDIGO]],Consumo!$Q$3:$Q$862)</f>
        <v>0</v>
      </c>
      <c r="AT452" s="401">
        <f>SUMIF(Consumo!$C$3:$C$862,tabItens[[#This Row],[CÓDIGO]],Consumo!$Z$3:$Z$862)</f>
        <v>5</v>
      </c>
      <c r="AU452" s="402">
        <f>SUMIF(Consumo!$C$3:$C$862,tabItens[[#This Row],[CÓDIGO]],Consumo!$AA$3:$AA$862)</f>
        <v>5</v>
      </c>
      <c r="AV452" s="403">
        <f>SUMIF(Consumo!$C$3:$C$862,tabItens[[#This Row],[CÓDIGO]],Consumo!$Y$3:$Y$862)</f>
        <v>0.25</v>
      </c>
      <c r="AW452" s="380">
        <f>tabItens[[#This Row],[QTDE ATUAL]] + tabItens[[#This Row],[RC QTDE]] + tabItens[[#This Row],[AF SALDO]] + tabItens[[#This Row],[Recentes]]</f>
        <v>12</v>
      </c>
      <c r="AX452" s="404">
        <v>5</v>
      </c>
      <c r="AY452" s="404">
        <v>4</v>
      </c>
      <c r="AZ452" s="404">
        <f>IF(ISBLANK(tabItens[[#This Row],[CÓDIGO]]),"",tabItens[[#This Row],[PontoMês]] * (AZ$2+tabItens[[#This Row],[PontoQtM]]))</f>
        <v>20</v>
      </c>
      <c r="BA452" s="403">
        <f>tabItens[[#This Row],[PontoPed]] - tabItens[[#This Row],[Saldo]] + (1/10)</f>
        <v>8.1</v>
      </c>
      <c r="BB452" s="403">
        <f xml:space="preserve"> tabItens[[#This Row],[PontoMês]] * BB$2 - tabItens[[#This Row],[QTDE ATUAL]] - (1/10)</f>
        <v>-7.1</v>
      </c>
      <c r="BC452" s="335">
        <f>IF( tabItens[[#This Row],[PontoPed]]&gt;0, IF(tabItens[[#This Row],[PontoPed]]&lt;1, 1, IF( tabItens[[#This Row],[Saldo]]&gt;tabItens[[#This Row],[PontoPed]], 0, (tabItens[[#This Row],[PontoPed]]-tabItens[[#This Row],[Saldo]])/tabItens[[#This Row],[PontoPed]] ) ), 0 )</f>
        <v>0.4</v>
      </c>
      <c r="BD452" s="405">
        <f>ROUNDDOWN(IF( OR( AND(tabItens[[#This Row],[PontoPed]]&lt;tabItens[[#This Row],[Saldo]],tabItens[[#This Row],[Saldo]]&gt;0), tabItens[[#This Row],[PontoPed]]=0), 99, IF(AND(tabItens[[#This Row],[Saldo]]=0,tabItens[[#This Row],[PontoPed]]&gt;0), 0, (1-tabItens[[#This Row],[PctAb]])*10 ) ),0)</f>
        <v>6</v>
      </c>
      <c r="BE452" s="406">
        <f>MAX(ROUNDDOWN( IF(tabItens[[#This Row],[Abaixo]] &gt; 0,   tabItens[[#This Row],[Abaixo]] + (tabItens[[#This Row],[PontoMês]] * IF( OR( ISBLANK(tabItens[[#This Row],[ATA Nº/ANO]]), tabItens[[#This Row],[ATA Nº/ANO]] = ""),BE$2,BE$1)),0),0),0)</f>
        <v>23</v>
      </c>
      <c r="BF45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2" s="338">
        <f>SUMIF(Consumo!$C$3:$C$862,tabItens[[#This Row],[CÓDIGO]],Consumo!$E$3:$E$862)</f>
        <v>0</v>
      </c>
      <c r="BH452" s="339">
        <f>IF(AND(tabItens[[#This Row],[Pend]] &gt; 0,tabItens[[#This Row],[Consumo]] &lt;&gt; 0), tabItens[[#This Row],[Pend]] / tabItens[[#This Row],[Consumo]], 0 )</f>
        <v>0</v>
      </c>
      <c r="BI452" s="338"/>
      <c r="BJ452" s="407"/>
      <c r="BK452" s="408" t="s">
        <v>2086</v>
      </c>
    </row>
    <row r="453" spans="1:63" x14ac:dyDescent="0.3">
      <c r="A453" s="375">
        <v>136553</v>
      </c>
      <c r="B453" s="376" t="s">
        <v>1926</v>
      </c>
      <c r="C453" s="377" t="s">
        <v>263</v>
      </c>
      <c r="D453" s="378">
        <v>1.6</v>
      </c>
      <c r="E453" s="305"/>
      <c r="F453" s="379"/>
      <c r="G453" s="379" t="s">
        <v>889</v>
      </c>
      <c r="H453" s="380">
        <v>1500</v>
      </c>
      <c r="I453" s="307">
        <v>103003</v>
      </c>
      <c r="J453" s="308">
        <v>1.6</v>
      </c>
      <c r="K453" s="381">
        <v>1799</v>
      </c>
      <c r="L453" s="382">
        <f>IF(tabItens[[#This Row],[Média]] &gt; 0, tabItens[[#This Row],[QTDE ATUAL]] / tabItens[[#This Row],[Média]],999.9)</f>
        <v>8.4230229293401955</v>
      </c>
      <c r="M453" s="383">
        <v>0</v>
      </c>
      <c r="N453" s="384">
        <f>tabItens[[#This Row],[VALOR UNIT.]] * tabItens[[#This Row],[LC]]</f>
        <v>0</v>
      </c>
      <c r="O453" s="385" t="s">
        <v>2192</v>
      </c>
      <c r="P453" s="386"/>
      <c r="Q453" s="387"/>
      <c r="R453" s="312"/>
      <c r="S453" s="388"/>
      <c r="T453" s="389">
        <f>ROUNDDOWN(IFERROR(tabItens[[#This Row],[ATA DT.VALID.]] - $D$1,0) / 30,0)</f>
        <v>-1474</v>
      </c>
      <c r="U453" s="302" t="s">
        <v>1927</v>
      </c>
      <c r="V453" s="318">
        <v>1</v>
      </c>
      <c r="W453" s="390" t="s">
        <v>2071</v>
      </c>
      <c r="X453" s="391">
        <v>51</v>
      </c>
      <c r="Y453" s="392">
        <v>10</v>
      </c>
      <c r="Z453" s="393"/>
      <c r="AA453" s="394"/>
      <c r="AB453" s="395"/>
      <c r="AC453" s="395"/>
      <c r="AD453" s="394"/>
      <c r="AE453" s="395"/>
      <c r="AF453" s="317"/>
      <c r="AG453" s="396" t="s">
        <v>2072</v>
      </c>
      <c r="AH453" s="397"/>
      <c r="AI453" s="317">
        <v>646</v>
      </c>
      <c r="AJ453" s="397">
        <v>45209</v>
      </c>
      <c r="AK453" s="326">
        <v>43518</v>
      </c>
      <c r="AL453" s="326">
        <v>45189</v>
      </c>
      <c r="AM453" s="316"/>
      <c r="AN453" s="305"/>
      <c r="AO453" s="327" t="str">
        <f>_xlfn.IFNA(IF(VLOOKUP(tabItens[[#This Row],[CÓDIGO]],tabExcluirDoEstoque[#Data],1,FALSE),"sim",""),"")</f>
        <v/>
      </c>
      <c r="AP453" s="398" t="str">
        <f ca="1">IF(OR(ISBLANK(tabItens[[#This Row],[ATA DT.VALID.]]),tabItens[[#This Row],[ATA DT.VALID.]]="",tabItens[[#This Row],[ATA DT.VALID.]]=" "),"",IF(TYPE(tabItens[[#This Row],[ATA DT.VALID.]])=1,ROUNDUP((tabItens[[#This Row],[ATA DT.VALID.]]-TODAY())/7,0),""))</f>
        <v/>
      </c>
      <c r="AQ453" s="399">
        <v>0</v>
      </c>
      <c r="AR453" s="400" t="str">
        <f>IF(ISBLANK(tabItens[[#This Row],[CÓDIGO]]),"",IFERROR(VLOOKUP(tabItens[[#This Row],[CÓDIGO]],Consumo!$C$2:$AC$862,26,FALSE),0))</f>
        <v>05.2023</v>
      </c>
      <c r="AS453" s="401">
        <f>SUMIF(Consumo!$C$3:$C$862,tabItens[[#This Row],[CÓDIGO]],Consumo!$N$3:$N$862) + SUMIF(Consumo!$C$3:$C$862,tabItens[[#This Row],[CÓDIGO]],Consumo!$O$3:$O$862) + SUMIF(Consumo!$C$3:$C$862,tabItens[[#This Row],[CÓDIGO]],Consumo!$P$3:$P$862) + SUMIF(Consumo!$C$3:$C$862,tabItens[[#This Row],[CÓDIGO]],Consumo!$Q$3:$Q$862)</f>
        <v>0</v>
      </c>
      <c r="AT453" s="401">
        <f>SUMIF(Consumo!$C$3:$C$862,tabItens[[#This Row],[CÓDIGO]],Consumo!$Z$3:$Z$862)</f>
        <v>2137</v>
      </c>
      <c r="AU453" s="402">
        <f>SUMIF(Consumo!$C$3:$C$862,tabItens[[#This Row],[CÓDIGO]],Consumo!$AA$3:$AA$862)</f>
        <v>504</v>
      </c>
      <c r="AV453" s="403">
        <f>SUMIF(Consumo!$C$3:$C$862,tabItens[[#This Row],[CÓDIGO]],Consumo!$Y$3:$Y$862)</f>
        <v>178.08333333333334</v>
      </c>
      <c r="AW453" s="380">
        <f>tabItens[[#This Row],[QTDE ATUAL]] + tabItens[[#This Row],[RC QTDE]] + tabItens[[#This Row],[AF SALDO]] + tabItens[[#This Row],[Recentes]]</f>
        <v>1500</v>
      </c>
      <c r="AX453" s="404">
        <v>478</v>
      </c>
      <c r="AY453" s="404">
        <v>4</v>
      </c>
      <c r="AZ453" s="404">
        <f>IF(ISBLANK(tabItens[[#This Row],[CÓDIGO]]),"",tabItens[[#This Row],[PontoMês]] * (AZ$2+tabItens[[#This Row],[PontoQtM]]))</f>
        <v>1912</v>
      </c>
      <c r="BA453" s="403">
        <f>tabItens[[#This Row],[PontoPed]] - tabItens[[#This Row],[Saldo]] + (1/10)</f>
        <v>412.1</v>
      </c>
      <c r="BB453" s="403">
        <f xml:space="preserve"> tabItens[[#This Row],[PontoMês]] * BB$2 - tabItens[[#This Row],[QTDE ATUAL]] - (1/10)</f>
        <v>-1022.1</v>
      </c>
      <c r="BC453" s="335">
        <f>IF( tabItens[[#This Row],[PontoPed]]&gt;0, IF(tabItens[[#This Row],[PontoPed]]&lt;1, 1, IF( tabItens[[#This Row],[Saldo]]&gt;tabItens[[#This Row],[PontoPed]], 0, (tabItens[[#This Row],[PontoPed]]-tabItens[[#This Row],[Saldo]])/tabItens[[#This Row],[PontoPed]] ) ), 0 )</f>
        <v>0.21548117154811716</v>
      </c>
      <c r="BD453" s="405">
        <f>ROUNDDOWN(IF( OR( AND(tabItens[[#This Row],[PontoPed]]&lt;tabItens[[#This Row],[Saldo]],tabItens[[#This Row],[Saldo]]&gt;0), tabItens[[#This Row],[PontoPed]]=0), 99, IF(AND(tabItens[[#This Row],[Saldo]]=0,tabItens[[#This Row],[PontoPed]]&gt;0), 0, (1-tabItens[[#This Row],[PctAb]])*10 ) ),0)</f>
        <v>7</v>
      </c>
      <c r="BE453" s="406">
        <f>MAX(ROUNDDOWN( IF(tabItens[[#This Row],[Abaixo]] &gt; 0,   tabItens[[#This Row],[Abaixo]] + (tabItens[[#This Row],[PontoMês]] * IF( OR( ISBLANK(tabItens[[#This Row],[ATA Nº/ANO]]), tabItens[[#This Row],[ATA Nº/ANO]] = ""),BE$2,BE$1)),0),0),0)</f>
        <v>1846</v>
      </c>
      <c r="BF45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3" s="338">
        <f>SUMIF(Consumo!$C$3:$C$862,tabItens[[#This Row],[CÓDIGO]],Consumo!$E$3:$E$862)</f>
        <v>200</v>
      </c>
      <c r="BH453" s="339">
        <f>IF(AND(tabItens[[#This Row],[Pend]] &gt; 0,tabItens[[#This Row],[Consumo]] &lt;&gt; 0), tabItens[[#This Row],[Pend]] / tabItens[[#This Row],[Consumo]], 0 )</f>
        <v>9.3589143659335516E-2</v>
      </c>
      <c r="BI453" s="338"/>
      <c r="BJ453" s="407"/>
      <c r="BK453" s="408" t="s">
        <v>2086</v>
      </c>
    </row>
    <row r="454" spans="1:63" x14ac:dyDescent="0.3">
      <c r="A454" s="375">
        <v>136556</v>
      </c>
      <c r="B454" s="376" t="s">
        <v>1930</v>
      </c>
      <c r="C454" s="377" t="s">
        <v>263</v>
      </c>
      <c r="D454" s="378">
        <v>6.13</v>
      </c>
      <c r="E454" s="305"/>
      <c r="F454" s="379"/>
      <c r="G454" s="379" t="s">
        <v>889</v>
      </c>
      <c r="H454" s="380">
        <v>0</v>
      </c>
      <c r="I454" s="307">
        <v>103003</v>
      </c>
      <c r="J454" s="308">
        <v>6.13</v>
      </c>
      <c r="K454" s="381">
        <v>682</v>
      </c>
      <c r="L454" s="382">
        <f>IF(tabItens[[#This Row],[Média]] &gt; 0, tabItens[[#This Row],[QTDE ATUAL]] / tabItens[[#This Row],[Média]],999.9)</f>
        <v>0</v>
      </c>
      <c r="M454" s="383">
        <v>0</v>
      </c>
      <c r="N454" s="384">
        <f>tabItens[[#This Row],[VALOR UNIT.]] * tabItens[[#This Row],[LC]]</f>
        <v>0</v>
      </c>
      <c r="O454" s="385" t="s">
        <v>2192</v>
      </c>
      <c r="P454" s="386"/>
      <c r="Q454" s="387"/>
      <c r="R454" s="312"/>
      <c r="S454" s="388"/>
      <c r="T454" s="389">
        <f>ROUNDDOWN(IFERROR(tabItens[[#This Row],[ATA DT.VALID.]] - $D$1,0) / 30,0)</f>
        <v>-1474</v>
      </c>
      <c r="U454" s="302" t="s">
        <v>1927</v>
      </c>
      <c r="V454" s="318">
        <v>1</v>
      </c>
      <c r="W454" s="390" t="s">
        <v>2071</v>
      </c>
      <c r="X454" s="391">
        <v>51</v>
      </c>
      <c r="Y454" s="392">
        <v>10</v>
      </c>
      <c r="Z454" s="393"/>
      <c r="AA454" s="394"/>
      <c r="AB454" s="395"/>
      <c r="AC454" s="395">
        <v>11869</v>
      </c>
      <c r="AD454" s="394">
        <v>2023</v>
      </c>
      <c r="AE454" s="395">
        <v>2000</v>
      </c>
      <c r="AF454" s="317">
        <v>2000</v>
      </c>
      <c r="AG454" s="396" t="s">
        <v>2070</v>
      </c>
      <c r="AH454" s="397">
        <v>45209</v>
      </c>
      <c r="AI454" s="317">
        <v>272</v>
      </c>
      <c r="AJ454" s="397">
        <v>44946</v>
      </c>
      <c r="AK454" s="326">
        <v>43518</v>
      </c>
      <c r="AL454" s="326">
        <v>45189</v>
      </c>
      <c r="AM454" s="316"/>
      <c r="AN454" s="305"/>
      <c r="AO454" s="327" t="str">
        <f>_xlfn.IFNA(IF(VLOOKUP(tabItens[[#This Row],[CÓDIGO]],tabExcluirDoEstoque[#Data],1,FALSE),"sim",""),"")</f>
        <v/>
      </c>
      <c r="AP454" s="398" t="str">
        <f ca="1">IF(OR(ISBLANK(tabItens[[#This Row],[ATA DT.VALID.]]),tabItens[[#This Row],[ATA DT.VALID.]]="",tabItens[[#This Row],[ATA DT.VALID.]]=" "),"",IF(TYPE(tabItens[[#This Row],[ATA DT.VALID.]])=1,ROUNDUP((tabItens[[#This Row],[ATA DT.VALID.]]-TODAY())/7,0),""))</f>
        <v/>
      </c>
      <c r="AQ454" s="399">
        <v>0</v>
      </c>
      <c r="AR454" s="400" t="str">
        <f>IF(ISBLANK(tabItens[[#This Row],[CÓDIGO]]),"",IFERROR(VLOOKUP(tabItens[[#This Row],[CÓDIGO]],Consumo!$C$2:$AC$862,26,FALSE),0))</f>
        <v>04.2023</v>
      </c>
      <c r="AS454" s="401">
        <f>SUMIF(Consumo!$C$3:$C$862,tabItens[[#This Row],[CÓDIGO]],Consumo!$N$3:$N$862) + SUMIF(Consumo!$C$3:$C$862,tabItens[[#This Row],[CÓDIGO]],Consumo!$O$3:$O$862) + SUMIF(Consumo!$C$3:$C$862,tabItens[[#This Row],[CÓDIGO]],Consumo!$P$3:$P$862) + SUMIF(Consumo!$C$3:$C$862,tabItens[[#This Row],[CÓDIGO]],Consumo!$Q$3:$Q$862)</f>
        <v>0</v>
      </c>
      <c r="AT454" s="401">
        <f>SUMIF(Consumo!$C$3:$C$862,tabItens[[#This Row],[CÓDIGO]],Consumo!$Z$3:$Z$862)</f>
        <v>791</v>
      </c>
      <c r="AU454" s="402">
        <f>SUMIF(Consumo!$C$3:$C$862,tabItens[[#This Row],[CÓDIGO]],Consumo!$AA$3:$AA$862)</f>
        <v>144</v>
      </c>
      <c r="AV454" s="403">
        <f>SUMIF(Consumo!$C$3:$C$862,tabItens[[#This Row],[CÓDIGO]],Consumo!$Y$3:$Y$862)</f>
        <v>65.916666666666671</v>
      </c>
      <c r="AW454" s="380">
        <f>tabItens[[#This Row],[QTDE ATUAL]] + tabItens[[#This Row],[RC QTDE]] + tabItens[[#This Row],[AF SALDO]] + tabItens[[#This Row],[Recentes]]</f>
        <v>2000</v>
      </c>
      <c r="AX454" s="404">
        <v>89</v>
      </c>
      <c r="AY454" s="404">
        <v>4</v>
      </c>
      <c r="AZ454" s="404">
        <f>IF(ISBLANK(tabItens[[#This Row],[CÓDIGO]]),"",tabItens[[#This Row],[PontoMês]] * (AZ$2+tabItens[[#This Row],[PontoQtM]]))</f>
        <v>356</v>
      </c>
      <c r="BA454" s="403">
        <f>tabItens[[#This Row],[PontoPed]] - tabItens[[#This Row],[Saldo]] + (1/10)</f>
        <v>-1643.9</v>
      </c>
      <c r="BB454" s="403">
        <f xml:space="preserve"> tabItens[[#This Row],[PontoMês]] * BB$2 - tabItens[[#This Row],[QTDE ATUAL]] - (1/10)</f>
        <v>88.9</v>
      </c>
      <c r="BC454" s="335">
        <f>IF( tabItens[[#This Row],[PontoPed]]&gt;0, IF(tabItens[[#This Row],[PontoPed]]&lt;1, 1, IF( tabItens[[#This Row],[Saldo]]&gt;tabItens[[#This Row],[PontoPed]], 0, (tabItens[[#This Row],[PontoPed]]-tabItens[[#This Row],[Saldo]])/tabItens[[#This Row],[PontoPed]] ) ), 0 )</f>
        <v>0</v>
      </c>
      <c r="BD454" s="405">
        <f>ROUNDDOWN(IF( OR( AND(tabItens[[#This Row],[PontoPed]]&lt;tabItens[[#This Row],[Saldo]],tabItens[[#This Row],[Saldo]]&gt;0), tabItens[[#This Row],[PontoPed]]=0), 99, IF(AND(tabItens[[#This Row],[Saldo]]=0,tabItens[[#This Row],[PontoPed]]&gt;0), 0, (1-tabItens[[#This Row],[PctAb]])*10 ) ),0)</f>
        <v>99</v>
      </c>
      <c r="BE454" s="406">
        <f>MAX(ROUNDDOWN( IF(tabItens[[#This Row],[Abaixo]] &gt; 0,   tabItens[[#This Row],[Abaixo]] + (tabItens[[#This Row],[PontoMês]] * IF( OR( ISBLANK(tabItens[[#This Row],[ATA Nº/ANO]]), tabItens[[#This Row],[ATA Nº/ANO]] = ""),BE$2,BE$1)),0),0),0)</f>
        <v>0</v>
      </c>
      <c r="BF45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4" s="338">
        <f>SUMIF(Consumo!$C$3:$C$862,tabItens[[#This Row],[CÓDIGO]],Consumo!$E$3:$E$862)</f>
        <v>97</v>
      </c>
      <c r="BH454" s="339">
        <f>IF(AND(tabItens[[#This Row],[Pend]] &gt; 0,tabItens[[#This Row],[Consumo]] &lt;&gt; 0), tabItens[[#This Row],[Pend]] / tabItens[[#This Row],[Consumo]], 0 )</f>
        <v>0.12262958280657396</v>
      </c>
      <c r="BI454" s="338"/>
      <c r="BJ454" s="407"/>
      <c r="BK454" s="408" t="s">
        <v>2086</v>
      </c>
    </row>
    <row r="455" spans="1:63" x14ac:dyDescent="0.3">
      <c r="A455" s="375">
        <v>122818</v>
      </c>
      <c r="B455" s="376" t="s">
        <v>1753</v>
      </c>
      <c r="C455" s="377" t="s">
        <v>560</v>
      </c>
      <c r="D455" s="378">
        <v>319.89999999999998</v>
      </c>
      <c r="E455" s="305"/>
      <c r="F455" s="379"/>
      <c r="G455" s="379" t="s">
        <v>889</v>
      </c>
      <c r="H455" s="380">
        <v>2259.25</v>
      </c>
      <c r="I455" s="307">
        <v>103003</v>
      </c>
      <c r="J455" s="308">
        <v>319.89999999999998</v>
      </c>
      <c r="K455" s="381">
        <v>589</v>
      </c>
      <c r="L455" s="382">
        <f>IF(tabItens[[#This Row],[Média]] &gt; 0, tabItens[[#This Row],[QTDE ATUAL]] / tabItens[[#This Row],[Média]],999.9)</f>
        <v>52.439071566731137</v>
      </c>
      <c r="M455" s="383">
        <v>0</v>
      </c>
      <c r="N455" s="384">
        <f>tabItens[[#This Row],[VALOR UNIT.]] * tabItens[[#This Row],[LC]]</f>
        <v>0</v>
      </c>
      <c r="O455" s="385" t="s">
        <v>2192</v>
      </c>
      <c r="P455" s="386"/>
      <c r="Q455" s="387"/>
      <c r="R455" s="312"/>
      <c r="S455" s="388"/>
      <c r="T455" s="389">
        <f>ROUNDDOWN(IFERROR(tabItens[[#This Row],[ATA DT.VALID.]] - $D$1,0) / 30,0)</f>
        <v>-1474</v>
      </c>
      <c r="U455" s="302" t="s">
        <v>1734</v>
      </c>
      <c r="V455" s="318">
        <v>1</v>
      </c>
      <c r="W455" s="390" t="s">
        <v>2071</v>
      </c>
      <c r="X455" s="391">
        <v>51</v>
      </c>
      <c r="Y455" s="392">
        <v>21</v>
      </c>
      <c r="Z455" s="393"/>
      <c r="AA455" s="394"/>
      <c r="AB455" s="395"/>
      <c r="AC455" s="395"/>
      <c r="AD455" s="394"/>
      <c r="AE455" s="395"/>
      <c r="AF455" s="317"/>
      <c r="AG455" s="396" t="s">
        <v>2072</v>
      </c>
      <c r="AH455" s="397"/>
      <c r="AI455" s="317">
        <v>196</v>
      </c>
      <c r="AJ455" s="397">
        <v>44553</v>
      </c>
      <c r="AK455" s="326">
        <v>41003</v>
      </c>
      <c r="AL455" s="326">
        <v>44412</v>
      </c>
      <c r="AM455" s="316"/>
      <c r="AN455" s="305"/>
      <c r="AO455" s="327" t="str">
        <f>_xlfn.IFNA(IF(VLOOKUP(tabItens[[#This Row],[CÓDIGO]],tabExcluirDoEstoque[#Data],1,FALSE),"sim",""),"")</f>
        <v/>
      </c>
      <c r="AP455" s="398" t="str">
        <f ca="1">IF(OR(ISBLANK(tabItens[[#This Row],[ATA DT.VALID.]]),tabItens[[#This Row],[ATA DT.VALID.]]="",tabItens[[#This Row],[ATA DT.VALID.]]=" "),"",IF(TYPE(tabItens[[#This Row],[ATA DT.VALID.]])=1,ROUNDUP((tabItens[[#This Row],[ATA DT.VALID.]]-TODAY())/7,0),""))</f>
        <v/>
      </c>
      <c r="AQ455" s="399">
        <v>0</v>
      </c>
      <c r="AR455" s="400" t="str">
        <f>IF(ISBLANK(tabItens[[#This Row],[CÓDIGO]]),"",IFERROR(VLOOKUP(tabItens[[#This Row],[CÓDIGO]],Consumo!$C$2:$AC$862,26,FALSE),0))</f>
        <v>09.2023</v>
      </c>
      <c r="AS455" s="401">
        <f>SUMIF(Consumo!$C$3:$C$862,tabItens[[#This Row],[CÓDIGO]],Consumo!$N$3:$N$862) + SUMIF(Consumo!$C$3:$C$862,tabItens[[#This Row],[CÓDIGO]],Consumo!$O$3:$O$862) + SUMIF(Consumo!$C$3:$C$862,tabItens[[#This Row],[CÓDIGO]],Consumo!$P$3:$P$862) + SUMIF(Consumo!$C$3:$C$862,tabItens[[#This Row],[CÓDIGO]],Consumo!$Q$3:$Q$862)</f>
        <v>184</v>
      </c>
      <c r="AT455" s="401">
        <f>SUMIF(Consumo!$C$3:$C$862,tabItens[[#This Row],[CÓDIGO]],Consumo!$Z$3:$Z$862)</f>
        <v>589</v>
      </c>
      <c r="AU455" s="402">
        <f>SUMIF(Consumo!$C$3:$C$862,tabItens[[#This Row],[CÓDIGO]],Consumo!$AA$3:$AA$862)</f>
        <v>280</v>
      </c>
      <c r="AV455" s="403">
        <f>SUMIF(Consumo!$C$3:$C$862,tabItens[[#This Row],[CÓDIGO]],Consumo!$Y$3:$Y$862)</f>
        <v>43.083333333333336</v>
      </c>
      <c r="AW455" s="380">
        <f>tabItens[[#This Row],[QTDE ATUAL]] + tabItens[[#This Row],[RC QTDE]] + tabItens[[#This Row],[AF SALDO]] + tabItens[[#This Row],[Recentes]]</f>
        <v>2259.25</v>
      </c>
      <c r="AX455" s="404">
        <v>100</v>
      </c>
      <c r="AY455" s="404">
        <v>4</v>
      </c>
      <c r="AZ455" s="404">
        <f>IF(ISBLANK(tabItens[[#This Row],[CÓDIGO]]),"",tabItens[[#This Row],[PontoMês]] * (AZ$2+tabItens[[#This Row],[PontoQtM]]))</f>
        <v>400</v>
      </c>
      <c r="BA455" s="403">
        <f>tabItens[[#This Row],[PontoPed]] - tabItens[[#This Row],[Saldo]] + (1/10)</f>
        <v>-1859.15</v>
      </c>
      <c r="BB455" s="403">
        <f xml:space="preserve"> tabItens[[#This Row],[PontoMês]] * BB$2 - tabItens[[#This Row],[QTDE ATUAL]] - (1/10)</f>
        <v>-2159.35</v>
      </c>
      <c r="BC455" s="335">
        <f>IF( tabItens[[#This Row],[PontoPed]]&gt;0, IF(tabItens[[#This Row],[PontoPed]]&lt;1, 1, IF( tabItens[[#This Row],[Saldo]]&gt;tabItens[[#This Row],[PontoPed]], 0, (tabItens[[#This Row],[PontoPed]]-tabItens[[#This Row],[Saldo]])/tabItens[[#This Row],[PontoPed]] ) ), 0 )</f>
        <v>0</v>
      </c>
      <c r="BD455" s="405">
        <f>ROUNDDOWN(IF( OR( AND(tabItens[[#This Row],[PontoPed]]&lt;tabItens[[#This Row],[Saldo]],tabItens[[#This Row],[Saldo]]&gt;0), tabItens[[#This Row],[PontoPed]]=0), 99, IF(AND(tabItens[[#This Row],[Saldo]]=0,tabItens[[#This Row],[PontoPed]]&gt;0), 0, (1-tabItens[[#This Row],[PctAb]])*10 ) ),0)</f>
        <v>99</v>
      </c>
      <c r="BE455" s="406">
        <f>MAX(ROUNDDOWN( IF(tabItens[[#This Row],[Abaixo]] &gt; 0,   tabItens[[#This Row],[Abaixo]] + (tabItens[[#This Row],[PontoMês]] * IF( OR( ISBLANK(tabItens[[#This Row],[ATA Nº/ANO]]), tabItens[[#This Row],[ATA Nº/ANO]] = ""),BE$2,BE$1)),0),0),0)</f>
        <v>0</v>
      </c>
      <c r="BF45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5" s="338">
        <f>SUMIF(Consumo!$C$3:$C$862,tabItens[[#This Row],[CÓDIGO]],Consumo!$E$3:$E$862)</f>
        <v>0</v>
      </c>
      <c r="BH455" s="339">
        <f>IF(AND(tabItens[[#This Row],[Pend]] &gt; 0,tabItens[[#This Row],[Consumo]] &lt;&gt; 0), tabItens[[#This Row],[Pend]] / tabItens[[#This Row],[Consumo]], 0 )</f>
        <v>0</v>
      </c>
      <c r="BI455" s="338"/>
      <c r="BJ455" s="407"/>
      <c r="BK455" s="408" t="s">
        <v>2086</v>
      </c>
    </row>
    <row r="456" spans="1:63" x14ac:dyDescent="0.3">
      <c r="A456" s="375">
        <v>125262</v>
      </c>
      <c r="B456" s="376" t="s">
        <v>1768</v>
      </c>
      <c r="C456" s="377" t="s">
        <v>560</v>
      </c>
      <c r="D456" s="378">
        <v>433.47</v>
      </c>
      <c r="E456" s="305"/>
      <c r="F456" s="379"/>
      <c r="G456" s="379" t="s">
        <v>889</v>
      </c>
      <c r="H456" s="380">
        <v>2038.56</v>
      </c>
      <c r="I456" s="307">
        <v>103003</v>
      </c>
      <c r="J456" s="308">
        <v>433.47</v>
      </c>
      <c r="K456" s="381">
        <v>589</v>
      </c>
      <c r="L456" s="382">
        <f>IF(tabItens[[#This Row],[Média]] &gt; 0, tabItens[[#This Row],[QTDE ATUAL]] / tabItens[[#This Row],[Média]],999.9)</f>
        <v>47.316673114119922</v>
      </c>
      <c r="M456" s="383">
        <v>0</v>
      </c>
      <c r="N456" s="384">
        <f>tabItens[[#This Row],[VALOR UNIT.]] * tabItens[[#This Row],[LC]]</f>
        <v>0</v>
      </c>
      <c r="O456" s="385" t="s">
        <v>2192</v>
      </c>
      <c r="P456" s="386"/>
      <c r="Q456" s="387"/>
      <c r="R456" s="312"/>
      <c r="S456" s="388"/>
      <c r="T456" s="389">
        <f>ROUNDDOWN(IFERROR(tabItens[[#This Row],[ATA DT.VALID.]] - $D$1,0) / 30,0)</f>
        <v>-1474</v>
      </c>
      <c r="U456" s="302" t="s">
        <v>1734</v>
      </c>
      <c r="V456" s="318">
        <v>1</v>
      </c>
      <c r="W456" s="390" t="s">
        <v>2071</v>
      </c>
      <c r="X456" s="391">
        <v>51</v>
      </c>
      <c r="Y456" s="392">
        <v>21</v>
      </c>
      <c r="Z456" s="393"/>
      <c r="AA456" s="394"/>
      <c r="AB456" s="395"/>
      <c r="AC456" s="395"/>
      <c r="AD456" s="394"/>
      <c r="AE456" s="395"/>
      <c r="AF456" s="317"/>
      <c r="AG456" s="396" t="s">
        <v>2072</v>
      </c>
      <c r="AH456" s="397"/>
      <c r="AI456" s="317">
        <v>196</v>
      </c>
      <c r="AJ456" s="397">
        <v>45208</v>
      </c>
      <c r="AK456" s="326">
        <v>41366</v>
      </c>
      <c r="AL456" s="326">
        <v>45161</v>
      </c>
      <c r="AM456" s="316"/>
      <c r="AN456" s="305"/>
      <c r="AO456" s="327" t="str">
        <f>_xlfn.IFNA(IF(VLOOKUP(tabItens[[#This Row],[CÓDIGO]],tabExcluirDoEstoque[#Data],1,FALSE),"sim",""),"")</f>
        <v/>
      </c>
      <c r="AP456" s="398" t="str">
        <f ca="1">IF(OR(ISBLANK(tabItens[[#This Row],[ATA DT.VALID.]]),tabItens[[#This Row],[ATA DT.VALID.]]="",tabItens[[#This Row],[ATA DT.VALID.]]=" "),"",IF(TYPE(tabItens[[#This Row],[ATA DT.VALID.]])=1,ROUNDUP((tabItens[[#This Row],[ATA DT.VALID.]]-TODAY())/7,0),""))</f>
        <v/>
      </c>
      <c r="AQ456" s="399">
        <v>0</v>
      </c>
      <c r="AR456" s="400" t="str">
        <f>IF(ISBLANK(tabItens[[#This Row],[CÓDIGO]]),"",IFERROR(VLOOKUP(tabItens[[#This Row],[CÓDIGO]],Consumo!$C$2:$AC$862,26,FALSE),0))</f>
        <v>09.2023</v>
      </c>
      <c r="AS456" s="401">
        <f>SUMIF(Consumo!$C$3:$C$862,tabItens[[#This Row],[CÓDIGO]],Consumo!$N$3:$N$862) + SUMIF(Consumo!$C$3:$C$862,tabItens[[#This Row],[CÓDIGO]],Consumo!$O$3:$O$862) + SUMIF(Consumo!$C$3:$C$862,tabItens[[#This Row],[CÓDIGO]],Consumo!$P$3:$P$862) + SUMIF(Consumo!$C$3:$C$862,tabItens[[#This Row],[CÓDIGO]],Consumo!$Q$3:$Q$862)</f>
        <v>184</v>
      </c>
      <c r="AT456" s="401">
        <f>SUMIF(Consumo!$C$3:$C$862,tabItens[[#This Row],[CÓDIGO]],Consumo!$Z$3:$Z$862)</f>
        <v>589</v>
      </c>
      <c r="AU456" s="402">
        <f>SUMIF(Consumo!$C$3:$C$862,tabItens[[#This Row],[CÓDIGO]],Consumo!$AA$3:$AA$862)</f>
        <v>280</v>
      </c>
      <c r="AV456" s="403">
        <f>SUMIF(Consumo!$C$3:$C$862,tabItens[[#This Row],[CÓDIGO]],Consumo!$Y$3:$Y$862)</f>
        <v>43.083333333333336</v>
      </c>
      <c r="AW456" s="380">
        <f>tabItens[[#This Row],[QTDE ATUAL]] + tabItens[[#This Row],[RC QTDE]] + tabItens[[#This Row],[AF SALDO]] + tabItens[[#This Row],[Recentes]]</f>
        <v>2038.56</v>
      </c>
      <c r="AX456" s="404">
        <v>62</v>
      </c>
      <c r="AY456" s="404">
        <v>4</v>
      </c>
      <c r="AZ456" s="404">
        <f>IF(ISBLANK(tabItens[[#This Row],[CÓDIGO]]),"",tabItens[[#This Row],[PontoMês]] * (AZ$2+tabItens[[#This Row],[PontoQtM]]))</f>
        <v>248</v>
      </c>
      <c r="BA456" s="403">
        <f>tabItens[[#This Row],[PontoPed]] - tabItens[[#This Row],[Saldo]] + (1/10)</f>
        <v>-1790.46</v>
      </c>
      <c r="BB456" s="403">
        <f xml:space="preserve"> tabItens[[#This Row],[PontoMês]] * BB$2 - tabItens[[#This Row],[QTDE ATUAL]] - (1/10)</f>
        <v>-1976.6599999999999</v>
      </c>
      <c r="BC456" s="335">
        <f>IF( tabItens[[#This Row],[PontoPed]]&gt;0, IF(tabItens[[#This Row],[PontoPed]]&lt;1, 1, IF( tabItens[[#This Row],[Saldo]]&gt;tabItens[[#This Row],[PontoPed]], 0, (tabItens[[#This Row],[PontoPed]]-tabItens[[#This Row],[Saldo]])/tabItens[[#This Row],[PontoPed]] ) ), 0 )</f>
        <v>0</v>
      </c>
      <c r="BD456" s="405">
        <f>ROUNDDOWN(IF( OR( AND(tabItens[[#This Row],[PontoPed]]&lt;tabItens[[#This Row],[Saldo]],tabItens[[#This Row],[Saldo]]&gt;0), tabItens[[#This Row],[PontoPed]]=0), 99, IF(AND(tabItens[[#This Row],[Saldo]]=0,tabItens[[#This Row],[PontoPed]]&gt;0), 0, (1-tabItens[[#This Row],[PctAb]])*10 ) ),0)</f>
        <v>99</v>
      </c>
      <c r="BE456" s="406">
        <f>MAX(ROUNDDOWN( IF(tabItens[[#This Row],[Abaixo]] &gt; 0,   tabItens[[#This Row],[Abaixo]] + (tabItens[[#This Row],[PontoMês]] * IF( OR( ISBLANK(tabItens[[#This Row],[ATA Nº/ANO]]), tabItens[[#This Row],[ATA Nº/ANO]] = ""),BE$2,BE$1)),0),0),0)</f>
        <v>0</v>
      </c>
      <c r="BF45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6" s="338">
        <f>SUMIF(Consumo!$C$3:$C$862,tabItens[[#This Row],[CÓDIGO]],Consumo!$E$3:$E$862)</f>
        <v>0</v>
      </c>
      <c r="BH456" s="339">
        <f>IF(AND(tabItens[[#This Row],[Pend]] &gt; 0,tabItens[[#This Row],[Consumo]] &lt;&gt; 0), tabItens[[#This Row],[Pend]] / tabItens[[#This Row],[Consumo]], 0 )</f>
        <v>0</v>
      </c>
      <c r="BI456" s="338"/>
      <c r="BJ456" s="407"/>
      <c r="BK456" s="408" t="s">
        <v>2086</v>
      </c>
    </row>
    <row r="457" spans="1:63" x14ac:dyDescent="0.3">
      <c r="A457" s="375">
        <v>12877</v>
      </c>
      <c r="B457" s="376" t="s">
        <v>973</v>
      </c>
      <c r="C457" s="377" t="s">
        <v>287</v>
      </c>
      <c r="D457" s="378">
        <v>99.8</v>
      </c>
      <c r="E457" s="305"/>
      <c r="F457" s="379"/>
      <c r="G457" s="379" t="s">
        <v>889</v>
      </c>
      <c r="H457" s="380">
        <v>500</v>
      </c>
      <c r="I457" s="307">
        <v>103003</v>
      </c>
      <c r="J457" s="308">
        <v>99.8</v>
      </c>
      <c r="K457" s="381">
        <v>326</v>
      </c>
      <c r="L457" s="382">
        <f>IF(tabItens[[#This Row],[Média]] &gt; 0, tabItens[[#This Row],[QTDE ATUAL]] / tabItens[[#This Row],[Média]],999.9)</f>
        <v>15.228426395939085</v>
      </c>
      <c r="M457" s="383">
        <v>0</v>
      </c>
      <c r="N457" s="384">
        <f>tabItens[[#This Row],[VALOR UNIT.]] * tabItens[[#This Row],[LC]]</f>
        <v>0</v>
      </c>
      <c r="O457" s="385" t="s">
        <v>2102</v>
      </c>
      <c r="P457" s="386"/>
      <c r="Q457" s="387"/>
      <c r="R457" s="312"/>
      <c r="S457" s="388"/>
      <c r="T457" s="389">
        <f>ROUNDDOWN(IFERROR(tabItens[[#This Row],[ATA DT.VALID.]] - $D$1,0) / 30,0)</f>
        <v>-1474</v>
      </c>
      <c r="U457" s="302" t="s">
        <v>974</v>
      </c>
      <c r="V457" s="318">
        <v>1</v>
      </c>
      <c r="W457" s="390" t="s">
        <v>2075</v>
      </c>
      <c r="X457" s="391">
        <v>76</v>
      </c>
      <c r="Y457" s="392">
        <v>10</v>
      </c>
      <c r="Z457" s="393"/>
      <c r="AA457" s="394"/>
      <c r="AB457" s="395"/>
      <c r="AC457" s="395"/>
      <c r="AD457" s="394"/>
      <c r="AE457" s="395"/>
      <c r="AF457" s="317"/>
      <c r="AG457" s="396" t="s">
        <v>2072</v>
      </c>
      <c r="AH457" s="397"/>
      <c r="AI457" s="317">
        <v>134</v>
      </c>
      <c r="AJ457" s="397">
        <v>45201</v>
      </c>
      <c r="AK457" s="326" t="s">
        <v>889</v>
      </c>
      <c r="AL457" s="326">
        <v>45181</v>
      </c>
      <c r="AM457" s="316"/>
      <c r="AN457" s="305"/>
      <c r="AO457" s="327" t="str">
        <f>_xlfn.IFNA(IF(VLOOKUP(tabItens[[#This Row],[CÓDIGO]],tabExcluirDoEstoque[#Data],1,FALSE),"sim",""),"")</f>
        <v/>
      </c>
      <c r="AP457" s="398" t="str">
        <f ca="1">IF(OR(ISBLANK(tabItens[[#This Row],[ATA DT.VALID.]]),tabItens[[#This Row],[ATA DT.VALID.]]="",tabItens[[#This Row],[ATA DT.VALID.]]=" "),"",IF(TYPE(tabItens[[#This Row],[ATA DT.VALID.]])=1,ROUNDUP((tabItens[[#This Row],[ATA DT.VALID.]]-TODAY())/7,0),""))</f>
        <v/>
      </c>
      <c r="AQ457" s="399">
        <v>0</v>
      </c>
      <c r="AR457" s="400" t="str">
        <f>IF(ISBLANK(tabItens[[#This Row],[CÓDIGO]]),"",IFERROR(VLOOKUP(tabItens[[#This Row],[CÓDIGO]],Consumo!$C$2:$AC$862,26,FALSE),0))</f>
        <v>07.2023</v>
      </c>
      <c r="AS457" s="401">
        <f>SUMIF(Consumo!$C$3:$C$862,tabItens[[#This Row],[CÓDIGO]],Consumo!$N$3:$N$862) + SUMIF(Consumo!$C$3:$C$862,tabItens[[#This Row],[CÓDIGO]],Consumo!$O$3:$O$862) + SUMIF(Consumo!$C$3:$C$862,tabItens[[#This Row],[CÓDIGO]],Consumo!$P$3:$P$862) + SUMIF(Consumo!$C$3:$C$862,tabItens[[#This Row],[CÓDIGO]],Consumo!$Q$3:$Q$862)</f>
        <v>75</v>
      </c>
      <c r="AT457" s="401">
        <f>SUMIF(Consumo!$C$3:$C$862,tabItens[[#This Row],[CÓDIGO]],Consumo!$Z$3:$Z$862)</f>
        <v>394</v>
      </c>
      <c r="AU457" s="402">
        <f>SUMIF(Consumo!$C$3:$C$862,tabItens[[#This Row],[CÓDIGO]],Consumo!$AA$3:$AA$862)</f>
        <v>64</v>
      </c>
      <c r="AV457" s="403">
        <f>SUMIF(Consumo!$C$3:$C$862,tabItens[[#This Row],[CÓDIGO]],Consumo!$Y$3:$Y$862)</f>
        <v>32.833333333333336</v>
      </c>
      <c r="AW457" s="380">
        <f>tabItens[[#This Row],[QTDE ATUAL]] + tabItens[[#This Row],[RC QTDE]] + tabItens[[#This Row],[AF SALDO]] + tabItens[[#This Row],[Recentes]]</f>
        <v>500</v>
      </c>
      <c r="AX457" s="404">
        <v>15</v>
      </c>
      <c r="AY457" s="404">
        <v>4</v>
      </c>
      <c r="AZ457" s="404">
        <f>IF(ISBLANK(tabItens[[#This Row],[CÓDIGO]]),"",tabItens[[#This Row],[PontoMês]] * (AZ$2+tabItens[[#This Row],[PontoQtM]]))</f>
        <v>60</v>
      </c>
      <c r="BA457" s="403">
        <f>tabItens[[#This Row],[PontoPed]] - tabItens[[#This Row],[Saldo]] + (1/10)</f>
        <v>-439.9</v>
      </c>
      <c r="BB457" s="403">
        <f xml:space="preserve"> tabItens[[#This Row],[PontoMês]] * BB$2 - tabItens[[#This Row],[QTDE ATUAL]] - (1/10)</f>
        <v>-485.1</v>
      </c>
      <c r="BC457" s="335">
        <f>IF( tabItens[[#This Row],[PontoPed]]&gt;0, IF(tabItens[[#This Row],[PontoPed]]&lt;1, 1, IF( tabItens[[#This Row],[Saldo]]&gt;tabItens[[#This Row],[PontoPed]], 0, (tabItens[[#This Row],[PontoPed]]-tabItens[[#This Row],[Saldo]])/tabItens[[#This Row],[PontoPed]] ) ), 0 )</f>
        <v>0</v>
      </c>
      <c r="BD457" s="405">
        <f>ROUNDDOWN(IF( OR( AND(tabItens[[#This Row],[PontoPed]]&lt;tabItens[[#This Row],[Saldo]],tabItens[[#This Row],[Saldo]]&gt;0), tabItens[[#This Row],[PontoPed]]=0), 99, IF(AND(tabItens[[#This Row],[Saldo]]=0,tabItens[[#This Row],[PontoPed]]&gt;0), 0, (1-tabItens[[#This Row],[PctAb]])*10 ) ),0)</f>
        <v>99</v>
      </c>
      <c r="BE457" s="406">
        <f>MAX(ROUNDDOWN( IF(tabItens[[#This Row],[Abaixo]] &gt; 0,   tabItens[[#This Row],[Abaixo]] + (tabItens[[#This Row],[PontoMês]] * IF( OR( ISBLANK(tabItens[[#This Row],[ATA Nº/ANO]]), tabItens[[#This Row],[ATA Nº/ANO]] = ""),BE$2,BE$1)),0),0),0)</f>
        <v>0</v>
      </c>
      <c r="BF45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7" s="338">
        <f>SUMIF(Consumo!$C$3:$C$862,tabItens[[#This Row],[CÓDIGO]],Consumo!$E$3:$E$862)</f>
        <v>0</v>
      </c>
      <c r="BH457" s="339">
        <f>IF(AND(tabItens[[#This Row],[Pend]] &gt; 0,tabItens[[#This Row],[Consumo]] &lt;&gt; 0), tabItens[[#This Row],[Pend]] / tabItens[[#This Row],[Consumo]], 0 )</f>
        <v>0</v>
      </c>
      <c r="BI457" s="338"/>
      <c r="BJ457" s="407"/>
      <c r="BK457" s="408" t="s">
        <v>2086</v>
      </c>
    </row>
    <row r="458" spans="1:63" x14ac:dyDescent="0.3">
      <c r="A458" s="375">
        <v>93139</v>
      </c>
      <c r="B458" s="376" t="s">
        <v>1537</v>
      </c>
      <c r="C458" s="377" t="s">
        <v>260</v>
      </c>
      <c r="D458" s="378">
        <v>8.2899999999999991</v>
      </c>
      <c r="E458" s="305"/>
      <c r="F458" s="379"/>
      <c r="G458" s="379" t="s">
        <v>889</v>
      </c>
      <c r="H458" s="380">
        <v>150</v>
      </c>
      <c r="I458" s="307">
        <v>103003</v>
      </c>
      <c r="J458" s="308">
        <v>8.2899999999999991</v>
      </c>
      <c r="K458" s="381">
        <v>120</v>
      </c>
      <c r="L458" s="382">
        <f>IF(tabItens[[#This Row],[Média]] &gt; 0, tabItens[[#This Row],[QTDE ATUAL]] / tabItens[[#This Row],[Média]],999.9)</f>
        <v>13.953488372093023</v>
      </c>
      <c r="M458" s="383">
        <v>0</v>
      </c>
      <c r="N458" s="384">
        <f>tabItens[[#This Row],[VALOR UNIT.]] * tabItens[[#This Row],[LC]]</f>
        <v>0</v>
      </c>
      <c r="O458" s="385" t="s">
        <v>2168</v>
      </c>
      <c r="P458" s="386"/>
      <c r="Q458" s="387"/>
      <c r="R458" s="312"/>
      <c r="S458" s="388"/>
      <c r="T458" s="389">
        <f>ROUNDDOWN(IFERROR(tabItens[[#This Row],[ATA DT.VALID.]] - $D$1,0) / 30,0)</f>
        <v>-1474</v>
      </c>
      <c r="U458" s="302" t="s">
        <v>1538</v>
      </c>
      <c r="V458" s="318">
        <v>1</v>
      </c>
      <c r="W458" s="390" t="s">
        <v>2081</v>
      </c>
      <c r="X458" s="391">
        <v>54</v>
      </c>
      <c r="Y458" s="392">
        <v>8</v>
      </c>
      <c r="Z458" s="393"/>
      <c r="AA458" s="394"/>
      <c r="AB458" s="395"/>
      <c r="AC458" s="395"/>
      <c r="AD458" s="394"/>
      <c r="AE458" s="395"/>
      <c r="AF458" s="317"/>
      <c r="AG458" s="396" t="s">
        <v>2072</v>
      </c>
      <c r="AH458" s="397"/>
      <c r="AI458" s="317">
        <v>48</v>
      </c>
      <c r="AJ458" s="397">
        <v>45181</v>
      </c>
      <c r="AK458" s="326">
        <v>38912</v>
      </c>
      <c r="AL458" s="326">
        <v>45163</v>
      </c>
      <c r="AM458" s="316"/>
      <c r="AN458" s="305"/>
      <c r="AO458" s="327" t="str">
        <f>_xlfn.IFNA(IF(VLOOKUP(tabItens[[#This Row],[CÓDIGO]],tabExcluirDoEstoque[#Data],1,FALSE),"sim",""),"")</f>
        <v/>
      </c>
      <c r="AP458" s="398" t="str">
        <f ca="1">IF(OR(ISBLANK(tabItens[[#This Row],[ATA DT.VALID.]]),tabItens[[#This Row],[ATA DT.VALID.]]="",tabItens[[#This Row],[ATA DT.VALID.]]=" "),"",IF(TYPE(tabItens[[#This Row],[ATA DT.VALID.]])=1,ROUNDUP((tabItens[[#This Row],[ATA DT.VALID.]]-TODAY())/7,0),""))</f>
        <v/>
      </c>
      <c r="AQ458" s="399">
        <v>0</v>
      </c>
      <c r="AR458" s="400" t="str">
        <f>IF(ISBLANK(tabItens[[#This Row],[CÓDIGO]]),"",IFERROR(VLOOKUP(tabItens[[#This Row],[CÓDIGO]],Consumo!$C$2:$AC$862,26,FALSE),0))</f>
        <v>09.2023</v>
      </c>
      <c r="AS458" s="401">
        <f>SUMIF(Consumo!$C$3:$C$862,tabItens[[#This Row],[CÓDIGO]],Consumo!$N$3:$N$862) + SUMIF(Consumo!$C$3:$C$862,tabItens[[#This Row],[CÓDIGO]],Consumo!$O$3:$O$862) + SUMIF(Consumo!$C$3:$C$862,tabItens[[#This Row],[CÓDIGO]],Consumo!$P$3:$P$862) + SUMIF(Consumo!$C$3:$C$862,tabItens[[#This Row],[CÓDIGO]],Consumo!$Q$3:$Q$862)</f>
        <v>21</v>
      </c>
      <c r="AT458" s="401">
        <f>SUMIF(Consumo!$C$3:$C$862,tabItens[[#This Row],[CÓDIGO]],Consumo!$Z$3:$Z$862)</f>
        <v>146</v>
      </c>
      <c r="AU458" s="402">
        <f>SUMIF(Consumo!$C$3:$C$862,tabItens[[#This Row],[CÓDIGO]],Consumo!$AA$3:$AA$862)</f>
        <v>61</v>
      </c>
      <c r="AV458" s="403">
        <f>SUMIF(Consumo!$C$3:$C$862,tabItens[[#This Row],[CÓDIGO]],Consumo!$Y$3:$Y$862)</f>
        <v>10.75</v>
      </c>
      <c r="AW458" s="380">
        <f>tabItens[[#This Row],[QTDE ATUAL]] + tabItens[[#This Row],[RC QTDE]] + tabItens[[#This Row],[AF SALDO]] + tabItens[[#This Row],[Recentes]]</f>
        <v>150</v>
      </c>
      <c r="AX458" s="404">
        <v>15</v>
      </c>
      <c r="AY458" s="404">
        <v>4</v>
      </c>
      <c r="AZ458" s="404">
        <f>IF(ISBLANK(tabItens[[#This Row],[CÓDIGO]]),"",tabItens[[#This Row],[PontoMês]] * (AZ$2+tabItens[[#This Row],[PontoQtM]]))</f>
        <v>60</v>
      </c>
      <c r="BA458" s="403">
        <f>tabItens[[#This Row],[PontoPed]] - tabItens[[#This Row],[Saldo]] + (1/10)</f>
        <v>-89.9</v>
      </c>
      <c r="BB458" s="403">
        <f xml:space="preserve"> tabItens[[#This Row],[PontoMês]] * BB$2 - tabItens[[#This Row],[QTDE ATUAL]] - (1/10)</f>
        <v>-135.1</v>
      </c>
      <c r="BC458" s="335">
        <f>IF( tabItens[[#This Row],[PontoPed]]&gt;0, IF(tabItens[[#This Row],[PontoPed]]&lt;1, 1, IF( tabItens[[#This Row],[Saldo]]&gt;tabItens[[#This Row],[PontoPed]], 0, (tabItens[[#This Row],[PontoPed]]-tabItens[[#This Row],[Saldo]])/tabItens[[#This Row],[PontoPed]] ) ), 0 )</f>
        <v>0</v>
      </c>
      <c r="BD458" s="405">
        <f>ROUNDDOWN(IF( OR( AND(tabItens[[#This Row],[PontoPed]]&lt;tabItens[[#This Row],[Saldo]],tabItens[[#This Row],[Saldo]]&gt;0), tabItens[[#This Row],[PontoPed]]=0), 99, IF(AND(tabItens[[#This Row],[Saldo]]=0,tabItens[[#This Row],[PontoPed]]&gt;0), 0, (1-tabItens[[#This Row],[PctAb]])*10 ) ),0)</f>
        <v>99</v>
      </c>
      <c r="BE458" s="406">
        <f>MAX(ROUNDDOWN( IF(tabItens[[#This Row],[Abaixo]] &gt; 0,   tabItens[[#This Row],[Abaixo]] + (tabItens[[#This Row],[PontoMês]] * IF( OR( ISBLANK(tabItens[[#This Row],[ATA Nº/ANO]]), tabItens[[#This Row],[ATA Nº/ANO]] = ""),BE$2,BE$1)),0),0),0)</f>
        <v>0</v>
      </c>
      <c r="BF45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8" s="338">
        <f>SUMIF(Consumo!$C$3:$C$862,tabItens[[#This Row],[CÓDIGO]],Consumo!$E$3:$E$862)</f>
        <v>0</v>
      </c>
      <c r="BH458" s="339">
        <f>IF(AND(tabItens[[#This Row],[Pend]] &gt; 0,tabItens[[#This Row],[Consumo]] &lt;&gt; 0), tabItens[[#This Row],[Pend]] / tabItens[[#This Row],[Consumo]], 0 )</f>
        <v>0</v>
      </c>
      <c r="BI458" s="338"/>
      <c r="BJ458" s="407"/>
      <c r="BK458" s="408" t="s">
        <v>2086</v>
      </c>
    </row>
    <row r="459" spans="1:63" x14ac:dyDescent="0.3">
      <c r="A459" s="375">
        <v>109848</v>
      </c>
      <c r="B459" s="376" t="s">
        <v>1666</v>
      </c>
      <c r="C459" s="377" t="s">
        <v>1667</v>
      </c>
      <c r="D459" s="378">
        <v>48.5</v>
      </c>
      <c r="E459" s="305"/>
      <c r="F459" s="379"/>
      <c r="G459" s="379" t="s">
        <v>889</v>
      </c>
      <c r="H459" s="380">
        <v>7</v>
      </c>
      <c r="I459" s="307">
        <v>103003</v>
      </c>
      <c r="J459" s="308">
        <v>48.5</v>
      </c>
      <c r="K459" s="381">
        <v>63</v>
      </c>
      <c r="L459" s="382">
        <f>IF(tabItens[[#This Row],[Média]] &gt; 0, tabItens[[#This Row],[QTDE ATUAL]] / tabItens[[#This Row],[Média]],999.9)</f>
        <v>1.4</v>
      </c>
      <c r="M459" s="383">
        <v>0</v>
      </c>
      <c r="N459" s="384">
        <f>tabItens[[#This Row],[VALOR UNIT.]] * tabItens[[#This Row],[LC]]</f>
        <v>0</v>
      </c>
      <c r="O459" s="385" t="s">
        <v>2168</v>
      </c>
      <c r="P459" s="386"/>
      <c r="Q459" s="387"/>
      <c r="R459" s="312"/>
      <c r="S459" s="388"/>
      <c r="T459" s="389">
        <f>ROUNDDOWN(IFERROR(tabItens[[#This Row],[ATA DT.VALID.]] - $D$1,0) / 30,0)</f>
        <v>-1474</v>
      </c>
      <c r="U459" s="302" t="s">
        <v>1391</v>
      </c>
      <c r="V459" s="318">
        <v>1</v>
      </c>
      <c r="W459" s="390" t="s">
        <v>2075</v>
      </c>
      <c r="X459" s="391">
        <v>76</v>
      </c>
      <c r="Y459" s="392">
        <v>9</v>
      </c>
      <c r="Z459" s="393"/>
      <c r="AA459" s="394"/>
      <c r="AB459" s="395"/>
      <c r="AC459" s="395">
        <v>11598</v>
      </c>
      <c r="AD459" s="394">
        <v>2023</v>
      </c>
      <c r="AE459" s="395">
        <v>200</v>
      </c>
      <c r="AF459" s="317">
        <v>200</v>
      </c>
      <c r="AG459" s="396" t="s">
        <v>2067</v>
      </c>
      <c r="AH459" s="397">
        <v>45217</v>
      </c>
      <c r="AI459" s="317">
        <v>22</v>
      </c>
      <c r="AJ459" s="397">
        <v>44725</v>
      </c>
      <c r="AK459" s="326">
        <v>39857</v>
      </c>
      <c r="AL459" s="326">
        <v>45181</v>
      </c>
      <c r="AM459" s="316"/>
      <c r="AN459" s="305"/>
      <c r="AO459" s="327" t="str">
        <f>_xlfn.IFNA(IF(VLOOKUP(tabItens[[#This Row],[CÓDIGO]],tabExcluirDoEstoque[#Data],1,FALSE),"sim",""),"")</f>
        <v/>
      </c>
      <c r="AP459" s="398" t="str">
        <f ca="1">IF(OR(ISBLANK(tabItens[[#This Row],[ATA DT.VALID.]]),tabItens[[#This Row],[ATA DT.VALID.]]="",tabItens[[#This Row],[ATA DT.VALID.]]=" "),"",IF(TYPE(tabItens[[#This Row],[ATA DT.VALID.]])=1,ROUNDUP((tabItens[[#This Row],[ATA DT.VALID.]]-TODAY())/7,0),""))</f>
        <v/>
      </c>
      <c r="AQ459" s="399">
        <v>0</v>
      </c>
      <c r="AR459" s="400" t="str">
        <f>IF(ISBLANK(tabItens[[#This Row],[CÓDIGO]]),"",IFERROR(VLOOKUP(tabItens[[#This Row],[CÓDIGO]],Consumo!$C$2:$AC$862,26,FALSE),0))</f>
        <v>03.2023</v>
      </c>
      <c r="AS459" s="401">
        <f>SUMIF(Consumo!$C$3:$C$862,tabItens[[#This Row],[CÓDIGO]],Consumo!$N$3:$N$862) + SUMIF(Consumo!$C$3:$C$862,tabItens[[#This Row],[CÓDIGO]],Consumo!$O$3:$O$862) + SUMIF(Consumo!$C$3:$C$862,tabItens[[#This Row],[CÓDIGO]],Consumo!$P$3:$P$862) + SUMIF(Consumo!$C$3:$C$862,tabItens[[#This Row],[CÓDIGO]],Consumo!$Q$3:$Q$862)</f>
        <v>0</v>
      </c>
      <c r="AT459" s="401">
        <f>SUMIF(Consumo!$C$3:$C$862,tabItens[[#This Row],[CÓDIGO]],Consumo!$Z$3:$Z$862)</f>
        <v>63</v>
      </c>
      <c r="AU459" s="402">
        <f>SUMIF(Consumo!$C$3:$C$862,tabItens[[#This Row],[CÓDIGO]],Consumo!$AA$3:$AA$862)</f>
        <v>25</v>
      </c>
      <c r="AV459" s="403">
        <f>SUMIF(Consumo!$C$3:$C$862,tabItens[[#This Row],[CÓDIGO]],Consumo!$Y$3:$Y$862)</f>
        <v>5</v>
      </c>
      <c r="AW459" s="380">
        <f>tabItens[[#This Row],[QTDE ATUAL]] + tabItens[[#This Row],[RC QTDE]] + tabItens[[#This Row],[AF SALDO]] + tabItens[[#This Row],[Recentes]]</f>
        <v>207</v>
      </c>
      <c r="AX459" s="404">
        <v>5</v>
      </c>
      <c r="AY459" s="404">
        <v>4</v>
      </c>
      <c r="AZ459" s="404">
        <f>IF(ISBLANK(tabItens[[#This Row],[CÓDIGO]]),"",tabItens[[#This Row],[PontoMês]] * (AZ$2+tabItens[[#This Row],[PontoQtM]]))</f>
        <v>20</v>
      </c>
      <c r="BA459" s="403">
        <f>tabItens[[#This Row],[PontoPed]] - tabItens[[#This Row],[Saldo]] + (1/10)</f>
        <v>-186.9</v>
      </c>
      <c r="BB459" s="403">
        <f xml:space="preserve"> tabItens[[#This Row],[PontoMês]] * BB$2 - tabItens[[#This Row],[QTDE ATUAL]] - (1/10)</f>
        <v>-2.1</v>
      </c>
      <c r="BC459" s="335">
        <f>IF( tabItens[[#This Row],[PontoPed]]&gt;0, IF(tabItens[[#This Row],[PontoPed]]&lt;1, 1, IF( tabItens[[#This Row],[Saldo]]&gt;tabItens[[#This Row],[PontoPed]], 0, (tabItens[[#This Row],[PontoPed]]-tabItens[[#This Row],[Saldo]])/tabItens[[#This Row],[PontoPed]] ) ), 0 )</f>
        <v>0</v>
      </c>
      <c r="BD459" s="405">
        <f>ROUNDDOWN(IF( OR( AND(tabItens[[#This Row],[PontoPed]]&lt;tabItens[[#This Row],[Saldo]],tabItens[[#This Row],[Saldo]]&gt;0), tabItens[[#This Row],[PontoPed]]=0), 99, IF(AND(tabItens[[#This Row],[Saldo]]=0,tabItens[[#This Row],[PontoPed]]&gt;0), 0, (1-tabItens[[#This Row],[PctAb]])*10 ) ),0)</f>
        <v>99</v>
      </c>
      <c r="BE459" s="406">
        <f>MAX(ROUNDDOWN( IF(tabItens[[#This Row],[Abaixo]] &gt; 0,   tabItens[[#This Row],[Abaixo]] + (tabItens[[#This Row],[PontoMês]] * IF( OR( ISBLANK(tabItens[[#This Row],[ATA Nº/ANO]]), tabItens[[#This Row],[ATA Nº/ANO]] = ""),BE$2,BE$1)),0),0),0)</f>
        <v>0</v>
      </c>
      <c r="BF45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9" s="338">
        <f>SUMIF(Consumo!$C$3:$C$862,tabItens[[#This Row],[CÓDIGO]],Consumo!$E$3:$E$862)</f>
        <v>0</v>
      </c>
      <c r="BH459" s="339">
        <f>IF(AND(tabItens[[#This Row],[Pend]] &gt; 0,tabItens[[#This Row],[Consumo]] &lt;&gt; 0), tabItens[[#This Row],[Pend]] / tabItens[[#This Row],[Consumo]], 0 )</f>
        <v>0</v>
      </c>
      <c r="BI459" s="338"/>
      <c r="BJ459" s="407"/>
      <c r="BK459" s="408" t="s">
        <v>2086</v>
      </c>
    </row>
    <row r="460" spans="1:63" x14ac:dyDescent="0.3">
      <c r="A460" s="375">
        <v>13558</v>
      </c>
      <c r="B460" s="376" t="s">
        <v>1040</v>
      </c>
      <c r="C460" s="377" t="s">
        <v>345</v>
      </c>
      <c r="D460" s="378">
        <v>38</v>
      </c>
      <c r="E460" s="305"/>
      <c r="F460" s="379"/>
      <c r="G460" s="379" t="s">
        <v>889</v>
      </c>
      <c r="H460" s="380">
        <v>106</v>
      </c>
      <c r="I460" s="307">
        <v>103003</v>
      </c>
      <c r="J460" s="308">
        <v>38</v>
      </c>
      <c r="K460" s="381">
        <v>48</v>
      </c>
      <c r="L460" s="382">
        <f>IF(tabItens[[#This Row],[Média]] &gt; 0, tabItens[[#This Row],[QTDE ATUAL]] / tabItens[[#This Row],[Média]],999.9)</f>
        <v>23.555555555555557</v>
      </c>
      <c r="M460" s="383">
        <v>0</v>
      </c>
      <c r="N460" s="384">
        <f>tabItens[[#This Row],[VALOR UNIT.]] * tabItens[[#This Row],[LC]]</f>
        <v>0</v>
      </c>
      <c r="O460" s="385" t="s">
        <v>2113</v>
      </c>
      <c r="P460" s="386"/>
      <c r="Q460" s="387"/>
      <c r="R460" s="312"/>
      <c r="S460" s="388"/>
      <c r="T460" s="389">
        <f>ROUNDDOWN(IFERROR(tabItens[[#This Row],[ATA DT.VALID.]] - $D$1,0) / 30,0)</f>
        <v>-1474</v>
      </c>
      <c r="U460" s="302" t="s">
        <v>1041</v>
      </c>
      <c r="V460" s="318">
        <v>1</v>
      </c>
      <c r="W460" s="390" t="s">
        <v>2076</v>
      </c>
      <c r="X460" s="391">
        <v>61</v>
      </c>
      <c r="Y460" s="392">
        <v>2</v>
      </c>
      <c r="Z460" s="393"/>
      <c r="AA460" s="394"/>
      <c r="AB460" s="395"/>
      <c r="AC460" s="395">
        <v>9646</v>
      </c>
      <c r="AD460" s="394">
        <v>2023</v>
      </c>
      <c r="AE460" s="395">
        <v>0</v>
      </c>
      <c r="AF460" s="317">
        <v>50</v>
      </c>
      <c r="AG460" s="396" t="s">
        <v>2055</v>
      </c>
      <c r="AH460" s="397">
        <v>45162</v>
      </c>
      <c r="AI460" s="317">
        <v>20</v>
      </c>
      <c r="AJ460" s="397">
        <v>44533</v>
      </c>
      <c r="AK460" s="326" t="s">
        <v>889</v>
      </c>
      <c r="AL460" s="326">
        <v>45145</v>
      </c>
      <c r="AM460" s="316"/>
      <c r="AN460" s="305"/>
      <c r="AO460" s="327" t="str">
        <f>_xlfn.IFNA(IF(VLOOKUP(tabItens[[#This Row],[CÓDIGO]],tabExcluirDoEstoque[#Data],1,FALSE),"sim",""),"")</f>
        <v/>
      </c>
      <c r="AP460" s="398" t="str">
        <f ca="1">IF(OR(ISBLANK(tabItens[[#This Row],[ATA DT.VALID.]]),tabItens[[#This Row],[ATA DT.VALID.]]="",tabItens[[#This Row],[ATA DT.VALID.]]=" "),"",IF(TYPE(tabItens[[#This Row],[ATA DT.VALID.]])=1,ROUNDUP((tabItens[[#This Row],[ATA DT.VALID.]]-TODAY())/7,0),""))</f>
        <v/>
      </c>
      <c r="AQ460" s="399">
        <v>0</v>
      </c>
      <c r="AR460" s="400" t="str">
        <f>IF(ISBLANK(tabItens[[#This Row],[CÓDIGO]]),"",IFERROR(VLOOKUP(tabItens[[#This Row],[CÓDIGO]],Consumo!$C$2:$AC$862,26,FALSE),0))</f>
        <v>09.2023</v>
      </c>
      <c r="AS460" s="401">
        <f>SUMIF(Consumo!$C$3:$C$862,tabItens[[#This Row],[CÓDIGO]],Consumo!$N$3:$N$862) + SUMIF(Consumo!$C$3:$C$862,tabItens[[#This Row],[CÓDIGO]],Consumo!$O$3:$O$862) + SUMIF(Consumo!$C$3:$C$862,tabItens[[#This Row],[CÓDIGO]],Consumo!$P$3:$P$862) + SUMIF(Consumo!$C$3:$C$862,tabItens[[#This Row],[CÓDIGO]],Consumo!$Q$3:$Q$862)</f>
        <v>9</v>
      </c>
      <c r="AT460" s="401">
        <f>SUMIF(Consumo!$C$3:$C$862,tabItens[[#This Row],[CÓDIGO]],Consumo!$Z$3:$Z$862)</f>
        <v>55</v>
      </c>
      <c r="AU460" s="402">
        <f>SUMIF(Consumo!$C$3:$C$862,tabItens[[#This Row],[CÓDIGO]],Consumo!$AA$3:$AA$862)</f>
        <v>15</v>
      </c>
      <c r="AV460" s="403">
        <f>SUMIF(Consumo!$C$3:$C$862,tabItens[[#This Row],[CÓDIGO]],Consumo!$Y$3:$Y$862)</f>
        <v>4.5</v>
      </c>
      <c r="AW460" s="380">
        <f>tabItens[[#This Row],[QTDE ATUAL]] + tabItens[[#This Row],[RC QTDE]] + tabItens[[#This Row],[AF SALDO]] + tabItens[[#This Row],[Recentes]]</f>
        <v>106</v>
      </c>
      <c r="AX460" s="404">
        <v>9</v>
      </c>
      <c r="AY460" s="404">
        <v>4</v>
      </c>
      <c r="AZ460" s="404">
        <f>IF(ISBLANK(tabItens[[#This Row],[CÓDIGO]]),"",tabItens[[#This Row],[PontoMês]] * (AZ$2+tabItens[[#This Row],[PontoQtM]]))</f>
        <v>36</v>
      </c>
      <c r="BA460" s="403">
        <f>tabItens[[#This Row],[PontoPed]] - tabItens[[#This Row],[Saldo]] + (1/10)</f>
        <v>-69.900000000000006</v>
      </c>
      <c r="BB460" s="403">
        <f xml:space="preserve"> tabItens[[#This Row],[PontoMês]] * BB$2 - tabItens[[#This Row],[QTDE ATUAL]] - (1/10)</f>
        <v>-97.1</v>
      </c>
      <c r="BC460" s="335">
        <f>IF( tabItens[[#This Row],[PontoPed]]&gt;0, IF(tabItens[[#This Row],[PontoPed]]&lt;1, 1, IF( tabItens[[#This Row],[Saldo]]&gt;tabItens[[#This Row],[PontoPed]], 0, (tabItens[[#This Row],[PontoPed]]-tabItens[[#This Row],[Saldo]])/tabItens[[#This Row],[PontoPed]] ) ), 0 )</f>
        <v>0</v>
      </c>
      <c r="BD460" s="405">
        <f>ROUNDDOWN(IF( OR( AND(tabItens[[#This Row],[PontoPed]]&lt;tabItens[[#This Row],[Saldo]],tabItens[[#This Row],[Saldo]]&gt;0), tabItens[[#This Row],[PontoPed]]=0), 99, IF(AND(tabItens[[#This Row],[Saldo]]=0,tabItens[[#This Row],[PontoPed]]&gt;0), 0, (1-tabItens[[#This Row],[PctAb]])*10 ) ),0)</f>
        <v>99</v>
      </c>
      <c r="BE460" s="406">
        <f>MAX(ROUNDDOWN( IF(tabItens[[#This Row],[Abaixo]] &gt; 0,   tabItens[[#This Row],[Abaixo]] + (tabItens[[#This Row],[PontoMês]] * IF( OR( ISBLANK(tabItens[[#This Row],[ATA Nº/ANO]]), tabItens[[#This Row],[ATA Nº/ANO]] = ""),BE$2,BE$1)),0),0),0)</f>
        <v>0</v>
      </c>
      <c r="BF46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0" s="338">
        <f>SUMIF(Consumo!$C$3:$C$862,tabItens[[#This Row],[CÓDIGO]],Consumo!$E$3:$E$862)</f>
        <v>0</v>
      </c>
      <c r="BH460" s="339">
        <f>IF(AND(tabItens[[#This Row],[Pend]] &gt; 0,tabItens[[#This Row],[Consumo]] &lt;&gt; 0), tabItens[[#This Row],[Pend]] / tabItens[[#This Row],[Consumo]], 0 )</f>
        <v>0</v>
      </c>
      <c r="BI460" s="338"/>
      <c r="BJ460" s="407"/>
      <c r="BK460" s="408" t="s">
        <v>2086</v>
      </c>
    </row>
    <row r="461" spans="1:63" x14ac:dyDescent="0.3">
      <c r="A461" s="375">
        <v>13559</v>
      </c>
      <c r="B461" s="376" t="s">
        <v>1042</v>
      </c>
      <c r="C461" s="377" t="s">
        <v>345</v>
      </c>
      <c r="D461" s="378">
        <v>49.48</v>
      </c>
      <c r="E461" s="305"/>
      <c r="F461" s="379"/>
      <c r="G461" s="379" t="s">
        <v>889</v>
      </c>
      <c r="H461" s="380">
        <v>190</v>
      </c>
      <c r="I461" s="307">
        <v>103003</v>
      </c>
      <c r="J461" s="308">
        <v>49.48</v>
      </c>
      <c r="K461" s="381">
        <v>143</v>
      </c>
      <c r="L461" s="382">
        <f>IF(tabItens[[#This Row],[Média]] &gt; 0, tabItens[[#This Row],[QTDE ATUAL]] / tabItens[[#This Row],[Média]],999.9)</f>
        <v>12.391304347826086</v>
      </c>
      <c r="M461" s="383">
        <v>0</v>
      </c>
      <c r="N461" s="384">
        <f>tabItens[[#This Row],[VALOR UNIT.]] * tabItens[[#This Row],[LC]]</f>
        <v>0</v>
      </c>
      <c r="O461" s="385" t="s">
        <v>2113</v>
      </c>
      <c r="P461" s="386"/>
      <c r="Q461" s="387"/>
      <c r="R461" s="312"/>
      <c r="S461" s="388"/>
      <c r="T461" s="389">
        <f>ROUNDDOWN(IFERROR(tabItens[[#This Row],[ATA DT.VALID.]] - $D$1,0) / 30,0)</f>
        <v>-1474</v>
      </c>
      <c r="U461" s="302" t="s">
        <v>1041</v>
      </c>
      <c r="V461" s="318">
        <v>1</v>
      </c>
      <c r="W461" s="390" t="s">
        <v>2076</v>
      </c>
      <c r="X461" s="391">
        <v>61</v>
      </c>
      <c r="Y461" s="392">
        <v>2</v>
      </c>
      <c r="Z461" s="393"/>
      <c r="AA461" s="394"/>
      <c r="AB461" s="395"/>
      <c r="AC461" s="395"/>
      <c r="AD461" s="394"/>
      <c r="AE461" s="395"/>
      <c r="AF461" s="317"/>
      <c r="AG461" s="396" t="s">
        <v>2072</v>
      </c>
      <c r="AH461" s="397"/>
      <c r="AI461" s="317">
        <v>54</v>
      </c>
      <c r="AJ461" s="397">
        <v>45180</v>
      </c>
      <c r="AK461" s="326" t="s">
        <v>889</v>
      </c>
      <c r="AL461" s="326">
        <v>45145</v>
      </c>
      <c r="AM461" s="316"/>
      <c r="AN461" s="305"/>
      <c r="AO461" s="327" t="str">
        <f>_xlfn.IFNA(IF(VLOOKUP(tabItens[[#This Row],[CÓDIGO]],tabExcluirDoEstoque[#Data],1,FALSE),"sim",""),"")</f>
        <v/>
      </c>
      <c r="AP461" s="398" t="str">
        <f ca="1">IF(OR(ISBLANK(tabItens[[#This Row],[ATA DT.VALID.]]),tabItens[[#This Row],[ATA DT.VALID.]]="",tabItens[[#This Row],[ATA DT.VALID.]]=" "),"",IF(TYPE(tabItens[[#This Row],[ATA DT.VALID.]])=1,ROUNDUP((tabItens[[#This Row],[ATA DT.VALID.]]-TODAY())/7,0),""))</f>
        <v/>
      </c>
      <c r="AQ461" s="399">
        <v>0</v>
      </c>
      <c r="AR461" s="400" t="str">
        <f>IF(ISBLANK(tabItens[[#This Row],[CÓDIGO]]),"",IFERROR(VLOOKUP(tabItens[[#This Row],[CÓDIGO]],Consumo!$C$2:$AC$862,26,FALSE),0))</f>
        <v>09.2023</v>
      </c>
      <c r="AS461" s="401">
        <f>SUMIF(Consumo!$C$3:$C$862,tabItens[[#This Row],[CÓDIGO]],Consumo!$N$3:$N$862) + SUMIF(Consumo!$C$3:$C$862,tabItens[[#This Row],[CÓDIGO]],Consumo!$O$3:$O$862) + SUMIF(Consumo!$C$3:$C$862,tabItens[[#This Row],[CÓDIGO]],Consumo!$P$3:$P$862) + SUMIF(Consumo!$C$3:$C$862,tabItens[[#This Row],[CÓDIGO]],Consumo!$Q$3:$Q$862)</f>
        <v>10</v>
      </c>
      <c r="AT461" s="401">
        <f>SUMIF(Consumo!$C$3:$C$862,tabItens[[#This Row],[CÓDIGO]],Consumo!$Z$3:$Z$862)</f>
        <v>192</v>
      </c>
      <c r="AU461" s="402">
        <f>SUMIF(Consumo!$C$3:$C$862,tabItens[[#This Row],[CÓDIGO]],Consumo!$AA$3:$AA$862)</f>
        <v>54</v>
      </c>
      <c r="AV461" s="403">
        <f>SUMIF(Consumo!$C$3:$C$862,tabItens[[#This Row],[CÓDIGO]],Consumo!$Y$3:$Y$862)</f>
        <v>15.333333333333334</v>
      </c>
      <c r="AW461" s="380">
        <f>tabItens[[#This Row],[QTDE ATUAL]] + tabItens[[#This Row],[RC QTDE]] + tabItens[[#This Row],[AF SALDO]] + tabItens[[#This Row],[Recentes]]</f>
        <v>190</v>
      </c>
      <c r="AX461" s="404">
        <v>25</v>
      </c>
      <c r="AY461" s="404">
        <v>4</v>
      </c>
      <c r="AZ461" s="404">
        <f>IF(ISBLANK(tabItens[[#This Row],[CÓDIGO]]),"",tabItens[[#This Row],[PontoMês]] * (AZ$2+tabItens[[#This Row],[PontoQtM]]))</f>
        <v>100</v>
      </c>
      <c r="BA461" s="403">
        <f>tabItens[[#This Row],[PontoPed]] - tabItens[[#This Row],[Saldo]] + (1/10)</f>
        <v>-89.9</v>
      </c>
      <c r="BB461" s="403">
        <f xml:space="preserve"> tabItens[[#This Row],[PontoMês]] * BB$2 - tabItens[[#This Row],[QTDE ATUAL]] - (1/10)</f>
        <v>-165.1</v>
      </c>
      <c r="BC461" s="335">
        <f>IF( tabItens[[#This Row],[PontoPed]]&gt;0, IF(tabItens[[#This Row],[PontoPed]]&lt;1, 1, IF( tabItens[[#This Row],[Saldo]]&gt;tabItens[[#This Row],[PontoPed]], 0, (tabItens[[#This Row],[PontoPed]]-tabItens[[#This Row],[Saldo]])/tabItens[[#This Row],[PontoPed]] ) ), 0 )</f>
        <v>0</v>
      </c>
      <c r="BD461" s="405">
        <f>ROUNDDOWN(IF( OR( AND(tabItens[[#This Row],[PontoPed]]&lt;tabItens[[#This Row],[Saldo]],tabItens[[#This Row],[Saldo]]&gt;0), tabItens[[#This Row],[PontoPed]]=0), 99, IF(AND(tabItens[[#This Row],[Saldo]]=0,tabItens[[#This Row],[PontoPed]]&gt;0), 0, (1-tabItens[[#This Row],[PctAb]])*10 ) ),0)</f>
        <v>99</v>
      </c>
      <c r="BE461" s="406">
        <f>MAX(ROUNDDOWN( IF(tabItens[[#This Row],[Abaixo]] &gt; 0,   tabItens[[#This Row],[Abaixo]] + (tabItens[[#This Row],[PontoMês]] * IF( OR( ISBLANK(tabItens[[#This Row],[ATA Nº/ANO]]), tabItens[[#This Row],[ATA Nº/ANO]] = ""),BE$2,BE$1)),0),0),0)</f>
        <v>0</v>
      </c>
      <c r="BF46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1" s="338">
        <f>SUMIF(Consumo!$C$3:$C$862,tabItens[[#This Row],[CÓDIGO]],Consumo!$E$3:$E$862)</f>
        <v>30</v>
      </c>
      <c r="BH461" s="339">
        <f>IF(AND(tabItens[[#This Row],[Pend]] &gt; 0,tabItens[[#This Row],[Consumo]] &lt;&gt; 0), tabItens[[#This Row],[Pend]] / tabItens[[#This Row],[Consumo]], 0 )</f>
        <v>0.15625</v>
      </c>
      <c r="BI461" s="338"/>
      <c r="BJ461" s="407"/>
      <c r="BK461" s="408" t="s">
        <v>2086</v>
      </c>
    </row>
    <row r="462" spans="1:63" x14ac:dyDescent="0.3">
      <c r="A462" s="375">
        <v>13560</v>
      </c>
      <c r="B462" s="376" t="s">
        <v>1043</v>
      </c>
      <c r="C462" s="377" t="s">
        <v>345</v>
      </c>
      <c r="D462" s="378">
        <v>32.4</v>
      </c>
      <c r="E462" s="305"/>
      <c r="F462" s="379"/>
      <c r="G462" s="379" t="s">
        <v>889</v>
      </c>
      <c r="H462" s="380">
        <v>62</v>
      </c>
      <c r="I462" s="307">
        <v>103003</v>
      </c>
      <c r="J462" s="308">
        <v>32.4</v>
      </c>
      <c r="K462" s="381">
        <v>20</v>
      </c>
      <c r="L462" s="382">
        <f>IF(tabItens[[#This Row],[Média]] &gt; 0, tabItens[[#This Row],[QTDE ATUAL]] / tabItens[[#This Row],[Média]],999.9)</f>
        <v>39.15789473684211</v>
      </c>
      <c r="M462" s="383">
        <v>0</v>
      </c>
      <c r="N462" s="384">
        <f>tabItens[[#This Row],[VALOR UNIT.]] * tabItens[[#This Row],[LC]]</f>
        <v>0</v>
      </c>
      <c r="O462" s="385" t="s">
        <v>2113</v>
      </c>
      <c r="P462" s="386"/>
      <c r="Q462" s="387"/>
      <c r="R462" s="312"/>
      <c r="S462" s="388"/>
      <c r="T462" s="389">
        <f>ROUNDDOWN(IFERROR(tabItens[[#This Row],[ATA DT.VALID.]] - $D$1,0) / 30,0)</f>
        <v>-1474</v>
      </c>
      <c r="U462" s="302" t="s">
        <v>1041</v>
      </c>
      <c r="V462" s="318">
        <v>1</v>
      </c>
      <c r="W462" s="390" t="s">
        <v>2076</v>
      </c>
      <c r="X462" s="391">
        <v>61</v>
      </c>
      <c r="Y462" s="392">
        <v>2</v>
      </c>
      <c r="Z462" s="393"/>
      <c r="AA462" s="394"/>
      <c r="AB462" s="395"/>
      <c r="AC462" s="395"/>
      <c r="AD462" s="394"/>
      <c r="AE462" s="395"/>
      <c r="AF462" s="317"/>
      <c r="AG462" s="396" t="s">
        <v>2072</v>
      </c>
      <c r="AH462" s="397"/>
      <c r="AI462" s="317">
        <v>6</v>
      </c>
      <c r="AJ462" s="397">
        <v>45180</v>
      </c>
      <c r="AK462" s="326" t="s">
        <v>889</v>
      </c>
      <c r="AL462" s="326">
        <v>45145</v>
      </c>
      <c r="AM462" s="316"/>
      <c r="AN462" s="305"/>
      <c r="AO462" s="327" t="str">
        <f>_xlfn.IFNA(IF(VLOOKUP(tabItens[[#This Row],[CÓDIGO]],tabExcluirDoEstoque[#Data],1,FALSE),"sim",""),"")</f>
        <v/>
      </c>
      <c r="AP462" s="398" t="str">
        <f ca="1">IF(OR(ISBLANK(tabItens[[#This Row],[ATA DT.VALID.]]),tabItens[[#This Row],[ATA DT.VALID.]]="",tabItens[[#This Row],[ATA DT.VALID.]]=" "),"",IF(TYPE(tabItens[[#This Row],[ATA DT.VALID.]])=1,ROUNDUP((tabItens[[#This Row],[ATA DT.VALID.]]-TODAY())/7,0),""))</f>
        <v/>
      </c>
      <c r="AQ462" s="399">
        <v>0</v>
      </c>
      <c r="AR462" s="400" t="str">
        <f>IF(ISBLANK(tabItens[[#This Row],[CÓDIGO]]),"",IFERROR(VLOOKUP(tabItens[[#This Row],[CÓDIGO]],Consumo!$C$2:$AC$862,26,FALSE),0))</f>
        <v>04.2023</v>
      </c>
      <c r="AS462" s="401">
        <f>SUMIF(Consumo!$C$3:$C$862,tabItens[[#This Row],[CÓDIGO]],Consumo!$N$3:$N$862) + SUMIF(Consumo!$C$3:$C$862,tabItens[[#This Row],[CÓDIGO]],Consumo!$O$3:$O$862) + SUMIF(Consumo!$C$3:$C$862,tabItens[[#This Row],[CÓDIGO]],Consumo!$P$3:$P$862) + SUMIF(Consumo!$C$3:$C$862,tabItens[[#This Row],[CÓDIGO]],Consumo!$Q$3:$Q$862)</f>
        <v>0</v>
      </c>
      <c r="AT462" s="401">
        <f>SUMIF(Consumo!$C$3:$C$862,tabItens[[#This Row],[CÓDIGO]],Consumo!$Z$3:$Z$862)</f>
        <v>20</v>
      </c>
      <c r="AU462" s="402">
        <f>SUMIF(Consumo!$C$3:$C$862,tabItens[[#This Row],[CÓDIGO]],Consumo!$AA$3:$AA$862)</f>
        <v>6</v>
      </c>
      <c r="AV462" s="403">
        <f>SUMIF(Consumo!$C$3:$C$862,tabItens[[#This Row],[CÓDIGO]],Consumo!$Y$3:$Y$862)</f>
        <v>1.5833333333333333</v>
      </c>
      <c r="AW462" s="380">
        <f>tabItens[[#This Row],[QTDE ATUAL]] + tabItens[[#This Row],[RC QTDE]] + tabItens[[#This Row],[AF SALDO]] + tabItens[[#This Row],[Recentes]]</f>
        <v>62</v>
      </c>
      <c r="AX462" s="404">
        <v>5</v>
      </c>
      <c r="AY462" s="404">
        <v>4</v>
      </c>
      <c r="AZ462" s="404">
        <f>IF(ISBLANK(tabItens[[#This Row],[CÓDIGO]]),"",tabItens[[#This Row],[PontoMês]] * (AZ$2+tabItens[[#This Row],[PontoQtM]]))</f>
        <v>20</v>
      </c>
      <c r="BA462" s="403">
        <f>tabItens[[#This Row],[PontoPed]] - tabItens[[#This Row],[Saldo]] + (1/10)</f>
        <v>-41.9</v>
      </c>
      <c r="BB462" s="403">
        <f xml:space="preserve"> tabItens[[#This Row],[PontoMês]] * BB$2 - tabItens[[#This Row],[QTDE ATUAL]] - (1/10)</f>
        <v>-57.1</v>
      </c>
      <c r="BC462" s="335">
        <f>IF( tabItens[[#This Row],[PontoPed]]&gt;0, IF(tabItens[[#This Row],[PontoPed]]&lt;1, 1, IF( tabItens[[#This Row],[Saldo]]&gt;tabItens[[#This Row],[PontoPed]], 0, (tabItens[[#This Row],[PontoPed]]-tabItens[[#This Row],[Saldo]])/tabItens[[#This Row],[PontoPed]] ) ), 0 )</f>
        <v>0</v>
      </c>
      <c r="BD462" s="405">
        <f>ROUNDDOWN(IF( OR( AND(tabItens[[#This Row],[PontoPed]]&lt;tabItens[[#This Row],[Saldo]],tabItens[[#This Row],[Saldo]]&gt;0), tabItens[[#This Row],[PontoPed]]=0), 99, IF(AND(tabItens[[#This Row],[Saldo]]=0,tabItens[[#This Row],[PontoPed]]&gt;0), 0, (1-tabItens[[#This Row],[PctAb]])*10 ) ),0)</f>
        <v>99</v>
      </c>
      <c r="BE462" s="406">
        <f>MAX(ROUNDDOWN( IF(tabItens[[#This Row],[Abaixo]] &gt; 0,   tabItens[[#This Row],[Abaixo]] + (tabItens[[#This Row],[PontoMês]] * IF( OR( ISBLANK(tabItens[[#This Row],[ATA Nº/ANO]]), tabItens[[#This Row],[ATA Nº/ANO]] = ""),BE$2,BE$1)),0),0),0)</f>
        <v>0</v>
      </c>
      <c r="BF46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2" s="338">
        <f>SUMIF(Consumo!$C$3:$C$862,tabItens[[#This Row],[CÓDIGO]],Consumo!$E$3:$E$862)</f>
        <v>0</v>
      </c>
      <c r="BH462" s="339">
        <f>IF(AND(tabItens[[#This Row],[Pend]] &gt; 0,tabItens[[#This Row],[Consumo]] &lt;&gt; 0), tabItens[[#This Row],[Pend]] / tabItens[[#This Row],[Consumo]], 0 )</f>
        <v>0</v>
      </c>
      <c r="BI462" s="338"/>
      <c r="BJ462" s="407"/>
      <c r="BK462" s="408" t="s">
        <v>2086</v>
      </c>
    </row>
    <row r="463" spans="1:63" x14ac:dyDescent="0.3">
      <c r="A463" s="375">
        <v>13562</v>
      </c>
      <c r="B463" s="376" t="s">
        <v>1045</v>
      </c>
      <c r="C463" s="377" t="s">
        <v>345</v>
      </c>
      <c r="D463" s="378">
        <v>13.12</v>
      </c>
      <c r="E463" s="305"/>
      <c r="F463" s="379"/>
      <c r="G463" s="379" t="s">
        <v>889</v>
      </c>
      <c r="H463" s="380">
        <v>308</v>
      </c>
      <c r="I463" s="307">
        <v>103003</v>
      </c>
      <c r="J463" s="308">
        <v>13.12</v>
      </c>
      <c r="K463" s="381">
        <v>285</v>
      </c>
      <c r="L463" s="382">
        <f>IF(tabItens[[#This Row],[Média]] &gt; 0, tabItens[[#This Row],[QTDE ATUAL]] / tabItens[[#This Row],[Média]],999.9)</f>
        <v>8.4191343963553518</v>
      </c>
      <c r="M463" s="383">
        <v>0</v>
      </c>
      <c r="N463" s="384">
        <f>tabItens[[#This Row],[VALOR UNIT.]] * tabItens[[#This Row],[LC]]</f>
        <v>0</v>
      </c>
      <c r="O463" s="385" t="s">
        <v>2113</v>
      </c>
      <c r="P463" s="386"/>
      <c r="Q463" s="387"/>
      <c r="R463" s="312"/>
      <c r="S463" s="388"/>
      <c r="T463" s="389">
        <f>ROUNDDOWN(IFERROR(tabItens[[#This Row],[ATA DT.VALID.]] - $D$1,0) / 30,0)</f>
        <v>-1474</v>
      </c>
      <c r="U463" s="302" t="s">
        <v>1041</v>
      </c>
      <c r="V463" s="318">
        <v>1</v>
      </c>
      <c r="W463" s="390" t="s">
        <v>2076</v>
      </c>
      <c r="X463" s="391">
        <v>61</v>
      </c>
      <c r="Y463" s="392">
        <v>2</v>
      </c>
      <c r="Z463" s="393"/>
      <c r="AA463" s="394"/>
      <c r="AB463" s="395"/>
      <c r="AC463" s="395">
        <v>9672</v>
      </c>
      <c r="AD463" s="394">
        <v>2023</v>
      </c>
      <c r="AE463" s="395">
        <v>0</v>
      </c>
      <c r="AF463" s="317">
        <v>400</v>
      </c>
      <c r="AG463" s="396" t="s">
        <v>2055</v>
      </c>
      <c r="AH463" s="397">
        <v>45162</v>
      </c>
      <c r="AI463" s="317">
        <v>146</v>
      </c>
      <c r="AJ463" s="397">
        <v>44915</v>
      </c>
      <c r="AK463" s="326" t="s">
        <v>889</v>
      </c>
      <c r="AL463" s="326">
        <v>45145</v>
      </c>
      <c r="AM463" s="316"/>
      <c r="AN463" s="305"/>
      <c r="AO463" s="327" t="str">
        <f>_xlfn.IFNA(IF(VLOOKUP(tabItens[[#This Row],[CÓDIGO]],tabExcluirDoEstoque[#Data],1,FALSE),"sim",""),"")</f>
        <v/>
      </c>
      <c r="AP463" s="398" t="str">
        <f ca="1">IF(OR(ISBLANK(tabItens[[#This Row],[ATA DT.VALID.]]),tabItens[[#This Row],[ATA DT.VALID.]]="",tabItens[[#This Row],[ATA DT.VALID.]]=" "),"",IF(TYPE(tabItens[[#This Row],[ATA DT.VALID.]])=1,ROUNDUP((tabItens[[#This Row],[ATA DT.VALID.]]-TODAY())/7,0),""))</f>
        <v/>
      </c>
      <c r="AQ463" s="399">
        <v>0</v>
      </c>
      <c r="AR463" s="400" t="str">
        <f>IF(ISBLANK(tabItens[[#This Row],[CÓDIGO]]),"",IFERROR(VLOOKUP(tabItens[[#This Row],[CÓDIGO]],Consumo!$C$2:$AC$862,26,FALSE),0))</f>
        <v>09.2023</v>
      </c>
      <c r="AS463" s="401">
        <f>SUMIF(Consumo!$C$3:$C$862,tabItens[[#This Row],[CÓDIGO]],Consumo!$N$3:$N$862) + SUMIF(Consumo!$C$3:$C$862,tabItens[[#This Row],[CÓDIGO]],Consumo!$O$3:$O$862) + SUMIF(Consumo!$C$3:$C$862,tabItens[[#This Row],[CÓDIGO]],Consumo!$P$3:$P$862) + SUMIF(Consumo!$C$3:$C$862,tabItens[[#This Row],[CÓDIGO]],Consumo!$Q$3:$Q$862)</f>
        <v>117</v>
      </c>
      <c r="AT463" s="401">
        <f>SUMIF(Consumo!$C$3:$C$862,tabItens[[#This Row],[CÓDIGO]],Consumo!$Z$3:$Z$862)</f>
        <v>439</v>
      </c>
      <c r="AU463" s="402">
        <f>SUMIF(Consumo!$C$3:$C$862,tabItens[[#This Row],[CÓDIGO]],Consumo!$AA$3:$AA$862)</f>
        <v>61</v>
      </c>
      <c r="AV463" s="403">
        <f>SUMIF(Consumo!$C$3:$C$862,tabItens[[#This Row],[CÓDIGO]],Consumo!$Y$3:$Y$862)</f>
        <v>36.583333333333336</v>
      </c>
      <c r="AW463" s="380">
        <f>tabItens[[#This Row],[QTDE ATUAL]] + tabItens[[#This Row],[RC QTDE]] + tabItens[[#This Row],[AF SALDO]] + tabItens[[#This Row],[Recentes]]</f>
        <v>308</v>
      </c>
      <c r="AX463" s="404">
        <v>72</v>
      </c>
      <c r="AY463" s="404">
        <v>4</v>
      </c>
      <c r="AZ463" s="404">
        <f>IF(ISBLANK(tabItens[[#This Row],[CÓDIGO]]),"",tabItens[[#This Row],[PontoMês]] * (AZ$2+tabItens[[#This Row],[PontoQtM]]))</f>
        <v>288</v>
      </c>
      <c r="BA463" s="403">
        <f>tabItens[[#This Row],[PontoPed]] - tabItens[[#This Row],[Saldo]] + (1/10)</f>
        <v>-19.899999999999999</v>
      </c>
      <c r="BB463" s="403">
        <f xml:space="preserve"> tabItens[[#This Row],[PontoMês]] * BB$2 - tabItens[[#This Row],[QTDE ATUAL]] - (1/10)</f>
        <v>-236.1</v>
      </c>
      <c r="BC463" s="335">
        <f>IF( tabItens[[#This Row],[PontoPed]]&gt;0, IF(tabItens[[#This Row],[PontoPed]]&lt;1, 1, IF( tabItens[[#This Row],[Saldo]]&gt;tabItens[[#This Row],[PontoPed]], 0, (tabItens[[#This Row],[PontoPed]]-tabItens[[#This Row],[Saldo]])/tabItens[[#This Row],[PontoPed]] ) ), 0 )</f>
        <v>0</v>
      </c>
      <c r="BD463" s="405">
        <f>ROUNDDOWN(IF( OR( AND(tabItens[[#This Row],[PontoPed]]&lt;tabItens[[#This Row],[Saldo]],tabItens[[#This Row],[Saldo]]&gt;0), tabItens[[#This Row],[PontoPed]]=0), 99, IF(AND(tabItens[[#This Row],[Saldo]]=0,tabItens[[#This Row],[PontoPed]]&gt;0), 0, (1-tabItens[[#This Row],[PctAb]])*10 ) ),0)</f>
        <v>99</v>
      </c>
      <c r="BE463" s="406">
        <f>MAX(ROUNDDOWN( IF(tabItens[[#This Row],[Abaixo]] &gt; 0,   tabItens[[#This Row],[Abaixo]] + (tabItens[[#This Row],[PontoMês]] * IF( OR( ISBLANK(tabItens[[#This Row],[ATA Nº/ANO]]), tabItens[[#This Row],[ATA Nº/ANO]] = ""),BE$2,BE$1)),0),0),0)</f>
        <v>0</v>
      </c>
      <c r="BF46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3" s="338">
        <f>SUMIF(Consumo!$C$3:$C$862,tabItens[[#This Row],[CÓDIGO]],Consumo!$E$3:$E$862)</f>
        <v>0</v>
      </c>
      <c r="BH463" s="339">
        <f>IF(AND(tabItens[[#This Row],[Pend]] &gt; 0,tabItens[[#This Row],[Consumo]] &lt;&gt; 0), tabItens[[#This Row],[Pend]] / tabItens[[#This Row],[Consumo]], 0 )</f>
        <v>0</v>
      </c>
      <c r="BI463" s="338"/>
      <c r="BJ463" s="407"/>
      <c r="BK463" s="408" t="s">
        <v>2086</v>
      </c>
    </row>
    <row r="464" spans="1:63" x14ac:dyDescent="0.3">
      <c r="A464" s="375">
        <v>59018</v>
      </c>
      <c r="B464" s="376" t="s">
        <v>1340</v>
      </c>
      <c r="C464" s="377" t="s">
        <v>345</v>
      </c>
      <c r="D464" s="378">
        <v>146.83000000000001</v>
      </c>
      <c r="E464" s="305"/>
      <c r="F464" s="379"/>
      <c r="G464" s="379" t="s">
        <v>889</v>
      </c>
      <c r="H464" s="380">
        <v>732</v>
      </c>
      <c r="I464" s="307">
        <v>103003</v>
      </c>
      <c r="J464" s="308">
        <v>146.83000000000001</v>
      </c>
      <c r="K464" s="381">
        <v>166</v>
      </c>
      <c r="L464" s="382">
        <f>IF(tabItens[[#This Row],[Média]] &gt; 0, tabItens[[#This Row],[QTDE ATUAL]] / tabItens[[#This Row],[Média]],999.9)</f>
        <v>62.742857142857147</v>
      </c>
      <c r="M464" s="383">
        <v>0</v>
      </c>
      <c r="N464" s="384">
        <f>tabItens[[#This Row],[VALOR UNIT.]] * tabItens[[#This Row],[LC]]</f>
        <v>0</v>
      </c>
      <c r="O464" s="385" t="s">
        <v>2113</v>
      </c>
      <c r="P464" s="386"/>
      <c r="Q464" s="387"/>
      <c r="R464" s="312"/>
      <c r="S464" s="388"/>
      <c r="T464" s="389">
        <f>ROUNDDOWN(IFERROR(tabItens[[#This Row],[ATA DT.VALID.]] - $D$1,0) / 30,0)</f>
        <v>-1474</v>
      </c>
      <c r="U464" s="302" t="s">
        <v>1259</v>
      </c>
      <c r="V464" s="318">
        <v>1</v>
      </c>
      <c r="W464" s="390" t="s">
        <v>2078</v>
      </c>
      <c r="X464" s="391">
        <v>69</v>
      </c>
      <c r="Y464" s="392">
        <v>3</v>
      </c>
      <c r="Z464" s="393"/>
      <c r="AA464" s="394"/>
      <c r="AB464" s="395"/>
      <c r="AC464" s="395"/>
      <c r="AD464" s="394"/>
      <c r="AE464" s="395"/>
      <c r="AF464" s="317"/>
      <c r="AG464" s="396" t="s">
        <v>2072</v>
      </c>
      <c r="AH464" s="397"/>
      <c r="AI464" s="317">
        <v>56</v>
      </c>
      <c r="AJ464" s="397">
        <v>44579</v>
      </c>
      <c r="AK464" s="326" t="s">
        <v>889</v>
      </c>
      <c r="AL464" s="326">
        <v>44781</v>
      </c>
      <c r="AM464" s="316"/>
      <c r="AN464" s="305"/>
      <c r="AO464" s="327" t="str">
        <f>_xlfn.IFNA(IF(VLOOKUP(tabItens[[#This Row],[CÓDIGO]],tabExcluirDoEstoque[#Data],1,FALSE),"sim",""),"")</f>
        <v/>
      </c>
      <c r="AP464" s="398" t="str">
        <f ca="1">IF(OR(ISBLANK(tabItens[[#This Row],[ATA DT.VALID.]]),tabItens[[#This Row],[ATA DT.VALID.]]="",tabItens[[#This Row],[ATA DT.VALID.]]=" "),"",IF(TYPE(tabItens[[#This Row],[ATA DT.VALID.]])=1,ROUNDUP((tabItens[[#This Row],[ATA DT.VALID.]]-TODAY())/7,0),""))</f>
        <v/>
      </c>
      <c r="AQ464" s="399">
        <v>0</v>
      </c>
      <c r="AR464" s="400" t="str">
        <f>IF(ISBLANK(tabItens[[#This Row],[CÓDIGO]]),"",IFERROR(VLOOKUP(tabItens[[#This Row],[CÓDIGO]],Consumo!$C$2:$AC$862,26,FALSE),0))</f>
        <v>06.2023</v>
      </c>
      <c r="AS464" s="401">
        <f>SUMIF(Consumo!$C$3:$C$862,tabItens[[#This Row],[CÓDIGO]],Consumo!$N$3:$N$862) + SUMIF(Consumo!$C$3:$C$862,tabItens[[#This Row],[CÓDIGO]],Consumo!$O$3:$O$862) + SUMIF(Consumo!$C$3:$C$862,tabItens[[#This Row],[CÓDIGO]],Consumo!$P$3:$P$862) + SUMIF(Consumo!$C$3:$C$862,tabItens[[#This Row],[CÓDIGO]],Consumo!$Q$3:$Q$862)</f>
        <v>100</v>
      </c>
      <c r="AT464" s="401">
        <f>SUMIF(Consumo!$C$3:$C$862,tabItens[[#This Row],[CÓDIGO]],Consumo!$Z$3:$Z$862)</f>
        <v>168</v>
      </c>
      <c r="AU464" s="402">
        <f>SUMIF(Consumo!$C$3:$C$862,tabItens[[#This Row],[CÓDIGO]],Consumo!$AA$3:$AA$862)</f>
        <v>100</v>
      </c>
      <c r="AV464" s="403">
        <f>SUMIF(Consumo!$C$3:$C$862,tabItens[[#This Row],[CÓDIGO]],Consumo!$Y$3:$Y$862)</f>
        <v>11.666666666666666</v>
      </c>
      <c r="AW464" s="380">
        <f>tabItens[[#This Row],[QTDE ATUAL]] + tabItens[[#This Row],[RC QTDE]] + tabItens[[#This Row],[AF SALDO]] + tabItens[[#This Row],[Recentes]]</f>
        <v>732</v>
      </c>
      <c r="AX464" s="404">
        <v>25</v>
      </c>
      <c r="AY464" s="404">
        <v>4</v>
      </c>
      <c r="AZ464" s="404">
        <f>IF(ISBLANK(tabItens[[#This Row],[CÓDIGO]]),"",tabItens[[#This Row],[PontoMês]] * (AZ$2+tabItens[[#This Row],[PontoQtM]]))</f>
        <v>100</v>
      </c>
      <c r="BA464" s="403">
        <f>tabItens[[#This Row],[PontoPed]] - tabItens[[#This Row],[Saldo]] + (1/10)</f>
        <v>-631.9</v>
      </c>
      <c r="BB464" s="403">
        <f xml:space="preserve"> tabItens[[#This Row],[PontoMês]] * BB$2 - tabItens[[#This Row],[QTDE ATUAL]] - (1/10)</f>
        <v>-707.1</v>
      </c>
      <c r="BC464" s="335">
        <f>IF( tabItens[[#This Row],[PontoPed]]&gt;0, IF(tabItens[[#This Row],[PontoPed]]&lt;1, 1, IF( tabItens[[#This Row],[Saldo]]&gt;tabItens[[#This Row],[PontoPed]], 0, (tabItens[[#This Row],[PontoPed]]-tabItens[[#This Row],[Saldo]])/tabItens[[#This Row],[PontoPed]] ) ), 0 )</f>
        <v>0</v>
      </c>
      <c r="BD464" s="405">
        <f>ROUNDDOWN(IF( OR( AND(tabItens[[#This Row],[PontoPed]]&lt;tabItens[[#This Row],[Saldo]],tabItens[[#This Row],[Saldo]]&gt;0), tabItens[[#This Row],[PontoPed]]=0), 99, IF(AND(tabItens[[#This Row],[Saldo]]=0,tabItens[[#This Row],[PontoPed]]&gt;0), 0, (1-tabItens[[#This Row],[PctAb]])*10 ) ),0)</f>
        <v>99</v>
      </c>
      <c r="BE464" s="406">
        <f>MAX(ROUNDDOWN( IF(tabItens[[#This Row],[Abaixo]] &gt; 0,   tabItens[[#This Row],[Abaixo]] + (tabItens[[#This Row],[PontoMês]] * IF( OR( ISBLANK(tabItens[[#This Row],[ATA Nº/ANO]]), tabItens[[#This Row],[ATA Nº/ANO]] = ""),BE$2,BE$1)),0),0),0)</f>
        <v>0</v>
      </c>
      <c r="BF46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4" s="338">
        <f>SUMIF(Consumo!$C$3:$C$862,tabItens[[#This Row],[CÓDIGO]],Consumo!$E$3:$E$862)</f>
        <v>0</v>
      </c>
      <c r="BH464" s="339">
        <f>IF(AND(tabItens[[#This Row],[Pend]] &gt; 0,tabItens[[#This Row],[Consumo]] &lt;&gt; 0), tabItens[[#This Row],[Pend]] / tabItens[[#This Row],[Consumo]], 0 )</f>
        <v>0</v>
      </c>
      <c r="BI464" s="338"/>
      <c r="BJ464" s="407"/>
      <c r="BK464" s="408" t="s">
        <v>2086</v>
      </c>
    </row>
    <row r="465" spans="1:63" x14ac:dyDescent="0.3">
      <c r="A465" s="375">
        <v>88740</v>
      </c>
      <c r="B465" s="376" t="s">
        <v>1513</v>
      </c>
      <c r="C465" s="377" t="s">
        <v>263</v>
      </c>
      <c r="D465" s="378">
        <v>20.079999999999998</v>
      </c>
      <c r="E465" s="305"/>
      <c r="F465" s="379"/>
      <c r="G465" s="379" t="s">
        <v>889</v>
      </c>
      <c r="H465" s="380">
        <v>74</v>
      </c>
      <c r="I465" s="307">
        <v>103003</v>
      </c>
      <c r="J465" s="308">
        <v>20.079999999999998</v>
      </c>
      <c r="K465" s="381">
        <v>84</v>
      </c>
      <c r="L465" s="382">
        <f>IF(tabItens[[#This Row],[Média]] &gt; 0, tabItens[[#This Row],[QTDE ATUAL]] / tabItens[[#This Row],[Média]],999.9)</f>
        <v>14.095238095238095</v>
      </c>
      <c r="M465" s="383">
        <v>0</v>
      </c>
      <c r="N465" s="384">
        <f>tabItens[[#This Row],[VALOR UNIT.]] * tabItens[[#This Row],[LC]]</f>
        <v>0</v>
      </c>
      <c r="O465" s="385" t="s">
        <v>2167</v>
      </c>
      <c r="P465" s="386"/>
      <c r="Q465" s="387"/>
      <c r="R465" s="312"/>
      <c r="S465" s="388"/>
      <c r="T465" s="389">
        <f>ROUNDDOWN(IFERROR(tabItens[[#This Row],[ATA DT.VALID.]] - $D$1,0) / 30,0)</f>
        <v>-1474</v>
      </c>
      <c r="U465" s="302" t="s">
        <v>1502</v>
      </c>
      <c r="V465" s="318">
        <v>1</v>
      </c>
      <c r="W465" s="390" t="s">
        <v>2077</v>
      </c>
      <c r="X465" s="391">
        <v>55</v>
      </c>
      <c r="Y465" s="392">
        <v>26</v>
      </c>
      <c r="Z465" s="393"/>
      <c r="AA465" s="394"/>
      <c r="AB465" s="395"/>
      <c r="AC465" s="395"/>
      <c r="AD465" s="394"/>
      <c r="AE465" s="395"/>
      <c r="AF465" s="317"/>
      <c r="AG465" s="396" t="s">
        <v>2072</v>
      </c>
      <c r="AH465" s="397"/>
      <c r="AI465" s="317">
        <v>28</v>
      </c>
      <c r="AJ465" s="397">
        <v>41173</v>
      </c>
      <c r="AK465" s="326">
        <v>38656</v>
      </c>
      <c r="AL465" s="326">
        <v>44291</v>
      </c>
      <c r="AM465" s="316"/>
      <c r="AN465" s="305"/>
      <c r="AO465" s="327" t="str">
        <f>_xlfn.IFNA(IF(VLOOKUP(tabItens[[#This Row],[CÓDIGO]],tabExcluirDoEstoque[#Data],1,FALSE),"sim",""),"")</f>
        <v/>
      </c>
      <c r="AP465" s="398" t="str">
        <f ca="1">IF(OR(ISBLANK(tabItens[[#This Row],[ATA DT.VALID.]]),tabItens[[#This Row],[ATA DT.VALID.]]="",tabItens[[#This Row],[ATA DT.VALID.]]=" "),"",IF(TYPE(tabItens[[#This Row],[ATA DT.VALID.]])=1,ROUNDUP((tabItens[[#This Row],[ATA DT.VALID.]]-TODAY())/7,0),""))</f>
        <v/>
      </c>
      <c r="AQ465" s="399">
        <v>0</v>
      </c>
      <c r="AR465" s="400" t="str">
        <f>IF(ISBLANK(tabItens[[#This Row],[CÓDIGO]]),"",IFERROR(VLOOKUP(tabItens[[#This Row],[CÓDIGO]],Consumo!$C$2:$AC$862,26,FALSE),0))</f>
        <v>08.2023</v>
      </c>
      <c r="AS465" s="401">
        <f>SUMIF(Consumo!$C$3:$C$862,tabItens[[#This Row],[CÓDIGO]],Consumo!$N$3:$N$862) + SUMIF(Consumo!$C$3:$C$862,tabItens[[#This Row],[CÓDIGO]],Consumo!$O$3:$O$862) + SUMIF(Consumo!$C$3:$C$862,tabItens[[#This Row],[CÓDIGO]],Consumo!$P$3:$P$862) + SUMIF(Consumo!$C$3:$C$862,tabItens[[#This Row],[CÓDIGO]],Consumo!$Q$3:$Q$862)</f>
        <v>10</v>
      </c>
      <c r="AT465" s="401">
        <f>SUMIF(Consumo!$C$3:$C$862,tabItens[[#This Row],[CÓDIGO]],Consumo!$Z$3:$Z$862)</f>
        <v>84</v>
      </c>
      <c r="AU465" s="402">
        <f>SUMIF(Consumo!$C$3:$C$862,tabItens[[#This Row],[CÓDIGO]],Consumo!$AA$3:$AA$862)</f>
        <v>63</v>
      </c>
      <c r="AV465" s="403">
        <f>SUMIF(Consumo!$C$3:$C$862,tabItens[[#This Row],[CÓDIGO]],Consumo!$Y$3:$Y$862)</f>
        <v>5.25</v>
      </c>
      <c r="AW465" s="380">
        <f>tabItens[[#This Row],[QTDE ATUAL]] + tabItens[[#This Row],[RC QTDE]] + tabItens[[#This Row],[AF SALDO]] + tabItens[[#This Row],[Recentes]]</f>
        <v>74</v>
      </c>
      <c r="AX465" s="404">
        <v>8</v>
      </c>
      <c r="AY465" s="404">
        <v>4</v>
      </c>
      <c r="AZ465" s="404">
        <f>IF(ISBLANK(tabItens[[#This Row],[CÓDIGO]]),"",tabItens[[#This Row],[PontoMês]] * (AZ$2+tabItens[[#This Row],[PontoQtM]]))</f>
        <v>32</v>
      </c>
      <c r="BA465" s="403">
        <f>tabItens[[#This Row],[PontoPed]] - tabItens[[#This Row],[Saldo]] + (1/10)</f>
        <v>-41.9</v>
      </c>
      <c r="BB465" s="403">
        <f xml:space="preserve"> tabItens[[#This Row],[PontoMês]] * BB$2 - tabItens[[#This Row],[QTDE ATUAL]] - (1/10)</f>
        <v>-66.099999999999994</v>
      </c>
      <c r="BC465" s="335">
        <f>IF( tabItens[[#This Row],[PontoPed]]&gt;0, IF(tabItens[[#This Row],[PontoPed]]&lt;1, 1, IF( tabItens[[#This Row],[Saldo]]&gt;tabItens[[#This Row],[PontoPed]], 0, (tabItens[[#This Row],[PontoPed]]-tabItens[[#This Row],[Saldo]])/tabItens[[#This Row],[PontoPed]] ) ), 0 )</f>
        <v>0</v>
      </c>
      <c r="BD465" s="405">
        <f>ROUNDDOWN(IF( OR( AND(tabItens[[#This Row],[PontoPed]]&lt;tabItens[[#This Row],[Saldo]],tabItens[[#This Row],[Saldo]]&gt;0), tabItens[[#This Row],[PontoPed]]=0), 99, IF(AND(tabItens[[#This Row],[Saldo]]=0,tabItens[[#This Row],[PontoPed]]&gt;0), 0, (1-tabItens[[#This Row],[PctAb]])*10 ) ),0)</f>
        <v>99</v>
      </c>
      <c r="BE465" s="406">
        <f>MAX(ROUNDDOWN( IF(tabItens[[#This Row],[Abaixo]] &gt; 0,   tabItens[[#This Row],[Abaixo]] + (tabItens[[#This Row],[PontoMês]] * IF( OR( ISBLANK(tabItens[[#This Row],[ATA Nº/ANO]]), tabItens[[#This Row],[ATA Nº/ANO]] = ""),BE$2,BE$1)),0),0),0)</f>
        <v>0</v>
      </c>
      <c r="BF46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5" s="338">
        <f>SUMIF(Consumo!$C$3:$C$862,tabItens[[#This Row],[CÓDIGO]],Consumo!$E$3:$E$862)</f>
        <v>0</v>
      </c>
      <c r="BH465" s="339">
        <f>IF(AND(tabItens[[#This Row],[Pend]] &gt; 0,tabItens[[#This Row],[Consumo]] &lt;&gt; 0), tabItens[[#This Row],[Pend]] / tabItens[[#This Row],[Consumo]], 0 )</f>
        <v>0</v>
      </c>
      <c r="BI465" s="338"/>
      <c r="BJ465" s="407"/>
      <c r="BK465" s="408" t="s">
        <v>2086</v>
      </c>
    </row>
    <row r="466" spans="1:63" x14ac:dyDescent="0.3">
      <c r="A466" s="375">
        <v>88744</v>
      </c>
      <c r="B466" s="376" t="s">
        <v>1514</v>
      </c>
      <c r="C466" s="377" t="s">
        <v>263</v>
      </c>
      <c r="D466" s="378">
        <v>44</v>
      </c>
      <c r="E466" s="305"/>
      <c r="F466" s="379"/>
      <c r="G466" s="379" t="s">
        <v>889</v>
      </c>
      <c r="H466" s="380">
        <v>30</v>
      </c>
      <c r="I466" s="307">
        <v>103003</v>
      </c>
      <c r="J466" s="308">
        <v>44</v>
      </c>
      <c r="K466" s="381">
        <v>17</v>
      </c>
      <c r="L466" s="382">
        <f>IF(tabItens[[#This Row],[Média]] &gt; 0, tabItens[[#This Row],[QTDE ATUAL]] / tabItens[[#This Row],[Média]],999.9)</f>
        <v>18.947368421052634</v>
      </c>
      <c r="M466" s="383">
        <v>0</v>
      </c>
      <c r="N466" s="384">
        <f>tabItens[[#This Row],[VALOR UNIT.]] * tabItens[[#This Row],[LC]]</f>
        <v>0</v>
      </c>
      <c r="O466" s="385" t="s">
        <v>2167</v>
      </c>
      <c r="P466" s="386"/>
      <c r="Q466" s="387"/>
      <c r="R466" s="312"/>
      <c r="S466" s="388"/>
      <c r="T466" s="389">
        <f>ROUNDDOWN(IFERROR(tabItens[[#This Row],[ATA DT.VALID.]] - $D$1,0) / 30,0)</f>
        <v>-1474</v>
      </c>
      <c r="U466" s="302" t="s">
        <v>1502</v>
      </c>
      <c r="V466" s="318">
        <v>1</v>
      </c>
      <c r="W466" s="390" t="s">
        <v>2077</v>
      </c>
      <c r="X466" s="391">
        <v>55</v>
      </c>
      <c r="Y466" s="392">
        <v>26</v>
      </c>
      <c r="Z466" s="393"/>
      <c r="AA466" s="394"/>
      <c r="AB466" s="395"/>
      <c r="AC466" s="395"/>
      <c r="AD466" s="394"/>
      <c r="AE466" s="395"/>
      <c r="AF466" s="317"/>
      <c r="AG466" s="396" t="s">
        <v>2072</v>
      </c>
      <c r="AH466" s="397"/>
      <c r="AI466" s="317">
        <v>6</v>
      </c>
      <c r="AJ466" s="397">
        <v>44509</v>
      </c>
      <c r="AK466" s="326">
        <v>38656</v>
      </c>
      <c r="AL466" s="326">
        <v>44687</v>
      </c>
      <c r="AM466" s="316"/>
      <c r="AN466" s="305"/>
      <c r="AO466" s="327" t="str">
        <f>_xlfn.IFNA(IF(VLOOKUP(tabItens[[#This Row],[CÓDIGO]],tabExcluirDoEstoque[#Data],1,FALSE),"sim",""),"")</f>
        <v/>
      </c>
      <c r="AP466" s="398" t="str">
        <f ca="1">IF(OR(ISBLANK(tabItens[[#This Row],[ATA DT.VALID.]]),tabItens[[#This Row],[ATA DT.VALID.]]="",tabItens[[#This Row],[ATA DT.VALID.]]=" "),"",IF(TYPE(tabItens[[#This Row],[ATA DT.VALID.]])=1,ROUNDUP((tabItens[[#This Row],[ATA DT.VALID.]]-TODAY())/7,0),""))</f>
        <v/>
      </c>
      <c r="AQ466" s="399">
        <v>0</v>
      </c>
      <c r="AR466" s="400" t="str">
        <f>IF(ISBLANK(tabItens[[#This Row],[CÓDIGO]]),"",IFERROR(VLOOKUP(tabItens[[#This Row],[CÓDIGO]],Consumo!$C$2:$AC$862,26,FALSE),0))</f>
        <v>09.2023</v>
      </c>
      <c r="AS466" s="401">
        <f>SUMIF(Consumo!$C$3:$C$862,tabItens[[#This Row],[CÓDIGO]],Consumo!$N$3:$N$862) + SUMIF(Consumo!$C$3:$C$862,tabItens[[#This Row],[CÓDIGO]],Consumo!$O$3:$O$862) + SUMIF(Consumo!$C$3:$C$862,tabItens[[#This Row],[CÓDIGO]],Consumo!$P$3:$P$862) + SUMIF(Consumo!$C$3:$C$862,tabItens[[#This Row],[CÓDIGO]],Consumo!$Q$3:$Q$862)</f>
        <v>1</v>
      </c>
      <c r="AT466" s="401">
        <f>SUMIF(Consumo!$C$3:$C$862,tabItens[[#This Row],[CÓDIGO]],Consumo!$Z$3:$Z$862)</f>
        <v>19</v>
      </c>
      <c r="AU466" s="402">
        <f>SUMIF(Consumo!$C$3:$C$862,tabItens[[#This Row],[CÓDIGO]],Consumo!$AA$3:$AA$862)</f>
        <v>5</v>
      </c>
      <c r="AV466" s="403">
        <f>SUMIF(Consumo!$C$3:$C$862,tabItens[[#This Row],[CÓDIGO]],Consumo!$Y$3:$Y$862)</f>
        <v>1.5833333333333333</v>
      </c>
      <c r="AW466" s="380">
        <f>tabItens[[#This Row],[QTDE ATUAL]] + tabItens[[#This Row],[RC QTDE]] + tabItens[[#This Row],[AF SALDO]] + tabItens[[#This Row],[Recentes]]</f>
        <v>30</v>
      </c>
      <c r="AX466" s="404">
        <v>3</v>
      </c>
      <c r="AY466" s="404">
        <v>4</v>
      </c>
      <c r="AZ466" s="404">
        <f>IF(ISBLANK(tabItens[[#This Row],[CÓDIGO]]),"",tabItens[[#This Row],[PontoMês]] * (AZ$2+tabItens[[#This Row],[PontoQtM]]))</f>
        <v>12</v>
      </c>
      <c r="BA466" s="403">
        <f>tabItens[[#This Row],[PontoPed]] - tabItens[[#This Row],[Saldo]] + (1/10)</f>
        <v>-17.899999999999999</v>
      </c>
      <c r="BB466" s="403">
        <f xml:space="preserve"> tabItens[[#This Row],[PontoMês]] * BB$2 - tabItens[[#This Row],[QTDE ATUAL]] - (1/10)</f>
        <v>-27.1</v>
      </c>
      <c r="BC466" s="335">
        <f>IF( tabItens[[#This Row],[PontoPed]]&gt;0, IF(tabItens[[#This Row],[PontoPed]]&lt;1, 1, IF( tabItens[[#This Row],[Saldo]]&gt;tabItens[[#This Row],[PontoPed]], 0, (tabItens[[#This Row],[PontoPed]]-tabItens[[#This Row],[Saldo]])/tabItens[[#This Row],[PontoPed]] ) ), 0 )</f>
        <v>0</v>
      </c>
      <c r="BD466" s="405">
        <f>ROUNDDOWN(IF( OR( AND(tabItens[[#This Row],[PontoPed]]&lt;tabItens[[#This Row],[Saldo]],tabItens[[#This Row],[Saldo]]&gt;0), tabItens[[#This Row],[PontoPed]]=0), 99, IF(AND(tabItens[[#This Row],[Saldo]]=0,tabItens[[#This Row],[PontoPed]]&gt;0), 0, (1-tabItens[[#This Row],[PctAb]])*10 ) ),0)</f>
        <v>99</v>
      </c>
      <c r="BE466" s="406">
        <f>MAX(ROUNDDOWN( IF(tabItens[[#This Row],[Abaixo]] &gt; 0,   tabItens[[#This Row],[Abaixo]] + (tabItens[[#This Row],[PontoMês]] * IF( OR( ISBLANK(tabItens[[#This Row],[ATA Nº/ANO]]), tabItens[[#This Row],[ATA Nº/ANO]] = ""),BE$2,BE$1)),0),0),0)</f>
        <v>0</v>
      </c>
      <c r="BF46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6" s="338">
        <f>SUMIF(Consumo!$C$3:$C$862,tabItens[[#This Row],[CÓDIGO]],Consumo!$E$3:$E$862)</f>
        <v>0</v>
      </c>
      <c r="BH466" s="339">
        <f>IF(AND(tabItens[[#This Row],[Pend]] &gt; 0,tabItens[[#This Row],[Consumo]] &lt;&gt; 0), tabItens[[#This Row],[Pend]] / tabItens[[#This Row],[Consumo]], 0 )</f>
        <v>0</v>
      </c>
      <c r="BI466" s="338"/>
      <c r="BJ466" s="407"/>
      <c r="BK466" s="408" t="s">
        <v>2086</v>
      </c>
    </row>
    <row r="467" spans="1:63" x14ac:dyDescent="0.3">
      <c r="A467" s="375">
        <v>88745</v>
      </c>
      <c r="B467" s="376" t="s">
        <v>1515</v>
      </c>
      <c r="C467" s="377" t="s">
        <v>263</v>
      </c>
      <c r="D467" s="378">
        <v>80</v>
      </c>
      <c r="E467" s="305"/>
      <c r="F467" s="379"/>
      <c r="G467" s="379" t="s">
        <v>889</v>
      </c>
      <c r="H467" s="380">
        <v>17</v>
      </c>
      <c r="I467" s="307">
        <v>103003</v>
      </c>
      <c r="J467" s="308">
        <v>80</v>
      </c>
      <c r="K467" s="381">
        <v>12</v>
      </c>
      <c r="L467" s="382">
        <f>IF(tabItens[[#This Row],[Média]] &gt; 0, tabItens[[#This Row],[QTDE ATUAL]] / tabItens[[#This Row],[Média]],999.9)</f>
        <v>18.545454545454547</v>
      </c>
      <c r="M467" s="383">
        <v>0</v>
      </c>
      <c r="N467" s="384">
        <f>tabItens[[#This Row],[VALOR UNIT.]] * tabItens[[#This Row],[LC]]</f>
        <v>0</v>
      </c>
      <c r="O467" s="385" t="s">
        <v>2167</v>
      </c>
      <c r="P467" s="386"/>
      <c r="Q467" s="387"/>
      <c r="R467" s="312"/>
      <c r="S467" s="388"/>
      <c r="T467" s="389">
        <f>ROUNDDOWN(IFERROR(tabItens[[#This Row],[ATA DT.VALID.]] - $D$1,0) / 30,0)</f>
        <v>-1474</v>
      </c>
      <c r="U467" s="302" t="s">
        <v>1502</v>
      </c>
      <c r="V467" s="318">
        <v>1</v>
      </c>
      <c r="W467" s="390" t="s">
        <v>2077</v>
      </c>
      <c r="X467" s="391">
        <v>55</v>
      </c>
      <c r="Y467" s="392">
        <v>26</v>
      </c>
      <c r="Z467" s="393">
        <v>2678</v>
      </c>
      <c r="AA467" s="394">
        <v>2023</v>
      </c>
      <c r="AB467" s="395">
        <v>70</v>
      </c>
      <c r="AC467" s="395"/>
      <c r="AD467" s="394"/>
      <c r="AE467" s="395"/>
      <c r="AF467" s="317"/>
      <c r="AG467" s="396" t="s">
        <v>2072</v>
      </c>
      <c r="AH467" s="397"/>
      <c r="AI467" s="317">
        <v>4</v>
      </c>
      <c r="AJ467" s="397">
        <v>44855</v>
      </c>
      <c r="AK467" s="326">
        <v>38656</v>
      </c>
      <c r="AL467" s="326">
        <v>44845</v>
      </c>
      <c r="AM467" s="316"/>
      <c r="AN467" s="305"/>
      <c r="AO467" s="327" t="str">
        <f>_xlfn.IFNA(IF(VLOOKUP(tabItens[[#This Row],[CÓDIGO]],tabExcluirDoEstoque[#Data],1,FALSE),"sim",""),"")</f>
        <v/>
      </c>
      <c r="AP467" s="398" t="str">
        <f ca="1">IF(OR(ISBLANK(tabItens[[#This Row],[ATA DT.VALID.]]),tabItens[[#This Row],[ATA DT.VALID.]]="",tabItens[[#This Row],[ATA DT.VALID.]]=" "),"",IF(TYPE(tabItens[[#This Row],[ATA DT.VALID.]])=1,ROUNDUP((tabItens[[#This Row],[ATA DT.VALID.]]-TODAY())/7,0),""))</f>
        <v/>
      </c>
      <c r="AQ467" s="399">
        <v>0</v>
      </c>
      <c r="AR467" s="400" t="str">
        <f>IF(ISBLANK(tabItens[[#This Row],[CÓDIGO]]),"",IFERROR(VLOOKUP(tabItens[[#This Row],[CÓDIGO]],Consumo!$C$2:$AC$862,26,FALSE),0))</f>
        <v>04.2023</v>
      </c>
      <c r="AS467" s="401">
        <f>SUMIF(Consumo!$C$3:$C$862,tabItens[[#This Row],[CÓDIGO]],Consumo!$N$3:$N$862) + SUMIF(Consumo!$C$3:$C$862,tabItens[[#This Row],[CÓDIGO]],Consumo!$O$3:$O$862) + SUMIF(Consumo!$C$3:$C$862,tabItens[[#This Row],[CÓDIGO]],Consumo!$P$3:$P$862) + SUMIF(Consumo!$C$3:$C$862,tabItens[[#This Row],[CÓDIGO]],Consumo!$Q$3:$Q$862)</f>
        <v>0</v>
      </c>
      <c r="AT467" s="401">
        <f>SUMIF(Consumo!$C$3:$C$862,tabItens[[#This Row],[CÓDIGO]],Consumo!$Z$3:$Z$862)</f>
        <v>12</v>
      </c>
      <c r="AU467" s="402">
        <f>SUMIF(Consumo!$C$3:$C$862,tabItens[[#This Row],[CÓDIGO]],Consumo!$AA$3:$AA$862)</f>
        <v>5</v>
      </c>
      <c r="AV467" s="403">
        <f>SUMIF(Consumo!$C$3:$C$862,tabItens[[#This Row],[CÓDIGO]],Consumo!$Y$3:$Y$862)</f>
        <v>0.91666666666666663</v>
      </c>
      <c r="AW467" s="380">
        <f>tabItens[[#This Row],[QTDE ATUAL]] + tabItens[[#This Row],[RC QTDE]] + tabItens[[#This Row],[AF SALDO]] + tabItens[[#This Row],[Recentes]]</f>
        <v>87</v>
      </c>
      <c r="AX467" s="404">
        <v>4</v>
      </c>
      <c r="AY467" s="404">
        <v>4</v>
      </c>
      <c r="AZ467" s="404">
        <f>IF(ISBLANK(tabItens[[#This Row],[CÓDIGO]]),"",tabItens[[#This Row],[PontoMês]] * (AZ$2+tabItens[[#This Row],[PontoQtM]]))</f>
        <v>16</v>
      </c>
      <c r="BA467" s="403">
        <f>tabItens[[#This Row],[PontoPed]] - tabItens[[#This Row],[Saldo]] + (1/10)</f>
        <v>-70.900000000000006</v>
      </c>
      <c r="BB467" s="403">
        <f xml:space="preserve"> tabItens[[#This Row],[PontoMês]] * BB$2 - tabItens[[#This Row],[QTDE ATUAL]] - (1/10)</f>
        <v>-13.1</v>
      </c>
      <c r="BC467" s="335">
        <f>IF( tabItens[[#This Row],[PontoPed]]&gt;0, IF(tabItens[[#This Row],[PontoPed]]&lt;1, 1, IF( tabItens[[#This Row],[Saldo]]&gt;tabItens[[#This Row],[PontoPed]], 0, (tabItens[[#This Row],[PontoPed]]-tabItens[[#This Row],[Saldo]])/tabItens[[#This Row],[PontoPed]] ) ), 0 )</f>
        <v>0</v>
      </c>
      <c r="BD467" s="405">
        <f>ROUNDDOWN(IF( OR( AND(tabItens[[#This Row],[PontoPed]]&lt;tabItens[[#This Row],[Saldo]],tabItens[[#This Row],[Saldo]]&gt;0), tabItens[[#This Row],[PontoPed]]=0), 99, IF(AND(tabItens[[#This Row],[Saldo]]=0,tabItens[[#This Row],[PontoPed]]&gt;0), 0, (1-tabItens[[#This Row],[PctAb]])*10 ) ),0)</f>
        <v>99</v>
      </c>
      <c r="BE467" s="406">
        <f>MAX(ROUNDDOWN( IF(tabItens[[#This Row],[Abaixo]] &gt; 0,   tabItens[[#This Row],[Abaixo]] + (tabItens[[#This Row],[PontoMês]] * IF( OR( ISBLANK(tabItens[[#This Row],[ATA Nº/ANO]]), tabItens[[#This Row],[ATA Nº/ANO]] = ""),BE$2,BE$1)),0),0),0)</f>
        <v>0</v>
      </c>
      <c r="BF46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7" s="338">
        <f>SUMIF(Consumo!$C$3:$C$862,tabItens[[#This Row],[CÓDIGO]],Consumo!$E$3:$E$862)</f>
        <v>0</v>
      </c>
      <c r="BH467" s="339">
        <f>IF(AND(tabItens[[#This Row],[Pend]] &gt; 0,tabItens[[#This Row],[Consumo]] &lt;&gt; 0), tabItens[[#This Row],[Pend]] / tabItens[[#This Row],[Consumo]], 0 )</f>
        <v>0</v>
      </c>
      <c r="BI467" s="338"/>
      <c r="BJ467" s="407"/>
      <c r="BK467" s="408" t="s">
        <v>2086</v>
      </c>
    </row>
    <row r="468" spans="1:63" x14ac:dyDescent="0.3">
      <c r="A468" s="375">
        <v>88746</v>
      </c>
      <c r="B468" s="376" t="s">
        <v>1516</v>
      </c>
      <c r="C468" s="377" t="s">
        <v>263</v>
      </c>
      <c r="D468" s="378">
        <v>158.69999999999999</v>
      </c>
      <c r="E468" s="305"/>
      <c r="F468" s="379"/>
      <c r="G468" s="379" t="s">
        <v>889</v>
      </c>
      <c r="H468" s="380">
        <v>42</v>
      </c>
      <c r="I468" s="307">
        <v>103003</v>
      </c>
      <c r="J468" s="308">
        <v>158.69999999999999</v>
      </c>
      <c r="K468" s="381">
        <v>9</v>
      </c>
      <c r="L468" s="382">
        <f>IF(tabItens[[#This Row],[Média]] &gt; 0, tabItens[[#This Row],[QTDE ATUAL]] / tabItens[[#This Row],[Média]],999.9)</f>
        <v>72</v>
      </c>
      <c r="M468" s="383">
        <v>0</v>
      </c>
      <c r="N468" s="384">
        <f>tabItens[[#This Row],[VALOR UNIT.]] * tabItens[[#This Row],[LC]]</f>
        <v>0</v>
      </c>
      <c r="O468" s="385" t="s">
        <v>2167</v>
      </c>
      <c r="P468" s="386"/>
      <c r="Q468" s="387"/>
      <c r="R468" s="312"/>
      <c r="S468" s="388"/>
      <c r="T468" s="389">
        <f>ROUNDDOWN(IFERROR(tabItens[[#This Row],[ATA DT.VALID.]] - $D$1,0) / 30,0)</f>
        <v>-1474</v>
      </c>
      <c r="U468" s="302" t="s">
        <v>1502</v>
      </c>
      <c r="V468" s="318">
        <v>1</v>
      </c>
      <c r="W468" s="390" t="s">
        <v>2077</v>
      </c>
      <c r="X468" s="391">
        <v>55</v>
      </c>
      <c r="Y468" s="392">
        <v>26</v>
      </c>
      <c r="Z468" s="393"/>
      <c r="AA468" s="394"/>
      <c r="AB468" s="395"/>
      <c r="AC468" s="395"/>
      <c r="AD468" s="394"/>
      <c r="AE468" s="395"/>
      <c r="AF468" s="317"/>
      <c r="AG468" s="396" t="s">
        <v>2072</v>
      </c>
      <c r="AH468" s="397"/>
      <c r="AI468" s="317">
        <v>4</v>
      </c>
      <c r="AJ468" s="397">
        <v>43818</v>
      </c>
      <c r="AK468" s="326">
        <v>38656</v>
      </c>
      <c r="AL468" s="326">
        <v>44923</v>
      </c>
      <c r="AM468" s="316"/>
      <c r="AN468" s="305"/>
      <c r="AO468" s="327" t="str">
        <f>_xlfn.IFNA(IF(VLOOKUP(tabItens[[#This Row],[CÓDIGO]],tabExcluirDoEstoque[#Data],1,FALSE),"sim",""),"")</f>
        <v/>
      </c>
      <c r="AP468" s="398" t="str">
        <f ca="1">IF(OR(ISBLANK(tabItens[[#This Row],[ATA DT.VALID.]]),tabItens[[#This Row],[ATA DT.VALID.]]="",tabItens[[#This Row],[ATA DT.VALID.]]=" "),"",IF(TYPE(tabItens[[#This Row],[ATA DT.VALID.]])=1,ROUNDUP((tabItens[[#This Row],[ATA DT.VALID.]]-TODAY())/7,0),""))</f>
        <v/>
      </c>
      <c r="AQ468" s="399">
        <v>0</v>
      </c>
      <c r="AR468" s="400" t="str">
        <f>IF(ISBLANK(tabItens[[#This Row],[CÓDIGO]]),"",IFERROR(VLOOKUP(tabItens[[#This Row],[CÓDIGO]],Consumo!$C$2:$AC$862,26,FALSE),0))</f>
        <v>04.2023</v>
      </c>
      <c r="AS468" s="401">
        <f>SUMIF(Consumo!$C$3:$C$862,tabItens[[#This Row],[CÓDIGO]],Consumo!$N$3:$N$862) + SUMIF(Consumo!$C$3:$C$862,tabItens[[#This Row],[CÓDIGO]],Consumo!$O$3:$O$862) + SUMIF(Consumo!$C$3:$C$862,tabItens[[#This Row],[CÓDIGO]],Consumo!$P$3:$P$862) + SUMIF(Consumo!$C$3:$C$862,tabItens[[#This Row],[CÓDIGO]],Consumo!$Q$3:$Q$862)</f>
        <v>0</v>
      </c>
      <c r="AT468" s="401">
        <f>SUMIF(Consumo!$C$3:$C$862,tabItens[[#This Row],[CÓDIGO]],Consumo!$Z$3:$Z$862)</f>
        <v>9</v>
      </c>
      <c r="AU468" s="402">
        <f>SUMIF(Consumo!$C$3:$C$862,tabItens[[#This Row],[CÓDIGO]],Consumo!$AA$3:$AA$862)</f>
        <v>5</v>
      </c>
      <c r="AV468" s="403">
        <f>SUMIF(Consumo!$C$3:$C$862,tabItens[[#This Row],[CÓDIGO]],Consumo!$Y$3:$Y$862)</f>
        <v>0.58333333333333337</v>
      </c>
      <c r="AW468" s="380">
        <f>tabItens[[#This Row],[QTDE ATUAL]] + tabItens[[#This Row],[RC QTDE]] + tabItens[[#This Row],[AF SALDO]] + tabItens[[#This Row],[Recentes]]</f>
        <v>42</v>
      </c>
      <c r="AX468" s="404">
        <v>3</v>
      </c>
      <c r="AY468" s="404">
        <v>4</v>
      </c>
      <c r="AZ468" s="404">
        <f>IF(ISBLANK(tabItens[[#This Row],[CÓDIGO]]),"",tabItens[[#This Row],[PontoMês]] * (AZ$2+tabItens[[#This Row],[PontoQtM]]))</f>
        <v>12</v>
      </c>
      <c r="BA468" s="403">
        <f>tabItens[[#This Row],[PontoPed]] - tabItens[[#This Row],[Saldo]] + (1/10)</f>
        <v>-29.9</v>
      </c>
      <c r="BB468" s="403">
        <f xml:space="preserve"> tabItens[[#This Row],[PontoMês]] * BB$2 - tabItens[[#This Row],[QTDE ATUAL]] - (1/10)</f>
        <v>-39.1</v>
      </c>
      <c r="BC468" s="335">
        <f>IF( tabItens[[#This Row],[PontoPed]]&gt;0, IF(tabItens[[#This Row],[PontoPed]]&lt;1, 1, IF( tabItens[[#This Row],[Saldo]]&gt;tabItens[[#This Row],[PontoPed]], 0, (tabItens[[#This Row],[PontoPed]]-tabItens[[#This Row],[Saldo]])/tabItens[[#This Row],[PontoPed]] ) ), 0 )</f>
        <v>0</v>
      </c>
      <c r="BD468" s="405">
        <f>ROUNDDOWN(IF( OR( AND(tabItens[[#This Row],[PontoPed]]&lt;tabItens[[#This Row],[Saldo]],tabItens[[#This Row],[Saldo]]&gt;0), tabItens[[#This Row],[PontoPed]]=0), 99, IF(AND(tabItens[[#This Row],[Saldo]]=0,tabItens[[#This Row],[PontoPed]]&gt;0), 0, (1-tabItens[[#This Row],[PctAb]])*10 ) ),0)</f>
        <v>99</v>
      </c>
      <c r="BE468" s="406">
        <f>MAX(ROUNDDOWN( IF(tabItens[[#This Row],[Abaixo]] &gt; 0,   tabItens[[#This Row],[Abaixo]] + (tabItens[[#This Row],[PontoMês]] * IF( OR( ISBLANK(tabItens[[#This Row],[ATA Nº/ANO]]), tabItens[[#This Row],[ATA Nº/ANO]] = ""),BE$2,BE$1)),0),0),0)</f>
        <v>0</v>
      </c>
      <c r="BF46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8" s="338">
        <f>SUMIF(Consumo!$C$3:$C$862,tabItens[[#This Row],[CÓDIGO]],Consumo!$E$3:$E$862)</f>
        <v>0</v>
      </c>
      <c r="BH468" s="339">
        <f>IF(AND(tabItens[[#This Row],[Pend]] &gt; 0,tabItens[[#This Row],[Consumo]] &lt;&gt; 0), tabItens[[#This Row],[Pend]] / tabItens[[#This Row],[Consumo]], 0 )</f>
        <v>0</v>
      </c>
      <c r="BI468" s="338"/>
      <c r="BJ468" s="407"/>
      <c r="BK468" s="408" t="s">
        <v>2086</v>
      </c>
    </row>
    <row r="469" spans="1:63" x14ac:dyDescent="0.3">
      <c r="A469" s="375">
        <v>102820</v>
      </c>
      <c r="B469" s="376" t="s">
        <v>1595</v>
      </c>
      <c r="C469" s="377" t="s">
        <v>263</v>
      </c>
      <c r="D469" s="378">
        <v>233.33</v>
      </c>
      <c r="E469" s="305"/>
      <c r="F469" s="379"/>
      <c r="G469" s="379" t="s">
        <v>889</v>
      </c>
      <c r="H469" s="380">
        <v>0</v>
      </c>
      <c r="I469" s="307">
        <v>103003</v>
      </c>
      <c r="J469" s="308">
        <v>233.33</v>
      </c>
      <c r="K469" s="381">
        <v>5</v>
      </c>
      <c r="L469" s="382">
        <f>IF(tabItens[[#This Row],[Média]] &gt; 0, tabItens[[#This Row],[QTDE ATUAL]] / tabItens[[#This Row],[Média]],999.9)</f>
        <v>0</v>
      </c>
      <c r="M469" s="383">
        <v>0</v>
      </c>
      <c r="N469" s="384">
        <f>tabItens[[#This Row],[VALOR UNIT.]] * tabItens[[#This Row],[LC]]</f>
        <v>0</v>
      </c>
      <c r="O469" s="385" t="s">
        <v>2167</v>
      </c>
      <c r="P469" s="386"/>
      <c r="Q469" s="387"/>
      <c r="R469" s="312"/>
      <c r="S469" s="388"/>
      <c r="T469" s="389">
        <f>ROUNDDOWN(IFERROR(tabItens[[#This Row],[ATA DT.VALID.]] - $D$1,0) / 30,0)</f>
        <v>-1474</v>
      </c>
      <c r="U469" s="302" t="s">
        <v>1502</v>
      </c>
      <c r="V469" s="318">
        <v>1</v>
      </c>
      <c r="W469" s="390" t="s">
        <v>2077</v>
      </c>
      <c r="X469" s="391">
        <v>55</v>
      </c>
      <c r="Y469" s="392">
        <v>26</v>
      </c>
      <c r="Z469" s="393">
        <v>2234</v>
      </c>
      <c r="AA469" s="394">
        <v>2023</v>
      </c>
      <c r="AB469" s="395">
        <v>20</v>
      </c>
      <c r="AC469" s="395"/>
      <c r="AD469" s="394"/>
      <c r="AE469" s="395"/>
      <c r="AF469" s="317"/>
      <c r="AG469" s="396" t="s">
        <v>2072</v>
      </c>
      <c r="AH469" s="397"/>
      <c r="AI469" s="317">
        <v>2</v>
      </c>
      <c r="AJ469" s="397">
        <v>44874</v>
      </c>
      <c r="AK469" s="326">
        <v>39374</v>
      </c>
      <c r="AL469" s="326">
        <v>44845</v>
      </c>
      <c r="AM469" s="316"/>
      <c r="AN469" s="305"/>
      <c r="AO469" s="327" t="str">
        <f>_xlfn.IFNA(IF(VLOOKUP(tabItens[[#This Row],[CÓDIGO]],tabExcluirDoEstoque[#Data],1,FALSE),"sim",""),"")</f>
        <v/>
      </c>
      <c r="AP469" s="398" t="str">
        <f ca="1">IF(OR(ISBLANK(tabItens[[#This Row],[ATA DT.VALID.]]),tabItens[[#This Row],[ATA DT.VALID.]]="",tabItens[[#This Row],[ATA DT.VALID.]]=" "),"",IF(TYPE(tabItens[[#This Row],[ATA DT.VALID.]])=1,ROUNDUP((tabItens[[#This Row],[ATA DT.VALID.]]-TODAY())/7,0),""))</f>
        <v/>
      </c>
      <c r="AQ469" s="399">
        <v>0</v>
      </c>
      <c r="AR469" s="400" t="str">
        <f>IF(ISBLANK(tabItens[[#This Row],[CÓDIGO]]),"",IFERROR(VLOOKUP(tabItens[[#This Row],[CÓDIGO]],Consumo!$C$2:$AC$862,26,FALSE),0))</f>
        <v>01.2023</v>
      </c>
      <c r="AS469" s="401">
        <f>SUMIF(Consumo!$C$3:$C$862,tabItens[[#This Row],[CÓDIGO]],Consumo!$N$3:$N$862) + SUMIF(Consumo!$C$3:$C$862,tabItens[[#This Row],[CÓDIGO]],Consumo!$O$3:$O$862) + SUMIF(Consumo!$C$3:$C$862,tabItens[[#This Row],[CÓDIGO]],Consumo!$P$3:$P$862) + SUMIF(Consumo!$C$3:$C$862,tabItens[[#This Row],[CÓDIGO]],Consumo!$Q$3:$Q$862)</f>
        <v>0</v>
      </c>
      <c r="AT469" s="401">
        <f>SUMIF(Consumo!$C$3:$C$862,tabItens[[#This Row],[CÓDIGO]],Consumo!$Z$3:$Z$862)</f>
        <v>5</v>
      </c>
      <c r="AU469" s="402">
        <f>SUMIF(Consumo!$C$3:$C$862,tabItens[[#This Row],[CÓDIGO]],Consumo!$AA$3:$AA$862)</f>
        <v>3</v>
      </c>
      <c r="AV469" s="403">
        <f>SUMIF(Consumo!$C$3:$C$862,tabItens[[#This Row],[CÓDIGO]],Consumo!$Y$3:$Y$862)</f>
        <v>0.33333333333333331</v>
      </c>
      <c r="AW469" s="380">
        <f>tabItens[[#This Row],[QTDE ATUAL]] + tabItens[[#This Row],[RC QTDE]] + tabItens[[#This Row],[AF SALDO]] + tabItens[[#This Row],[Recentes]]</f>
        <v>20</v>
      </c>
      <c r="AX469" s="404">
        <v>3</v>
      </c>
      <c r="AY469" s="404">
        <v>4</v>
      </c>
      <c r="AZ469" s="404">
        <f>IF(ISBLANK(tabItens[[#This Row],[CÓDIGO]]),"",tabItens[[#This Row],[PontoMês]] * (AZ$2+tabItens[[#This Row],[PontoQtM]]))</f>
        <v>12</v>
      </c>
      <c r="BA469" s="403">
        <f>tabItens[[#This Row],[PontoPed]] - tabItens[[#This Row],[Saldo]] + (1/10)</f>
        <v>-7.9</v>
      </c>
      <c r="BB469" s="403">
        <f xml:space="preserve"> tabItens[[#This Row],[PontoMês]] * BB$2 - tabItens[[#This Row],[QTDE ATUAL]] - (1/10)</f>
        <v>2.9</v>
      </c>
      <c r="BC469" s="335">
        <f>IF( tabItens[[#This Row],[PontoPed]]&gt;0, IF(tabItens[[#This Row],[PontoPed]]&lt;1, 1, IF( tabItens[[#This Row],[Saldo]]&gt;tabItens[[#This Row],[PontoPed]], 0, (tabItens[[#This Row],[PontoPed]]-tabItens[[#This Row],[Saldo]])/tabItens[[#This Row],[PontoPed]] ) ), 0 )</f>
        <v>0</v>
      </c>
      <c r="BD469" s="405">
        <f>ROUNDDOWN(IF( OR( AND(tabItens[[#This Row],[PontoPed]]&lt;tabItens[[#This Row],[Saldo]],tabItens[[#This Row],[Saldo]]&gt;0), tabItens[[#This Row],[PontoPed]]=0), 99, IF(AND(tabItens[[#This Row],[Saldo]]=0,tabItens[[#This Row],[PontoPed]]&gt;0), 0, (1-tabItens[[#This Row],[PctAb]])*10 ) ),0)</f>
        <v>99</v>
      </c>
      <c r="BE469" s="406">
        <f>MAX(ROUNDDOWN( IF(tabItens[[#This Row],[Abaixo]] &gt; 0,   tabItens[[#This Row],[Abaixo]] + (tabItens[[#This Row],[PontoMês]] * IF( OR( ISBLANK(tabItens[[#This Row],[ATA Nº/ANO]]), tabItens[[#This Row],[ATA Nº/ANO]] = ""),BE$2,BE$1)),0),0),0)</f>
        <v>0</v>
      </c>
      <c r="BF46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9" s="338">
        <f>SUMIF(Consumo!$C$3:$C$862,tabItens[[#This Row],[CÓDIGO]],Consumo!$E$3:$E$862)</f>
        <v>0</v>
      </c>
      <c r="BH469" s="339">
        <f>IF(AND(tabItens[[#This Row],[Pend]] &gt; 0,tabItens[[#This Row],[Consumo]] &lt;&gt; 0), tabItens[[#This Row],[Pend]] / tabItens[[#This Row],[Consumo]], 0 )</f>
        <v>0</v>
      </c>
      <c r="BI469" s="338"/>
      <c r="BJ469" s="407"/>
      <c r="BK469" s="408" t="s">
        <v>2086</v>
      </c>
    </row>
    <row r="470" spans="1:63" x14ac:dyDescent="0.3">
      <c r="A470" s="375">
        <v>129961</v>
      </c>
      <c r="B470" s="376" t="s">
        <v>1800</v>
      </c>
      <c r="C470" s="377" t="s">
        <v>263</v>
      </c>
      <c r="D470" s="378">
        <v>574.29999999999995</v>
      </c>
      <c r="E470" s="305"/>
      <c r="F470" s="379"/>
      <c r="G470" s="379" t="s">
        <v>889</v>
      </c>
      <c r="H470" s="380">
        <v>4</v>
      </c>
      <c r="I470" s="307">
        <v>103003</v>
      </c>
      <c r="J470" s="308">
        <v>574.29999999999995</v>
      </c>
      <c r="K470" s="381">
        <v>1</v>
      </c>
      <c r="L470" s="382">
        <f>IF(tabItens[[#This Row],[Média]] &gt; 0, tabItens[[#This Row],[QTDE ATUAL]] / tabItens[[#This Row],[Média]],999.9)</f>
        <v>999.9</v>
      </c>
      <c r="M470" s="383">
        <v>0</v>
      </c>
      <c r="N470" s="384">
        <f>tabItens[[#This Row],[VALOR UNIT.]] * tabItens[[#This Row],[LC]]</f>
        <v>0</v>
      </c>
      <c r="O470" s="385" t="s">
        <v>2167</v>
      </c>
      <c r="P470" s="386"/>
      <c r="Q470" s="387"/>
      <c r="R470" s="312"/>
      <c r="S470" s="388"/>
      <c r="T470" s="389">
        <f>ROUNDDOWN(IFERROR(tabItens[[#This Row],[ATA DT.VALID.]] - $D$1,0) / 30,0)</f>
        <v>-1474</v>
      </c>
      <c r="U470" s="302" t="s">
        <v>1502</v>
      </c>
      <c r="V470" s="318">
        <v>1</v>
      </c>
      <c r="W470" s="390" t="s">
        <v>2077</v>
      </c>
      <c r="X470" s="391">
        <v>55</v>
      </c>
      <c r="Y470" s="392">
        <v>26</v>
      </c>
      <c r="Z470" s="393"/>
      <c r="AA470" s="394"/>
      <c r="AB470" s="395"/>
      <c r="AC470" s="395"/>
      <c r="AD470" s="394"/>
      <c r="AE470" s="395"/>
      <c r="AF470" s="317"/>
      <c r="AG470" s="396" t="s">
        <v>2072</v>
      </c>
      <c r="AH470" s="397"/>
      <c r="AI470" s="317">
        <v>0</v>
      </c>
      <c r="AJ470" s="397">
        <v>43790</v>
      </c>
      <c r="AK470" s="326">
        <v>42046</v>
      </c>
      <c r="AL470" s="326">
        <v>43783</v>
      </c>
      <c r="AM470" s="316"/>
      <c r="AN470" s="305"/>
      <c r="AO470" s="327" t="str">
        <f>_xlfn.IFNA(IF(VLOOKUP(tabItens[[#This Row],[CÓDIGO]],tabExcluirDoEstoque[#Data],1,FALSE),"sim",""),"")</f>
        <v/>
      </c>
      <c r="AP470" s="398" t="str">
        <f ca="1">IF(OR(ISBLANK(tabItens[[#This Row],[ATA DT.VALID.]]),tabItens[[#This Row],[ATA DT.VALID.]]="",tabItens[[#This Row],[ATA DT.VALID.]]=" "),"",IF(TYPE(tabItens[[#This Row],[ATA DT.VALID.]])=1,ROUNDUP((tabItens[[#This Row],[ATA DT.VALID.]]-TODAY())/7,0),""))</f>
        <v/>
      </c>
      <c r="AQ470" s="399">
        <v>0</v>
      </c>
      <c r="AR470" s="400" t="str">
        <f>IF(ISBLANK(tabItens[[#This Row],[CÓDIGO]]),"",IFERROR(VLOOKUP(tabItens[[#This Row],[CÓDIGO]],Consumo!$C$2:$AC$862,26,FALSE),0))</f>
        <v>08.2023</v>
      </c>
      <c r="AS470" s="401">
        <f>SUMIF(Consumo!$C$3:$C$862,tabItens[[#This Row],[CÓDIGO]],Consumo!$N$3:$N$862) + SUMIF(Consumo!$C$3:$C$862,tabItens[[#This Row],[CÓDIGO]],Consumo!$O$3:$O$862) + SUMIF(Consumo!$C$3:$C$862,tabItens[[#This Row],[CÓDIGO]],Consumo!$P$3:$P$862) + SUMIF(Consumo!$C$3:$C$862,tabItens[[#This Row],[CÓDIGO]],Consumo!$Q$3:$Q$862)</f>
        <v>1</v>
      </c>
      <c r="AT470" s="401">
        <f>SUMIF(Consumo!$C$3:$C$862,tabItens[[#This Row],[CÓDIGO]],Consumo!$Z$3:$Z$862)</f>
        <v>1</v>
      </c>
      <c r="AU470" s="402">
        <f>SUMIF(Consumo!$C$3:$C$862,tabItens[[#This Row],[CÓDIGO]],Consumo!$AA$3:$AA$862)</f>
        <v>1</v>
      </c>
      <c r="AV470" s="403">
        <f>SUMIF(Consumo!$C$3:$C$862,tabItens[[#This Row],[CÓDIGO]],Consumo!$Y$3:$Y$862)</f>
        <v>0</v>
      </c>
      <c r="AW470" s="380">
        <f>tabItens[[#This Row],[QTDE ATUAL]] + tabItens[[#This Row],[RC QTDE]] + tabItens[[#This Row],[AF SALDO]] + tabItens[[#This Row],[Recentes]]</f>
        <v>4</v>
      </c>
      <c r="AX470" s="404">
        <v>1.9</v>
      </c>
      <c r="AY470" s="404">
        <v>4</v>
      </c>
      <c r="AZ470" s="404">
        <f>IF(ISBLANK(tabItens[[#This Row],[CÓDIGO]]),"",tabItens[[#This Row],[PontoMês]] * (AZ$2+tabItens[[#This Row],[PontoQtM]]))</f>
        <v>7.6</v>
      </c>
      <c r="BA470" s="403">
        <f>tabItens[[#This Row],[PontoPed]] - tabItens[[#This Row],[Saldo]] + (1/10)</f>
        <v>3.6999999999999997</v>
      </c>
      <c r="BB470" s="403">
        <f xml:space="preserve"> tabItens[[#This Row],[PontoMês]] * BB$2 - tabItens[[#This Row],[QTDE ATUAL]] - (1/10)</f>
        <v>-2.2000000000000002</v>
      </c>
      <c r="BC470" s="335">
        <f>IF( tabItens[[#This Row],[PontoPed]]&gt;0, IF(tabItens[[#This Row],[PontoPed]]&lt;1, 1, IF( tabItens[[#This Row],[Saldo]]&gt;tabItens[[#This Row],[PontoPed]], 0, (tabItens[[#This Row],[PontoPed]]-tabItens[[#This Row],[Saldo]])/tabItens[[#This Row],[PontoPed]] ) ), 0 )</f>
        <v>0.47368421052631576</v>
      </c>
      <c r="BD470" s="405">
        <f>ROUNDDOWN(IF( OR( AND(tabItens[[#This Row],[PontoPed]]&lt;tabItens[[#This Row],[Saldo]],tabItens[[#This Row],[Saldo]]&gt;0), tabItens[[#This Row],[PontoPed]]=0), 99, IF(AND(tabItens[[#This Row],[Saldo]]=0,tabItens[[#This Row],[PontoPed]]&gt;0), 0, (1-tabItens[[#This Row],[PctAb]])*10 ) ),0)</f>
        <v>5</v>
      </c>
      <c r="BE470" s="406">
        <f>MAX(ROUNDDOWN( IF(tabItens[[#This Row],[Abaixo]] &gt; 0,   tabItens[[#This Row],[Abaixo]] + (tabItens[[#This Row],[PontoMês]] * IF( OR( ISBLANK(tabItens[[#This Row],[ATA Nº/ANO]]), tabItens[[#This Row],[ATA Nº/ANO]] = ""),BE$2,BE$1)),0),0),0)</f>
        <v>9</v>
      </c>
      <c r="BF47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0" s="338">
        <f>SUMIF(Consumo!$C$3:$C$862,tabItens[[#This Row],[CÓDIGO]],Consumo!$E$3:$E$862)</f>
        <v>0</v>
      </c>
      <c r="BH470" s="339">
        <f>IF(AND(tabItens[[#This Row],[Pend]] &gt; 0,tabItens[[#This Row],[Consumo]] &lt;&gt; 0), tabItens[[#This Row],[Pend]] / tabItens[[#This Row],[Consumo]], 0 )</f>
        <v>0</v>
      </c>
      <c r="BI470" s="338"/>
      <c r="BJ470" s="407"/>
      <c r="BK470" s="408" t="s">
        <v>2086</v>
      </c>
    </row>
    <row r="471" spans="1:63" x14ac:dyDescent="0.3">
      <c r="A471" s="375">
        <v>136898</v>
      </c>
      <c r="B471" s="376" t="s">
        <v>1953</v>
      </c>
      <c r="C471" s="377" t="s">
        <v>31</v>
      </c>
      <c r="D471" s="378">
        <v>19.920000000000002</v>
      </c>
      <c r="E471" s="305"/>
      <c r="F471" s="379"/>
      <c r="G471" s="379" t="s">
        <v>889</v>
      </c>
      <c r="H471" s="380">
        <v>0</v>
      </c>
      <c r="I471" s="307">
        <v>103003</v>
      </c>
      <c r="J471" s="308">
        <v>19.920000000000002</v>
      </c>
      <c r="K471" s="381">
        <v>122</v>
      </c>
      <c r="L471" s="382">
        <f>IF(tabItens[[#This Row],[Média]] &gt; 0, tabItens[[#This Row],[QTDE ATUAL]] / tabItens[[#This Row],[Média]],999.9)</f>
        <v>0</v>
      </c>
      <c r="M471" s="383">
        <v>0</v>
      </c>
      <c r="N471" s="384">
        <f>tabItens[[#This Row],[VALOR UNIT.]] * tabItens[[#This Row],[LC]]</f>
        <v>0</v>
      </c>
      <c r="O471" s="385" t="s">
        <v>2167</v>
      </c>
      <c r="P471" s="386"/>
      <c r="Q471" s="387"/>
      <c r="R471" s="312"/>
      <c r="S471" s="388"/>
      <c r="T471" s="389">
        <f>ROUNDDOWN(IFERROR(tabItens[[#This Row],[ATA DT.VALID.]] - $D$1,0) / 30,0)</f>
        <v>-1474</v>
      </c>
      <c r="U471" s="302" t="s">
        <v>1086</v>
      </c>
      <c r="V471" s="318">
        <v>1</v>
      </c>
      <c r="W471" s="390" t="s">
        <v>2077</v>
      </c>
      <c r="X471" s="391">
        <v>55</v>
      </c>
      <c r="Y471" s="392">
        <v>49</v>
      </c>
      <c r="Z471" s="393">
        <v>2234</v>
      </c>
      <c r="AA471" s="394">
        <v>2023</v>
      </c>
      <c r="AB471" s="395">
        <v>300</v>
      </c>
      <c r="AC471" s="395"/>
      <c r="AD471" s="394"/>
      <c r="AE471" s="395"/>
      <c r="AF471" s="317"/>
      <c r="AG471" s="396" t="s">
        <v>2072</v>
      </c>
      <c r="AH471" s="397"/>
      <c r="AI471" s="317">
        <v>40</v>
      </c>
      <c r="AJ471" s="397">
        <v>44957</v>
      </c>
      <c r="AK471" s="326">
        <v>43584</v>
      </c>
      <c r="AL471" s="326">
        <v>44917</v>
      </c>
      <c r="AM471" s="316"/>
      <c r="AN471" s="305"/>
      <c r="AO471" s="327" t="str">
        <f>_xlfn.IFNA(IF(VLOOKUP(tabItens[[#This Row],[CÓDIGO]],tabExcluirDoEstoque[#Data],1,FALSE),"sim",""),"")</f>
        <v/>
      </c>
      <c r="AP471" s="398" t="str">
        <f ca="1">IF(OR(ISBLANK(tabItens[[#This Row],[ATA DT.VALID.]]),tabItens[[#This Row],[ATA DT.VALID.]]="",tabItens[[#This Row],[ATA DT.VALID.]]=" "),"",IF(TYPE(tabItens[[#This Row],[ATA DT.VALID.]])=1,ROUNDUP((tabItens[[#This Row],[ATA DT.VALID.]]-TODAY())/7,0),""))</f>
        <v/>
      </c>
      <c r="AQ471" s="399">
        <v>0</v>
      </c>
      <c r="AR471" s="400" t="str">
        <f>IF(ISBLANK(tabItens[[#This Row],[CÓDIGO]]),"",IFERROR(VLOOKUP(tabItens[[#This Row],[CÓDIGO]],Consumo!$C$2:$AC$862,26,FALSE),0))</f>
        <v>02.2023</v>
      </c>
      <c r="AS471" s="401">
        <f>SUMIF(Consumo!$C$3:$C$862,tabItens[[#This Row],[CÓDIGO]],Consumo!$N$3:$N$862) + SUMIF(Consumo!$C$3:$C$862,tabItens[[#This Row],[CÓDIGO]],Consumo!$O$3:$O$862) + SUMIF(Consumo!$C$3:$C$862,tabItens[[#This Row],[CÓDIGO]],Consumo!$P$3:$P$862) + SUMIF(Consumo!$C$3:$C$862,tabItens[[#This Row],[CÓDIGO]],Consumo!$Q$3:$Q$862)</f>
        <v>0</v>
      </c>
      <c r="AT471" s="401">
        <f>SUMIF(Consumo!$C$3:$C$862,tabItens[[#This Row],[CÓDIGO]],Consumo!$Z$3:$Z$862)</f>
        <v>144</v>
      </c>
      <c r="AU471" s="402">
        <f>SUMIF(Consumo!$C$3:$C$862,tabItens[[#This Row],[CÓDIGO]],Consumo!$AA$3:$AA$862)</f>
        <v>50</v>
      </c>
      <c r="AV471" s="403">
        <f>SUMIF(Consumo!$C$3:$C$862,tabItens[[#This Row],[CÓDIGO]],Consumo!$Y$3:$Y$862)</f>
        <v>11.833333333333334</v>
      </c>
      <c r="AW471" s="380">
        <f>tabItens[[#This Row],[QTDE ATUAL]] + tabItens[[#This Row],[RC QTDE]] + tabItens[[#This Row],[AF SALDO]] + tabItens[[#This Row],[Recentes]]</f>
        <v>300</v>
      </c>
      <c r="AX471" s="404">
        <v>5</v>
      </c>
      <c r="AY471" s="404">
        <v>4</v>
      </c>
      <c r="AZ471" s="404">
        <f>IF(ISBLANK(tabItens[[#This Row],[CÓDIGO]]),"",tabItens[[#This Row],[PontoMês]] * (AZ$2+tabItens[[#This Row],[PontoQtM]]))</f>
        <v>20</v>
      </c>
      <c r="BA471" s="403">
        <f>tabItens[[#This Row],[PontoPed]] - tabItens[[#This Row],[Saldo]] + (1/10)</f>
        <v>-279.89999999999998</v>
      </c>
      <c r="BB471" s="403">
        <f xml:space="preserve"> tabItens[[#This Row],[PontoMês]] * BB$2 - tabItens[[#This Row],[QTDE ATUAL]] - (1/10)</f>
        <v>4.9000000000000004</v>
      </c>
      <c r="BC471" s="335">
        <f>IF( tabItens[[#This Row],[PontoPed]]&gt;0, IF(tabItens[[#This Row],[PontoPed]]&lt;1, 1, IF( tabItens[[#This Row],[Saldo]]&gt;tabItens[[#This Row],[PontoPed]], 0, (tabItens[[#This Row],[PontoPed]]-tabItens[[#This Row],[Saldo]])/tabItens[[#This Row],[PontoPed]] ) ), 0 )</f>
        <v>0</v>
      </c>
      <c r="BD471" s="405">
        <f>ROUNDDOWN(IF( OR( AND(tabItens[[#This Row],[PontoPed]]&lt;tabItens[[#This Row],[Saldo]],tabItens[[#This Row],[Saldo]]&gt;0), tabItens[[#This Row],[PontoPed]]=0), 99, IF(AND(tabItens[[#This Row],[Saldo]]=0,tabItens[[#This Row],[PontoPed]]&gt;0), 0, (1-tabItens[[#This Row],[PctAb]])*10 ) ),0)</f>
        <v>99</v>
      </c>
      <c r="BE471" s="406">
        <f>MAX(ROUNDDOWN( IF(tabItens[[#This Row],[Abaixo]] &gt; 0,   tabItens[[#This Row],[Abaixo]] + (tabItens[[#This Row],[PontoMês]] * IF( OR( ISBLANK(tabItens[[#This Row],[ATA Nº/ANO]]), tabItens[[#This Row],[ATA Nº/ANO]] = ""),BE$2,BE$1)),0),0),0)</f>
        <v>0</v>
      </c>
      <c r="BF47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1" s="338">
        <f>SUMIF(Consumo!$C$3:$C$862,tabItens[[#This Row],[CÓDIGO]],Consumo!$E$3:$E$862)</f>
        <v>22</v>
      </c>
      <c r="BH471" s="339">
        <f>IF(AND(tabItens[[#This Row],[Pend]] &gt; 0,tabItens[[#This Row],[Consumo]] &lt;&gt; 0), tabItens[[#This Row],[Pend]] / tabItens[[#This Row],[Consumo]], 0 )</f>
        <v>0.15277777777777779</v>
      </c>
      <c r="BI471" s="338"/>
      <c r="BJ471" s="407"/>
      <c r="BK471" s="408" t="s">
        <v>2086</v>
      </c>
    </row>
    <row r="472" spans="1:63" x14ac:dyDescent="0.3">
      <c r="A472" s="375">
        <v>136896</v>
      </c>
      <c r="B472" s="376" t="s">
        <v>1952</v>
      </c>
      <c r="C472" s="377" t="s">
        <v>31</v>
      </c>
      <c r="D472" s="378">
        <v>12.6</v>
      </c>
      <c r="E472" s="305"/>
      <c r="F472" s="379"/>
      <c r="G472" s="379" t="s">
        <v>889</v>
      </c>
      <c r="H472" s="380">
        <v>27</v>
      </c>
      <c r="I472" s="307">
        <v>103003</v>
      </c>
      <c r="J472" s="308">
        <v>12.6</v>
      </c>
      <c r="K472" s="381">
        <v>849</v>
      </c>
      <c r="L472" s="382">
        <f>IF(tabItens[[#This Row],[Média]] &gt; 0, tabItens[[#This Row],[QTDE ATUAL]] / tabItens[[#This Row],[Média]],999.9)</f>
        <v>0.29697525206232811</v>
      </c>
      <c r="M472" s="383">
        <v>0</v>
      </c>
      <c r="N472" s="384">
        <f>tabItens[[#This Row],[VALOR UNIT.]] * tabItens[[#This Row],[LC]]</f>
        <v>0</v>
      </c>
      <c r="O472" s="385" t="s">
        <v>2167</v>
      </c>
      <c r="P472" s="386"/>
      <c r="Q472" s="387"/>
      <c r="R472" s="312"/>
      <c r="S472" s="388"/>
      <c r="T472" s="389">
        <f>ROUNDDOWN(IFERROR(tabItens[[#This Row],[ATA DT.VALID.]] - $D$1,0) / 30,0)</f>
        <v>-1474</v>
      </c>
      <c r="U472" s="302" t="s">
        <v>1881</v>
      </c>
      <c r="V472" s="318">
        <v>1</v>
      </c>
      <c r="W472" s="390" t="s">
        <v>2077</v>
      </c>
      <c r="X472" s="391">
        <v>55</v>
      </c>
      <c r="Y472" s="392">
        <v>66</v>
      </c>
      <c r="Z472" s="393">
        <v>2679</v>
      </c>
      <c r="AA472" s="394">
        <v>2023</v>
      </c>
      <c r="AB472" s="395">
        <v>500</v>
      </c>
      <c r="AC472" s="395"/>
      <c r="AD472" s="394"/>
      <c r="AE472" s="395"/>
      <c r="AF472" s="317"/>
      <c r="AG472" s="396" t="s">
        <v>2072</v>
      </c>
      <c r="AH472" s="397"/>
      <c r="AI472" s="317">
        <v>364</v>
      </c>
      <c r="AJ472" s="397">
        <v>44635</v>
      </c>
      <c r="AK472" s="326">
        <v>43584</v>
      </c>
      <c r="AL472" s="326">
        <v>44616</v>
      </c>
      <c r="AM472" s="316"/>
      <c r="AN472" s="305"/>
      <c r="AO472" s="327" t="str">
        <f>_xlfn.IFNA(IF(VLOOKUP(tabItens[[#This Row],[CÓDIGO]],tabExcluirDoEstoque[#Data],1,FALSE),"sim",""),"")</f>
        <v/>
      </c>
      <c r="AP472" s="398" t="str">
        <f ca="1">IF(OR(ISBLANK(tabItens[[#This Row],[ATA DT.VALID.]]),tabItens[[#This Row],[ATA DT.VALID.]]="",tabItens[[#This Row],[ATA DT.VALID.]]=" "),"",IF(TYPE(tabItens[[#This Row],[ATA DT.VALID.]])=1,ROUNDUP((tabItens[[#This Row],[ATA DT.VALID.]]-TODAY())/7,0),""))</f>
        <v/>
      </c>
      <c r="AQ472" s="399">
        <v>0</v>
      </c>
      <c r="AR472" s="400" t="str">
        <f>IF(ISBLANK(tabItens[[#This Row],[CÓDIGO]]),"",IFERROR(VLOOKUP(tabItens[[#This Row],[CÓDIGO]],Consumo!$C$2:$AC$862,26,FALSE),0))</f>
        <v>09.2023</v>
      </c>
      <c r="AS472" s="401">
        <f>SUMIF(Consumo!$C$3:$C$862,tabItens[[#This Row],[CÓDIGO]],Consumo!$N$3:$N$862) + SUMIF(Consumo!$C$3:$C$862,tabItens[[#This Row],[CÓDIGO]],Consumo!$O$3:$O$862) + SUMIF(Consumo!$C$3:$C$862,tabItens[[#This Row],[CÓDIGO]],Consumo!$P$3:$P$862) + SUMIF(Consumo!$C$3:$C$862,tabItens[[#This Row],[CÓDIGO]],Consumo!$Q$3:$Q$862)</f>
        <v>510</v>
      </c>
      <c r="AT472" s="401">
        <f>SUMIF(Consumo!$C$3:$C$862,tabItens[[#This Row],[CÓDIGO]],Consumo!$Z$3:$Z$862)</f>
        <v>1094</v>
      </c>
      <c r="AU472" s="402">
        <f>SUMIF(Consumo!$C$3:$C$862,tabItens[[#This Row],[CÓDIGO]],Consumo!$AA$3:$AA$862)</f>
        <v>224</v>
      </c>
      <c r="AV472" s="403">
        <f>SUMIF(Consumo!$C$3:$C$862,tabItens[[#This Row],[CÓDIGO]],Consumo!$Y$3:$Y$862)</f>
        <v>90.916666666666671</v>
      </c>
      <c r="AW472" s="380">
        <f>tabItens[[#This Row],[QTDE ATUAL]] + tabItens[[#This Row],[RC QTDE]] + tabItens[[#This Row],[AF SALDO]] + tabItens[[#This Row],[Recentes]]</f>
        <v>527</v>
      </c>
      <c r="AX472" s="404">
        <v>97</v>
      </c>
      <c r="AY472" s="404">
        <v>4</v>
      </c>
      <c r="AZ472" s="404">
        <f>IF(ISBLANK(tabItens[[#This Row],[CÓDIGO]]),"",tabItens[[#This Row],[PontoMês]] * (AZ$2+tabItens[[#This Row],[PontoQtM]]))</f>
        <v>388</v>
      </c>
      <c r="BA472" s="403">
        <f>tabItens[[#This Row],[PontoPed]] - tabItens[[#This Row],[Saldo]] + (1/10)</f>
        <v>-138.9</v>
      </c>
      <c r="BB472" s="403">
        <f xml:space="preserve"> tabItens[[#This Row],[PontoMês]] * BB$2 - tabItens[[#This Row],[QTDE ATUAL]] - (1/10)</f>
        <v>69.900000000000006</v>
      </c>
      <c r="BC472" s="335">
        <f>IF( tabItens[[#This Row],[PontoPed]]&gt;0, IF(tabItens[[#This Row],[PontoPed]]&lt;1, 1, IF( tabItens[[#This Row],[Saldo]]&gt;tabItens[[#This Row],[PontoPed]], 0, (tabItens[[#This Row],[PontoPed]]-tabItens[[#This Row],[Saldo]])/tabItens[[#This Row],[PontoPed]] ) ), 0 )</f>
        <v>0</v>
      </c>
      <c r="BD472" s="405">
        <f>ROUNDDOWN(IF( OR( AND(tabItens[[#This Row],[PontoPed]]&lt;tabItens[[#This Row],[Saldo]],tabItens[[#This Row],[Saldo]]&gt;0), tabItens[[#This Row],[PontoPed]]=0), 99, IF(AND(tabItens[[#This Row],[Saldo]]=0,tabItens[[#This Row],[PontoPed]]&gt;0), 0, (1-tabItens[[#This Row],[PctAb]])*10 ) ),0)</f>
        <v>99</v>
      </c>
      <c r="BE472" s="406">
        <f>MAX(ROUNDDOWN( IF(tabItens[[#This Row],[Abaixo]] &gt; 0,   tabItens[[#This Row],[Abaixo]] + (tabItens[[#This Row],[PontoMês]] * IF( OR( ISBLANK(tabItens[[#This Row],[ATA Nº/ANO]]), tabItens[[#This Row],[ATA Nº/ANO]] = ""),BE$2,BE$1)),0),0),0)</f>
        <v>0</v>
      </c>
      <c r="BF47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2" s="338">
        <f>SUMIF(Consumo!$C$3:$C$862,tabItens[[#This Row],[CÓDIGO]],Consumo!$E$3:$E$862)</f>
        <v>0</v>
      </c>
      <c r="BH472" s="339">
        <f>IF(AND(tabItens[[#This Row],[Pend]] &gt; 0,tabItens[[#This Row],[Consumo]] &lt;&gt; 0), tabItens[[#This Row],[Pend]] / tabItens[[#This Row],[Consumo]], 0 )</f>
        <v>0</v>
      </c>
      <c r="BI472" s="338"/>
      <c r="BJ472" s="407"/>
      <c r="BK472" s="408" t="s">
        <v>2086</v>
      </c>
    </row>
    <row r="473" spans="1:63" x14ac:dyDescent="0.3">
      <c r="A473" s="375">
        <v>130634</v>
      </c>
      <c r="B473" s="376" t="s">
        <v>1809</v>
      </c>
      <c r="C473" s="377" t="s">
        <v>263</v>
      </c>
      <c r="D473" s="378">
        <v>15.95</v>
      </c>
      <c r="E473" s="305"/>
      <c r="F473" s="379"/>
      <c r="G473" s="379" t="s">
        <v>889</v>
      </c>
      <c r="H473" s="380">
        <v>752</v>
      </c>
      <c r="I473" s="307">
        <v>103003</v>
      </c>
      <c r="J473" s="308">
        <v>15.95</v>
      </c>
      <c r="K473" s="381">
        <v>1148</v>
      </c>
      <c r="L473" s="382">
        <f>IF(tabItens[[#This Row],[Média]] &gt; 0, tabItens[[#This Row],[QTDE ATUAL]] / tabItens[[#This Row],[Média]],999.9)</f>
        <v>7.2598551890587295</v>
      </c>
      <c r="M473" s="383">
        <v>0</v>
      </c>
      <c r="N473" s="384">
        <f>tabItens[[#This Row],[VALOR UNIT.]] * tabItens[[#This Row],[LC]]</f>
        <v>0</v>
      </c>
      <c r="O473" s="385" t="s">
        <v>2163</v>
      </c>
      <c r="P473" s="386"/>
      <c r="Q473" s="387"/>
      <c r="R473" s="312"/>
      <c r="S473" s="388"/>
      <c r="T473" s="389">
        <f>ROUNDDOWN(IFERROR(tabItens[[#This Row],[ATA DT.VALID.]] - $D$1,0) / 30,0)</f>
        <v>-1474</v>
      </c>
      <c r="U473" s="302" t="s">
        <v>1565</v>
      </c>
      <c r="V473" s="318">
        <v>1</v>
      </c>
      <c r="W473" s="390" t="s">
        <v>2071</v>
      </c>
      <c r="X473" s="391">
        <v>51</v>
      </c>
      <c r="Y473" s="392">
        <v>24</v>
      </c>
      <c r="Z473" s="393"/>
      <c r="AA473" s="394"/>
      <c r="AB473" s="395"/>
      <c r="AC473" s="395"/>
      <c r="AD473" s="394"/>
      <c r="AE473" s="395"/>
      <c r="AF473" s="317"/>
      <c r="AG473" s="396" t="s">
        <v>2072</v>
      </c>
      <c r="AH473" s="397"/>
      <c r="AI473" s="317">
        <v>832</v>
      </c>
      <c r="AJ473" s="397">
        <v>44924</v>
      </c>
      <c r="AK473" s="326">
        <v>42208</v>
      </c>
      <c r="AL473" s="326">
        <v>45000</v>
      </c>
      <c r="AM473" s="316"/>
      <c r="AN473" s="305"/>
      <c r="AO473" s="327" t="str">
        <f>_xlfn.IFNA(IF(VLOOKUP(tabItens[[#This Row],[CÓDIGO]],tabExcluirDoEstoque[#Data],1,FALSE),"sim",""),"")</f>
        <v/>
      </c>
      <c r="AP473" s="398" t="str">
        <f ca="1">IF(OR(ISBLANK(tabItens[[#This Row],[ATA DT.VALID.]]),tabItens[[#This Row],[ATA DT.VALID.]]="",tabItens[[#This Row],[ATA DT.VALID.]]=" "),"",IF(TYPE(tabItens[[#This Row],[ATA DT.VALID.]])=1,ROUNDUP((tabItens[[#This Row],[ATA DT.VALID.]]-TODAY())/7,0),""))</f>
        <v/>
      </c>
      <c r="AQ473" s="399">
        <v>0</v>
      </c>
      <c r="AR473" s="400" t="str">
        <f>IF(ISBLANK(tabItens[[#This Row],[CÓDIGO]]),"",IFERROR(VLOOKUP(tabItens[[#This Row],[CÓDIGO]],Consumo!$C$2:$AC$862,26,FALSE),0))</f>
        <v>09.2023</v>
      </c>
      <c r="AS473" s="401">
        <f>SUMIF(Consumo!$C$3:$C$862,tabItens[[#This Row],[CÓDIGO]],Consumo!$N$3:$N$862) + SUMIF(Consumo!$C$3:$C$862,tabItens[[#This Row],[CÓDIGO]],Consumo!$O$3:$O$862) + SUMIF(Consumo!$C$3:$C$862,tabItens[[#This Row],[CÓDIGO]],Consumo!$P$3:$P$862) + SUMIF(Consumo!$C$3:$C$862,tabItens[[#This Row],[CÓDIGO]],Consumo!$Q$3:$Q$862)</f>
        <v>426</v>
      </c>
      <c r="AT473" s="401">
        <f>SUMIF(Consumo!$C$3:$C$862,tabItens[[#This Row],[CÓDIGO]],Consumo!$Z$3:$Z$862)</f>
        <v>1297</v>
      </c>
      <c r="AU473" s="402">
        <f>SUMIF(Consumo!$C$3:$C$862,tabItens[[#This Row],[CÓDIGO]],Consumo!$AA$3:$AA$862)</f>
        <v>409</v>
      </c>
      <c r="AV473" s="403">
        <f>SUMIF(Consumo!$C$3:$C$862,tabItens[[#This Row],[CÓDIGO]],Consumo!$Y$3:$Y$862)</f>
        <v>103.58333333333333</v>
      </c>
      <c r="AW473" s="380">
        <f>tabItens[[#This Row],[QTDE ATUAL]] + tabItens[[#This Row],[RC QTDE]] + tabItens[[#This Row],[AF SALDO]] + tabItens[[#This Row],[Recentes]]</f>
        <v>752</v>
      </c>
      <c r="AX473" s="404">
        <v>113</v>
      </c>
      <c r="AY473" s="404">
        <v>4</v>
      </c>
      <c r="AZ473" s="404">
        <f>IF(ISBLANK(tabItens[[#This Row],[CÓDIGO]]),"",tabItens[[#This Row],[PontoMês]] * (AZ$2+tabItens[[#This Row],[PontoQtM]]))</f>
        <v>452</v>
      </c>
      <c r="BA473" s="403">
        <f>tabItens[[#This Row],[PontoPed]] - tabItens[[#This Row],[Saldo]] + (1/10)</f>
        <v>-299.89999999999998</v>
      </c>
      <c r="BB473" s="403">
        <f xml:space="preserve"> tabItens[[#This Row],[PontoMês]] * BB$2 - tabItens[[#This Row],[QTDE ATUAL]] - (1/10)</f>
        <v>-639.1</v>
      </c>
      <c r="BC473" s="335">
        <f>IF( tabItens[[#This Row],[PontoPed]]&gt;0, IF(tabItens[[#This Row],[PontoPed]]&lt;1, 1, IF( tabItens[[#This Row],[Saldo]]&gt;tabItens[[#This Row],[PontoPed]], 0, (tabItens[[#This Row],[PontoPed]]-tabItens[[#This Row],[Saldo]])/tabItens[[#This Row],[PontoPed]] ) ), 0 )</f>
        <v>0</v>
      </c>
      <c r="BD473" s="405">
        <f>ROUNDDOWN(IF( OR( AND(tabItens[[#This Row],[PontoPed]]&lt;tabItens[[#This Row],[Saldo]],tabItens[[#This Row],[Saldo]]&gt;0), tabItens[[#This Row],[PontoPed]]=0), 99, IF(AND(tabItens[[#This Row],[Saldo]]=0,tabItens[[#This Row],[PontoPed]]&gt;0), 0, (1-tabItens[[#This Row],[PctAb]])*10 ) ),0)</f>
        <v>99</v>
      </c>
      <c r="BE473" s="406">
        <f>MAX(ROUNDDOWN( IF(tabItens[[#This Row],[Abaixo]] &gt; 0,   tabItens[[#This Row],[Abaixo]] + (tabItens[[#This Row],[PontoMês]] * IF( OR( ISBLANK(tabItens[[#This Row],[ATA Nº/ANO]]), tabItens[[#This Row],[ATA Nº/ANO]] = ""),BE$2,BE$1)),0),0),0)</f>
        <v>0</v>
      </c>
      <c r="BF47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3" s="338">
        <f>SUMIF(Consumo!$C$3:$C$862,tabItens[[#This Row],[CÓDIGO]],Consumo!$E$3:$E$862)</f>
        <v>0</v>
      </c>
      <c r="BH473" s="339">
        <f>IF(AND(tabItens[[#This Row],[Pend]] &gt; 0,tabItens[[#This Row],[Consumo]] &lt;&gt; 0), tabItens[[#This Row],[Pend]] / tabItens[[#This Row],[Consumo]], 0 )</f>
        <v>0</v>
      </c>
      <c r="BI473" s="338"/>
      <c r="BJ473" s="407"/>
      <c r="BK473" s="408" t="s">
        <v>2086</v>
      </c>
    </row>
    <row r="474" spans="1:63" x14ac:dyDescent="0.3">
      <c r="A474" s="375">
        <v>115840</v>
      </c>
      <c r="B474" s="376" t="s">
        <v>1721</v>
      </c>
      <c r="C474" s="377" t="s">
        <v>31</v>
      </c>
      <c r="D474" s="378">
        <v>849.2</v>
      </c>
      <c r="E474" s="305"/>
      <c r="F474" s="379"/>
      <c r="G474" s="379" t="s">
        <v>889</v>
      </c>
      <c r="H474" s="380">
        <v>25</v>
      </c>
      <c r="I474" s="307">
        <v>103003</v>
      </c>
      <c r="J474" s="308">
        <v>849.2</v>
      </c>
      <c r="K474" s="381">
        <v>7</v>
      </c>
      <c r="L474" s="382">
        <f>IF(tabItens[[#This Row],[Média]] &gt; 0, tabItens[[#This Row],[QTDE ATUAL]] / tabItens[[#This Row],[Média]],999.9)</f>
        <v>60</v>
      </c>
      <c r="M474" s="383">
        <v>0</v>
      </c>
      <c r="N474" s="384">
        <f>tabItens[[#This Row],[VALOR UNIT.]] * tabItens[[#This Row],[LC]]</f>
        <v>0</v>
      </c>
      <c r="O474" s="385" t="s">
        <v>2163</v>
      </c>
      <c r="P474" s="386"/>
      <c r="Q474" s="387"/>
      <c r="R474" s="312"/>
      <c r="S474" s="388"/>
      <c r="T474" s="389">
        <f>ROUNDDOWN(IFERROR(tabItens[[#This Row],[ATA DT.VALID.]] - $D$1,0) / 30,0)</f>
        <v>-1474</v>
      </c>
      <c r="U474" s="302" t="s">
        <v>1212</v>
      </c>
      <c r="V474" s="318">
        <v>1</v>
      </c>
      <c r="W474" s="390" t="s">
        <v>2071</v>
      </c>
      <c r="X474" s="391">
        <v>51</v>
      </c>
      <c r="Y474" s="392">
        <v>26</v>
      </c>
      <c r="Z474" s="393"/>
      <c r="AA474" s="394"/>
      <c r="AB474" s="395"/>
      <c r="AC474" s="395"/>
      <c r="AD474" s="394"/>
      <c r="AE474" s="395"/>
      <c r="AF474" s="317"/>
      <c r="AG474" s="396" t="s">
        <v>2072</v>
      </c>
      <c r="AH474" s="397"/>
      <c r="AI474" s="317">
        <v>2</v>
      </c>
      <c r="AJ474" s="397">
        <v>44188</v>
      </c>
      <c r="AK474" s="326">
        <v>40357</v>
      </c>
      <c r="AL474" s="326">
        <v>44176</v>
      </c>
      <c r="AM474" s="316"/>
      <c r="AN474" s="305"/>
      <c r="AO474" s="327" t="str">
        <f>_xlfn.IFNA(IF(VLOOKUP(tabItens[[#This Row],[CÓDIGO]],tabExcluirDoEstoque[#Data],1,FALSE),"sim",""),"")</f>
        <v/>
      </c>
      <c r="AP474" s="398" t="str">
        <f ca="1">IF(OR(ISBLANK(tabItens[[#This Row],[ATA DT.VALID.]]),tabItens[[#This Row],[ATA DT.VALID.]]="",tabItens[[#This Row],[ATA DT.VALID.]]=" "),"",IF(TYPE(tabItens[[#This Row],[ATA DT.VALID.]])=1,ROUNDUP((tabItens[[#This Row],[ATA DT.VALID.]]-TODAY())/7,0),""))</f>
        <v/>
      </c>
      <c r="AQ474" s="399">
        <v>0</v>
      </c>
      <c r="AR474" s="400" t="str">
        <f>IF(ISBLANK(tabItens[[#This Row],[CÓDIGO]]),"",IFERROR(VLOOKUP(tabItens[[#This Row],[CÓDIGO]],Consumo!$C$2:$AC$862,26,FALSE),0))</f>
        <v>07.2023</v>
      </c>
      <c r="AS474" s="401">
        <f>SUMIF(Consumo!$C$3:$C$862,tabItens[[#This Row],[CÓDIGO]],Consumo!$N$3:$N$862) + SUMIF(Consumo!$C$3:$C$862,tabItens[[#This Row],[CÓDIGO]],Consumo!$O$3:$O$862) + SUMIF(Consumo!$C$3:$C$862,tabItens[[#This Row],[CÓDIGO]],Consumo!$P$3:$P$862) + SUMIF(Consumo!$C$3:$C$862,tabItens[[#This Row],[CÓDIGO]],Consumo!$Q$3:$Q$862)</f>
        <v>7</v>
      </c>
      <c r="AT474" s="401">
        <f>SUMIF(Consumo!$C$3:$C$862,tabItens[[#This Row],[CÓDIGO]],Consumo!$Z$3:$Z$862)</f>
        <v>7</v>
      </c>
      <c r="AU474" s="402">
        <f>SUMIF(Consumo!$C$3:$C$862,tabItens[[#This Row],[CÓDIGO]],Consumo!$AA$3:$AA$862)</f>
        <v>6</v>
      </c>
      <c r="AV474" s="403">
        <f>SUMIF(Consumo!$C$3:$C$862,tabItens[[#This Row],[CÓDIGO]],Consumo!$Y$3:$Y$862)</f>
        <v>0.41666666666666669</v>
      </c>
      <c r="AW474" s="380">
        <f>tabItens[[#This Row],[QTDE ATUAL]] + tabItens[[#This Row],[RC QTDE]] + tabItens[[#This Row],[AF SALDO]] + tabItens[[#This Row],[Recentes]]</f>
        <v>25</v>
      </c>
      <c r="AX474" s="404">
        <v>3</v>
      </c>
      <c r="AY474" s="404">
        <v>4</v>
      </c>
      <c r="AZ474" s="404">
        <f>IF(ISBLANK(tabItens[[#This Row],[CÓDIGO]]),"",tabItens[[#This Row],[PontoMês]] * (AZ$2+tabItens[[#This Row],[PontoQtM]]))</f>
        <v>12</v>
      </c>
      <c r="BA474" s="403">
        <f>tabItens[[#This Row],[PontoPed]] - tabItens[[#This Row],[Saldo]] + (1/10)</f>
        <v>-12.9</v>
      </c>
      <c r="BB474" s="403">
        <f xml:space="preserve"> tabItens[[#This Row],[PontoMês]] * BB$2 - tabItens[[#This Row],[QTDE ATUAL]] - (1/10)</f>
        <v>-22.1</v>
      </c>
      <c r="BC474" s="335">
        <f>IF( tabItens[[#This Row],[PontoPed]]&gt;0, IF(tabItens[[#This Row],[PontoPed]]&lt;1, 1, IF( tabItens[[#This Row],[Saldo]]&gt;tabItens[[#This Row],[PontoPed]], 0, (tabItens[[#This Row],[PontoPed]]-tabItens[[#This Row],[Saldo]])/tabItens[[#This Row],[PontoPed]] ) ), 0 )</f>
        <v>0</v>
      </c>
      <c r="BD474" s="405">
        <f>ROUNDDOWN(IF( OR( AND(tabItens[[#This Row],[PontoPed]]&lt;tabItens[[#This Row],[Saldo]],tabItens[[#This Row],[Saldo]]&gt;0), tabItens[[#This Row],[PontoPed]]=0), 99, IF(AND(tabItens[[#This Row],[Saldo]]=0,tabItens[[#This Row],[PontoPed]]&gt;0), 0, (1-tabItens[[#This Row],[PctAb]])*10 ) ),0)</f>
        <v>99</v>
      </c>
      <c r="BE474" s="406">
        <f>MAX(ROUNDDOWN( IF(tabItens[[#This Row],[Abaixo]] &gt; 0,   tabItens[[#This Row],[Abaixo]] + (tabItens[[#This Row],[PontoMês]] * IF( OR( ISBLANK(tabItens[[#This Row],[ATA Nº/ANO]]), tabItens[[#This Row],[ATA Nº/ANO]] = ""),BE$2,BE$1)),0),0),0)</f>
        <v>0</v>
      </c>
      <c r="BF47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4" s="338">
        <f>SUMIF(Consumo!$C$3:$C$862,tabItens[[#This Row],[CÓDIGO]],Consumo!$E$3:$E$862)</f>
        <v>0</v>
      </c>
      <c r="BH474" s="339">
        <f>IF(AND(tabItens[[#This Row],[Pend]] &gt; 0,tabItens[[#This Row],[Consumo]] &lt;&gt; 0), tabItens[[#This Row],[Pend]] / tabItens[[#This Row],[Consumo]], 0 )</f>
        <v>0</v>
      </c>
      <c r="BI474" s="338"/>
      <c r="BJ474" s="407"/>
      <c r="BK474" s="408" t="s">
        <v>2086</v>
      </c>
    </row>
    <row r="475" spans="1:63" x14ac:dyDescent="0.3">
      <c r="A475" s="375">
        <v>78509</v>
      </c>
      <c r="B475" s="376" t="s">
        <v>1454</v>
      </c>
      <c r="C475" s="377" t="s">
        <v>263</v>
      </c>
      <c r="D475" s="378">
        <v>206.5</v>
      </c>
      <c r="E475" s="305"/>
      <c r="F475" s="379"/>
      <c r="G475" s="379" t="s">
        <v>889</v>
      </c>
      <c r="H475" s="380">
        <v>9</v>
      </c>
      <c r="I475" s="307">
        <v>103003</v>
      </c>
      <c r="J475" s="308">
        <v>206.5</v>
      </c>
      <c r="K475" s="381">
        <v>15</v>
      </c>
      <c r="L475" s="382">
        <f>IF(tabItens[[#This Row],[Média]] &gt; 0, tabItens[[#This Row],[QTDE ATUAL]] / tabItens[[#This Row],[Média]],999.9)</f>
        <v>6.3529411764705879</v>
      </c>
      <c r="M475" s="383">
        <v>0</v>
      </c>
      <c r="N475" s="384">
        <f>tabItens[[#This Row],[VALOR UNIT.]] * tabItens[[#This Row],[LC]]</f>
        <v>0</v>
      </c>
      <c r="O475" s="385" t="s">
        <v>2163</v>
      </c>
      <c r="P475" s="386"/>
      <c r="Q475" s="387"/>
      <c r="R475" s="312"/>
      <c r="S475" s="388"/>
      <c r="T475" s="389">
        <f>ROUNDDOWN(IFERROR(tabItens[[#This Row],[ATA DT.VALID.]] - $D$1,0) / 30,0)</f>
        <v>-1474</v>
      </c>
      <c r="U475" s="302" t="s">
        <v>1446</v>
      </c>
      <c r="V475" s="318">
        <v>1</v>
      </c>
      <c r="W475" s="390" t="s">
        <v>2071</v>
      </c>
      <c r="X475" s="391">
        <v>51</v>
      </c>
      <c r="Y475" s="392">
        <v>36</v>
      </c>
      <c r="Z475" s="393"/>
      <c r="AA475" s="394"/>
      <c r="AB475" s="395"/>
      <c r="AC475" s="395"/>
      <c r="AD475" s="394"/>
      <c r="AE475" s="395"/>
      <c r="AF475" s="317"/>
      <c r="AG475" s="396" t="s">
        <v>2072</v>
      </c>
      <c r="AH475" s="397"/>
      <c r="AI475" s="317">
        <v>6</v>
      </c>
      <c r="AJ475" s="397">
        <v>45180</v>
      </c>
      <c r="AK475" s="326">
        <v>38100</v>
      </c>
      <c r="AL475" s="326">
        <v>45131</v>
      </c>
      <c r="AM475" s="316"/>
      <c r="AN475" s="305"/>
      <c r="AO475" s="327" t="str">
        <f>_xlfn.IFNA(IF(VLOOKUP(tabItens[[#This Row],[CÓDIGO]],tabExcluirDoEstoque[#Data],1,FALSE),"sim",""),"")</f>
        <v/>
      </c>
      <c r="AP475" s="398" t="str">
        <f ca="1">IF(OR(ISBLANK(tabItens[[#This Row],[ATA DT.VALID.]]),tabItens[[#This Row],[ATA DT.VALID.]]="",tabItens[[#This Row],[ATA DT.VALID.]]=" "),"",IF(TYPE(tabItens[[#This Row],[ATA DT.VALID.]])=1,ROUNDUP((tabItens[[#This Row],[ATA DT.VALID.]]-TODAY())/7,0),""))</f>
        <v/>
      </c>
      <c r="AQ475" s="399">
        <v>0</v>
      </c>
      <c r="AR475" s="400" t="str">
        <f>IF(ISBLANK(tabItens[[#This Row],[CÓDIGO]]),"",IFERROR(VLOOKUP(tabItens[[#This Row],[CÓDIGO]],Consumo!$C$2:$AC$862,26,FALSE),0))</f>
        <v>09.2023</v>
      </c>
      <c r="AS475" s="401">
        <f>SUMIF(Consumo!$C$3:$C$862,tabItens[[#This Row],[CÓDIGO]],Consumo!$N$3:$N$862) + SUMIF(Consumo!$C$3:$C$862,tabItens[[#This Row],[CÓDIGO]],Consumo!$O$3:$O$862) + SUMIF(Consumo!$C$3:$C$862,tabItens[[#This Row],[CÓDIGO]],Consumo!$P$3:$P$862) + SUMIF(Consumo!$C$3:$C$862,tabItens[[#This Row],[CÓDIGO]],Consumo!$Q$3:$Q$862)</f>
        <v>4</v>
      </c>
      <c r="AT475" s="401">
        <f>SUMIF(Consumo!$C$3:$C$862,tabItens[[#This Row],[CÓDIGO]],Consumo!$Z$3:$Z$862)</f>
        <v>17</v>
      </c>
      <c r="AU475" s="402">
        <f>SUMIF(Consumo!$C$3:$C$862,tabItens[[#This Row],[CÓDIGO]],Consumo!$AA$3:$AA$862)</f>
        <v>4</v>
      </c>
      <c r="AV475" s="403">
        <f>SUMIF(Consumo!$C$3:$C$862,tabItens[[#This Row],[CÓDIGO]],Consumo!$Y$3:$Y$862)</f>
        <v>1.4166666666666667</v>
      </c>
      <c r="AW475" s="380">
        <f>tabItens[[#This Row],[QTDE ATUAL]] + tabItens[[#This Row],[RC QTDE]] + tabItens[[#This Row],[AF SALDO]] + tabItens[[#This Row],[Recentes]]</f>
        <v>9</v>
      </c>
      <c r="AX475" s="404">
        <v>1</v>
      </c>
      <c r="AY475" s="404">
        <v>4</v>
      </c>
      <c r="AZ475" s="404">
        <f>IF(ISBLANK(tabItens[[#This Row],[CÓDIGO]]),"",tabItens[[#This Row],[PontoMês]] * (AZ$2+tabItens[[#This Row],[PontoQtM]]))</f>
        <v>4</v>
      </c>
      <c r="BA475" s="403">
        <f>tabItens[[#This Row],[PontoPed]] - tabItens[[#This Row],[Saldo]] + (1/10)</f>
        <v>-4.9000000000000004</v>
      </c>
      <c r="BB475" s="403">
        <f xml:space="preserve"> tabItens[[#This Row],[PontoMês]] * BB$2 - tabItens[[#This Row],[QTDE ATUAL]] - (1/10)</f>
        <v>-8.1</v>
      </c>
      <c r="BC475" s="335">
        <f>IF( tabItens[[#This Row],[PontoPed]]&gt;0, IF(tabItens[[#This Row],[PontoPed]]&lt;1, 1, IF( tabItens[[#This Row],[Saldo]]&gt;tabItens[[#This Row],[PontoPed]], 0, (tabItens[[#This Row],[PontoPed]]-tabItens[[#This Row],[Saldo]])/tabItens[[#This Row],[PontoPed]] ) ), 0 )</f>
        <v>0</v>
      </c>
      <c r="BD475" s="405">
        <f>ROUNDDOWN(IF( OR( AND(tabItens[[#This Row],[PontoPed]]&lt;tabItens[[#This Row],[Saldo]],tabItens[[#This Row],[Saldo]]&gt;0), tabItens[[#This Row],[PontoPed]]=0), 99, IF(AND(tabItens[[#This Row],[Saldo]]=0,tabItens[[#This Row],[PontoPed]]&gt;0), 0, (1-tabItens[[#This Row],[PctAb]])*10 ) ),0)</f>
        <v>99</v>
      </c>
      <c r="BE475" s="406">
        <f>MAX(ROUNDDOWN( IF(tabItens[[#This Row],[Abaixo]] &gt; 0,   tabItens[[#This Row],[Abaixo]] + (tabItens[[#This Row],[PontoMês]] * IF( OR( ISBLANK(tabItens[[#This Row],[ATA Nº/ANO]]), tabItens[[#This Row],[ATA Nº/ANO]] = ""),BE$2,BE$1)),0),0),0)</f>
        <v>0</v>
      </c>
      <c r="BF47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5" s="338">
        <f>SUMIF(Consumo!$C$3:$C$862,tabItens[[#This Row],[CÓDIGO]],Consumo!$E$3:$E$862)</f>
        <v>1</v>
      </c>
      <c r="BH475" s="339">
        <f>IF(AND(tabItens[[#This Row],[Pend]] &gt; 0,tabItens[[#This Row],[Consumo]] &lt;&gt; 0), tabItens[[#This Row],[Pend]] / tabItens[[#This Row],[Consumo]], 0 )</f>
        <v>5.8823529411764705E-2</v>
      </c>
      <c r="BI475" s="338"/>
      <c r="BJ475" s="407"/>
      <c r="BK475" s="408" t="s">
        <v>2086</v>
      </c>
    </row>
    <row r="476" spans="1:63" x14ac:dyDescent="0.3">
      <c r="A476" s="375">
        <v>76218</v>
      </c>
      <c r="B476" s="376" t="s">
        <v>1421</v>
      </c>
      <c r="C476" s="377" t="s">
        <v>263</v>
      </c>
      <c r="D476" s="378">
        <v>781.2</v>
      </c>
      <c r="E476" s="305"/>
      <c r="F476" s="379"/>
      <c r="G476" s="379" t="s">
        <v>889</v>
      </c>
      <c r="H476" s="380">
        <v>36</v>
      </c>
      <c r="I476" s="307">
        <v>103003</v>
      </c>
      <c r="J476" s="308">
        <v>781.2</v>
      </c>
      <c r="K476" s="381">
        <v>4</v>
      </c>
      <c r="L476" s="382">
        <f>IF(tabItens[[#This Row],[Média]] &gt; 0, tabItens[[#This Row],[QTDE ATUAL]] / tabItens[[#This Row],[Média]],999.9)</f>
        <v>216</v>
      </c>
      <c r="M476" s="383">
        <v>0</v>
      </c>
      <c r="N476" s="384">
        <f>tabItens[[#This Row],[VALOR UNIT.]] * tabItens[[#This Row],[LC]]</f>
        <v>0</v>
      </c>
      <c r="O476" s="385" t="s">
        <v>2158</v>
      </c>
      <c r="P476" s="386"/>
      <c r="Q476" s="387"/>
      <c r="R476" s="312"/>
      <c r="S476" s="388"/>
      <c r="T476" s="389">
        <f>ROUNDDOWN(IFERROR(tabItens[[#This Row],[ATA DT.VALID.]] - $D$1,0) / 30,0)</f>
        <v>-1474</v>
      </c>
      <c r="U476" s="302" t="s">
        <v>1274</v>
      </c>
      <c r="V476" s="318">
        <v>1</v>
      </c>
      <c r="W476" s="390" t="s">
        <v>2071</v>
      </c>
      <c r="X476" s="391">
        <v>51</v>
      </c>
      <c r="Y476" s="392">
        <v>17</v>
      </c>
      <c r="Z476" s="393"/>
      <c r="AA476" s="394"/>
      <c r="AB476" s="395"/>
      <c r="AC476" s="395"/>
      <c r="AD476" s="394"/>
      <c r="AE476" s="395"/>
      <c r="AF476" s="317"/>
      <c r="AG476" s="396" t="s">
        <v>2072</v>
      </c>
      <c r="AH476" s="397"/>
      <c r="AI476" s="317">
        <v>2</v>
      </c>
      <c r="AJ476" s="397">
        <v>44195</v>
      </c>
      <c r="AK476" s="326">
        <v>37956</v>
      </c>
      <c r="AL476" s="326">
        <v>44945</v>
      </c>
      <c r="AM476" s="316"/>
      <c r="AN476" s="305"/>
      <c r="AO476" s="327" t="str">
        <f>_xlfn.IFNA(IF(VLOOKUP(tabItens[[#This Row],[CÓDIGO]],tabExcluirDoEstoque[#Data],1,FALSE),"sim",""),"")</f>
        <v/>
      </c>
      <c r="AP476" s="398" t="str">
        <f ca="1">IF(OR(ISBLANK(tabItens[[#This Row],[ATA DT.VALID.]]),tabItens[[#This Row],[ATA DT.VALID.]]="",tabItens[[#This Row],[ATA DT.VALID.]]=" "),"",IF(TYPE(tabItens[[#This Row],[ATA DT.VALID.]])=1,ROUNDUP((tabItens[[#This Row],[ATA DT.VALID.]]-TODAY())/7,0),""))</f>
        <v/>
      </c>
      <c r="AQ476" s="399">
        <v>0</v>
      </c>
      <c r="AR476" s="400" t="str">
        <f>IF(ISBLANK(tabItens[[#This Row],[CÓDIGO]]),"",IFERROR(VLOOKUP(tabItens[[#This Row],[CÓDIGO]],Consumo!$C$2:$AC$862,26,FALSE),0))</f>
        <v>04.2023</v>
      </c>
      <c r="AS476" s="401">
        <f>SUMIF(Consumo!$C$3:$C$862,tabItens[[#This Row],[CÓDIGO]],Consumo!$N$3:$N$862) + SUMIF(Consumo!$C$3:$C$862,tabItens[[#This Row],[CÓDIGO]],Consumo!$O$3:$O$862) + SUMIF(Consumo!$C$3:$C$862,tabItens[[#This Row],[CÓDIGO]],Consumo!$P$3:$P$862) + SUMIF(Consumo!$C$3:$C$862,tabItens[[#This Row],[CÓDIGO]],Consumo!$Q$3:$Q$862)</f>
        <v>0</v>
      </c>
      <c r="AT476" s="401">
        <f>SUMIF(Consumo!$C$3:$C$862,tabItens[[#This Row],[CÓDIGO]],Consumo!$Z$3:$Z$862)</f>
        <v>4</v>
      </c>
      <c r="AU476" s="402">
        <f>SUMIF(Consumo!$C$3:$C$862,tabItens[[#This Row],[CÓDIGO]],Consumo!$AA$3:$AA$862)</f>
        <v>4</v>
      </c>
      <c r="AV476" s="403">
        <f>SUMIF(Consumo!$C$3:$C$862,tabItens[[#This Row],[CÓDIGO]],Consumo!$Y$3:$Y$862)</f>
        <v>0.16666666666666666</v>
      </c>
      <c r="AW476" s="380">
        <f>tabItens[[#This Row],[QTDE ATUAL]] + tabItens[[#This Row],[RC QTDE]] + tabItens[[#This Row],[AF SALDO]] + tabItens[[#This Row],[Recentes]]</f>
        <v>36</v>
      </c>
      <c r="AX476" s="404">
        <v>3</v>
      </c>
      <c r="AY476" s="404">
        <v>4</v>
      </c>
      <c r="AZ476" s="404">
        <f>IF(ISBLANK(tabItens[[#This Row],[CÓDIGO]]),"",tabItens[[#This Row],[PontoMês]] * (AZ$2+tabItens[[#This Row],[PontoQtM]]))</f>
        <v>12</v>
      </c>
      <c r="BA476" s="403">
        <f>tabItens[[#This Row],[PontoPed]] - tabItens[[#This Row],[Saldo]] + (1/10)</f>
        <v>-23.9</v>
      </c>
      <c r="BB476" s="403">
        <f xml:space="preserve"> tabItens[[#This Row],[PontoMês]] * BB$2 - tabItens[[#This Row],[QTDE ATUAL]] - (1/10)</f>
        <v>-33.1</v>
      </c>
      <c r="BC476" s="335">
        <f>IF( tabItens[[#This Row],[PontoPed]]&gt;0, IF(tabItens[[#This Row],[PontoPed]]&lt;1, 1, IF( tabItens[[#This Row],[Saldo]]&gt;tabItens[[#This Row],[PontoPed]], 0, (tabItens[[#This Row],[PontoPed]]-tabItens[[#This Row],[Saldo]])/tabItens[[#This Row],[PontoPed]] ) ), 0 )</f>
        <v>0</v>
      </c>
      <c r="BD476" s="405">
        <f>ROUNDDOWN(IF( OR( AND(tabItens[[#This Row],[PontoPed]]&lt;tabItens[[#This Row],[Saldo]],tabItens[[#This Row],[Saldo]]&gt;0), tabItens[[#This Row],[PontoPed]]=0), 99, IF(AND(tabItens[[#This Row],[Saldo]]=0,tabItens[[#This Row],[PontoPed]]&gt;0), 0, (1-tabItens[[#This Row],[PctAb]])*10 ) ),0)</f>
        <v>99</v>
      </c>
      <c r="BE476" s="406">
        <f>MAX(ROUNDDOWN( IF(tabItens[[#This Row],[Abaixo]] &gt; 0,   tabItens[[#This Row],[Abaixo]] + (tabItens[[#This Row],[PontoMês]] * IF( OR( ISBLANK(tabItens[[#This Row],[ATA Nº/ANO]]), tabItens[[#This Row],[ATA Nº/ANO]] = ""),BE$2,BE$1)),0),0),0)</f>
        <v>0</v>
      </c>
      <c r="BF47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6" s="338">
        <f>SUMIF(Consumo!$C$3:$C$862,tabItens[[#This Row],[CÓDIGO]],Consumo!$E$3:$E$862)</f>
        <v>0</v>
      </c>
      <c r="BH476" s="339">
        <f>IF(AND(tabItens[[#This Row],[Pend]] &gt; 0,tabItens[[#This Row],[Consumo]] &lt;&gt; 0), tabItens[[#This Row],[Pend]] / tabItens[[#This Row],[Consumo]], 0 )</f>
        <v>0</v>
      </c>
      <c r="BI476" s="338"/>
      <c r="BJ476" s="407"/>
      <c r="BK476" s="408" t="s">
        <v>2086</v>
      </c>
    </row>
    <row r="477" spans="1:63" x14ac:dyDescent="0.3">
      <c r="A477" s="375">
        <v>125269</v>
      </c>
      <c r="B477" s="376" t="s">
        <v>1769</v>
      </c>
      <c r="C477" s="377" t="s">
        <v>31</v>
      </c>
      <c r="D477" s="378">
        <v>0.26</v>
      </c>
      <c r="E477" s="305"/>
      <c r="F477" s="379"/>
      <c r="G477" s="379" t="s">
        <v>889</v>
      </c>
      <c r="H477" s="380">
        <v>2965</v>
      </c>
      <c r="I477" s="307">
        <v>103003</v>
      </c>
      <c r="J477" s="308">
        <v>0.26</v>
      </c>
      <c r="K477" s="381">
        <v>165</v>
      </c>
      <c r="L477" s="382">
        <f>IF(tabItens[[#This Row],[Média]] &gt; 0, tabItens[[#This Row],[QTDE ATUAL]] / tabItens[[#This Row],[Média]],999.9)</f>
        <v>277.96875</v>
      </c>
      <c r="M477" s="383">
        <v>0</v>
      </c>
      <c r="N477" s="384">
        <f>tabItens[[#This Row],[VALOR UNIT.]] * tabItens[[#This Row],[LC]]</f>
        <v>0</v>
      </c>
      <c r="O477" s="385" t="s">
        <v>2193</v>
      </c>
      <c r="P477" s="386"/>
      <c r="Q477" s="387"/>
      <c r="R477" s="312"/>
      <c r="S477" s="388"/>
      <c r="T477" s="389">
        <f>ROUNDDOWN(IFERROR(tabItens[[#This Row],[ATA DT.VALID.]] - $D$1,0) / 30,0)</f>
        <v>-1474</v>
      </c>
      <c r="U477" s="302" t="s">
        <v>1630</v>
      </c>
      <c r="V477" s="318">
        <v>1</v>
      </c>
      <c r="W477" s="390" t="s">
        <v>2085</v>
      </c>
      <c r="X477" s="391">
        <v>60</v>
      </c>
      <c r="Y477" s="392">
        <v>21</v>
      </c>
      <c r="Z477" s="393"/>
      <c r="AA477" s="394"/>
      <c r="AB477" s="395"/>
      <c r="AC477" s="395"/>
      <c r="AD477" s="394"/>
      <c r="AE477" s="395"/>
      <c r="AF477" s="317"/>
      <c r="AG477" s="396" t="s">
        <v>2072</v>
      </c>
      <c r="AH477" s="397"/>
      <c r="AI477" s="317">
        <v>56</v>
      </c>
      <c r="AJ477" s="397">
        <v>44747</v>
      </c>
      <c r="AK477" s="326">
        <v>41368</v>
      </c>
      <c r="AL477" s="326">
        <v>45148</v>
      </c>
      <c r="AM477" s="316"/>
      <c r="AN477" s="305"/>
      <c r="AO477" s="327" t="str">
        <f>_xlfn.IFNA(IF(VLOOKUP(tabItens[[#This Row],[CÓDIGO]],tabExcluirDoEstoque[#Data],1,FALSE),"sim",""),"")</f>
        <v/>
      </c>
      <c r="AP477" s="398" t="str">
        <f ca="1">IF(OR(ISBLANK(tabItens[[#This Row],[ATA DT.VALID.]]),tabItens[[#This Row],[ATA DT.VALID.]]="",tabItens[[#This Row],[ATA DT.VALID.]]=" "),"",IF(TYPE(tabItens[[#This Row],[ATA DT.VALID.]])=1,ROUNDUP((tabItens[[#This Row],[ATA DT.VALID.]]-TODAY())/7,0),""))</f>
        <v/>
      </c>
      <c r="AQ477" s="399">
        <v>0</v>
      </c>
      <c r="AR477" s="400" t="str">
        <f>IF(ISBLANK(tabItens[[#This Row],[CÓDIGO]]),"",IFERROR(VLOOKUP(tabItens[[#This Row],[CÓDIGO]],Consumo!$C$2:$AC$862,26,FALSE),0))</f>
        <v>01.2023</v>
      </c>
      <c r="AS477" s="401">
        <f>SUMIF(Consumo!$C$3:$C$862,tabItens[[#This Row],[CÓDIGO]],Consumo!$N$3:$N$862) + SUMIF(Consumo!$C$3:$C$862,tabItens[[#This Row],[CÓDIGO]],Consumo!$O$3:$O$862) + SUMIF(Consumo!$C$3:$C$862,tabItens[[#This Row],[CÓDIGO]],Consumo!$P$3:$P$862) + SUMIF(Consumo!$C$3:$C$862,tabItens[[#This Row],[CÓDIGO]],Consumo!$Q$3:$Q$862)</f>
        <v>0</v>
      </c>
      <c r="AT477" s="401">
        <f>SUMIF(Consumo!$C$3:$C$862,tabItens[[#This Row],[CÓDIGO]],Consumo!$Z$3:$Z$862)</f>
        <v>165</v>
      </c>
      <c r="AU477" s="402">
        <f>SUMIF(Consumo!$C$3:$C$862,tabItens[[#This Row],[CÓDIGO]],Consumo!$AA$3:$AA$862)</f>
        <v>120</v>
      </c>
      <c r="AV477" s="403">
        <f>SUMIF(Consumo!$C$3:$C$862,tabItens[[#This Row],[CÓDIGO]],Consumo!$Y$3:$Y$862)</f>
        <v>10.666666666666666</v>
      </c>
      <c r="AW477" s="380">
        <f>tabItens[[#This Row],[QTDE ATUAL]] + tabItens[[#This Row],[RC QTDE]] + tabItens[[#This Row],[AF SALDO]] + tabItens[[#This Row],[Recentes]]</f>
        <v>2965</v>
      </c>
      <c r="AX477" s="404">
        <v>67</v>
      </c>
      <c r="AY477" s="404">
        <v>4</v>
      </c>
      <c r="AZ477" s="404">
        <f>IF(ISBLANK(tabItens[[#This Row],[CÓDIGO]]),"",tabItens[[#This Row],[PontoMês]] * (AZ$2+tabItens[[#This Row],[PontoQtM]]))</f>
        <v>268</v>
      </c>
      <c r="BA477" s="403">
        <f>tabItens[[#This Row],[PontoPed]] - tabItens[[#This Row],[Saldo]] + (1/10)</f>
        <v>-2696.9</v>
      </c>
      <c r="BB477" s="403">
        <f xml:space="preserve"> tabItens[[#This Row],[PontoMês]] * BB$2 - tabItens[[#This Row],[QTDE ATUAL]] - (1/10)</f>
        <v>-2898.1</v>
      </c>
      <c r="BC477" s="335">
        <f>IF( tabItens[[#This Row],[PontoPed]]&gt;0, IF(tabItens[[#This Row],[PontoPed]]&lt;1, 1, IF( tabItens[[#This Row],[Saldo]]&gt;tabItens[[#This Row],[PontoPed]], 0, (tabItens[[#This Row],[PontoPed]]-tabItens[[#This Row],[Saldo]])/tabItens[[#This Row],[PontoPed]] ) ), 0 )</f>
        <v>0</v>
      </c>
      <c r="BD477" s="405">
        <f>ROUNDDOWN(IF( OR( AND(tabItens[[#This Row],[PontoPed]]&lt;tabItens[[#This Row],[Saldo]],tabItens[[#This Row],[Saldo]]&gt;0), tabItens[[#This Row],[PontoPed]]=0), 99, IF(AND(tabItens[[#This Row],[Saldo]]=0,tabItens[[#This Row],[PontoPed]]&gt;0), 0, (1-tabItens[[#This Row],[PctAb]])*10 ) ),0)</f>
        <v>99</v>
      </c>
      <c r="BE477" s="406">
        <f>MAX(ROUNDDOWN( IF(tabItens[[#This Row],[Abaixo]] &gt; 0,   tabItens[[#This Row],[Abaixo]] + (tabItens[[#This Row],[PontoMês]] * IF( OR( ISBLANK(tabItens[[#This Row],[ATA Nº/ANO]]), tabItens[[#This Row],[ATA Nº/ANO]] = ""),BE$2,BE$1)),0),0),0)</f>
        <v>0</v>
      </c>
      <c r="BF47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7" s="338">
        <f>SUMIF(Consumo!$C$3:$C$862,tabItens[[#This Row],[CÓDIGO]],Consumo!$E$3:$E$862)</f>
        <v>0</v>
      </c>
      <c r="BH477" s="339">
        <f>IF(AND(tabItens[[#This Row],[Pend]] &gt; 0,tabItens[[#This Row],[Consumo]] &lt;&gt; 0), tabItens[[#This Row],[Pend]] / tabItens[[#This Row],[Consumo]], 0 )</f>
        <v>0</v>
      </c>
      <c r="BI477" s="338"/>
      <c r="BJ477" s="407"/>
      <c r="BK477" s="408" t="s">
        <v>2086</v>
      </c>
    </row>
    <row r="478" spans="1:63" x14ac:dyDescent="0.3">
      <c r="A478" s="375">
        <v>102000</v>
      </c>
      <c r="B478" s="376" t="s">
        <v>1582</v>
      </c>
      <c r="C478" s="377" t="s">
        <v>560</v>
      </c>
      <c r="D478" s="378">
        <v>56.34</v>
      </c>
      <c r="E478" s="305"/>
      <c r="F478" s="379"/>
      <c r="G478" s="379" t="s">
        <v>889</v>
      </c>
      <c r="H478" s="380">
        <v>759</v>
      </c>
      <c r="I478" s="307">
        <v>103003</v>
      </c>
      <c r="J478" s="308">
        <v>56.34</v>
      </c>
      <c r="K478" s="381">
        <v>1689</v>
      </c>
      <c r="L478" s="382">
        <f>IF(tabItens[[#This Row],[Média]] &gt; 0, tabItens[[#This Row],[QTDE ATUAL]] / tabItens[[#This Row],[Média]],999.9)</f>
        <v>5.7211055276381915</v>
      </c>
      <c r="M478" s="383">
        <v>0</v>
      </c>
      <c r="N478" s="384">
        <f>tabItens[[#This Row],[VALOR UNIT.]] * tabItens[[#This Row],[LC]]</f>
        <v>0</v>
      </c>
      <c r="O478" s="385" t="s">
        <v>2172</v>
      </c>
      <c r="P478" s="386"/>
      <c r="Q478" s="387"/>
      <c r="R478" s="312"/>
      <c r="S478" s="388"/>
      <c r="T478" s="389">
        <f>ROUNDDOWN(IFERROR(tabItens[[#This Row],[ATA DT.VALID.]] - $D$1,0) / 30,0)</f>
        <v>-1474</v>
      </c>
      <c r="U478" s="302" t="s">
        <v>1198</v>
      </c>
      <c r="V478" s="318">
        <v>1</v>
      </c>
      <c r="W478" s="390" t="s">
        <v>2071</v>
      </c>
      <c r="X478" s="391">
        <v>51</v>
      </c>
      <c r="Y478" s="392">
        <v>7</v>
      </c>
      <c r="Z478" s="393"/>
      <c r="AA478" s="394"/>
      <c r="AB478" s="395"/>
      <c r="AC478" s="395"/>
      <c r="AD478" s="394"/>
      <c r="AE478" s="395"/>
      <c r="AF478" s="317"/>
      <c r="AG478" s="396" t="s">
        <v>2072</v>
      </c>
      <c r="AH478" s="397"/>
      <c r="AI478" s="317">
        <v>564</v>
      </c>
      <c r="AJ478" s="397">
        <v>45203</v>
      </c>
      <c r="AK478" s="326">
        <v>39339</v>
      </c>
      <c r="AL478" s="326">
        <v>45161</v>
      </c>
      <c r="AM478" s="316"/>
      <c r="AN478" s="305"/>
      <c r="AO478" s="327" t="str">
        <f>_xlfn.IFNA(IF(VLOOKUP(tabItens[[#This Row],[CÓDIGO]],tabExcluirDoEstoque[#Data],1,FALSE),"sim",""),"")</f>
        <v/>
      </c>
      <c r="AP478" s="398" t="str">
        <f ca="1">IF(OR(ISBLANK(tabItens[[#This Row],[ATA DT.VALID.]]),tabItens[[#This Row],[ATA DT.VALID.]]="",tabItens[[#This Row],[ATA DT.VALID.]]=" "),"",IF(TYPE(tabItens[[#This Row],[ATA DT.VALID.]])=1,ROUNDUP((tabItens[[#This Row],[ATA DT.VALID.]]-TODAY())/7,0),""))</f>
        <v/>
      </c>
      <c r="AQ478" s="399">
        <v>0</v>
      </c>
      <c r="AR478" s="400" t="str">
        <f>IF(ISBLANK(tabItens[[#This Row],[CÓDIGO]]),"",IFERROR(VLOOKUP(tabItens[[#This Row],[CÓDIGO]],Consumo!$C$2:$AC$862,26,FALSE),0))</f>
        <v>08.2023</v>
      </c>
      <c r="AS478" s="401">
        <f>SUMIF(Consumo!$C$3:$C$862,tabItens[[#This Row],[CÓDIGO]],Consumo!$N$3:$N$862) + SUMIF(Consumo!$C$3:$C$862,tabItens[[#This Row],[CÓDIGO]],Consumo!$O$3:$O$862) + SUMIF(Consumo!$C$3:$C$862,tabItens[[#This Row],[CÓDIGO]],Consumo!$P$3:$P$862) + SUMIF(Consumo!$C$3:$C$862,tabItens[[#This Row],[CÓDIGO]],Consumo!$Q$3:$Q$862)</f>
        <v>385</v>
      </c>
      <c r="AT478" s="401">
        <f>SUMIF(Consumo!$C$3:$C$862,tabItens[[#This Row],[CÓDIGO]],Consumo!$Z$3:$Z$862)</f>
        <v>1689</v>
      </c>
      <c r="AU478" s="402">
        <f>SUMIF(Consumo!$C$3:$C$862,tabItens[[#This Row],[CÓDIGO]],Consumo!$AA$3:$AA$862)</f>
        <v>704</v>
      </c>
      <c r="AV478" s="403">
        <f>SUMIF(Consumo!$C$3:$C$862,tabItens[[#This Row],[CÓDIGO]],Consumo!$Y$3:$Y$862)</f>
        <v>132.66666666666666</v>
      </c>
      <c r="AW478" s="380">
        <f>tabItens[[#This Row],[QTDE ATUAL]] + tabItens[[#This Row],[RC QTDE]] + tabItens[[#This Row],[AF SALDO]] + tabItens[[#This Row],[Recentes]]</f>
        <v>759</v>
      </c>
      <c r="AX478" s="404">
        <v>20</v>
      </c>
      <c r="AY478" s="404">
        <v>3</v>
      </c>
      <c r="AZ478" s="404">
        <f>IF(ISBLANK(tabItens[[#This Row],[CÓDIGO]]),"",tabItens[[#This Row],[PontoMês]] * (AZ$2+tabItens[[#This Row],[PontoQtM]]))</f>
        <v>60</v>
      </c>
      <c r="BA478" s="403">
        <f>tabItens[[#This Row],[PontoPed]] - tabItens[[#This Row],[Saldo]] + (1/10)</f>
        <v>-698.9</v>
      </c>
      <c r="BB478" s="403">
        <f xml:space="preserve"> tabItens[[#This Row],[PontoMês]] * BB$2 - tabItens[[#This Row],[QTDE ATUAL]] - (1/10)</f>
        <v>-739.1</v>
      </c>
      <c r="BC478" s="335">
        <f>IF( tabItens[[#This Row],[PontoPed]]&gt;0, IF(tabItens[[#This Row],[PontoPed]]&lt;1, 1, IF( tabItens[[#This Row],[Saldo]]&gt;tabItens[[#This Row],[PontoPed]], 0, (tabItens[[#This Row],[PontoPed]]-tabItens[[#This Row],[Saldo]])/tabItens[[#This Row],[PontoPed]] ) ), 0 )</f>
        <v>0</v>
      </c>
      <c r="BD478" s="405">
        <f>ROUNDDOWN(IF( OR( AND(tabItens[[#This Row],[PontoPed]]&lt;tabItens[[#This Row],[Saldo]],tabItens[[#This Row],[Saldo]]&gt;0), tabItens[[#This Row],[PontoPed]]=0), 99, IF(AND(tabItens[[#This Row],[Saldo]]=0,tabItens[[#This Row],[PontoPed]]&gt;0), 0, (1-tabItens[[#This Row],[PctAb]])*10 ) ),0)</f>
        <v>99</v>
      </c>
      <c r="BE478" s="406">
        <f>MAX(ROUNDDOWN( IF(tabItens[[#This Row],[Abaixo]] &gt; 0,   tabItens[[#This Row],[Abaixo]] + (tabItens[[#This Row],[PontoMês]] * IF( OR( ISBLANK(tabItens[[#This Row],[ATA Nº/ANO]]), tabItens[[#This Row],[ATA Nº/ANO]] = ""),BE$2,BE$1)),0),0),0)</f>
        <v>0</v>
      </c>
      <c r="BF47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8" s="338">
        <f>SUMIF(Consumo!$C$3:$C$862,tabItens[[#This Row],[CÓDIGO]],Consumo!$E$3:$E$862)</f>
        <v>0</v>
      </c>
      <c r="BH478" s="339">
        <f>IF(AND(tabItens[[#This Row],[Pend]] &gt; 0,tabItens[[#This Row],[Consumo]] &lt;&gt; 0), tabItens[[#This Row],[Pend]] / tabItens[[#This Row],[Consumo]], 0 )</f>
        <v>0</v>
      </c>
      <c r="BI478" s="338"/>
      <c r="BJ478" s="407"/>
      <c r="BK478" s="408" t="s">
        <v>2086</v>
      </c>
    </row>
    <row r="479" spans="1:63" x14ac:dyDescent="0.3">
      <c r="A479" s="375">
        <v>132623</v>
      </c>
      <c r="B479" s="376" t="s">
        <v>1838</v>
      </c>
      <c r="C479" s="377" t="s">
        <v>31</v>
      </c>
      <c r="D479" s="378">
        <v>179.54</v>
      </c>
      <c r="E479" s="305"/>
      <c r="F479" s="379"/>
      <c r="G479" s="379" t="s">
        <v>889</v>
      </c>
      <c r="H479" s="380">
        <v>65</v>
      </c>
      <c r="I479" s="307">
        <v>103003</v>
      </c>
      <c r="J479" s="308">
        <v>179.54</v>
      </c>
      <c r="K479" s="381">
        <v>14</v>
      </c>
      <c r="L479" s="382">
        <f>IF(tabItens[[#This Row],[Média]] &gt; 0, tabItens[[#This Row],[QTDE ATUAL]] / tabItens[[#This Row],[Média]],999.9)</f>
        <v>60.000000000000007</v>
      </c>
      <c r="M479" s="383">
        <v>0</v>
      </c>
      <c r="N479" s="384">
        <f>tabItens[[#This Row],[VALOR UNIT.]] * tabItens[[#This Row],[LC]]</f>
        <v>0</v>
      </c>
      <c r="O479" s="385" t="s">
        <v>2172</v>
      </c>
      <c r="P479" s="386"/>
      <c r="Q479" s="387"/>
      <c r="R479" s="312"/>
      <c r="S479" s="388"/>
      <c r="T479" s="389">
        <f>ROUNDDOWN(IFERROR(tabItens[[#This Row],[ATA DT.VALID.]] - $D$1,0) / 30,0)</f>
        <v>-1474</v>
      </c>
      <c r="U479" s="302" t="s">
        <v>1026</v>
      </c>
      <c r="V479" s="318">
        <v>1</v>
      </c>
      <c r="W479" s="390" t="s">
        <v>2071</v>
      </c>
      <c r="X479" s="391">
        <v>51</v>
      </c>
      <c r="Y479" s="392">
        <v>35</v>
      </c>
      <c r="Z479" s="393"/>
      <c r="AA479" s="394"/>
      <c r="AB479" s="395"/>
      <c r="AC479" s="395"/>
      <c r="AD479" s="394"/>
      <c r="AE479" s="395"/>
      <c r="AF479" s="317"/>
      <c r="AG479" s="396" t="s">
        <v>2072</v>
      </c>
      <c r="AH479" s="397"/>
      <c r="AI479" s="317">
        <v>6</v>
      </c>
      <c r="AJ479" s="397">
        <v>44362</v>
      </c>
      <c r="AK479" s="326">
        <v>42850</v>
      </c>
      <c r="AL479" s="326">
        <v>44257</v>
      </c>
      <c r="AM479" s="316"/>
      <c r="AN479" s="305"/>
      <c r="AO479" s="327" t="str">
        <f>_xlfn.IFNA(IF(VLOOKUP(tabItens[[#This Row],[CÓDIGO]],tabExcluirDoEstoque[#Data],1,FALSE),"sim",""),"")</f>
        <v/>
      </c>
      <c r="AP479" s="398" t="str">
        <f ca="1">IF(OR(ISBLANK(tabItens[[#This Row],[ATA DT.VALID.]]),tabItens[[#This Row],[ATA DT.VALID.]]="",tabItens[[#This Row],[ATA DT.VALID.]]=" "),"",IF(TYPE(tabItens[[#This Row],[ATA DT.VALID.]])=1,ROUNDUP((tabItens[[#This Row],[ATA DT.VALID.]]-TODAY())/7,0),""))</f>
        <v/>
      </c>
      <c r="AQ479" s="399">
        <v>0</v>
      </c>
      <c r="AR479" s="400" t="str">
        <f>IF(ISBLANK(tabItens[[#This Row],[CÓDIGO]]),"",IFERROR(VLOOKUP(tabItens[[#This Row],[CÓDIGO]],Consumo!$C$2:$AC$862,26,FALSE),0))</f>
        <v>08.2023</v>
      </c>
      <c r="AS479" s="401">
        <f>SUMIF(Consumo!$C$3:$C$862,tabItens[[#This Row],[CÓDIGO]],Consumo!$N$3:$N$862) + SUMIF(Consumo!$C$3:$C$862,tabItens[[#This Row],[CÓDIGO]],Consumo!$O$3:$O$862) + SUMIF(Consumo!$C$3:$C$862,tabItens[[#This Row],[CÓDIGO]],Consumo!$P$3:$P$862) + SUMIF(Consumo!$C$3:$C$862,tabItens[[#This Row],[CÓDIGO]],Consumo!$Q$3:$Q$862)</f>
        <v>2</v>
      </c>
      <c r="AT479" s="401">
        <f>SUMIF(Consumo!$C$3:$C$862,tabItens[[#This Row],[CÓDIGO]],Consumo!$Z$3:$Z$862)</f>
        <v>15</v>
      </c>
      <c r="AU479" s="402">
        <f>SUMIF(Consumo!$C$3:$C$862,tabItens[[#This Row],[CÓDIGO]],Consumo!$AA$3:$AA$862)</f>
        <v>6</v>
      </c>
      <c r="AV479" s="403">
        <f>SUMIF(Consumo!$C$3:$C$862,tabItens[[#This Row],[CÓDIGO]],Consumo!$Y$3:$Y$862)</f>
        <v>1.0833333333333333</v>
      </c>
      <c r="AW479" s="380">
        <f>tabItens[[#This Row],[QTDE ATUAL]] + tabItens[[#This Row],[RC QTDE]] + tabItens[[#This Row],[AF SALDO]] + tabItens[[#This Row],[Recentes]]</f>
        <v>65</v>
      </c>
      <c r="AX479" s="404">
        <v>6</v>
      </c>
      <c r="AY479" s="404">
        <v>4</v>
      </c>
      <c r="AZ479" s="404">
        <f>IF(ISBLANK(tabItens[[#This Row],[CÓDIGO]]),"",tabItens[[#This Row],[PontoMês]] * (AZ$2+tabItens[[#This Row],[PontoQtM]]))</f>
        <v>24</v>
      </c>
      <c r="BA479" s="403">
        <f>tabItens[[#This Row],[PontoPed]] - tabItens[[#This Row],[Saldo]] + (1/10)</f>
        <v>-40.9</v>
      </c>
      <c r="BB479" s="403">
        <f xml:space="preserve"> tabItens[[#This Row],[PontoMês]] * BB$2 - tabItens[[#This Row],[QTDE ATUAL]] - (1/10)</f>
        <v>-59.1</v>
      </c>
      <c r="BC479" s="335">
        <f>IF( tabItens[[#This Row],[PontoPed]]&gt;0, IF(tabItens[[#This Row],[PontoPed]]&lt;1, 1, IF( tabItens[[#This Row],[Saldo]]&gt;tabItens[[#This Row],[PontoPed]], 0, (tabItens[[#This Row],[PontoPed]]-tabItens[[#This Row],[Saldo]])/tabItens[[#This Row],[PontoPed]] ) ), 0 )</f>
        <v>0</v>
      </c>
      <c r="BD479" s="405">
        <f>ROUNDDOWN(IF( OR( AND(tabItens[[#This Row],[PontoPed]]&lt;tabItens[[#This Row],[Saldo]],tabItens[[#This Row],[Saldo]]&gt;0), tabItens[[#This Row],[PontoPed]]=0), 99, IF(AND(tabItens[[#This Row],[Saldo]]=0,tabItens[[#This Row],[PontoPed]]&gt;0), 0, (1-tabItens[[#This Row],[PctAb]])*10 ) ),0)</f>
        <v>99</v>
      </c>
      <c r="BE479" s="406">
        <f>MAX(ROUNDDOWN( IF(tabItens[[#This Row],[Abaixo]] &gt; 0,   tabItens[[#This Row],[Abaixo]] + (tabItens[[#This Row],[PontoMês]] * IF( OR( ISBLANK(tabItens[[#This Row],[ATA Nº/ANO]]), tabItens[[#This Row],[ATA Nº/ANO]] = ""),BE$2,BE$1)),0),0),0)</f>
        <v>0</v>
      </c>
      <c r="BF47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9" s="338">
        <f>SUMIF(Consumo!$C$3:$C$862,tabItens[[#This Row],[CÓDIGO]],Consumo!$E$3:$E$862)</f>
        <v>0</v>
      </c>
      <c r="BH479" s="339">
        <f>IF(AND(tabItens[[#This Row],[Pend]] &gt; 0,tabItens[[#This Row],[Consumo]] &lt;&gt; 0), tabItens[[#This Row],[Pend]] / tabItens[[#This Row],[Consumo]], 0 )</f>
        <v>0</v>
      </c>
      <c r="BI479" s="338"/>
      <c r="BJ479" s="407"/>
      <c r="BK479" s="408" t="s">
        <v>2086</v>
      </c>
    </row>
    <row r="480" spans="1:63" x14ac:dyDescent="0.3">
      <c r="A480" s="375">
        <v>100802</v>
      </c>
      <c r="B480" s="376" t="s">
        <v>1576</v>
      </c>
      <c r="C480" s="377" t="s">
        <v>290</v>
      </c>
      <c r="D480" s="378">
        <v>20.420000000000002</v>
      </c>
      <c r="E480" s="305"/>
      <c r="F480" s="379"/>
      <c r="G480" s="379" t="s">
        <v>889</v>
      </c>
      <c r="H480" s="380">
        <v>794</v>
      </c>
      <c r="I480" s="307">
        <v>103003</v>
      </c>
      <c r="J480" s="308">
        <v>20.420000000000002</v>
      </c>
      <c r="K480" s="381">
        <v>828</v>
      </c>
      <c r="L480" s="382">
        <f>IF(tabItens[[#This Row],[Média]] &gt; 0, tabItens[[#This Row],[QTDE ATUAL]] / tabItens[[#This Row],[Média]],999.9)</f>
        <v>11.410778443113774</v>
      </c>
      <c r="M480" s="383">
        <v>0</v>
      </c>
      <c r="N480" s="384">
        <f>tabItens[[#This Row],[VALOR UNIT.]] * tabItens[[#This Row],[LC]]</f>
        <v>0</v>
      </c>
      <c r="O480" s="385" t="s">
        <v>2136</v>
      </c>
      <c r="P480" s="386"/>
      <c r="Q480" s="387"/>
      <c r="R480" s="312"/>
      <c r="S480" s="388"/>
      <c r="T480" s="389">
        <f>ROUNDDOWN(IFERROR(tabItens[[#This Row],[ATA DT.VALID.]] - $D$1,0) / 30,0)</f>
        <v>-1474</v>
      </c>
      <c r="U480" s="302" t="s">
        <v>993</v>
      </c>
      <c r="V480" s="318">
        <v>1</v>
      </c>
      <c r="W480" s="390" t="s">
        <v>2076</v>
      </c>
      <c r="X480" s="391">
        <v>61</v>
      </c>
      <c r="Y480" s="392">
        <v>9</v>
      </c>
      <c r="Z480" s="393"/>
      <c r="AA480" s="394"/>
      <c r="AB480" s="395"/>
      <c r="AC480" s="395"/>
      <c r="AD480" s="394"/>
      <c r="AE480" s="395"/>
      <c r="AF480" s="317"/>
      <c r="AG480" s="396" t="s">
        <v>2072</v>
      </c>
      <c r="AH480" s="397"/>
      <c r="AI480" s="317">
        <v>276</v>
      </c>
      <c r="AJ480" s="397">
        <v>45154</v>
      </c>
      <c r="AK480" s="326">
        <v>39275</v>
      </c>
      <c r="AL480" s="326">
        <v>45161</v>
      </c>
      <c r="AM480" s="316"/>
      <c r="AN480" s="305"/>
      <c r="AO480" s="327" t="str">
        <f>_xlfn.IFNA(IF(VLOOKUP(tabItens[[#This Row],[CÓDIGO]],tabExcluirDoEstoque[#Data],1,FALSE),"sim",""),"")</f>
        <v/>
      </c>
      <c r="AP480" s="398" t="str">
        <f ca="1">IF(OR(ISBLANK(tabItens[[#This Row],[ATA DT.VALID.]]),tabItens[[#This Row],[ATA DT.VALID.]]="",tabItens[[#This Row],[ATA DT.VALID.]]=" "),"",IF(TYPE(tabItens[[#This Row],[ATA DT.VALID.]])=1,ROUNDUP((tabItens[[#This Row],[ATA DT.VALID.]]-TODAY())/7,0),""))</f>
        <v/>
      </c>
      <c r="AQ480" s="399">
        <v>0</v>
      </c>
      <c r="AR480" s="400" t="str">
        <f>IF(ISBLANK(tabItens[[#This Row],[CÓDIGO]]),"",IFERROR(VLOOKUP(tabItens[[#This Row],[CÓDIGO]],Consumo!$C$2:$AC$862,26,FALSE),0))</f>
        <v>09.2023</v>
      </c>
      <c r="AS480" s="401">
        <f>SUMIF(Consumo!$C$3:$C$862,tabItens[[#This Row],[CÓDIGO]],Consumo!$N$3:$N$862) + SUMIF(Consumo!$C$3:$C$862,tabItens[[#This Row],[CÓDIGO]],Consumo!$O$3:$O$862) + SUMIF(Consumo!$C$3:$C$862,tabItens[[#This Row],[CÓDIGO]],Consumo!$P$3:$P$862) + SUMIF(Consumo!$C$3:$C$862,tabItens[[#This Row],[CÓDIGO]],Consumo!$Q$3:$Q$862)</f>
        <v>182</v>
      </c>
      <c r="AT480" s="401">
        <f>SUMIF(Consumo!$C$3:$C$862,tabItens[[#This Row],[CÓDIGO]],Consumo!$Z$3:$Z$862)</f>
        <v>835</v>
      </c>
      <c r="AU480" s="402">
        <f>SUMIF(Consumo!$C$3:$C$862,tabItens[[#This Row],[CÓDIGO]],Consumo!$AA$3:$AA$862)</f>
        <v>215</v>
      </c>
      <c r="AV480" s="403">
        <f>SUMIF(Consumo!$C$3:$C$862,tabItens[[#This Row],[CÓDIGO]],Consumo!$Y$3:$Y$862)</f>
        <v>69.583333333333329</v>
      </c>
      <c r="AW480" s="380">
        <f>tabItens[[#This Row],[QTDE ATUAL]] + tabItens[[#This Row],[RC QTDE]] + tabItens[[#This Row],[AF SALDO]] + tabItens[[#This Row],[Recentes]]</f>
        <v>794</v>
      </c>
      <c r="AX480" s="404">
        <v>49</v>
      </c>
      <c r="AY480" s="404">
        <v>4</v>
      </c>
      <c r="AZ480" s="404">
        <f>IF(ISBLANK(tabItens[[#This Row],[CÓDIGO]]),"",tabItens[[#This Row],[PontoMês]] * (AZ$2+tabItens[[#This Row],[PontoQtM]]))</f>
        <v>196</v>
      </c>
      <c r="BA480" s="403">
        <f>tabItens[[#This Row],[PontoPed]] - tabItens[[#This Row],[Saldo]] + (1/10)</f>
        <v>-597.9</v>
      </c>
      <c r="BB480" s="403">
        <f xml:space="preserve"> tabItens[[#This Row],[PontoMês]] * BB$2 - tabItens[[#This Row],[QTDE ATUAL]] - (1/10)</f>
        <v>-745.1</v>
      </c>
      <c r="BC480" s="335">
        <f>IF( tabItens[[#This Row],[PontoPed]]&gt;0, IF(tabItens[[#This Row],[PontoPed]]&lt;1, 1, IF( tabItens[[#This Row],[Saldo]]&gt;tabItens[[#This Row],[PontoPed]], 0, (tabItens[[#This Row],[PontoPed]]-tabItens[[#This Row],[Saldo]])/tabItens[[#This Row],[PontoPed]] ) ), 0 )</f>
        <v>0</v>
      </c>
      <c r="BD480" s="405">
        <f>ROUNDDOWN(IF( OR( AND(tabItens[[#This Row],[PontoPed]]&lt;tabItens[[#This Row],[Saldo]],tabItens[[#This Row],[Saldo]]&gt;0), tabItens[[#This Row],[PontoPed]]=0), 99, IF(AND(tabItens[[#This Row],[Saldo]]=0,tabItens[[#This Row],[PontoPed]]&gt;0), 0, (1-tabItens[[#This Row],[PctAb]])*10 ) ),0)</f>
        <v>99</v>
      </c>
      <c r="BE480" s="406">
        <f>MAX(ROUNDDOWN( IF(tabItens[[#This Row],[Abaixo]] &gt; 0,   tabItens[[#This Row],[Abaixo]] + (tabItens[[#This Row],[PontoMês]] * IF( OR( ISBLANK(tabItens[[#This Row],[ATA Nº/ANO]]), tabItens[[#This Row],[ATA Nº/ANO]] = ""),BE$2,BE$1)),0),0),0)</f>
        <v>0</v>
      </c>
      <c r="BF48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0" s="338">
        <f>SUMIF(Consumo!$C$3:$C$862,tabItens[[#This Row],[CÓDIGO]],Consumo!$E$3:$E$862)</f>
        <v>7</v>
      </c>
      <c r="BH480" s="339">
        <f>IF(AND(tabItens[[#This Row],[Pend]] &gt; 0,tabItens[[#This Row],[Consumo]] &lt;&gt; 0), tabItens[[#This Row],[Pend]] / tabItens[[#This Row],[Consumo]], 0 )</f>
        <v>8.3832335329341312E-3</v>
      </c>
      <c r="BI480" s="338"/>
      <c r="BJ480" s="407"/>
      <c r="BK480" s="408" t="s">
        <v>2086</v>
      </c>
    </row>
    <row r="481" spans="1:63" x14ac:dyDescent="0.3">
      <c r="A481" s="375">
        <v>20144</v>
      </c>
      <c r="B481" s="376" t="s">
        <v>1164</v>
      </c>
      <c r="C481" s="377" t="s">
        <v>263</v>
      </c>
      <c r="D481" s="378">
        <v>3.43</v>
      </c>
      <c r="E481" s="305"/>
      <c r="F481" s="379"/>
      <c r="G481" s="379" t="s">
        <v>889</v>
      </c>
      <c r="H481" s="380">
        <v>47</v>
      </c>
      <c r="I481" s="307">
        <v>103003</v>
      </c>
      <c r="J481" s="308">
        <v>3.43</v>
      </c>
      <c r="K481" s="381">
        <v>259</v>
      </c>
      <c r="L481" s="382">
        <f>IF(tabItens[[#This Row],[Média]] &gt; 0, tabItens[[#This Row],[QTDE ATUAL]] / tabItens[[#This Row],[Média]],999.9)</f>
        <v>1.7961783439490444</v>
      </c>
      <c r="M481" s="383">
        <v>0</v>
      </c>
      <c r="N481" s="384">
        <f>tabItens[[#This Row],[VALOR UNIT.]] * tabItens[[#This Row],[LC]]</f>
        <v>0</v>
      </c>
      <c r="O481" s="385" t="s">
        <v>2136</v>
      </c>
      <c r="P481" s="386"/>
      <c r="Q481" s="387"/>
      <c r="R481" s="312"/>
      <c r="S481" s="388"/>
      <c r="T481" s="389">
        <f>ROUNDDOWN(IFERROR(tabItens[[#This Row],[ATA DT.VALID.]] - $D$1,0) / 30,0)</f>
        <v>-1474</v>
      </c>
      <c r="U481" s="302" t="s">
        <v>1152</v>
      </c>
      <c r="V481" s="318">
        <v>1</v>
      </c>
      <c r="W481" s="390" t="s">
        <v>2078</v>
      </c>
      <c r="X481" s="391">
        <v>70</v>
      </c>
      <c r="Y481" s="392">
        <v>31</v>
      </c>
      <c r="Z481" s="393"/>
      <c r="AA481" s="394"/>
      <c r="AB481" s="395"/>
      <c r="AC481" s="395"/>
      <c r="AD481" s="394"/>
      <c r="AE481" s="395"/>
      <c r="AF481" s="317"/>
      <c r="AG481" s="396" t="s">
        <v>2072</v>
      </c>
      <c r="AH481" s="397"/>
      <c r="AI481" s="317">
        <v>106</v>
      </c>
      <c r="AJ481" s="397">
        <v>44202</v>
      </c>
      <c r="AK481" s="326" t="s">
        <v>889</v>
      </c>
      <c r="AL481" s="326">
        <v>44231</v>
      </c>
      <c r="AM481" s="316"/>
      <c r="AN481" s="305"/>
      <c r="AO481" s="327" t="str">
        <f>_xlfn.IFNA(IF(VLOOKUP(tabItens[[#This Row],[CÓDIGO]],tabExcluirDoEstoque[#Data],1,FALSE),"sim",""),"")</f>
        <v/>
      </c>
      <c r="AP481" s="398" t="str">
        <f ca="1">IF(OR(ISBLANK(tabItens[[#This Row],[ATA DT.VALID.]]),tabItens[[#This Row],[ATA DT.VALID.]]="",tabItens[[#This Row],[ATA DT.VALID.]]=" "),"",IF(TYPE(tabItens[[#This Row],[ATA DT.VALID.]])=1,ROUNDUP((tabItens[[#This Row],[ATA DT.VALID.]]-TODAY())/7,0),""))</f>
        <v/>
      </c>
      <c r="AQ481" s="399">
        <v>0</v>
      </c>
      <c r="AR481" s="400" t="str">
        <f>IF(ISBLANK(tabItens[[#This Row],[CÓDIGO]]),"",IFERROR(VLOOKUP(tabItens[[#This Row],[CÓDIGO]],Consumo!$C$2:$AC$862,26,FALSE),0))</f>
        <v>09.2023</v>
      </c>
      <c r="AS481" s="401">
        <f>SUMIF(Consumo!$C$3:$C$862,tabItens[[#This Row],[CÓDIGO]],Consumo!$N$3:$N$862) + SUMIF(Consumo!$C$3:$C$862,tabItens[[#This Row],[CÓDIGO]],Consumo!$O$3:$O$862) + SUMIF(Consumo!$C$3:$C$862,tabItens[[#This Row],[CÓDIGO]],Consumo!$P$3:$P$862) + SUMIF(Consumo!$C$3:$C$862,tabItens[[#This Row],[CÓDIGO]],Consumo!$Q$3:$Q$862)</f>
        <v>120</v>
      </c>
      <c r="AT481" s="401">
        <f>SUMIF(Consumo!$C$3:$C$862,tabItens[[#This Row],[CÓDIGO]],Consumo!$Z$3:$Z$862)</f>
        <v>315</v>
      </c>
      <c r="AU481" s="402">
        <f>SUMIF(Consumo!$C$3:$C$862,tabItens[[#This Row],[CÓDIGO]],Consumo!$AA$3:$AA$862)</f>
        <v>70</v>
      </c>
      <c r="AV481" s="403">
        <f>SUMIF(Consumo!$C$3:$C$862,tabItens[[#This Row],[CÓDIGO]],Consumo!$Y$3:$Y$862)</f>
        <v>26.166666666666668</v>
      </c>
      <c r="AW481" s="380">
        <f>tabItens[[#This Row],[QTDE ATUAL]] + tabItens[[#This Row],[RC QTDE]] + tabItens[[#This Row],[AF SALDO]] + tabItens[[#This Row],[Recentes]]</f>
        <v>47</v>
      </c>
      <c r="AX481" s="404">
        <v>67</v>
      </c>
      <c r="AY481" s="404">
        <v>4</v>
      </c>
      <c r="AZ481" s="404">
        <f>IF(ISBLANK(tabItens[[#This Row],[CÓDIGO]]),"",tabItens[[#This Row],[PontoMês]] * (AZ$2+tabItens[[#This Row],[PontoQtM]]))</f>
        <v>268</v>
      </c>
      <c r="BA481" s="403">
        <f>tabItens[[#This Row],[PontoPed]] - tabItens[[#This Row],[Saldo]] + (1/10)</f>
        <v>221.1</v>
      </c>
      <c r="BB481" s="403">
        <f xml:space="preserve"> tabItens[[#This Row],[PontoMês]] * BB$2 - tabItens[[#This Row],[QTDE ATUAL]] - (1/10)</f>
        <v>19.899999999999999</v>
      </c>
      <c r="BC481" s="335">
        <f>IF( tabItens[[#This Row],[PontoPed]]&gt;0, IF(tabItens[[#This Row],[PontoPed]]&lt;1, 1, IF( tabItens[[#This Row],[Saldo]]&gt;tabItens[[#This Row],[PontoPed]], 0, (tabItens[[#This Row],[PontoPed]]-tabItens[[#This Row],[Saldo]])/tabItens[[#This Row],[PontoPed]] ) ), 0 )</f>
        <v>0.82462686567164178</v>
      </c>
      <c r="BD481" s="405">
        <f>ROUNDDOWN(IF( OR( AND(tabItens[[#This Row],[PontoPed]]&lt;tabItens[[#This Row],[Saldo]],tabItens[[#This Row],[Saldo]]&gt;0), tabItens[[#This Row],[PontoPed]]=0), 99, IF(AND(tabItens[[#This Row],[Saldo]]=0,tabItens[[#This Row],[PontoPed]]&gt;0), 0, (1-tabItens[[#This Row],[PctAb]])*10 ) ),0)</f>
        <v>1</v>
      </c>
      <c r="BE481" s="406">
        <f>MAX(ROUNDDOWN( IF(tabItens[[#This Row],[Abaixo]] &gt; 0,   tabItens[[#This Row],[Abaixo]] + (tabItens[[#This Row],[PontoMês]] * IF( OR( ISBLANK(tabItens[[#This Row],[ATA Nº/ANO]]), tabItens[[#This Row],[ATA Nº/ANO]] = ""),BE$2,BE$1)),0),0),0)</f>
        <v>422</v>
      </c>
      <c r="BF48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1" s="338">
        <f>SUMIF(Consumo!$C$3:$C$862,tabItens[[#This Row],[CÓDIGO]],Consumo!$E$3:$E$862)</f>
        <v>0</v>
      </c>
      <c r="BH481" s="339">
        <f>IF(AND(tabItens[[#This Row],[Pend]] &gt; 0,tabItens[[#This Row],[Consumo]] &lt;&gt; 0), tabItens[[#This Row],[Pend]] / tabItens[[#This Row],[Consumo]], 0 )</f>
        <v>0</v>
      </c>
      <c r="BI481" s="338"/>
      <c r="BJ481" s="407"/>
      <c r="BK481" s="408" t="s">
        <v>2086</v>
      </c>
    </row>
    <row r="482" spans="1:63" x14ac:dyDescent="0.3">
      <c r="A482" s="375">
        <v>40251</v>
      </c>
      <c r="B482" s="376" t="s">
        <v>1275</v>
      </c>
      <c r="C482" s="377" t="s">
        <v>263</v>
      </c>
      <c r="D482" s="378">
        <v>10</v>
      </c>
      <c r="E482" s="305"/>
      <c r="F482" s="379"/>
      <c r="G482" s="379" t="s">
        <v>889</v>
      </c>
      <c r="H482" s="380">
        <v>0</v>
      </c>
      <c r="I482" s="307">
        <v>103003</v>
      </c>
      <c r="J482" s="308">
        <v>10</v>
      </c>
      <c r="K482" s="381">
        <v>418</v>
      </c>
      <c r="L482" s="382">
        <f>IF(tabItens[[#This Row],[Média]] &gt; 0, tabItens[[#This Row],[QTDE ATUAL]] / tabItens[[#This Row],[Média]],999.9)</f>
        <v>0</v>
      </c>
      <c r="M482" s="383">
        <v>0</v>
      </c>
      <c r="N482" s="384">
        <f>tabItens[[#This Row],[VALOR UNIT.]] * tabItens[[#This Row],[LC]]</f>
        <v>0</v>
      </c>
      <c r="O482" s="385" t="s">
        <v>2136</v>
      </c>
      <c r="P482" s="386"/>
      <c r="Q482" s="387"/>
      <c r="R482" s="312"/>
      <c r="S482" s="388"/>
      <c r="T482" s="389">
        <f>ROUNDDOWN(IFERROR(tabItens[[#This Row],[ATA DT.VALID.]] - $D$1,0) / 30,0)</f>
        <v>-1474</v>
      </c>
      <c r="U482" s="302" t="s">
        <v>1276</v>
      </c>
      <c r="V482" s="318">
        <v>1</v>
      </c>
      <c r="W482" s="390" t="s">
        <v>2078</v>
      </c>
      <c r="X482" s="391">
        <v>83</v>
      </c>
      <c r="Y482" s="392">
        <v>4</v>
      </c>
      <c r="Z482" s="393"/>
      <c r="AA482" s="394"/>
      <c r="AB482" s="395"/>
      <c r="AC482" s="395"/>
      <c r="AD482" s="394"/>
      <c r="AE482" s="395"/>
      <c r="AF482" s="317"/>
      <c r="AG482" s="396" t="s">
        <v>2072</v>
      </c>
      <c r="AH482" s="397"/>
      <c r="AI482" s="317">
        <v>146</v>
      </c>
      <c r="AJ482" s="397">
        <v>45201</v>
      </c>
      <c r="AK482" s="326" t="s">
        <v>889</v>
      </c>
      <c r="AL482" s="326">
        <v>45189</v>
      </c>
      <c r="AM482" s="316"/>
      <c r="AN482" s="305"/>
      <c r="AO482" s="327" t="str">
        <f>_xlfn.IFNA(IF(VLOOKUP(tabItens[[#This Row],[CÓDIGO]],tabExcluirDoEstoque[#Data],1,FALSE),"sim",""),"")</f>
        <v/>
      </c>
      <c r="AP482" s="398" t="str">
        <f ca="1">IF(OR(ISBLANK(tabItens[[#This Row],[ATA DT.VALID.]]),tabItens[[#This Row],[ATA DT.VALID.]]="",tabItens[[#This Row],[ATA DT.VALID.]]=" "),"",IF(TYPE(tabItens[[#This Row],[ATA DT.VALID.]])=1,ROUNDUP((tabItens[[#This Row],[ATA DT.VALID.]]-TODAY())/7,0),""))</f>
        <v/>
      </c>
      <c r="AQ482" s="399">
        <v>0</v>
      </c>
      <c r="AR482" s="400" t="str">
        <f>IF(ISBLANK(tabItens[[#This Row],[CÓDIGO]]),"",IFERROR(VLOOKUP(tabItens[[#This Row],[CÓDIGO]],Consumo!$C$2:$AC$862,26,FALSE),0))</f>
        <v>04.2023</v>
      </c>
      <c r="AS482" s="401">
        <f>SUMIF(Consumo!$C$3:$C$862,tabItens[[#This Row],[CÓDIGO]],Consumo!$N$3:$N$862) + SUMIF(Consumo!$C$3:$C$862,tabItens[[#This Row],[CÓDIGO]],Consumo!$O$3:$O$862) + SUMIF(Consumo!$C$3:$C$862,tabItens[[#This Row],[CÓDIGO]],Consumo!$P$3:$P$862) + SUMIF(Consumo!$C$3:$C$862,tabItens[[#This Row],[CÓDIGO]],Consumo!$Q$3:$Q$862)</f>
        <v>0</v>
      </c>
      <c r="AT482" s="401">
        <f>SUMIF(Consumo!$C$3:$C$862,tabItens[[#This Row],[CÓDIGO]],Consumo!$Z$3:$Z$862)</f>
        <v>548</v>
      </c>
      <c r="AU482" s="402">
        <f>SUMIF(Consumo!$C$3:$C$862,tabItens[[#This Row],[CÓDIGO]],Consumo!$AA$3:$AA$862)</f>
        <v>191</v>
      </c>
      <c r="AV482" s="403">
        <f>SUMIF(Consumo!$C$3:$C$862,tabItens[[#This Row],[CÓDIGO]],Consumo!$Y$3:$Y$862)</f>
        <v>42.833333333333336</v>
      </c>
      <c r="AW482" s="380">
        <f>tabItens[[#This Row],[QTDE ATUAL]] + tabItens[[#This Row],[RC QTDE]] + tabItens[[#This Row],[AF SALDO]] + tabItens[[#This Row],[Recentes]]</f>
        <v>0</v>
      </c>
      <c r="AX482" s="404">
        <v>50</v>
      </c>
      <c r="AY482" s="404">
        <v>4</v>
      </c>
      <c r="AZ482" s="404">
        <f>IF(ISBLANK(tabItens[[#This Row],[CÓDIGO]]),"",tabItens[[#This Row],[PontoMês]] * (AZ$2+tabItens[[#This Row],[PontoQtM]]))</f>
        <v>200</v>
      </c>
      <c r="BA482" s="403">
        <f>tabItens[[#This Row],[PontoPed]] - tabItens[[#This Row],[Saldo]] + (1/10)</f>
        <v>200.1</v>
      </c>
      <c r="BB482" s="403">
        <f xml:space="preserve"> tabItens[[#This Row],[PontoMês]] * BB$2 - tabItens[[#This Row],[QTDE ATUAL]] - (1/10)</f>
        <v>49.9</v>
      </c>
      <c r="BC482" s="335">
        <f>IF( tabItens[[#This Row],[PontoPed]]&gt;0, IF(tabItens[[#This Row],[PontoPed]]&lt;1, 1, IF( tabItens[[#This Row],[Saldo]]&gt;tabItens[[#This Row],[PontoPed]], 0, (tabItens[[#This Row],[PontoPed]]-tabItens[[#This Row],[Saldo]])/tabItens[[#This Row],[PontoPed]] ) ), 0 )</f>
        <v>1</v>
      </c>
      <c r="BD482" s="405">
        <f>ROUNDDOWN(IF( OR( AND(tabItens[[#This Row],[PontoPed]]&lt;tabItens[[#This Row],[Saldo]],tabItens[[#This Row],[Saldo]]&gt;0), tabItens[[#This Row],[PontoPed]]=0), 99, IF(AND(tabItens[[#This Row],[Saldo]]=0,tabItens[[#This Row],[PontoPed]]&gt;0), 0, (1-tabItens[[#This Row],[PctAb]])*10 ) ),0)</f>
        <v>0</v>
      </c>
      <c r="BE482" s="406">
        <f>MAX(ROUNDDOWN( IF(tabItens[[#This Row],[Abaixo]] &gt; 0,   tabItens[[#This Row],[Abaixo]] + (tabItens[[#This Row],[PontoMês]] * IF( OR( ISBLANK(tabItens[[#This Row],[ATA Nº/ANO]]), tabItens[[#This Row],[ATA Nº/ANO]] = ""),BE$2,BE$1)),0),0),0)</f>
        <v>350</v>
      </c>
      <c r="BF48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2" s="338">
        <f>SUMIF(Consumo!$C$3:$C$862,tabItens[[#This Row],[CÓDIGO]],Consumo!$E$3:$E$862)</f>
        <v>110</v>
      </c>
      <c r="BH482" s="339">
        <f>IF(AND(tabItens[[#This Row],[Pend]] &gt; 0,tabItens[[#This Row],[Consumo]] &lt;&gt; 0), tabItens[[#This Row],[Pend]] / tabItens[[#This Row],[Consumo]], 0 )</f>
        <v>0.20072992700729927</v>
      </c>
      <c r="BI482" s="338"/>
      <c r="BJ482" s="407"/>
      <c r="BK482" s="408" t="s">
        <v>2086</v>
      </c>
    </row>
    <row r="483" spans="1:63" x14ac:dyDescent="0.3">
      <c r="A483" s="375">
        <v>122305</v>
      </c>
      <c r="B483" s="376" t="s">
        <v>1752</v>
      </c>
      <c r="C483" s="377" t="s">
        <v>31</v>
      </c>
      <c r="D483" s="378">
        <v>2.14</v>
      </c>
      <c r="E483" s="305"/>
      <c r="F483" s="379"/>
      <c r="G483" s="379" t="s">
        <v>889</v>
      </c>
      <c r="H483" s="380">
        <v>426</v>
      </c>
      <c r="I483" s="307">
        <v>103003</v>
      </c>
      <c r="J483" s="308">
        <v>2.14</v>
      </c>
      <c r="K483" s="381">
        <v>899</v>
      </c>
      <c r="L483" s="382">
        <f>IF(tabItens[[#This Row],[Média]] &gt; 0, tabItens[[#This Row],[QTDE ATUAL]] / tabItens[[#This Row],[Média]],999.9)</f>
        <v>6.1221556886227546</v>
      </c>
      <c r="M483" s="383">
        <v>0</v>
      </c>
      <c r="N483" s="384">
        <f>tabItens[[#This Row],[VALOR UNIT.]] * tabItens[[#This Row],[LC]]</f>
        <v>0</v>
      </c>
      <c r="O483" s="385" t="s">
        <v>2136</v>
      </c>
      <c r="P483" s="386"/>
      <c r="Q483" s="387"/>
      <c r="R483" s="312"/>
      <c r="S483" s="388"/>
      <c r="T483" s="389">
        <f>ROUNDDOWN(IFERROR(tabItens[[#This Row],[ATA DT.VALID.]] - $D$1,0) / 30,0)</f>
        <v>-1474</v>
      </c>
      <c r="U483" s="302" t="s">
        <v>1276</v>
      </c>
      <c r="V483" s="318">
        <v>1</v>
      </c>
      <c r="W483" s="390" t="s">
        <v>2078</v>
      </c>
      <c r="X483" s="391">
        <v>83</v>
      </c>
      <c r="Y483" s="392">
        <v>4</v>
      </c>
      <c r="Z483" s="393"/>
      <c r="AA483" s="394"/>
      <c r="AB483" s="395"/>
      <c r="AC483" s="395"/>
      <c r="AD483" s="394"/>
      <c r="AE483" s="395"/>
      <c r="AF483" s="317"/>
      <c r="AG483" s="396" t="s">
        <v>2072</v>
      </c>
      <c r="AH483" s="397"/>
      <c r="AI483" s="317">
        <v>302</v>
      </c>
      <c r="AJ483" s="397">
        <v>43818</v>
      </c>
      <c r="AK483" s="326">
        <v>40946</v>
      </c>
      <c r="AL483" s="326">
        <v>44214</v>
      </c>
      <c r="AM483" s="316"/>
      <c r="AN483" s="305"/>
      <c r="AO483" s="327" t="str">
        <f>_xlfn.IFNA(IF(VLOOKUP(tabItens[[#This Row],[CÓDIGO]],tabExcluirDoEstoque[#Data],1,FALSE),"sim",""),"")</f>
        <v/>
      </c>
      <c r="AP483" s="398" t="str">
        <f ca="1">IF(OR(ISBLANK(tabItens[[#This Row],[ATA DT.VALID.]]),tabItens[[#This Row],[ATA DT.VALID.]]="",tabItens[[#This Row],[ATA DT.VALID.]]=" "),"",IF(TYPE(tabItens[[#This Row],[ATA DT.VALID.]])=1,ROUNDUP((tabItens[[#This Row],[ATA DT.VALID.]]-TODAY())/7,0),""))</f>
        <v/>
      </c>
      <c r="AQ483" s="399">
        <v>0</v>
      </c>
      <c r="AR483" s="400" t="str">
        <f>IF(ISBLANK(tabItens[[#This Row],[CÓDIGO]]),"",IFERROR(VLOOKUP(tabItens[[#This Row],[CÓDIGO]],Consumo!$C$2:$AC$862,26,FALSE),0))</f>
        <v>08.2023</v>
      </c>
      <c r="AS483" s="401">
        <f>SUMIF(Consumo!$C$3:$C$862,tabItens[[#This Row],[CÓDIGO]],Consumo!$N$3:$N$862) + SUMIF(Consumo!$C$3:$C$862,tabItens[[#This Row],[CÓDIGO]],Consumo!$O$3:$O$862) + SUMIF(Consumo!$C$3:$C$862,tabItens[[#This Row],[CÓDIGO]],Consumo!$P$3:$P$862) + SUMIF(Consumo!$C$3:$C$862,tabItens[[#This Row],[CÓDIGO]],Consumo!$Q$3:$Q$862)</f>
        <v>150</v>
      </c>
      <c r="AT483" s="401">
        <f>SUMIF(Consumo!$C$3:$C$862,tabItens[[#This Row],[CÓDIGO]],Consumo!$Z$3:$Z$862)</f>
        <v>903</v>
      </c>
      <c r="AU483" s="402">
        <f>SUMIF(Consumo!$C$3:$C$862,tabItens[[#This Row],[CÓDIGO]],Consumo!$AA$3:$AA$862)</f>
        <v>400</v>
      </c>
      <c r="AV483" s="403">
        <f>SUMIF(Consumo!$C$3:$C$862,tabItens[[#This Row],[CÓDIGO]],Consumo!$Y$3:$Y$862)</f>
        <v>69.583333333333329</v>
      </c>
      <c r="AW483" s="380">
        <f>tabItens[[#This Row],[QTDE ATUAL]] + tabItens[[#This Row],[RC QTDE]] + tabItens[[#This Row],[AF SALDO]] + tabItens[[#This Row],[Recentes]]</f>
        <v>426</v>
      </c>
      <c r="AX483" s="404">
        <v>100</v>
      </c>
      <c r="AY483" s="404">
        <v>4</v>
      </c>
      <c r="AZ483" s="404">
        <f>IF(ISBLANK(tabItens[[#This Row],[CÓDIGO]]),"",tabItens[[#This Row],[PontoMês]] * (AZ$2+tabItens[[#This Row],[PontoQtM]]))</f>
        <v>400</v>
      </c>
      <c r="BA483" s="403">
        <f>tabItens[[#This Row],[PontoPed]] - tabItens[[#This Row],[Saldo]] + (1/10)</f>
        <v>-25.9</v>
      </c>
      <c r="BB483" s="403">
        <f xml:space="preserve"> tabItens[[#This Row],[PontoMês]] * BB$2 - tabItens[[#This Row],[QTDE ATUAL]] - (1/10)</f>
        <v>-326.10000000000002</v>
      </c>
      <c r="BC483" s="335">
        <f>IF( tabItens[[#This Row],[PontoPed]]&gt;0, IF(tabItens[[#This Row],[PontoPed]]&lt;1, 1, IF( tabItens[[#This Row],[Saldo]]&gt;tabItens[[#This Row],[PontoPed]], 0, (tabItens[[#This Row],[PontoPed]]-tabItens[[#This Row],[Saldo]])/tabItens[[#This Row],[PontoPed]] ) ), 0 )</f>
        <v>0</v>
      </c>
      <c r="BD483" s="405">
        <f>ROUNDDOWN(IF( OR( AND(tabItens[[#This Row],[PontoPed]]&lt;tabItens[[#This Row],[Saldo]],tabItens[[#This Row],[Saldo]]&gt;0), tabItens[[#This Row],[PontoPed]]=0), 99, IF(AND(tabItens[[#This Row],[Saldo]]=0,tabItens[[#This Row],[PontoPed]]&gt;0), 0, (1-tabItens[[#This Row],[PctAb]])*10 ) ),0)</f>
        <v>99</v>
      </c>
      <c r="BE483" s="406">
        <f>MAX(ROUNDDOWN( IF(tabItens[[#This Row],[Abaixo]] &gt; 0,   tabItens[[#This Row],[Abaixo]] + (tabItens[[#This Row],[PontoMês]] * IF( OR( ISBLANK(tabItens[[#This Row],[ATA Nº/ANO]]), tabItens[[#This Row],[ATA Nº/ANO]] = ""),BE$2,BE$1)),0),0),0)</f>
        <v>0</v>
      </c>
      <c r="BF48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3" s="338">
        <f>SUMIF(Consumo!$C$3:$C$862,tabItens[[#This Row],[CÓDIGO]],Consumo!$E$3:$E$862)</f>
        <v>0</v>
      </c>
      <c r="BH483" s="339">
        <f>IF(AND(tabItens[[#This Row],[Pend]] &gt; 0,tabItens[[#This Row],[Consumo]] &lt;&gt; 0), tabItens[[#This Row],[Pend]] / tabItens[[#This Row],[Consumo]], 0 )</f>
        <v>0</v>
      </c>
      <c r="BI483" s="338"/>
      <c r="BJ483" s="407"/>
      <c r="BK483" s="408" t="s">
        <v>2086</v>
      </c>
    </row>
    <row r="484" spans="1:63" x14ac:dyDescent="0.3">
      <c r="A484" s="375">
        <v>101891</v>
      </c>
      <c r="B484" s="376" t="s">
        <v>1580</v>
      </c>
      <c r="C484" s="377" t="s">
        <v>263</v>
      </c>
      <c r="D484" s="378">
        <v>67.45</v>
      </c>
      <c r="E484" s="305"/>
      <c r="F484" s="379"/>
      <c r="G484" s="379" t="s">
        <v>889</v>
      </c>
      <c r="H484" s="380">
        <v>23</v>
      </c>
      <c r="I484" s="307">
        <v>103003</v>
      </c>
      <c r="J484" s="308">
        <v>67.45</v>
      </c>
      <c r="K484" s="381">
        <v>32</v>
      </c>
      <c r="L484" s="382">
        <f>IF(tabItens[[#This Row],[Média]] &gt; 0, tabItens[[#This Row],[QTDE ATUAL]] / tabItens[[#This Row],[Média]],999.9)</f>
        <v>9.5172413793103452</v>
      </c>
      <c r="M484" s="383">
        <v>0</v>
      </c>
      <c r="N484" s="384">
        <f>tabItens[[#This Row],[VALOR UNIT.]] * tabItens[[#This Row],[LC]]</f>
        <v>0</v>
      </c>
      <c r="O484" s="385" t="s">
        <v>2119</v>
      </c>
      <c r="P484" s="386"/>
      <c r="Q484" s="387"/>
      <c r="R484" s="312"/>
      <c r="S484" s="388"/>
      <c r="T484" s="389">
        <f>ROUNDDOWN(IFERROR(tabItens[[#This Row],[ATA DT.VALID.]] - $D$1,0) / 30,0)</f>
        <v>-1474</v>
      </c>
      <c r="U484" s="302" t="s">
        <v>1581</v>
      </c>
      <c r="V484" s="318">
        <v>1</v>
      </c>
      <c r="W484" s="390" t="s">
        <v>2077</v>
      </c>
      <c r="X484" s="391">
        <v>55</v>
      </c>
      <c r="Y484" s="392">
        <v>24</v>
      </c>
      <c r="Z484" s="393">
        <v>2956</v>
      </c>
      <c r="AA484" s="394">
        <v>2023</v>
      </c>
      <c r="AB484" s="395">
        <v>10</v>
      </c>
      <c r="AC484" s="395"/>
      <c r="AD484" s="394"/>
      <c r="AE484" s="395"/>
      <c r="AF484" s="317"/>
      <c r="AG484" s="396" t="s">
        <v>2072</v>
      </c>
      <c r="AH484" s="397"/>
      <c r="AI484" s="317">
        <v>10</v>
      </c>
      <c r="AJ484" s="397">
        <v>44945</v>
      </c>
      <c r="AK484" s="326">
        <v>39330</v>
      </c>
      <c r="AL484" s="326">
        <v>44917</v>
      </c>
      <c r="AM484" s="316"/>
      <c r="AN484" s="305"/>
      <c r="AO484" s="327" t="str">
        <f>_xlfn.IFNA(IF(VLOOKUP(tabItens[[#This Row],[CÓDIGO]],tabExcluirDoEstoque[#Data],1,FALSE),"sim",""),"")</f>
        <v/>
      </c>
      <c r="AP484" s="398" t="str">
        <f ca="1">IF(OR(ISBLANK(tabItens[[#This Row],[ATA DT.VALID.]]),tabItens[[#This Row],[ATA DT.VALID.]]="",tabItens[[#This Row],[ATA DT.VALID.]]=" "),"",IF(TYPE(tabItens[[#This Row],[ATA DT.VALID.]])=1,ROUNDUP((tabItens[[#This Row],[ATA DT.VALID.]]-TODAY())/7,0),""))</f>
        <v/>
      </c>
      <c r="AQ484" s="399">
        <v>0</v>
      </c>
      <c r="AR484" s="400" t="str">
        <f>IF(ISBLANK(tabItens[[#This Row],[CÓDIGO]]),"",IFERROR(VLOOKUP(tabItens[[#This Row],[CÓDIGO]],Consumo!$C$2:$AC$862,26,FALSE),0))</f>
        <v>09.2023</v>
      </c>
      <c r="AS484" s="401">
        <f>SUMIF(Consumo!$C$3:$C$862,tabItens[[#This Row],[CÓDIGO]],Consumo!$N$3:$N$862) + SUMIF(Consumo!$C$3:$C$862,tabItens[[#This Row],[CÓDIGO]],Consumo!$O$3:$O$862) + SUMIF(Consumo!$C$3:$C$862,tabItens[[#This Row],[CÓDIGO]],Consumo!$P$3:$P$862) + SUMIF(Consumo!$C$3:$C$862,tabItens[[#This Row],[CÓDIGO]],Consumo!$Q$3:$Q$862)</f>
        <v>6</v>
      </c>
      <c r="AT484" s="401">
        <f>SUMIF(Consumo!$C$3:$C$862,tabItens[[#This Row],[CÓDIGO]],Consumo!$Z$3:$Z$862)</f>
        <v>32</v>
      </c>
      <c r="AU484" s="402">
        <f>SUMIF(Consumo!$C$3:$C$862,tabItens[[#This Row],[CÓDIGO]],Consumo!$AA$3:$AA$862)</f>
        <v>16</v>
      </c>
      <c r="AV484" s="403">
        <f>SUMIF(Consumo!$C$3:$C$862,tabItens[[#This Row],[CÓDIGO]],Consumo!$Y$3:$Y$862)</f>
        <v>2.4166666666666665</v>
      </c>
      <c r="AW484" s="380">
        <f>tabItens[[#This Row],[QTDE ATUAL]] + tabItens[[#This Row],[RC QTDE]] + tabItens[[#This Row],[AF SALDO]] + tabItens[[#This Row],[Recentes]]</f>
        <v>33</v>
      </c>
      <c r="AX484" s="404">
        <v>5</v>
      </c>
      <c r="AY484" s="404">
        <v>4</v>
      </c>
      <c r="AZ484" s="404">
        <f>IF(ISBLANK(tabItens[[#This Row],[CÓDIGO]]),"",tabItens[[#This Row],[PontoMês]] * (AZ$2+tabItens[[#This Row],[PontoQtM]]))</f>
        <v>20</v>
      </c>
      <c r="BA484" s="403">
        <f>tabItens[[#This Row],[PontoPed]] - tabItens[[#This Row],[Saldo]] + (1/10)</f>
        <v>-12.9</v>
      </c>
      <c r="BB484" s="403">
        <f xml:space="preserve"> tabItens[[#This Row],[PontoMês]] * BB$2 - tabItens[[#This Row],[QTDE ATUAL]] - (1/10)</f>
        <v>-18.100000000000001</v>
      </c>
      <c r="BC484" s="335">
        <f>IF( tabItens[[#This Row],[PontoPed]]&gt;0, IF(tabItens[[#This Row],[PontoPed]]&lt;1, 1, IF( tabItens[[#This Row],[Saldo]]&gt;tabItens[[#This Row],[PontoPed]], 0, (tabItens[[#This Row],[PontoPed]]-tabItens[[#This Row],[Saldo]])/tabItens[[#This Row],[PontoPed]] ) ), 0 )</f>
        <v>0</v>
      </c>
      <c r="BD484" s="405">
        <f>ROUNDDOWN(IF( OR( AND(tabItens[[#This Row],[PontoPed]]&lt;tabItens[[#This Row],[Saldo]],tabItens[[#This Row],[Saldo]]&gt;0), tabItens[[#This Row],[PontoPed]]=0), 99, IF(AND(tabItens[[#This Row],[Saldo]]=0,tabItens[[#This Row],[PontoPed]]&gt;0), 0, (1-tabItens[[#This Row],[PctAb]])*10 ) ),0)</f>
        <v>99</v>
      </c>
      <c r="BE484" s="406">
        <f>MAX(ROUNDDOWN( IF(tabItens[[#This Row],[Abaixo]] &gt; 0,   tabItens[[#This Row],[Abaixo]] + (tabItens[[#This Row],[PontoMês]] * IF( OR( ISBLANK(tabItens[[#This Row],[ATA Nº/ANO]]), tabItens[[#This Row],[ATA Nº/ANO]] = ""),BE$2,BE$1)),0),0),0)</f>
        <v>0</v>
      </c>
      <c r="BF48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4" s="338">
        <f>SUMIF(Consumo!$C$3:$C$862,tabItens[[#This Row],[CÓDIGO]],Consumo!$E$3:$E$862)</f>
        <v>0</v>
      </c>
      <c r="BH484" s="339">
        <f>IF(AND(tabItens[[#This Row],[Pend]] &gt; 0,tabItens[[#This Row],[Consumo]] &lt;&gt; 0), tabItens[[#This Row],[Pend]] / tabItens[[#This Row],[Consumo]], 0 )</f>
        <v>0</v>
      </c>
      <c r="BI484" s="338"/>
      <c r="BJ484" s="407"/>
      <c r="BK484" s="408" t="s">
        <v>2086</v>
      </c>
    </row>
    <row r="485" spans="1:63" x14ac:dyDescent="0.3">
      <c r="A485" s="375">
        <v>133301</v>
      </c>
      <c r="B485" s="376" t="s">
        <v>1852</v>
      </c>
      <c r="C485" s="377" t="s">
        <v>263</v>
      </c>
      <c r="D485" s="378">
        <v>5.31</v>
      </c>
      <c r="E485" s="305"/>
      <c r="F485" s="379"/>
      <c r="G485" s="379" t="s">
        <v>889</v>
      </c>
      <c r="H485" s="380">
        <v>0</v>
      </c>
      <c r="I485" s="307">
        <v>103003</v>
      </c>
      <c r="J485" s="308">
        <v>5.31</v>
      </c>
      <c r="K485" s="381">
        <v>2172</v>
      </c>
      <c r="L485" s="382">
        <f>IF(tabItens[[#This Row],[Média]] &gt; 0, tabItens[[#This Row],[QTDE ATUAL]] / tabItens[[#This Row],[Média]],999.9)</f>
        <v>0</v>
      </c>
      <c r="M485" s="383">
        <v>0</v>
      </c>
      <c r="N485" s="384">
        <f>tabItens[[#This Row],[VALOR UNIT.]] * tabItens[[#This Row],[LC]]</f>
        <v>0</v>
      </c>
      <c r="O485" s="385" t="s">
        <v>2119</v>
      </c>
      <c r="P485" s="386"/>
      <c r="Q485" s="387"/>
      <c r="R485" s="312"/>
      <c r="S485" s="388"/>
      <c r="T485" s="389">
        <f>ROUNDDOWN(IFERROR(tabItens[[#This Row],[ATA DT.VALID.]] - $D$1,0) / 30,0)</f>
        <v>-1474</v>
      </c>
      <c r="U485" s="302" t="s">
        <v>1076</v>
      </c>
      <c r="V485" s="318">
        <v>1</v>
      </c>
      <c r="W485" s="390" t="s">
        <v>2077</v>
      </c>
      <c r="X485" s="391">
        <v>55</v>
      </c>
      <c r="Y485" s="392">
        <v>27</v>
      </c>
      <c r="Z485" s="393">
        <v>2235</v>
      </c>
      <c r="AA485" s="394">
        <v>2023</v>
      </c>
      <c r="AB485" s="395">
        <v>7000</v>
      </c>
      <c r="AC485" s="395"/>
      <c r="AD485" s="394"/>
      <c r="AE485" s="395"/>
      <c r="AF485" s="317"/>
      <c r="AG485" s="396" t="s">
        <v>2072</v>
      </c>
      <c r="AH485" s="397"/>
      <c r="AI485" s="317">
        <v>724</v>
      </c>
      <c r="AJ485" s="397">
        <v>44629</v>
      </c>
      <c r="AK485" s="326">
        <v>42978</v>
      </c>
      <c r="AL485" s="326">
        <v>44917</v>
      </c>
      <c r="AM485" s="316"/>
      <c r="AN485" s="305"/>
      <c r="AO485" s="327" t="str">
        <f>_xlfn.IFNA(IF(VLOOKUP(tabItens[[#This Row],[CÓDIGO]],tabExcluirDoEstoque[#Data],1,FALSE),"sim",""),"")</f>
        <v/>
      </c>
      <c r="AP485" s="398" t="str">
        <f ca="1">IF(OR(ISBLANK(tabItens[[#This Row],[ATA DT.VALID.]]),tabItens[[#This Row],[ATA DT.VALID.]]="",tabItens[[#This Row],[ATA DT.VALID.]]=" "),"",IF(TYPE(tabItens[[#This Row],[ATA DT.VALID.]])=1,ROUNDUP((tabItens[[#This Row],[ATA DT.VALID.]]-TODAY())/7,0),""))</f>
        <v/>
      </c>
      <c r="AQ485" s="399">
        <v>0</v>
      </c>
      <c r="AR485" s="400" t="str">
        <f>IF(ISBLANK(tabItens[[#This Row],[CÓDIGO]]),"",IFERROR(VLOOKUP(tabItens[[#This Row],[CÓDIGO]],Consumo!$C$2:$AC$862,26,FALSE),0))</f>
        <v>01.2023</v>
      </c>
      <c r="AS485" s="401">
        <f>SUMIF(Consumo!$C$3:$C$862,tabItens[[#This Row],[CÓDIGO]],Consumo!$N$3:$N$862) + SUMIF(Consumo!$C$3:$C$862,tabItens[[#This Row],[CÓDIGO]],Consumo!$O$3:$O$862) + SUMIF(Consumo!$C$3:$C$862,tabItens[[#This Row],[CÓDIGO]],Consumo!$P$3:$P$862) + SUMIF(Consumo!$C$3:$C$862,tabItens[[#This Row],[CÓDIGO]],Consumo!$Q$3:$Q$862)</f>
        <v>0</v>
      </c>
      <c r="AT485" s="401">
        <f>SUMIF(Consumo!$C$3:$C$862,tabItens[[#This Row],[CÓDIGO]],Consumo!$Z$3:$Z$862)</f>
        <v>3650</v>
      </c>
      <c r="AU485" s="402">
        <f>SUMIF(Consumo!$C$3:$C$862,tabItens[[#This Row],[CÓDIGO]],Consumo!$AA$3:$AA$862)</f>
        <v>650</v>
      </c>
      <c r="AV485" s="403">
        <f>SUMIF(Consumo!$C$3:$C$862,tabItens[[#This Row],[CÓDIGO]],Consumo!$Y$3:$Y$862)</f>
        <v>304.16666666666669</v>
      </c>
      <c r="AW485" s="380">
        <f>tabItens[[#This Row],[QTDE ATUAL]] + tabItens[[#This Row],[RC QTDE]] + tabItens[[#This Row],[AF SALDO]] + tabItens[[#This Row],[Recentes]]</f>
        <v>7000</v>
      </c>
      <c r="AX485" s="404">
        <v>355</v>
      </c>
      <c r="AY485" s="404">
        <v>4</v>
      </c>
      <c r="AZ485" s="404">
        <f>IF(ISBLANK(tabItens[[#This Row],[CÓDIGO]]),"",tabItens[[#This Row],[PontoMês]] * (AZ$2+tabItens[[#This Row],[PontoQtM]]))</f>
        <v>1420</v>
      </c>
      <c r="BA485" s="403">
        <f>tabItens[[#This Row],[PontoPed]] - tabItens[[#This Row],[Saldo]] + (1/10)</f>
        <v>-5579.9</v>
      </c>
      <c r="BB485" s="403">
        <f xml:space="preserve"> tabItens[[#This Row],[PontoMês]] * BB$2 - tabItens[[#This Row],[QTDE ATUAL]] - (1/10)</f>
        <v>354.9</v>
      </c>
      <c r="BC485" s="335">
        <f>IF( tabItens[[#This Row],[PontoPed]]&gt;0, IF(tabItens[[#This Row],[PontoPed]]&lt;1, 1, IF( tabItens[[#This Row],[Saldo]]&gt;tabItens[[#This Row],[PontoPed]], 0, (tabItens[[#This Row],[PontoPed]]-tabItens[[#This Row],[Saldo]])/tabItens[[#This Row],[PontoPed]] ) ), 0 )</f>
        <v>0</v>
      </c>
      <c r="BD485" s="405">
        <f>ROUNDDOWN(IF( OR( AND(tabItens[[#This Row],[PontoPed]]&lt;tabItens[[#This Row],[Saldo]],tabItens[[#This Row],[Saldo]]&gt;0), tabItens[[#This Row],[PontoPed]]=0), 99, IF(AND(tabItens[[#This Row],[Saldo]]=0,tabItens[[#This Row],[PontoPed]]&gt;0), 0, (1-tabItens[[#This Row],[PctAb]])*10 ) ),0)</f>
        <v>99</v>
      </c>
      <c r="BE485" s="406">
        <f>MAX(ROUNDDOWN( IF(tabItens[[#This Row],[Abaixo]] &gt; 0,   tabItens[[#This Row],[Abaixo]] + (tabItens[[#This Row],[PontoMês]] * IF( OR( ISBLANK(tabItens[[#This Row],[ATA Nº/ANO]]), tabItens[[#This Row],[ATA Nº/ANO]] = ""),BE$2,BE$1)),0),0),0)</f>
        <v>0</v>
      </c>
      <c r="BF48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5" s="338">
        <f>SUMIF(Consumo!$C$3:$C$862,tabItens[[#This Row],[CÓDIGO]],Consumo!$E$3:$E$862)</f>
        <v>1478</v>
      </c>
      <c r="BH485" s="339">
        <f>IF(AND(tabItens[[#This Row],[Pend]] &gt; 0,tabItens[[#This Row],[Consumo]] &lt;&gt; 0), tabItens[[#This Row],[Pend]] / tabItens[[#This Row],[Consumo]], 0 )</f>
        <v>0.40493150684931506</v>
      </c>
      <c r="BI485" s="338"/>
      <c r="BJ485" s="407"/>
      <c r="BK485" s="408" t="s">
        <v>2086</v>
      </c>
    </row>
    <row r="486" spans="1:63" x14ac:dyDescent="0.3">
      <c r="A486" s="375">
        <v>113634</v>
      </c>
      <c r="B486" s="376" t="s">
        <v>1699</v>
      </c>
      <c r="C486" s="377" t="s">
        <v>31</v>
      </c>
      <c r="D486" s="378">
        <v>15.25</v>
      </c>
      <c r="E486" s="305"/>
      <c r="F486" s="379"/>
      <c r="G486" s="379" t="s">
        <v>889</v>
      </c>
      <c r="H486" s="380">
        <v>63</v>
      </c>
      <c r="I486" s="307">
        <v>103003</v>
      </c>
      <c r="J486" s="308">
        <v>15.25</v>
      </c>
      <c r="K486" s="381">
        <v>4</v>
      </c>
      <c r="L486" s="382">
        <f>IF(tabItens[[#This Row],[Média]] &gt; 0, tabItens[[#This Row],[QTDE ATUAL]] / tabItens[[#This Row],[Média]],999.9)</f>
        <v>252</v>
      </c>
      <c r="M486" s="383">
        <v>0</v>
      </c>
      <c r="N486" s="384">
        <f>tabItens[[#This Row],[VALOR UNIT.]] * tabItens[[#This Row],[LC]]</f>
        <v>0</v>
      </c>
      <c r="O486" s="385" t="s">
        <v>2119</v>
      </c>
      <c r="P486" s="386"/>
      <c r="Q486" s="387"/>
      <c r="R486" s="312"/>
      <c r="S486" s="388"/>
      <c r="T486" s="389">
        <f>ROUNDDOWN(IFERROR(tabItens[[#This Row],[ATA DT.VALID.]] - $D$1,0) / 30,0)</f>
        <v>-1474</v>
      </c>
      <c r="U486" s="302" t="s">
        <v>985</v>
      </c>
      <c r="V486" s="318">
        <v>1</v>
      </c>
      <c r="W486" s="390" t="s">
        <v>2077</v>
      </c>
      <c r="X486" s="391">
        <v>55</v>
      </c>
      <c r="Y486" s="392">
        <v>31</v>
      </c>
      <c r="Z486" s="393"/>
      <c r="AA486" s="394"/>
      <c r="AB486" s="395"/>
      <c r="AC486" s="395"/>
      <c r="AD486" s="394"/>
      <c r="AE486" s="395"/>
      <c r="AF486" s="317"/>
      <c r="AG486" s="396" t="s">
        <v>2072</v>
      </c>
      <c r="AH486" s="397"/>
      <c r="AI486" s="317">
        <v>2</v>
      </c>
      <c r="AJ486" s="397">
        <v>43916</v>
      </c>
      <c r="AK486" s="326">
        <v>40150</v>
      </c>
      <c r="AL486" s="326">
        <v>43865</v>
      </c>
      <c r="AM486" s="316"/>
      <c r="AN486" s="305"/>
      <c r="AO486" s="327" t="str">
        <f>_xlfn.IFNA(IF(VLOOKUP(tabItens[[#This Row],[CÓDIGO]],tabExcluirDoEstoque[#Data],1,FALSE),"sim",""),"")</f>
        <v/>
      </c>
      <c r="AP486" s="398" t="str">
        <f ca="1">IF(OR(ISBLANK(tabItens[[#This Row],[ATA DT.VALID.]]),tabItens[[#This Row],[ATA DT.VALID.]]="",tabItens[[#This Row],[ATA DT.VALID.]]=" "),"",IF(TYPE(tabItens[[#This Row],[ATA DT.VALID.]])=1,ROUNDUP((tabItens[[#This Row],[ATA DT.VALID.]]-TODAY())/7,0),""))</f>
        <v/>
      </c>
      <c r="AQ486" s="399">
        <v>0</v>
      </c>
      <c r="AR486" s="400" t="str">
        <f>IF(ISBLANK(tabItens[[#This Row],[CÓDIGO]]),"",IFERROR(VLOOKUP(tabItens[[#This Row],[CÓDIGO]],Consumo!$C$2:$AC$862,26,FALSE),0))</f>
        <v>03.2023</v>
      </c>
      <c r="AS486" s="401">
        <f>SUMIF(Consumo!$C$3:$C$862,tabItens[[#This Row],[CÓDIGO]],Consumo!$N$3:$N$862) + SUMIF(Consumo!$C$3:$C$862,tabItens[[#This Row],[CÓDIGO]],Consumo!$O$3:$O$862) + SUMIF(Consumo!$C$3:$C$862,tabItens[[#This Row],[CÓDIGO]],Consumo!$P$3:$P$862) + SUMIF(Consumo!$C$3:$C$862,tabItens[[#This Row],[CÓDIGO]],Consumo!$Q$3:$Q$862)</f>
        <v>0</v>
      </c>
      <c r="AT486" s="401">
        <f>SUMIF(Consumo!$C$3:$C$862,tabItens[[#This Row],[CÓDIGO]],Consumo!$Z$3:$Z$862)</f>
        <v>4</v>
      </c>
      <c r="AU486" s="402">
        <f>SUMIF(Consumo!$C$3:$C$862,tabItens[[#This Row],[CÓDIGO]],Consumo!$AA$3:$AA$862)</f>
        <v>3</v>
      </c>
      <c r="AV486" s="403">
        <f>SUMIF(Consumo!$C$3:$C$862,tabItens[[#This Row],[CÓDIGO]],Consumo!$Y$3:$Y$862)</f>
        <v>0.25</v>
      </c>
      <c r="AW486" s="380">
        <f>tabItens[[#This Row],[QTDE ATUAL]] + tabItens[[#This Row],[RC QTDE]] + tabItens[[#This Row],[AF SALDO]] + tabItens[[#This Row],[Recentes]]</f>
        <v>63</v>
      </c>
      <c r="AX486" s="404">
        <v>5</v>
      </c>
      <c r="AY486" s="404">
        <v>4</v>
      </c>
      <c r="AZ486" s="404">
        <f>IF(ISBLANK(tabItens[[#This Row],[CÓDIGO]]),"",tabItens[[#This Row],[PontoMês]] * (AZ$2+tabItens[[#This Row],[PontoQtM]]))</f>
        <v>20</v>
      </c>
      <c r="BA486" s="403">
        <f>tabItens[[#This Row],[PontoPed]] - tabItens[[#This Row],[Saldo]] + (1/10)</f>
        <v>-42.9</v>
      </c>
      <c r="BB486" s="403">
        <f xml:space="preserve"> tabItens[[#This Row],[PontoMês]] * BB$2 - tabItens[[#This Row],[QTDE ATUAL]] - (1/10)</f>
        <v>-58.1</v>
      </c>
      <c r="BC486" s="335">
        <f>IF( tabItens[[#This Row],[PontoPed]]&gt;0, IF(tabItens[[#This Row],[PontoPed]]&lt;1, 1, IF( tabItens[[#This Row],[Saldo]]&gt;tabItens[[#This Row],[PontoPed]], 0, (tabItens[[#This Row],[PontoPed]]-tabItens[[#This Row],[Saldo]])/tabItens[[#This Row],[PontoPed]] ) ), 0 )</f>
        <v>0</v>
      </c>
      <c r="BD486" s="405">
        <f>ROUNDDOWN(IF( OR( AND(tabItens[[#This Row],[PontoPed]]&lt;tabItens[[#This Row],[Saldo]],tabItens[[#This Row],[Saldo]]&gt;0), tabItens[[#This Row],[PontoPed]]=0), 99, IF(AND(tabItens[[#This Row],[Saldo]]=0,tabItens[[#This Row],[PontoPed]]&gt;0), 0, (1-tabItens[[#This Row],[PctAb]])*10 ) ),0)</f>
        <v>99</v>
      </c>
      <c r="BE486" s="406">
        <f>MAX(ROUNDDOWN( IF(tabItens[[#This Row],[Abaixo]] &gt; 0,   tabItens[[#This Row],[Abaixo]] + (tabItens[[#This Row],[PontoMês]] * IF( OR( ISBLANK(tabItens[[#This Row],[ATA Nº/ANO]]), tabItens[[#This Row],[ATA Nº/ANO]] = ""),BE$2,BE$1)),0),0),0)</f>
        <v>0</v>
      </c>
      <c r="BF48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6" s="338">
        <f>SUMIF(Consumo!$C$3:$C$862,tabItens[[#This Row],[CÓDIGO]],Consumo!$E$3:$E$862)</f>
        <v>0</v>
      </c>
      <c r="BH486" s="339">
        <f>IF(AND(tabItens[[#This Row],[Pend]] &gt; 0,tabItens[[#This Row],[Consumo]] &lt;&gt; 0), tabItens[[#This Row],[Pend]] / tabItens[[#This Row],[Consumo]], 0 )</f>
        <v>0</v>
      </c>
      <c r="BI486" s="338"/>
      <c r="BJ486" s="407"/>
      <c r="BK486" s="408" t="s">
        <v>2086</v>
      </c>
    </row>
    <row r="487" spans="1:63" x14ac:dyDescent="0.3">
      <c r="A487" s="375">
        <v>14784</v>
      </c>
      <c r="B487" s="376" t="s">
        <v>1074</v>
      </c>
      <c r="C487" s="377" t="s">
        <v>263</v>
      </c>
      <c r="D487" s="378">
        <v>3.9</v>
      </c>
      <c r="E487" s="305"/>
      <c r="F487" s="379"/>
      <c r="G487" s="379" t="s">
        <v>889</v>
      </c>
      <c r="H487" s="380">
        <v>50</v>
      </c>
      <c r="I487" s="307">
        <v>103003</v>
      </c>
      <c r="J487" s="308">
        <v>3.9</v>
      </c>
      <c r="K487" s="381">
        <v>213</v>
      </c>
      <c r="L487" s="382">
        <f>IF(tabItens[[#This Row],[Média]] &gt; 0, tabItens[[#This Row],[QTDE ATUAL]] / tabItens[[#This Row],[Média]],999.9)</f>
        <v>2.2641509433962264</v>
      </c>
      <c r="M487" s="383">
        <v>0</v>
      </c>
      <c r="N487" s="384">
        <f>tabItens[[#This Row],[VALOR UNIT.]] * tabItens[[#This Row],[LC]]</f>
        <v>0</v>
      </c>
      <c r="O487" s="385" t="s">
        <v>2119</v>
      </c>
      <c r="P487" s="386"/>
      <c r="Q487" s="387"/>
      <c r="R487" s="312"/>
      <c r="S487" s="388"/>
      <c r="T487" s="389">
        <f>ROUNDDOWN(IFERROR(tabItens[[#This Row],[ATA DT.VALID.]] - $D$1,0) / 30,0)</f>
        <v>-1474</v>
      </c>
      <c r="U487" s="302" t="s">
        <v>990</v>
      </c>
      <c r="V487" s="318">
        <v>1</v>
      </c>
      <c r="W487" s="390" t="s">
        <v>2077</v>
      </c>
      <c r="X487" s="391">
        <v>55</v>
      </c>
      <c r="Y487" s="392">
        <v>32</v>
      </c>
      <c r="Z487" s="393"/>
      <c r="AA487" s="394"/>
      <c r="AB487" s="395"/>
      <c r="AC487" s="395"/>
      <c r="AD487" s="394"/>
      <c r="AE487" s="395"/>
      <c r="AF487" s="317"/>
      <c r="AG487" s="396" t="s">
        <v>2072</v>
      </c>
      <c r="AH487" s="397"/>
      <c r="AI487" s="317">
        <v>72</v>
      </c>
      <c r="AJ487" s="397">
        <v>45166</v>
      </c>
      <c r="AK487" s="326" t="s">
        <v>889</v>
      </c>
      <c r="AL487" s="326">
        <v>45145</v>
      </c>
      <c r="AM487" s="316"/>
      <c r="AN487" s="305"/>
      <c r="AO487" s="327" t="str">
        <f>_xlfn.IFNA(IF(VLOOKUP(tabItens[[#This Row],[CÓDIGO]],tabExcluirDoEstoque[#Data],1,FALSE),"sim",""),"")</f>
        <v/>
      </c>
      <c r="AP487" s="398" t="str">
        <f ca="1">IF(OR(ISBLANK(tabItens[[#This Row],[ATA DT.VALID.]]),tabItens[[#This Row],[ATA DT.VALID.]]="",tabItens[[#This Row],[ATA DT.VALID.]]=" "),"",IF(TYPE(tabItens[[#This Row],[ATA DT.VALID.]])=1,ROUNDUP((tabItens[[#This Row],[ATA DT.VALID.]]-TODAY())/7,0),""))</f>
        <v/>
      </c>
      <c r="AQ487" s="399">
        <v>0</v>
      </c>
      <c r="AR487" s="400" t="str">
        <f>IF(ISBLANK(tabItens[[#This Row],[CÓDIGO]]),"",IFERROR(VLOOKUP(tabItens[[#This Row],[CÓDIGO]],Consumo!$C$2:$AC$862,26,FALSE),0))</f>
        <v>04.2023</v>
      </c>
      <c r="AS487" s="401">
        <f>SUMIF(Consumo!$C$3:$C$862,tabItens[[#This Row],[CÓDIGO]],Consumo!$N$3:$N$862) + SUMIF(Consumo!$C$3:$C$862,tabItens[[#This Row],[CÓDIGO]],Consumo!$O$3:$O$862) + SUMIF(Consumo!$C$3:$C$862,tabItens[[#This Row],[CÓDIGO]],Consumo!$P$3:$P$862) + SUMIF(Consumo!$C$3:$C$862,tabItens[[#This Row],[CÓDIGO]],Consumo!$Q$3:$Q$862)</f>
        <v>0</v>
      </c>
      <c r="AT487" s="401">
        <f>SUMIF(Consumo!$C$3:$C$862,tabItens[[#This Row],[CÓDIGO]],Consumo!$Z$3:$Z$862)</f>
        <v>265</v>
      </c>
      <c r="AU487" s="402">
        <f>SUMIF(Consumo!$C$3:$C$862,tabItens[[#This Row],[CÓDIGO]],Consumo!$AA$3:$AA$862)</f>
        <v>61</v>
      </c>
      <c r="AV487" s="403">
        <f>SUMIF(Consumo!$C$3:$C$862,tabItens[[#This Row],[CÓDIGO]],Consumo!$Y$3:$Y$862)</f>
        <v>22.083333333333332</v>
      </c>
      <c r="AW487" s="380">
        <f>tabItens[[#This Row],[QTDE ATUAL]] + tabItens[[#This Row],[RC QTDE]] + tabItens[[#This Row],[AF SALDO]] + tabItens[[#This Row],[Recentes]]</f>
        <v>50</v>
      </c>
      <c r="AX487" s="404">
        <v>15</v>
      </c>
      <c r="AY487" s="404">
        <v>4</v>
      </c>
      <c r="AZ487" s="404">
        <f>IF(ISBLANK(tabItens[[#This Row],[CÓDIGO]]),"",tabItens[[#This Row],[PontoMês]] * (AZ$2+tabItens[[#This Row],[PontoQtM]]))</f>
        <v>60</v>
      </c>
      <c r="BA487" s="403">
        <f>tabItens[[#This Row],[PontoPed]] - tabItens[[#This Row],[Saldo]] + (1/10)</f>
        <v>10.1</v>
      </c>
      <c r="BB487" s="403">
        <f xml:space="preserve"> tabItens[[#This Row],[PontoMês]] * BB$2 - tabItens[[#This Row],[QTDE ATUAL]] - (1/10)</f>
        <v>-35.1</v>
      </c>
      <c r="BC487" s="335">
        <f>IF( tabItens[[#This Row],[PontoPed]]&gt;0, IF(tabItens[[#This Row],[PontoPed]]&lt;1, 1, IF( tabItens[[#This Row],[Saldo]]&gt;tabItens[[#This Row],[PontoPed]], 0, (tabItens[[#This Row],[PontoPed]]-tabItens[[#This Row],[Saldo]])/tabItens[[#This Row],[PontoPed]] ) ), 0 )</f>
        <v>0.16666666666666666</v>
      </c>
      <c r="BD487" s="405">
        <f>ROUNDDOWN(IF( OR( AND(tabItens[[#This Row],[PontoPed]]&lt;tabItens[[#This Row],[Saldo]],tabItens[[#This Row],[Saldo]]&gt;0), tabItens[[#This Row],[PontoPed]]=0), 99, IF(AND(tabItens[[#This Row],[Saldo]]=0,tabItens[[#This Row],[PontoPed]]&gt;0), 0, (1-tabItens[[#This Row],[PctAb]])*10 ) ),0)</f>
        <v>8</v>
      </c>
      <c r="BE487" s="406">
        <f>MAX(ROUNDDOWN( IF(tabItens[[#This Row],[Abaixo]] &gt; 0,   tabItens[[#This Row],[Abaixo]] + (tabItens[[#This Row],[PontoMês]] * IF( OR( ISBLANK(tabItens[[#This Row],[ATA Nº/ANO]]), tabItens[[#This Row],[ATA Nº/ANO]] = ""),BE$2,BE$1)),0),0),0)</f>
        <v>55</v>
      </c>
      <c r="BF48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7" s="338">
        <f>SUMIF(Consumo!$C$3:$C$862,tabItens[[#This Row],[CÓDIGO]],Consumo!$E$3:$E$862)</f>
        <v>52</v>
      </c>
      <c r="BH487" s="339">
        <f>IF(AND(tabItens[[#This Row],[Pend]] &gt; 0,tabItens[[#This Row],[Consumo]] &lt;&gt; 0), tabItens[[#This Row],[Pend]] / tabItens[[#This Row],[Consumo]], 0 )</f>
        <v>0.19622641509433963</v>
      </c>
      <c r="BI487" s="338"/>
      <c r="BJ487" s="407"/>
      <c r="BK487" s="408" t="s">
        <v>2086</v>
      </c>
    </row>
    <row r="488" spans="1:63" x14ac:dyDescent="0.3">
      <c r="A488" s="375">
        <v>60889</v>
      </c>
      <c r="B488" s="376" t="s">
        <v>1353</v>
      </c>
      <c r="C488" s="377" t="s">
        <v>345</v>
      </c>
      <c r="D488" s="378">
        <v>34.659999999999997</v>
      </c>
      <c r="E488" s="305"/>
      <c r="F488" s="379"/>
      <c r="G488" s="379" t="s">
        <v>889</v>
      </c>
      <c r="H488" s="380">
        <v>408</v>
      </c>
      <c r="I488" s="307">
        <v>103003</v>
      </c>
      <c r="J488" s="308">
        <v>34.659999999999997</v>
      </c>
      <c r="K488" s="381">
        <v>1224</v>
      </c>
      <c r="L488" s="382">
        <f>IF(tabItens[[#This Row],[Média]] &gt; 0, tabItens[[#This Row],[QTDE ATUAL]] / tabItens[[#This Row],[Média]],999.9)</f>
        <v>2.5513288170922359</v>
      </c>
      <c r="M488" s="383">
        <v>0</v>
      </c>
      <c r="N488" s="384">
        <f>tabItens[[#This Row],[VALOR UNIT.]] * tabItens[[#This Row],[LC]]</f>
        <v>0</v>
      </c>
      <c r="O488" s="385" t="s">
        <v>2119</v>
      </c>
      <c r="P488" s="386"/>
      <c r="Q488" s="387"/>
      <c r="R488" s="312"/>
      <c r="S488" s="388"/>
      <c r="T488" s="389">
        <f>ROUNDDOWN(IFERROR(tabItens[[#This Row],[ATA DT.VALID.]] - $D$1,0) / 30,0)</f>
        <v>-1474</v>
      </c>
      <c r="U488" s="302" t="s">
        <v>990</v>
      </c>
      <c r="V488" s="318">
        <v>1</v>
      </c>
      <c r="W488" s="390" t="s">
        <v>2077</v>
      </c>
      <c r="X488" s="391">
        <v>55</v>
      </c>
      <c r="Y488" s="392">
        <v>32</v>
      </c>
      <c r="Z488" s="393">
        <v>2956</v>
      </c>
      <c r="AA488" s="394">
        <v>2023</v>
      </c>
      <c r="AB488" s="395">
        <v>300</v>
      </c>
      <c r="AC488" s="395"/>
      <c r="AD488" s="394"/>
      <c r="AE488" s="395"/>
      <c r="AF488" s="317"/>
      <c r="AG488" s="396" t="s">
        <v>2072</v>
      </c>
      <c r="AH488" s="397"/>
      <c r="AI488" s="317">
        <v>648</v>
      </c>
      <c r="AJ488" s="397">
        <v>44874</v>
      </c>
      <c r="AK488" s="326" t="s">
        <v>889</v>
      </c>
      <c r="AL488" s="326">
        <v>44845</v>
      </c>
      <c r="AM488" s="316"/>
      <c r="AN488" s="305"/>
      <c r="AO488" s="327" t="str">
        <f>_xlfn.IFNA(IF(VLOOKUP(tabItens[[#This Row],[CÓDIGO]],tabExcluirDoEstoque[#Data],1,FALSE),"sim",""),"")</f>
        <v/>
      </c>
      <c r="AP488" s="398" t="str">
        <f ca="1">IF(OR(ISBLANK(tabItens[[#This Row],[ATA DT.VALID.]]),tabItens[[#This Row],[ATA DT.VALID.]]="",tabItens[[#This Row],[ATA DT.VALID.]]=" "),"",IF(TYPE(tabItens[[#This Row],[ATA DT.VALID.]])=1,ROUNDUP((tabItens[[#This Row],[ATA DT.VALID.]]-TODAY())/7,0),""))</f>
        <v/>
      </c>
      <c r="AQ488" s="399">
        <v>0</v>
      </c>
      <c r="AR488" s="400" t="str">
        <f>IF(ISBLANK(tabItens[[#This Row],[CÓDIGO]]),"",IFERROR(VLOOKUP(tabItens[[#This Row],[CÓDIGO]],Consumo!$C$2:$AC$862,26,FALSE),0))</f>
        <v>09.2023</v>
      </c>
      <c r="AS488" s="401">
        <f>SUMIF(Consumo!$C$3:$C$862,tabItens[[#This Row],[CÓDIGO]],Consumo!$N$3:$N$862) + SUMIF(Consumo!$C$3:$C$862,tabItens[[#This Row],[CÓDIGO]],Consumo!$O$3:$O$862) + SUMIF(Consumo!$C$3:$C$862,tabItens[[#This Row],[CÓDIGO]],Consumo!$P$3:$P$862) + SUMIF(Consumo!$C$3:$C$862,tabItens[[#This Row],[CÓDIGO]],Consumo!$Q$3:$Q$862)</f>
        <v>710</v>
      </c>
      <c r="AT488" s="401">
        <f>SUMIF(Consumo!$C$3:$C$862,tabItens[[#This Row],[CÓDIGO]],Consumo!$Z$3:$Z$862)</f>
        <v>1945</v>
      </c>
      <c r="AU488" s="402">
        <f>SUMIF(Consumo!$C$3:$C$862,tabItens[[#This Row],[CÓDIGO]],Consumo!$AA$3:$AA$862)</f>
        <v>320</v>
      </c>
      <c r="AV488" s="403">
        <f>SUMIF(Consumo!$C$3:$C$862,tabItens[[#This Row],[CÓDIGO]],Consumo!$Y$3:$Y$862)</f>
        <v>159.91666666666666</v>
      </c>
      <c r="AW488" s="380">
        <f>tabItens[[#This Row],[QTDE ATUAL]] + tabItens[[#This Row],[RC QTDE]] + tabItens[[#This Row],[AF SALDO]] + tabItens[[#This Row],[Recentes]]</f>
        <v>708</v>
      </c>
      <c r="AX488" s="404">
        <v>79</v>
      </c>
      <c r="AY488" s="404">
        <v>4</v>
      </c>
      <c r="AZ488" s="404">
        <f>IF(ISBLANK(tabItens[[#This Row],[CÓDIGO]]),"",tabItens[[#This Row],[PontoMês]] * (AZ$2+tabItens[[#This Row],[PontoQtM]]))</f>
        <v>316</v>
      </c>
      <c r="BA488" s="403">
        <f>tabItens[[#This Row],[PontoPed]] - tabItens[[#This Row],[Saldo]] + (1/10)</f>
        <v>-391.9</v>
      </c>
      <c r="BB488" s="403">
        <f xml:space="preserve"> tabItens[[#This Row],[PontoMês]] * BB$2 - tabItens[[#This Row],[QTDE ATUAL]] - (1/10)</f>
        <v>-329.1</v>
      </c>
      <c r="BC488" s="335">
        <f>IF( tabItens[[#This Row],[PontoPed]]&gt;0, IF(tabItens[[#This Row],[PontoPed]]&lt;1, 1, IF( tabItens[[#This Row],[Saldo]]&gt;tabItens[[#This Row],[PontoPed]], 0, (tabItens[[#This Row],[PontoPed]]-tabItens[[#This Row],[Saldo]])/tabItens[[#This Row],[PontoPed]] ) ), 0 )</f>
        <v>0</v>
      </c>
      <c r="BD488" s="405">
        <f>ROUNDDOWN(IF( OR( AND(tabItens[[#This Row],[PontoPed]]&lt;tabItens[[#This Row],[Saldo]],tabItens[[#This Row],[Saldo]]&gt;0), tabItens[[#This Row],[PontoPed]]=0), 99, IF(AND(tabItens[[#This Row],[Saldo]]=0,tabItens[[#This Row],[PontoPed]]&gt;0), 0, (1-tabItens[[#This Row],[PctAb]])*10 ) ),0)</f>
        <v>99</v>
      </c>
      <c r="BE488" s="406">
        <f>MAX(ROUNDDOWN( IF(tabItens[[#This Row],[Abaixo]] &gt; 0,   tabItens[[#This Row],[Abaixo]] + (tabItens[[#This Row],[PontoMês]] * IF( OR( ISBLANK(tabItens[[#This Row],[ATA Nº/ANO]]), tabItens[[#This Row],[ATA Nº/ANO]] = ""),BE$2,BE$1)),0),0),0)</f>
        <v>0</v>
      </c>
      <c r="BF48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8" s="338">
        <f>SUMIF(Consumo!$C$3:$C$862,tabItens[[#This Row],[CÓDIGO]],Consumo!$E$3:$E$862)</f>
        <v>0</v>
      </c>
      <c r="BH488" s="339">
        <f>IF(AND(tabItens[[#This Row],[Pend]] &gt; 0,tabItens[[#This Row],[Consumo]] &lt;&gt; 0), tabItens[[#This Row],[Pend]] / tabItens[[#This Row],[Consumo]], 0 )</f>
        <v>0</v>
      </c>
      <c r="BI488" s="338"/>
      <c r="BJ488" s="407"/>
      <c r="BK488" s="408" t="s">
        <v>2086</v>
      </c>
    </row>
    <row r="489" spans="1:63" x14ac:dyDescent="0.3">
      <c r="A489" s="375">
        <v>99787</v>
      </c>
      <c r="B489" s="376" t="s">
        <v>1572</v>
      </c>
      <c r="C489" s="377" t="s">
        <v>263</v>
      </c>
      <c r="D489" s="378">
        <v>73</v>
      </c>
      <c r="E489" s="305"/>
      <c r="F489" s="379"/>
      <c r="G489" s="379" t="s">
        <v>889</v>
      </c>
      <c r="H489" s="380">
        <v>16</v>
      </c>
      <c r="I489" s="307">
        <v>103003</v>
      </c>
      <c r="J489" s="308">
        <v>73</v>
      </c>
      <c r="K489" s="381">
        <v>62</v>
      </c>
      <c r="L489" s="382">
        <f>IF(tabItens[[#This Row],[Média]] &gt; 0, tabItens[[#This Row],[QTDE ATUAL]] / tabItens[[#This Row],[Média]],999.9)</f>
        <v>3.5555555555555554</v>
      </c>
      <c r="M489" s="383">
        <v>0</v>
      </c>
      <c r="N489" s="384">
        <f>tabItens[[#This Row],[VALOR UNIT.]] * tabItens[[#This Row],[LC]]</f>
        <v>0</v>
      </c>
      <c r="O489" s="385" t="s">
        <v>2119</v>
      </c>
      <c r="P489" s="386"/>
      <c r="Q489" s="387"/>
      <c r="R489" s="312"/>
      <c r="S489" s="388"/>
      <c r="T489" s="389">
        <f>ROUNDDOWN(IFERROR(tabItens[[#This Row],[ATA DT.VALID.]] - $D$1,0) / 30,0)</f>
        <v>-1474</v>
      </c>
      <c r="U489" s="302" t="s">
        <v>990</v>
      </c>
      <c r="V489" s="318">
        <v>1</v>
      </c>
      <c r="W489" s="390" t="s">
        <v>2077</v>
      </c>
      <c r="X489" s="391">
        <v>55</v>
      </c>
      <c r="Y489" s="392">
        <v>32</v>
      </c>
      <c r="Z489" s="393">
        <v>2691</v>
      </c>
      <c r="AA489" s="394">
        <v>2023</v>
      </c>
      <c r="AB489" s="395">
        <v>60</v>
      </c>
      <c r="AC489" s="395"/>
      <c r="AD489" s="394"/>
      <c r="AE489" s="395"/>
      <c r="AF489" s="317"/>
      <c r="AG489" s="396" t="s">
        <v>2072</v>
      </c>
      <c r="AH489" s="397"/>
      <c r="AI489" s="317">
        <v>22</v>
      </c>
      <c r="AJ489" s="397">
        <v>44874</v>
      </c>
      <c r="AK489" s="326">
        <v>39227</v>
      </c>
      <c r="AL489" s="326">
        <v>44845</v>
      </c>
      <c r="AM489" s="316"/>
      <c r="AN489" s="305"/>
      <c r="AO489" s="327" t="str">
        <f>_xlfn.IFNA(IF(VLOOKUP(tabItens[[#This Row],[CÓDIGO]],tabExcluirDoEstoque[#Data],1,FALSE),"sim",""),"")</f>
        <v/>
      </c>
      <c r="AP489" s="398" t="str">
        <f ca="1">IF(OR(ISBLANK(tabItens[[#This Row],[ATA DT.VALID.]]),tabItens[[#This Row],[ATA DT.VALID.]]="",tabItens[[#This Row],[ATA DT.VALID.]]=" "),"",IF(TYPE(tabItens[[#This Row],[ATA DT.VALID.]])=1,ROUNDUP((tabItens[[#This Row],[ATA DT.VALID.]]-TODAY())/7,0),""))</f>
        <v/>
      </c>
      <c r="AQ489" s="399">
        <v>0</v>
      </c>
      <c r="AR489" s="400" t="str">
        <f>IF(ISBLANK(tabItens[[#This Row],[CÓDIGO]]),"",IFERROR(VLOOKUP(tabItens[[#This Row],[CÓDIGO]],Consumo!$C$2:$AC$862,26,FALSE),0))</f>
        <v>07.2023</v>
      </c>
      <c r="AS489" s="401">
        <f>SUMIF(Consumo!$C$3:$C$862,tabItens[[#This Row],[CÓDIGO]],Consumo!$N$3:$N$862) + SUMIF(Consumo!$C$3:$C$862,tabItens[[#This Row],[CÓDIGO]],Consumo!$O$3:$O$862) + SUMIF(Consumo!$C$3:$C$862,tabItens[[#This Row],[CÓDIGO]],Consumo!$P$3:$P$862) + SUMIF(Consumo!$C$3:$C$862,tabItens[[#This Row],[CÓDIGO]],Consumo!$Q$3:$Q$862)</f>
        <v>6</v>
      </c>
      <c r="AT489" s="401">
        <f>SUMIF(Consumo!$C$3:$C$862,tabItens[[#This Row],[CÓDIGO]],Consumo!$Z$3:$Z$862)</f>
        <v>64</v>
      </c>
      <c r="AU489" s="402">
        <f>SUMIF(Consumo!$C$3:$C$862,tabItens[[#This Row],[CÓDIGO]],Consumo!$AA$3:$AA$862)</f>
        <v>35</v>
      </c>
      <c r="AV489" s="403">
        <f>SUMIF(Consumo!$C$3:$C$862,tabItens[[#This Row],[CÓDIGO]],Consumo!$Y$3:$Y$862)</f>
        <v>4.5</v>
      </c>
      <c r="AW489" s="380">
        <f>tabItens[[#This Row],[QTDE ATUAL]] + tabItens[[#This Row],[RC QTDE]] + tabItens[[#This Row],[AF SALDO]] + tabItens[[#This Row],[Recentes]]</f>
        <v>76</v>
      </c>
      <c r="AX489" s="404">
        <v>5</v>
      </c>
      <c r="AY489" s="404">
        <v>4</v>
      </c>
      <c r="AZ489" s="404">
        <f>IF(ISBLANK(tabItens[[#This Row],[CÓDIGO]]),"",tabItens[[#This Row],[PontoMês]] * (AZ$2+tabItens[[#This Row],[PontoQtM]]))</f>
        <v>20</v>
      </c>
      <c r="BA489" s="403">
        <f>tabItens[[#This Row],[PontoPed]] - tabItens[[#This Row],[Saldo]] + (1/10)</f>
        <v>-55.9</v>
      </c>
      <c r="BB489" s="403">
        <f xml:space="preserve"> tabItens[[#This Row],[PontoMês]] * BB$2 - tabItens[[#This Row],[QTDE ATUAL]] - (1/10)</f>
        <v>-11.1</v>
      </c>
      <c r="BC489" s="335">
        <f>IF( tabItens[[#This Row],[PontoPed]]&gt;0, IF(tabItens[[#This Row],[PontoPed]]&lt;1, 1, IF( tabItens[[#This Row],[Saldo]]&gt;tabItens[[#This Row],[PontoPed]], 0, (tabItens[[#This Row],[PontoPed]]-tabItens[[#This Row],[Saldo]])/tabItens[[#This Row],[PontoPed]] ) ), 0 )</f>
        <v>0</v>
      </c>
      <c r="BD489" s="405">
        <f>ROUNDDOWN(IF( OR( AND(tabItens[[#This Row],[PontoPed]]&lt;tabItens[[#This Row],[Saldo]],tabItens[[#This Row],[Saldo]]&gt;0), tabItens[[#This Row],[PontoPed]]=0), 99, IF(AND(tabItens[[#This Row],[Saldo]]=0,tabItens[[#This Row],[PontoPed]]&gt;0), 0, (1-tabItens[[#This Row],[PctAb]])*10 ) ),0)</f>
        <v>99</v>
      </c>
      <c r="BE489" s="406">
        <f>MAX(ROUNDDOWN( IF(tabItens[[#This Row],[Abaixo]] &gt; 0,   tabItens[[#This Row],[Abaixo]] + (tabItens[[#This Row],[PontoMês]] * IF( OR( ISBLANK(tabItens[[#This Row],[ATA Nº/ANO]]), tabItens[[#This Row],[ATA Nº/ANO]] = ""),BE$2,BE$1)),0),0),0)</f>
        <v>0</v>
      </c>
      <c r="BF48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9" s="338">
        <f>SUMIF(Consumo!$C$3:$C$862,tabItens[[#This Row],[CÓDIGO]],Consumo!$E$3:$E$862)</f>
        <v>0</v>
      </c>
      <c r="BH489" s="339">
        <f>IF(AND(tabItens[[#This Row],[Pend]] &gt; 0,tabItens[[#This Row],[Consumo]] &lt;&gt; 0), tabItens[[#This Row],[Pend]] / tabItens[[#This Row],[Consumo]], 0 )</f>
        <v>0</v>
      </c>
      <c r="BI489" s="338"/>
      <c r="BJ489" s="407"/>
      <c r="BK489" s="408" t="s">
        <v>2086</v>
      </c>
    </row>
    <row r="490" spans="1:63" x14ac:dyDescent="0.3">
      <c r="A490" s="375">
        <v>15267</v>
      </c>
      <c r="B490" s="376" t="s">
        <v>1087</v>
      </c>
      <c r="C490" s="377" t="s">
        <v>263</v>
      </c>
      <c r="D490" s="378">
        <v>2.38</v>
      </c>
      <c r="E490" s="305"/>
      <c r="F490" s="379"/>
      <c r="G490" s="379" t="s">
        <v>889</v>
      </c>
      <c r="H490" s="380">
        <v>23</v>
      </c>
      <c r="I490" s="307">
        <v>103003</v>
      </c>
      <c r="J490" s="308">
        <v>2.38</v>
      </c>
      <c r="K490" s="381">
        <v>30</v>
      </c>
      <c r="L490" s="382">
        <f>IF(tabItens[[#This Row],[Média]] &gt; 0, tabItens[[#This Row],[QTDE ATUAL]] / tabItens[[#This Row],[Média]],999.9)</f>
        <v>14.526315789473685</v>
      </c>
      <c r="M490" s="383">
        <v>0</v>
      </c>
      <c r="N490" s="384">
        <f>tabItens[[#This Row],[VALOR UNIT.]] * tabItens[[#This Row],[LC]]</f>
        <v>0</v>
      </c>
      <c r="O490" s="385" t="s">
        <v>2119</v>
      </c>
      <c r="P490" s="386"/>
      <c r="Q490" s="387"/>
      <c r="R490" s="312"/>
      <c r="S490" s="388"/>
      <c r="T490" s="389">
        <f>ROUNDDOWN(IFERROR(tabItens[[#This Row],[ATA DT.VALID.]] - $D$1,0) / 30,0)</f>
        <v>-1474</v>
      </c>
      <c r="U490" s="302" t="s">
        <v>1088</v>
      </c>
      <c r="V490" s="318">
        <v>1</v>
      </c>
      <c r="W490" s="390" t="s">
        <v>2077</v>
      </c>
      <c r="X490" s="391">
        <v>55</v>
      </c>
      <c r="Y490" s="392">
        <v>34</v>
      </c>
      <c r="Z490" s="393">
        <v>2956</v>
      </c>
      <c r="AA490" s="394">
        <v>2023</v>
      </c>
      <c r="AB490" s="395">
        <v>20</v>
      </c>
      <c r="AC490" s="395"/>
      <c r="AD490" s="394"/>
      <c r="AE490" s="395"/>
      <c r="AF490" s="317"/>
      <c r="AG490" s="396" t="s">
        <v>2072</v>
      </c>
      <c r="AH490" s="397"/>
      <c r="AI490" s="317">
        <v>12</v>
      </c>
      <c r="AJ490" s="397">
        <v>43664</v>
      </c>
      <c r="AK490" s="326" t="s">
        <v>889</v>
      </c>
      <c r="AL490" s="326">
        <v>43623</v>
      </c>
      <c r="AM490" s="316"/>
      <c r="AN490" s="305"/>
      <c r="AO490" s="327" t="str">
        <f>_xlfn.IFNA(IF(VLOOKUP(tabItens[[#This Row],[CÓDIGO]],tabExcluirDoEstoque[#Data],1,FALSE),"sim",""),"")</f>
        <v/>
      </c>
      <c r="AP490" s="398" t="str">
        <f ca="1">IF(OR(ISBLANK(tabItens[[#This Row],[ATA DT.VALID.]]),tabItens[[#This Row],[ATA DT.VALID.]]="",tabItens[[#This Row],[ATA DT.VALID.]]=" "),"",IF(TYPE(tabItens[[#This Row],[ATA DT.VALID.]])=1,ROUNDUP((tabItens[[#This Row],[ATA DT.VALID.]]-TODAY())/7,0),""))</f>
        <v/>
      </c>
      <c r="AQ490" s="399">
        <v>0</v>
      </c>
      <c r="AR490" s="400" t="str">
        <f>IF(ISBLANK(tabItens[[#This Row],[CÓDIGO]]),"",IFERROR(VLOOKUP(tabItens[[#This Row],[CÓDIGO]],Consumo!$C$2:$AC$862,26,FALSE),0))</f>
        <v>06.2023</v>
      </c>
      <c r="AS490" s="401">
        <f>SUMIF(Consumo!$C$3:$C$862,tabItens[[#This Row],[CÓDIGO]],Consumo!$N$3:$N$862) + SUMIF(Consumo!$C$3:$C$862,tabItens[[#This Row],[CÓDIGO]],Consumo!$O$3:$O$862) + SUMIF(Consumo!$C$3:$C$862,tabItens[[#This Row],[CÓDIGO]],Consumo!$P$3:$P$862) + SUMIF(Consumo!$C$3:$C$862,tabItens[[#This Row],[CÓDIGO]],Consumo!$Q$3:$Q$862)</f>
        <v>30</v>
      </c>
      <c r="AT490" s="401">
        <f>SUMIF(Consumo!$C$3:$C$862,tabItens[[#This Row],[CÓDIGO]],Consumo!$Z$3:$Z$862)</f>
        <v>30</v>
      </c>
      <c r="AU490" s="402">
        <f>SUMIF(Consumo!$C$3:$C$862,tabItens[[#This Row],[CÓDIGO]],Consumo!$AA$3:$AA$862)</f>
        <v>30</v>
      </c>
      <c r="AV490" s="403">
        <f>SUMIF(Consumo!$C$3:$C$862,tabItens[[#This Row],[CÓDIGO]],Consumo!$Y$3:$Y$862)</f>
        <v>1.5833333333333333</v>
      </c>
      <c r="AW490" s="380">
        <f>tabItens[[#This Row],[QTDE ATUAL]] + tabItens[[#This Row],[RC QTDE]] + tabItens[[#This Row],[AF SALDO]] + tabItens[[#This Row],[Recentes]]</f>
        <v>43</v>
      </c>
      <c r="AX490" s="404">
        <v>17</v>
      </c>
      <c r="AY490" s="404">
        <v>4</v>
      </c>
      <c r="AZ490" s="404">
        <f>IF(ISBLANK(tabItens[[#This Row],[CÓDIGO]]),"",tabItens[[#This Row],[PontoMês]] * (AZ$2+tabItens[[#This Row],[PontoQtM]]))</f>
        <v>68</v>
      </c>
      <c r="BA490" s="403">
        <f>tabItens[[#This Row],[PontoPed]] - tabItens[[#This Row],[Saldo]] + (1/10)</f>
        <v>25.1</v>
      </c>
      <c r="BB490" s="403">
        <f xml:space="preserve"> tabItens[[#This Row],[PontoMês]] * BB$2 - tabItens[[#This Row],[QTDE ATUAL]] - (1/10)</f>
        <v>-6.1</v>
      </c>
      <c r="BC490" s="335">
        <f>IF( tabItens[[#This Row],[PontoPed]]&gt;0, IF(tabItens[[#This Row],[PontoPed]]&lt;1, 1, IF( tabItens[[#This Row],[Saldo]]&gt;tabItens[[#This Row],[PontoPed]], 0, (tabItens[[#This Row],[PontoPed]]-tabItens[[#This Row],[Saldo]])/tabItens[[#This Row],[PontoPed]] ) ), 0 )</f>
        <v>0.36764705882352944</v>
      </c>
      <c r="BD490" s="405">
        <f>ROUNDDOWN(IF( OR( AND(tabItens[[#This Row],[PontoPed]]&lt;tabItens[[#This Row],[Saldo]],tabItens[[#This Row],[Saldo]]&gt;0), tabItens[[#This Row],[PontoPed]]=0), 99, IF(AND(tabItens[[#This Row],[Saldo]]=0,tabItens[[#This Row],[PontoPed]]&gt;0), 0, (1-tabItens[[#This Row],[PctAb]])*10 ) ),0)</f>
        <v>6</v>
      </c>
      <c r="BE490" s="406">
        <f>MAX(ROUNDDOWN( IF(tabItens[[#This Row],[Abaixo]] &gt; 0,   tabItens[[#This Row],[Abaixo]] + (tabItens[[#This Row],[PontoMês]] * IF( OR( ISBLANK(tabItens[[#This Row],[ATA Nº/ANO]]), tabItens[[#This Row],[ATA Nº/ANO]] = ""),BE$2,BE$1)),0),0),0)</f>
        <v>76</v>
      </c>
      <c r="BF49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0" s="338">
        <f>SUMIF(Consumo!$C$3:$C$862,tabItens[[#This Row],[CÓDIGO]],Consumo!$E$3:$E$862)</f>
        <v>0</v>
      </c>
      <c r="BH490" s="339">
        <f>IF(AND(tabItens[[#This Row],[Pend]] &gt; 0,tabItens[[#This Row],[Consumo]] &lt;&gt; 0), tabItens[[#This Row],[Pend]] / tabItens[[#This Row],[Consumo]], 0 )</f>
        <v>0</v>
      </c>
      <c r="BI490" s="338"/>
      <c r="BJ490" s="407"/>
      <c r="BK490" s="408" t="s">
        <v>2086</v>
      </c>
    </row>
    <row r="491" spans="1:63" x14ac:dyDescent="0.3">
      <c r="A491" s="375">
        <v>15668</v>
      </c>
      <c r="B491" s="376" t="s">
        <v>1106</v>
      </c>
      <c r="C491" s="377" t="s">
        <v>263</v>
      </c>
      <c r="D491" s="378">
        <v>10.14</v>
      </c>
      <c r="E491" s="305"/>
      <c r="F491" s="379"/>
      <c r="G491" s="379" t="s">
        <v>889</v>
      </c>
      <c r="H491" s="380">
        <v>239</v>
      </c>
      <c r="I491" s="307">
        <v>103003</v>
      </c>
      <c r="J491" s="308">
        <v>10.14</v>
      </c>
      <c r="K491" s="381">
        <v>15</v>
      </c>
      <c r="L491" s="382">
        <f>IF(tabItens[[#This Row],[Média]] &gt; 0, tabItens[[#This Row],[QTDE ATUAL]] / tabItens[[#This Row],[Média]],999.9)</f>
        <v>239</v>
      </c>
      <c r="M491" s="383">
        <v>0</v>
      </c>
      <c r="N491" s="384">
        <f>tabItens[[#This Row],[VALOR UNIT.]] * tabItens[[#This Row],[LC]]</f>
        <v>0</v>
      </c>
      <c r="O491" s="385" t="s">
        <v>2119</v>
      </c>
      <c r="P491" s="386"/>
      <c r="Q491" s="387"/>
      <c r="R491" s="312"/>
      <c r="S491" s="388"/>
      <c r="T491" s="389">
        <f>ROUNDDOWN(IFERROR(tabItens[[#This Row],[ATA DT.VALID.]] - $D$1,0) / 30,0)</f>
        <v>-1474</v>
      </c>
      <c r="U491" s="302" t="s">
        <v>1103</v>
      </c>
      <c r="V491" s="318">
        <v>1</v>
      </c>
      <c r="W491" s="390" t="s">
        <v>2077</v>
      </c>
      <c r="X491" s="391">
        <v>55</v>
      </c>
      <c r="Y491" s="392">
        <v>35</v>
      </c>
      <c r="Z491" s="393"/>
      <c r="AA491" s="394"/>
      <c r="AB491" s="395"/>
      <c r="AC491" s="395"/>
      <c r="AD491" s="394"/>
      <c r="AE491" s="395"/>
      <c r="AF491" s="317"/>
      <c r="AG491" s="396" t="s">
        <v>2072</v>
      </c>
      <c r="AH491" s="397"/>
      <c r="AI491" s="317">
        <v>8</v>
      </c>
      <c r="AJ491" s="397">
        <v>44168</v>
      </c>
      <c r="AK491" s="326" t="s">
        <v>889</v>
      </c>
      <c r="AL491" s="326">
        <v>44740</v>
      </c>
      <c r="AM491" s="316"/>
      <c r="AN491" s="305"/>
      <c r="AO491" s="327" t="str">
        <f>_xlfn.IFNA(IF(VLOOKUP(tabItens[[#This Row],[CÓDIGO]],tabExcluirDoEstoque[#Data],1,FALSE),"sim",""),"")</f>
        <v/>
      </c>
      <c r="AP491" s="398" t="str">
        <f ca="1">IF(OR(ISBLANK(tabItens[[#This Row],[ATA DT.VALID.]]),tabItens[[#This Row],[ATA DT.VALID.]]="",tabItens[[#This Row],[ATA DT.VALID.]]=" "),"",IF(TYPE(tabItens[[#This Row],[ATA DT.VALID.]])=1,ROUNDUP((tabItens[[#This Row],[ATA DT.VALID.]]-TODAY())/7,0),""))</f>
        <v/>
      </c>
      <c r="AQ491" s="399">
        <v>0</v>
      </c>
      <c r="AR491" s="400" t="str">
        <f>IF(ISBLANK(tabItens[[#This Row],[CÓDIGO]]),"",IFERROR(VLOOKUP(tabItens[[#This Row],[CÓDIGO]],Consumo!$C$2:$AC$862,26,FALSE),0))</f>
        <v>08.2023</v>
      </c>
      <c r="AS491" s="401">
        <f>SUMIF(Consumo!$C$3:$C$862,tabItens[[#This Row],[CÓDIGO]],Consumo!$N$3:$N$862) + SUMIF(Consumo!$C$3:$C$862,tabItens[[#This Row],[CÓDIGO]],Consumo!$O$3:$O$862) + SUMIF(Consumo!$C$3:$C$862,tabItens[[#This Row],[CÓDIGO]],Consumo!$P$3:$P$862) + SUMIF(Consumo!$C$3:$C$862,tabItens[[#This Row],[CÓDIGO]],Consumo!$Q$3:$Q$862)</f>
        <v>5</v>
      </c>
      <c r="AT491" s="401">
        <f>SUMIF(Consumo!$C$3:$C$862,tabItens[[#This Row],[CÓDIGO]],Consumo!$Z$3:$Z$862)</f>
        <v>15</v>
      </c>
      <c r="AU491" s="402">
        <f>SUMIF(Consumo!$C$3:$C$862,tabItens[[#This Row],[CÓDIGO]],Consumo!$AA$3:$AA$862)</f>
        <v>10</v>
      </c>
      <c r="AV491" s="403">
        <f>SUMIF(Consumo!$C$3:$C$862,tabItens[[#This Row],[CÓDIGO]],Consumo!$Y$3:$Y$862)</f>
        <v>1</v>
      </c>
      <c r="AW491" s="380">
        <f>tabItens[[#This Row],[QTDE ATUAL]] + tabItens[[#This Row],[RC QTDE]] + tabItens[[#This Row],[AF SALDO]] + tabItens[[#This Row],[Recentes]]</f>
        <v>239</v>
      </c>
      <c r="AX491" s="404">
        <v>6</v>
      </c>
      <c r="AY491" s="404">
        <v>4</v>
      </c>
      <c r="AZ491" s="404">
        <f>IF(ISBLANK(tabItens[[#This Row],[CÓDIGO]]),"",tabItens[[#This Row],[PontoMês]] * (AZ$2+tabItens[[#This Row],[PontoQtM]]))</f>
        <v>24</v>
      </c>
      <c r="BA491" s="403">
        <f>tabItens[[#This Row],[PontoPed]] - tabItens[[#This Row],[Saldo]] + (1/10)</f>
        <v>-214.9</v>
      </c>
      <c r="BB491" s="403">
        <f xml:space="preserve"> tabItens[[#This Row],[PontoMês]] * BB$2 - tabItens[[#This Row],[QTDE ATUAL]] - (1/10)</f>
        <v>-233.1</v>
      </c>
      <c r="BC491" s="335">
        <f>IF( tabItens[[#This Row],[PontoPed]]&gt;0, IF(tabItens[[#This Row],[PontoPed]]&lt;1, 1, IF( tabItens[[#This Row],[Saldo]]&gt;tabItens[[#This Row],[PontoPed]], 0, (tabItens[[#This Row],[PontoPed]]-tabItens[[#This Row],[Saldo]])/tabItens[[#This Row],[PontoPed]] ) ), 0 )</f>
        <v>0</v>
      </c>
      <c r="BD491" s="405">
        <f>ROUNDDOWN(IF( OR( AND(tabItens[[#This Row],[PontoPed]]&lt;tabItens[[#This Row],[Saldo]],tabItens[[#This Row],[Saldo]]&gt;0), tabItens[[#This Row],[PontoPed]]=0), 99, IF(AND(tabItens[[#This Row],[Saldo]]=0,tabItens[[#This Row],[PontoPed]]&gt;0), 0, (1-tabItens[[#This Row],[PctAb]])*10 ) ),0)</f>
        <v>99</v>
      </c>
      <c r="BE491" s="406">
        <f>MAX(ROUNDDOWN( IF(tabItens[[#This Row],[Abaixo]] &gt; 0,   tabItens[[#This Row],[Abaixo]] + (tabItens[[#This Row],[PontoMês]] * IF( OR( ISBLANK(tabItens[[#This Row],[ATA Nº/ANO]]), tabItens[[#This Row],[ATA Nº/ANO]] = ""),BE$2,BE$1)),0),0),0)</f>
        <v>0</v>
      </c>
      <c r="BF49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1" s="338">
        <f>SUMIF(Consumo!$C$3:$C$862,tabItens[[#This Row],[CÓDIGO]],Consumo!$E$3:$E$862)</f>
        <v>0</v>
      </c>
      <c r="BH491" s="339">
        <f>IF(AND(tabItens[[#This Row],[Pend]] &gt; 0,tabItens[[#This Row],[Consumo]] &lt;&gt; 0), tabItens[[#This Row],[Pend]] / tabItens[[#This Row],[Consumo]], 0 )</f>
        <v>0</v>
      </c>
      <c r="BI491" s="338"/>
      <c r="BJ491" s="407"/>
      <c r="BK491" s="408" t="s">
        <v>2086</v>
      </c>
    </row>
    <row r="492" spans="1:63" x14ac:dyDescent="0.3">
      <c r="A492" s="375">
        <v>15672</v>
      </c>
      <c r="B492" s="376" t="s">
        <v>1107</v>
      </c>
      <c r="C492" s="377" t="s">
        <v>263</v>
      </c>
      <c r="D492" s="378">
        <v>17.399999999999999</v>
      </c>
      <c r="E492" s="305"/>
      <c r="F492" s="379"/>
      <c r="G492" s="379" t="s">
        <v>889</v>
      </c>
      <c r="H492" s="380">
        <v>0</v>
      </c>
      <c r="I492" s="307">
        <v>103003</v>
      </c>
      <c r="J492" s="308">
        <v>17.399999999999999</v>
      </c>
      <c r="K492" s="381">
        <v>36</v>
      </c>
      <c r="L492" s="382">
        <f>IF(tabItens[[#This Row],[Média]] &gt; 0, tabItens[[#This Row],[QTDE ATUAL]] / tabItens[[#This Row],[Média]],999.9)</f>
        <v>0</v>
      </c>
      <c r="M492" s="383">
        <v>0</v>
      </c>
      <c r="N492" s="384">
        <f>tabItens[[#This Row],[VALOR UNIT.]] * tabItens[[#This Row],[LC]]</f>
        <v>0</v>
      </c>
      <c r="O492" s="385" t="s">
        <v>2119</v>
      </c>
      <c r="P492" s="386"/>
      <c r="Q492" s="387"/>
      <c r="R492" s="312"/>
      <c r="S492" s="388"/>
      <c r="T492" s="389">
        <f>ROUNDDOWN(IFERROR(tabItens[[#This Row],[ATA DT.VALID.]] - $D$1,0) / 30,0)</f>
        <v>-1474</v>
      </c>
      <c r="U492" s="302" t="s">
        <v>1103</v>
      </c>
      <c r="V492" s="318">
        <v>1</v>
      </c>
      <c r="W492" s="390" t="s">
        <v>2077</v>
      </c>
      <c r="X492" s="391">
        <v>55</v>
      </c>
      <c r="Y492" s="392">
        <v>35</v>
      </c>
      <c r="Z492" s="393">
        <v>2235</v>
      </c>
      <c r="AA492" s="394">
        <v>2023</v>
      </c>
      <c r="AB492" s="395">
        <v>500</v>
      </c>
      <c r="AC492" s="395"/>
      <c r="AD492" s="394"/>
      <c r="AE492" s="395"/>
      <c r="AF492" s="317"/>
      <c r="AG492" s="396" t="s">
        <v>2072</v>
      </c>
      <c r="AH492" s="397"/>
      <c r="AI492" s="317">
        <v>12</v>
      </c>
      <c r="AJ492" s="397">
        <v>44168</v>
      </c>
      <c r="AK492" s="326" t="s">
        <v>889</v>
      </c>
      <c r="AL492" s="326">
        <v>44146</v>
      </c>
      <c r="AM492" s="316"/>
      <c r="AN492" s="305"/>
      <c r="AO492" s="327" t="str">
        <f>_xlfn.IFNA(IF(VLOOKUP(tabItens[[#This Row],[CÓDIGO]],tabExcluirDoEstoque[#Data],1,FALSE),"sim",""),"")</f>
        <v/>
      </c>
      <c r="AP492" s="398" t="str">
        <f ca="1">IF(OR(ISBLANK(tabItens[[#This Row],[ATA DT.VALID.]]),tabItens[[#This Row],[ATA DT.VALID.]]="",tabItens[[#This Row],[ATA DT.VALID.]]=" "),"",IF(TYPE(tabItens[[#This Row],[ATA DT.VALID.]])=1,ROUNDUP((tabItens[[#This Row],[ATA DT.VALID.]]-TODAY())/7,0),""))</f>
        <v/>
      </c>
      <c r="AQ492" s="399">
        <v>0</v>
      </c>
      <c r="AR492" s="400" t="str">
        <f>IF(ISBLANK(tabItens[[#This Row],[CÓDIGO]]),"",IFERROR(VLOOKUP(tabItens[[#This Row],[CÓDIGO]],Consumo!$C$2:$AC$862,26,FALSE),0))</f>
        <v>01.2023</v>
      </c>
      <c r="AS492" s="401">
        <f>SUMIF(Consumo!$C$3:$C$862,tabItens[[#This Row],[CÓDIGO]],Consumo!$N$3:$N$862) + SUMIF(Consumo!$C$3:$C$862,tabItens[[#This Row],[CÓDIGO]],Consumo!$O$3:$O$862) + SUMIF(Consumo!$C$3:$C$862,tabItens[[#This Row],[CÓDIGO]],Consumo!$P$3:$P$862) + SUMIF(Consumo!$C$3:$C$862,tabItens[[#This Row],[CÓDIGO]],Consumo!$Q$3:$Q$862)</f>
        <v>0</v>
      </c>
      <c r="AT492" s="401">
        <f>SUMIF(Consumo!$C$3:$C$862,tabItens[[#This Row],[CÓDIGO]],Consumo!$Z$3:$Z$862)</f>
        <v>64</v>
      </c>
      <c r="AU492" s="402">
        <f>SUMIF(Consumo!$C$3:$C$862,tabItens[[#This Row],[CÓDIGO]],Consumo!$AA$3:$AA$862)</f>
        <v>26</v>
      </c>
      <c r="AV492" s="403">
        <f>SUMIF(Consumo!$C$3:$C$862,tabItens[[#This Row],[CÓDIGO]],Consumo!$Y$3:$Y$862)</f>
        <v>5.25</v>
      </c>
      <c r="AW492" s="380">
        <f>tabItens[[#This Row],[QTDE ATUAL]] + tabItens[[#This Row],[RC QTDE]] + tabItens[[#This Row],[AF SALDO]] + tabItens[[#This Row],[Recentes]]</f>
        <v>500</v>
      </c>
      <c r="AX492" s="404">
        <v>5</v>
      </c>
      <c r="AY492" s="404">
        <v>4</v>
      </c>
      <c r="AZ492" s="404">
        <f>IF(ISBLANK(tabItens[[#This Row],[CÓDIGO]]),"",tabItens[[#This Row],[PontoMês]] * (AZ$2+tabItens[[#This Row],[PontoQtM]]))</f>
        <v>20</v>
      </c>
      <c r="BA492" s="403">
        <f>tabItens[[#This Row],[PontoPed]] - tabItens[[#This Row],[Saldo]] + (1/10)</f>
        <v>-479.9</v>
      </c>
      <c r="BB492" s="403">
        <f xml:space="preserve"> tabItens[[#This Row],[PontoMês]] * BB$2 - tabItens[[#This Row],[QTDE ATUAL]] - (1/10)</f>
        <v>4.9000000000000004</v>
      </c>
      <c r="BC492" s="335">
        <f>IF( tabItens[[#This Row],[PontoPed]]&gt;0, IF(tabItens[[#This Row],[PontoPed]]&lt;1, 1, IF( tabItens[[#This Row],[Saldo]]&gt;tabItens[[#This Row],[PontoPed]], 0, (tabItens[[#This Row],[PontoPed]]-tabItens[[#This Row],[Saldo]])/tabItens[[#This Row],[PontoPed]] ) ), 0 )</f>
        <v>0</v>
      </c>
      <c r="BD492" s="405">
        <f>ROUNDDOWN(IF( OR( AND(tabItens[[#This Row],[PontoPed]]&lt;tabItens[[#This Row],[Saldo]],tabItens[[#This Row],[Saldo]]&gt;0), tabItens[[#This Row],[PontoPed]]=0), 99, IF(AND(tabItens[[#This Row],[Saldo]]=0,tabItens[[#This Row],[PontoPed]]&gt;0), 0, (1-tabItens[[#This Row],[PctAb]])*10 ) ),0)</f>
        <v>99</v>
      </c>
      <c r="BE492" s="406">
        <f>MAX(ROUNDDOWN( IF(tabItens[[#This Row],[Abaixo]] &gt; 0,   tabItens[[#This Row],[Abaixo]] + (tabItens[[#This Row],[PontoMês]] * IF( OR( ISBLANK(tabItens[[#This Row],[ATA Nº/ANO]]), tabItens[[#This Row],[ATA Nº/ANO]] = ""),BE$2,BE$1)),0),0),0)</f>
        <v>0</v>
      </c>
      <c r="BF49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2" s="338">
        <f>SUMIF(Consumo!$C$3:$C$862,tabItens[[#This Row],[CÓDIGO]],Consumo!$E$3:$E$862)</f>
        <v>28</v>
      </c>
      <c r="BH492" s="339">
        <f>IF(AND(tabItens[[#This Row],[Pend]] &gt; 0,tabItens[[#This Row],[Consumo]] &lt;&gt; 0), tabItens[[#This Row],[Pend]] / tabItens[[#This Row],[Consumo]], 0 )</f>
        <v>0.4375</v>
      </c>
      <c r="BI492" s="338"/>
      <c r="BJ492" s="407"/>
      <c r="BK492" s="408" t="s">
        <v>2086</v>
      </c>
    </row>
    <row r="493" spans="1:63" x14ac:dyDescent="0.3">
      <c r="A493" s="375">
        <v>17299</v>
      </c>
      <c r="B493" s="376" t="s">
        <v>1127</v>
      </c>
      <c r="C493" s="377" t="s">
        <v>267</v>
      </c>
      <c r="D493" s="378">
        <v>278</v>
      </c>
      <c r="E493" s="305"/>
      <c r="F493" s="379"/>
      <c r="G493" s="379" t="s">
        <v>889</v>
      </c>
      <c r="H493" s="380">
        <v>22</v>
      </c>
      <c r="I493" s="307">
        <v>103003</v>
      </c>
      <c r="J493" s="308">
        <v>278</v>
      </c>
      <c r="K493" s="381">
        <v>21</v>
      </c>
      <c r="L493" s="382">
        <f>IF(tabItens[[#This Row],[Média]] &gt; 0, tabItens[[#This Row],[QTDE ATUAL]] / tabItens[[#This Row],[Média]],999.9)</f>
        <v>18.857142857142858</v>
      </c>
      <c r="M493" s="383">
        <v>0</v>
      </c>
      <c r="N493" s="384">
        <f>tabItens[[#This Row],[VALOR UNIT.]] * tabItens[[#This Row],[LC]]</f>
        <v>0</v>
      </c>
      <c r="O493" s="385" t="s">
        <v>2129</v>
      </c>
      <c r="P493" s="386"/>
      <c r="Q493" s="387"/>
      <c r="R493" s="312"/>
      <c r="S493" s="388"/>
      <c r="T493" s="389">
        <f>ROUNDDOWN(IFERROR(tabItens[[#This Row],[ATA DT.VALID.]] - $D$1,0) / 30,0)</f>
        <v>-1474</v>
      </c>
      <c r="U493" s="302" t="s">
        <v>1128</v>
      </c>
      <c r="V493" s="318">
        <v>1</v>
      </c>
      <c r="W493" s="390" t="s">
        <v>2074</v>
      </c>
      <c r="X493" s="391">
        <v>57</v>
      </c>
      <c r="Y493" s="392">
        <v>18</v>
      </c>
      <c r="Z493" s="393"/>
      <c r="AA493" s="394"/>
      <c r="AB493" s="395"/>
      <c r="AC493" s="395"/>
      <c r="AD493" s="394"/>
      <c r="AE493" s="395"/>
      <c r="AF493" s="317"/>
      <c r="AG493" s="396" t="s">
        <v>2072</v>
      </c>
      <c r="AH493" s="397"/>
      <c r="AI493" s="317">
        <v>0</v>
      </c>
      <c r="AJ493" s="397">
        <v>43622</v>
      </c>
      <c r="AK493" s="326" t="s">
        <v>889</v>
      </c>
      <c r="AL493" s="326">
        <v>44952</v>
      </c>
      <c r="AM493" s="316"/>
      <c r="AN493" s="305"/>
      <c r="AO493" s="327" t="str">
        <f>_xlfn.IFNA(IF(VLOOKUP(tabItens[[#This Row],[CÓDIGO]],tabExcluirDoEstoque[#Data],1,FALSE),"sim",""),"")</f>
        <v/>
      </c>
      <c r="AP493" s="398" t="str">
        <f ca="1">IF(OR(ISBLANK(tabItens[[#This Row],[ATA DT.VALID.]]),tabItens[[#This Row],[ATA DT.VALID.]]="",tabItens[[#This Row],[ATA DT.VALID.]]=" "),"",IF(TYPE(tabItens[[#This Row],[ATA DT.VALID.]])=1,ROUNDUP((tabItens[[#This Row],[ATA DT.VALID.]]-TODAY())/7,0),""))</f>
        <v/>
      </c>
      <c r="AQ493" s="399">
        <v>0</v>
      </c>
      <c r="AR493" s="400" t="str">
        <f>IF(ISBLANK(tabItens[[#This Row],[CÓDIGO]]),"",IFERROR(VLOOKUP(tabItens[[#This Row],[CÓDIGO]],Consumo!$C$2:$AC$862,26,FALSE),0))</f>
        <v>09.2023</v>
      </c>
      <c r="AS493" s="401">
        <f>SUMIF(Consumo!$C$3:$C$862,tabItens[[#This Row],[CÓDIGO]],Consumo!$N$3:$N$862) + SUMIF(Consumo!$C$3:$C$862,tabItens[[#This Row],[CÓDIGO]],Consumo!$O$3:$O$862) + SUMIF(Consumo!$C$3:$C$862,tabItens[[#This Row],[CÓDIGO]],Consumo!$P$3:$P$862) + SUMIF(Consumo!$C$3:$C$862,tabItens[[#This Row],[CÓDIGO]],Consumo!$Q$3:$Q$862)</f>
        <v>21</v>
      </c>
      <c r="AT493" s="401">
        <f>SUMIF(Consumo!$C$3:$C$862,tabItens[[#This Row],[CÓDIGO]],Consumo!$Z$3:$Z$862)</f>
        <v>21</v>
      </c>
      <c r="AU493" s="402">
        <f>SUMIF(Consumo!$C$3:$C$862,tabItens[[#This Row],[CÓDIGO]],Consumo!$AA$3:$AA$862)</f>
        <v>20</v>
      </c>
      <c r="AV493" s="403">
        <f>SUMIF(Consumo!$C$3:$C$862,tabItens[[#This Row],[CÓDIGO]],Consumo!$Y$3:$Y$862)</f>
        <v>1.1666666666666667</v>
      </c>
      <c r="AW493" s="380">
        <f>tabItens[[#This Row],[QTDE ATUAL]] + tabItens[[#This Row],[RC QTDE]] + tabItens[[#This Row],[AF SALDO]] + tabItens[[#This Row],[Recentes]]</f>
        <v>22</v>
      </c>
      <c r="AX493" s="404">
        <v>3</v>
      </c>
      <c r="AY493" s="404">
        <v>4</v>
      </c>
      <c r="AZ493" s="404">
        <f>IF(ISBLANK(tabItens[[#This Row],[CÓDIGO]]),"",tabItens[[#This Row],[PontoMês]] * (AZ$2+tabItens[[#This Row],[PontoQtM]]))</f>
        <v>12</v>
      </c>
      <c r="BA493" s="403">
        <f>tabItens[[#This Row],[PontoPed]] - tabItens[[#This Row],[Saldo]] + (1/10)</f>
        <v>-9.9</v>
      </c>
      <c r="BB493" s="403">
        <f xml:space="preserve"> tabItens[[#This Row],[PontoMês]] * BB$2 - tabItens[[#This Row],[QTDE ATUAL]] - (1/10)</f>
        <v>-19.100000000000001</v>
      </c>
      <c r="BC493" s="335">
        <f>IF( tabItens[[#This Row],[PontoPed]]&gt;0, IF(tabItens[[#This Row],[PontoPed]]&lt;1, 1, IF( tabItens[[#This Row],[Saldo]]&gt;tabItens[[#This Row],[PontoPed]], 0, (tabItens[[#This Row],[PontoPed]]-tabItens[[#This Row],[Saldo]])/tabItens[[#This Row],[PontoPed]] ) ), 0 )</f>
        <v>0</v>
      </c>
      <c r="BD493" s="405">
        <f>ROUNDDOWN(IF( OR( AND(tabItens[[#This Row],[PontoPed]]&lt;tabItens[[#This Row],[Saldo]],tabItens[[#This Row],[Saldo]]&gt;0), tabItens[[#This Row],[PontoPed]]=0), 99, IF(AND(tabItens[[#This Row],[Saldo]]=0,tabItens[[#This Row],[PontoPed]]&gt;0), 0, (1-tabItens[[#This Row],[PctAb]])*10 ) ),0)</f>
        <v>99</v>
      </c>
      <c r="BE493" s="406">
        <f>MAX(ROUNDDOWN( IF(tabItens[[#This Row],[Abaixo]] &gt; 0,   tabItens[[#This Row],[Abaixo]] + (tabItens[[#This Row],[PontoMês]] * IF( OR( ISBLANK(tabItens[[#This Row],[ATA Nº/ANO]]), tabItens[[#This Row],[ATA Nº/ANO]] = ""),BE$2,BE$1)),0),0),0)</f>
        <v>0</v>
      </c>
      <c r="BF49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3" s="338">
        <f>SUMIF(Consumo!$C$3:$C$862,tabItens[[#This Row],[CÓDIGO]],Consumo!$E$3:$E$862)</f>
        <v>0</v>
      </c>
      <c r="BH493" s="339">
        <f>IF(AND(tabItens[[#This Row],[Pend]] &gt; 0,tabItens[[#This Row],[Consumo]] &lt;&gt; 0), tabItens[[#This Row],[Pend]] / tabItens[[#This Row],[Consumo]], 0 )</f>
        <v>0</v>
      </c>
      <c r="BI493" s="338"/>
      <c r="BJ493" s="407"/>
      <c r="BK493" s="408" t="s">
        <v>2086</v>
      </c>
    </row>
    <row r="494" spans="1:63" x14ac:dyDescent="0.3">
      <c r="A494" s="375">
        <v>140028</v>
      </c>
      <c r="B494" s="376" t="s">
        <v>1998</v>
      </c>
      <c r="C494" s="377" t="s">
        <v>260</v>
      </c>
      <c r="D494" s="378">
        <v>94</v>
      </c>
      <c r="E494" s="305"/>
      <c r="F494" s="379"/>
      <c r="G494" s="379" t="s">
        <v>889</v>
      </c>
      <c r="H494" s="380">
        <v>843</v>
      </c>
      <c r="I494" s="307">
        <v>103003</v>
      </c>
      <c r="J494" s="308">
        <v>94</v>
      </c>
      <c r="K494" s="381">
        <v>49</v>
      </c>
      <c r="L494" s="382">
        <f>IF(tabItens[[#This Row],[Média]] &gt; 0, tabItens[[#This Row],[QTDE ATUAL]] / tabItens[[#This Row],[Média]],999.9)</f>
        <v>180.64285714285714</v>
      </c>
      <c r="M494" s="383">
        <v>0</v>
      </c>
      <c r="N494" s="384">
        <f>tabItens[[#This Row],[VALOR UNIT.]] * tabItens[[#This Row],[LC]]</f>
        <v>0</v>
      </c>
      <c r="O494" s="385" t="s">
        <v>2210</v>
      </c>
      <c r="P494" s="386"/>
      <c r="Q494" s="387"/>
      <c r="R494" s="312"/>
      <c r="S494" s="388"/>
      <c r="T494" s="389">
        <f>ROUNDDOWN(IFERROR(tabItens[[#This Row],[ATA DT.VALID.]] - $D$1,0) / 30,0)</f>
        <v>-1474</v>
      </c>
      <c r="U494" s="302" t="s">
        <v>1676</v>
      </c>
      <c r="V494" s="318">
        <v>1</v>
      </c>
      <c r="W494" s="390" t="s">
        <v>2077</v>
      </c>
      <c r="X494" s="391">
        <v>55</v>
      </c>
      <c r="Y494" s="392">
        <v>19</v>
      </c>
      <c r="Z494" s="393"/>
      <c r="AA494" s="394"/>
      <c r="AB494" s="395"/>
      <c r="AC494" s="395"/>
      <c r="AD494" s="394"/>
      <c r="AE494" s="395"/>
      <c r="AF494" s="317"/>
      <c r="AG494" s="396" t="s">
        <v>2072</v>
      </c>
      <c r="AH494" s="397"/>
      <c r="AI494" s="317">
        <v>20</v>
      </c>
      <c r="AJ494" s="397" t="s">
        <v>889</v>
      </c>
      <c r="AK494" s="326">
        <v>44096</v>
      </c>
      <c r="AL494" s="326">
        <v>45139</v>
      </c>
      <c r="AM494" s="316"/>
      <c r="AN494" s="305"/>
      <c r="AO494" s="327" t="str">
        <f>_xlfn.IFNA(IF(VLOOKUP(tabItens[[#This Row],[CÓDIGO]],tabExcluirDoEstoque[#Data],1,FALSE),"sim",""),"")</f>
        <v/>
      </c>
      <c r="AP494" s="398" t="str">
        <f ca="1">IF(OR(ISBLANK(tabItens[[#This Row],[ATA DT.VALID.]]),tabItens[[#This Row],[ATA DT.VALID.]]="",tabItens[[#This Row],[ATA DT.VALID.]]=" "),"",IF(TYPE(tabItens[[#This Row],[ATA DT.VALID.]])=1,ROUNDUP((tabItens[[#This Row],[ATA DT.VALID.]]-TODAY())/7,0),""))</f>
        <v/>
      </c>
      <c r="AQ494" s="399">
        <v>0</v>
      </c>
      <c r="AR494" s="400" t="str">
        <f>IF(ISBLANK(tabItens[[#This Row],[CÓDIGO]]),"",IFERROR(VLOOKUP(tabItens[[#This Row],[CÓDIGO]],Consumo!$C$2:$AC$862,26,FALSE),0))</f>
        <v>09.2023</v>
      </c>
      <c r="AS494" s="401">
        <f>SUMIF(Consumo!$C$3:$C$862,tabItens[[#This Row],[CÓDIGO]],Consumo!$N$3:$N$862) + SUMIF(Consumo!$C$3:$C$862,tabItens[[#This Row],[CÓDIGO]],Consumo!$O$3:$O$862) + SUMIF(Consumo!$C$3:$C$862,tabItens[[#This Row],[CÓDIGO]],Consumo!$P$3:$P$862) + SUMIF(Consumo!$C$3:$C$862,tabItens[[#This Row],[CÓDIGO]],Consumo!$Q$3:$Q$862)</f>
        <v>9</v>
      </c>
      <c r="AT494" s="401">
        <f>SUMIF(Consumo!$C$3:$C$862,tabItens[[#This Row],[CÓDIGO]],Consumo!$Z$3:$Z$862)</f>
        <v>58</v>
      </c>
      <c r="AU494" s="402">
        <f>SUMIF(Consumo!$C$3:$C$862,tabItens[[#This Row],[CÓDIGO]],Consumo!$AA$3:$AA$862)</f>
        <v>16</v>
      </c>
      <c r="AV494" s="403">
        <f>SUMIF(Consumo!$C$3:$C$862,tabItens[[#This Row],[CÓDIGO]],Consumo!$Y$3:$Y$862)</f>
        <v>4.666666666666667</v>
      </c>
      <c r="AW494" s="380">
        <f>tabItens[[#This Row],[QTDE ATUAL]] + tabItens[[#This Row],[RC QTDE]] + tabItens[[#This Row],[AF SALDO]] + tabItens[[#This Row],[Recentes]]</f>
        <v>843</v>
      </c>
      <c r="AX494" s="404">
        <v>234</v>
      </c>
      <c r="AY494" s="404">
        <v>4</v>
      </c>
      <c r="AZ494" s="404">
        <f>IF(ISBLANK(tabItens[[#This Row],[CÓDIGO]]),"",tabItens[[#This Row],[PontoMês]] * (AZ$2+tabItens[[#This Row],[PontoQtM]]))</f>
        <v>936</v>
      </c>
      <c r="BA494" s="403">
        <f>tabItens[[#This Row],[PontoPed]] - tabItens[[#This Row],[Saldo]] + (1/10)</f>
        <v>93.1</v>
      </c>
      <c r="BB494" s="403">
        <f xml:space="preserve"> tabItens[[#This Row],[PontoMês]] * BB$2 - tabItens[[#This Row],[QTDE ATUAL]] - (1/10)</f>
        <v>-609.1</v>
      </c>
      <c r="BC494" s="335">
        <f>IF( tabItens[[#This Row],[PontoPed]]&gt;0, IF(tabItens[[#This Row],[PontoPed]]&lt;1, 1, IF( tabItens[[#This Row],[Saldo]]&gt;tabItens[[#This Row],[PontoPed]], 0, (tabItens[[#This Row],[PontoPed]]-tabItens[[#This Row],[Saldo]])/tabItens[[#This Row],[PontoPed]] ) ), 0 )</f>
        <v>9.9358974358974353E-2</v>
      </c>
      <c r="BD494" s="405">
        <f>ROUNDDOWN(IF( OR( AND(tabItens[[#This Row],[PontoPed]]&lt;tabItens[[#This Row],[Saldo]],tabItens[[#This Row],[Saldo]]&gt;0), tabItens[[#This Row],[PontoPed]]=0), 99, IF(AND(tabItens[[#This Row],[Saldo]]=0,tabItens[[#This Row],[PontoPed]]&gt;0), 0, (1-tabItens[[#This Row],[PctAb]])*10 ) ),0)</f>
        <v>9</v>
      </c>
      <c r="BE494" s="406">
        <f>MAX(ROUNDDOWN( IF(tabItens[[#This Row],[Abaixo]] &gt; 0,   tabItens[[#This Row],[Abaixo]] + (tabItens[[#This Row],[PontoMês]] * IF( OR( ISBLANK(tabItens[[#This Row],[ATA Nº/ANO]]), tabItens[[#This Row],[ATA Nº/ANO]] = ""),BE$2,BE$1)),0),0),0)</f>
        <v>795</v>
      </c>
      <c r="BF49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4" s="338">
        <f>SUMIF(Consumo!$C$3:$C$862,tabItens[[#This Row],[CÓDIGO]],Consumo!$E$3:$E$862)</f>
        <v>0</v>
      </c>
      <c r="BH494" s="339">
        <f>IF(AND(tabItens[[#This Row],[Pend]] &gt; 0,tabItens[[#This Row],[Consumo]] &lt;&gt; 0), tabItens[[#This Row],[Pend]] / tabItens[[#This Row],[Consumo]], 0 )</f>
        <v>0</v>
      </c>
      <c r="BI494" s="338"/>
      <c r="BJ494" s="407"/>
      <c r="BK494" s="408" t="s">
        <v>2086</v>
      </c>
    </row>
    <row r="495" spans="1:63" x14ac:dyDescent="0.3">
      <c r="A495" s="375">
        <v>140030</v>
      </c>
      <c r="B495" s="376" t="s">
        <v>1999</v>
      </c>
      <c r="C495" s="377" t="s">
        <v>260</v>
      </c>
      <c r="D495" s="378">
        <v>173</v>
      </c>
      <c r="E495" s="305"/>
      <c r="F495" s="379"/>
      <c r="G495" s="379" t="s">
        <v>889</v>
      </c>
      <c r="H495" s="380">
        <v>60</v>
      </c>
      <c r="I495" s="307">
        <v>103003</v>
      </c>
      <c r="J495" s="308">
        <v>173</v>
      </c>
      <c r="K495" s="381">
        <v>82</v>
      </c>
      <c r="L495" s="382">
        <f>IF(tabItens[[#This Row],[Média]] &gt; 0, tabItens[[#This Row],[QTDE ATUAL]] / tabItens[[#This Row],[Média]],999.9)</f>
        <v>7.2727272727272725</v>
      </c>
      <c r="M495" s="383">
        <v>0</v>
      </c>
      <c r="N495" s="384">
        <f>tabItens[[#This Row],[VALOR UNIT.]] * tabItens[[#This Row],[LC]]</f>
        <v>0</v>
      </c>
      <c r="O495" s="385" t="s">
        <v>2210</v>
      </c>
      <c r="P495" s="386"/>
      <c r="Q495" s="387"/>
      <c r="R495" s="312"/>
      <c r="S495" s="388"/>
      <c r="T495" s="389">
        <f>ROUNDDOWN(IFERROR(tabItens[[#This Row],[ATA DT.VALID.]] - $D$1,0) / 30,0)</f>
        <v>-1474</v>
      </c>
      <c r="U495" s="302" t="s">
        <v>1676</v>
      </c>
      <c r="V495" s="318">
        <v>1</v>
      </c>
      <c r="W495" s="390" t="s">
        <v>2077</v>
      </c>
      <c r="X495" s="391">
        <v>55</v>
      </c>
      <c r="Y495" s="392">
        <v>19</v>
      </c>
      <c r="Z495" s="393"/>
      <c r="AA495" s="394"/>
      <c r="AB495" s="395"/>
      <c r="AC495" s="395"/>
      <c r="AD495" s="394"/>
      <c r="AE495" s="395"/>
      <c r="AF495" s="317"/>
      <c r="AG495" s="396" t="s">
        <v>2072</v>
      </c>
      <c r="AH495" s="397"/>
      <c r="AI495" s="317">
        <v>34</v>
      </c>
      <c r="AJ495" s="397">
        <v>45030</v>
      </c>
      <c r="AK495" s="326">
        <v>44096</v>
      </c>
      <c r="AL495" s="326">
        <v>45139</v>
      </c>
      <c r="AM495" s="316"/>
      <c r="AN495" s="305"/>
      <c r="AO495" s="327" t="str">
        <f>_xlfn.IFNA(IF(VLOOKUP(tabItens[[#This Row],[CÓDIGO]],tabExcluirDoEstoque[#Data],1,FALSE),"sim",""),"")</f>
        <v/>
      </c>
      <c r="AP495" s="398" t="str">
        <f ca="1">IF(OR(ISBLANK(tabItens[[#This Row],[ATA DT.VALID.]]),tabItens[[#This Row],[ATA DT.VALID.]]="",tabItens[[#This Row],[ATA DT.VALID.]]=" "),"",IF(TYPE(tabItens[[#This Row],[ATA DT.VALID.]])=1,ROUNDUP((tabItens[[#This Row],[ATA DT.VALID.]]-TODAY())/7,0),""))</f>
        <v/>
      </c>
      <c r="AQ495" s="399">
        <v>0</v>
      </c>
      <c r="AR495" s="400" t="str">
        <f>IF(ISBLANK(tabItens[[#This Row],[CÓDIGO]]),"",IFERROR(VLOOKUP(tabItens[[#This Row],[CÓDIGO]],Consumo!$C$2:$AC$862,26,FALSE),0))</f>
        <v>09.2023</v>
      </c>
      <c r="AS495" s="401">
        <f>SUMIF(Consumo!$C$3:$C$862,tabItens[[#This Row],[CÓDIGO]],Consumo!$N$3:$N$862) + SUMIF(Consumo!$C$3:$C$862,tabItens[[#This Row],[CÓDIGO]],Consumo!$O$3:$O$862) + SUMIF(Consumo!$C$3:$C$862,tabItens[[#This Row],[CÓDIGO]],Consumo!$P$3:$P$862) + SUMIF(Consumo!$C$3:$C$862,tabItens[[#This Row],[CÓDIGO]],Consumo!$Q$3:$Q$862)</f>
        <v>68</v>
      </c>
      <c r="AT495" s="401">
        <f>SUMIF(Consumo!$C$3:$C$862,tabItens[[#This Row],[CÓDIGO]],Consumo!$Z$3:$Z$862)</f>
        <v>103</v>
      </c>
      <c r="AU495" s="402">
        <f>SUMIF(Consumo!$C$3:$C$862,tabItens[[#This Row],[CÓDIGO]],Consumo!$AA$3:$AA$862)</f>
        <v>29</v>
      </c>
      <c r="AV495" s="403">
        <f>SUMIF(Consumo!$C$3:$C$862,tabItens[[#This Row],[CÓDIGO]],Consumo!$Y$3:$Y$862)</f>
        <v>8.25</v>
      </c>
      <c r="AW495" s="380">
        <f>tabItens[[#This Row],[QTDE ATUAL]] + tabItens[[#This Row],[RC QTDE]] + tabItens[[#This Row],[AF SALDO]] + tabItens[[#This Row],[Recentes]]</f>
        <v>60</v>
      </c>
      <c r="AX495" s="404">
        <v>8</v>
      </c>
      <c r="AY495" s="404">
        <v>4</v>
      </c>
      <c r="AZ495" s="404">
        <f>IF(ISBLANK(tabItens[[#This Row],[CÓDIGO]]),"",tabItens[[#This Row],[PontoMês]] * (AZ$2+tabItens[[#This Row],[PontoQtM]]))</f>
        <v>32</v>
      </c>
      <c r="BA495" s="403">
        <f>tabItens[[#This Row],[PontoPed]] - tabItens[[#This Row],[Saldo]] + (1/10)</f>
        <v>-27.9</v>
      </c>
      <c r="BB495" s="403">
        <f xml:space="preserve"> tabItens[[#This Row],[PontoMês]] * BB$2 - tabItens[[#This Row],[QTDE ATUAL]] - (1/10)</f>
        <v>-52.1</v>
      </c>
      <c r="BC495" s="335">
        <f>IF( tabItens[[#This Row],[PontoPed]]&gt;0, IF(tabItens[[#This Row],[PontoPed]]&lt;1, 1, IF( tabItens[[#This Row],[Saldo]]&gt;tabItens[[#This Row],[PontoPed]], 0, (tabItens[[#This Row],[PontoPed]]-tabItens[[#This Row],[Saldo]])/tabItens[[#This Row],[PontoPed]] ) ), 0 )</f>
        <v>0</v>
      </c>
      <c r="BD495" s="405">
        <f>ROUNDDOWN(IF( OR( AND(tabItens[[#This Row],[PontoPed]]&lt;tabItens[[#This Row],[Saldo]],tabItens[[#This Row],[Saldo]]&gt;0), tabItens[[#This Row],[PontoPed]]=0), 99, IF(AND(tabItens[[#This Row],[Saldo]]=0,tabItens[[#This Row],[PontoPed]]&gt;0), 0, (1-tabItens[[#This Row],[PctAb]])*10 ) ),0)</f>
        <v>99</v>
      </c>
      <c r="BE495" s="406">
        <f>MAX(ROUNDDOWN( IF(tabItens[[#This Row],[Abaixo]] &gt; 0,   tabItens[[#This Row],[Abaixo]] + (tabItens[[#This Row],[PontoMês]] * IF( OR( ISBLANK(tabItens[[#This Row],[ATA Nº/ANO]]), tabItens[[#This Row],[ATA Nº/ANO]] = ""),BE$2,BE$1)),0),0),0)</f>
        <v>0</v>
      </c>
      <c r="BF49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5" s="338">
        <f>SUMIF(Consumo!$C$3:$C$862,tabItens[[#This Row],[CÓDIGO]],Consumo!$E$3:$E$862)</f>
        <v>0</v>
      </c>
      <c r="BH495" s="339">
        <f>IF(AND(tabItens[[#This Row],[Pend]] &gt; 0,tabItens[[#This Row],[Consumo]] &lt;&gt; 0), tabItens[[#This Row],[Pend]] / tabItens[[#This Row],[Consumo]], 0 )</f>
        <v>0</v>
      </c>
      <c r="BI495" s="338"/>
      <c r="BJ495" s="407"/>
      <c r="BK495" s="408" t="s">
        <v>2086</v>
      </c>
    </row>
    <row r="496" spans="1:63" x14ac:dyDescent="0.3">
      <c r="A496" s="375">
        <v>140032</v>
      </c>
      <c r="B496" s="376" t="s">
        <v>2000</v>
      </c>
      <c r="C496" s="377" t="s">
        <v>260</v>
      </c>
      <c r="D496" s="378">
        <v>173</v>
      </c>
      <c r="E496" s="305"/>
      <c r="F496" s="379"/>
      <c r="G496" s="379" t="s">
        <v>889</v>
      </c>
      <c r="H496" s="380">
        <v>44</v>
      </c>
      <c r="I496" s="307">
        <v>103003</v>
      </c>
      <c r="J496" s="308">
        <v>173</v>
      </c>
      <c r="K496" s="381">
        <v>203</v>
      </c>
      <c r="L496" s="382">
        <f>IF(tabItens[[#This Row],[Média]] &gt; 0, tabItens[[#This Row],[QTDE ATUAL]] / tabItens[[#This Row],[Média]],999.9)</f>
        <v>1.703225806451613</v>
      </c>
      <c r="M496" s="383">
        <v>0</v>
      </c>
      <c r="N496" s="384">
        <f>tabItens[[#This Row],[VALOR UNIT.]] * tabItens[[#This Row],[LC]]</f>
        <v>0</v>
      </c>
      <c r="O496" s="385" t="s">
        <v>2210</v>
      </c>
      <c r="P496" s="386"/>
      <c r="Q496" s="387"/>
      <c r="R496" s="312"/>
      <c r="S496" s="388"/>
      <c r="T496" s="389">
        <f>ROUNDDOWN(IFERROR(tabItens[[#This Row],[ATA DT.VALID.]] - $D$1,0) / 30,0)</f>
        <v>-1474</v>
      </c>
      <c r="U496" s="302" t="s">
        <v>1676</v>
      </c>
      <c r="V496" s="318">
        <v>1</v>
      </c>
      <c r="W496" s="390" t="s">
        <v>2077</v>
      </c>
      <c r="X496" s="391">
        <v>55</v>
      </c>
      <c r="Y496" s="392">
        <v>19</v>
      </c>
      <c r="Z496" s="393">
        <v>2375</v>
      </c>
      <c r="AA496" s="394">
        <v>2023</v>
      </c>
      <c r="AB496" s="395">
        <v>400</v>
      </c>
      <c r="AC496" s="395"/>
      <c r="AD496" s="394"/>
      <c r="AE496" s="395"/>
      <c r="AF496" s="317"/>
      <c r="AG496" s="396" t="s">
        <v>2072</v>
      </c>
      <c r="AH496" s="397"/>
      <c r="AI496" s="317">
        <v>102</v>
      </c>
      <c r="AJ496" s="397">
        <v>44928</v>
      </c>
      <c r="AK496" s="326">
        <v>44096</v>
      </c>
      <c r="AL496" s="326">
        <v>45139</v>
      </c>
      <c r="AM496" s="316"/>
      <c r="AN496" s="305"/>
      <c r="AO496" s="327" t="str">
        <f>_xlfn.IFNA(IF(VLOOKUP(tabItens[[#This Row],[CÓDIGO]],tabExcluirDoEstoque[#Data],1,FALSE),"sim",""),"")</f>
        <v/>
      </c>
      <c r="AP496" s="398" t="str">
        <f ca="1">IF(OR(ISBLANK(tabItens[[#This Row],[ATA DT.VALID.]]),tabItens[[#This Row],[ATA DT.VALID.]]="",tabItens[[#This Row],[ATA DT.VALID.]]=" "),"",IF(TYPE(tabItens[[#This Row],[ATA DT.VALID.]])=1,ROUNDUP((tabItens[[#This Row],[ATA DT.VALID.]]-TODAY())/7,0),""))</f>
        <v/>
      </c>
      <c r="AQ496" s="399">
        <v>0</v>
      </c>
      <c r="AR496" s="400" t="str">
        <f>IF(ISBLANK(tabItens[[#This Row],[CÓDIGO]]),"",IFERROR(VLOOKUP(tabItens[[#This Row],[CÓDIGO]],Consumo!$C$2:$AC$862,26,FALSE),0))</f>
        <v>09.2023</v>
      </c>
      <c r="AS496" s="401">
        <f>SUMIF(Consumo!$C$3:$C$862,tabItens[[#This Row],[CÓDIGO]],Consumo!$N$3:$N$862) + SUMIF(Consumo!$C$3:$C$862,tabItens[[#This Row],[CÓDIGO]],Consumo!$O$3:$O$862) + SUMIF(Consumo!$C$3:$C$862,tabItens[[#This Row],[CÓDIGO]],Consumo!$P$3:$P$862) + SUMIF(Consumo!$C$3:$C$862,tabItens[[#This Row],[CÓDIGO]],Consumo!$Q$3:$Q$862)</f>
        <v>136</v>
      </c>
      <c r="AT496" s="401">
        <f>SUMIF(Consumo!$C$3:$C$862,tabItens[[#This Row],[CÓDIGO]],Consumo!$Z$3:$Z$862)</f>
        <v>310</v>
      </c>
      <c r="AU496" s="402">
        <f>SUMIF(Consumo!$C$3:$C$862,tabItens[[#This Row],[CÓDIGO]],Consumo!$AA$3:$AA$862)</f>
        <v>50</v>
      </c>
      <c r="AV496" s="403">
        <f>SUMIF(Consumo!$C$3:$C$862,tabItens[[#This Row],[CÓDIGO]],Consumo!$Y$3:$Y$862)</f>
        <v>25.833333333333332</v>
      </c>
      <c r="AW496" s="380">
        <f>tabItens[[#This Row],[QTDE ATUAL]] + tabItens[[#This Row],[RC QTDE]] + tabItens[[#This Row],[AF SALDO]] + tabItens[[#This Row],[Recentes]]</f>
        <v>444</v>
      </c>
      <c r="AX496" s="404">
        <v>20</v>
      </c>
      <c r="AY496" s="404">
        <v>4</v>
      </c>
      <c r="AZ496" s="404">
        <f>IF(ISBLANK(tabItens[[#This Row],[CÓDIGO]]),"",tabItens[[#This Row],[PontoMês]] * (AZ$2+tabItens[[#This Row],[PontoQtM]]))</f>
        <v>80</v>
      </c>
      <c r="BA496" s="403">
        <f>tabItens[[#This Row],[PontoPed]] - tabItens[[#This Row],[Saldo]] + (1/10)</f>
        <v>-363.9</v>
      </c>
      <c r="BB496" s="403">
        <f xml:space="preserve"> tabItens[[#This Row],[PontoMês]] * BB$2 - tabItens[[#This Row],[QTDE ATUAL]] - (1/10)</f>
        <v>-24.1</v>
      </c>
      <c r="BC496" s="335">
        <f>IF( tabItens[[#This Row],[PontoPed]]&gt;0, IF(tabItens[[#This Row],[PontoPed]]&lt;1, 1, IF( tabItens[[#This Row],[Saldo]]&gt;tabItens[[#This Row],[PontoPed]], 0, (tabItens[[#This Row],[PontoPed]]-tabItens[[#This Row],[Saldo]])/tabItens[[#This Row],[PontoPed]] ) ), 0 )</f>
        <v>0</v>
      </c>
      <c r="BD496" s="405">
        <f>ROUNDDOWN(IF( OR( AND(tabItens[[#This Row],[PontoPed]]&lt;tabItens[[#This Row],[Saldo]],tabItens[[#This Row],[Saldo]]&gt;0), tabItens[[#This Row],[PontoPed]]=0), 99, IF(AND(tabItens[[#This Row],[Saldo]]=0,tabItens[[#This Row],[PontoPed]]&gt;0), 0, (1-tabItens[[#This Row],[PctAb]])*10 ) ),0)</f>
        <v>99</v>
      </c>
      <c r="BE496" s="406">
        <f>MAX(ROUNDDOWN( IF(tabItens[[#This Row],[Abaixo]] &gt; 0,   tabItens[[#This Row],[Abaixo]] + (tabItens[[#This Row],[PontoMês]] * IF( OR( ISBLANK(tabItens[[#This Row],[ATA Nº/ANO]]), tabItens[[#This Row],[ATA Nº/ANO]] = ""),BE$2,BE$1)),0),0),0)</f>
        <v>0</v>
      </c>
      <c r="BF49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6" s="338">
        <f>SUMIF(Consumo!$C$3:$C$862,tabItens[[#This Row],[CÓDIGO]],Consumo!$E$3:$E$862)</f>
        <v>3</v>
      </c>
      <c r="BH496" s="339">
        <f>IF(AND(tabItens[[#This Row],[Pend]] &gt; 0,tabItens[[#This Row],[Consumo]] &lt;&gt; 0), tabItens[[#This Row],[Pend]] / tabItens[[#This Row],[Consumo]], 0 )</f>
        <v>9.6774193548387101E-3</v>
      </c>
      <c r="BI496" s="338"/>
      <c r="BJ496" s="407"/>
      <c r="BK496" s="408" t="s">
        <v>2086</v>
      </c>
    </row>
    <row r="497" spans="1:63" x14ac:dyDescent="0.3">
      <c r="A497" s="375">
        <v>140033</v>
      </c>
      <c r="B497" s="376" t="s">
        <v>2001</v>
      </c>
      <c r="C497" s="377" t="s">
        <v>260</v>
      </c>
      <c r="D497" s="378">
        <v>264.43</v>
      </c>
      <c r="E497" s="305"/>
      <c r="F497" s="379"/>
      <c r="G497" s="379" t="s">
        <v>889</v>
      </c>
      <c r="H497" s="380">
        <v>235</v>
      </c>
      <c r="I497" s="307">
        <v>103003</v>
      </c>
      <c r="J497" s="308">
        <v>264.43</v>
      </c>
      <c r="K497" s="381">
        <v>200</v>
      </c>
      <c r="L497" s="382">
        <f>IF(tabItens[[#This Row],[Média]] &gt; 0, tabItens[[#This Row],[QTDE ATUAL]] / tabItens[[#This Row],[Média]],999.9)</f>
        <v>10.561797752808989</v>
      </c>
      <c r="M497" s="383">
        <v>0</v>
      </c>
      <c r="N497" s="384">
        <f>tabItens[[#This Row],[VALOR UNIT.]] * tabItens[[#This Row],[LC]]</f>
        <v>0</v>
      </c>
      <c r="O497" s="385" t="s">
        <v>2210</v>
      </c>
      <c r="P497" s="386"/>
      <c r="Q497" s="387"/>
      <c r="R497" s="312"/>
      <c r="S497" s="388"/>
      <c r="T497" s="389">
        <f>ROUNDDOWN(IFERROR(tabItens[[#This Row],[ATA DT.VALID.]] - $D$1,0) / 30,0)</f>
        <v>-1474</v>
      </c>
      <c r="U497" s="302" t="s">
        <v>1676</v>
      </c>
      <c r="V497" s="318">
        <v>1</v>
      </c>
      <c r="W497" s="390" t="s">
        <v>2077</v>
      </c>
      <c r="X497" s="391">
        <v>55</v>
      </c>
      <c r="Y497" s="392">
        <v>19</v>
      </c>
      <c r="Z497" s="393"/>
      <c r="AA497" s="394"/>
      <c r="AB497" s="395"/>
      <c r="AC497" s="395"/>
      <c r="AD497" s="394"/>
      <c r="AE497" s="395"/>
      <c r="AF497" s="317"/>
      <c r="AG497" s="396" t="s">
        <v>2072</v>
      </c>
      <c r="AH497" s="397"/>
      <c r="AI497" s="317">
        <v>92</v>
      </c>
      <c r="AJ497" s="397">
        <v>44670</v>
      </c>
      <c r="AK497" s="326">
        <v>44096</v>
      </c>
      <c r="AL497" s="326">
        <v>45033</v>
      </c>
      <c r="AM497" s="316"/>
      <c r="AN497" s="305"/>
      <c r="AO497" s="327" t="str">
        <f>_xlfn.IFNA(IF(VLOOKUP(tabItens[[#This Row],[CÓDIGO]],tabExcluirDoEstoque[#Data],1,FALSE),"sim",""),"")</f>
        <v/>
      </c>
      <c r="AP497" s="398" t="str">
        <f ca="1">IF(OR(ISBLANK(tabItens[[#This Row],[ATA DT.VALID.]]),tabItens[[#This Row],[ATA DT.VALID.]]="",tabItens[[#This Row],[ATA DT.VALID.]]=" "),"",IF(TYPE(tabItens[[#This Row],[ATA DT.VALID.]])=1,ROUNDUP((tabItens[[#This Row],[ATA DT.VALID.]]-TODAY())/7,0),""))</f>
        <v/>
      </c>
      <c r="AQ497" s="399">
        <v>0</v>
      </c>
      <c r="AR497" s="400" t="str">
        <f>IF(ISBLANK(tabItens[[#This Row],[CÓDIGO]]),"",IFERROR(VLOOKUP(tabItens[[#This Row],[CÓDIGO]],Consumo!$C$2:$AC$862,26,FALSE),0))</f>
        <v>09.2023</v>
      </c>
      <c r="AS497" s="401">
        <f>SUMIF(Consumo!$C$3:$C$862,tabItens[[#This Row],[CÓDIGO]],Consumo!$N$3:$N$862) + SUMIF(Consumo!$C$3:$C$862,tabItens[[#This Row],[CÓDIGO]],Consumo!$O$3:$O$862) + SUMIF(Consumo!$C$3:$C$862,tabItens[[#This Row],[CÓDIGO]],Consumo!$P$3:$P$862) + SUMIF(Consumo!$C$3:$C$862,tabItens[[#This Row],[CÓDIGO]],Consumo!$Q$3:$Q$862)</f>
        <v>129</v>
      </c>
      <c r="AT497" s="401">
        <f>SUMIF(Consumo!$C$3:$C$862,tabItens[[#This Row],[CÓDIGO]],Consumo!$Z$3:$Z$862)</f>
        <v>277</v>
      </c>
      <c r="AU497" s="402">
        <f>SUMIF(Consumo!$C$3:$C$862,tabItens[[#This Row],[CÓDIGO]],Consumo!$AA$3:$AA$862)</f>
        <v>64</v>
      </c>
      <c r="AV497" s="403">
        <f>SUMIF(Consumo!$C$3:$C$862,tabItens[[#This Row],[CÓDIGO]],Consumo!$Y$3:$Y$862)</f>
        <v>22.25</v>
      </c>
      <c r="AW497" s="380">
        <f>tabItens[[#This Row],[QTDE ATUAL]] + tabItens[[#This Row],[RC QTDE]] + tabItens[[#This Row],[AF SALDO]] + tabItens[[#This Row],[Recentes]]</f>
        <v>235</v>
      </c>
      <c r="AX497" s="404">
        <v>40</v>
      </c>
      <c r="AY497" s="404">
        <v>4</v>
      </c>
      <c r="AZ497" s="404">
        <f>IF(ISBLANK(tabItens[[#This Row],[CÓDIGO]]),"",tabItens[[#This Row],[PontoMês]] * (AZ$2+tabItens[[#This Row],[PontoQtM]]))</f>
        <v>160</v>
      </c>
      <c r="BA497" s="403">
        <f>tabItens[[#This Row],[PontoPed]] - tabItens[[#This Row],[Saldo]] + (1/10)</f>
        <v>-74.900000000000006</v>
      </c>
      <c r="BB497" s="403">
        <f xml:space="preserve"> tabItens[[#This Row],[PontoMês]] * BB$2 - tabItens[[#This Row],[QTDE ATUAL]] - (1/10)</f>
        <v>-195.1</v>
      </c>
      <c r="BC497" s="335">
        <f>IF( tabItens[[#This Row],[PontoPed]]&gt;0, IF(tabItens[[#This Row],[PontoPed]]&lt;1, 1, IF( tabItens[[#This Row],[Saldo]]&gt;tabItens[[#This Row],[PontoPed]], 0, (tabItens[[#This Row],[PontoPed]]-tabItens[[#This Row],[Saldo]])/tabItens[[#This Row],[PontoPed]] ) ), 0 )</f>
        <v>0</v>
      </c>
      <c r="BD497" s="405">
        <f>ROUNDDOWN(IF( OR( AND(tabItens[[#This Row],[PontoPed]]&lt;tabItens[[#This Row],[Saldo]],tabItens[[#This Row],[Saldo]]&gt;0), tabItens[[#This Row],[PontoPed]]=0), 99, IF(AND(tabItens[[#This Row],[Saldo]]=0,tabItens[[#This Row],[PontoPed]]&gt;0), 0, (1-tabItens[[#This Row],[PctAb]])*10 ) ),0)</f>
        <v>99</v>
      </c>
      <c r="BE497" s="406">
        <f>MAX(ROUNDDOWN( IF(tabItens[[#This Row],[Abaixo]] &gt; 0,   tabItens[[#This Row],[Abaixo]] + (tabItens[[#This Row],[PontoMês]] * IF( OR( ISBLANK(tabItens[[#This Row],[ATA Nº/ANO]]), tabItens[[#This Row],[ATA Nº/ANO]] = ""),BE$2,BE$1)),0),0),0)</f>
        <v>0</v>
      </c>
      <c r="BF49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7" s="338">
        <f>SUMIF(Consumo!$C$3:$C$862,tabItens[[#This Row],[CÓDIGO]],Consumo!$E$3:$E$862)</f>
        <v>0</v>
      </c>
      <c r="BH497" s="339">
        <f>IF(AND(tabItens[[#This Row],[Pend]] &gt; 0,tabItens[[#This Row],[Consumo]] &lt;&gt; 0), tabItens[[#This Row],[Pend]] / tabItens[[#This Row],[Consumo]], 0 )</f>
        <v>0</v>
      </c>
      <c r="BI497" s="338"/>
      <c r="BJ497" s="407"/>
      <c r="BK497" s="408" t="s">
        <v>2086</v>
      </c>
    </row>
    <row r="498" spans="1:63" x14ac:dyDescent="0.3">
      <c r="A498" s="375">
        <v>140035</v>
      </c>
      <c r="B498" s="376" t="s">
        <v>2002</v>
      </c>
      <c r="C498" s="377" t="s">
        <v>260</v>
      </c>
      <c r="D498" s="378">
        <v>200</v>
      </c>
      <c r="E498" s="305"/>
      <c r="F498" s="379"/>
      <c r="G498" s="379" t="s">
        <v>889</v>
      </c>
      <c r="H498" s="380">
        <v>11</v>
      </c>
      <c r="I498" s="307">
        <v>103003</v>
      </c>
      <c r="J498" s="308">
        <v>200</v>
      </c>
      <c r="K498" s="381">
        <v>79</v>
      </c>
      <c r="L498" s="382">
        <f>IF(tabItens[[#This Row],[Média]] &gt; 0, tabItens[[#This Row],[QTDE ATUAL]] / tabItens[[#This Row],[Média]],999.9)</f>
        <v>1.2336448598130842</v>
      </c>
      <c r="M498" s="383">
        <v>0</v>
      </c>
      <c r="N498" s="384">
        <f>tabItens[[#This Row],[VALOR UNIT.]] * tabItens[[#This Row],[LC]]</f>
        <v>0</v>
      </c>
      <c r="O498" s="385" t="s">
        <v>2210</v>
      </c>
      <c r="P498" s="386"/>
      <c r="Q498" s="387"/>
      <c r="R498" s="312"/>
      <c r="S498" s="388"/>
      <c r="T498" s="389">
        <f>ROUNDDOWN(IFERROR(tabItens[[#This Row],[ATA DT.VALID.]] - $D$1,0) / 30,0)</f>
        <v>-1474</v>
      </c>
      <c r="U498" s="302" t="s">
        <v>1676</v>
      </c>
      <c r="V498" s="318">
        <v>1</v>
      </c>
      <c r="W498" s="390" t="s">
        <v>2077</v>
      </c>
      <c r="X498" s="391">
        <v>55</v>
      </c>
      <c r="Y498" s="392">
        <v>19</v>
      </c>
      <c r="Z498" s="393"/>
      <c r="AA498" s="394"/>
      <c r="AB498" s="395"/>
      <c r="AC498" s="395"/>
      <c r="AD498" s="394"/>
      <c r="AE498" s="395"/>
      <c r="AF498" s="317"/>
      <c r="AG498" s="396" t="s">
        <v>2072</v>
      </c>
      <c r="AH498" s="397"/>
      <c r="AI498" s="317">
        <v>38</v>
      </c>
      <c r="AJ498" s="397">
        <v>44490</v>
      </c>
      <c r="AK498" s="326">
        <v>44096</v>
      </c>
      <c r="AL498" s="326">
        <v>44470</v>
      </c>
      <c r="AM498" s="316"/>
      <c r="AN498" s="305"/>
      <c r="AO498" s="327" t="str">
        <f>_xlfn.IFNA(IF(VLOOKUP(tabItens[[#This Row],[CÓDIGO]],tabExcluirDoEstoque[#Data],1,FALSE),"sim",""),"")</f>
        <v/>
      </c>
      <c r="AP498" s="398" t="str">
        <f ca="1">IF(OR(ISBLANK(tabItens[[#This Row],[ATA DT.VALID.]]),tabItens[[#This Row],[ATA DT.VALID.]]="",tabItens[[#This Row],[ATA DT.VALID.]]=" "),"",IF(TYPE(tabItens[[#This Row],[ATA DT.VALID.]])=1,ROUNDUP((tabItens[[#This Row],[ATA DT.VALID.]]-TODAY())/7,0),""))</f>
        <v/>
      </c>
      <c r="AQ498" s="399">
        <v>0</v>
      </c>
      <c r="AR498" s="400" t="str">
        <f>IF(ISBLANK(tabItens[[#This Row],[CÓDIGO]]),"",IFERROR(VLOOKUP(tabItens[[#This Row],[CÓDIGO]],Consumo!$C$2:$AC$862,26,FALSE),0))</f>
        <v>09.2023</v>
      </c>
      <c r="AS498" s="401">
        <f>SUMIF(Consumo!$C$3:$C$862,tabItens[[#This Row],[CÓDIGO]],Consumo!$N$3:$N$862) + SUMIF(Consumo!$C$3:$C$862,tabItens[[#This Row],[CÓDIGO]],Consumo!$O$3:$O$862) + SUMIF(Consumo!$C$3:$C$862,tabItens[[#This Row],[CÓDIGO]],Consumo!$P$3:$P$862) + SUMIF(Consumo!$C$3:$C$862,tabItens[[#This Row],[CÓDIGO]],Consumo!$Q$3:$Q$862)</f>
        <v>47</v>
      </c>
      <c r="AT498" s="401">
        <f>SUMIF(Consumo!$C$3:$C$862,tabItens[[#This Row],[CÓDIGO]],Consumo!$Z$3:$Z$862)</f>
        <v>107</v>
      </c>
      <c r="AU498" s="402">
        <f>SUMIF(Consumo!$C$3:$C$862,tabItens[[#This Row],[CÓDIGO]],Consumo!$AA$3:$AA$862)</f>
        <v>19</v>
      </c>
      <c r="AV498" s="403">
        <f>SUMIF(Consumo!$C$3:$C$862,tabItens[[#This Row],[CÓDIGO]],Consumo!$Y$3:$Y$862)</f>
        <v>8.9166666666666661</v>
      </c>
      <c r="AW498" s="380">
        <f>tabItens[[#This Row],[QTDE ATUAL]] + tabItens[[#This Row],[RC QTDE]] + tabItens[[#This Row],[AF SALDO]] + tabItens[[#This Row],[Recentes]]</f>
        <v>11</v>
      </c>
      <c r="AX498" s="404">
        <v>20</v>
      </c>
      <c r="AY498" s="404">
        <v>4</v>
      </c>
      <c r="AZ498" s="404">
        <f>IF(ISBLANK(tabItens[[#This Row],[CÓDIGO]]),"",tabItens[[#This Row],[PontoMês]] * (AZ$2+tabItens[[#This Row],[PontoQtM]]))</f>
        <v>80</v>
      </c>
      <c r="BA498" s="403">
        <f>tabItens[[#This Row],[PontoPed]] - tabItens[[#This Row],[Saldo]] + (1/10)</f>
        <v>69.099999999999994</v>
      </c>
      <c r="BB498" s="403">
        <f xml:space="preserve"> tabItens[[#This Row],[PontoMês]] * BB$2 - tabItens[[#This Row],[QTDE ATUAL]] - (1/10)</f>
        <v>8.9</v>
      </c>
      <c r="BC498" s="335">
        <f>IF( tabItens[[#This Row],[PontoPed]]&gt;0, IF(tabItens[[#This Row],[PontoPed]]&lt;1, 1, IF( tabItens[[#This Row],[Saldo]]&gt;tabItens[[#This Row],[PontoPed]], 0, (tabItens[[#This Row],[PontoPed]]-tabItens[[#This Row],[Saldo]])/tabItens[[#This Row],[PontoPed]] ) ), 0 )</f>
        <v>0.86250000000000004</v>
      </c>
      <c r="BD498" s="405">
        <f>ROUNDDOWN(IF( OR( AND(tabItens[[#This Row],[PontoPed]]&lt;tabItens[[#This Row],[Saldo]],tabItens[[#This Row],[Saldo]]&gt;0), tabItens[[#This Row],[PontoPed]]=0), 99, IF(AND(tabItens[[#This Row],[Saldo]]=0,tabItens[[#This Row],[PontoPed]]&gt;0), 0, (1-tabItens[[#This Row],[PctAb]])*10 ) ),0)</f>
        <v>1</v>
      </c>
      <c r="BE498" s="406">
        <f>MAX(ROUNDDOWN( IF(tabItens[[#This Row],[Abaixo]] &gt; 0,   tabItens[[#This Row],[Abaixo]] + (tabItens[[#This Row],[PontoMês]] * IF( OR( ISBLANK(tabItens[[#This Row],[ATA Nº/ANO]]), tabItens[[#This Row],[ATA Nº/ANO]] = ""),BE$2,BE$1)),0),0),0)</f>
        <v>129</v>
      </c>
      <c r="BF49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8" s="338">
        <f>SUMIF(Consumo!$C$3:$C$862,tabItens[[#This Row],[CÓDIGO]],Consumo!$E$3:$E$862)</f>
        <v>0</v>
      </c>
      <c r="BH498" s="339">
        <f>IF(AND(tabItens[[#This Row],[Pend]] &gt; 0,tabItens[[#This Row],[Consumo]] &lt;&gt; 0), tabItens[[#This Row],[Pend]] / tabItens[[#This Row],[Consumo]], 0 )</f>
        <v>0</v>
      </c>
      <c r="BI498" s="338"/>
      <c r="BJ498" s="407"/>
      <c r="BK498" s="408" t="s">
        <v>2086</v>
      </c>
    </row>
    <row r="499" spans="1:63" x14ac:dyDescent="0.3">
      <c r="A499" s="375">
        <v>140036</v>
      </c>
      <c r="B499" s="376" t="s">
        <v>2003</v>
      </c>
      <c r="C499" s="377" t="s">
        <v>260</v>
      </c>
      <c r="D499" s="378">
        <v>428</v>
      </c>
      <c r="E499" s="305"/>
      <c r="F499" s="379"/>
      <c r="G499" s="379" t="s">
        <v>889</v>
      </c>
      <c r="H499" s="380">
        <v>0</v>
      </c>
      <c r="I499" s="307">
        <v>103003</v>
      </c>
      <c r="J499" s="308">
        <v>428</v>
      </c>
      <c r="K499" s="381">
        <v>67</v>
      </c>
      <c r="L499" s="382">
        <f>IF(tabItens[[#This Row],[Média]] &gt; 0, tabItens[[#This Row],[QTDE ATUAL]] / tabItens[[#This Row],[Média]],999.9)</f>
        <v>0</v>
      </c>
      <c r="M499" s="383">
        <v>0</v>
      </c>
      <c r="N499" s="384">
        <f>tabItens[[#This Row],[VALOR UNIT.]] * tabItens[[#This Row],[LC]]</f>
        <v>0</v>
      </c>
      <c r="O499" s="385" t="s">
        <v>2210</v>
      </c>
      <c r="P499" s="386"/>
      <c r="Q499" s="387"/>
      <c r="R499" s="312"/>
      <c r="S499" s="388"/>
      <c r="T499" s="389">
        <f>ROUNDDOWN(IFERROR(tabItens[[#This Row],[ATA DT.VALID.]] - $D$1,0) / 30,0)</f>
        <v>-1474</v>
      </c>
      <c r="U499" s="302" t="s">
        <v>1676</v>
      </c>
      <c r="V499" s="318">
        <v>1</v>
      </c>
      <c r="W499" s="390" t="s">
        <v>2077</v>
      </c>
      <c r="X499" s="391">
        <v>55</v>
      </c>
      <c r="Y499" s="392">
        <v>19</v>
      </c>
      <c r="Z499" s="393" t="s">
        <v>2080</v>
      </c>
      <c r="AA499" s="394">
        <v>2023</v>
      </c>
      <c r="AB499" s="395">
        <v>169</v>
      </c>
      <c r="AC499" s="395"/>
      <c r="AD499" s="394"/>
      <c r="AE499" s="395"/>
      <c r="AF499" s="317"/>
      <c r="AG499" s="396" t="s">
        <v>2072</v>
      </c>
      <c r="AH499" s="397"/>
      <c r="AI499" s="317">
        <v>28</v>
      </c>
      <c r="AJ499" s="397">
        <v>44874</v>
      </c>
      <c r="AK499" s="326">
        <v>44096</v>
      </c>
      <c r="AL499" s="326">
        <v>45139</v>
      </c>
      <c r="AM499" s="316"/>
      <c r="AN499" s="305"/>
      <c r="AO499" s="327" t="str">
        <f>_xlfn.IFNA(IF(VLOOKUP(tabItens[[#This Row],[CÓDIGO]],tabExcluirDoEstoque[#Data],1,FALSE),"sim",""),"")</f>
        <v/>
      </c>
      <c r="AP499" s="398" t="str">
        <f ca="1">IF(OR(ISBLANK(tabItens[[#This Row],[ATA DT.VALID.]]),tabItens[[#This Row],[ATA DT.VALID.]]="",tabItens[[#This Row],[ATA DT.VALID.]]=" "),"",IF(TYPE(tabItens[[#This Row],[ATA DT.VALID.]])=1,ROUNDUP((tabItens[[#This Row],[ATA DT.VALID.]]-TODAY())/7,0),""))</f>
        <v/>
      </c>
      <c r="AQ499" s="399">
        <v>0</v>
      </c>
      <c r="AR499" s="400" t="str">
        <f>IF(ISBLANK(tabItens[[#This Row],[CÓDIGO]]),"",IFERROR(VLOOKUP(tabItens[[#This Row],[CÓDIGO]],Consumo!$C$2:$AC$862,26,FALSE),0))</f>
        <v>02.2023</v>
      </c>
      <c r="AS499" s="401">
        <f>SUMIF(Consumo!$C$3:$C$862,tabItens[[#This Row],[CÓDIGO]],Consumo!$N$3:$N$862) + SUMIF(Consumo!$C$3:$C$862,tabItens[[#This Row],[CÓDIGO]],Consumo!$O$3:$O$862) + SUMIF(Consumo!$C$3:$C$862,tabItens[[#This Row],[CÓDIGO]],Consumo!$P$3:$P$862) + SUMIF(Consumo!$C$3:$C$862,tabItens[[#This Row],[CÓDIGO]],Consumo!$Q$3:$Q$862)</f>
        <v>0</v>
      </c>
      <c r="AT499" s="401">
        <f>SUMIF(Consumo!$C$3:$C$862,tabItens[[#This Row],[CÓDIGO]],Consumo!$Z$3:$Z$862)</f>
        <v>88</v>
      </c>
      <c r="AU499" s="402">
        <f>SUMIF(Consumo!$C$3:$C$862,tabItens[[#This Row],[CÓDIGO]],Consumo!$AA$3:$AA$862)</f>
        <v>23</v>
      </c>
      <c r="AV499" s="403">
        <f>SUMIF(Consumo!$C$3:$C$862,tabItens[[#This Row],[CÓDIGO]],Consumo!$Y$3:$Y$862)</f>
        <v>7.333333333333333</v>
      </c>
      <c r="AW499" s="380">
        <f>tabItens[[#This Row],[QTDE ATUAL]] + tabItens[[#This Row],[RC QTDE]] + tabItens[[#This Row],[AF SALDO]] + tabItens[[#This Row],[Recentes]]</f>
        <v>169</v>
      </c>
      <c r="AX499" s="404">
        <v>20</v>
      </c>
      <c r="AY499" s="404">
        <v>4</v>
      </c>
      <c r="AZ499" s="404">
        <f>IF(ISBLANK(tabItens[[#This Row],[CÓDIGO]]),"",tabItens[[#This Row],[PontoMês]] * (AZ$2+tabItens[[#This Row],[PontoQtM]]))</f>
        <v>80</v>
      </c>
      <c r="BA499" s="403">
        <f>tabItens[[#This Row],[PontoPed]] - tabItens[[#This Row],[Saldo]] + (1/10)</f>
        <v>-88.9</v>
      </c>
      <c r="BB499" s="403">
        <f xml:space="preserve"> tabItens[[#This Row],[PontoMês]] * BB$2 - tabItens[[#This Row],[QTDE ATUAL]] - (1/10)</f>
        <v>19.899999999999999</v>
      </c>
      <c r="BC499" s="335">
        <f>IF( tabItens[[#This Row],[PontoPed]]&gt;0, IF(tabItens[[#This Row],[PontoPed]]&lt;1, 1, IF( tabItens[[#This Row],[Saldo]]&gt;tabItens[[#This Row],[PontoPed]], 0, (tabItens[[#This Row],[PontoPed]]-tabItens[[#This Row],[Saldo]])/tabItens[[#This Row],[PontoPed]] ) ), 0 )</f>
        <v>0</v>
      </c>
      <c r="BD499" s="405">
        <f>ROUNDDOWN(IF( OR( AND(tabItens[[#This Row],[PontoPed]]&lt;tabItens[[#This Row],[Saldo]],tabItens[[#This Row],[Saldo]]&gt;0), tabItens[[#This Row],[PontoPed]]=0), 99, IF(AND(tabItens[[#This Row],[Saldo]]=0,tabItens[[#This Row],[PontoPed]]&gt;0), 0, (1-tabItens[[#This Row],[PctAb]])*10 ) ),0)</f>
        <v>99</v>
      </c>
      <c r="BE499" s="406">
        <f>MAX(ROUNDDOWN( IF(tabItens[[#This Row],[Abaixo]] &gt; 0,   tabItens[[#This Row],[Abaixo]] + (tabItens[[#This Row],[PontoMês]] * IF( OR( ISBLANK(tabItens[[#This Row],[ATA Nº/ANO]]), tabItens[[#This Row],[ATA Nº/ANO]] = ""),BE$2,BE$1)),0),0),0)</f>
        <v>0</v>
      </c>
      <c r="BF49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9" s="338">
        <f>SUMIF(Consumo!$C$3:$C$862,tabItens[[#This Row],[CÓDIGO]],Consumo!$E$3:$E$862)</f>
        <v>21</v>
      </c>
      <c r="BH499" s="339">
        <f>IF(AND(tabItens[[#This Row],[Pend]] &gt; 0,tabItens[[#This Row],[Consumo]] &lt;&gt; 0), tabItens[[#This Row],[Pend]] / tabItens[[#This Row],[Consumo]], 0 )</f>
        <v>0.23863636363636365</v>
      </c>
      <c r="BI499" s="338"/>
      <c r="BJ499" s="407"/>
      <c r="BK499" s="408" t="s">
        <v>2086</v>
      </c>
    </row>
    <row r="500" spans="1:63" x14ac:dyDescent="0.3">
      <c r="A500" s="375">
        <v>140038</v>
      </c>
      <c r="B500" s="376" t="s">
        <v>2004</v>
      </c>
      <c r="C500" s="377" t="s">
        <v>260</v>
      </c>
      <c r="D500" s="378">
        <v>394.93</v>
      </c>
      <c r="E500" s="305"/>
      <c r="F500" s="379"/>
      <c r="G500" s="379" t="s">
        <v>889</v>
      </c>
      <c r="H500" s="380">
        <v>0</v>
      </c>
      <c r="I500" s="307">
        <v>103003</v>
      </c>
      <c r="J500" s="308">
        <v>394.93</v>
      </c>
      <c r="K500" s="381">
        <v>30</v>
      </c>
      <c r="L500" s="382">
        <f>IF(tabItens[[#This Row],[Média]] &gt; 0, tabItens[[#This Row],[QTDE ATUAL]] / tabItens[[#This Row],[Média]],999.9)</f>
        <v>0</v>
      </c>
      <c r="M500" s="383">
        <v>0</v>
      </c>
      <c r="N500" s="384">
        <f>tabItens[[#This Row],[VALOR UNIT.]] * tabItens[[#This Row],[LC]]</f>
        <v>0</v>
      </c>
      <c r="O500" s="385" t="s">
        <v>2210</v>
      </c>
      <c r="P500" s="386"/>
      <c r="Q500" s="387"/>
      <c r="R500" s="312"/>
      <c r="S500" s="388"/>
      <c r="T500" s="389">
        <f>ROUNDDOWN(IFERROR(tabItens[[#This Row],[ATA DT.VALID.]] - $D$1,0) / 30,0)</f>
        <v>-1474</v>
      </c>
      <c r="U500" s="302" t="s">
        <v>1676</v>
      </c>
      <c r="V500" s="318">
        <v>1</v>
      </c>
      <c r="W500" s="390" t="s">
        <v>2077</v>
      </c>
      <c r="X500" s="391">
        <v>55</v>
      </c>
      <c r="Y500" s="392">
        <v>19</v>
      </c>
      <c r="Z500" s="393" t="s">
        <v>2080</v>
      </c>
      <c r="AA500" s="394">
        <v>2023</v>
      </c>
      <c r="AB500" s="395">
        <v>79</v>
      </c>
      <c r="AC500" s="395"/>
      <c r="AD500" s="394"/>
      <c r="AE500" s="395"/>
      <c r="AF500" s="317"/>
      <c r="AG500" s="396" t="s">
        <v>2072</v>
      </c>
      <c r="AH500" s="397"/>
      <c r="AI500" s="317">
        <v>12</v>
      </c>
      <c r="AJ500" s="397">
        <v>44313</v>
      </c>
      <c r="AK500" s="326">
        <v>44096</v>
      </c>
      <c r="AL500" s="326">
        <v>44727</v>
      </c>
      <c r="AM500" s="316"/>
      <c r="AN500" s="305"/>
      <c r="AO500" s="327" t="str">
        <f>_xlfn.IFNA(IF(VLOOKUP(tabItens[[#This Row],[CÓDIGO]],tabExcluirDoEstoque[#Data],1,FALSE),"sim",""),"")</f>
        <v/>
      </c>
      <c r="AP500" s="398" t="str">
        <f ca="1">IF(OR(ISBLANK(tabItens[[#This Row],[ATA DT.VALID.]]),tabItens[[#This Row],[ATA DT.VALID.]]="",tabItens[[#This Row],[ATA DT.VALID.]]=" "),"",IF(TYPE(tabItens[[#This Row],[ATA DT.VALID.]])=1,ROUNDUP((tabItens[[#This Row],[ATA DT.VALID.]]-TODAY())/7,0),""))</f>
        <v/>
      </c>
      <c r="AQ500" s="399">
        <v>0</v>
      </c>
      <c r="AR500" s="400" t="str">
        <f>IF(ISBLANK(tabItens[[#This Row],[CÓDIGO]]),"",IFERROR(VLOOKUP(tabItens[[#This Row],[CÓDIGO]],Consumo!$C$2:$AC$862,26,FALSE),0))</f>
        <v>08.2023</v>
      </c>
      <c r="AS500" s="401">
        <f>SUMIF(Consumo!$C$3:$C$862,tabItens[[#This Row],[CÓDIGO]],Consumo!$N$3:$N$862) + SUMIF(Consumo!$C$3:$C$862,tabItens[[#This Row],[CÓDIGO]],Consumo!$O$3:$O$862) + SUMIF(Consumo!$C$3:$C$862,tabItens[[#This Row],[CÓDIGO]],Consumo!$P$3:$P$862) + SUMIF(Consumo!$C$3:$C$862,tabItens[[#This Row],[CÓDIGO]],Consumo!$Q$3:$Q$862)</f>
        <v>4</v>
      </c>
      <c r="AT500" s="401">
        <f>SUMIF(Consumo!$C$3:$C$862,tabItens[[#This Row],[CÓDIGO]],Consumo!$Z$3:$Z$862)</f>
        <v>35</v>
      </c>
      <c r="AU500" s="402">
        <f>SUMIF(Consumo!$C$3:$C$862,tabItens[[#This Row],[CÓDIGO]],Consumo!$AA$3:$AA$862)</f>
        <v>10</v>
      </c>
      <c r="AV500" s="403">
        <f>SUMIF(Consumo!$C$3:$C$862,tabItens[[#This Row],[CÓDIGO]],Consumo!$Y$3:$Y$862)</f>
        <v>2.75</v>
      </c>
      <c r="AW500" s="380">
        <f>tabItens[[#This Row],[QTDE ATUAL]] + tabItens[[#This Row],[RC QTDE]] + tabItens[[#This Row],[AF SALDO]] + tabItens[[#This Row],[Recentes]]</f>
        <v>79</v>
      </c>
      <c r="AX500" s="404">
        <v>10</v>
      </c>
      <c r="AY500" s="404">
        <v>4</v>
      </c>
      <c r="AZ500" s="404">
        <f>IF(ISBLANK(tabItens[[#This Row],[CÓDIGO]]),"",tabItens[[#This Row],[PontoMês]] * (AZ$2+tabItens[[#This Row],[PontoQtM]]))</f>
        <v>40</v>
      </c>
      <c r="BA500" s="403">
        <f>tabItens[[#This Row],[PontoPed]] - tabItens[[#This Row],[Saldo]] + (1/10)</f>
        <v>-38.9</v>
      </c>
      <c r="BB500" s="403">
        <f xml:space="preserve"> tabItens[[#This Row],[PontoMês]] * BB$2 - tabItens[[#This Row],[QTDE ATUAL]] - (1/10)</f>
        <v>9.9</v>
      </c>
      <c r="BC500" s="335">
        <f>IF( tabItens[[#This Row],[PontoPed]]&gt;0, IF(tabItens[[#This Row],[PontoPed]]&lt;1, 1, IF( tabItens[[#This Row],[Saldo]]&gt;tabItens[[#This Row],[PontoPed]], 0, (tabItens[[#This Row],[PontoPed]]-tabItens[[#This Row],[Saldo]])/tabItens[[#This Row],[PontoPed]] ) ), 0 )</f>
        <v>0</v>
      </c>
      <c r="BD500" s="405">
        <f>ROUNDDOWN(IF( OR( AND(tabItens[[#This Row],[PontoPed]]&lt;tabItens[[#This Row],[Saldo]],tabItens[[#This Row],[Saldo]]&gt;0), tabItens[[#This Row],[PontoPed]]=0), 99, IF(AND(tabItens[[#This Row],[Saldo]]=0,tabItens[[#This Row],[PontoPed]]&gt;0), 0, (1-tabItens[[#This Row],[PctAb]])*10 ) ),0)</f>
        <v>99</v>
      </c>
      <c r="BE500" s="406">
        <f>MAX(ROUNDDOWN( IF(tabItens[[#This Row],[Abaixo]] &gt; 0,   tabItens[[#This Row],[Abaixo]] + (tabItens[[#This Row],[PontoMês]] * IF( OR( ISBLANK(tabItens[[#This Row],[ATA Nº/ANO]]), tabItens[[#This Row],[ATA Nº/ANO]] = ""),BE$2,BE$1)),0),0),0)</f>
        <v>0</v>
      </c>
      <c r="BF50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0" s="338">
        <f>SUMIF(Consumo!$C$3:$C$862,tabItens[[#This Row],[CÓDIGO]],Consumo!$E$3:$E$862)</f>
        <v>0</v>
      </c>
      <c r="BH500" s="339">
        <f>IF(AND(tabItens[[#This Row],[Pend]] &gt; 0,tabItens[[#This Row],[Consumo]] &lt;&gt; 0), tabItens[[#This Row],[Pend]] / tabItens[[#This Row],[Consumo]], 0 )</f>
        <v>0</v>
      </c>
      <c r="BI500" s="338"/>
      <c r="BJ500" s="407"/>
      <c r="BK500" s="408" t="s">
        <v>2086</v>
      </c>
    </row>
    <row r="501" spans="1:63" x14ac:dyDescent="0.3">
      <c r="A501" s="375">
        <v>140042</v>
      </c>
      <c r="B501" s="376" t="s">
        <v>2005</v>
      </c>
      <c r="C501" s="377" t="s">
        <v>272</v>
      </c>
      <c r="D501" s="378">
        <v>9.0500000000000007</v>
      </c>
      <c r="E501" s="305"/>
      <c r="F501" s="379"/>
      <c r="G501" s="379" t="s">
        <v>889</v>
      </c>
      <c r="H501" s="380">
        <v>0</v>
      </c>
      <c r="I501" s="307">
        <v>103003</v>
      </c>
      <c r="J501" s="308">
        <v>9.0500000000000007</v>
      </c>
      <c r="K501" s="381">
        <v>4080</v>
      </c>
      <c r="L501" s="382">
        <f>IF(tabItens[[#This Row],[Média]] &gt; 0, tabItens[[#This Row],[QTDE ATUAL]] / tabItens[[#This Row],[Média]],999.9)</f>
        <v>0</v>
      </c>
      <c r="M501" s="383">
        <v>0</v>
      </c>
      <c r="N501" s="384">
        <f>tabItens[[#This Row],[VALOR UNIT.]] * tabItens[[#This Row],[LC]]</f>
        <v>0</v>
      </c>
      <c r="O501" s="385" t="s">
        <v>2210</v>
      </c>
      <c r="P501" s="386"/>
      <c r="Q501" s="387"/>
      <c r="R501" s="312"/>
      <c r="S501" s="388"/>
      <c r="T501" s="389">
        <f>ROUNDDOWN(IFERROR(tabItens[[#This Row],[ATA DT.VALID.]] - $D$1,0) / 30,0)</f>
        <v>-1474</v>
      </c>
      <c r="U501" s="302" t="s">
        <v>1676</v>
      </c>
      <c r="V501" s="318">
        <v>1</v>
      </c>
      <c r="W501" s="390" t="s">
        <v>2077</v>
      </c>
      <c r="X501" s="391">
        <v>55</v>
      </c>
      <c r="Y501" s="392">
        <v>19</v>
      </c>
      <c r="Z501" s="393">
        <v>2375</v>
      </c>
      <c r="AA501" s="394">
        <v>2023</v>
      </c>
      <c r="AB501" s="395">
        <v>3000</v>
      </c>
      <c r="AC501" s="395"/>
      <c r="AD501" s="394"/>
      <c r="AE501" s="395"/>
      <c r="AF501" s="317"/>
      <c r="AG501" s="396" t="s">
        <v>2072</v>
      </c>
      <c r="AH501" s="397"/>
      <c r="AI501" s="317">
        <v>1360</v>
      </c>
      <c r="AJ501" s="397">
        <v>44237</v>
      </c>
      <c r="AK501" s="326">
        <v>44096</v>
      </c>
      <c r="AL501" s="326">
        <v>44623</v>
      </c>
      <c r="AM501" s="316"/>
      <c r="AN501" s="305"/>
      <c r="AO501" s="327" t="str">
        <f>_xlfn.IFNA(IF(VLOOKUP(tabItens[[#This Row],[CÓDIGO]],tabExcluirDoEstoque[#Data],1,FALSE),"sim",""),"")</f>
        <v/>
      </c>
      <c r="AP501" s="398" t="str">
        <f ca="1">IF(OR(ISBLANK(tabItens[[#This Row],[ATA DT.VALID.]]),tabItens[[#This Row],[ATA DT.VALID.]]="",tabItens[[#This Row],[ATA DT.VALID.]]=" "),"",IF(TYPE(tabItens[[#This Row],[ATA DT.VALID.]])=1,ROUNDUP((tabItens[[#This Row],[ATA DT.VALID.]]-TODAY())/7,0),""))</f>
        <v/>
      </c>
      <c r="AQ501" s="399">
        <v>0</v>
      </c>
      <c r="AR501" s="400" t="str">
        <f>IF(ISBLANK(tabItens[[#This Row],[CÓDIGO]]),"",IFERROR(VLOOKUP(tabItens[[#This Row],[CÓDIGO]],Consumo!$C$2:$AC$862,26,FALSE),0))</f>
        <v>05.2023</v>
      </c>
      <c r="AS501" s="401">
        <f>SUMIF(Consumo!$C$3:$C$862,tabItens[[#This Row],[CÓDIGO]],Consumo!$N$3:$N$862) + SUMIF(Consumo!$C$3:$C$862,tabItens[[#This Row],[CÓDIGO]],Consumo!$O$3:$O$862) + SUMIF(Consumo!$C$3:$C$862,tabItens[[#This Row],[CÓDIGO]],Consumo!$P$3:$P$862) + SUMIF(Consumo!$C$3:$C$862,tabItens[[#This Row],[CÓDIGO]],Consumo!$Q$3:$Q$862)</f>
        <v>0</v>
      </c>
      <c r="AT501" s="401">
        <f>SUMIF(Consumo!$C$3:$C$862,tabItens[[#This Row],[CÓDIGO]],Consumo!$Z$3:$Z$862)</f>
        <v>4134</v>
      </c>
      <c r="AU501" s="402">
        <f>SUMIF(Consumo!$C$3:$C$862,tabItens[[#This Row],[CÓDIGO]],Consumo!$AA$3:$AA$862)</f>
        <v>1600</v>
      </c>
      <c r="AV501" s="403">
        <f>SUMIF(Consumo!$C$3:$C$862,tabItens[[#This Row],[CÓDIGO]],Consumo!$Y$3:$Y$862)</f>
        <v>318.25</v>
      </c>
      <c r="AW501" s="380">
        <f>tabItens[[#This Row],[QTDE ATUAL]] + tabItens[[#This Row],[RC QTDE]] + tabItens[[#This Row],[AF SALDO]] + tabItens[[#This Row],[Recentes]]</f>
        <v>3000</v>
      </c>
      <c r="AX501" s="404">
        <v>112</v>
      </c>
      <c r="AY501" s="404">
        <v>4</v>
      </c>
      <c r="AZ501" s="404">
        <f>IF(ISBLANK(tabItens[[#This Row],[CÓDIGO]]),"",tabItens[[#This Row],[PontoMês]] * (AZ$2+tabItens[[#This Row],[PontoQtM]]))</f>
        <v>448</v>
      </c>
      <c r="BA501" s="403">
        <f>tabItens[[#This Row],[PontoPed]] - tabItens[[#This Row],[Saldo]] + (1/10)</f>
        <v>-2551.9</v>
      </c>
      <c r="BB501" s="403">
        <f xml:space="preserve"> tabItens[[#This Row],[PontoMês]] * BB$2 - tabItens[[#This Row],[QTDE ATUAL]] - (1/10)</f>
        <v>111.9</v>
      </c>
      <c r="BC501" s="335">
        <f>IF( tabItens[[#This Row],[PontoPed]]&gt;0, IF(tabItens[[#This Row],[PontoPed]]&lt;1, 1, IF( tabItens[[#This Row],[Saldo]]&gt;tabItens[[#This Row],[PontoPed]], 0, (tabItens[[#This Row],[PontoPed]]-tabItens[[#This Row],[Saldo]])/tabItens[[#This Row],[PontoPed]] ) ), 0 )</f>
        <v>0</v>
      </c>
      <c r="BD501" s="405">
        <f>ROUNDDOWN(IF( OR( AND(tabItens[[#This Row],[PontoPed]]&lt;tabItens[[#This Row],[Saldo]],tabItens[[#This Row],[Saldo]]&gt;0), tabItens[[#This Row],[PontoPed]]=0), 99, IF(AND(tabItens[[#This Row],[Saldo]]=0,tabItens[[#This Row],[PontoPed]]&gt;0), 0, (1-tabItens[[#This Row],[PctAb]])*10 ) ),0)</f>
        <v>99</v>
      </c>
      <c r="BE501" s="406">
        <f>MAX(ROUNDDOWN( IF(tabItens[[#This Row],[Abaixo]] &gt; 0,   tabItens[[#This Row],[Abaixo]] + (tabItens[[#This Row],[PontoMês]] * IF( OR( ISBLANK(tabItens[[#This Row],[ATA Nº/ANO]]), tabItens[[#This Row],[ATA Nº/ANO]] = ""),BE$2,BE$1)),0),0),0)</f>
        <v>0</v>
      </c>
      <c r="BF50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1" s="338">
        <f>SUMIF(Consumo!$C$3:$C$862,tabItens[[#This Row],[CÓDIGO]],Consumo!$E$3:$E$862)</f>
        <v>54</v>
      </c>
      <c r="BH501" s="339">
        <f>IF(AND(tabItens[[#This Row],[Pend]] &gt; 0,tabItens[[#This Row],[Consumo]] &lt;&gt; 0), tabItens[[#This Row],[Pend]] / tabItens[[#This Row],[Consumo]], 0 )</f>
        <v>1.3062409288824383E-2</v>
      </c>
      <c r="BI501" s="338"/>
      <c r="BJ501" s="407"/>
      <c r="BK501" s="408" t="s">
        <v>2086</v>
      </c>
    </row>
    <row r="502" spans="1:63" x14ac:dyDescent="0.3">
      <c r="A502" s="375">
        <v>140043</v>
      </c>
      <c r="B502" s="376" t="s">
        <v>2006</v>
      </c>
      <c r="C502" s="377" t="s">
        <v>272</v>
      </c>
      <c r="D502" s="378">
        <v>11.37</v>
      </c>
      <c r="E502" s="305"/>
      <c r="F502" s="379"/>
      <c r="G502" s="379" t="s">
        <v>889</v>
      </c>
      <c r="H502" s="380">
        <v>0</v>
      </c>
      <c r="I502" s="307">
        <v>103003</v>
      </c>
      <c r="J502" s="308">
        <v>11.37</v>
      </c>
      <c r="K502" s="381">
        <v>846.7</v>
      </c>
      <c r="L502" s="382">
        <f>IF(tabItens[[#This Row],[Média]] &gt; 0, tabItens[[#This Row],[QTDE ATUAL]] / tabItens[[#This Row],[Média]],999.9)</f>
        <v>0</v>
      </c>
      <c r="M502" s="383">
        <v>0</v>
      </c>
      <c r="N502" s="384">
        <f>tabItens[[#This Row],[VALOR UNIT.]] * tabItens[[#This Row],[LC]]</f>
        <v>0</v>
      </c>
      <c r="O502" s="385" t="s">
        <v>2210</v>
      </c>
      <c r="P502" s="386"/>
      <c r="Q502" s="387"/>
      <c r="R502" s="312"/>
      <c r="S502" s="388"/>
      <c r="T502" s="389">
        <f>ROUNDDOWN(IFERROR(tabItens[[#This Row],[ATA DT.VALID.]] - $D$1,0) / 30,0)</f>
        <v>-1474</v>
      </c>
      <c r="U502" s="302" t="s">
        <v>1676</v>
      </c>
      <c r="V502" s="318">
        <v>1</v>
      </c>
      <c r="W502" s="390" t="s">
        <v>2077</v>
      </c>
      <c r="X502" s="391">
        <v>55</v>
      </c>
      <c r="Y502" s="392">
        <v>19</v>
      </c>
      <c r="Z502" s="393" t="s">
        <v>2080</v>
      </c>
      <c r="AA502" s="394">
        <v>2023</v>
      </c>
      <c r="AB502" s="395">
        <v>1800</v>
      </c>
      <c r="AC502" s="395"/>
      <c r="AD502" s="394"/>
      <c r="AE502" s="395"/>
      <c r="AF502" s="317"/>
      <c r="AG502" s="396" t="s">
        <v>2072</v>
      </c>
      <c r="AH502" s="397"/>
      <c r="AI502" s="317">
        <v>282</v>
      </c>
      <c r="AJ502" s="397">
        <v>44928</v>
      </c>
      <c r="AK502" s="326">
        <v>44096</v>
      </c>
      <c r="AL502" s="326">
        <v>44915</v>
      </c>
      <c r="AM502" s="316"/>
      <c r="AN502" s="305"/>
      <c r="AO502" s="327" t="str">
        <f>_xlfn.IFNA(IF(VLOOKUP(tabItens[[#This Row],[CÓDIGO]],tabExcluirDoEstoque[#Data],1,FALSE),"sim",""),"")</f>
        <v/>
      </c>
      <c r="AP502" s="398" t="str">
        <f ca="1">IF(OR(ISBLANK(tabItens[[#This Row],[ATA DT.VALID.]]),tabItens[[#This Row],[ATA DT.VALID.]]="",tabItens[[#This Row],[ATA DT.VALID.]]=" "),"",IF(TYPE(tabItens[[#This Row],[ATA DT.VALID.]])=1,ROUNDUP((tabItens[[#This Row],[ATA DT.VALID.]]-TODAY())/7,0),""))</f>
        <v/>
      </c>
      <c r="AQ502" s="399">
        <v>0</v>
      </c>
      <c r="AR502" s="400" t="str">
        <f>IF(ISBLANK(tabItens[[#This Row],[CÓDIGO]]),"",IFERROR(VLOOKUP(tabItens[[#This Row],[CÓDIGO]],Consumo!$C$2:$AC$862,26,FALSE),0))</f>
        <v>04.2023</v>
      </c>
      <c r="AS502" s="401">
        <f>SUMIF(Consumo!$C$3:$C$862,tabItens[[#This Row],[CÓDIGO]],Consumo!$N$3:$N$862) + SUMIF(Consumo!$C$3:$C$862,tabItens[[#This Row],[CÓDIGO]],Consumo!$O$3:$O$862) + SUMIF(Consumo!$C$3:$C$862,tabItens[[#This Row],[CÓDIGO]],Consumo!$P$3:$P$862) + SUMIF(Consumo!$C$3:$C$862,tabItens[[#This Row],[CÓDIGO]],Consumo!$Q$3:$Q$862)</f>
        <v>0</v>
      </c>
      <c r="AT502" s="401">
        <f>SUMIF(Consumo!$C$3:$C$862,tabItens[[#This Row],[CÓDIGO]],Consumo!$Z$3:$Z$862)</f>
        <v>1110</v>
      </c>
      <c r="AU502" s="402">
        <f>SUMIF(Consumo!$C$3:$C$862,tabItens[[#This Row],[CÓDIGO]],Consumo!$AA$3:$AA$862)</f>
        <v>510</v>
      </c>
      <c r="AV502" s="403">
        <f>SUMIF(Consumo!$C$3:$C$862,tabItens[[#This Row],[CÓDIGO]],Consumo!$Y$3:$Y$862)</f>
        <v>82.416666666666671</v>
      </c>
      <c r="AW502" s="380">
        <f>tabItens[[#This Row],[QTDE ATUAL]] + tabItens[[#This Row],[RC QTDE]] + tabItens[[#This Row],[AF SALDO]] + tabItens[[#This Row],[Recentes]]</f>
        <v>1800</v>
      </c>
      <c r="AX502" s="404">
        <v>39</v>
      </c>
      <c r="AY502" s="404">
        <v>4</v>
      </c>
      <c r="AZ502" s="404">
        <f>IF(ISBLANK(tabItens[[#This Row],[CÓDIGO]]),"",tabItens[[#This Row],[PontoMês]] * (AZ$2+tabItens[[#This Row],[PontoQtM]]))</f>
        <v>156</v>
      </c>
      <c r="BA502" s="403">
        <f>tabItens[[#This Row],[PontoPed]] - tabItens[[#This Row],[Saldo]] + (1/10)</f>
        <v>-1643.9</v>
      </c>
      <c r="BB502" s="403">
        <f xml:space="preserve"> tabItens[[#This Row],[PontoMês]] * BB$2 - tabItens[[#This Row],[QTDE ATUAL]] - (1/10)</f>
        <v>38.9</v>
      </c>
      <c r="BC502" s="335">
        <f>IF( tabItens[[#This Row],[PontoPed]]&gt;0, IF(tabItens[[#This Row],[PontoPed]]&lt;1, 1, IF( tabItens[[#This Row],[Saldo]]&gt;tabItens[[#This Row],[PontoPed]], 0, (tabItens[[#This Row],[PontoPed]]-tabItens[[#This Row],[Saldo]])/tabItens[[#This Row],[PontoPed]] ) ), 0 )</f>
        <v>0</v>
      </c>
      <c r="BD502" s="405">
        <f>ROUNDDOWN(IF( OR( AND(tabItens[[#This Row],[PontoPed]]&lt;tabItens[[#This Row],[Saldo]],tabItens[[#This Row],[Saldo]]&gt;0), tabItens[[#This Row],[PontoPed]]=0), 99, IF(AND(tabItens[[#This Row],[Saldo]]=0,tabItens[[#This Row],[PontoPed]]&gt;0), 0, (1-tabItens[[#This Row],[PctAb]])*10 ) ),0)</f>
        <v>99</v>
      </c>
      <c r="BE502" s="406">
        <f>MAX(ROUNDDOWN( IF(tabItens[[#This Row],[Abaixo]] &gt; 0,   tabItens[[#This Row],[Abaixo]] + (tabItens[[#This Row],[PontoMês]] * IF( OR( ISBLANK(tabItens[[#This Row],[ATA Nº/ANO]]), tabItens[[#This Row],[ATA Nº/ANO]] = ""),BE$2,BE$1)),0),0),0)</f>
        <v>0</v>
      </c>
      <c r="BF50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2" s="338">
        <f>SUMIF(Consumo!$C$3:$C$862,tabItens[[#This Row],[CÓDIGO]],Consumo!$E$3:$E$862)</f>
        <v>263.3</v>
      </c>
      <c r="BH502" s="339">
        <f>IF(AND(tabItens[[#This Row],[Pend]] &gt; 0,tabItens[[#This Row],[Consumo]] &lt;&gt; 0), tabItens[[#This Row],[Pend]] / tabItens[[#This Row],[Consumo]], 0 )</f>
        <v>0.23720720720720723</v>
      </c>
      <c r="BI502" s="338"/>
      <c r="BJ502" s="407"/>
      <c r="BK502" s="408" t="s">
        <v>2086</v>
      </c>
    </row>
    <row r="503" spans="1:63" x14ac:dyDescent="0.3">
      <c r="A503" s="375">
        <v>140047</v>
      </c>
      <c r="B503" s="376" t="s">
        <v>2007</v>
      </c>
      <c r="C503" s="377" t="s">
        <v>272</v>
      </c>
      <c r="D503" s="378">
        <v>70</v>
      </c>
      <c r="E503" s="305"/>
      <c r="F503" s="379"/>
      <c r="G503" s="379" t="s">
        <v>889</v>
      </c>
      <c r="H503" s="380">
        <v>29</v>
      </c>
      <c r="I503" s="307">
        <v>103003</v>
      </c>
      <c r="J503" s="308">
        <v>70</v>
      </c>
      <c r="K503" s="381">
        <v>130</v>
      </c>
      <c r="L503" s="382">
        <f>IF(tabItens[[#This Row],[Média]] &gt; 0, tabItens[[#This Row],[QTDE ATUAL]] / tabItens[[#This Row],[Média]],999.9)</f>
        <v>3.5510204081632657</v>
      </c>
      <c r="M503" s="383">
        <v>0</v>
      </c>
      <c r="N503" s="384">
        <f>tabItens[[#This Row],[VALOR UNIT.]] * tabItens[[#This Row],[LC]]</f>
        <v>0</v>
      </c>
      <c r="O503" s="385" t="s">
        <v>2210</v>
      </c>
      <c r="P503" s="386"/>
      <c r="Q503" s="387"/>
      <c r="R503" s="312"/>
      <c r="S503" s="388"/>
      <c r="T503" s="389">
        <f>ROUNDDOWN(IFERROR(tabItens[[#This Row],[ATA DT.VALID.]] - $D$1,0) / 30,0)</f>
        <v>-1474</v>
      </c>
      <c r="U503" s="302" t="s">
        <v>1676</v>
      </c>
      <c r="V503" s="318">
        <v>1</v>
      </c>
      <c r="W503" s="390" t="s">
        <v>2077</v>
      </c>
      <c r="X503" s="391">
        <v>55</v>
      </c>
      <c r="Y503" s="392">
        <v>19</v>
      </c>
      <c r="Z503" s="393">
        <v>2693</v>
      </c>
      <c r="AA503" s="394">
        <v>2023</v>
      </c>
      <c r="AB503" s="395">
        <v>100</v>
      </c>
      <c r="AC503" s="395"/>
      <c r="AD503" s="394"/>
      <c r="AE503" s="395"/>
      <c r="AF503" s="317"/>
      <c r="AG503" s="396" t="s">
        <v>2072</v>
      </c>
      <c r="AH503" s="397"/>
      <c r="AI503" s="317">
        <v>44</v>
      </c>
      <c r="AJ503" s="397">
        <v>44875</v>
      </c>
      <c r="AK503" s="326">
        <v>44096</v>
      </c>
      <c r="AL503" s="326">
        <v>44845</v>
      </c>
      <c r="AM503" s="316"/>
      <c r="AN503" s="305"/>
      <c r="AO503" s="327" t="str">
        <f>_xlfn.IFNA(IF(VLOOKUP(tabItens[[#This Row],[CÓDIGO]],tabExcluirDoEstoque[#Data],1,FALSE),"sim",""),"")</f>
        <v/>
      </c>
      <c r="AP503" s="398" t="str">
        <f ca="1">IF(OR(ISBLANK(tabItens[[#This Row],[ATA DT.VALID.]]),tabItens[[#This Row],[ATA DT.VALID.]]="",tabItens[[#This Row],[ATA DT.VALID.]]=" "),"",IF(TYPE(tabItens[[#This Row],[ATA DT.VALID.]])=1,ROUNDUP((tabItens[[#This Row],[ATA DT.VALID.]]-TODAY())/7,0),""))</f>
        <v/>
      </c>
      <c r="AQ503" s="399">
        <v>0</v>
      </c>
      <c r="AR503" s="400" t="str">
        <f>IF(ISBLANK(tabItens[[#This Row],[CÓDIGO]]),"",IFERROR(VLOOKUP(tabItens[[#This Row],[CÓDIGO]],Consumo!$C$2:$AC$862,26,FALSE),0))</f>
        <v>08.2023</v>
      </c>
      <c r="AS503" s="401">
        <f>SUMIF(Consumo!$C$3:$C$862,tabItens[[#This Row],[CÓDIGO]],Consumo!$N$3:$N$862) + SUMIF(Consumo!$C$3:$C$862,tabItens[[#This Row],[CÓDIGO]],Consumo!$O$3:$O$862) + SUMIF(Consumo!$C$3:$C$862,tabItens[[#This Row],[CÓDIGO]],Consumo!$P$3:$P$862) + SUMIF(Consumo!$C$3:$C$862,tabItens[[#This Row],[CÓDIGO]],Consumo!$Q$3:$Q$862)</f>
        <v>110</v>
      </c>
      <c r="AT503" s="401">
        <f>SUMIF(Consumo!$C$3:$C$862,tabItens[[#This Row],[CÓDIGO]],Consumo!$Z$3:$Z$862)</f>
        <v>130</v>
      </c>
      <c r="AU503" s="402">
        <f>SUMIF(Consumo!$C$3:$C$862,tabItens[[#This Row],[CÓDIGO]],Consumo!$AA$3:$AA$862)</f>
        <v>100</v>
      </c>
      <c r="AV503" s="403">
        <f>SUMIF(Consumo!$C$3:$C$862,tabItens[[#This Row],[CÓDIGO]],Consumo!$Y$3:$Y$862)</f>
        <v>8.1666666666666661</v>
      </c>
      <c r="AW503" s="380">
        <f>tabItens[[#This Row],[QTDE ATUAL]] + tabItens[[#This Row],[RC QTDE]] + tabItens[[#This Row],[AF SALDO]] + tabItens[[#This Row],[Recentes]]</f>
        <v>129</v>
      </c>
      <c r="AX503" s="404">
        <v>0</v>
      </c>
      <c r="AY503" s="404">
        <v>4</v>
      </c>
      <c r="AZ503" s="404">
        <f>IF(ISBLANK(tabItens[[#This Row],[CÓDIGO]]),"",tabItens[[#This Row],[PontoMês]] * (AZ$2+tabItens[[#This Row],[PontoQtM]]))</f>
        <v>0</v>
      </c>
      <c r="BA503" s="403">
        <f>tabItens[[#This Row],[PontoPed]] - tabItens[[#This Row],[Saldo]] + (1/10)</f>
        <v>-128.9</v>
      </c>
      <c r="BB503" s="403">
        <f xml:space="preserve"> tabItens[[#This Row],[PontoMês]] * BB$2 - tabItens[[#This Row],[QTDE ATUAL]] - (1/10)</f>
        <v>-29.1</v>
      </c>
      <c r="BC503" s="335">
        <f>IF( tabItens[[#This Row],[PontoPed]]&gt;0, IF(tabItens[[#This Row],[PontoPed]]&lt;1, 1, IF( tabItens[[#This Row],[Saldo]]&gt;tabItens[[#This Row],[PontoPed]], 0, (tabItens[[#This Row],[PontoPed]]-tabItens[[#This Row],[Saldo]])/tabItens[[#This Row],[PontoPed]] ) ), 0 )</f>
        <v>0</v>
      </c>
      <c r="BD503" s="405">
        <f>ROUNDDOWN(IF( OR( AND(tabItens[[#This Row],[PontoPed]]&lt;tabItens[[#This Row],[Saldo]],tabItens[[#This Row],[Saldo]]&gt;0), tabItens[[#This Row],[PontoPed]]=0), 99, IF(AND(tabItens[[#This Row],[Saldo]]=0,tabItens[[#This Row],[PontoPed]]&gt;0), 0, (1-tabItens[[#This Row],[PctAb]])*10 ) ),0)</f>
        <v>99</v>
      </c>
      <c r="BE503" s="406">
        <f>MAX(ROUNDDOWN( IF(tabItens[[#This Row],[Abaixo]] &gt; 0,   tabItens[[#This Row],[Abaixo]] + (tabItens[[#This Row],[PontoMês]] * IF( OR( ISBLANK(tabItens[[#This Row],[ATA Nº/ANO]]), tabItens[[#This Row],[ATA Nº/ANO]] = ""),BE$2,BE$1)),0),0),0)</f>
        <v>0</v>
      </c>
      <c r="BF50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3" s="338">
        <f>SUMIF(Consumo!$C$3:$C$862,tabItens[[#This Row],[CÓDIGO]],Consumo!$E$3:$E$862)</f>
        <v>0</v>
      </c>
      <c r="BH503" s="339">
        <f>IF(AND(tabItens[[#This Row],[Pend]] &gt; 0,tabItens[[#This Row],[Consumo]] &lt;&gt; 0), tabItens[[#This Row],[Pend]] / tabItens[[#This Row],[Consumo]], 0 )</f>
        <v>0</v>
      </c>
      <c r="BI503" s="338"/>
      <c r="BJ503" s="407"/>
      <c r="BK503" s="408" t="s">
        <v>2086</v>
      </c>
    </row>
    <row r="504" spans="1:63" x14ac:dyDescent="0.3">
      <c r="A504" s="375">
        <v>140048</v>
      </c>
      <c r="B504" s="376" t="s">
        <v>2008</v>
      </c>
      <c r="C504" s="377" t="s">
        <v>272</v>
      </c>
      <c r="D504" s="378">
        <v>5.98</v>
      </c>
      <c r="E504" s="305"/>
      <c r="F504" s="379"/>
      <c r="G504" s="379" t="s">
        <v>889</v>
      </c>
      <c r="H504" s="380">
        <v>0</v>
      </c>
      <c r="I504" s="307">
        <v>103003</v>
      </c>
      <c r="J504" s="308">
        <v>5.98</v>
      </c>
      <c r="K504" s="381">
        <v>2440</v>
      </c>
      <c r="L504" s="382">
        <f>IF(tabItens[[#This Row],[Média]] &gt; 0, tabItens[[#This Row],[QTDE ATUAL]] / tabItens[[#This Row],[Média]],999.9)</f>
        <v>0</v>
      </c>
      <c r="M504" s="383">
        <v>0</v>
      </c>
      <c r="N504" s="384">
        <f>tabItens[[#This Row],[VALOR UNIT.]] * tabItens[[#This Row],[LC]]</f>
        <v>0</v>
      </c>
      <c r="O504" s="385" t="s">
        <v>2210</v>
      </c>
      <c r="P504" s="386"/>
      <c r="Q504" s="387"/>
      <c r="R504" s="312"/>
      <c r="S504" s="388"/>
      <c r="T504" s="389">
        <f>ROUNDDOWN(IFERROR(tabItens[[#This Row],[ATA DT.VALID.]] - $D$1,0) / 30,0)</f>
        <v>-1474</v>
      </c>
      <c r="U504" s="302" t="s">
        <v>1676</v>
      </c>
      <c r="V504" s="318">
        <v>1</v>
      </c>
      <c r="W504" s="390" t="s">
        <v>2077</v>
      </c>
      <c r="X504" s="391">
        <v>55</v>
      </c>
      <c r="Y504" s="392">
        <v>19</v>
      </c>
      <c r="Z504" s="393">
        <v>2694</v>
      </c>
      <c r="AA504" s="394">
        <v>2023</v>
      </c>
      <c r="AB504" s="395">
        <v>2000</v>
      </c>
      <c r="AC504" s="395"/>
      <c r="AD504" s="394"/>
      <c r="AE504" s="395"/>
      <c r="AF504" s="317"/>
      <c r="AG504" s="396" t="s">
        <v>2072</v>
      </c>
      <c r="AH504" s="397"/>
      <c r="AI504" s="317">
        <v>814</v>
      </c>
      <c r="AJ504" s="397">
        <v>44887</v>
      </c>
      <c r="AK504" s="326">
        <v>44096</v>
      </c>
      <c r="AL504" s="326">
        <v>44845</v>
      </c>
      <c r="AM504" s="316"/>
      <c r="AN504" s="305"/>
      <c r="AO504" s="327" t="str">
        <f>_xlfn.IFNA(IF(VLOOKUP(tabItens[[#This Row],[CÓDIGO]],tabExcluirDoEstoque[#Data],1,FALSE),"sim",""),"")</f>
        <v/>
      </c>
      <c r="AP504" s="398" t="str">
        <f ca="1">IF(OR(ISBLANK(tabItens[[#This Row],[ATA DT.VALID.]]),tabItens[[#This Row],[ATA DT.VALID.]]="",tabItens[[#This Row],[ATA DT.VALID.]]=" "),"",IF(TYPE(tabItens[[#This Row],[ATA DT.VALID.]])=1,ROUNDUP((tabItens[[#This Row],[ATA DT.VALID.]]-TODAY())/7,0),""))</f>
        <v/>
      </c>
      <c r="AQ504" s="399">
        <v>0</v>
      </c>
      <c r="AR504" s="400" t="str">
        <f>IF(ISBLANK(tabItens[[#This Row],[CÓDIGO]]),"",IFERROR(VLOOKUP(tabItens[[#This Row],[CÓDIGO]],Consumo!$C$2:$AC$862,26,FALSE),0))</f>
        <v>03.2023</v>
      </c>
      <c r="AS504" s="401">
        <f>SUMIF(Consumo!$C$3:$C$862,tabItens[[#This Row],[CÓDIGO]],Consumo!$N$3:$N$862) + SUMIF(Consumo!$C$3:$C$862,tabItens[[#This Row],[CÓDIGO]],Consumo!$O$3:$O$862) + SUMIF(Consumo!$C$3:$C$862,tabItens[[#This Row],[CÓDIGO]],Consumo!$P$3:$P$862) + SUMIF(Consumo!$C$3:$C$862,tabItens[[#This Row],[CÓDIGO]],Consumo!$Q$3:$Q$862)</f>
        <v>0</v>
      </c>
      <c r="AT504" s="401">
        <f>SUMIF(Consumo!$C$3:$C$862,tabItens[[#This Row],[CÓDIGO]],Consumo!$Z$3:$Z$862)</f>
        <v>2580</v>
      </c>
      <c r="AU504" s="402">
        <f>SUMIF(Consumo!$C$3:$C$862,tabItens[[#This Row],[CÓDIGO]],Consumo!$AA$3:$AA$862)</f>
        <v>680</v>
      </c>
      <c r="AV504" s="403">
        <f>SUMIF(Consumo!$C$3:$C$862,tabItens[[#This Row],[CÓDIGO]],Consumo!$Y$3:$Y$862)</f>
        <v>215</v>
      </c>
      <c r="AW504" s="380">
        <f>tabItens[[#This Row],[QTDE ATUAL]] + tabItens[[#This Row],[RC QTDE]] + tabItens[[#This Row],[AF SALDO]] + tabItens[[#This Row],[Recentes]]</f>
        <v>2000</v>
      </c>
      <c r="AX504" s="404">
        <v>128</v>
      </c>
      <c r="AY504" s="404">
        <v>4</v>
      </c>
      <c r="AZ504" s="404">
        <f>IF(ISBLANK(tabItens[[#This Row],[CÓDIGO]]),"",tabItens[[#This Row],[PontoMês]] * (AZ$2+tabItens[[#This Row],[PontoQtM]]))</f>
        <v>512</v>
      </c>
      <c r="BA504" s="403">
        <f>tabItens[[#This Row],[PontoPed]] - tabItens[[#This Row],[Saldo]] + (1/10)</f>
        <v>-1487.9</v>
      </c>
      <c r="BB504" s="403">
        <f xml:space="preserve"> tabItens[[#This Row],[PontoMês]] * BB$2 - tabItens[[#This Row],[QTDE ATUAL]] - (1/10)</f>
        <v>127.9</v>
      </c>
      <c r="BC504" s="335">
        <f>IF( tabItens[[#This Row],[PontoPed]]&gt;0, IF(tabItens[[#This Row],[PontoPed]]&lt;1, 1, IF( tabItens[[#This Row],[Saldo]]&gt;tabItens[[#This Row],[PontoPed]], 0, (tabItens[[#This Row],[PontoPed]]-tabItens[[#This Row],[Saldo]])/tabItens[[#This Row],[PontoPed]] ) ), 0 )</f>
        <v>0</v>
      </c>
      <c r="BD504" s="405">
        <f>ROUNDDOWN(IF( OR( AND(tabItens[[#This Row],[PontoPed]]&lt;tabItens[[#This Row],[Saldo]],tabItens[[#This Row],[Saldo]]&gt;0), tabItens[[#This Row],[PontoPed]]=0), 99, IF(AND(tabItens[[#This Row],[Saldo]]=0,tabItens[[#This Row],[PontoPed]]&gt;0), 0, (1-tabItens[[#This Row],[PctAb]])*10 ) ),0)</f>
        <v>99</v>
      </c>
      <c r="BE504" s="406">
        <f>MAX(ROUNDDOWN( IF(tabItens[[#This Row],[Abaixo]] &gt; 0,   tabItens[[#This Row],[Abaixo]] + (tabItens[[#This Row],[PontoMês]] * IF( OR( ISBLANK(tabItens[[#This Row],[ATA Nº/ANO]]), tabItens[[#This Row],[ATA Nº/ANO]] = ""),BE$2,BE$1)),0),0),0)</f>
        <v>0</v>
      </c>
      <c r="BF50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4" s="338">
        <f>SUMIF(Consumo!$C$3:$C$862,tabItens[[#This Row],[CÓDIGO]],Consumo!$E$3:$E$862)</f>
        <v>140</v>
      </c>
      <c r="BH504" s="339">
        <f>IF(AND(tabItens[[#This Row],[Pend]] &gt; 0,tabItens[[#This Row],[Consumo]] &lt;&gt; 0), tabItens[[#This Row],[Pend]] / tabItens[[#This Row],[Consumo]], 0 )</f>
        <v>5.4263565891472867E-2</v>
      </c>
      <c r="BI504" s="338"/>
      <c r="BJ504" s="407"/>
      <c r="BK504" s="408" t="s">
        <v>2086</v>
      </c>
    </row>
    <row r="505" spans="1:63" x14ac:dyDescent="0.3">
      <c r="A505" s="375">
        <v>140049</v>
      </c>
      <c r="B505" s="376" t="s">
        <v>2009</v>
      </c>
      <c r="C505" s="377" t="s">
        <v>272</v>
      </c>
      <c r="D505" s="378">
        <v>0</v>
      </c>
      <c r="E505" s="305"/>
      <c r="F505" s="379"/>
      <c r="G505" s="379" t="s">
        <v>889</v>
      </c>
      <c r="H505" s="380">
        <v>496</v>
      </c>
      <c r="I505" s="307">
        <v>103003</v>
      </c>
      <c r="J505" s="308">
        <v>0</v>
      </c>
      <c r="K505" s="381">
        <v>504</v>
      </c>
      <c r="L505" s="382">
        <f>IF(tabItens[[#This Row],[Média]] &gt; 0, tabItens[[#This Row],[QTDE ATUAL]] / tabItens[[#This Row],[Média]],999.9)</f>
        <v>11.856573705179283</v>
      </c>
      <c r="M505" s="383">
        <v>0</v>
      </c>
      <c r="N505" s="384">
        <f>tabItens[[#This Row],[VALOR UNIT.]] * tabItens[[#This Row],[LC]]</f>
        <v>0</v>
      </c>
      <c r="O505" s="385" t="s">
        <v>2210</v>
      </c>
      <c r="P505" s="386"/>
      <c r="Q505" s="387"/>
      <c r="R505" s="312"/>
      <c r="S505" s="388"/>
      <c r="T505" s="389">
        <f>ROUNDDOWN(IFERROR(tabItens[[#This Row],[ATA DT.VALID.]] - $D$1,0) / 30,0)</f>
        <v>-1474</v>
      </c>
      <c r="U505" s="302" t="s">
        <v>1676</v>
      </c>
      <c r="V505" s="318">
        <v>1</v>
      </c>
      <c r="W505" s="390" t="s">
        <v>2077</v>
      </c>
      <c r="X505" s="391">
        <v>55</v>
      </c>
      <c r="Y505" s="392">
        <v>19</v>
      </c>
      <c r="Z505" s="393"/>
      <c r="AA505" s="394"/>
      <c r="AB505" s="395"/>
      <c r="AC505" s="395"/>
      <c r="AD505" s="394"/>
      <c r="AE505" s="395"/>
      <c r="AF505" s="317"/>
      <c r="AG505" s="396" t="s">
        <v>2072</v>
      </c>
      <c r="AH505" s="397"/>
      <c r="AI505" s="317">
        <v>168</v>
      </c>
      <c r="AJ505" s="397" t="s">
        <v>889</v>
      </c>
      <c r="AK505" s="326">
        <v>44096</v>
      </c>
      <c r="AL505" s="326" t="s">
        <v>889</v>
      </c>
      <c r="AM505" s="316"/>
      <c r="AN505" s="305"/>
      <c r="AO505" s="327" t="str">
        <f>_xlfn.IFNA(IF(VLOOKUP(tabItens[[#This Row],[CÓDIGO]],tabExcluirDoEstoque[#Data],1,FALSE),"sim",""),"")</f>
        <v/>
      </c>
      <c r="AP505" s="398" t="str">
        <f ca="1">IF(OR(ISBLANK(tabItens[[#This Row],[ATA DT.VALID.]]),tabItens[[#This Row],[ATA DT.VALID.]]="",tabItens[[#This Row],[ATA DT.VALID.]]=" "),"",IF(TYPE(tabItens[[#This Row],[ATA DT.VALID.]])=1,ROUNDUP((tabItens[[#This Row],[ATA DT.VALID.]]-TODAY())/7,0),""))</f>
        <v/>
      </c>
      <c r="AQ505" s="399">
        <v>0</v>
      </c>
      <c r="AR505" s="400" t="str">
        <f>IF(ISBLANK(tabItens[[#This Row],[CÓDIGO]]),"",IFERROR(VLOOKUP(tabItens[[#This Row],[CÓDIGO]],Consumo!$C$2:$AC$862,26,FALSE),0))</f>
        <v>05.2023</v>
      </c>
      <c r="AS505" s="401">
        <f>SUMIF(Consumo!$C$3:$C$862,tabItens[[#This Row],[CÓDIGO]],Consumo!$N$3:$N$862) + SUMIF(Consumo!$C$3:$C$862,tabItens[[#This Row],[CÓDIGO]],Consumo!$O$3:$O$862) + SUMIF(Consumo!$C$3:$C$862,tabItens[[#This Row],[CÓDIGO]],Consumo!$P$3:$P$862) + SUMIF(Consumo!$C$3:$C$862,tabItens[[#This Row],[CÓDIGO]],Consumo!$Q$3:$Q$862)</f>
        <v>0</v>
      </c>
      <c r="AT505" s="401">
        <f>SUMIF(Consumo!$C$3:$C$862,tabItens[[#This Row],[CÓDIGO]],Consumo!$Z$3:$Z$862)</f>
        <v>504</v>
      </c>
      <c r="AU505" s="402">
        <f>SUMIF(Consumo!$C$3:$C$862,tabItens[[#This Row],[CÓDIGO]],Consumo!$AA$3:$AA$862)</f>
        <v>204</v>
      </c>
      <c r="AV505" s="403">
        <f>SUMIF(Consumo!$C$3:$C$862,tabItens[[#This Row],[CÓDIGO]],Consumo!$Y$3:$Y$862)</f>
        <v>41.833333333333336</v>
      </c>
      <c r="AW505" s="380">
        <f>tabItens[[#This Row],[QTDE ATUAL]] + tabItens[[#This Row],[RC QTDE]] + tabItens[[#This Row],[AF SALDO]] + tabItens[[#This Row],[Recentes]]</f>
        <v>496</v>
      </c>
      <c r="AX505" s="404">
        <v>20</v>
      </c>
      <c r="AY505" s="404">
        <v>4</v>
      </c>
      <c r="AZ505" s="404">
        <f>IF(ISBLANK(tabItens[[#This Row],[CÓDIGO]]),"",tabItens[[#This Row],[PontoMês]] * (AZ$2+tabItens[[#This Row],[PontoQtM]]))</f>
        <v>80</v>
      </c>
      <c r="BA505" s="403">
        <f>tabItens[[#This Row],[PontoPed]] - tabItens[[#This Row],[Saldo]] + (1/10)</f>
        <v>-415.9</v>
      </c>
      <c r="BB505" s="403">
        <f xml:space="preserve"> tabItens[[#This Row],[PontoMês]] * BB$2 - tabItens[[#This Row],[QTDE ATUAL]] - (1/10)</f>
        <v>-476.1</v>
      </c>
      <c r="BC505" s="335">
        <f>IF( tabItens[[#This Row],[PontoPed]]&gt;0, IF(tabItens[[#This Row],[PontoPed]]&lt;1, 1, IF( tabItens[[#This Row],[Saldo]]&gt;tabItens[[#This Row],[PontoPed]], 0, (tabItens[[#This Row],[PontoPed]]-tabItens[[#This Row],[Saldo]])/tabItens[[#This Row],[PontoPed]] ) ), 0 )</f>
        <v>0</v>
      </c>
      <c r="BD505" s="405">
        <f>ROUNDDOWN(IF( OR( AND(tabItens[[#This Row],[PontoPed]]&lt;tabItens[[#This Row],[Saldo]],tabItens[[#This Row],[Saldo]]&gt;0), tabItens[[#This Row],[PontoPed]]=0), 99, IF(AND(tabItens[[#This Row],[Saldo]]=0,tabItens[[#This Row],[PontoPed]]&gt;0), 0, (1-tabItens[[#This Row],[PctAb]])*10 ) ),0)</f>
        <v>99</v>
      </c>
      <c r="BE505" s="406">
        <f>MAX(ROUNDDOWN( IF(tabItens[[#This Row],[Abaixo]] &gt; 0,   tabItens[[#This Row],[Abaixo]] + (tabItens[[#This Row],[PontoMês]] * IF( OR( ISBLANK(tabItens[[#This Row],[ATA Nº/ANO]]), tabItens[[#This Row],[ATA Nº/ANO]] = ""),BE$2,BE$1)),0),0),0)</f>
        <v>0</v>
      </c>
      <c r="BF50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5" s="338">
        <f>SUMIF(Consumo!$C$3:$C$862,tabItens[[#This Row],[CÓDIGO]],Consumo!$E$3:$E$862)</f>
        <v>0</v>
      </c>
      <c r="BH505" s="339">
        <f>IF(AND(tabItens[[#This Row],[Pend]] &gt; 0,tabItens[[#This Row],[Consumo]] &lt;&gt; 0), tabItens[[#This Row],[Pend]] / tabItens[[#This Row],[Consumo]], 0 )</f>
        <v>0</v>
      </c>
      <c r="BI505" s="338"/>
      <c r="BJ505" s="407"/>
      <c r="BK505" s="408" t="s">
        <v>2086</v>
      </c>
    </row>
    <row r="506" spans="1:63" x14ac:dyDescent="0.3">
      <c r="A506" s="375">
        <v>140050</v>
      </c>
      <c r="B506" s="376" t="s">
        <v>2010</v>
      </c>
      <c r="C506" s="377" t="s">
        <v>272</v>
      </c>
      <c r="D506" s="378">
        <v>6</v>
      </c>
      <c r="E506" s="305"/>
      <c r="F506" s="379"/>
      <c r="G506" s="379" t="s">
        <v>889</v>
      </c>
      <c r="H506" s="380">
        <v>985</v>
      </c>
      <c r="I506" s="307">
        <v>103003</v>
      </c>
      <c r="J506" s="308">
        <v>6</v>
      </c>
      <c r="K506" s="381">
        <v>894</v>
      </c>
      <c r="L506" s="382">
        <f>IF(tabItens[[#This Row],[Média]] &gt; 0, tabItens[[#This Row],[QTDE ATUAL]] / tabItens[[#This Row],[Média]],999.9)</f>
        <v>11.891348088531188</v>
      </c>
      <c r="M506" s="383">
        <v>0</v>
      </c>
      <c r="N506" s="384">
        <f>tabItens[[#This Row],[VALOR UNIT.]] * tabItens[[#This Row],[LC]]</f>
        <v>0</v>
      </c>
      <c r="O506" s="385" t="s">
        <v>2210</v>
      </c>
      <c r="P506" s="386"/>
      <c r="Q506" s="387"/>
      <c r="R506" s="312"/>
      <c r="S506" s="388"/>
      <c r="T506" s="389">
        <f>ROUNDDOWN(IFERROR(tabItens[[#This Row],[ATA DT.VALID.]] - $D$1,0) / 30,0)</f>
        <v>-1474</v>
      </c>
      <c r="U506" s="302" t="s">
        <v>1676</v>
      </c>
      <c r="V506" s="318">
        <v>1</v>
      </c>
      <c r="W506" s="390" t="s">
        <v>2077</v>
      </c>
      <c r="X506" s="391">
        <v>55</v>
      </c>
      <c r="Y506" s="392">
        <v>19</v>
      </c>
      <c r="Z506" s="393">
        <v>2957</v>
      </c>
      <c r="AA506" s="394">
        <v>2023</v>
      </c>
      <c r="AB506" s="395">
        <v>500</v>
      </c>
      <c r="AC506" s="395"/>
      <c r="AD506" s="394"/>
      <c r="AE506" s="395"/>
      <c r="AF506" s="317"/>
      <c r="AG506" s="396" t="s">
        <v>2072</v>
      </c>
      <c r="AH506" s="397"/>
      <c r="AI506" s="317">
        <v>332</v>
      </c>
      <c r="AJ506" s="397">
        <v>44887</v>
      </c>
      <c r="AK506" s="326">
        <v>44096</v>
      </c>
      <c r="AL506" s="326">
        <v>44845</v>
      </c>
      <c r="AM506" s="316"/>
      <c r="AN506" s="305"/>
      <c r="AO506" s="327" t="str">
        <f>_xlfn.IFNA(IF(VLOOKUP(tabItens[[#This Row],[CÓDIGO]],tabExcluirDoEstoque[#Data],1,FALSE),"sim",""),"")</f>
        <v/>
      </c>
      <c r="AP506" s="398" t="str">
        <f ca="1">IF(OR(ISBLANK(tabItens[[#This Row],[ATA DT.VALID.]]),tabItens[[#This Row],[ATA DT.VALID.]]="",tabItens[[#This Row],[ATA DT.VALID.]]=" "),"",IF(TYPE(tabItens[[#This Row],[ATA DT.VALID.]])=1,ROUNDUP((tabItens[[#This Row],[ATA DT.VALID.]]-TODAY())/7,0),""))</f>
        <v/>
      </c>
      <c r="AQ506" s="399">
        <v>0</v>
      </c>
      <c r="AR506" s="400" t="str">
        <f>IF(ISBLANK(tabItens[[#This Row],[CÓDIGO]]),"",IFERROR(VLOOKUP(tabItens[[#This Row],[CÓDIGO]],Consumo!$C$2:$AC$862,26,FALSE),0))</f>
        <v>05.2023</v>
      </c>
      <c r="AS506" s="401">
        <f>SUMIF(Consumo!$C$3:$C$862,tabItens[[#This Row],[CÓDIGO]],Consumo!$N$3:$N$862) + SUMIF(Consumo!$C$3:$C$862,tabItens[[#This Row],[CÓDIGO]],Consumo!$O$3:$O$862) + SUMIF(Consumo!$C$3:$C$862,tabItens[[#This Row],[CÓDIGO]],Consumo!$P$3:$P$862) + SUMIF(Consumo!$C$3:$C$862,tabItens[[#This Row],[CÓDIGO]],Consumo!$Q$3:$Q$862)</f>
        <v>0</v>
      </c>
      <c r="AT506" s="401">
        <f>SUMIF(Consumo!$C$3:$C$862,tabItens[[#This Row],[CÓDIGO]],Consumo!$Z$3:$Z$862)</f>
        <v>994</v>
      </c>
      <c r="AU506" s="402">
        <f>SUMIF(Consumo!$C$3:$C$862,tabItens[[#This Row],[CÓDIGO]],Consumo!$AA$3:$AA$862)</f>
        <v>200</v>
      </c>
      <c r="AV506" s="403">
        <f>SUMIF(Consumo!$C$3:$C$862,tabItens[[#This Row],[CÓDIGO]],Consumo!$Y$3:$Y$862)</f>
        <v>82.833333333333329</v>
      </c>
      <c r="AW506" s="380">
        <f>tabItens[[#This Row],[QTDE ATUAL]] + tabItens[[#This Row],[RC QTDE]] + tabItens[[#This Row],[AF SALDO]] + tabItens[[#This Row],[Recentes]]</f>
        <v>1485</v>
      </c>
      <c r="AX506" s="404">
        <v>29</v>
      </c>
      <c r="AY506" s="404">
        <v>4</v>
      </c>
      <c r="AZ506" s="404">
        <f>IF(ISBLANK(tabItens[[#This Row],[CÓDIGO]]),"",tabItens[[#This Row],[PontoMês]] * (AZ$2+tabItens[[#This Row],[PontoQtM]]))</f>
        <v>116</v>
      </c>
      <c r="BA506" s="403">
        <f>tabItens[[#This Row],[PontoPed]] - tabItens[[#This Row],[Saldo]] + (1/10)</f>
        <v>-1368.9</v>
      </c>
      <c r="BB506" s="403">
        <f xml:space="preserve"> tabItens[[#This Row],[PontoMês]] * BB$2 - tabItens[[#This Row],[QTDE ATUAL]] - (1/10)</f>
        <v>-956.1</v>
      </c>
      <c r="BC506" s="335">
        <f>IF( tabItens[[#This Row],[PontoPed]]&gt;0, IF(tabItens[[#This Row],[PontoPed]]&lt;1, 1, IF( tabItens[[#This Row],[Saldo]]&gt;tabItens[[#This Row],[PontoPed]], 0, (tabItens[[#This Row],[PontoPed]]-tabItens[[#This Row],[Saldo]])/tabItens[[#This Row],[PontoPed]] ) ), 0 )</f>
        <v>0</v>
      </c>
      <c r="BD506" s="405">
        <f>ROUNDDOWN(IF( OR( AND(tabItens[[#This Row],[PontoPed]]&lt;tabItens[[#This Row],[Saldo]],tabItens[[#This Row],[Saldo]]&gt;0), tabItens[[#This Row],[PontoPed]]=0), 99, IF(AND(tabItens[[#This Row],[Saldo]]=0,tabItens[[#This Row],[PontoPed]]&gt;0), 0, (1-tabItens[[#This Row],[PctAb]])*10 ) ),0)</f>
        <v>99</v>
      </c>
      <c r="BE506" s="406">
        <f>MAX(ROUNDDOWN( IF(tabItens[[#This Row],[Abaixo]] &gt; 0,   tabItens[[#This Row],[Abaixo]] + (tabItens[[#This Row],[PontoMês]] * IF( OR( ISBLANK(tabItens[[#This Row],[ATA Nº/ANO]]), tabItens[[#This Row],[ATA Nº/ANO]] = ""),BE$2,BE$1)),0),0),0)</f>
        <v>0</v>
      </c>
      <c r="BF50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6" s="338">
        <f>SUMIF(Consumo!$C$3:$C$862,tabItens[[#This Row],[CÓDIGO]],Consumo!$E$3:$E$862)</f>
        <v>0</v>
      </c>
      <c r="BH506" s="339">
        <f>IF(AND(tabItens[[#This Row],[Pend]] &gt; 0,tabItens[[#This Row],[Consumo]] &lt;&gt; 0), tabItens[[#This Row],[Pend]] / tabItens[[#This Row],[Consumo]], 0 )</f>
        <v>0</v>
      </c>
      <c r="BI506" s="338"/>
      <c r="BJ506" s="407"/>
      <c r="BK506" s="408" t="s">
        <v>2086</v>
      </c>
    </row>
    <row r="507" spans="1:63" x14ac:dyDescent="0.3">
      <c r="A507" s="375">
        <v>140051</v>
      </c>
      <c r="B507" s="376" t="s">
        <v>2011</v>
      </c>
      <c r="C507" s="377" t="s">
        <v>272</v>
      </c>
      <c r="D507" s="378">
        <v>9.82</v>
      </c>
      <c r="E507" s="305"/>
      <c r="F507" s="379"/>
      <c r="G507" s="379" t="s">
        <v>889</v>
      </c>
      <c r="H507" s="380">
        <v>1428</v>
      </c>
      <c r="I507" s="307">
        <v>103003</v>
      </c>
      <c r="J507" s="308">
        <v>9.82</v>
      </c>
      <c r="K507" s="381">
        <v>314</v>
      </c>
      <c r="L507" s="382">
        <f>IF(tabItens[[#This Row],[Média]] &gt; 0, tabItens[[#This Row],[QTDE ATUAL]] / tabItens[[#This Row],[Média]],999.9)</f>
        <v>54.573248407643312</v>
      </c>
      <c r="M507" s="383">
        <v>0</v>
      </c>
      <c r="N507" s="384">
        <f>tabItens[[#This Row],[VALOR UNIT.]] * tabItens[[#This Row],[LC]]</f>
        <v>0</v>
      </c>
      <c r="O507" s="385" t="s">
        <v>2210</v>
      </c>
      <c r="P507" s="386"/>
      <c r="Q507" s="387"/>
      <c r="R507" s="312"/>
      <c r="S507" s="388"/>
      <c r="T507" s="389">
        <f>ROUNDDOWN(IFERROR(tabItens[[#This Row],[ATA DT.VALID.]] - $D$1,0) / 30,0)</f>
        <v>-1474</v>
      </c>
      <c r="U507" s="302" t="s">
        <v>1676</v>
      </c>
      <c r="V507" s="318">
        <v>1</v>
      </c>
      <c r="W507" s="390" t="s">
        <v>2077</v>
      </c>
      <c r="X507" s="391">
        <v>55</v>
      </c>
      <c r="Y507" s="392">
        <v>19</v>
      </c>
      <c r="Z507" s="393"/>
      <c r="AA507" s="394"/>
      <c r="AB507" s="395"/>
      <c r="AC507" s="395"/>
      <c r="AD507" s="394"/>
      <c r="AE507" s="395"/>
      <c r="AF507" s="317"/>
      <c r="AG507" s="396" t="s">
        <v>2072</v>
      </c>
      <c r="AH507" s="397"/>
      <c r="AI507" s="317">
        <v>104</v>
      </c>
      <c r="AJ507" s="397">
        <v>44454</v>
      </c>
      <c r="AK507" s="326">
        <v>44096</v>
      </c>
      <c r="AL507" s="326">
        <v>44412</v>
      </c>
      <c r="AM507" s="316"/>
      <c r="AN507" s="305"/>
      <c r="AO507" s="327" t="str">
        <f>_xlfn.IFNA(IF(VLOOKUP(tabItens[[#This Row],[CÓDIGO]],tabExcluirDoEstoque[#Data],1,FALSE),"sim",""),"")</f>
        <v/>
      </c>
      <c r="AP507" s="398" t="str">
        <f ca="1">IF(OR(ISBLANK(tabItens[[#This Row],[ATA DT.VALID.]]),tabItens[[#This Row],[ATA DT.VALID.]]="",tabItens[[#This Row],[ATA DT.VALID.]]=" "),"",IF(TYPE(tabItens[[#This Row],[ATA DT.VALID.]])=1,ROUNDUP((tabItens[[#This Row],[ATA DT.VALID.]]-TODAY())/7,0),""))</f>
        <v/>
      </c>
      <c r="AQ507" s="399">
        <v>0</v>
      </c>
      <c r="AR507" s="400" t="str">
        <f>IF(ISBLANK(tabItens[[#This Row],[CÓDIGO]]),"",IFERROR(VLOOKUP(tabItens[[#This Row],[CÓDIGO]],Consumo!$C$2:$AC$862,26,FALSE),0))</f>
        <v>09.2023</v>
      </c>
      <c r="AS507" s="401">
        <f>SUMIF(Consumo!$C$3:$C$862,tabItens[[#This Row],[CÓDIGO]],Consumo!$N$3:$N$862) + SUMIF(Consumo!$C$3:$C$862,tabItens[[#This Row],[CÓDIGO]],Consumo!$O$3:$O$862) + SUMIF(Consumo!$C$3:$C$862,tabItens[[#This Row],[CÓDIGO]],Consumo!$P$3:$P$862) + SUMIF(Consumo!$C$3:$C$862,tabItens[[#This Row],[CÓDIGO]],Consumo!$Q$3:$Q$862)</f>
        <v>110</v>
      </c>
      <c r="AT507" s="401">
        <f>SUMIF(Consumo!$C$3:$C$862,tabItens[[#This Row],[CÓDIGO]],Consumo!$Z$3:$Z$862)</f>
        <v>314</v>
      </c>
      <c r="AU507" s="402">
        <f>SUMIF(Consumo!$C$3:$C$862,tabItens[[#This Row],[CÓDIGO]],Consumo!$AA$3:$AA$862)</f>
        <v>104</v>
      </c>
      <c r="AV507" s="403">
        <f>SUMIF(Consumo!$C$3:$C$862,tabItens[[#This Row],[CÓDIGO]],Consumo!$Y$3:$Y$862)</f>
        <v>26.166666666666668</v>
      </c>
      <c r="AW507" s="380">
        <f>tabItens[[#This Row],[QTDE ATUAL]] + tabItens[[#This Row],[RC QTDE]] + tabItens[[#This Row],[AF SALDO]] + tabItens[[#This Row],[Recentes]]</f>
        <v>1428</v>
      </c>
      <c r="AX507" s="404">
        <v>22</v>
      </c>
      <c r="AY507" s="404">
        <v>4</v>
      </c>
      <c r="AZ507" s="404">
        <f>IF(ISBLANK(tabItens[[#This Row],[CÓDIGO]]),"",tabItens[[#This Row],[PontoMês]] * (AZ$2+tabItens[[#This Row],[PontoQtM]]))</f>
        <v>88</v>
      </c>
      <c r="BA507" s="403">
        <f>tabItens[[#This Row],[PontoPed]] - tabItens[[#This Row],[Saldo]] + (1/10)</f>
        <v>-1339.9</v>
      </c>
      <c r="BB507" s="403">
        <f xml:space="preserve"> tabItens[[#This Row],[PontoMês]] * BB$2 - tabItens[[#This Row],[QTDE ATUAL]] - (1/10)</f>
        <v>-1406.1</v>
      </c>
      <c r="BC507" s="335">
        <f>IF( tabItens[[#This Row],[PontoPed]]&gt;0, IF(tabItens[[#This Row],[PontoPed]]&lt;1, 1, IF( tabItens[[#This Row],[Saldo]]&gt;tabItens[[#This Row],[PontoPed]], 0, (tabItens[[#This Row],[PontoPed]]-tabItens[[#This Row],[Saldo]])/tabItens[[#This Row],[PontoPed]] ) ), 0 )</f>
        <v>0</v>
      </c>
      <c r="BD507" s="405">
        <f>ROUNDDOWN(IF( OR( AND(tabItens[[#This Row],[PontoPed]]&lt;tabItens[[#This Row],[Saldo]],tabItens[[#This Row],[Saldo]]&gt;0), tabItens[[#This Row],[PontoPed]]=0), 99, IF(AND(tabItens[[#This Row],[Saldo]]=0,tabItens[[#This Row],[PontoPed]]&gt;0), 0, (1-tabItens[[#This Row],[PctAb]])*10 ) ),0)</f>
        <v>99</v>
      </c>
      <c r="BE507" s="406">
        <f>MAX(ROUNDDOWN( IF(tabItens[[#This Row],[Abaixo]] &gt; 0,   tabItens[[#This Row],[Abaixo]] + (tabItens[[#This Row],[PontoMês]] * IF( OR( ISBLANK(tabItens[[#This Row],[ATA Nº/ANO]]), tabItens[[#This Row],[ATA Nº/ANO]] = ""),BE$2,BE$1)),0),0),0)</f>
        <v>0</v>
      </c>
      <c r="BF50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7" s="338">
        <f>SUMIF(Consumo!$C$3:$C$862,tabItens[[#This Row],[CÓDIGO]],Consumo!$E$3:$E$862)</f>
        <v>0</v>
      </c>
      <c r="BH507" s="339">
        <f>IF(AND(tabItens[[#This Row],[Pend]] &gt; 0,tabItens[[#This Row],[Consumo]] &lt;&gt; 0), tabItens[[#This Row],[Pend]] / tabItens[[#This Row],[Consumo]], 0 )</f>
        <v>0</v>
      </c>
      <c r="BI507" s="338"/>
      <c r="BJ507" s="407"/>
      <c r="BK507" s="408" t="s">
        <v>2086</v>
      </c>
    </row>
    <row r="508" spans="1:63" x14ac:dyDescent="0.3">
      <c r="A508" s="375">
        <v>140052</v>
      </c>
      <c r="B508" s="376" t="s">
        <v>2012</v>
      </c>
      <c r="C508" s="377" t="s">
        <v>272</v>
      </c>
      <c r="D508" s="378">
        <v>13.2</v>
      </c>
      <c r="E508" s="305"/>
      <c r="F508" s="379"/>
      <c r="G508" s="379" t="s">
        <v>889</v>
      </c>
      <c r="H508" s="380">
        <v>0</v>
      </c>
      <c r="I508" s="307">
        <v>103003</v>
      </c>
      <c r="J508" s="308">
        <v>13.2</v>
      </c>
      <c r="K508" s="381">
        <v>2079</v>
      </c>
      <c r="L508" s="382">
        <f>IF(tabItens[[#This Row],[Média]] &gt; 0, tabItens[[#This Row],[QTDE ATUAL]] / tabItens[[#This Row],[Média]],999.9)</f>
        <v>0</v>
      </c>
      <c r="M508" s="383">
        <v>0</v>
      </c>
      <c r="N508" s="384">
        <f>tabItens[[#This Row],[VALOR UNIT.]] * tabItens[[#This Row],[LC]]</f>
        <v>0</v>
      </c>
      <c r="O508" s="385" t="s">
        <v>2210</v>
      </c>
      <c r="P508" s="386"/>
      <c r="Q508" s="387"/>
      <c r="R508" s="312"/>
      <c r="S508" s="388"/>
      <c r="T508" s="389">
        <f>ROUNDDOWN(IFERROR(tabItens[[#This Row],[ATA DT.VALID.]] - $D$1,0) / 30,0)</f>
        <v>-1474</v>
      </c>
      <c r="U508" s="302" t="s">
        <v>1676</v>
      </c>
      <c r="V508" s="318">
        <v>1</v>
      </c>
      <c r="W508" s="390" t="s">
        <v>2077</v>
      </c>
      <c r="X508" s="391">
        <v>55</v>
      </c>
      <c r="Y508" s="392">
        <v>19</v>
      </c>
      <c r="Z508" s="393">
        <v>2694</v>
      </c>
      <c r="AA508" s="394">
        <v>2023</v>
      </c>
      <c r="AB508" s="395">
        <v>1000</v>
      </c>
      <c r="AC508" s="395"/>
      <c r="AD508" s="394"/>
      <c r="AE508" s="395"/>
      <c r="AF508" s="317"/>
      <c r="AG508" s="396" t="s">
        <v>2072</v>
      </c>
      <c r="AH508" s="397"/>
      <c r="AI508" s="317">
        <v>694</v>
      </c>
      <c r="AJ508" s="397" t="s">
        <v>889</v>
      </c>
      <c r="AK508" s="326">
        <v>44096</v>
      </c>
      <c r="AL508" s="326">
        <v>44845</v>
      </c>
      <c r="AM508" s="316"/>
      <c r="AN508" s="305"/>
      <c r="AO508" s="327" t="str">
        <f>_xlfn.IFNA(IF(VLOOKUP(tabItens[[#This Row],[CÓDIGO]],tabExcluirDoEstoque[#Data],1,FALSE),"sim",""),"")</f>
        <v/>
      </c>
      <c r="AP508" s="398" t="str">
        <f ca="1">IF(OR(ISBLANK(tabItens[[#This Row],[ATA DT.VALID.]]),tabItens[[#This Row],[ATA DT.VALID.]]="",tabItens[[#This Row],[ATA DT.VALID.]]=" "),"",IF(TYPE(tabItens[[#This Row],[ATA DT.VALID.]])=1,ROUNDUP((tabItens[[#This Row],[ATA DT.VALID.]]-TODAY())/7,0),""))</f>
        <v/>
      </c>
      <c r="AQ508" s="399">
        <v>0</v>
      </c>
      <c r="AR508" s="400" t="str">
        <f>IF(ISBLANK(tabItens[[#This Row],[CÓDIGO]]),"",IFERROR(VLOOKUP(tabItens[[#This Row],[CÓDIGO]],Consumo!$C$2:$AC$862,26,FALSE),0))</f>
        <v>05.2023</v>
      </c>
      <c r="AS508" s="401">
        <f>SUMIF(Consumo!$C$3:$C$862,tabItens[[#This Row],[CÓDIGO]],Consumo!$N$3:$N$862) + SUMIF(Consumo!$C$3:$C$862,tabItens[[#This Row],[CÓDIGO]],Consumo!$O$3:$O$862) + SUMIF(Consumo!$C$3:$C$862,tabItens[[#This Row],[CÓDIGO]],Consumo!$P$3:$P$862) + SUMIF(Consumo!$C$3:$C$862,tabItens[[#This Row],[CÓDIGO]],Consumo!$Q$3:$Q$862)</f>
        <v>0</v>
      </c>
      <c r="AT508" s="401">
        <f>SUMIF(Consumo!$C$3:$C$862,tabItens[[#This Row],[CÓDIGO]],Consumo!$Z$3:$Z$862)</f>
        <v>2089</v>
      </c>
      <c r="AU508" s="402">
        <f>SUMIF(Consumo!$C$3:$C$862,tabItens[[#This Row],[CÓDIGO]],Consumo!$AA$3:$AA$862)</f>
        <v>879</v>
      </c>
      <c r="AV508" s="403">
        <f>SUMIF(Consumo!$C$3:$C$862,tabItens[[#This Row],[CÓDIGO]],Consumo!$Y$3:$Y$862)</f>
        <v>159.58333333333334</v>
      </c>
      <c r="AW508" s="380">
        <f>tabItens[[#This Row],[QTDE ATUAL]] + tabItens[[#This Row],[RC QTDE]] + tabItens[[#This Row],[AF SALDO]] + tabItens[[#This Row],[Recentes]]</f>
        <v>1000</v>
      </c>
      <c r="AX508" s="404">
        <v>99</v>
      </c>
      <c r="AY508" s="404">
        <v>4</v>
      </c>
      <c r="AZ508" s="404">
        <f>IF(ISBLANK(tabItens[[#This Row],[CÓDIGO]]),"",tabItens[[#This Row],[PontoMês]] * (AZ$2+tabItens[[#This Row],[PontoQtM]]))</f>
        <v>396</v>
      </c>
      <c r="BA508" s="403">
        <f>tabItens[[#This Row],[PontoPed]] - tabItens[[#This Row],[Saldo]] + (1/10)</f>
        <v>-603.9</v>
      </c>
      <c r="BB508" s="403">
        <f xml:space="preserve"> tabItens[[#This Row],[PontoMês]] * BB$2 - tabItens[[#This Row],[QTDE ATUAL]] - (1/10)</f>
        <v>98.9</v>
      </c>
      <c r="BC508" s="335">
        <f>IF( tabItens[[#This Row],[PontoPed]]&gt;0, IF(tabItens[[#This Row],[PontoPed]]&lt;1, 1, IF( tabItens[[#This Row],[Saldo]]&gt;tabItens[[#This Row],[PontoPed]], 0, (tabItens[[#This Row],[PontoPed]]-tabItens[[#This Row],[Saldo]])/tabItens[[#This Row],[PontoPed]] ) ), 0 )</f>
        <v>0</v>
      </c>
      <c r="BD508" s="405">
        <f>ROUNDDOWN(IF( OR( AND(tabItens[[#This Row],[PontoPed]]&lt;tabItens[[#This Row],[Saldo]],tabItens[[#This Row],[Saldo]]&gt;0), tabItens[[#This Row],[PontoPed]]=0), 99, IF(AND(tabItens[[#This Row],[Saldo]]=0,tabItens[[#This Row],[PontoPed]]&gt;0), 0, (1-tabItens[[#This Row],[PctAb]])*10 ) ),0)</f>
        <v>99</v>
      </c>
      <c r="BE508" s="406">
        <f>MAX(ROUNDDOWN( IF(tabItens[[#This Row],[Abaixo]] &gt; 0,   tabItens[[#This Row],[Abaixo]] + (tabItens[[#This Row],[PontoMês]] * IF( OR( ISBLANK(tabItens[[#This Row],[ATA Nº/ANO]]), tabItens[[#This Row],[ATA Nº/ANO]] = ""),BE$2,BE$1)),0),0),0)</f>
        <v>0</v>
      </c>
      <c r="BF50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8" s="338">
        <f>SUMIF(Consumo!$C$3:$C$862,tabItens[[#This Row],[CÓDIGO]],Consumo!$E$3:$E$862)</f>
        <v>10</v>
      </c>
      <c r="BH508" s="339">
        <f>IF(AND(tabItens[[#This Row],[Pend]] &gt; 0,tabItens[[#This Row],[Consumo]] &lt;&gt; 0), tabItens[[#This Row],[Pend]] / tabItens[[#This Row],[Consumo]], 0 )</f>
        <v>4.7869794159885112E-3</v>
      </c>
      <c r="BI508" s="338"/>
      <c r="BJ508" s="407"/>
      <c r="BK508" s="408" t="s">
        <v>2086</v>
      </c>
    </row>
    <row r="509" spans="1:63" x14ac:dyDescent="0.3">
      <c r="A509" s="375">
        <v>140053</v>
      </c>
      <c r="B509" s="376" t="s">
        <v>2013</v>
      </c>
      <c r="C509" s="377" t="s">
        <v>272</v>
      </c>
      <c r="D509" s="378">
        <v>17.87</v>
      </c>
      <c r="E509" s="305"/>
      <c r="F509" s="379"/>
      <c r="G509" s="379" t="s">
        <v>889</v>
      </c>
      <c r="H509" s="380">
        <v>0</v>
      </c>
      <c r="I509" s="307">
        <v>103003</v>
      </c>
      <c r="J509" s="308">
        <v>17.87</v>
      </c>
      <c r="K509" s="381">
        <v>827</v>
      </c>
      <c r="L509" s="382">
        <f>IF(tabItens[[#This Row],[Média]] &gt; 0, tabItens[[#This Row],[QTDE ATUAL]] / tabItens[[#This Row],[Média]],999.9)</f>
        <v>0</v>
      </c>
      <c r="M509" s="383">
        <v>0</v>
      </c>
      <c r="N509" s="384">
        <f>tabItens[[#This Row],[VALOR UNIT.]] * tabItens[[#This Row],[LC]]</f>
        <v>0</v>
      </c>
      <c r="O509" s="385" t="s">
        <v>2210</v>
      </c>
      <c r="P509" s="386"/>
      <c r="Q509" s="387"/>
      <c r="R509" s="312"/>
      <c r="S509" s="388"/>
      <c r="T509" s="389">
        <f>ROUNDDOWN(IFERROR(tabItens[[#This Row],[ATA DT.VALID.]] - $D$1,0) / 30,0)</f>
        <v>-1474</v>
      </c>
      <c r="U509" s="302" t="s">
        <v>1676</v>
      </c>
      <c r="V509" s="318">
        <v>1</v>
      </c>
      <c r="W509" s="390" t="s">
        <v>2077</v>
      </c>
      <c r="X509" s="391">
        <v>55</v>
      </c>
      <c r="Y509" s="392">
        <v>19</v>
      </c>
      <c r="Z509" s="393" t="s">
        <v>2080</v>
      </c>
      <c r="AA509" s="394">
        <v>2023</v>
      </c>
      <c r="AB509" s="395">
        <v>1200</v>
      </c>
      <c r="AC509" s="395"/>
      <c r="AD509" s="394"/>
      <c r="AE509" s="395"/>
      <c r="AF509" s="317"/>
      <c r="AG509" s="396" t="s">
        <v>2072</v>
      </c>
      <c r="AH509" s="397"/>
      <c r="AI509" s="317">
        <v>276</v>
      </c>
      <c r="AJ509" s="397">
        <v>45030</v>
      </c>
      <c r="AK509" s="326">
        <v>44096</v>
      </c>
      <c r="AL509" s="326">
        <v>44995</v>
      </c>
      <c r="AM509" s="316"/>
      <c r="AN509" s="305"/>
      <c r="AO509" s="327" t="str">
        <f>_xlfn.IFNA(IF(VLOOKUP(tabItens[[#This Row],[CÓDIGO]],tabExcluirDoEstoque[#Data],1,FALSE),"sim",""),"")</f>
        <v/>
      </c>
      <c r="AP509" s="398" t="str">
        <f ca="1">IF(OR(ISBLANK(tabItens[[#This Row],[ATA DT.VALID.]]),tabItens[[#This Row],[ATA DT.VALID.]]="",tabItens[[#This Row],[ATA DT.VALID.]]=" "),"",IF(TYPE(tabItens[[#This Row],[ATA DT.VALID.]])=1,ROUNDUP((tabItens[[#This Row],[ATA DT.VALID.]]-TODAY())/7,0),""))</f>
        <v/>
      </c>
      <c r="AQ509" s="399">
        <v>0</v>
      </c>
      <c r="AR509" s="400" t="str">
        <f>IF(ISBLANK(tabItens[[#This Row],[CÓDIGO]]),"",IFERROR(VLOOKUP(tabItens[[#This Row],[CÓDIGO]],Consumo!$C$2:$AC$862,26,FALSE),0))</f>
        <v>05.2023</v>
      </c>
      <c r="AS509" s="401">
        <f>SUMIF(Consumo!$C$3:$C$862,tabItens[[#This Row],[CÓDIGO]],Consumo!$N$3:$N$862) + SUMIF(Consumo!$C$3:$C$862,tabItens[[#This Row],[CÓDIGO]],Consumo!$O$3:$O$862) + SUMIF(Consumo!$C$3:$C$862,tabItens[[#This Row],[CÓDIGO]],Consumo!$P$3:$P$862) + SUMIF(Consumo!$C$3:$C$862,tabItens[[#This Row],[CÓDIGO]],Consumo!$Q$3:$Q$862)</f>
        <v>0</v>
      </c>
      <c r="AT509" s="401">
        <f>SUMIF(Consumo!$C$3:$C$862,tabItens[[#This Row],[CÓDIGO]],Consumo!$Z$3:$Z$862)</f>
        <v>891</v>
      </c>
      <c r="AU509" s="402">
        <f>SUMIF(Consumo!$C$3:$C$862,tabItens[[#This Row],[CÓDIGO]],Consumo!$AA$3:$AA$862)</f>
        <v>356</v>
      </c>
      <c r="AV509" s="403">
        <f>SUMIF(Consumo!$C$3:$C$862,tabItens[[#This Row],[CÓDIGO]],Consumo!$Y$3:$Y$862)</f>
        <v>69.583333333333329</v>
      </c>
      <c r="AW509" s="380">
        <f>tabItens[[#This Row],[QTDE ATUAL]] + tabItens[[#This Row],[RC QTDE]] + tabItens[[#This Row],[AF SALDO]] + tabItens[[#This Row],[Recentes]]</f>
        <v>1200</v>
      </c>
      <c r="AX509" s="404">
        <v>2</v>
      </c>
      <c r="AY509" s="404">
        <v>4</v>
      </c>
      <c r="AZ509" s="404">
        <f>IF(ISBLANK(tabItens[[#This Row],[CÓDIGO]]),"",tabItens[[#This Row],[PontoMês]] * (AZ$2+tabItens[[#This Row],[PontoQtM]]))</f>
        <v>8</v>
      </c>
      <c r="BA509" s="403">
        <f>tabItens[[#This Row],[PontoPed]] - tabItens[[#This Row],[Saldo]] + (1/10)</f>
        <v>-1191.9000000000001</v>
      </c>
      <c r="BB509" s="403">
        <f xml:space="preserve"> tabItens[[#This Row],[PontoMês]] * BB$2 - tabItens[[#This Row],[QTDE ATUAL]] - (1/10)</f>
        <v>1.9</v>
      </c>
      <c r="BC509" s="335">
        <f>IF( tabItens[[#This Row],[PontoPed]]&gt;0, IF(tabItens[[#This Row],[PontoPed]]&lt;1, 1, IF( tabItens[[#This Row],[Saldo]]&gt;tabItens[[#This Row],[PontoPed]], 0, (tabItens[[#This Row],[PontoPed]]-tabItens[[#This Row],[Saldo]])/tabItens[[#This Row],[PontoPed]] ) ), 0 )</f>
        <v>0</v>
      </c>
      <c r="BD509" s="405">
        <f>ROUNDDOWN(IF( OR( AND(tabItens[[#This Row],[PontoPed]]&lt;tabItens[[#This Row],[Saldo]],tabItens[[#This Row],[Saldo]]&gt;0), tabItens[[#This Row],[PontoPed]]=0), 99, IF(AND(tabItens[[#This Row],[Saldo]]=0,tabItens[[#This Row],[PontoPed]]&gt;0), 0, (1-tabItens[[#This Row],[PctAb]])*10 ) ),0)</f>
        <v>99</v>
      </c>
      <c r="BE509" s="406">
        <f>MAX(ROUNDDOWN( IF(tabItens[[#This Row],[Abaixo]] &gt; 0,   tabItens[[#This Row],[Abaixo]] + (tabItens[[#This Row],[PontoMês]] * IF( OR( ISBLANK(tabItens[[#This Row],[ATA Nº/ANO]]), tabItens[[#This Row],[ATA Nº/ANO]] = ""),BE$2,BE$1)),0),0),0)</f>
        <v>0</v>
      </c>
      <c r="BF50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9" s="338">
        <f>SUMIF(Consumo!$C$3:$C$862,tabItens[[#This Row],[CÓDIGO]],Consumo!$E$3:$E$862)</f>
        <v>64</v>
      </c>
      <c r="BH509" s="339">
        <f>IF(AND(tabItens[[#This Row],[Pend]] &gt; 0,tabItens[[#This Row],[Consumo]] &lt;&gt; 0), tabItens[[#This Row],[Pend]] / tabItens[[#This Row],[Consumo]], 0 )</f>
        <v>7.1829405162738502E-2</v>
      </c>
      <c r="BI509" s="338"/>
      <c r="BJ509" s="407"/>
      <c r="BK509" s="408" t="s">
        <v>2086</v>
      </c>
    </row>
    <row r="510" spans="1:63" x14ac:dyDescent="0.3">
      <c r="A510" s="375">
        <v>140054</v>
      </c>
      <c r="B510" s="376" t="s">
        <v>2014</v>
      </c>
      <c r="C510" s="377" t="s">
        <v>272</v>
      </c>
      <c r="D510" s="378">
        <v>19.7</v>
      </c>
      <c r="E510" s="305"/>
      <c r="F510" s="379"/>
      <c r="G510" s="379" t="s">
        <v>889</v>
      </c>
      <c r="H510" s="380">
        <v>707</v>
      </c>
      <c r="I510" s="307">
        <v>103003</v>
      </c>
      <c r="J510" s="308">
        <v>19.7</v>
      </c>
      <c r="K510" s="381">
        <v>640</v>
      </c>
      <c r="L510" s="382">
        <f>IF(tabItens[[#This Row],[Média]] &gt; 0, tabItens[[#This Row],[QTDE ATUAL]] / tabItens[[#This Row],[Média]],999.9)</f>
        <v>14.577319587628866</v>
      </c>
      <c r="M510" s="383">
        <v>0</v>
      </c>
      <c r="N510" s="384">
        <f>tabItens[[#This Row],[VALOR UNIT.]] * tabItens[[#This Row],[LC]]</f>
        <v>0</v>
      </c>
      <c r="O510" s="385" t="s">
        <v>2210</v>
      </c>
      <c r="P510" s="386"/>
      <c r="Q510" s="387"/>
      <c r="R510" s="312"/>
      <c r="S510" s="388"/>
      <c r="T510" s="389">
        <f>ROUNDDOWN(IFERROR(tabItens[[#This Row],[ATA DT.VALID.]] - $D$1,0) / 30,0)</f>
        <v>-1474</v>
      </c>
      <c r="U510" s="302" t="s">
        <v>1676</v>
      </c>
      <c r="V510" s="318">
        <v>1</v>
      </c>
      <c r="W510" s="390" t="s">
        <v>2077</v>
      </c>
      <c r="X510" s="391">
        <v>55</v>
      </c>
      <c r="Y510" s="392">
        <v>19</v>
      </c>
      <c r="Z510" s="393"/>
      <c r="AA510" s="394"/>
      <c r="AB510" s="395"/>
      <c r="AC510" s="395"/>
      <c r="AD510" s="394"/>
      <c r="AE510" s="395"/>
      <c r="AF510" s="317"/>
      <c r="AG510" s="396" t="s">
        <v>2072</v>
      </c>
      <c r="AH510" s="397"/>
      <c r="AI510" s="317">
        <v>214</v>
      </c>
      <c r="AJ510" s="397">
        <v>44875</v>
      </c>
      <c r="AK510" s="326">
        <v>44096</v>
      </c>
      <c r="AL510" s="326">
        <v>44845</v>
      </c>
      <c r="AM510" s="316"/>
      <c r="AN510" s="305"/>
      <c r="AO510" s="327" t="str">
        <f>_xlfn.IFNA(IF(VLOOKUP(tabItens[[#This Row],[CÓDIGO]],tabExcluirDoEstoque[#Data],1,FALSE),"sim",""),"")</f>
        <v/>
      </c>
      <c r="AP510" s="398" t="str">
        <f ca="1">IF(OR(ISBLANK(tabItens[[#This Row],[ATA DT.VALID.]]),tabItens[[#This Row],[ATA DT.VALID.]]="",tabItens[[#This Row],[ATA DT.VALID.]]=" "),"",IF(TYPE(tabItens[[#This Row],[ATA DT.VALID.]])=1,ROUNDUP((tabItens[[#This Row],[ATA DT.VALID.]]-TODAY())/7,0),""))</f>
        <v/>
      </c>
      <c r="AQ510" s="399">
        <v>0</v>
      </c>
      <c r="AR510" s="400" t="str">
        <f>IF(ISBLANK(tabItens[[#This Row],[CÓDIGO]]),"",IFERROR(VLOOKUP(tabItens[[#This Row],[CÓDIGO]],Consumo!$C$2:$AC$862,26,FALSE),0))</f>
        <v>09.2023</v>
      </c>
      <c r="AS510" s="401">
        <f>SUMIF(Consumo!$C$3:$C$862,tabItens[[#This Row],[CÓDIGO]],Consumo!$N$3:$N$862) + SUMIF(Consumo!$C$3:$C$862,tabItens[[#This Row],[CÓDIGO]],Consumo!$O$3:$O$862) + SUMIF(Consumo!$C$3:$C$862,tabItens[[#This Row],[CÓDIGO]],Consumo!$P$3:$P$862) + SUMIF(Consumo!$C$3:$C$862,tabItens[[#This Row],[CÓDIGO]],Consumo!$Q$3:$Q$862)</f>
        <v>293</v>
      </c>
      <c r="AT510" s="401">
        <f>SUMIF(Consumo!$C$3:$C$862,tabItens[[#This Row],[CÓDIGO]],Consumo!$Z$3:$Z$862)</f>
        <v>640</v>
      </c>
      <c r="AU510" s="402">
        <f>SUMIF(Consumo!$C$3:$C$862,tabItens[[#This Row],[CÓDIGO]],Consumo!$AA$3:$AA$862)</f>
        <v>307</v>
      </c>
      <c r="AV510" s="403">
        <f>SUMIF(Consumo!$C$3:$C$862,tabItens[[#This Row],[CÓDIGO]],Consumo!$Y$3:$Y$862)</f>
        <v>48.5</v>
      </c>
      <c r="AW510" s="380">
        <f>tabItens[[#This Row],[QTDE ATUAL]] + tabItens[[#This Row],[RC QTDE]] + tabItens[[#This Row],[AF SALDO]] + tabItens[[#This Row],[Recentes]]</f>
        <v>707</v>
      </c>
      <c r="AX510" s="404">
        <v>29</v>
      </c>
      <c r="AY510" s="404">
        <v>4</v>
      </c>
      <c r="AZ510" s="404">
        <f>IF(ISBLANK(tabItens[[#This Row],[CÓDIGO]]),"",tabItens[[#This Row],[PontoMês]] * (AZ$2+tabItens[[#This Row],[PontoQtM]]))</f>
        <v>116</v>
      </c>
      <c r="BA510" s="403">
        <f>tabItens[[#This Row],[PontoPed]] - tabItens[[#This Row],[Saldo]] + (1/10)</f>
        <v>-590.9</v>
      </c>
      <c r="BB510" s="403">
        <f xml:space="preserve"> tabItens[[#This Row],[PontoMês]] * BB$2 - tabItens[[#This Row],[QTDE ATUAL]] - (1/10)</f>
        <v>-678.1</v>
      </c>
      <c r="BC510" s="335">
        <f>IF( tabItens[[#This Row],[PontoPed]]&gt;0, IF(tabItens[[#This Row],[PontoPed]]&lt;1, 1, IF( tabItens[[#This Row],[Saldo]]&gt;tabItens[[#This Row],[PontoPed]], 0, (tabItens[[#This Row],[PontoPed]]-tabItens[[#This Row],[Saldo]])/tabItens[[#This Row],[PontoPed]] ) ), 0 )</f>
        <v>0</v>
      </c>
      <c r="BD510" s="405">
        <f>ROUNDDOWN(IF( OR( AND(tabItens[[#This Row],[PontoPed]]&lt;tabItens[[#This Row],[Saldo]],tabItens[[#This Row],[Saldo]]&gt;0), tabItens[[#This Row],[PontoPed]]=0), 99, IF(AND(tabItens[[#This Row],[Saldo]]=0,tabItens[[#This Row],[PontoPed]]&gt;0), 0, (1-tabItens[[#This Row],[PctAb]])*10 ) ),0)</f>
        <v>99</v>
      </c>
      <c r="BE510" s="406">
        <f>MAX(ROUNDDOWN( IF(tabItens[[#This Row],[Abaixo]] &gt; 0,   tabItens[[#This Row],[Abaixo]] + (tabItens[[#This Row],[PontoMês]] * IF( OR( ISBLANK(tabItens[[#This Row],[ATA Nº/ANO]]), tabItens[[#This Row],[ATA Nº/ANO]] = ""),BE$2,BE$1)),0),0),0)</f>
        <v>0</v>
      </c>
      <c r="BF51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0" s="338">
        <f>SUMIF(Consumo!$C$3:$C$862,tabItens[[#This Row],[CÓDIGO]],Consumo!$E$3:$E$862)</f>
        <v>0</v>
      </c>
      <c r="BH510" s="339">
        <f>IF(AND(tabItens[[#This Row],[Pend]] &gt; 0,tabItens[[#This Row],[Consumo]] &lt;&gt; 0), tabItens[[#This Row],[Pend]] / tabItens[[#This Row],[Consumo]], 0 )</f>
        <v>0</v>
      </c>
      <c r="BI510" s="338"/>
      <c r="BJ510" s="407"/>
      <c r="BK510" s="408" t="s">
        <v>2086</v>
      </c>
    </row>
    <row r="511" spans="1:63" x14ac:dyDescent="0.3">
      <c r="A511" s="375">
        <v>140055</v>
      </c>
      <c r="B511" s="376" t="s">
        <v>2015</v>
      </c>
      <c r="C511" s="377" t="s">
        <v>272</v>
      </c>
      <c r="D511" s="378">
        <v>19.8</v>
      </c>
      <c r="E511" s="305"/>
      <c r="F511" s="379"/>
      <c r="G511" s="379" t="s">
        <v>889</v>
      </c>
      <c r="H511" s="380">
        <v>5710</v>
      </c>
      <c r="I511" s="307">
        <v>103003</v>
      </c>
      <c r="J511" s="308">
        <v>19.8</v>
      </c>
      <c r="K511" s="381">
        <v>336</v>
      </c>
      <c r="L511" s="382">
        <f>IF(tabItens[[#This Row],[Média]] &gt; 0, tabItens[[#This Row],[QTDE ATUAL]] / tabItens[[#This Row],[Média]],999.9)</f>
        <v>215.47169811320754</v>
      </c>
      <c r="M511" s="383">
        <v>0</v>
      </c>
      <c r="N511" s="384">
        <f>tabItens[[#This Row],[VALOR UNIT.]] * tabItens[[#This Row],[LC]]</f>
        <v>0</v>
      </c>
      <c r="O511" s="385" t="s">
        <v>2210</v>
      </c>
      <c r="P511" s="386"/>
      <c r="Q511" s="387"/>
      <c r="R511" s="312"/>
      <c r="S511" s="388"/>
      <c r="T511" s="389">
        <f>ROUNDDOWN(IFERROR(tabItens[[#This Row],[ATA DT.VALID.]] - $D$1,0) / 30,0)</f>
        <v>-1474</v>
      </c>
      <c r="U511" s="302" t="s">
        <v>1676</v>
      </c>
      <c r="V511" s="318">
        <v>1</v>
      </c>
      <c r="W511" s="390" t="s">
        <v>2077</v>
      </c>
      <c r="X511" s="391">
        <v>55</v>
      </c>
      <c r="Y511" s="392">
        <v>19</v>
      </c>
      <c r="Z511" s="393"/>
      <c r="AA511" s="394"/>
      <c r="AB511" s="395"/>
      <c r="AC511" s="395"/>
      <c r="AD511" s="394"/>
      <c r="AE511" s="395"/>
      <c r="AF511" s="317"/>
      <c r="AG511" s="396" t="s">
        <v>2072</v>
      </c>
      <c r="AH511" s="397"/>
      <c r="AI511" s="317">
        <v>112</v>
      </c>
      <c r="AJ511" s="397" t="s">
        <v>889</v>
      </c>
      <c r="AK511" s="326">
        <v>44096</v>
      </c>
      <c r="AL511" s="326">
        <v>44845</v>
      </c>
      <c r="AM511" s="316"/>
      <c r="AN511" s="305"/>
      <c r="AO511" s="327" t="str">
        <f>_xlfn.IFNA(IF(VLOOKUP(tabItens[[#This Row],[CÓDIGO]],tabExcluirDoEstoque[#Data],1,FALSE),"sim",""),"")</f>
        <v/>
      </c>
      <c r="AP511" s="398" t="str">
        <f ca="1">IF(OR(ISBLANK(tabItens[[#This Row],[ATA DT.VALID.]]),tabItens[[#This Row],[ATA DT.VALID.]]="",tabItens[[#This Row],[ATA DT.VALID.]]=" "),"",IF(TYPE(tabItens[[#This Row],[ATA DT.VALID.]])=1,ROUNDUP((tabItens[[#This Row],[ATA DT.VALID.]]-TODAY())/7,0),""))</f>
        <v/>
      </c>
      <c r="AQ511" s="399">
        <v>0</v>
      </c>
      <c r="AR511" s="400" t="str">
        <f>IF(ISBLANK(tabItens[[#This Row],[CÓDIGO]]),"",IFERROR(VLOOKUP(tabItens[[#This Row],[CÓDIGO]],Consumo!$C$2:$AC$862,26,FALSE),0))</f>
        <v>09.2023</v>
      </c>
      <c r="AS511" s="401">
        <f>SUMIF(Consumo!$C$3:$C$862,tabItens[[#This Row],[CÓDIGO]],Consumo!$N$3:$N$862) + SUMIF(Consumo!$C$3:$C$862,tabItens[[#This Row],[CÓDIGO]],Consumo!$O$3:$O$862) + SUMIF(Consumo!$C$3:$C$862,tabItens[[#This Row],[CÓDIGO]],Consumo!$P$3:$P$862) + SUMIF(Consumo!$C$3:$C$862,tabItens[[#This Row],[CÓDIGO]],Consumo!$Q$3:$Q$862)</f>
        <v>170</v>
      </c>
      <c r="AT511" s="401">
        <f>SUMIF(Consumo!$C$3:$C$862,tabItens[[#This Row],[CÓDIGO]],Consumo!$Z$3:$Z$862)</f>
        <v>336</v>
      </c>
      <c r="AU511" s="402">
        <f>SUMIF(Consumo!$C$3:$C$862,tabItens[[#This Row],[CÓDIGO]],Consumo!$AA$3:$AA$862)</f>
        <v>150</v>
      </c>
      <c r="AV511" s="403">
        <f>SUMIF(Consumo!$C$3:$C$862,tabItens[[#This Row],[CÓDIGO]],Consumo!$Y$3:$Y$862)</f>
        <v>26.5</v>
      </c>
      <c r="AW511" s="380">
        <f>tabItens[[#This Row],[QTDE ATUAL]] + tabItens[[#This Row],[RC QTDE]] + tabItens[[#This Row],[AF SALDO]] + tabItens[[#This Row],[Recentes]]</f>
        <v>5710</v>
      </c>
      <c r="AX511" s="404">
        <v>42</v>
      </c>
      <c r="AY511" s="404">
        <v>4</v>
      </c>
      <c r="AZ511" s="404">
        <f>IF(ISBLANK(tabItens[[#This Row],[CÓDIGO]]),"",tabItens[[#This Row],[PontoMês]] * (AZ$2+tabItens[[#This Row],[PontoQtM]]))</f>
        <v>168</v>
      </c>
      <c r="BA511" s="403">
        <f>tabItens[[#This Row],[PontoPed]] - tabItens[[#This Row],[Saldo]] + (1/10)</f>
        <v>-5541.9</v>
      </c>
      <c r="BB511" s="403">
        <f xml:space="preserve"> tabItens[[#This Row],[PontoMês]] * BB$2 - tabItens[[#This Row],[QTDE ATUAL]] - (1/10)</f>
        <v>-5668.1</v>
      </c>
      <c r="BC511" s="335">
        <f>IF( tabItens[[#This Row],[PontoPed]]&gt;0, IF(tabItens[[#This Row],[PontoPed]]&lt;1, 1, IF( tabItens[[#This Row],[Saldo]]&gt;tabItens[[#This Row],[PontoPed]], 0, (tabItens[[#This Row],[PontoPed]]-tabItens[[#This Row],[Saldo]])/tabItens[[#This Row],[PontoPed]] ) ), 0 )</f>
        <v>0</v>
      </c>
      <c r="BD511" s="405">
        <f>ROUNDDOWN(IF( OR( AND(tabItens[[#This Row],[PontoPed]]&lt;tabItens[[#This Row],[Saldo]],tabItens[[#This Row],[Saldo]]&gt;0), tabItens[[#This Row],[PontoPed]]=0), 99, IF(AND(tabItens[[#This Row],[Saldo]]=0,tabItens[[#This Row],[PontoPed]]&gt;0), 0, (1-tabItens[[#This Row],[PctAb]])*10 ) ),0)</f>
        <v>99</v>
      </c>
      <c r="BE511" s="406">
        <f>MAX(ROUNDDOWN( IF(tabItens[[#This Row],[Abaixo]] &gt; 0,   tabItens[[#This Row],[Abaixo]] + (tabItens[[#This Row],[PontoMês]] * IF( OR( ISBLANK(tabItens[[#This Row],[ATA Nº/ANO]]), tabItens[[#This Row],[ATA Nº/ANO]] = ""),BE$2,BE$1)),0),0),0)</f>
        <v>0</v>
      </c>
      <c r="BF51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1" s="338">
        <f>SUMIF(Consumo!$C$3:$C$862,tabItens[[#This Row],[CÓDIGO]],Consumo!$E$3:$E$862)</f>
        <v>0</v>
      </c>
      <c r="BH511" s="339">
        <f>IF(AND(tabItens[[#This Row],[Pend]] &gt; 0,tabItens[[#This Row],[Consumo]] &lt;&gt; 0), tabItens[[#This Row],[Pend]] / tabItens[[#This Row],[Consumo]], 0 )</f>
        <v>0</v>
      </c>
      <c r="BI511" s="338"/>
      <c r="BJ511" s="407"/>
      <c r="BK511" s="408" t="s">
        <v>2086</v>
      </c>
    </row>
    <row r="512" spans="1:63" x14ac:dyDescent="0.3">
      <c r="A512" s="375">
        <v>140056</v>
      </c>
      <c r="B512" s="376" t="s">
        <v>2016</v>
      </c>
      <c r="C512" s="377" t="s">
        <v>272</v>
      </c>
      <c r="D512" s="378">
        <v>19.7</v>
      </c>
      <c r="E512" s="305"/>
      <c r="F512" s="379"/>
      <c r="G512" s="379" t="s">
        <v>889</v>
      </c>
      <c r="H512" s="380">
        <v>1635</v>
      </c>
      <c r="I512" s="307">
        <v>103003</v>
      </c>
      <c r="J512" s="308">
        <v>19.7</v>
      </c>
      <c r="K512" s="381">
        <v>75</v>
      </c>
      <c r="L512" s="382">
        <f>IF(tabItens[[#This Row],[Média]] &gt; 0, tabItens[[#This Row],[QTDE ATUAL]] / tabItens[[#This Row],[Média]],999.9)</f>
        <v>288.52941176470586</v>
      </c>
      <c r="M512" s="383">
        <v>0</v>
      </c>
      <c r="N512" s="384">
        <f>tabItens[[#This Row],[VALOR UNIT.]] * tabItens[[#This Row],[LC]]</f>
        <v>0</v>
      </c>
      <c r="O512" s="385" t="s">
        <v>2210</v>
      </c>
      <c r="P512" s="386"/>
      <c r="Q512" s="387"/>
      <c r="R512" s="312"/>
      <c r="S512" s="388"/>
      <c r="T512" s="389">
        <f>ROUNDDOWN(IFERROR(tabItens[[#This Row],[ATA DT.VALID.]] - $D$1,0) / 30,0)</f>
        <v>-1474</v>
      </c>
      <c r="U512" s="302" t="s">
        <v>1676</v>
      </c>
      <c r="V512" s="318">
        <v>1</v>
      </c>
      <c r="W512" s="390" t="s">
        <v>2077</v>
      </c>
      <c r="X512" s="391">
        <v>55</v>
      </c>
      <c r="Y512" s="392">
        <v>19</v>
      </c>
      <c r="Z512" s="393"/>
      <c r="AA512" s="394"/>
      <c r="AB512" s="395"/>
      <c r="AC512" s="395"/>
      <c r="AD512" s="394"/>
      <c r="AE512" s="395"/>
      <c r="AF512" s="317"/>
      <c r="AG512" s="396" t="s">
        <v>2072</v>
      </c>
      <c r="AH512" s="397"/>
      <c r="AI512" s="317">
        <v>26</v>
      </c>
      <c r="AJ512" s="397">
        <v>44876</v>
      </c>
      <c r="AK512" s="326">
        <v>44096</v>
      </c>
      <c r="AL512" s="326">
        <v>44845</v>
      </c>
      <c r="AM512" s="316"/>
      <c r="AN512" s="305"/>
      <c r="AO512" s="327" t="str">
        <f>_xlfn.IFNA(IF(VLOOKUP(tabItens[[#This Row],[CÓDIGO]],tabExcluirDoEstoque[#Data],1,FALSE),"sim",""),"")</f>
        <v/>
      </c>
      <c r="AP512" s="398" t="str">
        <f ca="1">IF(OR(ISBLANK(tabItens[[#This Row],[ATA DT.VALID.]]),tabItens[[#This Row],[ATA DT.VALID.]]="",tabItens[[#This Row],[ATA DT.VALID.]]=" "),"",IF(TYPE(tabItens[[#This Row],[ATA DT.VALID.]])=1,ROUNDUP((tabItens[[#This Row],[ATA DT.VALID.]]-TODAY())/7,0),""))</f>
        <v/>
      </c>
      <c r="AQ512" s="399">
        <v>0</v>
      </c>
      <c r="AR512" s="400" t="str">
        <f>IF(ISBLANK(tabItens[[#This Row],[CÓDIGO]]),"",IFERROR(VLOOKUP(tabItens[[#This Row],[CÓDIGO]],Consumo!$C$2:$AC$862,26,FALSE),0))</f>
        <v>08.2023</v>
      </c>
      <c r="AS512" s="401">
        <f>SUMIF(Consumo!$C$3:$C$862,tabItens[[#This Row],[CÓDIGO]],Consumo!$N$3:$N$862) + SUMIF(Consumo!$C$3:$C$862,tabItens[[#This Row],[CÓDIGO]],Consumo!$O$3:$O$862) + SUMIF(Consumo!$C$3:$C$862,tabItens[[#This Row],[CÓDIGO]],Consumo!$P$3:$P$862) + SUMIF(Consumo!$C$3:$C$862,tabItens[[#This Row],[CÓDIGO]],Consumo!$Q$3:$Q$862)</f>
        <v>45</v>
      </c>
      <c r="AT512" s="401">
        <f>SUMIF(Consumo!$C$3:$C$862,tabItens[[#This Row],[CÓDIGO]],Consumo!$Z$3:$Z$862)</f>
        <v>75</v>
      </c>
      <c r="AU512" s="402">
        <f>SUMIF(Consumo!$C$3:$C$862,tabItens[[#This Row],[CÓDIGO]],Consumo!$AA$3:$AA$862)</f>
        <v>40</v>
      </c>
      <c r="AV512" s="403">
        <f>SUMIF(Consumo!$C$3:$C$862,tabItens[[#This Row],[CÓDIGO]],Consumo!$Y$3:$Y$862)</f>
        <v>5.666666666666667</v>
      </c>
      <c r="AW512" s="380">
        <f>tabItens[[#This Row],[QTDE ATUAL]] + tabItens[[#This Row],[RC QTDE]] + tabItens[[#This Row],[AF SALDO]] + tabItens[[#This Row],[Recentes]]</f>
        <v>1635</v>
      </c>
      <c r="AX512" s="404">
        <v>22</v>
      </c>
      <c r="AY512" s="404">
        <v>4</v>
      </c>
      <c r="AZ512" s="404">
        <f>IF(ISBLANK(tabItens[[#This Row],[CÓDIGO]]),"",tabItens[[#This Row],[PontoMês]] * (AZ$2+tabItens[[#This Row],[PontoQtM]]))</f>
        <v>88</v>
      </c>
      <c r="BA512" s="403">
        <f>tabItens[[#This Row],[PontoPed]] - tabItens[[#This Row],[Saldo]] + (1/10)</f>
        <v>-1546.9</v>
      </c>
      <c r="BB512" s="403">
        <f xml:space="preserve"> tabItens[[#This Row],[PontoMês]] * BB$2 - tabItens[[#This Row],[QTDE ATUAL]] - (1/10)</f>
        <v>-1613.1</v>
      </c>
      <c r="BC512" s="335">
        <f>IF( tabItens[[#This Row],[PontoPed]]&gt;0, IF(tabItens[[#This Row],[PontoPed]]&lt;1, 1, IF( tabItens[[#This Row],[Saldo]]&gt;tabItens[[#This Row],[PontoPed]], 0, (tabItens[[#This Row],[PontoPed]]-tabItens[[#This Row],[Saldo]])/tabItens[[#This Row],[PontoPed]] ) ), 0 )</f>
        <v>0</v>
      </c>
      <c r="BD512" s="405">
        <f>ROUNDDOWN(IF( OR( AND(tabItens[[#This Row],[PontoPed]]&lt;tabItens[[#This Row],[Saldo]],tabItens[[#This Row],[Saldo]]&gt;0), tabItens[[#This Row],[PontoPed]]=0), 99, IF(AND(tabItens[[#This Row],[Saldo]]=0,tabItens[[#This Row],[PontoPed]]&gt;0), 0, (1-tabItens[[#This Row],[PctAb]])*10 ) ),0)</f>
        <v>99</v>
      </c>
      <c r="BE512" s="406">
        <f>MAX(ROUNDDOWN( IF(tabItens[[#This Row],[Abaixo]] &gt; 0,   tabItens[[#This Row],[Abaixo]] + (tabItens[[#This Row],[PontoMês]] * IF( OR( ISBLANK(tabItens[[#This Row],[ATA Nº/ANO]]), tabItens[[#This Row],[ATA Nº/ANO]] = ""),BE$2,BE$1)),0),0),0)</f>
        <v>0</v>
      </c>
      <c r="BF51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2" s="338">
        <f>SUMIF(Consumo!$C$3:$C$862,tabItens[[#This Row],[CÓDIGO]],Consumo!$E$3:$E$862)</f>
        <v>0</v>
      </c>
      <c r="BH512" s="339">
        <f>IF(AND(tabItens[[#This Row],[Pend]] &gt; 0,tabItens[[#This Row],[Consumo]] &lt;&gt; 0), tabItens[[#This Row],[Pend]] / tabItens[[#This Row],[Consumo]], 0 )</f>
        <v>0</v>
      </c>
      <c r="BI512" s="338"/>
      <c r="BJ512" s="407"/>
      <c r="BK512" s="408" t="s">
        <v>2086</v>
      </c>
    </row>
    <row r="513" spans="1:63" x14ac:dyDescent="0.3">
      <c r="A513" s="375">
        <v>140057</v>
      </c>
      <c r="B513" s="376" t="s">
        <v>2017</v>
      </c>
      <c r="C513" s="377" t="s">
        <v>272</v>
      </c>
      <c r="D513" s="378">
        <v>24.4</v>
      </c>
      <c r="E513" s="305"/>
      <c r="F513" s="379"/>
      <c r="G513" s="379" t="s">
        <v>889</v>
      </c>
      <c r="H513" s="380">
        <v>474</v>
      </c>
      <c r="I513" s="307">
        <v>103003</v>
      </c>
      <c r="J513" s="308">
        <v>24.4</v>
      </c>
      <c r="K513" s="381">
        <v>2260</v>
      </c>
      <c r="L513" s="382">
        <f>IF(tabItens[[#This Row],[Média]] &gt; 0, tabItens[[#This Row],[QTDE ATUAL]] / tabItens[[#This Row],[Média]],999.9)</f>
        <v>2.7372473532242543</v>
      </c>
      <c r="M513" s="383">
        <v>0</v>
      </c>
      <c r="N513" s="384">
        <f>tabItens[[#This Row],[VALOR UNIT.]] * tabItens[[#This Row],[LC]]</f>
        <v>0</v>
      </c>
      <c r="O513" s="385" t="s">
        <v>2210</v>
      </c>
      <c r="P513" s="386"/>
      <c r="Q513" s="387"/>
      <c r="R513" s="312"/>
      <c r="S513" s="388"/>
      <c r="T513" s="389">
        <f>ROUNDDOWN(IFERROR(tabItens[[#This Row],[ATA DT.VALID.]] - $D$1,0) / 30,0)</f>
        <v>-1474</v>
      </c>
      <c r="U513" s="302" t="s">
        <v>1676</v>
      </c>
      <c r="V513" s="318">
        <v>1</v>
      </c>
      <c r="W513" s="390" t="s">
        <v>2077</v>
      </c>
      <c r="X513" s="391">
        <v>55</v>
      </c>
      <c r="Y513" s="392">
        <v>19</v>
      </c>
      <c r="Z513" s="393"/>
      <c r="AA513" s="394"/>
      <c r="AB513" s="395"/>
      <c r="AC513" s="395"/>
      <c r="AD513" s="394"/>
      <c r="AE513" s="395"/>
      <c r="AF513" s="317"/>
      <c r="AG513" s="396" t="s">
        <v>2072</v>
      </c>
      <c r="AH513" s="397"/>
      <c r="AI513" s="317">
        <v>754</v>
      </c>
      <c r="AJ513" s="397">
        <v>44876</v>
      </c>
      <c r="AK513" s="326">
        <v>44096</v>
      </c>
      <c r="AL513" s="326">
        <v>44845</v>
      </c>
      <c r="AM513" s="316"/>
      <c r="AN513" s="305"/>
      <c r="AO513" s="327" t="str">
        <f>_xlfn.IFNA(IF(VLOOKUP(tabItens[[#This Row],[CÓDIGO]],tabExcluirDoEstoque[#Data],1,FALSE),"sim",""),"")</f>
        <v/>
      </c>
      <c r="AP513" s="398" t="str">
        <f ca="1">IF(OR(ISBLANK(tabItens[[#This Row],[ATA DT.VALID.]]),tabItens[[#This Row],[ATA DT.VALID.]]="",tabItens[[#This Row],[ATA DT.VALID.]]=" "),"",IF(TYPE(tabItens[[#This Row],[ATA DT.VALID.]])=1,ROUNDUP((tabItens[[#This Row],[ATA DT.VALID.]]-TODAY())/7,0),""))</f>
        <v/>
      </c>
      <c r="AQ513" s="399">
        <v>0</v>
      </c>
      <c r="AR513" s="400" t="str">
        <f>IF(ISBLANK(tabItens[[#This Row],[CÓDIGO]]),"",IFERROR(VLOOKUP(tabItens[[#This Row],[CÓDIGO]],Consumo!$C$2:$AC$862,26,FALSE),0))</f>
        <v>09.2023</v>
      </c>
      <c r="AS513" s="401">
        <f>SUMIF(Consumo!$C$3:$C$862,tabItens[[#This Row],[CÓDIGO]],Consumo!$N$3:$N$862) + SUMIF(Consumo!$C$3:$C$862,tabItens[[#This Row],[CÓDIGO]],Consumo!$O$3:$O$862) + SUMIF(Consumo!$C$3:$C$862,tabItens[[#This Row],[CÓDIGO]],Consumo!$P$3:$P$862) + SUMIF(Consumo!$C$3:$C$862,tabItens[[#This Row],[CÓDIGO]],Consumo!$Q$3:$Q$862)</f>
        <v>620</v>
      </c>
      <c r="AT513" s="401">
        <f>SUMIF(Consumo!$C$3:$C$862,tabItens[[#This Row],[CÓDIGO]],Consumo!$Z$3:$Z$862)</f>
        <v>2260</v>
      </c>
      <c r="AU513" s="402">
        <f>SUMIF(Consumo!$C$3:$C$862,tabItens[[#This Row],[CÓDIGO]],Consumo!$AA$3:$AA$862)</f>
        <v>1000</v>
      </c>
      <c r="AV513" s="403">
        <f>SUMIF(Consumo!$C$3:$C$862,tabItens[[#This Row],[CÓDIGO]],Consumo!$Y$3:$Y$862)</f>
        <v>173.16666666666666</v>
      </c>
      <c r="AW513" s="380">
        <f>tabItens[[#This Row],[QTDE ATUAL]] + tabItens[[#This Row],[RC QTDE]] + tabItens[[#This Row],[AF SALDO]] + tabItens[[#This Row],[Recentes]]</f>
        <v>474</v>
      </c>
      <c r="AX513" s="404">
        <v>2</v>
      </c>
      <c r="AY513" s="404">
        <v>4</v>
      </c>
      <c r="AZ513" s="404">
        <f>IF(ISBLANK(tabItens[[#This Row],[CÓDIGO]]),"",tabItens[[#This Row],[PontoMês]] * (AZ$2+tabItens[[#This Row],[PontoQtM]]))</f>
        <v>8</v>
      </c>
      <c r="BA513" s="403">
        <f>tabItens[[#This Row],[PontoPed]] - tabItens[[#This Row],[Saldo]] + (1/10)</f>
        <v>-465.9</v>
      </c>
      <c r="BB513" s="403">
        <f xml:space="preserve"> tabItens[[#This Row],[PontoMês]] * BB$2 - tabItens[[#This Row],[QTDE ATUAL]] - (1/10)</f>
        <v>-472.1</v>
      </c>
      <c r="BC513" s="335">
        <f>IF( tabItens[[#This Row],[PontoPed]]&gt;0, IF(tabItens[[#This Row],[PontoPed]]&lt;1, 1, IF( tabItens[[#This Row],[Saldo]]&gt;tabItens[[#This Row],[PontoPed]], 0, (tabItens[[#This Row],[PontoPed]]-tabItens[[#This Row],[Saldo]])/tabItens[[#This Row],[PontoPed]] ) ), 0 )</f>
        <v>0</v>
      </c>
      <c r="BD513" s="405">
        <f>ROUNDDOWN(IF( OR( AND(tabItens[[#This Row],[PontoPed]]&lt;tabItens[[#This Row],[Saldo]],tabItens[[#This Row],[Saldo]]&gt;0), tabItens[[#This Row],[PontoPed]]=0), 99, IF(AND(tabItens[[#This Row],[Saldo]]=0,tabItens[[#This Row],[PontoPed]]&gt;0), 0, (1-tabItens[[#This Row],[PctAb]])*10 ) ),0)</f>
        <v>99</v>
      </c>
      <c r="BE513" s="406">
        <f>MAX(ROUNDDOWN( IF(tabItens[[#This Row],[Abaixo]] &gt; 0,   tabItens[[#This Row],[Abaixo]] + (tabItens[[#This Row],[PontoMês]] * IF( OR( ISBLANK(tabItens[[#This Row],[ATA Nº/ANO]]), tabItens[[#This Row],[ATA Nº/ANO]] = ""),BE$2,BE$1)),0),0),0)</f>
        <v>0</v>
      </c>
      <c r="BF51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3" s="338">
        <f>SUMIF(Consumo!$C$3:$C$862,tabItens[[#This Row],[CÓDIGO]],Consumo!$E$3:$E$862)</f>
        <v>0</v>
      </c>
      <c r="BH513" s="339">
        <f>IF(AND(tabItens[[#This Row],[Pend]] &gt; 0,tabItens[[#This Row],[Consumo]] &lt;&gt; 0), tabItens[[#This Row],[Pend]] / tabItens[[#This Row],[Consumo]], 0 )</f>
        <v>0</v>
      </c>
      <c r="BI513" s="338"/>
      <c r="BJ513" s="407"/>
      <c r="BK513" s="408" t="s">
        <v>2086</v>
      </c>
    </row>
    <row r="514" spans="1:63" x14ac:dyDescent="0.3">
      <c r="A514" s="375">
        <v>140058</v>
      </c>
      <c r="B514" s="376" t="s">
        <v>2018</v>
      </c>
      <c r="C514" s="377" t="s">
        <v>272</v>
      </c>
      <c r="D514" s="378">
        <v>0</v>
      </c>
      <c r="E514" s="305"/>
      <c r="F514" s="379"/>
      <c r="G514" s="379" t="s">
        <v>889</v>
      </c>
      <c r="H514" s="380">
        <v>272</v>
      </c>
      <c r="I514" s="307">
        <v>103003</v>
      </c>
      <c r="J514" s="308">
        <v>0</v>
      </c>
      <c r="K514" s="381">
        <v>78</v>
      </c>
      <c r="L514" s="382">
        <f>IF(tabItens[[#This Row],[Média]] &gt; 0, tabItens[[#This Row],[QTDE ATUAL]] / tabItens[[#This Row],[Média]],999.9)</f>
        <v>62.769230769230774</v>
      </c>
      <c r="M514" s="383">
        <v>0</v>
      </c>
      <c r="N514" s="384">
        <f>tabItens[[#This Row],[VALOR UNIT.]] * tabItens[[#This Row],[LC]]</f>
        <v>0</v>
      </c>
      <c r="O514" s="385" t="s">
        <v>2210</v>
      </c>
      <c r="P514" s="386"/>
      <c r="Q514" s="387"/>
      <c r="R514" s="312"/>
      <c r="S514" s="388"/>
      <c r="T514" s="389">
        <f>ROUNDDOWN(IFERROR(tabItens[[#This Row],[ATA DT.VALID.]] - $D$1,0) / 30,0)</f>
        <v>-1474</v>
      </c>
      <c r="U514" s="302" t="s">
        <v>1676</v>
      </c>
      <c r="V514" s="318">
        <v>1</v>
      </c>
      <c r="W514" s="390" t="s">
        <v>2077</v>
      </c>
      <c r="X514" s="391">
        <v>55</v>
      </c>
      <c r="Y514" s="392">
        <v>19</v>
      </c>
      <c r="Z514" s="393"/>
      <c r="AA514" s="394"/>
      <c r="AB514" s="395"/>
      <c r="AC514" s="395"/>
      <c r="AD514" s="394"/>
      <c r="AE514" s="395"/>
      <c r="AF514" s="317"/>
      <c r="AG514" s="396" t="s">
        <v>2072</v>
      </c>
      <c r="AH514" s="397"/>
      <c r="AI514" s="317">
        <v>26</v>
      </c>
      <c r="AJ514" s="397" t="s">
        <v>889</v>
      </c>
      <c r="AK514" s="326">
        <v>44096</v>
      </c>
      <c r="AL514" s="326" t="s">
        <v>889</v>
      </c>
      <c r="AM514" s="316"/>
      <c r="AN514" s="305"/>
      <c r="AO514" s="327" t="str">
        <f>_xlfn.IFNA(IF(VLOOKUP(tabItens[[#This Row],[CÓDIGO]],tabExcluirDoEstoque[#Data],1,FALSE),"sim",""),"")</f>
        <v/>
      </c>
      <c r="AP514" s="398" t="str">
        <f ca="1">IF(OR(ISBLANK(tabItens[[#This Row],[ATA DT.VALID.]]),tabItens[[#This Row],[ATA DT.VALID.]]="",tabItens[[#This Row],[ATA DT.VALID.]]=" "),"",IF(TYPE(tabItens[[#This Row],[ATA DT.VALID.]])=1,ROUNDUP((tabItens[[#This Row],[ATA DT.VALID.]]-TODAY())/7,0),""))</f>
        <v/>
      </c>
      <c r="AQ514" s="399">
        <v>0</v>
      </c>
      <c r="AR514" s="400" t="str">
        <f>IF(ISBLANK(tabItens[[#This Row],[CÓDIGO]]),"",IFERROR(VLOOKUP(tabItens[[#This Row],[CÓDIGO]],Consumo!$C$2:$AC$862,26,FALSE),0))</f>
        <v>06.2023</v>
      </c>
      <c r="AS514" s="401">
        <f>SUMIF(Consumo!$C$3:$C$862,tabItens[[#This Row],[CÓDIGO]],Consumo!$N$3:$N$862) + SUMIF(Consumo!$C$3:$C$862,tabItens[[#This Row],[CÓDIGO]],Consumo!$O$3:$O$862) + SUMIF(Consumo!$C$3:$C$862,tabItens[[#This Row],[CÓDIGO]],Consumo!$P$3:$P$862) + SUMIF(Consumo!$C$3:$C$862,tabItens[[#This Row],[CÓDIGO]],Consumo!$Q$3:$Q$862)</f>
        <v>3</v>
      </c>
      <c r="AT514" s="401">
        <f>SUMIF(Consumo!$C$3:$C$862,tabItens[[#This Row],[CÓDIGO]],Consumo!$Z$3:$Z$862)</f>
        <v>78</v>
      </c>
      <c r="AU514" s="402">
        <f>SUMIF(Consumo!$C$3:$C$862,tabItens[[#This Row],[CÓDIGO]],Consumo!$AA$3:$AA$862)</f>
        <v>75</v>
      </c>
      <c r="AV514" s="403">
        <f>SUMIF(Consumo!$C$3:$C$862,tabItens[[#This Row],[CÓDIGO]],Consumo!$Y$3:$Y$862)</f>
        <v>4.333333333333333</v>
      </c>
      <c r="AW514" s="380">
        <f>tabItens[[#This Row],[QTDE ATUAL]] + tabItens[[#This Row],[RC QTDE]] + tabItens[[#This Row],[AF SALDO]] + tabItens[[#This Row],[Recentes]]</f>
        <v>272</v>
      </c>
      <c r="AX514" s="404">
        <v>11</v>
      </c>
      <c r="AY514" s="404">
        <v>4</v>
      </c>
      <c r="AZ514" s="404">
        <f>IF(ISBLANK(tabItens[[#This Row],[CÓDIGO]]),"",tabItens[[#This Row],[PontoMês]] * (AZ$2+tabItens[[#This Row],[PontoQtM]]))</f>
        <v>44</v>
      </c>
      <c r="BA514" s="403">
        <f>tabItens[[#This Row],[PontoPed]] - tabItens[[#This Row],[Saldo]] + (1/10)</f>
        <v>-227.9</v>
      </c>
      <c r="BB514" s="403">
        <f xml:space="preserve"> tabItens[[#This Row],[PontoMês]] * BB$2 - tabItens[[#This Row],[QTDE ATUAL]] - (1/10)</f>
        <v>-261.10000000000002</v>
      </c>
      <c r="BC514" s="335">
        <f>IF( tabItens[[#This Row],[PontoPed]]&gt;0, IF(tabItens[[#This Row],[PontoPed]]&lt;1, 1, IF( tabItens[[#This Row],[Saldo]]&gt;tabItens[[#This Row],[PontoPed]], 0, (tabItens[[#This Row],[PontoPed]]-tabItens[[#This Row],[Saldo]])/tabItens[[#This Row],[PontoPed]] ) ), 0 )</f>
        <v>0</v>
      </c>
      <c r="BD514" s="405">
        <f>ROUNDDOWN(IF( OR( AND(tabItens[[#This Row],[PontoPed]]&lt;tabItens[[#This Row],[Saldo]],tabItens[[#This Row],[Saldo]]&gt;0), tabItens[[#This Row],[PontoPed]]=0), 99, IF(AND(tabItens[[#This Row],[Saldo]]=0,tabItens[[#This Row],[PontoPed]]&gt;0), 0, (1-tabItens[[#This Row],[PctAb]])*10 ) ),0)</f>
        <v>99</v>
      </c>
      <c r="BE514" s="406">
        <f>MAX(ROUNDDOWN( IF(tabItens[[#This Row],[Abaixo]] &gt; 0,   tabItens[[#This Row],[Abaixo]] + (tabItens[[#This Row],[PontoMês]] * IF( OR( ISBLANK(tabItens[[#This Row],[ATA Nº/ANO]]), tabItens[[#This Row],[ATA Nº/ANO]] = ""),BE$2,BE$1)),0),0),0)</f>
        <v>0</v>
      </c>
      <c r="BF51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4" s="338">
        <f>SUMIF(Consumo!$C$3:$C$862,tabItens[[#This Row],[CÓDIGO]],Consumo!$E$3:$E$862)</f>
        <v>0</v>
      </c>
      <c r="BH514" s="339">
        <f>IF(AND(tabItens[[#This Row],[Pend]] &gt; 0,tabItens[[#This Row],[Consumo]] &lt;&gt; 0), tabItens[[#This Row],[Pend]] / tabItens[[#This Row],[Consumo]], 0 )</f>
        <v>0</v>
      </c>
      <c r="BI514" s="338"/>
      <c r="BJ514" s="407"/>
      <c r="BK514" s="408" t="s">
        <v>2086</v>
      </c>
    </row>
    <row r="515" spans="1:63" x14ac:dyDescent="0.3">
      <c r="A515" s="375">
        <v>140059</v>
      </c>
      <c r="B515" s="376" t="s">
        <v>2019</v>
      </c>
      <c r="C515" s="377" t="s">
        <v>272</v>
      </c>
      <c r="D515" s="378">
        <v>36.909999999999997</v>
      </c>
      <c r="E515" s="305"/>
      <c r="F515" s="379"/>
      <c r="G515" s="379" t="s">
        <v>889</v>
      </c>
      <c r="H515" s="380">
        <v>499</v>
      </c>
      <c r="I515" s="307">
        <v>103003</v>
      </c>
      <c r="J515" s="308">
        <v>36.909999999999997</v>
      </c>
      <c r="K515" s="381">
        <v>205</v>
      </c>
      <c r="L515" s="382">
        <f>IF(tabItens[[#This Row],[Média]] &gt; 0, tabItens[[#This Row],[QTDE ATUAL]] / tabItens[[#This Row],[Média]],999.9)</f>
        <v>32.367567567567569</v>
      </c>
      <c r="M515" s="383">
        <v>0</v>
      </c>
      <c r="N515" s="384">
        <f>tabItens[[#This Row],[VALOR UNIT.]] * tabItens[[#This Row],[LC]]</f>
        <v>0</v>
      </c>
      <c r="O515" s="385" t="s">
        <v>2210</v>
      </c>
      <c r="P515" s="386"/>
      <c r="Q515" s="387"/>
      <c r="R515" s="312"/>
      <c r="S515" s="388"/>
      <c r="T515" s="389">
        <f>ROUNDDOWN(IFERROR(tabItens[[#This Row],[ATA DT.VALID.]] - $D$1,0) / 30,0)</f>
        <v>-1474</v>
      </c>
      <c r="U515" s="302" t="s">
        <v>1676</v>
      </c>
      <c r="V515" s="318">
        <v>1</v>
      </c>
      <c r="W515" s="390" t="s">
        <v>2077</v>
      </c>
      <c r="X515" s="391">
        <v>55</v>
      </c>
      <c r="Y515" s="392">
        <v>19</v>
      </c>
      <c r="Z515" s="393" t="s">
        <v>2080</v>
      </c>
      <c r="AA515" s="394">
        <v>2023</v>
      </c>
      <c r="AB515" s="395">
        <v>1500</v>
      </c>
      <c r="AC515" s="395"/>
      <c r="AD515" s="394"/>
      <c r="AE515" s="395"/>
      <c r="AF515" s="317"/>
      <c r="AG515" s="396" t="s">
        <v>2072</v>
      </c>
      <c r="AH515" s="397"/>
      <c r="AI515" s="317">
        <v>68</v>
      </c>
      <c r="AJ515" s="397">
        <v>44876</v>
      </c>
      <c r="AK515" s="326">
        <v>44096</v>
      </c>
      <c r="AL515" s="326">
        <v>44845</v>
      </c>
      <c r="AM515" s="316"/>
      <c r="AN515" s="305"/>
      <c r="AO515" s="327" t="str">
        <f>_xlfn.IFNA(IF(VLOOKUP(tabItens[[#This Row],[CÓDIGO]],tabExcluirDoEstoque[#Data],1,FALSE),"sim",""),"")</f>
        <v/>
      </c>
      <c r="AP515" s="398" t="str">
        <f ca="1">IF(OR(ISBLANK(tabItens[[#This Row],[ATA DT.VALID.]]),tabItens[[#This Row],[ATA DT.VALID.]]="",tabItens[[#This Row],[ATA DT.VALID.]]=" "),"",IF(TYPE(tabItens[[#This Row],[ATA DT.VALID.]])=1,ROUNDUP((tabItens[[#This Row],[ATA DT.VALID.]]-TODAY())/7,0),""))</f>
        <v/>
      </c>
      <c r="AQ515" s="399">
        <v>0</v>
      </c>
      <c r="AR515" s="400" t="str">
        <f>IF(ISBLANK(tabItens[[#This Row],[CÓDIGO]]),"",IFERROR(VLOOKUP(tabItens[[#This Row],[CÓDIGO]],Consumo!$C$2:$AC$862,26,FALSE),0))</f>
        <v>09.2023</v>
      </c>
      <c r="AS515" s="401">
        <f>SUMIF(Consumo!$C$3:$C$862,tabItens[[#This Row],[CÓDIGO]],Consumo!$N$3:$N$862) + SUMIF(Consumo!$C$3:$C$862,tabItens[[#This Row],[CÓDIGO]],Consumo!$O$3:$O$862) + SUMIF(Consumo!$C$3:$C$862,tabItens[[#This Row],[CÓDIGO]],Consumo!$P$3:$P$862) + SUMIF(Consumo!$C$3:$C$862,tabItens[[#This Row],[CÓDIGO]],Consumo!$Q$3:$Q$862)</f>
        <v>100</v>
      </c>
      <c r="AT515" s="401">
        <f>SUMIF(Consumo!$C$3:$C$862,tabItens[[#This Row],[CÓDIGO]],Consumo!$Z$3:$Z$862)</f>
        <v>205</v>
      </c>
      <c r="AU515" s="402">
        <f>SUMIF(Consumo!$C$3:$C$862,tabItens[[#This Row],[CÓDIGO]],Consumo!$AA$3:$AA$862)</f>
        <v>105</v>
      </c>
      <c r="AV515" s="403">
        <f>SUMIF(Consumo!$C$3:$C$862,tabItens[[#This Row],[CÓDIGO]],Consumo!$Y$3:$Y$862)</f>
        <v>15.416666666666666</v>
      </c>
      <c r="AW515" s="380">
        <f>tabItens[[#This Row],[QTDE ATUAL]] + tabItens[[#This Row],[RC QTDE]] + tabItens[[#This Row],[AF SALDO]] + tabItens[[#This Row],[Recentes]]</f>
        <v>1999</v>
      </c>
      <c r="AX515" s="404">
        <v>68</v>
      </c>
      <c r="AY515" s="404">
        <v>4</v>
      </c>
      <c r="AZ515" s="404">
        <f>IF(ISBLANK(tabItens[[#This Row],[CÓDIGO]]),"",tabItens[[#This Row],[PontoMês]] * (AZ$2+tabItens[[#This Row],[PontoQtM]]))</f>
        <v>272</v>
      </c>
      <c r="BA515" s="403">
        <f>tabItens[[#This Row],[PontoPed]] - tabItens[[#This Row],[Saldo]] + (1/10)</f>
        <v>-1726.9</v>
      </c>
      <c r="BB515" s="403">
        <f xml:space="preserve"> tabItens[[#This Row],[PontoMês]] * BB$2 - tabItens[[#This Row],[QTDE ATUAL]] - (1/10)</f>
        <v>-431.1</v>
      </c>
      <c r="BC515" s="335">
        <f>IF( tabItens[[#This Row],[PontoPed]]&gt;0, IF(tabItens[[#This Row],[PontoPed]]&lt;1, 1, IF( tabItens[[#This Row],[Saldo]]&gt;tabItens[[#This Row],[PontoPed]], 0, (tabItens[[#This Row],[PontoPed]]-tabItens[[#This Row],[Saldo]])/tabItens[[#This Row],[PontoPed]] ) ), 0 )</f>
        <v>0</v>
      </c>
      <c r="BD515" s="405">
        <f>ROUNDDOWN(IF( OR( AND(tabItens[[#This Row],[PontoPed]]&lt;tabItens[[#This Row],[Saldo]],tabItens[[#This Row],[Saldo]]&gt;0), tabItens[[#This Row],[PontoPed]]=0), 99, IF(AND(tabItens[[#This Row],[Saldo]]=0,tabItens[[#This Row],[PontoPed]]&gt;0), 0, (1-tabItens[[#This Row],[PctAb]])*10 ) ),0)</f>
        <v>99</v>
      </c>
      <c r="BE515" s="406">
        <f>MAX(ROUNDDOWN( IF(tabItens[[#This Row],[Abaixo]] &gt; 0,   tabItens[[#This Row],[Abaixo]] + (tabItens[[#This Row],[PontoMês]] * IF( OR( ISBLANK(tabItens[[#This Row],[ATA Nº/ANO]]), tabItens[[#This Row],[ATA Nº/ANO]] = ""),BE$2,BE$1)),0),0),0)</f>
        <v>0</v>
      </c>
      <c r="BF51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5" s="338">
        <f>SUMIF(Consumo!$C$3:$C$862,tabItens[[#This Row],[CÓDIGO]],Consumo!$E$3:$E$862)</f>
        <v>0</v>
      </c>
      <c r="BH515" s="339">
        <f>IF(AND(tabItens[[#This Row],[Pend]] &gt; 0,tabItens[[#This Row],[Consumo]] &lt;&gt; 0), tabItens[[#This Row],[Pend]] / tabItens[[#This Row],[Consumo]], 0 )</f>
        <v>0</v>
      </c>
      <c r="BI515" s="338"/>
      <c r="BJ515" s="407"/>
      <c r="BK515" s="408" t="s">
        <v>2086</v>
      </c>
    </row>
    <row r="516" spans="1:63" x14ac:dyDescent="0.3">
      <c r="A516" s="375">
        <v>140060</v>
      </c>
      <c r="B516" s="376" t="s">
        <v>2020</v>
      </c>
      <c r="C516" s="377" t="s">
        <v>272</v>
      </c>
      <c r="D516" s="378">
        <v>61.23</v>
      </c>
      <c r="E516" s="305"/>
      <c r="F516" s="379"/>
      <c r="G516" s="379" t="s">
        <v>889</v>
      </c>
      <c r="H516" s="380">
        <v>557</v>
      </c>
      <c r="I516" s="307">
        <v>103003</v>
      </c>
      <c r="J516" s="308">
        <v>61.23</v>
      </c>
      <c r="K516" s="381">
        <v>412</v>
      </c>
      <c r="L516" s="382">
        <f>IF(tabItens[[#This Row],[Média]] &gt; 0, tabItens[[#This Row],[QTDE ATUAL]] / tabItens[[#This Row],[Média]],999.9)</f>
        <v>24.217391304347824</v>
      </c>
      <c r="M516" s="383">
        <v>0</v>
      </c>
      <c r="N516" s="384">
        <f>tabItens[[#This Row],[VALOR UNIT.]] * tabItens[[#This Row],[LC]]</f>
        <v>0</v>
      </c>
      <c r="O516" s="385" t="s">
        <v>2210</v>
      </c>
      <c r="P516" s="386"/>
      <c r="Q516" s="387"/>
      <c r="R516" s="312"/>
      <c r="S516" s="388"/>
      <c r="T516" s="389">
        <f>ROUNDDOWN(IFERROR(tabItens[[#This Row],[ATA DT.VALID.]] - $D$1,0) / 30,0)</f>
        <v>-1474</v>
      </c>
      <c r="U516" s="302" t="s">
        <v>1676</v>
      </c>
      <c r="V516" s="318">
        <v>1</v>
      </c>
      <c r="W516" s="390" t="s">
        <v>2077</v>
      </c>
      <c r="X516" s="391">
        <v>55</v>
      </c>
      <c r="Y516" s="392">
        <v>19</v>
      </c>
      <c r="Z516" s="393"/>
      <c r="AA516" s="394"/>
      <c r="AB516" s="395"/>
      <c r="AC516" s="395"/>
      <c r="AD516" s="394"/>
      <c r="AE516" s="395"/>
      <c r="AF516" s="317"/>
      <c r="AG516" s="396" t="s">
        <v>2072</v>
      </c>
      <c r="AH516" s="397"/>
      <c r="AI516" s="317">
        <v>138</v>
      </c>
      <c r="AJ516" s="397" t="s">
        <v>889</v>
      </c>
      <c r="AK516" s="326">
        <v>44096</v>
      </c>
      <c r="AL516" s="326">
        <v>44923</v>
      </c>
      <c r="AM516" s="316"/>
      <c r="AN516" s="305"/>
      <c r="AO516" s="327" t="str">
        <f>_xlfn.IFNA(IF(VLOOKUP(tabItens[[#This Row],[CÓDIGO]],tabExcluirDoEstoque[#Data],1,FALSE),"sim",""),"")</f>
        <v/>
      </c>
      <c r="AP516" s="398" t="str">
        <f ca="1">IF(OR(ISBLANK(tabItens[[#This Row],[ATA DT.VALID.]]),tabItens[[#This Row],[ATA DT.VALID.]]="",tabItens[[#This Row],[ATA DT.VALID.]]=" "),"",IF(TYPE(tabItens[[#This Row],[ATA DT.VALID.]])=1,ROUNDUP((tabItens[[#This Row],[ATA DT.VALID.]]-TODAY())/7,0),""))</f>
        <v/>
      </c>
      <c r="AQ516" s="399">
        <v>0</v>
      </c>
      <c r="AR516" s="400" t="str">
        <f>IF(ISBLANK(tabItens[[#This Row],[CÓDIGO]]),"",IFERROR(VLOOKUP(tabItens[[#This Row],[CÓDIGO]],Consumo!$C$2:$AC$862,26,FALSE),0))</f>
        <v>06.2023</v>
      </c>
      <c r="AS516" s="401">
        <f>SUMIF(Consumo!$C$3:$C$862,tabItens[[#This Row],[CÓDIGO]],Consumo!$N$3:$N$862) + SUMIF(Consumo!$C$3:$C$862,tabItens[[#This Row],[CÓDIGO]],Consumo!$O$3:$O$862) + SUMIF(Consumo!$C$3:$C$862,tabItens[[#This Row],[CÓDIGO]],Consumo!$P$3:$P$862) + SUMIF(Consumo!$C$3:$C$862,tabItens[[#This Row],[CÓDIGO]],Consumo!$Q$3:$Q$862)</f>
        <v>12</v>
      </c>
      <c r="AT516" s="401">
        <f>SUMIF(Consumo!$C$3:$C$862,tabItens[[#This Row],[CÓDIGO]],Consumo!$Z$3:$Z$862)</f>
        <v>412</v>
      </c>
      <c r="AU516" s="402">
        <f>SUMIF(Consumo!$C$3:$C$862,tabItens[[#This Row],[CÓDIGO]],Consumo!$AA$3:$AA$862)</f>
        <v>400</v>
      </c>
      <c r="AV516" s="403">
        <f>SUMIF(Consumo!$C$3:$C$862,tabItens[[#This Row],[CÓDIGO]],Consumo!$Y$3:$Y$862)</f>
        <v>23</v>
      </c>
      <c r="AW516" s="380">
        <f>tabItens[[#This Row],[QTDE ATUAL]] + tabItens[[#This Row],[RC QTDE]] + tabItens[[#This Row],[AF SALDO]] + tabItens[[#This Row],[Recentes]]</f>
        <v>557</v>
      </c>
      <c r="AX516" s="404">
        <v>2</v>
      </c>
      <c r="AY516" s="404">
        <v>4</v>
      </c>
      <c r="AZ516" s="404">
        <f>IF(ISBLANK(tabItens[[#This Row],[CÓDIGO]]),"",tabItens[[#This Row],[PontoMês]] * (AZ$2+tabItens[[#This Row],[PontoQtM]]))</f>
        <v>8</v>
      </c>
      <c r="BA516" s="403">
        <f>tabItens[[#This Row],[PontoPed]] - tabItens[[#This Row],[Saldo]] + (1/10)</f>
        <v>-548.9</v>
      </c>
      <c r="BB516" s="403">
        <f xml:space="preserve"> tabItens[[#This Row],[PontoMês]] * BB$2 - tabItens[[#This Row],[QTDE ATUAL]] - (1/10)</f>
        <v>-555.1</v>
      </c>
      <c r="BC516" s="335">
        <f>IF( tabItens[[#This Row],[PontoPed]]&gt;0, IF(tabItens[[#This Row],[PontoPed]]&lt;1, 1, IF( tabItens[[#This Row],[Saldo]]&gt;tabItens[[#This Row],[PontoPed]], 0, (tabItens[[#This Row],[PontoPed]]-tabItens[[#This Row],[Saldo]])/tabItens[[#This Row],[PontoPed]] ) ), 0 )</f>
        <v>0</v>
      </c>
      <c r="BD516" s="405">
        <f>ROUNDDOWN(IF( OR( AND(tabItens[[#This Row],[PontoPed]]&lt;tabItens[[#This Row],[Saldo]],tabItens[[#This Row],[Saldo]]&gt;0), tabItens[[#This Row],[PontoPed]]=0), 99, IF(AND(tabItens[[#This Row],[Saldo]]=0,tabItens[[#This Row],[PontoPed]]&gt;0), 0, (1-tabItens[[#This Row],[PctAb]])*10 ) ),0)</f>
        <v>99</v>
      </c>
      <c r="BE516" s="406">
        <f>MAX(ROUNDDOWN( IF(tabItens[[#This Row],[Abaixo]] &gt; 0,   tabItens[[#This Row],[Abaixo]] + (tabItens[[#This Row],[PontoMês]] * IF( OR( ISBLANK(tabItens[[#This Row],[ATA Nº/ANO]]), tabItens[[#This Row],[ATA Nº/ANO]] = ""),BE$2,BE$1)),0),0),0)</f>
        <v>0</v>
      </c>
      <c r="BF51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6" s="338">
        <f>SUMIF(Consumo!$C$3:$C$862,tabItens[[#This Row],[CÓDIGO]],Consumo!$E$3:$E$862)</f>
        <v>0</v>
      </c>
      <c r="BH516" s="339">
        <f>IF(AND(tabItens[[#This Row],[Pend]] &gt; 0,tabItens[[#This Row],[Consumo]] &lt;&gt; 0), tabItens[[#This Row],[Pend]] / tabItens[[#This Row],[Consumo]], 0 )</f>
        <v>0</v>
      </c>
      <c r="BI516" s="338"/>
      <c r="BJ516" s="407"/>
      <c r="BK516" s="408" t="s">
        <v>2086</v>
      </c>
    </row>
    <row r="517" spans="1:63" x14ac:dyDescent="0.3">
      <c r="A517" s="375">
        <v>140061</v>
      </c>
      <c r="B517" s="376" t="s">
        <v>2021</v>
      </c>
      <c r="C517" s="377" t="s">
        <v>272</v>
      </c>
      <c r="D517" s="378">
        <v>81.72</v>
      </c>
      <c r="E517" s="305"/>
      <c r="F517" s="379"/>
      <c r="G517" s="379" t="s">
        <v>889</v>
      </c>
      <c r="H517" s="380">
        <v>171</v>
      </c>
      <c r="I517" s="307">
        <v>103003</v>
      </c>
      <c r="J517" s="308">
        <v>81.72</v>
      </c>
      <c r="K517" s="381">
        <v>275</v>
      </c>
      <c r="L517" s="382">
        <f>IF(tabItens[[#This Row],[Média]] &gt; 0, tabItens[[#This Row],[QTDE ATUAL]] / tabItens[[#This Row],[Média]],999.9)</f>
        <v>8.1106719367588944</v>
      </c>
      <c r="M517" s="383">
        <v>0</v>
      </c>
      <c r="N517" s="384">
        <f>tabItens[[#This Row],[VALOR UNIT.]] * tabItens[[#This Row],[LC]]</f>
        <v>0</v>
      </c>
      <c r="O517" s="385" t="s">
        <v>2210</v>
      </c>
      <c r="P517" s="386"/>
      <c r="Q517" s="387"/>
      <c r="R517" s="312"/>
      <c r="S517" s="388"/>
      <c r="T517" s="389">
        <f>ROUNDDOWN(IFERROR(tabItens[[#This Row],[ATA DT.VALID.]] - $D$1,0) / 30,0)</f>
        <v>-1474</v>
      </c>
      <c r="U517" s="302" t="s">
        <v>1676</v>
      </c>
      <c r="V517" s="318">
        <v>1</v>
      </c>
      <c r="W517" s="390" t="s">
        <v>2077</v>
      </c>
      <c r="X517" s="391">
        <v>55</v>
      </c>
      <c r="Y517" s="392">
        <v>19</v>
      </c>
      <c r="Z517" s="393">
        <v>2696</v>
      </c>
      <c r="AA517" s="394">
        <v>2023</v>
      </c>
      <c r="AB517" s="395">
        <v>100</v>
      </c>
      <c r="AC517" s="395"/>
      <c r="AD517" s="394"/>
      <c r="AE517" s="395"/>
      <c r="AF517" s="317"/>
      <c r="AG517" s="396" t="s">
        <v>2072</v>
      </c>
      <c r="AH517" s="397"/>
      <c r="AI517" s="317">
        <v>92</v>
      </c>
      <c r="AJ517" s="397" t="s">
        <v>889</v>
      </c>
      <c r="AK517" s="326">
        <v>44096</v>
      </c>
      <c r="AL517" s="326">
        <v>44740</v>
      </c>
      <c r="AM517" s="316"/>
      <c r="AN517" s="305"/>
      <c r="AO517" s="327" t="str">
        <f>_xlfn.IFNA(IF(VLOOKUP(tabItens[[#This Row],[CÓDIGO]],tabExcluirDoEstoque[#Data],1,FALSE),"sim",""),"")</f>
        <v/>
      </c>
      <c r="AP517" s="398" t="str">
        <f ca="1">IF(OR(ISBLANK(tabItens[[#This Row],[ATA DT.VALID.]]),tabItens[[#This Row],[ATA DT.VALID.]]="",tabItens[[#This Row],[ATA DT.VALID.]]=" "),"",IF(TYPE(tabItens[[#This Row],[ATA DT.VALID.]])=1,ROUNDUP((tabItens[[#This Row],[ATA DT.VALID.]]-TODAY())/7,0),""))</f>
        <v/>
      </c>
      <c r="AQ517" s="399">
        <v>0</v>
      </c>
      <c r="AR517" s="400" t="str">
        <f>IF(ISBLANK(tabItens[[#This Row],[CÓDIGO]]),"",IFERROR(VLOOKUP(tabItens[[#This Row],[CÓDIGO]],Consumo!$C$2:$AC$862,26,FALSE),0))</f>
        <v>08.2023</v>
      </c>
      <c r="AS517" s="401">
        <f>SUMIF(Consumo!$C$3:$C$862,tabItens[[#This Row],[CÓDIGO]],Consumo!$N$3:$N$862) + SUMIF(Consumo!$C$3:$C$862,tabItens[[#This Row],[CÓDIGO]],Consumo!$O$3:$O$862) + SUMIF(Consumo!$C$3:$C$862,tabItens[[#This Row],[CÓDIGO]],Consumo!$P$3:$P$862) + SUMIF(Consumo!$C$3:$C$862,tabItens[[#This Row],[CÓDIGO]],Consumo!$Q$3:$Q$862)</f>
        <v>125</v>
      </c>
      <c r="AT517" s="401">
        <f>SUMIF(Consumo!$C$3:$C$862,tabItens[[#This Row],[CÓDIGO]],Consumo!$Z$3:$Z$862)</f>
        <v>275</v>
      </c>
      <c r="AU517" s="402">
        <f>SUMIF(Consumo!$C$3:$C$862,tabItens[[#This Row],[CÓDIGO]],Consumo!$AA$3:$AA$862)</f>
        <v>150</v>
      </c>
      <c r="AV517" s="403">
        <f>SUMIF(Consumo!$C$3:$C$862,tabItens[[#This Row],[CÓDIGO]],Consumo!$Y$3:$Y$862)</f>
        <v>21.083333333333332</v>
      </c>
      <c r="AW517" s="380">
        <f>tabItens[[#This Row],[QTDE ATUAL]] + tabItens[[#This Row],[RC QTDE]] + tabItens[[#This Row],[AF SALDO]] + tabItens[[#This Row],[Recentes]]</f>
        <v>271</v>
      </c>
      <c r="AX517" s="404">
        <v>0</v>
      </c>
      <c r="AY517" s="404">
        <v>4</v>
      </c>
      <c r="AZ517" s="404">
        <f>IF(ISBLANK(tabItens[[#This Row],[CÓDIGO]]),"",tabItens[[#This Row],[PontoMês]] * (AZ$2+tabItens[[#This Row],[PontoQtM]]))</f>
        <v>0</v>
      </c>
      <c r="BA517" s="403">
        <f>tabItens[[#This Row],[PontoPed]] - tabItens[[#This Row],[Saldo]] + (1/10)</f>
        <v>-270.89999999999998</v>
      </c>
      <c r="BB517" s="403">
        <f xml:space="preserve"> tabItens[[#This Row],[PontoMês]] * BB$2 - tabItens[[#This Row],[QTDE ATUAL]] - (1/10)</f>
        <v>-171.1</v>
      </c>
      <c r="BC517" s="335">
        <f>IF( tabItens[[#This Row],[PontoPed]]&gt;0, IF(tabItens[[#This Row],[PontoPed]]&lt;1, 1, IF( tabItens[[#This Row],[Saldo]]&gt;tabItens[[#This Row],[PontoPed]], 0, (tabItens[[#This Row],[PontoPed]]-tabItens[[#This Row],[Saldo]])/tabItens[[#This Row],[PontoPed]] ) ), 0 )</f>
        <v>0</v>
      </c>
      <c r="BD517" s="405">
        <f>ROUNDDOWN(IF( OR( AND(tabItens[[#This Row],[PontoPed]]&lt;tabItens[[#This Row],[Saldo]],tabItens[[#This Row],[Saldo]]&gt;0), tabItens[[#This Row],[PontoPed]]=0), 99, IF(AND(tabItens[[#This Row],[Saldo]]=0,tabItens[[#This Row],[PontoPed]]&gt;0), 0, (1-tabItens[[#This Row],[PctAb]])*10 ) ),0)</f>
        <v>99</v>
      </c>
      <c r="BE517" s="406">
        <f>MAX(ROUNDDOWN( IF(tabItens[[#This Row],[Abaixo]] &gt; 0,   tabItens[[#This Row],[Abaixo]] + (tabItens[[#This Row],[PontoMês]] * IF( OR( ISBLANK(tabItens[[#This Row],[ATA Nº/ANO]]), tabItens[[#This Row],[ATA Nº/ANO]] = ""),BE$2,BE$1)),0),0),0)</f>
        <v>0</v>
      </c>
      <c r="BF51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7" s="338">
        <f>SUMIF(Consumo!$C$3:$C$862,tabItens[[#This Row],[CÓDIGO]],Consumo!$E$3:$E$862)</f>
        <v>0</v>
      </c>
      <c r="BH517" s="339">
        <f>IF(AND(tabItens[[#This Row],[Pend]] &gt; 0,tabItens[[#This Row],[Consumo]] &lt;&gt; 0), tabItens[[#This Row],[Pend]] / tabItens[[#This Row],[Consumo]], 0 )</f>
        <v>0</v>
      </c>
      <c r="BI517" s="338"/>
      <c r="BJ517" s="407"/>
      <c r="BK517" s="408" t="s">
        <v>2086</v>
      </c>
    </row>
    <row r="518" spans="1:63" x14ac:dyDescent="0.3">
      <c r="A518" s="375">
        <v>140063</v>
      </c>
      <c r="B518" s="376" t="s">
        <v>2022</v>
      </c>
      <c r="C518" s="377" t="s">
        <v>272</v>
      </c>
      <c r="D518" s="378">
        <v>6.11</v>
      </c>
      <c r="E518" s="305"/>
      <c r="F518" s="379"/>
      <c r="G518" s="379" t="s">
        <v>889</v>
      </c>
      <c r="H518" s="380">
        <v>0</v>
      </c>
      <c r="I518" s="307">
        <v>103003</v>
      </c>
      <c r="J518" s="308">
        <v>6.11</v>
      </c>
      <c r="K518" s="381">
        <v>5416</v>
      </c>
      <c r="L518" s="382">
        <f>IF(tabItens[[#This Row],[Média]] &gt; 0, tabItens[[#This Row],[QTDE ATUAL]] / tabItens[[#This Row],[Média]],999.9)</f>
        <v>0</v>
      </c>
      <c r="M518" s="383">
        <v>0</v>
      </c>
      <c r="N518" s="384">
        <f>tabItens[[#This Row],[VALOR UNIT.]] * tabItens[[#This Row],[LC]]</f>
        <v>0</v>
      </c>
      <c r="O518" s="385" t="s">
        <v>2210</v>
      </c>
      <c r="P518" s="386"/>
      <c r="Q518" s="387"/>
      <c r="R518" s="312"/>
      <c r="S518" s="388"/>
      <c r="T518" s="389">
        <f>ROUNDDOWN(IFERROR(tabItens[[#This Row],[ATA DT.VALID.]] - $D$1,0) / 30,0)</f>
        <v>-1474</v>
      </c>
      <c r="U518" s="302" t="s">
        <v>1676</v>
      </c>
      <c r="V518" s="318">
        <v>1</v>
      </c>
      <c r="W518" s="390" t="s">
        <v>2077</v>
      </c>
      <c r="X518" s="391">
        <v>55</v>
      </c>
      <c r="Y518" s="392">
        <v>19</v>
      </c>
      <c r="Z518" s="393">
        <v>2375</v>
      </c>
      <c r="AA518" s="394">
        <v>2023</v>
      </c>
      <c r="AB518" s="395">
        <v>4000</v>
      </c>
      <c r="AC518" s="395"/>
      <c r="AD518" s="394"/>
      <c r="AE518" s="395"/>
      <c r="AF518" s="317"/>
      <c r="AG518" s="396" t="s">
        <v>2072</v>
      </c>
      <c r="AH518" s="397"/>
      <c r="AI518" s="317">
        <v>2282</v>
      </c>
      <c r="AJ518" s="397">
        <v>44893</v>
      </c>
      <c r="AK518" s="326">
        <v>44096</v>
      </c>
      <c r="AL518" s="326">
        <v>44845</v>
      </c>
      <c r="AM518" s="316"/>
      <c r="AN518" s="305"/>
      <c r="AO518" s="327" t="str">
        <f>_xlfn.IFNA(IF(VLOOKUP(tabItens[[#This Row],[CÓDIGO]],tabExcluirDoEstoque[#Data],1,FALSE),"sim",""),"")</f>
        <v/>
      </c>
      <c r="AP518" s="398" t="str">
        <f ca="1">IF(OR(ISBLANK(tabItens[[#This Row],[ATA DT.VALID.]]),tabItens[[#This Row],[ATA DT.VALID.]]="",tabItens[[#This Row],[ATA DT.VALID.]]=" "),"",IF(TYPE(tabItens[[#This Row],[ATA DT.VALID.]])=1,ROUNDUP((tabItens[[#This Row],[ATA DT.VALID.]]-TODAY())/7,0),""))</f>
        <v/>
      </c>
      <c r="AQ518" s="399">
        <v>0</v>
      </c>
      <c r="AR518" s="400" t="str">
        <f>IF(ISBLANK(tabItens[[#This Row],[CÓDIGO]]),"",IFERROR(VLOOKUP(tabItens[[#This Row],[CÓDIGO]],Consumo!$C$2:$AC$862,26,FALSE),0))</f>
        <v>06.2023</v>
      </c>
      <c r="AS518" s="401">
        <f>SUMIF(Consumo!$C$3:$C$862,tabItens[[#This Row],[CÓDIGO]],Consumo!$N$3:$N$862) + SUMIF(Consumo!$C$3:$C$862,tabItens[[#This Row],[CÓDIGO]],Consumo!$O$3:$O$862) + SUMIF(Consumo!$C$3:$C$862,tabItens[[#This Row],[CÓDIGO]],Consumo!$P$3:$P$862) + SUMIF(Consumo!$C$3:$C$862,tabItens[[#This Row],[CÓDIGO]],Consumo!$Q$3:$Q$862)</f>
        <v>124</v>
      </c>
      <c r="AT518" s="401">
        <f>SUMIF(Consumo!$C$3:$C$862,tabItens[[#This Row],[CÓDIGO]],Consumo!$Z$3:$Z$862)</f>
        <v>7004</v>
      </c>
      <c r="AU518" s="402">
        <f>SUMIF(Consumo!$C$3:$C$862,tabItens[[#This Row],[CÓDIGO]],Consumo!$AA$3:$AA$862)</f>
        <v>1300</v>
      </c>
      <c r="AV518" s="403">
        <f>SUMIF(Consumo!$C$3:$C$862,tabItens[[#This Row],[CÓDIGO]],Consumo!$Y$3:$Y$862)</f>
        <v>583.66666666666663</v>
      </c>
      <c r="AW518" s="380">
        <f>tabItens[[#This Row],[QTDE ATUAL]] + tabItens[[#This Row],[RC QTDE]] + tabItens[[#This Row],[AF SALDO]] + tabItens[[#This Row],[Recentes]]</f>
        <v>4000</v>
      </c>
      <c r="AX518" s="404">
        <v>209</v>
      </c>
      <c r="AY518" s="404">
        <v>4</v>
      </c>
      <c r="AZ518" s="404">
        <f>IF(ISBLANK(tabItens[[#This Row],[CÓDIGO]]),"",tabItens[[#This Row],[PontoMês]] * (AZ$2+tabItens[[#This Row],[PontoQtM]]))</f>
        <v>836</v>
      </c>
      <c r="BA518" s="403">
        <f>tabItens[[#This Row],[PontoPed]] - tabItens[[#This Row],[Saldo]] + (1/10)</f>
        <v>-3163.9</v>
      </c>
      <c r="BB518" s="403">
        <f xml:space="preserve"> tabItens[[#This Row],[PontoMês]] * BB$2 - tabItens[[#This Row],[QTDE ATUAL]] - (1/10)</f>
        <v>208.9</v>
      </c>
      <c r="BC518" s="335">
        <f>IF( tabItens[[#This Row],[PontoPed]]&gt;0, IF(tabItens[[#This Row],[PontoPed]]&lt;1, 1, IF( tabItens[[#This Row],[Saldo]]&gt;tabItens[[#This Row],[PontoPed]], 0, (tabItens[[#This Row],[PontoPed]]-tabItens[[#This Row],[Saldo]])/tabItens[[#This Row],[PontoPed]] ) ), 0 )</f>
        <v>0</v>
      </c>
      <c r="BD518" s="405">
        <f>ROUNDDOWN(IF( OR( AND(tabItens[[#This Row],[PontoPed]]&lt;tabItens[[#This Row],[Saldo]],tabItens[[#This Row],[Saldo]]&gt;0), tabItens[[#This Row],[PontoPed]]=0), 99, IF(AND(tabItens[[#This Row],[Saldo]]=0,tabItens[[#This Row],[PontoPed]]&gt;0), 0, (1-tabItens[[#This Row],[PctAb]])*10 ) ),0)</f>
        <v>99</v>
      </c>
      <c r="BE518" s="406">
        <f>MAX(ROUNDDOWN( IF(tabItens[[#This Row],[Abaixo]] &gt; 0,   tabItens[[#This Row],[Abaixo]] + (tabItens[[#This Row],[PontoMês]] * IF( OR( ISBLANK(tabItens[[#This Row],[ATA Nº/ANO]]), tabItens[[#This Row],[ATA Nº/ANO]] = ""),BE$2,BE$1)),0),0),0)</f>
        <v>0</v>
      </c>
      <c r="BF51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8" s="338">
        <f>SUMIF(Consumo!$C$3:$C$862,tabItens[[#This Row],[CÓDIGO]],Consumo!$E$3:$E$862)</f>
        <v>579</v>
      </c>
      <c r="BH518" s="339">
        <f>IF(AND(tabItens[[#This Row],[Pend]] &gt; 0,tabItens[[#This Row],[Consumo]] &lt;&gt; 0), tabItens[[#This Row],[Pend]] / tabItens[[#This Row],[Consumo]], 0 )</f>
        <v>8.2667047401484867E-2</v>
      </c>
      <c r="BI518" s="338"/>
      <c r="BJ518" s="407"/>
      <c r="BK518" s="408" t="s">
        <v>2086</v>
      </c>
    </row>
    <row r="519" spans="1:63" x14ac:dyDescent="0.3">
      <c r="A519" s="375">
        <v>140241</v>
      </c>
      <c r="B519" s="376" t="s">
        <v>2025</v>
      </c>
      <c r="C519" s="377" t="s">
        <v>272</v>
      </c>
      <c r="D519" s="378">
        <v>3.32</v>
      </c>
      <c r="E519" s="305"/>
      <c r="F519" s="379"/>
      <c r="G519" s="379" t="s">
        <v>889</v>
      </c>
      <c r="H519" s="380">
        <v>0</v>
      </c>
      <c r="I519" s="307">
        <v>103003</v>
      </c>
      <c r="J519" s="308">
        <v>3.32</v>
      </c>
      <c r="K519" s="381">
        <v>1458</v>
      </c>
      <c r="L519" s="382">
        <f>IF(tabItens[[#This Row],[Média]] &gt; 0, tabItens[[#This Row],[QTDE ATUAL]] / tabItens[[#This Row],[Média]],999.9)</f>
        <v>0</v>
      </c>
      <c r="M519" s="383">
        <v>0</v>
      </c>
      <c r="N519" s="384">
        <f>tabItens[[#This Row],[VALOR UNIT.]] * tabItens[[#This Row],[LC]]</f>
        <v>0</v>
      </c>
      <c r="O519" s="385" t="s">
        <v>2210</v>
      </c>
      <c r="P519" s="386"/>
      <c r="Q519" s="387"/>
      <c r="R519" s="312"/>
      <c r="S519" s="388"/>
      <c r="T519" s="389">
        <f>ROUNDDOWN(IFERROR(tabItens[[#This Row],[ATA DT.VALID.]] - $D$1,0) / 30,0)</f>
        <v>-1474</v>
      </c>
      <c r="U519" s="302" t="s">
        <v>1676</v>
      </c>
      <c r="V519" s="318">
        <v>1</v>
      </c>
      <c r="W519" s="390" t="s">
        <v>2077</v>
      </c>
      <c r="X519" s="391">
        <v>55</v>
      </c>
      <c r="Y519" s="392">
        <v>19</v>
      </c>
      <c r="Z519" s="393">
        <v>10083</v>
      </c>
      <c r="AA519" s="394">
        <v>2023</v>
      </c>
      <c r="AB519" s="395">
        <v>500</v>
      </c>
      <c r="AC519" s="395"/>
      <c r="AD519" s="394"/>
      <c r="AE519" s="395"/>
      <c r="AF519" s="317"/>
      <c r="AG519" s="396" t="s">
        <v>2072</v>
      </c>
      <c r="AH519" s="397"/>
      <c r="AI519" s="317">
        <v>520</v>
      </c>
      <c r="AJ519" s="397" t="s">
        <v>889</v>
      </c>
      <c r="AK519" s="326">
        <v>44132</v>
      </c>
      <c r="AL519" s="326">
        <v>44623</v>
      </c>
      <c r="AM519" s="316"/>
      <c r="AN519" s="305"/>
      <c r="AO519" s="327" t="str">
        <f>_xlfn.IFNA(IF(VLOOKUP(tabItens[[#This Row],[CÓDIGO]],tabExcluirDoEstoque[#Data],1,FALSE),"sim",""),"")</f>
        <v/>
      </c>
      <c r="AP519" s="398" t="str">
        <f ca="1">IF(OR(ISBLANK(tabItens[[#This Row],[ATA DT.VALID.]]),tabItens[[#This Row],[ATA DT.VALID.]]="",tabItens[[#This Row],[ATA DT.VALID.]]=" "),"",IF(TYPE(tabItens[[#This Row],[ATA DT.VALID.]])=1,ROUNDUP((tabItens[[#This Row],[ATA DT.VALID.]]-TODAY())/7,0),""))</f>
        <v/>
      </c>
      <c r="AQ519" s="399">
        <v>0</v>
      </c>
      <c r="AR519" s="400" t="str">
        <f>IF(ISBLANK(tabItens[[#This Row],[CÓDIGO]]),"",IFERROR(VLOOKUP(tabItens[[#This Row],[CÓDIGO]],Consumo!$C$2:$AC$862,26,FALSE),0))</f>
        <v>08.2023</v>
      </c>
      <c r="AS519" s="401">
        <f>SUMIF(Consumo!$C$3:$C$862,tabItens[[#This Row],[CÓDIGO]],Consumo!$N$3:$N$862) + SUMIF(Consumo!$C$3:$C$862,tabItens[[#This Row],[CÓDIGO]],Consumo!$O$3:$O$862) + SUMIF(Consumo!$C$3:$C$862,tabItens[[#This Row],[CÓDIGO]],Consumo!$P$3:$P$862) + SUMIF(Consumo!$C$3:$C$862,tabItens[[#This Row],[CÓDIGO]],Consumo!$Q$3:$Q$862)</f>
        <v>526</v>
      </c>
      <c r="AT519" s="401">
        <f>SUMIF(Consumo!$C$3:$C$862,tabItens[[#This Row],[CÓDIGO]],Consumo!$Z$3:$Z$862)</f>
        <v>1752</v>
      </c>
      <c r="AU519" s="402">
        <f>SUMIF(Consumo!$C$3:$C$862,tabItens[[#This Row],[CÓDIGO]],Consumo!$AA$3:$AA$862)</f>
        <v>420</v>
      </c>
      <c r="AV519" s="403">
        <f>SUMIF(Consumo!$C$3:$C$862,tabItens[[#This Row],[CÓDIGO]],Consumo!$Y$3:$Y$862)</f>
        <v>146</v>
      </c>
      <c r="AW519" s="380">
        <f>tabItens[[#This Row],[QTDE ATUAL]] + tabItens[[#This Row],[RC QTDE]] + tabItens[[#This Row],[AF SALDO]] + tabItens[[#This Row],[Recentes]]</f>
        <v>500</v>
      </c>
      <c r="AX519" s="404">
        <v>78</v>
      </c>
      <c r="AY519" s="404">
        <v>4</v>
      </c>
      <c r="AZ519" s="404">
        <f>IF(ISBLANK(tabItens[[#This Row],[CÓDIGO]]),"",tabItens[[#This Row],[PontoMês]] * (AZ$2+tabItens[[#This Row],[PontoQtM]]))</f>
        <v>312</v>
      </c>
      <c r="BA519" s="403">
        <f>tabItens[[#This Row],[PontoPed]] - tabItens[[#This Row],[Saldo]] + (1/10)</f>
        <v>-187.9</v>
      </c>
      <c r="BB519" s="403">
        <f xml:space="preserve"> tabItens[[#This Row],[PontoMês]] * BB$2 - tabItens[[#This Row],[QTDE ATUAL]] - (1/10)</f>
        <v>77.900000000000006</v>
      </c>
      <c r="BC519" s="335">
        <f>IF( tabItens[[#This Row],[PontoPed]]&gt;0, IF(tabItens[[#This Row],[PontoPed]]&lt;1, 1, IF( tabItens[[#This Row],[Saldo]]&gt;tabItens[[#This Row],[PontoPed]], 0, (tabItens[[#This Row],[PontoPed]]-tabItens[[#This Row],[Saldo]])/tabItens[[#This Row],[PontoPed]] ) ), 0 )</f>
        <v>0</v>
      </c>
      <c r="BD519" s="405">
        <f>ROUNDDOWN(IF( OR( AND(tabItens[[#This Row],[PontoPed]]&lt;tabItens[[#This Row],[Saldo]],tabItens[[#This Row],[Saldo]]&gt;0), tabItens[[#This Row],[PontoPed]]=0), 99, IF(AND(tabItens[[#This Row],[Saldo]]=0,tabItens[[#This Row],[PontoPed]]&gt;0), 0, (1-tabItens[[#This Row],[PctAb]])*10 ) ),0)</f>
        <v>99</v>
      </c>
      <c r="BE519" s="406">
        <f>MAX(ROUNDDOWN( IF(tabItens[[#This Row],[Abaixo]] &gt; 0,   tabItens[[#This Row],[Abaixo]] + (tabItens[[#This Row],[PontoMês]] * IF( OR( ISBLANK(tabItens[[#This Row],[ATA Nº/ANO]]), tabItens[[#This Row],[ATA Nº/ANO]] = ""),BE$2,BE$1)),0),0),0)</f>
        <v>0</v>
      </c>
      <c r="BF51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9" s="338">
        <f>SUMIF(Consumo!$C$3:$C$862,tabItens[[#This Row],[CÓDIGO]],Consumo!$E$3:$E$862)</f>
        <v>194</v>
      </c>
      <c r="BH519" s="339">
        <f>IF(AND(tabItens[[#This Row],[Pend]] &gt; 0,tabItens[[#This Row],[Consumo]] &lt;&gt; 0), tabItens[[#This Row],[Pend]] / tabItens[[#This Row],[Consumo]], 0 )</f>
        <v>0.11073059360730593</v>
      </c>
      <c r="BI519" s="338"/>
      <c r="BJ519" s="407"/>
      <c r="BK519" s="408" t="s">
        <v>2086</v>
      </c>
    </row>
    <row r="520" spans="1:63" x14ac:dyDescent="0.3">
      <c r="A520" s="375">
        <v>140242</v>
      </c>
      <c r="B520" s="376" t="s">
        <v>2026</v>
      </c>
      <c r="C520" s="377" t="s">
        <v>272</v>
      </c>
      <c r="D520" s="378">
        <v>15.5</v>
      </c>
      <c r="E520" s="305"/>
      <c r="F520" s="379"/>
      <c r="G520" s="379" t="s">
        <v>889</v>
      </c>
      <c r="H520" s="380">
        <v>933</v>
      </c>
      <c r="I520" s="307">
        <v>103003</v>
      </c>
      <c r="J520" s="308">
        <v>15.5</v>
      </c>
      <c r="K520" s="381">
        <v>985</v>
      </c>
      <c r="L520" s="382">
        <f>IF(tabItens[[#This Row],[Média]] &gt; 0, tabItens[[#This Row],[QTDE ATUAL]] / tabItens[[#This Row],[Média]],999.9)</f>
        <v>12.810068649885585</v>
      </c>
      <c r="M520" s="383">
        <v>0</v>
      </c>
      <c r="N520" s="384">
        <f>tabItens[[#This Row],[VALOR UNIT.]] * tabItens[[#This Row],[LC]]</f>
        <v>0</v>
      </c>
      <c r="O520" s="385" t="s">
        <v>2210</v>
      </c>
      <c r="P520" s="386"/>
      <c r="Q520" s="387"/>
      <c r="R520" s="312"/>
      <c r="S520" s="388"/>
      <c r="T520" s="389">
        <f>ROUNDDOWN(IFERROR(tabItens[[#This Row],[ATA DT.VALID.]] - $D$1,0) / 30,0)</f>
        <v>-1474</v>
      </c>
      <c r="U520" s="302" t="s">
        <v>1676</v>
      </c>
      <c r="V520" s="318">
        <v>1</v>
      </c>
      <c r="W520" s="390" t="s">
        <v>2077</v>
      </c>
      <c r="X520" s="391">
        <v>55</v>
      </c>
      <c r="Y520" s="392">
        <v>19</v>
      </c>
      <c r="Z520" s="393"/>
      <c r="AA520" s="394"/>
      <c r="AB520" s="395"/>
      <c r="AC520" s="395"/>
      <c r="AD520" s="394"/>
      <c r="AE520" s="395"/>
      <c r="AF520" s="317"/>
      <c r="AG520" s="396" t="s">
        <v>2072</v>
      </c>
      <c r="AH520" s="397"/>
      <c r="AI520" s="317">
        <v>328</v>
      </c>
      <c r="AJ520" s="397">
        <v>44876</v>
      </c>
      <c r="AK520" s="326">
        <v>44132</v>
      </c>
      <c r="AL520" s="326">
        <v>44845</v>
      </c>
      <c r="AM520" s="316"/>
      <c r="AN520" s="305"/>
      <c r="AO520" s="327" t="str">
        <f>_xlfn.IFNA(IF(VLOOKUP(tabItens[[#This Row],[CÓDIGO]],tabExcluirDoEstoque[#Data],1,FALSE),"sim",""),"")</f>
        <v/>
      </c>
      <c r="AP520" s="398" t="str">
        <f ca="1">IF(OR(ISBLANK(tabItens[[#This Row],[ATA DT.VALID.]]),tabItens[[#This Row],[ATA DT.VALID.]]="",tabItens[[#This Row],[ATA DT.VALID.]]=" "),"",IF(TYPE(tabItens[[#This Row],[ATA DT.VALID.]])=1,ROUNDUP((tabItens[[#This Row],[ATA DT.VALID.]]-TODAY())/7,0),""))</f>
        <v/>
      </c>
      <c r="AQ520" s="399">
        <v>0</v>
      </c>
      <c r="AR520" s="400" t="str">
        <f>IF(ISBLANK(tabItens[[#This Row],[CÓDIGO]]),"",IFERROR(VLOOKUP(tabItens[[#This Row],[CÓDIGO]],Consumo!$C$2:$AC$862,26,FALSE),0))</f>
        <v>05.2023</v>
      </c>
      <c r="AS520" s="401">
        <f>SUMIF(Consumo!$C$3:$C$862,tabItens[[#This Row],[CÓDIGO]],Consumo!$N$3:$N$862) + SUMIF(Consumo!$C$3:$C$862,tabItens[[#This Row],[CÓDIGO]],Consumo!$O$3:$O$862) + SUMIF(Consumo!$C$3:$C$862,tabItens[[#This Row],[CÓDIGO]],Consumo!$P$3:$P$862) + SUMIF(Consumo!$C$3:$C$862,tabItens[[#This Row],[CÓDIGO]],Consumo!$Q$3:$Q$862)</f>
        <v>0</v>
      </c>
      <c r="AT520" s="401">
        <f>SUMIF(Consumo!$C$3:$C$862,tabItens[[#This Row],[CÓDIGO]],Consumo!$Z$3:$Z$862)</f>
        <v>985</v>
      </c>
      <c r="AU520" s="402">
        <f>SUMIF(Consumo!$C$3:$C$862,tabItens[[#This Row],[CÓDIGO]],Consumo!$AA$3:$AA$862)</f>
        <v>500</v>
      </c>
      <c r="AV520" s="403">
        <f>SUMIF(Consumo!$C$3:$C$862,tabItens[[#This Row],[CÓDIGO]],Consumo!$Y$3:$Y$862)</f>
        <v>72.833333333333329</v>
      </c>
      <c r="AW520" s="380">
        <f>tabItens[[#This Row],[QTDE ATUAL]] + tabItens[[#This Row],[RC QTDE]] + tabItens[[#This Row],[AF SALDO]] + tabItens[[#This Row],[Recentes]]</f>
        <v>933</v>
      </c>
      <c r="AX520" s="404">
        <v>0</v>
      </c>
      <c r="AY520" s="404">
        <v>4</v>
      </c>
      <c r="AZ520" s="404">
        <f>IF(ISBLANK(tabItens[[#This Row],[CÓDIGO]]),"",tabItens[[#This Row],[PontoMês]] * (AZ$2+tabItens[[#This Row],[PontoQtM]]))</f>
        <v>0</v>
      </c>
      <c r="BA520" s="403">
        <f>tabItens[[#This Row],[PontoPed]] - tabItens[[#This Row],[Saldo]] + (1/10)</f>
        <v>-932.9</v>
      </c>
      <c r="BB520" s="403">
        <f xml:space="preserve"> tabItens[[#This Row],[PontoMês]] * BB$2 - tabItens[[#This Row],[QTDE ATUAL]] - (1/10)</f>
        <v>-933.1</v>
      </c>
      <c r="BC520" s="335">
        <f>IF( tabItens[[#This Row],[PontoPed]]&gt;0, IF(tabItens[[#This Row],[PontoPed]]&lt;1, 1, IF( tabItens[[#This Row],[Saldo]]&gt;tabItens[[#This Row],[PontoPed]], 0, (tabItens[[#This Row],[PontoPed]]-tabItens[[#This Row],[Saldo]])/tabItens[[#This Row],[PontoPed]] ) ), 0 )</f>
        <v>0</v>
      </c>
      <c r="BD520" s="405">
        <f>ROUNDDOWN(IF( OR( AND(tabItens[[#This Row],[PontoPed]]&lt;tabItens[[#This Row],[Saldo]],tabItens[[#This Row],[Saldo]]&gt;0), tabItens[[#This Row],[PontoPed]]=0), 99, IF(AND(tabItens[[#This Row],[Saldo]]=0,tabItens[[#This Row],[PontoPed]]&gt;0), 0, (1-tabItens[[#This Row],[PctAb]])*10 ) ),0)</f>
        <v>99</v>
      </c>
      <c r="BE520" s="406">
        <f>MAX(ROUNDDOWN( IF(tabItens[[#This Row],[Abaixo]] &gt; 0,   tabItens[[#This Row],[Abaixo]] + (tabItens[[#This Row],[PontoMês]] * IF( OR( ISBLANK(tabItens[[#This Row],[ATA Nº/ANO]]), tabItens[[#This Row],[ATA Nº/ANO]] = ""),BE$2,BE$1)),0),0),0)</f>
        <v>0</v>
      </c>
      <c r="BF52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0" s="338">
        <f>SUMIF(Consumo!$C$3:$C$862,tabItens[[#This Row],[CÓDIGO]],Consumo!$E$3:$E$862)</f>
        <v>0</v>
      </c>
      <c r="BH520" s="339">
        <f>IF(AND(tabItens[[#This Row],[Pend]] &gt; 0,tabItens[[#This Row],[Consumo]] &lt;&gt; 0), tabItens[[#This Row],[Pend]] / tabItens[[#This Row],[Consumo]], 0 )</f>
        <v>0</v>
      </c>
      <c r="BI520" s="338"/>
      <c r="BJ520" s="407"/>
      <c r="BK520" s="408" t="s">
        <v>2086</v>
      </c>
    </row>
    <row r="521" spans="1:63" x14ac:dyDescent="0.3">
      <c r="A521" s="375">
        <v>77819</v>
      </c>
      <c r="B521" s="376" t="s">
        <v>1437</v>
      </c>
      <c r="C521" s="377" t="s">
        <v>393</v>
      </c>
      <c r="D521" s="378">
        <v>27.65</v>
      </c>
      <c r="E521" s="305"/>
      <c r="F521" s="379"/>
      <c r="G521" s="379" t="s">
        <v>889</v>
      </c>
      <c r="H521" s="380">
        <v>3044</v>
      </c>
      <c r="I521" s="307">
        <v>103003</v>
      </c>
      <c r="J521" s="308">
        <v>27.65</v>
      </c>
      <c r="K521" s="381">
        <v>1696</v>
      </c>
      <c r="L521" s="382">
        <f>IF(tabItens[[#This Row],[Média]] &gt; 0, tabItens[[#This Row],[QTDE ATUAL]] / tabItens[[#This Row],[Média]],999.9)</f>
        <v>12.957786449095424</v>
      </c>
      <c r="M521" s="383">
        <v>0</v>
      </c>
      <c r="N521" s="384">
        <f>tabItens[[#This Row],[VALOR UNIT.]] * tabItens[[#This Row],[LC]]</f>
        <v>0</v>
      </c>
      <c r="O521" s="385" t="s">
        <v>2160</v>
      </c>
      <c r="P521" s="386"/>
      <c r="Q521" s="387"/>
      <c r="R521" s="312"/>
      <c r="S521" s="388"/>
      <c r="T521" s="389">
        <f>ROUNDDOWN(IFERROR(tabItens[[#This Row],[ATA DT.VALID.]] - $D$1,0) / 30,0)</f>
        <v>-1474</v>
      </c>
      <c r="U521" s="302" t="s">
        <v>1438</v>
      </c>
      <c r="V521" s="318">
        <v>1</v>
      </c>
      <c r="W521" s="390" t="s">
        <v>2073</v>
      </c>
      <c r="X521" s="391">
        <v>52</v>
      </c>
      <c r="Y521" s="392">
        <v>15</v>
      </c>
      <c r="Z521" s="393">
        <v>2998</v>
      </c>
      <c r="AA521" s="394">
        <v>2023</v>
      </c>
      <c r="AB521" s="395">
        <v>500</v>
      </c>
      <c r="AC521" s="395"/>
      <c r="AD521" s="394"/>
      <c r="AE521" s="395"/>
      <c r="AF521" s="317"/>
      <c r="AG521" s="396" t="s">
        <v>2072</v>
      </c>
      <c r="AH521" s="397"/>
      <c r="AI521" s="317">
        <v>1266</v>
      </c>
      <c r="AJ521" s="397">
        <v>44942</v>
      </c>
      <c r="AK521" s="326">
        <v>38065</v>
      </c>
      <c r="AL521" s="326">
        <v>44895</v>
      </c>
      <c r="AM521" s="316"/>
      <c r="AN521" s="305"/>
      <c r="AO521" s="327" t="str">
        <f>_xlfn.IFNA(IF(VLOOKUP(tabItens[[#This Row],[CÓDIGO]],tabExcluirDoEstoque[#Data],1,FALSE),"sim",""),"")</f>
        <v/>
      </c>
      <c r="AP521" s="398" t="str">
        <f ca="1">IF(OR(ISBLANK(tabItens[[#This Row],[ATA DT.VALID.]]),tabItens[[#This Row],[ATA DT.VALID.]]="",tabItens[[#This Row],[ATA DT.VALID.]]=" "),"",IF(TYPE(tabItens[[#This Row],[ATA DT.VALID.]])=1,ROUNDUP((tabItens[[#This Row],[ATA DT.VALID.]]-TODAY())/7,0),""))</f>
        <v/>
      </c>
      <c r="AQ521" s="399">
        <v>0</v>
      </c>
      <c r="AR521" s="400" t="str">
        <f>IF(ISBLANK(tabItens[[#This Row],[CÓDIGO]]),"",IFERROR(VLOOKUP(tabItens[[#This Row],[CÓDIGO]],Consumo!$C$2:$AC$862,26,FALSE),0))</f>
        <v>09.2023</v>
      </c>
      <c r="AS521" s="401">
        <f>SUMIF(Consumo!$C$3:$C$862,tabItens[[#This Row],[CÓDIGO]],Consumo!$N$3:$N$862) + SUMIF(Consumo!$C$3:$C$862,tabItens[[#This Row],[CÓDIGO]],Consumo!$O$3:$O$862) + SUMIF(Consumo!$C$3:$C$862,tabItens[[#This Row],[CÓDIGO]],Consumo!$P$3:$P$862) + SUMIF(Consumo!$C$3:$C$862,tabItens[[#This Row],[CÓDIGO]],Consumo!$Q$3:$Q$862)</f>
        <v>977</v>
      </c>
      <c r="AT521" s="401">
        <f>SUMIF(Consumo!$C$3:$C$862,tabItens[[#This Row],[CÓDIGO]],Consumo!$Z$3:$Z$862)</f>
        <v>2819</v>
      </c>
      <c r="AU521" s="402">
        <f>SUMIF(Consumo!$C$3:$C$862,tabItens[[#This Row],[CÓDIGO]],Consumo!$AA$3:$AA$862)</f>
        <v>380</v>
      </c>
      <c r="AV521" s="403">
        <f>SUMIF(Consumo!$C$3:$C$862,tabItens[[#This Row],[CÓDIGO]],Consumo!$Y$3:$Y$862)</f>
        <v>234.91666666666666</v>
      </c>
      <c r="AW521" s="380">
        <f>tabItens[[#This Row],[QTDE ATUAL]] + tabItens[[#This Row],[RC QTDE]] + tabItens[[#This Row],[AF SALDO]] + tabItens[[#This Row],[Recentes]]</f>
        <v>3544</v>
      </c>
      <c r="AX521" s="404">
        <v>123</v>
      </c>
      <c r="AY521" s="404">
        <v>4</v>
      </c>
      <c r="AZ521" s="404">
        <f>IF(ISBLANK(tabItens[[#This Row],[CÓDIGO]]),"",tabItens[[#This Row],[PontoMês]] * (AZ$2+tabItens[[#This Row],[PontoQtM]]))</f>
        <v>492</v>
      </c>
      <c r="BA521" s="403">
        <f>tabItens[[#This Row],[PontoPed]] - tabItens[[#This Row],[Saldo]] + (1/10)</f>
        <v>-3051.9</v>
      </c>
      <c r="BB521" s="403">
        <f xml:space="preserve"> tabItens[[#This Row],[PontoMês]] * BB$2 - tabItens[[#This Row],[QTDE ATUAL]] - (1/10)</f>
        <v>-2921.1</v>
      </c>
      <c r="BC521" s="335">
        <f>IF( tabItens[[#This Row],[PontoPed]]&gt;0, IF(tabItens[[#This Row],[PontoPed]]&lt;1, 1, IF( tabItens[[#This Row],[Saldo]]&gt;tabItens[[#This Row],[PontoPed]], 0, (tabItens[[#This Row],[PontoPed]]-tabItens[[#This Row],[Saldo]])/tabItens[[#This Row],[PontoPed]] ) ), 0 )</f>
        <v>0</v>
      </c>
      <c r="BD521" s="405">
        <f>ROUNDDOWN(IF( OR( AND(tabItens[[#This Row],[PontoPed]]&lt;tabItens[[#This Row],[Saldo]],tabItens[[#This Row],[Saldo]]&gt;0), tabItens[[#This Row],[PontoPed]]=0), 99, IF(AND(tabItens[[#This Row],[Saldo]]=0,tabItens[[#This Row],[PontoPed]]&gt;0), 0, (1-tabItens[[#This Row],[PctAb]])*10 ) ),0)</f>
        <v>99</v>
      </c>
      <c r="BE521" s="406">
        <f>MAX(ROUNDDOWN( IF(tabItens[[#This Row],[Abaixo]] &gt; 0,   tabItens[[#This Row],[Abaixo]] + (tabItens[[#This Row],[PontoMês]] * IF( OR( ISBLANK(tabItens[[#This Row],[ATA Nº/ANO]]), tabItens[[#This Row],[ATA Nº/ANO]] = ""),BE$2,BE$1)),0),0),0)</f>
        <v>0</v>
      </c>
      <c r="BF52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1" s="338">
        <f>SUMIF(Consumo!$C$3:$C$862,tabItens[[#This Row],[CÓDIGO]],Consumo!$E$3:$E$862)</f>
        <v>0</v>
      </c>
      <c r="BH521" s="339">
        <f>IF(AND(tabItens[[#This Row],[Pend]] &gt; 0,tabItens[[#This Row],[Consumo]] &lt;&gt; 0), tabItens[[#This Row],[Pend]] / tabItens[[#This Row],[Consumo]], 0 )</f>
        <v>0</v>
      </c>
      <c r="BI521" s="338"/>
      <c r="BJ521" s="407"/>
      <c r="BK521" s="408" t="s">
        <v>2086</v>
      </c>
    </row>
    <row r="522" spans="1:63" x14ac:dyDescent="0.3">
      <c r="A522" s="375">
        <v>115282</v>
      </c>
      <c r="B522" s="376" t="s">
        <v>1715</v>
      </c>
      <c r="C522" s="377" t="s">
        <v>393</v>
      </c>
      <c r="D522" s="378">
        <v>39.9</v>
      </c>
      <c r="E522" s="305"/>
      <c r="F522" s="379"/>
      <c r="G522" s="379" t="s">
        <v>889</v>
      </c>
      <c r="H522" s="380">
        <v>1080</v>
      </c>
      <c r="I522" s="307">
        <v>103003</v>
      </c>
      <c r="J522" s="308">
        <v>39.9</v>
      </c>
      <c r="K522" s="381">
        <v>477</v>
      </c>
      <c r="L522" s="382">
        <f>IF(tabItens[[#This Row],[Média]] &gt; 0, tabItens[[#This Row],[QTDE ATUAL]] / tabItens[[#This Row],[Média]],999.9)</f>
        <v>24.685714285714287</v>
      </c>
      <c r="M522" s="383">
        <v>0</v>
      </c>
      <c r="N522" s="384">
        <f>tabItens[[#This Row],[VALOR UNIT.]] * tabItens[[#This Row],[LC]]</f>
        <v>0</v>
      </c>
      <c r="O522" s="385" t="s">
        <v>2184</v>
      </c>
      <c r="P522" s="386"/>
      <c r="Q522" s="387"/>
      <c r="R522" s="312"/>
      <c r="S522" s="388"/>
      <c r="T522" s="389">
        <f>ROUNDDOWN(IFERROR(tabItens[[#This Row],[ATA DT.VALID.]] - $D$1,0) / 30,0)</f>
        <v>-1474</v>
      </c>
      <c r="U522" s="302" t="s">
        <v>1716</v>
      </c>
      <c r="V522" s="318">
        <v>1</v>
      </c>
      <c r="W522" s="390" t="s">
        <v>2073</v>
      </c>
      <c r="X522" s="391">
        <v>73</v>
      </c>
      <c r="Y522" s="392">
        <v>10</v>
      </c>
      <c r="Z522" s="393">
        <v>2924</v>
      </c>
      <c r="AA522" s="394">
        <v>2023</v>
      </c>
      <c r="AB522" s="395">
        <v>1000</v>
      </c>
      <c r="AC522" s="395"/>
      <c r="AD522" s="394"/>
      <c r="AE522" s="395"/>
      <c r="AF522" s="317"/>
      <c r="AG522" s="396" t="s">
        <v>2072</v>
      </c>
      <c r="AH522" s="397"/>
      <c r="AI522" s="317">
        <v>198</v>
      </c>
      <c r="AJ522" s="397">
        <v>44914</v>
      </c>
      <c r="AK522" s="326">
        <v>40312</v>
      </c>
      <c r="AL522" s="326">
        <v>45076</v>
      </c>
      <c r="AM522" s="316"/>
      <c r="AN522" s="305"/>
      <c r="AO522" s="327" t="str">
        <f>_xlfn.IFNA(IF(VLOOKUP(tabItens[[#This Row],[CÓDIGO]],tabExcluirDoEstoque[#Data],1,FALSE),"sim",""),"")</f>
        <v/>
      </c>
      <c r="AP522" s="398" t="str">
        <f ca="1">IF(OR(ISBLANK(tabItens[[#This Row],[ATA DT.VALID.]]),tabItens[[#This Row],[ATA DT.VALID.]]="",tabItens[[#This Row],[ATA DT.VALID.]]=" "),"",IF(TYPE(tabItens[[#This Row],[ATA DT.VALID.]])=1,ROUNDUP((tabItens[[#This Row],[ATA DT.VALID.]]-TODAY())/7,0),""))</f>
        <v/>
      </c>
      <c r="AQ522" s="399">
        <v>0</v>
      </c>
      <c r="AR522" s="400" t="str">
        <f>IF(ISBLANK(tabItens[[#This Row],[CÓDIGO]]),"",IFERROR(VLOOKUP(tabItens[[#This Row],[CÓDIGO]],Consumo!$C$2:$AC$862,26,FALSE),0))</f>
        <v>09.2023</v>
      </c>
      <c r="AS522" s="401">
        <f>SUMIF(Consumo!$C$3:$C$862,tabItens[[#This Row],[CÓDIGO]],Consumo!$N$3:$N$862) + SUMIF(Consumo!$C$3:$C$862,tabItens[[#This Row],[CÓDIGO]],Consumo!$O$3:$O$862) + SUMIF(Consumo!$C$3:$C$862,tabItens[[#This Row],[CÓDIGO]],Consumo!$P$3:$P$862) + SUMIF(Consumo!$C$3:$C$862,tabItens[[#This Row],[CÓDIGO]],Consumo!$Q$3:$Q$862)</f>
        <v>108</v>
      </c>
      <c r="AT522" s="401">
        <f>SUMIF(Consumo!$C$3:$C$862,tabItens[[#This Row],[CÓDIGO]],Consumo!$Z$3:$Z$862)</f>
        <v>594</v>
      </c>
      <c r="AU522" s="402">
        <f>SUMIF(Consumo!$C$3:$C$862,tabItens[[#This Row],[CÓDIGO]],Consumo!$AA$3:$AA$862)</f>
        <v>250</v>
      </c>
      <c r="AV522" s="403">
        <f>SUMIF(Consumo!$C$3:$C$862,tabItens[[#This Row],[CÓDIGO]],Consumo!$Y$3:$Y$862)</f>
        <v>43.75</v>
      </c>
      <c r="AW522" s="380">
        <f>tabItens[[#This Row],[QTDE ATUAL]] + tabItens[[#This Row],[RC QTDE]] + tabItens[[#This Row],[AF SALDO]] + tabItens[[#This Row],[Recentes]]</f>
        <v>2080</v>
      </c>
      <c r="AX522" s="404">
        <v>37</v>
      </c>
      <c r="AY522" s="404">
        <v>4</v>
      </c>
      <c r="AZ522" s="404">
        <f>IF(ISBLANK(tabItens[[#This Row],[CÓDIGO]]),"",tabItens[[#This Row],[PontoMês]] * (AZ$2+tabItens[[#This Row],[PontoQtM]]))</f>
        <v>148</v>
      </c>
      <c r="BA522" s="403">
        <f>tabItens[[#This Row],[PontoPed]] - tabItens[[#This Row],[Saldo]] + (1/10)</f>
        <v>-1931.9</v>
      </c>
      <c r="BB522" s="403">
        <f xml:space="preserve"> tabItens[[#This Row],[PontoMês]] * BB$2 - tabItens[[#This Row],[QTDE ATUAL]] - (1/10)</f>
        <v>-1043.0999999999999</v>
      </c>
      <c r="BC522" s="335">
        <f>IF( tabItens[[#This Row],[PontoPed]]&gt;0, IF(tabItens[[#This Row],[PontoPed]]&lt;1, 1, IF( tabItens[[#This Row],[Saldo]]&gt;tabItens[[#This Row],[PontoPed]], 0, (tabItens[[#This Row],[PontoPed]]-tabItens[[#This Row],[Saldo]])/tabItens[[#This Row],[PontoPed]] ) ), 0 )</f>
        <v>0</v>
      </c>
      <c r="BD522" s="405">
        <f>ROUNDDOWN(IF( OR( AND(tabItens[[#This Row],[PontoPed]]&lt;tabItens[[#This Row],[Saldo]],tabItens[[#This Row],[Saldo]]&gt;0), tabItens[[#This Row],[PontoPed]]=0), 99, IF(AND(tabItens[[#This Row],[Saldo]]=0,tabItens[[#This Row],[PontoPed]]&gt;0), 0, (1-tabItens[[#This Row],[PctAb]])*10 ) ),0)</f>
        <v>99</v>
      </c>
      <c r="BE522" s="406">
        <f>MAX(ROUNDDOWN( IF(tabItens[[#This Row],[Abaixo]] &gt; 0,   tabItens[[#This Row],[Abaixo]] + (tabItens[[#This Row],[PontoMês]] * IF( OR( ISBLANK(tabItens[[#This Row],[ATA Nº/ANO]]), tabItens[[#This Row],[ATA Nº/ANO]] = ""),BE$2,BE$1)),0),0),0)</f>
        <v>0</v>
      </c>
      <c r="BF52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2" s="338">
        <f>SUMIF(Consumo!$C$3:$C$862,tabItens[[#This Row],[CÓDIGO]],Consumo!$E$3:$E$862)</f>
        <v>3</v>
      </c>
      <c r="BH522" s="339">
        <f>IF(AND(tabItens[[#This Row],[Pend]] &gt; 0,tabItens[[#This Row],[Consumo]] &lt;&gt; 0), tabItens[[#This Row],[Pend]] / tabItens[[#This Row],[Consumo]], 0 )</f>
        <v>5.0505050505050509E-3</v>
      </c>
      <c r="BI522" s="338"/>
      <c r="BJ522" s="407"/>
      <c r="BK522" s="408" t="s">
        <v>2086</v>
      </c>
    </row>
    <row r="523" spans="1:63" x14ac:dyDescent="0.3">
      <c r="A523" s="375">
        <v>14921</v>
      </c>
      <c r="B523" s="376" t="s">
        <v>1079</v>
      </c>
      <c r="C523" s="377" t="s">
        <v>260</v>
      </c>
      <c r="D523" s="378">
        <v>4.3499999999999996</v>
      </c>
      <c r="E523" s="305"/>
      <c r="F523" s="379"/>
      <c r="G523" s="379" t="s">
        <v>889</v>
      </c>
      <c r="H523" s="380">
        <v>361</v>
      </c>
      <c r="I523" s="307">
        <v>103003</v>
      </c>
      <c r="J523" s="308">
        <v>4.3499999999999996</v>
      </c>
      <c r="K523" s="381">
        <v>795</v>
      </c>
      <c r="L523" s="382">
        <f>IF(tabItens[[#This Row],[Média]] &gt; 0, tabItens[[#This Row],[QTDE ATUAL]] / tabItens[[#This Row],[Média]],999.9)</f>
        <v>3.3144605967865339</v>
      </c>
      <c r="M523" s="383">
        <v>0</v>
      </c>
      <c r="N523" s="384">
        <f>tabItens[[#This Row],[VALOR UNIT.]] * tabItens[[#This Row],[LC]]</f>
        <v>0</v>
      </c>
      <c r="O523" s="385" t="s">
        <v>2121</v>
      </c>
      <c r="P523" s="386"/>
      <c r="Q523" s="387"/>
      <c r="R523" s="312"/>
      <c r="S523" s="388"/>
      <c r="T523" s="389">
        <f>ROUNDDOWN(IFERROR(tabItens[[#This Row],[ATA DT.VALID.]] - $D$1,0) / 30,0)</f>
        <v>-1474</v>
      </c>
      <c r="U523" s="302" t="s">
        <v>1073</v>
      </c>
      <c r="V523" s="318">
        <v>1</v>
      </c>
      <c r="W523" s="390" t="s">
        <v>2077</v>
      </c>
      <c r="X523" s="391">
        <v>55</v>
      </c>
      <c r="Y523" s="392">
        <v>40</v>
      </c>
      <c r="Z523" s="393">
        <v>10091</v>
      </c>
      <c r="AA523" s="394">
        <v>2023</v>
      </c>
      <c r="AB523" s="395">
        <v>800</v>
      </c>
      <c r="AC523" s="395"/>
      <c r="AD523" s="394"/>
      <c r="AE523" s="395"/>
      <c r="AF523" s="317"/>
      <c r="AG523" s="396" t="s">
        <v>2072</v>
      </c>
      <c r="AH523" s="397"/>
      <c r="AI523" s="317">
        <v>436</v>
      </c>
      <c r="AJ523" s="397">
        <v>44545</v>
      </c>
      <c r="AK523" s="326" t="s">
        <v>889</v>
      </c>
      <c r="AL523" s="326">
        <v>44917</v>
      </c>
      <c r="AM523" s="316"/>
      <c r="AN523" s="305"/>
      <c r="AO523" s="327" t="str">
        <f>_xlfn.IFNA(IF(VLOOKUP(tabItens[[#This Row],[CÓDIGO]],tabExcluirDoEstoque[#Data],1,FALSE),"sim",""),"")</f>
        <v/>
      </c>
      <c r="AP523" s="398" t="str">
        <f ca="1">IF(OR(ISBLANK(tabItens[[#This Row],[ATA DT.VALID.]]),tabItens[[#This Row],[ATA DT.VALID.]]="",tabItens[[#This Row],[ATA DT.VALID.]]=" "),"",IF(TYPE(tabItens[[#This Row],[ATA DT.VALID.]])=1,ROUNDUP((tabItens[[#This Row],[ATA DT.VALID.]]-TODAY())/7,0),""))</f>
        <v/>
      </c>
      <c r="AQ523" s="399">
        <v>0</v>
      </c>
      <c r="AR523" s="400" t="str">
        <f>IF(ISBLANK(tabItens[[#This Row],[CÓDIGO]]),"",IFERROR(VLOOKUP(tabItens[[#This Row],[CÓDIGO]],Consumo!$C$2:$AC$862,26,FALSE),0))</f>
        <v>09.2023</v>
      </c>
      <c r="AS523" s="401">
        <f>SUMIF(Consumo!$C$3:$C$862,tabItens[[#This Row],[CÓDIGO]],Consumo!$N$3:$N$862) + SUMIF(Consumo!$C$3:$C$862,tabItens[[#This Row],[CÓDIGO]],Consumo!$O$3:$O$862) + SUMIF(Consumo!$C$3:$C$862,tabItens[[#This Row],[CÓDIGO]],Consumo!$P$3:$P$862) + SUMIF(Consumo!$C$3:$C$862,tabItens[[#This Row],[CÓDIGO]],Consumo!$Q$3:$Q$862)</f>
        <v>484</v>
      </c>
      <c r="AT523" s="401">
        <f>SUMIF(Consumo!$C$3:$C$862,tabItens[[#This Row],[CÓDIGO]],Consumo!$Z$3:$Z$862)</f>
        <v>1307</v>
      </c>
      <c r="AU523" s="402">
        <f>SUMIF(Consumo!$C$3:$C$862,tabItens[[#This Row],[CÓDIGO]],Consumo!$AA$3:$AA$862)</f>
        <v>155</v>
      </c>
      <c r="AV523" s="403">
        <f>SUMIF(Consumo!$C$3:$C$862,tabItens[[#This Row],[CÓDIGO]],Consumo!$Y$3:$Y$862)</f>
        <v>108.91666666666667</v>
      </c>
      <c r="AW523" s="380">
        <f>tabItens[[#This Row],[QTDE ATUAL]] + tabItens[[#This Row],[RC QTDE]] + tabItens[[#This Row],[AF SALDO]] + tabItens[[#This Row],[Recentes]]</f>
        <v>1161</v>
      </c>
      <c r="AX523" s="404">
        <v>102</v>
      </c>
      <c r="AY523" s="404">
        <v>4</v>
      </c>
      <c r="AZ523" s="404">
        <f>IF(ISBLANK(tabItens[[#This Row],[CÓDIGO]]),"",tabItens[[#This Row],[PontoMês]] * (AZ$2+tabItens[[#This Row],[PontoQtM]]))</f>
        <v>408</v>
      </c>
      <c r="BA523" s="403">
        <f>tabItens[[#This Row],[PontoPed]] - tabItens[[#This Row],[Saldo]] + (1/10)</f>
        <v>-752.9</v>
      </c>
      <c r="BB523" s="403">
        <f xml:space="preserve"> tabItens[[#This Row],[PontoMês]] * BB$2 - tabItens[[#This Row],[QTDE ATUAL]] - (1/10)</f>
        <v>-259.10000000000002</v>
      </c>
      <c r="BC523" s="335">
        <f>IF( tabItens[[#This Row],[PontoPed]]&gt;0, IF(tabItens[[#This Row],[PontoPed]]&lt;1, 1, IF( tabItens[[#This Row],[Saldo]]&gt;tabItens[[#This Row],[PontoPed]], 0, (tabItens[[#This Row],[PontoPed]]-tabItens[[#This Row],[Saldo]])/tabItens[[#This Row],[PontoPed]] ) ), 0 )</f>
        <v>0</v>
      </c>
      <c r="BD523" s="405">
        <f>ROUNDDOWN(IF( OR( AND(tabItens[[#This Row],[PontoPed]]&lt;tabItens[[#This Row],[Saldo]],tabItens[[#This Row],[Saldo]]&gt;0), tabItens[[#This Row],[PontoPed]]=0), 99, IF(AND(tabItens[[#This Row],[Saldo]]=0,tabItens[[#This Row],[PontoPed]]&gt;0), 0, (1-tabItens[[#This Row],[PctAb]])*10 ) ),0)</f>
        <v>99</v>
      </c>
      <c r="BE523" s="406">
        <f>MAX(ROUNDDOWN( IF(tabItens[[#This Row],[Abaixo]] &gt; 0,   tabItens[[#This Row],[Abaixo]] + (tabItens[[#This Row],[PontoMês]] * IF( OR( ISBLANK(tabItens[[#This Row],[ATA Nº/ANO]]), tabItens[[#This Row],[ATA Nº/ANO]] = ""),BE$2,BE$1)),0),0),0)</f>
        <v>0</v>
      </c>
      <c r="BF52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3" s="338">
        <f>SUMIF(Consumo!$C$3:$C$862,tabItens[[#This Row],[CÓDIGO]],Consumo!$E$3:$E$862)</f>
        <v>0</v>
      </c>
      <c r="BH523" s="339">
        <f>IF(AND(tabItens[[#This Row],[Pend]] &gt; 0,tabItens[[#This Row],[Consumo]] &lt;&gt; 0), tabItens[[#This Row],[Pend]] / tabItens[[#This Row],[Consumo]], 0 )</f>
        <v>0</v>
      </c>
      <c r="BI523" s="338"/>
      <c r="BJ523" s="407"/>
      <c r="BK523" s="408" t="s">
        <v>2086</v>
      </c>
    </row>
    <row r="524" spans="1:63" x14ac:dyDescent="0.3">
      <c r="A524" s="375">
        <v>52129</v>
      </c>
      <c r="B524" s="376" t="s">
        <v>1303</v>
      </c>
      <c r="C524" s="377" t="s">
        <v>263</v>
      </c>
      <c r="D524" s="378">
        <v>7.79</v>
      </c>
      <c r="E524" s="305"/>
      <c r="F524" s="379"/>
      <c r="G524" s="379" t="s">
        <v>889</v>
      </c>
      <c r="H524" s="380">
        <v>455</v>
      </c>
      <c r="I524" s="307">
        <v>103003</v>
      </c>
      <c r="J524" s="308">
        <v>7.79</v>
      </c>
      <c r="K524" s="381">
        <v>215</v>
      </c>
      <c r="L524" s="382">
        <f>IF(tabItens[[#This Row],[Média]] &gt; 0, tabItens[[#This Row],[QTDE ATUAL]] / tabItens[[#This Row],[Média]],999.9)</f>
        <v>28.290155440414509</v>
      </c>
      <c r="M524" s="383">
        <v>0</v>
      </c>
      <c r="N524" s="384">
        <f>tabItens[[#This Row],[VALOR UNIT.]] * tabItens[[#This Row],[LC]]</f>
        <v>0</v>
      </c>
      <c r="O524" s="385" t="s">
        <v>2132</v>
      </c>
      <c r="P524" s="386"/>
      <c r="Q524" s="387"/>
      <c r="R524" s="312"/>
      <c r="S524" s="388"/>
      <c r="T524" s="389">
        <f>ROUNDDOWN(IFERROR(tabItens[[#This Row],[ATA DT.VALID.]] - $D$1,0) / 30,0)</f>
        <v>-1474</v>
      </c>
      <c r="U524" s="302" t="s">
        <v>1304</v>
      </c>
      <c r="V524" s="318">
        <v>1</v>
      </c>
      <c r="W524" s="390" t="s">
        <v>2078</v>
      </c>
      <c r="X524" s="391">
        <v>70</v>
      </c>
      <c r="Y524" s="392">
        <v>30</v>
      </c>
      <c r="Z524" s="393"/>
      <c r="AA524" s="394"/>
      <c r="AB524" s="395"/>
      <c r="AC524" s="395"/>
      <c r="AD524" s="394"/>
      <c r="AE524" s="395"/>
      <c r="AF524" s="317"/>
      <c r="AG524" s="396" t="s">
        <v>2072</v>
      </c>
      <c r="AH524" s="397"/>
      <c r="AI524" s="317">
        <v>72</v>
      </c>
      <c r="AJ524" s="397">
        <v>44550</v>
      </c>
      <c r="AK524" s="326" t="s">
        <v>889</v>
      </c>
      <c r="AL524" s="326">
        <v>44536</v>
      </c>
      <c r="AM524" s="316"/>
      <c r="AN524" s="305"/>
      <c r="AO524" s="327" t="str">
        <f>_xlfn.IFNA(IF(VLOOKUP(tabItens[[#This Row],[CÓDIGO]],tabExcluirDoEstoque[#Data],1,FALSE),"sim",""),"")</f>
        <v/>
      </c>
      <c r="AP524" s="398" t="str">
        <f ca="1">IF(OR(ISBLANK(tabItens[[#This Row],[ATA DT.VALID.]]),tabItens[[#This Row],[ATA DT.VALID.]]="",tabItens[[#This Row],[ATA DT.VALID.]]=" "),"",IF(TYPE(tabItens[[#This Row],[ATA DT.VALID.]])=1,ROUNDUP((tabItens[[#This Row],[ATA DT.VALID.]]-TODAY())/7,0),""))</f>
        <v/>
      </c>
      <c r="AQ524" s="399">
        <v>0</v>
      </c>
      <c r="AR524" s="400" t="str">
        <f>IF(ISBLANK(tabItens[[#This Row],[CÓDIGO]]),"",IFERROR(VLOOKUP(tabItens[[#This Row],[CÓDIGO]],Consumo!$C$2:$AC$862,26,FALSE),0))</f>
        <v>05.2023</v>
      </c>
      <c r="AS524" s="401">
        <f>SUMIF(Consumo!$C$3:$C$862,tabItens[[#This Row],[CÓDIGO]],Consumo!$N$3:$N$862) + SUMIF(Consumo!$C$3:$C$862,tabItens[[#This Row],[CÓDIGO]],Consumo!$O$3:$O$862) + SUMIF(Consumo!$C$3:$C$862,tabItens[[#This Row],[CÓDIGO]],Consumo!$P$3:$P$862) + SUMIF(Consumo!$C$3:$C$862,tabItens[[#This Row],[CÓDIGO]],Consumo!$Q$3:$Q$862)</f>
        <v>0</v>
      </c>
      <c r="AT524" s="401">
        <f>SUMIF(Consumo!$C$3:$C$862,tabItens[[#This Row],[CÓDIGO]],Consumo!$Z$3:$Z$862)</f>
        <v>215</v>
      </c>
      <c r="AU524" s="402">
        <f>SUMIF(Consumo!$C$3:$C$862,tabItens[[#This Row],[CÓDIGO]],Consumo!$AA$3:$AA$862)</f>
        <v>100</v>
      </c>
      <c r="AV524" s="403">
        <f>SUMIF(Consumo!$C$3:$C$862,tabItens[[#This Row],[CÓDIGO]],Consumo!$Y$3:$Y$862)</f>
        <v>16.083333333333332</v>
      </c>
      <c r="AW524" s="380">
        <f>tabItens[[#This Row],[QTDE ATUAL]] + tabItens[[#This Row],[RC QTDE]] + tabItens[[#This Row],[AF SALDO]] + tabItens[[#This Row],[Recentes]]</f>
        <v>455</v>
      </c>
      <c r="AX524" s="404">
        <v>37</v>
      </c>
      <c r="AY524" s="404">
        <v>4</v>
      </c>
      <c r="AZ524" s="404">
        <f>IF(ISBLANK(tabItens[[#This Row],[CÓDIGO]]),"",tabItens[[#This Row],[PontoMês]] * (AZ$2+tabItens[[#This Row],[PontoQtM]]))</f>
        <v>148</v>
      </c>
      <c r="BA524" s="403">
        <f>tabItens[[#This Row],[PontoPed]] - tabItens[[#This Row],[Saldo]] + (1/10)</f>
        <v>-306.89999999999998</v>
      </c>
      <c r="BB524" s="403">
        <f xml:space="preserve"> tabItens[[#This Row],[PontoMês]] * BB$2 - tabItens[[#This Row],[QTDE ATUAL]] - (1/10)</f>
        <v>-418.1</v>
      </c>
      <c r="BC524" s="335">
        <f>IF( tabItens[[#This Row],[PontoPed]]&gt;0, IF(tabItens[[#This Row],[PontoPed]]&lt;1, 1, IF( tabItens[[#This Row],[Saldo]]&gt;tabItens[[#This Row],[PontoPed]], 0, (tabItens[[#This Row],[PontoPed]]-tabItens[[#This Row],[Saldo]])/tabItens[[#This Row],[PontoPed]] ) ), 0 )</f>
        <v>0</v>
      </c>
      <c r="BD524" s="405">
        <f>ROUNDDOWN(IF( OR( AND(tabItens[[#This Row],[PontoPed]]&lt;tabItens[[#This Row],[Saldo]],tabItens[[#This Row],[Saldo]]&gt;0), tabItens[[#This Row],[PontoPed]]=0), 99, IF(AND(tabItens[[#This Row],[Saldo]]=0,tabItens[[#This Row],[PontoPed]]&gt;0), 0, (1-tabItens[[#This Row],[PctAb]])*10 ) ),0)</f>
        <v>99</v>
      </c>
      <c r="BE524" s="406">
        <f>MAX(ROUNDDOWN( IF(tabItens[[#This Row],[Abaixo]] &gt; 0,   tabItens[[#This Row],[Abaixo]] + (tabItens[[#This Row],[PontoMês]] * IF( OR( ISBLANK(tabItens[[#This Row],[ATA Nº/ANO]]), tabItens[[#This Row],[ATA Nº/ANO]] = ""),BE$2,BE$1)),0),0),0)</f>
        <v>0</v>
      </c>
      <c r="BF52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4" s="338">
        <f>SUMIF(Consumo!$C$3:$C$862,tabItens[[#This Row],[CÓDIGO]],Consumo!$E$3:$E$862)</f>
        <v>0</v>
      </c>
      <c r="BH524" s="339">
        <f>IF(AND(tabItens[[#This Row],[Pend]] &gt; 0,tabItens[[#This Row],[Consumo]] &lt;&gt; 0), tabItens[[#This Row],[Pend]] / tabItens[[#This Row],[Consumo]], 0 )</f>
        <v>0</v>
      </c>
      <c r="BI524" s="338"/>
      <c r="BJ524" s="407"/>
      <c r="BK524" s="408" t="s">
        <v>2086</v>
      </c>
    </row>
    <row r="525" spans="1:63" x14ac:dyDescent="0.3">
      <c r="A525" s="375">
        <v>134560</v>
      </c>
      <c r="B525" s="376" t="s">
        <v>1893</v>
      </c>
      <c r="C525" s="377" t="s">
        <v>263</v>
      </c>
      <c r="D525" s="378">
        <v>7.08</v>
      </c>
      <c r="E525" s="305"/>
      <c r="F525" s="379"/>
      <c r="G525" s="379" t="s">
        <v>889</v>
      </c>
      <c r="H525" s="380">
        <v>0</v>
      </c>
      <c r="I525" s="307">
        <v>103003</v>
      </c>
      <c r="J525" s="308">
        <v>7.08</v>
      </c>
      <c r="K525" s="381">
        <v>470</v>
      </c>
      <c r="L525" s="382">
        <f>IF(tabItens[[#This Row],[Média]] &gt; 0, tabItens[[#This Row],[QTDE ATUAL]] / tabItens[[#This Row],[Média]],999.9)</f>
        <v>0</v>
      </c>
      <c r="M525" s="383">
        <v>0</v>
      </c>
      <c r="N525" s="384">
        <f>tabItens[[#This Row],[VALOR UNIT.]] * tabItens[[#This Row],[LC]]</f>
        <v>0</v>
      </c>
      <c r="O525" s="385" t="s">
        <v>2132</v>
      </c>
      <c r="P525" s="386"/>
      <c r="Q525" s="387"/>
      <c r="R525" s="312"/>
      <c r="S525" s="388"/>
      <c r="T525" s="389">
        <f>ROUNDDOWN(IFERROR(tabItens[[#This Row],[ATA DT.VALID.]] - $D$1,0) / 30,0)</f>
        <v>-1474</v>
      </c>
      <c r="U525" s="302" t="s">
        <v>1304</v>
      </c>
      <c r="V525" s="318">
        <v>1</v>
      </c>
      <c r="W525" s="390" t="s">
        <v>2078</v>
      </c>
      <c r="X525" s="391">
        <v>70</v>
      </c>
      <c r="Y525" s="392">
        <v>30</v>
      </c>
      <c r="Z525" s="393"/>
      <c r="AA525" s="394"/>
      <c r="AB525" s="395"/>
      <c r="AC525" s="395"/>
      <c r="AD525" s="394"/>
      <c r="AE525" s="395"/>
      <c r="AF525" s="317"/>
      <c r="AG525" s="396" t="s">
        <v>2072</v>
      </c>
      <c r="AH525" s="397"/>
      <c r="AI525" s="317">
        <v>176</v>
      </c>
      <c r="AJ525" s="397">
        <v>44944</v>
      </c>
      <c r="AK525" s="326">
        <v>43174</v>
      </c>
      <c r="AL525" s="326">
        <v>44915</v>
      </c>
      <c r="AM525" s="316"/>
      <c r="AN525" s="305"/>
      <c r="AO525" s="327" t="str">
        <f>_xlfn.IFNA(IF(VLOOKUP(tabItens[[#This Row],[CÓDIGO]],tabExcluirDoEstoque[#Data],1,FALSE),"sim",""),"")</f>
        <v/>
      </c>
      <c r="AP525" s="398" t="str">
        <f ca="1">IF(OR(ISBLANK(tabItens[[#This Row],[ATA DT.VALID.]]),tabItens[[#This Row],[ATA DT.VALID.]]="",tabItens[[#This Row],[ATA DT.VALID.]]=" "),"",IF(TYPE(tabItens[[#This Row],[ATA DT.VALID.]])=1,ROUNDUP((tabItens[[#This Row],[ATA DT.VALID.]]-TODAY())/7,0),""))</f>
        <v/>
      </c>
      <c r="AQ525" s="399">
        <v>0</v>
      </c>
      <c r="AR525" s="400" t="str">
        <f>IF(ISBLANK(tabItens[[#This Row],[CÓDIGO]]),"",IFERROR(VLOOKUP(tabItens[[#This Row],[CÓDIGO]],Consumo!$C$2:$AC$862,26,FALSE),0))</f>
        <v>07.2023</v>
      </c>
      <c r="AS525" s="401">
        <f>SUMIF(Consumo!$C$3:$C$862,tabItens[[#This Row],[CÓDIGO]],Consumo!$N$3:$N$862) + SUMIF(Consumo!$C$3:$C$862,tabItens[[#This Row],[CÓDIGO]],Consumo!$O$3:$O$862) + SUMIF(Consumo!$C$3:$C$862,tabItens[[#This Row],[CÓDIGO]],Consumo!$P$3:$P$862) + SUMIF(Consumo!$C$3:$C$862,tabItens[[#This Row],[CÓDIGO]],Consumo!$Q$3:$Q$862)</f>
        <v>250</v>
      </c>
      <c r="AT525" s="401">
        <f>SUMIF(Consumo!$C$3:$C$862,tabItens[[#This Row],[CÓDIGO]],Consumo!$Z$3:$Z$862)</f>
        <v>530</v>
      </c>
      <c r="AU525" s="402">
        <f>SUMIF(Consumo!$C$3:$C$862,tabItens[[#This Row],[CÓDIGO]],Consumo!$AA$3:$AA$862)</f>
        <v>200</v>
      </c>
      <c r="AV525" s="403">
        <f>SUMIF(Consumo!$C$3:$C$862,tabItens[[#This Row],[CÓDIGO]],Consumo!$Y$3:$Y$862)</f>
        <v>40.333333333333336</v>
      </c>
      <c r="AW525" s="380">
        <f>tabItens[[#This Row],[QTDE ATUAL]] + tabItens[[#This Row],[RC QTDE]] + tabItens[[#This Row],[AF SALDO]] + tabItens[[#This Row],[Recentes]]</f>
        <v>0</v>
      </c>
      <c r="AX525" s="404">
        <v>36</v>
      </c>
      <c r="AY525" s="404">
        <v>4</v>
      </c>
      <c r="AZ525" s="404">
        <f>IF(ISBLANK(tabItens[[#This Row],[CÓDIGO]]),"",tabItens[[#This Row],[PontoMês]] * (AZ$2+tabItens[[#This Row],[PontoQtM]]))</f>
        <v>144</v>
      </c>
      <c r="BA525" s="403">
        <f>tabItens[[#This Row],[PontoPed]] - tabItens[[#This Row],[Saldo]] + (1/10)</f>
        <v>144.1</v>
      </c>
      <c r="BB525" s="403">
        <f xml:space="preserve"> tabItens[[#This Row],[PontoMês]] * BB$2 - tabItens[[#This Row],[QTDE ATUAL]] - (1/10)</f>
        <v>35.9</v>
      </c>
      <c r="BC525" s="335">
        <f>IF( tabItens[[#This Row],[PontoPed]]&gt;0, IF(tabItens[[#This Row],[PontoPed]]&lt;1, 1, IF( tabItens[[#This Row],[Saldo]]&gt;tabItens[[#This Row],[PontoPed]], 0, (tabItens[[#This Row],[PontoPed]]-tabItens[[#This Row],[Saldo]])/tabItens[[#This Row],[PontoPed]] ) ), 0 )</f>
        <v>1</v>
      </c>
      <c r="BD525" s="405">
        <f>ROUNDDOWN(IF( OR( AND(tabItens[[#This Row],[PontoPed]]&lt;tabItens[[#This Row],[Saldo]],tabItens[[#This Row],[Saldo]]&gt;0), tabItens[[#This Row],[PontoPed]]=0), 99, IF(AND(tabItens[[#This Row],[Saldo]]=0,tabItens[[#This Row],[PontoPed]]&gt;0), 0, (1-tabItens[[#This Row],[PctAb]])*10 ) ),0)</f>
        <v>0</v>
      </c>
      <c r="BE525" s="406">
        <f>MAX(ROUNDDOWN( IF(tabItens[[#This Row],[Abaixo]] &gt; 0,   tabItens[[#This Row],[Abaixo]] + (tabItens[[#This Row],[PontoMês]] * IF( OR( ISBLANK(tabItens[[#This Row],[ATA Nº/ANO]]), tabItens[[#This Row],[ATA Nº/ANO]] = ""),BE$2,BE$1)),0),0),0)</f>
        <v>252</v>
      </c>
      <c r="BF52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5" s="338">
        <f>SUMIF(Consumo!$C$3:$C$862,tabItens[[#This Row],[CÓDIGO]],Consumo!$E$3:$E$862)</f>
        <v>0</v>
      </c>
      <c r="BH525" s="339">
        <f>IF(AND(tabItens[[#This Row],[Pend]] &gt; 0,tabItens[[#This Row],[Consumo]] &lt;&gt; 0), tabItens[[#This Row],[Pend]] / tabItens[[#This Row],[Consumo]], 0 )</f>
        <v>0</v>
      </c>
      <c r="BI525" s="338"/>
      <c r="BJ525" s="407"/>
      <c r="BK525" s="408" t="s">
        <v>2086</v>
      </c>
    </row>
    <row r="526" spans="1:63" x14ac:dyDescent="0.3">
      <c r="A526" s="375">
        <v>19871</v>
      </c>
      <c r="B526" s="376" t="s">
        <v>1151</v>
      </c>
      <c r="C526" s="377" t="s">
        <v>263</v>
      </c>
      <c r="D526" s="378">
        <v>4.17</v>
      </c>
      <c r="E526" s="305"/>
      <c r="F526" s="379"/>
      <c r="G526" s="379" t="s">
        <v>889</v>
      </c>
      <c r="H526" s="380">
        <v>95</v>
      </c>
      <c r="I526" s="307">
        <v>103003</v>
      </c>
      <c r="J526" s="308">
        <v>4.17</v>
      </c>
      <c r="K526" s="381">
        <v>38</v>
      </c>
      <c r="L526" s="382">
        <f>IF(tabItens[[#This Row],[Média]] &gt; 0, tabItens[[#This Row],[QTDE ATUAL]] / tabItens[[#This Row],[Média]],999.9)</f>
        <v>35.625</v>
      </c>
      <c r="M526" s="383">
        <v>0</v>
      </c>
      <c r="N526" s="384">
        <f>tabItens[[#This Row],[VALOR UNIT.]] * tabItens[[#This Row],[LC]]</f>
        <v>0</v>
      </c>
      <c r="O526" s="385" t="s">
        <v>2132</v>
      </c>
      <c r="P526" s="386"/>
      <c r="Q526" s="387"/>
      <c r="R526" s="312"/>
      <c r="S526" s="388"/>
      <c r="T526" s="389">
        <f>ROUNDDOWN(IFERROR(tabItens[[#This Row],[ATA DT.VALID.]] - $D$1,0) / 30,0)</f>
        <v>-1474</v>
      </c>
      <c r="U526" s="302" t="s">
        <v>1152</v>
      </c>
      <c r="V526" s="318">
        <v>1</v>
      </c>
      <c r="W526" s="390" t="s">
        <v>2078</v>
      </c>
      <c r="X526" s="391">
        <v>70</v>
      </c>
      <c r="Y526" s="392">
        <v>31</v>
      </c>
      <c r="Z526" s="393"/>
      <c r="AA526" s="394"/>
      <c r="AB526" s="395"/>
      <c r="AC526" s="395"/>
      <c r="AD526" s="394"/>
      <c r="AE526" s="395"/>
      <c r="AF526" s="317"/>
      <c r="AG526" s="396" t="s">
        <v>2072</v>
      </c>
      <c r="AH526" s="397"/>
      <c r="AI526" s="317">
        <v>12</v>
      </c>
      <c r="AJ526" s="397">
        <v>44375</v>
      </c>
      <c r="AK526" s="326" t="s">
        <v>889</v>
      </c>
      <c r="AL526" s="326">
        <v>44890</v>
      </c>
      <c r="AM526" s="316"/>
      <c r="AN526" s="305"/>
      <c r="AO526" s="327" t="str">
        <f>_xlfn.IFNA(IF(VLOOKUP(tabItens[[#This Row],[CÓDIGO]],tabExcluirDoEstoque[#Data],1,FALSE),"sim",""),"")</f>
        <v/>
      </c>
      <c r="AP526" s="398" t="str">
        <f ca="1">IF(OR(ISBLANK(tabItens[[#This Row],[ATA DT.VALID.]]),tabItens[[#This Row],[ATA DT.VALID.]]="",tabItens[[#This Row],[ATA DT.VALID.]]=" "),"",IF(TYPE(tabItens[[#This Row],[ATA DT.VALID.]])=1,ROUNDUP((tabItens[[#This Row],[ATA DT.VALID.]]-TODAY())/7,0),""))</f>
        <v/>
      </c>
      <c r="AQ526" s="399">
        <v>0</v>
      </c>
      <c r="AR526" s="400" t="str">
        <f>IF(ISBLANK(tabItens[[#This Row],[CÓDIGO]]),"",IFERROR(VLOOKUP(tabItens[[#This Row],[CÓDIGO]],Consumo!$C$2:$AC$862,26,FALSE),0))</f>
        <v>04.2023</v>
      </c>
      <c r="AS526" s="401">
        <f>SUMIF(Consumo!$C$3:$C$862,tabItens[[#This Row],[CÓDIGO]],Consumo!$N$3:$N$862) + SUMIF(Consumo!$C$3:$C$862,tabItens[[#This Row],[CÓDIGO]],Consumo!$O$3:$O$862) + SUMIF(Consumo!$C$3:$C$862,tabItens[[#This Row],[CÓDIGO]],Consumo!$P$3:$P$862) + SUMIF(Consumo!$C$3:$C$862,tabItens[[#This Row],[CÓDIGO]],Consumo!$Q$3:$Q$862)</f>
        <v>0</v>
      </c>
      <c r="AT526" s="401">
        <f>SUMIF(Consumo!$C$3:$C$862,tabItens[[#This Row],[CÓDIGO]],Consumo!$Z$3:$Z$862)</f>
        <v>38</v>
      </c>
      <c r="AU526" s="402">
        <f>SUMIF(Consumo!$C$3:$C$862,tabItens[[#This Row],[CÓDIGO]],Consumo!$AA$3:$AA$862)</f>
        <v>22</v>
      </c>
      <c r="AV526" s="403">
        <f>SUMIF(Consumo!$C$3:$C$862,tabItens[[#This Row],[CÓDIGO]],Consumo!$Y$3:$Y$862)</f>
        <v>2.6666666666666665</v>
      </c>
      <c r="AW526" s="380">
        <f>tabItens[[#This Row],[QTDE ATUAL]] + tabItens[[#This Row],[RC QTDE]] + tabItens[[#This Row],[AF SALDO]] + tabItens[[#This Row],[Recentes]]</f>
        <v>95</v>
      </c>
      <c r="AX526" s="404">
        <v>9</v>
      </c>
      <c r="AY526" s="404">
        <v>4</v>
      </c>
      <c r="AZ526" s="404">
        <f>IF(ISBLANK(tabItens[[#This Row],[CÓDIGO]]),"",tabItens[[#This Row],[PontoMês]] * (AZ$2+tabItens[[#This Row],[PontoQtM]]))</f>
        <v>36</v>
      </c>
      <c r="BA526" s="403">
        <f>tabItens[[#This Row],[PontoPed]] - tabItens[[#This Row],[Saldo]] + (1/10)</f>
        <v>-58.9</v>
      </c>
      <c r="BB526" s="403">
        <f xml:space="preserve"> tabItens[[#This Row],[PontoMês]] * BB$2 - tabItens[[#This Row],[QTDE ATUAL]] - (1/10)</f>
        <v>-86.1</v>
      </c>
      <c r="BC526" s="335">
        <f>IF( tabItens[[#This Row],[PontoPed]]&gt;0, IF(tabItens[[#This Row],[PontoPed]]&lt;1, 1, IF( tabItens[[#This Row],[Saldo]]&gt;tabItens[[#This Row],[PontoPed]], 0, (tabItens[[#This Row],[PontoPed]]-tabItens[[#This Row],[Saldo]])/tabItens[[#This Row],[PontoPed]] ) ), 0 )</f>
        <v>0</v>
      </c>
      <c r="BD526" s="405">
        <f>ROUNDDOWN(IF( OR( AND(tabItens[[#This Row],[PontoPed]]&lt;tabItens[[#This Row],[Saldo]],tabItens[[#This Row],[Saldo]]&gt;0), tabItens[[#This Row],[PontoPed]]=0), 99, IF(AND(tabItens[[#This Row],[Saldo]]=0,tabItens[[#This Row],[PontoPed]]&gt;0), 0, (1-tabItens[[#This Row],[PctAb]])*10 ) ),0)</f>
        <v>99</v>
      </c>
      <c r="BE526" s="406">
        <f>MAX(ROUNDDOWN( IF(tabItens[[#This Row],[Abaixo]] &gt; 0,   tabItens[[#This Row],[Abaixo]] + (tabItens[[#This Row],[PontoMês]] * IF( OR( ISBLANK(tabItens[[#This Row],[ATA Nº/ANO]]), tabItens[[#This Row],[ATA Nº/ANO]] = ""),BE$2,BE$1)),0),0),0)</f>
        <v>0</v>
      </c>
      <c r="BF52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6" s="338">
        <f>SUMIF(Consumo!$C$3:$C$862,tabItens[[#This Row],[CÓDIGO]],Consumo!$E$3:$E$862)</f>
        <v>0</v>
      </c>
      <c r="BH526" s="339">
        <f>IF(AND(tabItens[[#This Row],[Pend]] &gt; 0,tabItens[[#This Row],[Consumo]] &lt;&gt; 0), tabItens[[#This Row],[Pend]] / tabItens[[#This Row],[Consumo]], 0 )</f>
        <v>0</v>
      </c>
      <c r="BI526" s="338"/>
      <c r="BJ526" s="407"/>
      <c r="BK526" s="408" t="s">
        <v>2086</v>
      </c>
    </row>
    <row r="527" spans="1:63" x14ac:dyDescent="0.3">
      <c r="A527" s="375">
        <v>20001</v>
      </c>
      <c r="B527" s="376" t="s">
        <v>1156</v>
      </c>
      <c r="C527" s="377" t="s">
        <v>263</v>
      </c>
      <c r="D527" s="378">
        <v>1.02</v>
      </c>
      <c r="E527" s="305"/>
      <c r="F527" s="379"/>
      <c r="G527" s="379" t="s">
        <v>889</v>
      </c>
      <c r="H527" s="380">
        <v>0</v>
      </c>
      <c r="I527" s="307">
        <v>103003</v>
      </c>
      <c r="J527" s="308">
        <v>1.02</v>
      </c>
      <c r="K527" s="381">
        <v>0</v>
      </c>
      <c r="L527" s="382">
        <f>IF(tabItens[[#This Row],[Média]] &gt; 0, tabItens[[#This Row],[QTDE ATUAL]] / tabItens[[#This Row],[Média]],999.9)</f>
        <v>0</v>
      </c>
      <c r="M527" s="383">
        <v>0</v>
      </c>
      <c r="N527" s="384">
        <f>tabItens[[#This Row],[VALOR UNIT.]] * tabItens[[#This Row],[LC]]</f>
        <v>0</v>
      </c>
      <c r="O527" s="385" t="s">
        <v>2132</v>
      </c>
      <c r="P527" s="386"/>
      <c r="Q527" s="387"/>
      <c r="R527" s="312"/>
      <c r="S527" s="388"/>
      <c r="T527" s="389">
        <f>ROUNDDOWN(IFERROR(tabItens[[#This Row],[ATA DT.VALID.]] - $D$1,0) / 30,0)</f>
        <v>-1474</v>
      </c>
      <c r="U527" s="302" t="s">
        <v>1152</v>
      </c>
      <c r="V527" s="318">
        <v>1</v>
      </c>
      <c r="W527" s="390" t="s">
        <v>2078</v>
      </c>
      <c r="X527" s="391">
        <v>70</v>
      </c>
      <c r="Y527" s="392">
        <v>31</v>
      </c>
      <c r="Z527" s="393"/>
      <c r="AA527" s="394"/>
      <c r="AB527" s="395"/>
      <c r="AC527" s="395"/>
      <c r="AD527" s="394"/>
      <c r="AE527" s="395"/>
      <c r="AF527" s="317"/>
      <c r="AG527" s="396" t="s">
        <v>2072</v>
      </c>
      <c r="AH527" s="397"/>
      <c r="AI527" s="317">
        <v>0</v>
      </c>
      <c r="AJ527" s="397">
        <v>43818</v>
      </c>
      <c r="AK527" s="326" t="s">
        <v>889</v>
      </c>
      <c r="AL527" s="326">
        <v>43812</v>
      </c>
      <c r="AM527" s="316"/>
      <c r="AN527" s="305"/>
      <c r="AO527" s="327" t="str">
        <f>_xlfn.IFNA(IF(VLOOKUP(tabItens[[#This Row],[CÓDIGO]],tabExcluirDoEstoque[#Data],1,FALSE),"sim",""),"")</f>
        <v/>
      </c>
      <c r="AP527" s="398" t="str">
        <f ca="1">IF(OR(ISBLANK(tabItens[[#This Row],[ATA DT.VALID.]]),tabItens[[#This Row],[ATA DT.VALID.]]="",tabItens[[#This Row],[ATA DT.VALID.]]=" "),"",IF(TYPE(tabItens[[#This Row],[ATA DT.VALID.]])=1,ROUNDUP((tabItens[[#This Row],[ATA DT.VALID.]]-TODAY())/7,0),""))</f>
        <v/>
      </c>
      <c r="AQ527" s="399">
        <v>0</v>
      </c>
      <c r="AR527" s="400" t="str">
        <f>IF(ISBLANK(tabItens[[#This Row],[CÓDIGO]]),"",IFERROR(VLOOKUP(tabItens[[#This Row],[CÓDIGO]],Consumo!$C$2:$AC$862,26,FALSE),0))</f>
        <v>09.2023</v>
      </c>
      <c r="AS527" s="401">
        <f>SUMIF(Consumo!$C$3:$C$862,tabItens[[#This Row],[CÓDIGO]],Consumo!$N$3:$N$862) + SUMIF(Consumo!$C$3:$C$862,tabItens[[#This Row],[CÓDIGO]],Consumo!$O$3:$O$862) + SUMIF(Consumo!$C$3:$C$862,tabItens[[#This Row],[CÓDIGO]],Consumo!$P$3:$P$862) + SUMIF(Consumo!$C$3:$C$862,tabItens[[#This Row],[CÓDIGO]],Consumo!$Q$3:$Q$862)</f>
        <v>0</v>
      </c>
      <c r="AT527" s="401">
        <f>SUMIF(Consumo!$C$3:$C$862,tabItens[[#This Row],[CÓDIGO]],Consumo!$Z$3:$Z$862)</f>
        <v>103</v>
      </c>
      <c r="AU527" s="402">
        <f>SUMIF(Consumo!$C$3:$C$862,tabItens[[#This Row],[CÓDIGO]],Consumo!$AA$3:$AA$862)</f>
        <v>0</v>
      </c>
      <c r="AV527" s="403">
        <f>SUMIF(Consumo!$C$3:$C$862,tabItens[[#This Row],[CÓDIGO]],Consumo!$Y$3:$Y$862)</f>
        <v>8.5833333333333339</v>
      </c>
      <c r="AW527" s="380">
        <f>tabItens[[#This Row],[QTDE ATUAL]] + tabItens[[#This Row],[RC QTDE]] + tabItens[[#This Row],[AF SALDO]] + tabItens[[#This Row],[Recentes]]</f>
        <v>0</v>
      </c>
      <c r="AX527" s="404">
        <v>42</v>
      </c>
      <c r="AY527" s="404">
        <v>4</v>
      </c>
      <c r="AZ527" s="404">
        <f>IF(ISBLANK(tabItens[[#This Row],[CÓDIGO]]),"",tabItens[[#This Row],[PontoMês]] * (AZ$2+tabItens[[#This Row],[PontoQtM]]))</f>
        <v>168</v>
      </c>
      <c r="BA527" s="403">
        <f>tabItens[[#This Row],[PontoPed]] - tabItens[[#This Row],[Saldo]] + (1/10)</f>
        <v>168.1</v>
      </c>
      <c r="BB527" s="403">
        <f xml:space="preserve"> tabItens[[#This Row],[PontoMês]] * BB$2 - tabItens[[#This Row],[QTDE ATUAL]] - (1/10)</f>
        <v>41.9</v>
      </c>
      <c r="BC527" s="335">
        <f>IF( tabItens[[#This Row],[PontoPed]]&gt;0, IF(tabItens[[#This Row],[PontoPed]]&lt;1, 1, IF( tabItens[[#This Row],[Saldo]]&gt;tabItens[[#This Row],[PontoPed]], 0, (tabItens[[#This Row],[PontoPed]]-tabItens[[#This Row],[Saldo]])/tabItens[[#This Row],[PontoPed]] ) ), 0 )</f>
        <v>1</v>
      </c>
      <c r="BD527" s="405">
        <f>ROUNDDOWN(IF( OR( AND(tabItens[[#This Row],[PontoPed]]&lt;tabItens[[#This Row],[Saldo]],tabItens[[#This Row],[Saldo]]&gt;0), tabItens[[#This Row],[PontoPed]]=0), 99, IF(AND(tabItens[[#This Row],[Saldo]]=0,tabItens[[#This Row],[PontoPed]]&gt;0), 0, (1-tabItens[[#This Row],[PctAb]])*10 ) ),0)</f>
        <v>0</v>
      </c>
      <c r="BE527" s="406">
        <f>MAX(ROUNDDOWN( IF(tabItens[[#This Row],[Abaixo]] &gt; 0,   tabItens[[#This Row],[Abaixo]] + (tabItens[[#This Row],[PontoMês]] * IF( OR( ISBLANK(tabItens[[#This Row],[ATA Nº/ANO]]), tabItens[[#This Row],[ATA Nº/ANO]] = ""),BE$2,BE$1)),0),0),0)</f>
        <v>294</v>
      </c>
      <c r="BF52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7" s="338">
        <f>SUMIF(Consumo!$C$3:$C$862,tabItens[[#This Row],[CÓDIGO]],Consumo!$E$3:$E$862)</f>
        <v>103</v>
      </c>
      <c r="BH527" s="339">
        <f>IF(AND(tabItens[[#This Row],[Pend]] &gt; 0,tabItens[[#This Row],[Consumo]] &lt;&gt; 0), tabItens[[#This Row],[Pend]] / tabItens[[#This Row],[Consumo]], 0 )</f>
        <v>1</v>
      </c>
      <c r="BI527" s="338"/>
      <c r="BJ527" s="407"/>
      <c r="BK527" s="408" t="s">
        <v>2086</v>
      </c>
    </row>
    <row r="528" spans="1:63" x14ac:dyDescent="0.3">
      <c r="A528" s="375">
        <v>20034</v>
      </c>
      <c r="B528" s="376" t="s">
        <v>1157</v>
      </c>
      <c r="C528" s="377" t="s">
        <v>263</v>
      </c>
      <c r="D528" s="378">
        <v>2.44</v>
      </c>
      <c r="E528" s="305"/>
      <c r="F528" s="379"/>
      <c r="G528" s="379" t="s">
        <v>889</v>
      </c>
      <c r="H528" s="380">
        <v>241</v>
      </c>
      <c r="I528" s="307">
        <v>103003</v>
      </c>
      <c r="J528" s="308">
        <v>2.44</v>
      </c>
      <c r="K528" s="381">
        <v>540</v>
      </c>
      <c r="L528" s="382">
        <f>IF(tabItens[[#This Row],[Média]] &gt; 0, tabItens[[#This Row],[QTDE ATUAL]] / tabItens[[#This Row],[Média]],999.9)</f>
        <v>4.4220183486238529</v>
      </c>
      <c r="M528" s="383">
        <v>0</v>
      </c>
      <c r="N528" s="384">
        <f>tabItens[[#This Row],[VALOR UNIT.]] * tabItens[[#This Row],[LC]]</f>
        <v>0</v>
      </c>
      <c r="O528" s="385" t="s">
        <v>2132</v>
      </c>
      <c r="P528" s="386"/>
      <c r="Q528" s="387"/>
      <c r="R528" s="312"/>
      <c r="S528" s="388"/>
      <c r="T528" s="389">
        <f>ROUNDDOWN(IFERROR(tabItens[[#This Row],[ATA DT.VALID.]] - $D$1,0) / 30,0)</f>
        <v>-1474</v>
      </c>
      <c r="U528" s="302" t="s">
        <v>1152</v>
      </c>
      <c r="V528" s="318">
        <v>1</v>
      </c>
      <c r="W528" s="390" t="s">
        <v>2078</v>
      </c>
      <c r="X528" s="391">
        <v>70</v>
      </c>
      <c r="Y528" s="392">
        <v>31</v>
      </c>
      <c r="Z528" s="393"/>
      <c r="AA528" s="394"/>
      <c r="AB528" s="395"/>
      <c r="AC528" s="395"/>
      <c r="AD528" s="394"/>
      <c r="AE528" s="395"/>
      <c r="AF528" s="317"/>
      <c r="AG528" s="396" t="s">
        <v>2072</v>
      </c>
      <c r="AH528" s="397"/>
      <c r="AI528" s="317">
        <v>216</v>
      </c>
      <c r="AJ528" s="397">
        <v>44607</v>
      </c>
      <c r="AK528" s="326" t="s">
        <v>889</v>
      </c>
      <c r="AL528" s="326">
        <v>44592</v>
      </c>
      <c r="AM528" s="316"/>
      <c r="AN528" s="305"/>
      <c r="AO528" s="327" t="str">
        <f>_xlfn.IFNA(IF(VLOOKUP(tabItens[[#This Row],[CÓDIGO]],tabExcluirDoEstoque[#Data],1,FALSE),"sim",""),"")</f>
        <v/>
      </c>
      <c r="AP528" s="398" t="str">
        <f ca="1">IF(OR(ISBLANK(tabItens[[#This Row],[ATA DT.VALID.]]),tabItens[[#This Row],[ATA DT.VALID.]]="",tabItens[[#This Row],[ATA DT.VALID.]]=" "),"",IF(TYPE(tabItens[[#This Row],[ATA DT.VALID.]])=1,ROUNDUP((tabItens[[#This Row],[ATA DT.VALID.]]-TODAY())/7,0),""))</f>
        <v/>
      </c>
      <c r="AQ528" s="399">
        <v>0</v>
      </c>
      <c r="AR528" s="400" t="str">
        <f>IF(ISBLANK(tabItens[[#This Row],[CÓDIGO]]),"",IFERROR(VLOOKUP(tabItens[[#This Row],[CÓDIGO]],Consumo!$C$2:$AC$862,26,FALSE),0))</f>
        <v>09.2023</v>
      </c>
      <c r="AS528" s="401">
        <f>SUMIF(Consumo!$C$3:$C$862,tabItens[[#This Row],[CÓDIGO]],Consumo!$N$3:$N$862) + SUMIF(Consumo!$C$3:$C$862,tabItens[[#This Row],[CÓDIGO]],Consumo!$O$3:$O$862) + SUMIF(Consumo!$C$3:$C$862,tabItens[[#This Row],[CÓDIGO]],Consumo!$P$3:$P$862) + SUMIF(Consumo!$C$3:$C$862,tabItens[[#This Row],[CÓDIGO]],Consumo!$Q$3:$Q$862)</f>
        <v>100</v>
      </c>
      <c r="AT528" s="401">
        <f>SUMIF(Consumo!$C$3:$C$862,tabItens[[#This Row],[CÓDIGO]],Consumo!$Z$3:$Z$862)</f>
        <v>654</v>
      </c>
      <c r="AU528" s="402">
        <f>SUMIF(Consumo!$C$3:$C$862,tabItens[[#This Row],[CÓDIGO]],Consumo!$AA$3:$AA$862)</f>
        <v>117</v>
      </c>
      <c r="AV528" s="403">
        <f>SUMIF(Consumo!$C$3:$C$862,tabItens[[#This Row],[CÓDIGO]],Consumo!$Y$3:$Y$862)</f>
        <v>54.5</v>
      </c>
      <c r="AW528" s="380">
        <f>tabItens[[#This Row],[QTDE ATUAL]] + tabItens[[#This Row],[RC QTDE]] + tabItens[[#This Row],[AF SALDO]] + tabItens[[#This Row],[Recentes]]</f>
        <v>241</v>
      </c>
      <c r="AX528" s="404">
        <v>40</v>
      </c>
      <c r="AY528" s="404">
        <v>4</v>
      </c>
      <c r="AZ528" s="404">
        <f>IF(ISBLANK(tabItens[[#This Row],[CÓDIGO]]),"",tabItens[[#This Row],[PontoMês]] * (AZ$2+tabItens[[#This Row],[PontoQtM]]))</f>
        <v>160</v>
      </c>
      <c r="BA528" s="403">
        <f>tabItens[[#This Row],[PontoPed]] - tabItens[[#This Row],[Saldo]] + (1/10)</f>
        <v>-80.900000000000006</v>
      </c>
      <c r="BB528" s="403">
        <f xml:space="preserve"> tabItens[[#This Row],[PontoMês]] * BB$2 - tabItens[[#This Row],[QTDE ATUAL]] - (1/10)</f>
        <v>-201.1</v>
      </c>
      <c r="BC528" s="335">
        <f>IF( tabItens[[#This Row],[PontoPed]]&gt;0, IF(tabItens[[#This Row],[PontoPed]]&lt;1, 1, IF( tabItens[[#This Row],[Saldo]]&gt;tabItens[[#This Row],[PontoPed]], 0, (tabItens[[#This Row],[PontoPed]]-tabItens[[#This Row],[Saldo]])/tabItens[[#This Row],[PontoPed]] ) ), 0 )</f>
        <v>0</v>
      </c>
      <c r="BD528" s="405">
        <f>ROUNDDOWN(IF( OR( AND(tabItens[[#This Row],[PontoPed]]&lt;tabItens[[#This Row],[Saldo]],tabItens[[#This Row],[Saldo]]&gt;0), tabItens[[#This Row],[PontoPed]]=0), 99, IF(AND(tabItens[[#This Row],[Saldo]]=0,tabItens[[#This Row],[PontoPed]]&gt;0), 0, (1-tabItens[[#This Row],[PctAb]])*10 ) ),0)</f>
        <v>99</v>
      </c>
      <c r="BE528" s="406">
        <f>MAX(ROUNDDOWN( IF(tabItens[[#This Row],[Abaixo]] &gt; 0,   tabItens[[#This Row],[Abaixo]] + (tabItens[[#This Row],[PontoMês]] * IF( OR( ISBLANK(tabItens[[#This Row],[ATA Nº/ANO]]), tabItens[[#This Row],[ATA Nº/ANO]] = ""),BE$2,BE$1)),0),0),0)</f>
        <v>0</v>
      </c>
      <c r="BF52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8" s="338">
        <f>SUMIF(Consumo!$C$3:$C$862,tabItens[[#This Row],[CÓDIGO]],Consumo!$E$3:$E$862)</f>
        <v>5</v>
      </c>
      <c r="BH528" s="339">
        <f>IF(AND(tabItens[[#This Row],[Pend]] &gt; 0,tabItens[[#This Row],[Consumo]] &lt;&gt; 0), tabItens[[#This Row],[Pend]] / tabItens[[#This Row],[Consumo]], 0 )</f>
        <v>7.6452599388379203E-3</v>
      </c>
      <c r="BI528" s="338"/>
      <c r="BJ528" s="407"/>
      <c r="BK528" s="408" t="s">
        <v>2086</v>
      </c>
    </row>
    <row r="529" spans="1:63" x14ac:dyDescent="0.3">
      <c r="A529" s="375">
        <v>20035</v>
      </c>
      <c r="B529" s="376" t="s">
        <v>1158</v>
      </c>
      <c r="C529" s="377" t="s">
        <v>263</v>
      </c>
      <c r="D529" s="378">
        <v>1.18</v>
      </c>
      <c r="E529" s="305"/>
      <c r="F529" s="379"/>
      <c r="G529" s="379" t="s">
        <v>889</v>
      </c>
      <c r="H529" s="380">
        <v>849</v>
      </c>
      <c r="I529" s="307">
        <v>103003</v>
      </c>
      <c r="J529" s="308">
        <v>1.18</v>
      </c>
      <c r="K529" s="381">
        <v>160</v>
      </c>
      <c r="L529" s="382">
        <f>IF(tabItens[[#This Row],[Média]] &gt; 0, tabItens[[#This Row],[QTDE ATUAL]] / tabItens[[#This Row],[Média]],999.9)</f>
        <v>57.559322033898304</v>
      </c>
      <c r="M529" s="383">
        <v>0</v>
      </c>
      <c r="N529" s="384">
        <f>tabItens[[#This Row],[VALOR UNIT.]] * tabItens[[#This Row],[LC]]</f>
        <v>0</v>
      </c>
      <c r="O529" s="385" t="s">
        <v>2132</v>
      </c>
      <c r="P529" s="386"/>
      <c r="Q529" s="387"/>
      <c r="R529" s="312"/>
      <c r="S529" s="388"/>
      <c r="T529" s="389">
        <f>ROUNDDOWN(IFERROR(tabItens[[#This Row],[ATA DT.VALID.]] - $D$1,0) / 30,0)</f>
        <v>-1474</v>
      </c>
      <c r="U529" s="302" t="s">
        <v>1152</v>
      </c>
      <c r="V529" s="318">
        <v>1</v>
      </c>
      <c r="W529" s="390" t="s">
        <v>2078</v>
      </c>
      <c r="X529" s="391">
        <v>70</v>
      </c>
      <c r="Y529" s="392">
        <v>31</v>
      </c>
      <c r="Z529" s="393"/>
      <c r="AA529" s="394"/>
      <c r="AB529" s="395"/>
      <c r="AC529" s="395"/>
      <c r="AD529" s="394"/>
      <c r="AE529" s="395"/>
      <c r="AF529" s="317"/>
      <c r="AG529" s="396" t="s">
        <v>2072</v>
      </c>
      <c r="AH529" s="397"/>
      <c r="AI529" s="317">
        <v>60</v>
      </c>
      <c r="AJ529" s="397">
        <v>44607</v>
      </c>
      <c r="AK529" s="326" t="s">
        <v>889</v>
      </c>
      <c r="AL529" s="326">
        <v>44592</v>
      </c>
      <c r="AM529" s="316"/>
      <c r="AN529" s="305"/>
      <c r="AO529" s="327" t="str">
        <f>_xlfn.IFNA(IF(VLOOKUP(tabItens[[#This Row],[CÓDIGO]],tabExcluirDoEstoque[#Data],1,FALSE),"sim",""),"")</f>
        <v/>
      </c>
      <c r="AP529" s="398" t="str">
        <f ca="1">IF(OR(ISBLANK(tabItens[[#This Row],[ATA DT.VALID.]]),tabItens[[#This Row],[ATA DT.VALID.]]="",tabItens[[#This Row],[ATA DT.VALID.]]=" "),"",IF(TYPE(tabItens[[#This Row],[ATA DT.VALID.]])=1,ROUNDUP((tabItens[[#This Row],[ATA DT.VALID.]]-TODAY())/7,0),""))</f>
        <v/>
      </c>
      <c r="AQ529" s="399">
        <v>0</v>
      </c>
      <c r="AR529" s="400" t="str">
        <f>IF(ISBLANK(tabItens[[#This Row],[CÓDIGO]]),"",IFERROR(VLOOKUP(tabItens[[#This Row],[CÓDIGO]],Consumo!$C$2:$AC$862,26,FALSE),0))</f>
        <v>09.2023</v>
      </c>
      <c r="AS529" s="401">
        <f>SUMIF(Consumo!$C$3:$C$862,tabItens[[#This Row],[CÓDIGO]],Consumo!$N$3:$N$862) + SUMIF(Consumo!$C$3:$C$862,tabItens[[#This Row],[CÓDIGO]],Consumo!$O$3:$O$862) + SUMIF(Consumo!$C$3:$C$862,tabItens[[#This Row],[CÓDIGO]],Consumo!$P$3:$P$862) + SUMIF(Consumo!$C$3:$C$862,tabItens[[#This Row],[CÓDIGO]],Consumo!$Q$3:$Q$862)</f>
        <v>80</v>
      </c>
      <c r="AT529" s="401">
        <f>SUMIF(Consumo!$C$3:$C$862,tabItens[[#This Row],[CÓDIGO]],Consumo!$Z$3:$Z$862)</f>
        <v>180</v>
      </c>
      <c r="AU529" s="402">
        <f>SUMIF(Consumo!$C$3:$C$862,tabItens[[#This Row],[CÓDIGO]],Consumo!$AA$3:$AA$862)</f>
        <v>50</v>
      </c>
      <c r="AV529" s="403">
        <f>SUMIF(Consumo!$C$3:$C$862,tabItens[[#This Row],[CÓDIGO]],Consumo!$Y$3:$Y$862)</f>
        <v>14.75</v>
      </c>
      <c r="AW529" s="380">
        <f>tabItens[[#This Row],[QTDE ATUAL]] + tabItens[[#This Row],[RC QTDE]] + tabItens[[#This Row],[AF SALDO]] + tabItens[[#This Row],[Recentes]]</f>
        <v>849</v>
      </c>
      <c r="AX529" s="404">
        <v>9</v>
      </c>
      <c r="AY529" s="404">
        <v>4</v>
      </c>
      <c r="AZ529" s="404">
        <f>IF(ISBLANK(tabItens[[#This Row],[CÓDIGO]]),"",tabItens[[#This Row],[PontoMês]] * (AZ$2+tabItens[[#This Row],[PontoQtM]]))</f>
        <v>36</v>
      </c>
      <c r="BA529" s="403">
        <f>tabItens[[#This Row],[PontoPed]] - tabItens[[#This Row],[Saldo]] + (1/10)</f>
        <v>-812.9</v>
      </c>
      <c r="BB529" s="403">
        <f xml:space="preserve"> tabItens[[#This Row],[PontoMês]] * BB$2 - tabItens[[#This Row],[QTDE ATUAL]] - (1/10)</f>
        <v>-840.1</v>
      </c>
      <c r="BC529" s="335">
        <f>IF( tabItens[[#This Row],[PontoPed]]&gt;0, IF(tabItens[[#This Row],[PontoPed]]&lt;1, 1, IF( tabItens[[#This Row],[Saldo]]&gt;tabItens[[#This Row],[PontoPed]], 0, (tabItens[[#This Row],[PontoPed]]-tabItens[[#This Row],[Saldo]])/tabItens[[#This Row],[PontoPed]] ) ), 0 )</f>
        <v>0</v>
      </c>
      <c r="BD529" s="405">
        <f>ROUNDDOWN(IF( OR( AND(tabItens[[#This Row],[PontoPed]]&lt;tabItens[[#This Row],[Saldo]],tabItens[[#This Row],[Saldo]]&gt;0), tabItens[[#This Row],[PontoPed]]=0), 99, IF(AND(tabItens[[#This Row],[Saldo]]=0,tabItens[[#This Row],[PontoPed]]&gt;0), 0, (1-tabItens[[#This Row],[PctAb]])*10 ) ),0)</f>
        <v>99</v>
      </c>
      <c r="BE529" s="406">
        <f>MAX(ROUNDDOWN( IF(tabItens[[#This Row],[Abaixo]] &gt; 0,   tabItens[[#This Row],[Abaixo]] + (tabItens[[#This Row],[PontoMês]] * IF( OR( ISBLANK(tabItens[[#This Row],[ATA Nº/ANO]]), tabItens[[#This Row],[ATA Nº/ANO]] = ""),BE$2,BE$1)),0),0),0)</f>
        <v>0</v>
      </c>
      <c r="BF52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9" s="338">
        <f>SUMIF(Consumo!$C$3:$C$862,tabItens[[#This Row],[CÓDIGO]],Consumo!$E$3:$E$862)</f>
        <v>0</v>
      </c>
      <c r="BH529" s="339">
        <f>IF(AND(tabItens[[#This Row],[Pend]] &gt; 0,tabItens[[#This Row],[Consumo]] &lt;&gt; 0), tabItens[[#This Row],[Pend]] / tabItens[[#This Row],[Consumo]], 0 )</f>
        <v>0</v>
      </c>
      <c r="BI529" s="338"/>
      <c r="BJ529" s="407"/>
      <c r="BK529" s="408" t="s">
        <v>2086</v>
      </c>
    </row>
    <row r="530" spans="1:63" x14ac:dyDescent="0.3">
      <c r="A530" s="375">
        <v>20104</v>
      </c>
      <c r="B530" s="376" t="s">
        <v>1160</v>
      </c>
      <c r="C530" s="377" t="s">
        <v>263</v>
      </c>
      <c r="D530" s="378">
        <v>5.14</v>
      </c>
      <c r="E530" s="305"/>
      <c r="F530" s="379"/>
      <c r="G530" s="379" t="s">
        <v>889</v>
      </c>
      <c r="H530" s="380">
        <v>284</v>
      </c>
      <c r="I530" s="307">
        <v>103003</v>
      </c>
      <c r="J530" s="308">
        <v>5.14</v>
      </c>
      <c r="K530" s="381">
        <v>231</v>
      </c>
      <c r="L530" s="382">
        <f>IF(tabItens[[#This Row],[Média]] &gt; 0, tabItens[[#This Row],[QTDE ATUAL]] / tabItens[[#This Row],[Média]],999.9)</f>
        <v>16.151658767772513</v>
      </c>
      <c r="M530" s="383">
        <v>0</v>
      </c>
      <c r="N530" s="384">
        <f>tabItens[[#This Row],[VALOR UNIT.]] * tabItens[[#This Row],[LC]]</f>
        <v>0</v>
      </c>
      <c r="O530" s="385" t="s">
        <v>2132</v>
      </c>
      <c r="P530" s="386"/>
      <c r="Q530" s="387"/>
      <c r="R530" s="312"/>
      <c r="S530" s="388"/>
      <c r="T530" s="389">
        <f>ROUNDDOWN(IFERROR(tabItens[[#This Row],[ATA DT.VALID.]] - $D$1,0) / 30,0)</f>
        <v>-1474</v>
      </c>
      <c r="U530" s="302" t="s">
        <v>1152</v>
      </c>
      <c r="V530" s="318">
        <v>1</v>
      </c>
      <c r="W530" s="390" t="s">
        <v>2078</v>
      </c>
      <c r="X530" s="391">
        <v>70</v>
      </c>
      <c r="Y530" s="392">
        <v>31</v>
      </c>
      <c r="Z530" s="393"/>
      <c r="AA530" s="394"/>
      <c r="AB530" s="395"/>
      <c r="AC530" s="395"/>
      <c r="AD530" s="394"/>
      <c r="AE530" s="395"/>
      <c r="AF530" s="317"/>
      <c r="AG530" s="396" t="s">
        <v>2072</v>
      </c>
      <c r="AH530" s="397"/>
      <c r="AI530" s="317">
        <v>78</v>
      </c>
      <c r="AJ530" s="397">
        <v>44571</v>
      </c>
      <c r="AK530" s="326" t="s">
        <v>889</v>
      </c>
      <c r="AL530" s="326">
        <v>44536</v>
      </c>
      <c r="AM530" s="316"/>
      <c r="AN530" s="305"/>
      <c r="AO530" s="327" t="str">
        <f>_xlfn.IFNA(IF(VLOOKUP(tabItens[[#This Row],[CÓDIGO]],tabExcluirDoEstoque[#Data],1,FALSE),"sim",""),"")</f>
        <v/>
      </c>
      <c r="AP530" s="398" t="str">
        <f ca="1">IF(OR(ISBLANK(tabItens[[#This Row],[ATA DT.VALID.]]),tabItens[[#This Row],[ATA DT.VALID.]]="",tabItens[[#This Row],[ATA DT.VALID.]]=" "),"",IF(TYPE(tabItens[[#This Row],[ATA DT.VALID.]])=1,ROUNDUP((tabItens[[#This Row],[ATA DT.VALID.]]-TODAY())/7,0),""))</f>
        <v/>
      </c>
      <c r="AQ530" s="399">
        <v>0</v>
      </c>
      <c r="AR530" s="400" t="str">
        <f>IF(ISBLANK(tabItens[[#This Row],[CÓDIGO]]),"",IFERROR(VLOOKUP(tabItens[[#This Row],[CÓDIGO]],Consumo!$C$2:$AC$862,26,FALSE),0))</f>
        <v>09.2023</v>
      </c>
      <c r="AS530" s="401">
        <f>SUMIF(Consumo!$C$3:$C$862,tabItens[[#This Row],[CÓDIGO]],Consumo!$N$3:$N$862) + SUMIF(Consumo!$C$3:$C$862,tabItens[[#This Row],[CÓDIGO]],Consumo!$O$3:$O$862) + SUMIF(Consumo!$C$3:$C$862,tabItens[[#This Row],[CÓDIGO]],Consumo!$P$3:$P$862) + SUMIF(Consumo!$C$3:$C$862,tabItens[[#This Row],[CÓDIGO]],Consumo!$Q$3:$Q$862)</f>
        <v>100</v>
      </c>
      <c r="AT530" s="401">
        <f>SUMIF(Consumo!$C$3:$C$862,tabItens[[#This Row],[CÓDIGO]],Consumo!$Z$3:$Z$862)</f>
        <v>232</v>
      </c>
      <c r="AU530" s="402">
        <f>SUMIF(Consumo!$C$3:$C$862,tabItens[[#This Row],[CÓDIGO]],Consumo!$AA$3:$AA$862)</f>
        <v>100</v>
      </c>
      <c r="AV530" s="403">
        <f>SUMIF(Consumo!$C$3:$C$862,tabItens[[#This Row],[CÓDIGO]],Consumo!$Y$3:$Y$862)</f>
        <v>17.583333333333332</v>
      </c>
      <c r="AW530" s="380">
        <f>tabItens[[#This Row],[QTDE ATUAL]] + tabItens[[#This Row],[RC QTDE]] + tabItens[[#This Row],[AF SALDO]] + tabItens[[#This Row],[Recentes]]</f>
        <v>284</v>
      </c>
      <c r="AX530" s="404">
        <v>13</v>
      </c>
      <c r="AY530" s="404">
        <v>4</v>
      </c>
      <c r="AZ530" s="404">
        <f>IF(ISBLANK(tabItens[[#This Row],[CÓDIGO]]),"",tabItens[[#This Row],[PontoMês]] * (AZ$2+tabItens[[#This Row],[PontoQtM]]))</f>
        <v>52</v>
      </c>
      <c r="BA530" s="403">
        <f>tabItens[[#This Row],[PontoPed]] - tabItens[[#This Row],[Saldo]] + (1/10)</f>
        <v>-231.9</v>
      </c>
      <c r="BB530" s="403">
        <f xml:space="preserve"> tabItens[[#This Row],[PontoMês]] * BB$2 - tabItens[[#This Row],[QTDE ATUAL]] - (1/10)</f>
        <v>-271.10000000000002</v>
      </c>
      <c r="BC530" s="335">
        <f>IF( tabItens[[#This Row],[PontoPed]]&gt;0, IF(tabItens[[#This Row],[PontoPed]]&lt;1, 1, IF( tabItens[[#This Row],[Saldo]]&gt;tabItens[[#This Row],[PontoPed]], 0, (tabItens[[#This Row],[PontoPed]]-tabItens[[#This Row],[Saldo]])/tabItens[[#This Row],[PontoPed]] ) ), 0 )</f>
        <v>0</v>
      </c>
      <c r="BD530" s="405">
        <f>ROUNDDOWN(IF( OR( AND(tabItens[[#This Row],[PontoPed]]&lt;tabItens[[#This Row],[Saldo]],tabItens[[#This Row],[Saldo]]&gt;0), tabItens[[#This Row],[PontoPed]]=0), 99, IF(AND(tabItens[[#This Row],[Saldo]]=0,tabItens[[#This Row],[PontoPed]]&gt;0), 0, (1-tabItens[[#This Row],[PctAb]])*10 ) ),0)</f>
        <v>99</v>
      </c>
      <c r="BE530" s="406">
        <f>MAX(ROUNDDOWN( IF(tabItens[[#This Row],[Abaixo]] &gt; 0,   tabItens[[#This Row],[Abaixo]] + (tabItens[[#This Row],[PontoMês]] * IF( OR( ISBLANK(tabItens[[#This Row],[ATA Nº/ANO]]), tabItens[[#This Row],[ATA Nº/ANO]] = ""),BE$2,BE$1)),0),0),0)</f>
        <v>0</v>
      </c>
      <c r="BF53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0" s="338">
        <f>SUMIF(Consumo!$C$3:$C$862,tabItens[[#This Row],[CÓDIGO]],Consumo!$E$3:$E$862)</f>
        <v>0</v>
      </c>
      <c r="BH530" s="339">
        <f>IF(AND(tabItens[[#This Row],[Pend]] &gt; 0,tabItens[[#This Row],[Consumo]] &lt;&gt; 0), tabItens[[#This Row],[Pend]] / tabItens[[#This Row],[Consumo]], 0 )</f>
        <v>0</v>
      </c>
      <c r="BI530" s="338"/>
      <c r="BJ530" s="407"/>
      <c r="BK530" s="408" t="s">
        <v>2086</v>
      </c>
    </row>
    <row r="531" spans="1:63" x14ac:dyDescent="0.3">
      <c r="A531" s="375">
        <v>20106</v>
      </c>
      <c r="B531" s="376" t="s">
        <v>1161</v>
      </c>
      <c r="C531" s="377" t="s">
        <v>263</v>
      </c>
      <c r="D531" s="378">
        <v>1.42</v>
      </c>
      <c r="E531" s="305"/>
      <c r="F531" s="379"/>
      <c r="G531" s="379" t="s">
        <v>889</v>
      </c>
      <c r="H531" s="380">
        <v>518</v>
      </c>
      <c r="I531" s="307">
        <v>103003</v>
      </c>
      <c r="J531" s="308">
        <v>1.42</v>
      </c>
      <c r="K531" s="381">
        <v>335</v>
      </c>
      <c r="L531" s="382">
        <f>IF(tabItens[[#This Row],[Média]] &gt; 0, tabItens[[#This Row],[QTDE ATUAL]] / tabItens[[#This Row],[Média]],999.9)</f>
        <v>15.54</v>
      </c>
      <c r="M531" s="383">
        <v>0</v>
      </c>
      <c r="N531" s="384">
        <f>tabItens[[#This Row],[VALOR UNIT.]] * tabItens[[#This Row],[LC]]</f>
        <v>0</v>
      </c>
      <c r="O531" s="385" t="s">
        <v>2132</v>
      </c>
      <c r="P531" s="386"/>
      <c r="Q531" s="387"/>
      <c r="R531" s="312"/>
      <c r="S531" s="388"/>
      <c r="T531" s="389">
        <f>ROUNDDOWN(IFERROR(tabItens[[#This Row],[ATA DT.VALID.]] - $D$1,0) / 30,0)</f>
        <v>-1474</v>
      </c>
      <c r="U531" s="302" t="s">
        <v>1152</v>
      </c>
      <c r="V531" s="318">
        <v>1</v>
      </c>
      <c r="W531" s="390" t="s">
        <v>2078</v>
      </c>
      <c r="X531" s="391">
        <v>70</v>
      </c>
      <c r="Y531" s="392">
        <v>31</v>
      </c>
      <c r="Z531" s="393"/>
      <c r="AA531" s="394"/>
      <c r="AB531" s="395"/>
      <c r="AC531" s="395"/>
      <c r="AD531" s="394"/>
      <c r="AE531" s="395"/>
      <c r="AF531" s="317"/>
      <c r="AG531" s="396" t="s">
        <v>2072</v>
      </c>
      <c r="AH531" s="397"/>
      <c r="AI531" s="317">
        <v>130</v>
      </c>
      <c r="AJ531" s="397">
        <v>44607</v>
      </c>
      <c r="AK531" s="326" t="s">
        <v>889</v>
      </c>
      <c r="AL531" s="326">
        <v>44592</v>
      </c>
      <c r="AM531" s="316"/>
      <c r="AN531" s="305"/>
      <c r="AO531" s="327" t="str">
        <f>_xlfn.IFNA(IF(VLOOKUP(tabItens[[#This Row],[CÓDIGO]],tabExcluirDoEstoque[#Data],1,FALSE),"sim",""),"")</f>
        <v/>
      </c>
      <c r="AP531" s="398" t="str">
        <f ca="1">IF(OR(ISBLANK(tabItens[[#This Row],[ATA DT.VALID.]]),tabItens[[#This Row],[ATA DT.VALID.]]="",tabItens[[#This Row],[ATA DT.VALID.]]=" "),"",IF(TYPE(tabItens[[#This Row],[ATA DT.VALID.]])=1,ROUNDUP((tabItens[[#This Row],[ATA DT.VALID.]]-TODAY())/7,0),""))</f>
        <v/>
      </c>
      <c r="AQ531" s="399">
        <v>0</v>
      </c>
      <c r="AR531" s="400" t="str">
        <f>IF(ISBLANK(tabItens[[#This Row],[CÓDIGO]]),"",IFERROR(VLOOKUP(tabItens[[#This Row],[CÓDIGO]],Consumo!$C$2:$AC$862,26,FALSE),0))</f>
        <v>09.2023</v>
      </c>
      <c r="AS531" s="401">
        <f>SUMIF(Consumo!$C$3:$C$862,tabItens[[#This Row],[CÓDIGO]],Consumo!$N$3:$N$862) + SUMIF(Consumo!$C$3:$C$862,tabItens[[#This Row],[CÓDIGO]],Consumo!$O$3:$O$862) + SUMIF(Consumo!$C$3:$C$862,tabItens[[#This Row],[CÓDIGO]],Consumo!$P$3:$P$862) + SUMIF(Consumo!$C$3:$C$862,tabItens[[#This Row],[CÓDIGO]],Consumo!$Q$3:$Q$862)</f>
        <v>50</v>
      </c>
      <c r="AT531" s="401">
        <f>SUMIF(Consumo!$C$3:$C$862,tabItens[[#This Row],[CÓDIGO]],Consumo!$Z$3:$Z$862)</f>
        <v>400</v>
      </c>
      <c r="AU531" s="402">
        <f>SUMIF(Consumo!$C$3:$C$862,tabItens[[#This Row],[CÓDIGO]],Consumo!$AA$3:$AA$862)</f>
        <v>88</v>
      </c>
      <c r="AV531" s="403">
        <f>SUMIF(Consumo!$C$3:$C$862,tabItens[[#This Row],[CÓDIGO]],Consumo!$Y$3:$Y$862)</f>
        <v>33.333333333333336</v>
      </c>
      <c r="AW531" s="380">
        <f>tabItens[[#This Row],[QTDE ATUAL]] + tabItens[[#This Row],[RC QTDE]] + tabItens[[#This Row],[AF SALDO]] + tabItens[[#This Row],[Recentes]]</f>
        <v>518</v>
      </c>
      <c r="AX531" s="404">
        <v>21</v>
      </c>
      <c r="AY531" s="404">
        <v>4</v>
      </c>
      <c r="AZ531" s="404">
        <f>IF(ISBLANK(tabItens[[#This Row],[CÓDIGO]]),"",tabItens[[#This Row],[PontoMês]] * (AZ$2+tabItens[[#This Row],[PontoQtM]]))</f>
        <v>84</v>
      </c>
      <c r="BA531" s="403">
        <f>tabItens[[#This Row],[PontoPed]] - tabItens[[#This Row],[Saldo]] + (1/10)</f>
        <v>-433.9</v>
      </c>
      <c r="BB531" s="403">
        <f xml:space="preserve"> tabItens[[#This Row],[PontoMês]] * BB$2 - tabItens[[#This Row],[QTDE ATUAL]] - (1/10)</f>
        <v>-497.1</v>
      </c>
      <c r="BC531" s="335">
        <f>IF( tabItens[[#This Row],[PontoPed]]&gt;0, IF(tabItens[[#This Row],[PontoPed]]&lt;1, 1, IF( tabItens[[#This Row],[Saldo]]&gt;tabItens[[#This Row],[PontoPed]], 0, (tabItens[[#This Row],[PontoPed]]-tabItens[[#This Row],[Saldo]])/tabItens[[#This Row],[PontoPed]] ) ), 0 )</f>
        <v>0</v>
      </c>
      <c r="BD531" s="405">
        <f>ROUNDDOWN(IF( OR( AND(tabItens[[#This Row],[PontoPed]]&lt;tabItens[[#This Row],[Saldo]],tabItens[[#This Row],[Saldo]]&gt;0), tabItens[[#This Row],[PontoPed]]=0), 99, IF(AND(tabItens[[#This Row],[Saldo]]=0,tabItens[[#This Row],[PontoPed]]&gt;0), 0, (1-tabItens[[#This Row],[PctAb]])*10 ) ),0)</f>
        <v>99</v>
      </c>
      <c r="BE531" s="406">
        <f>MAX(ROUNDDOWN( IF(tabItens[[#This Row],[Abaixo]] &gt; 0,   tabItens[[#This Row],[Abaixo]] + (tabItens[[#This Row],[PontoMês]] * IF( OR( ISBLANK(tabItens[[#This Row],[ATA Nº/ANO]]), tabItens[[#This Row],[ATA Nº/ANO]] = ""),BE$2,BE$1)),0),0),0)</f>
        <v>0</v>
      </c>
      <c r="BF53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1" s="338">
        <f>SUMIF(Consumo!$C$3:$C$862,tabItens[[#This Row],[CÓDIGO]],Consumo!$E$3:$E$862)</f>
        <v>10</v>
      </c>
      <c r="BH531" s="339">
        <f>IF(AND(tabItens[[#This Row],[Pend]] &gt; 0,tabItens[[#This Row],[Consumo]] &lt;&gt; 0), tabItens[[#This Row],[Pend]] / tabItens[[#This Row],[Consumo]], 0 )</f>
        <v>2.5000000000000001E-2</v>
      </c>
      <c r="BI531" s="338"/>
      <c r="BJ531" s="407"/>
      <c r="BK531" s="408" t="s">
        <v>2086</v>
      </c>
    </row>
    <row r="532" spans="1:63" x14ac:dyDescent="0.3">
      <c r="A532" s="375">
        <v>19998</v>
      </c>
      <c r="B532" s="376" t="s">
        <v>1155</v>
      </c>
      <c r="C532" s="377" t="s">
        <v>263</v>
      </c>
      <c r="D532" s="378">
        <v>10.45</v>
      </c>
      <c r="E532" s="305"/>
      <c r="F532" s="379"/>
      <c r="G532" s="379" t="s">
        <v>889</v>
      </c>
      <c r="H532" s="380">
        <v>0</v>
      </c>
      <c r="I532" s="307">
        <v>103003</v>
      </c>
      <c r="J532" s="308">
        <v>10.45</v>
      </c>
      <c r="K532" s="381">
        <v>14</v>
      </c>
      <c r="L532" s="382">
        <f>IF(tabItens[[#This Row],[Média]] &gt; 0, tabItens[[#This Row],[QTDE ATUAL]] / tabItens[[#This Row],[Média]],999.9)</f>
        <v>0</v>
      </c>
      <c r="M532" s="383">
        <v>0</v>
      </c>
      <c r="N532" s="384">
        <f>tabItens[[#This Row],[VALOR UNIT.]] * tabItens[[#This Row],[LC]]</f>
        <v>0</v>
      </c>
      <c r="O532" s="385" t="s">
        <v>2133</v>
      </c>
      <c r="P532" s="386"/>
      <c r="Q532" s="387"/>
      <c r="R532" s="312"/>
      <c r="S532" s="388"/>
      <c r="T532" s="389">
        <f>ROUNDDOWN(IFERROR(tabItens[[#This Row],[ATA DT.VALID.]] - $D$1,0) / 30,0)</f>
        <v>-1474</v>
      </c>
      <c r="U532" s="302" t="s">
        <v>1152</v>
      </c>
      <c r="V532" s="318">
        <v>1</v>
      </c>
      <c r="W532" s="390" t="s">
        <v>2078</v>
      </c>
      <c r="X532" s="391">
        <v>70</v>
      </c>
      <c r="Y532" s="392">
        <v>31</v>
      </c>
      <c r="Z532" s="393"/>
      <c r="AA532" s="394"/>
      <c r="AB532" s="395"/>
      <c r="AC532" s="395"/>
      <c r="AD532" s="394"/>
      <c r="AE532" s="395"/>
      <c r="AF532" s="317"/>
      <c r="AG532" s="396" t="s">
        <v>2072</v>
      </c>
      <c r="AH532" s="397"/>
      <c r="AI532" s="317">
        <v>4</v>
      </c>
      <c r="AJ532" s="397">
        <v>43553</v>
      </c>
      <c r="AK532" s="326" t="s">
        <v>889</v>
      </c>
      <c r="AL532" s="326">
        <v>43658</v>
      </c>
      <c r="AM532" s="316"/>
      <c r="AN532" s="305"/>
      <c r="AO532" s="327" t="str">
        <f>_xlfn.IFNA(IF(VLOOKUP(tabItens[[#This Row],[CÓDIGO]],tabExcluirDoEstoque[#Data],1,FALSE),"sim",""),"")</f>
        <v/>
      </c>
      <c r="AP532" s="398" t="str">
        <f ca="1">IF(OR(ISBLANK(tabItens[[#This Row],[ATA DT.VALID.]]),tabItens[[#This Row],[ATA DT.VALID.]]="",tabItens[[#This Row],[ATA DT.VALID.]]=" "),"",IF(TYPE(tabItens[[#This Row],[ATA DT.VALID.]])=1,ROUNDUP((tabItens[[#This Row],[ATA DT.VALID.]]-TODAY())/7,0),""))</f>
        <v/>
      </c>
      <c r="AQ532" s="399">
        <v>0</v>
      </c>
      <c r="AR532" s="400" t="str">
        <f>IF(ISBLANK(tabItens[[#This Row],[CÓDIGO]]),"",IFERROR(VLOOKUP(tabItens[[#This Row],[CÓDIGO]],Consumo!$C$2:$AC$862,26,FALSE),0))</f>
        <v>11.2022</v>
      </c>
      <c r="AS532" s="401">
        <f>SUMIF(Consumo!$C$3:$C$862,tabItens[[#This Row],[CÓDIGO]],Consumo!$N$3:$N$862) + SUMIF(Consumo!$C$3:$C$862,tabItens[[#This Row],[CÓDIGO]],Consumo!$O$3:$O$862) + SUMIF(Consumo!$C$3:$C$862,tabItens[[#This Row],[CÓDIGO]],Consumo!$P$3:$P$862) + SUMIF(Consumo!$C$3:$C$862,tabItens[[#This Row],[CÓDIGO]],Consumo!$Q$3:$Q$862)</f>
        <v>0</v>
      </c>
      <c r="AT532" s="401">
        <f>SUMIF(Consumo!$C$3:$C$862,tabItens[[#This Row],[CÓDIGO]],Consumo!$Z$3:$Z$862)</f>
        <v>63</v>
      </c>
      <c r="AU532" s="402">
        <f>SUMIF(Consumo!$C$3:$C$862,tabItens[[#This Row],[CÓDIGO]],Consumo!$AA$3:$AA$862)</f>
        <v>11</v>
      </c>
      <c r="AV532" s="403">
        <f>SUMIF(Consumo!$C$3:$C$862,tabItens[[#This Row],[CÓDIGO]],Consumo!$Y$3:$Y$862)</f>
        <v>5.25</v>
      </c>
      <c r="AW532" s="380">
        <f>tabItens[[#This Row],[QTDE ATUAL]] + tabItens[[#This Row],[RC QTDE]] + tabItens[[#This Row],[AF SALDO]] + tabItens[[#This Row],[Recentes]]</f>
        <v>0</v>
      </c>
      <c r="AX532" s="404">
        <v>9</v>
      </c>
      <c r="AY532" s="404">
        <v>4</v>
      </c>
      <c r="AZ532" s="404">
        <f>IF(ISBLANK(tabItens[[#This Row],[CÓDIGO]]),"",tabItens[[#This Row],[PontoMês]] * (AZ$2+tabItens[[#This Row],[PontoQtM]]))</f>
        <v>36</v>
      </c>
      <c r="BA532" s="403">
        <f>tabItens[[#This Row],[PontoPed]] - tabItens[[#This Row],[Saldo]] + (1/10)</f>
        <v>36.1</v>
      </c>
      <c r="BB532" s="403">
        <f xml:space="preserve"> tabItens[[#This Row],[PontoMês]] * BB$2 - tabItens[[#This Row],[QTDE ATUAL]] - (1/10)</f>
        <v>8.9</v>
      </c>
      <c r="BC532" s="335">
        <f>IF( tabItens[[#This Row],[PontoPed]]&gt;0, IF(tabItens[[#This Row],[PontoPed]]&lt;1, 1, IF( tabItens[[#This Row],[Saldo]]&gt;tabItens[[#This Row],[PontoPed]], 0, (tabItens[[#This Row],[PontoPed]]-tabItens[[#This Row],[Saldo]])/tabItens[[#This Row],[PontoPed]] ) ), 0 )</f>
        <v>1</v>
      </c>
      <c r="BD532" s="405">
        <f>ROUNDDOWN(IF( OR( AND(tabItens[[#This Row],[PontoPed]]&lt;tabItens[[#This Row],[Saldo]],tabItens[[#This Row],[Saldo]]&gt;0), tabItens[[#This Row],[PontoPed]]=0), 99, IF(AND(tabItens[[#This Row],[Saldo]]=0,tabItens[[#This Row],[PontoPed]]&gt;0), 0, (1-tabItens[[#This Row],[PctAb]])*10 ) ),0)</f>
        <v>0</v>
      </c>
      <c r="BE532" s="406">
        <f>MAX(ROUNDDOWN( IF(tabItens[[#This Row],[Abaixo]] &gt; 0,   tabItens[[#This Row],[Abaixo]] + (tabItens[[#This Row],[PontoMês]] * IF( OR( ISBLANK(tabItens[[#This Row],[ATA Nº/ANO]]), tabItens[[#This Row],[ATA Nº/ANO]] = ""),BE$2,BE$1)),0),0),0)</f>
        <v>63</v>
      </c>
      <c r="BF53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2" s="338">
        <f>SUMIF(Consumo!$C$3:$C$862,tabItens[[#This Row],[CÓDIGO]],Consumo!$E$3:$E$862)</f>
        <v>49</v>
      </c>
      <c r="BH532" s="339">
        <f>IF(AND(tabItens[[#This Row],[Pend]] &gt; 0,tabItens[[#This Row],[Consumo]] &lt;&gt; 0), tabItens[[#This Row],[Pend]] / tabItens[[#This Row],[Consumo]], 0 )</f>
        <v>0.77777777777777779</v>
      </c>
      <c r="BI532" s="338"/>
      <c r="BJ532" s="407"/>
      <c r="BK532" s="408" t="s">
        <v>2086</v>
      </c>
    </row>
    <row r="533" spans="1:63" x14ac:dyDescent="0.3">
      <c r="A533" s="375">
        <v>133371</v>
      </c>
      <c r="B533" s="376" t="s">
        <v>1854</v>
      </c>
      <c r="C533" s="377" t="s">
        <v>320</v>
      </c>
      <c r="D533" s="378">
        <v>20.74</v>
      </c>
      <c r="E533" s="305"/>
      <c r="F533" s="379"/>
      <c r="G533" s="379" t="s">
        <v>889</v>
      </c>
      <c r="H533" s="380">
        <v>220</v>
      </c>
      <c r="I533" s="307">
        <v>103003</v>
      </c>
      <c r="J533" s="308">
        <v>20.74</v>
      </c>
      <c r="K533" s="381">
        <v>420</v>
      </c>
      <c r="L533" s="382">
        <f>IF(tabItens[[#This Row],[Média]] &gt; 0, tabItens[[#This Row],[QTDE ATUAL]] / tabItens[[#This Row],[Média]],999.9)</f>
        <v>7.154471544715447</v>
      </c>
      <c r="M533" s="383">
        <v>0</v>
      </c>
      <c r="N533" s="384">
        <f>tabItens[[#This Row],[VALOR UNIT.]] * tabItens[[#This Row],[LC]]</f>
        <v>0</v>
      </c>
      <c r="O533" s="385" t="s">
        <v>2201</v>
      </c>
      <c r="P533" s="386"/>
      <c r="Q533" s="387"/>
      <c r="R533" s="312"/>
      <c r="S533" s="388"/>
      <c r="T533" s="389">
        <f>ROUNDDOWN(IFERROR(tabItens[[#This Row],[ATA DT.VALID.]] - $D$1,0) / 30,0)</f>
        <v>-1474</v>
      </c>
      <c r="U533" s="302" t="s">
        <v>1855</v>
      </c>
      <c r="V533" s="318">
        <v>1</v>
      </c>
      <c r="W533" s="390" t="s">
        <v>2078</v>
      </c>
      <c r="X533" s="391">
        <v>70</v>
      </c>
      <c r="Y533" s="392">
        <v>33</v>
      </c>
      <c r="Z533" s="393">
        <v>10092</v>
      </c>
      <c r="AA533" s="394">
        <v>2023</v>
      </c>
      <c r="AB533" s="395">
        <v>200</v>
      </c>
      <c r="AC533" s="395"/>
      <c r="AD533" s="394"/>
      <c r="AE533" s="395"/>
      <c r="AF533" s="317"/>
      <c r="AG533" s="396" t="s">
        <v>2072</v>
      </c>
      <c r="AH533" s="397"/>
      <c r="AI533" s="317">
        <v>140</v>
      </c>
      <c r="AJ533" s="397">
        <v>44937</v>
      </c>
      <c r="AK533" s="326">
        <v>42983</v>
      </c>
      <c r="AL533" s="326">
        <v>44917</v>
      </c>
      <c r="AM533" s="316"/>
      <c r="AN533" s="305"/>
      <c r="AO533" s="327" t="str">
        <f>_xlfn.IFNA(IF(VLOOKUP(tabItens[[#This Row],[CÓDIGO]],tabExcluirDoEstoque[#Data],1,FALSE),"sim",""),"")</f>
        <v/>
      </c>
      <c r="AP533" s="398" t="str">
        <f ca="1">IF(OR(ISBLANK(tabItens[[#This Row],[ATA DT.VALID.]]),tabItens[[#This Row],[ATA DT.VALID.]]="",tabItens[[#This Row],[ATA DT.VALID.]]=" "),"",IF(TYPE(tabItens[[#This Row],[ATA DT.VALID.]])=1,ROUNDUP((tabItens[[#This Row],[ATA DT.VALID.]]-TODAY())/7,0),""))</f>
        <v/>
      </c>
      <c r="AQ533" s="399">
        <v>0</v>
      </c>
      <c r="AR533" s="400" t="str">
        <f>IF(ISBLANK(tabItens[[#This Row],[CÓDIGO]]),"",IFERROR(VLOOKUP(tabItens[[#This Row],[CÓDIGO]],Consumo!$C$2:$AC$862,26,FALSE),0))</f>
        <v>05.2023</v>
      </c>
      <c r="AS533" s="401">
        <f>SUMIF(Consumo!$C$3:$C$862,tabItens[[#This Row],[CÓDIGO]],Consumo!$N$3:$N$862) + SUMIF(Consumo!$C$3:$C$862,tabItens[[#This Row],[CÓDIGO]],Consumo!$O$3:$O$862) + SUMIF(Consumo!$C$3:$C$862,tabItens[[#This Row],[CÓDIGO]],Consumo!$P$3:$P$862) + SUMIF(Consumo!$C$3:$C$862,tabItens[[#This Row],[CÓDIGO]],Consumo!$Q$3:$Q$862)</f>
        <v>0</v>
      </c>
      <c r="AT533" s="401">
        <f>SUMIF(Consumo!$C$3:$C$862,tabItens[[#This Row],[CÓDIGO]],Consumo!$Z$3:$Z$862)</f>
        <v>420</v>
      </c>
      <c r="AU533" s="402">
        <f>SUMIF(Consumo!$C$3:$C$862,tabItens[[#This Row],[CÓDIGO]],Consumo!$AA$3:$AA$862)</f>
        <v>200</v>
      </c>
      <c r="AV533" s="403">
        <f>SUMIF(Consumo!$C$3:$C$862,tabItens[[#This Row],[CÓDIGO]],Consumo!$Y$3:$Y$862)</f>
        <v>30.75</v>
      </c>
      <c r="AW533" s="380">
        <f>tabItens[[#This Row],[QTDE ATUAL]] + tabItens[[#This Row],[RC QTDE]] + tabItens[[#This Row],[AF SALDO]] + tabItens[[#This Row],[Recentes]]</f>
        <v>420</v>
      </c>
      <c r="AX533" s="404">
        <v>60</v>
      </c>
      <c r="AY533" s="404">
        <v>4</v>
      </c>
      <c r="AZ533" s="404">
        <f>IF(ISBLANK(tabItens[[#This Row],[CÓDIGO]]),"",tabItens[[#This Row],[PontoMês]] * (AZ$2+tabItens[[#This Row],[PontoQtM]]))</f>
        <v>240</v>
      </c>
      <c r="BA533" s="403">
        <f>tabItens[[#This Row],[PontoPed]] - tabItens[[#This Row],[Saldo]] + (1/10)</f>
        <v>-179.9</v>
      </c>
      <c r="BB533" s="403">
        <f xml:space="preserve"> tabItens[[#This Row],[PontoMês]] * BB$2 - tabItens[[#This Row],[QTDE ATUAL]] - (1/10)</f>
        <v>-160.1</v>
      </c>
      <c r="BC533" s="335">
        <f>IF( tabItens[[#This Row],[PontoPed]]&gt;0, IF(tabItens[[#This Row],[PontoPed]]&lt;1, 1, IF( tabItens[[#This Row],[Saldo]]&gt;tabItens[[#This Row],[PontoPed]], 0, (tabItens[[#This Row],[PontoPed]]-tabItens[[#This Row],[Saldo]])/tabItens[[#This Row],[PontoPed]] ) ), 0 )</f>
        <v>0</v>
      </c>
      <c r="BD533" s="405">
        <f>ROUNDDOWN(IF( OR( AND(tabItens[[#This Row],[PontoPed]]&lt;tabItens[[#This Row],[Saldo]],tabItens[[#This Row],[Saldo]]&gt;0), tabItens[[#This Row],[PontoPed]]=0), 99, IF(AND(tabItens[[#This Row],[Saldo]]=0,tabItens[[#This Row],[PontoPed]]&gt;0), 0, (1-tabItens[[#This Row],[PctAb]])*10 ) ),0)</f>
        <v>99</v>
      </c>
      <c r="BE533" s="406">
        <f>MAX(ROUNDDOWN( IF(tabItens[[#This Row],[Abaixo]] &gt; 0,   tabItens[[#This Row],[Abaixo]] + (tabItens[[#This Row],[PontoMês]] * IF( OR( ISBLANK(tabItens[[#This Row],[ATA Nº/ANO]]), tabItens[[#This Row],[ATA Nº/ANO]] = ""),BE$2,BE$1)),0),0),0)</f>
        <v>0</v>
      </c>
      <c r="BF53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3" s="338">
        <f>SUMIF(Consumo!$C$3:$C$862,tabItens[[#This Row],[CÓDIGO]],Consumo!$E$3:$E$862)</f>
        <v>0</v>
      </c>
      <c r="BH533" s="339">
        <f>IF(AND(tabItens[[#This Row],[Pend]] &gt; 0,tabItens[[#This Row],[Consumo]] &lt;&gt; 0), tabItens[[#This Row],[Pend]] / tabItens[[#This Row],[Consumo]], 0 )</f>
        <v>0</v>
      </c>
      <c r="BI533" s="338"/>
      <c r="BJ533" s="407"/>
      <c r="BK533" s="408" t="s">
        <v>2086</v>
      </c>
    </row>
    <row r="534" spans="1:63" x14ac:dyDescent="0.3">
      <c r="A534" s="375">
        <v>13199</v>
      </c>
      <c r="B534" s="376" t="s">
        <v>1029</v>
      </c>
      <c r="C534" s="377" t="s">
        <v>263</v>
      </c>
      <c r="D534" s="378">
        <v>2.71</v>
      </c>
      <c r="E534" s="305"/>
      <c r="F534" s="379"/>
      <c r="G534" s="379" t="s">
        <v>889</v>
      </c>
      <c r="H534" s="380">
        <v>30</v>
      </c>
      <c r="I534" s="307">
        <v>103003</v>
      </c>
      <c r="J534" s="308">
        <v>2.71</v>
      </c>
      <c r="K534" s="381">
        <v>167</v>
      </c>
      <c r="L534" s="382">
        <f>IF(tabItens[[#This Row],[Média]] &gt; 0, tabItens[[#This Row],[QTDE ATUAL]] / tabItens[[#This Row],[Média]],999.9)</f>
        <v>2.2360248447204971</v>
      </c>
      <c r="M534" s="383">
        <v>0</v>
      </c>
      <c r="N534" s="384">
        <f>tabItens[[#This Row],[VALOR UNIT.]] * tabItens[[#This Row],[LC]]</f>
        <v>0</v>
      </c>
      <c r="O534" s="385" t="s">
        <v>2111</v>
      </c>
      <c r="P534" s="386"/>
      <c r="Q534" s="387"/>
      <c r="R534" s="312"/>
      <c r="S534" s="388"/>
      <c r="T534" s="389">
        <f>ROUNDDOWN(IFERROR(tabItens[[#This Row],[ATA DT.VALID.]] - $D$1,0) / 30,0)</f>
        <v>-1474</v>
      </c>
      <c r="U534" s="302" t="s">
        <v>1028</v>
      </c>
      <c r="V534" s="318">
        <v>1</v>
      </c>
      <c r="W534" s="390" t="s">
        <v>2071</v>
      </c>
      <c r="X534" s="391">
        <v>51</v>
      </c>
      <c r="Y534" s="392">
        <v>8</v>
      </c>
      <c r="Z534" s="393"/>
      <c r="AA534" s="394"/>
      <c r="AB534" s="395"/>
      <c r="AC534" s="395"/>
      <c r="AD534" s="394"/>
      <c r="AE534" s="395"/>
      <c r="AF534" s="317"/>
      <c r="AG534" s="396" t="s">
        <v>2072</v>
      </c>
      <c r="AH534" s="397"/>
      <c r="AI534" s="317">
        <v>56</v>
      </c>
      <c r="AJ534" s="397">
        <v>45201</v>
      </c>
      <c r="AK534" s="326" t="s">
        <v>889</v>
      </c>
      <c r="AL534" s="326">
        <v>45189</v>
      </c>
      <c r="AM534" s="316"/>
      <c r="AN534" s="305"/>
      <c r="AO534" s="327" t="str">
        <f>_xlfn.IFNA(IF(VLOOKUP(tabItens[[#This Row],[CÓDIGO]],tabExcluirDoEstoque[#Data],1,FALSE),"sim",""),"")</f>
        <v/>
      </c>
      <c r="AP534" s="398" t="str">
        <f ca="1">IF(OR(ISBLANK(tabItens[[#This Row],[ATA DT.VALID.]]),tabItens[[#This Row],[ATA DT.VALID.]]="",tabItens[[#This Row],[ATA DT.VALID.]]=" "),"",IF(TYPE(tabItens[[#This Row],[ATA DT.VALID.]])=1,ROUNDUP((tabItens[[#This Row],[ATA DT.VALID.]]-TODAY())/7,0),""))</f>
        <v/>
      </c>
      <c r="AQ534" s="399">
        <v>0</v>
      </c>
      <c r="AR534" s="400" t="str">
        <f>IF(ISBLANK(tabItens[[#This Row],[CÓDIGO]]),"",IFERROR(VLOOKUP(tabItens[[#This Row],[CÓDIGO]],Consumo!$C$2:$AC$862,26,FALSE),0))</f>
        <v>09.2023</v>
      </c>
      <c r="AS534" s="401">
        <f>SUMIF(Consumo!$C$3:$C$862,tabItens[[#This Row],[CÓDIGO]],Consumo!$N$3:$N$862) + SUMIF(Consumo!$C$3:$C$862,tabItens[[#This Row],[CÓDIGO]],Consumo!$O$3:$O$862) + SUMIF(Consumo!$C$3:$C$862,tabItens[[#This Row],[CÓDIGO]],Consumo!$P$3:$P$862) + SUMIF(Consumo!$C$3:$C$862,tabItens[[#This Row],[CÓDIGO]],Consumo!$Q$3:$Q$862)</f>
        <v>47</v>
      </c>
      <c r="AT534" s="401">
        <f>SUMIF(Consumo!$C$3:$C$862,tabItens[[#This Row],[CÓDIGO]],Consumo!$Z$3:$Z$862)</f>
        <v>168</v>
      </c>
      <c r="AU534" s="402">
        <f>SUMIF(Consumo!$C$3:$C$862,tabItens[[#This Row],[CÓDIGO]],Consumo!$AA$3:$AA$862)</f>
        <v>70</v>
      </c>
      <c r="AV534" s="403">
        <f>SUMIF(Consumo!$C$3:$C$862,tabItens[[#This Row],[CÓDIGO]],Consumo!$Y$3:$Y$862)</f>
        <v>13.416666666666666</v>
      </c>
      <c r="AW534" s="380">
        <f>tabItens[[#This Row],[QTDE ATUAL]] + tabItens[[#This Row],[RC QTDE]] + tabItens[[#This Row],[AF SALDO]] + tabItens[[#This Row],[Recentes]]</f>
        <v>30</v>
      </c>
      <c r="AX534" s="404">
        <v>25</v>
      </c>
      <c r="AY534" s="404">
        <v>4</v>
      </c>
      <c r="AZ534" s="404">
        <f>IF(ISBLANK(tabItens[[#This Row],[CÓDIGO]]),"",tabItens[[#This Row],[PontoMês]] * (AZ$2+tabItens[[#This Row],[PontoQtM]]))</f>
        <v>100</v>
      </c>
      <c r="BA534" s="403">
        <f>tabItens[[#This Row],[PontoPed]] - tabItens[[#This Row],[Saldo]] + (1/10)</f>
        <v>70.099999999999994</v>
      </c>
      <c r="BB534" s="403">
        <f xml:space="preserve"> tabItens[[#This Row],[PontoMês]] * BB$2 - tabItens[[#This Row],[QTDE ATUAL]] - (1/10)</f>
        <v>-5.0999999999999996</v>
      </c>
      <c r="BC534" s="335">
        <f>IF( tabItens[[#This Row],[PontoPed]]&gt;0, IF(tabItens[[#This Row],[PontoPed]]&lt;1, 1, IF( tabItens[[#This Row],[Saldo]]&gt;tabItens[[#This Row],[PontoPed]], 0, (tabItens[[#This Row],[PontoPed]]-tabItens[[#This Row],[Saldo]])/tabItens[[#This Row],[PontoPed]] ) ), 0 )</f>
        <v>0.7</v>
      </c>
      <c r="BD534" s="405">
        <f>ROUNDDOWN(IF( OR( AND(tabItens[[#This Row],[PontoPed]]&lt;tabItens[[#This Row],[Saldo]],tabItens[[#This Row],[Saldo]]&gt;0), tabItens[[#This Row],[PontoPed]]=0), 99, IF(AND(tabItens[[#This Row],[Saldo]]=0,tabItens[[#This Row],[PontoPed]]&gt;0), 0, (1-tabItens[[#This Row],[PctAb]])*10 ) ),0)</f>
        <v>3</v>
      </c>
      <c r="BE534" s="406">
        <f>MAX(ROUNDDOWN( IF(tabItens[[#This Row],[Abaixo]] &gt; 0,   tabItens[[#This Row],[Abaixo]] + (tabItens[[#This Row],[PontoMês]] * IF( OR( ISBLANK(tabItens[[#This Row],[ATA Nº/ANO]]), tabItens[[#This Row],[ATA Nº/ANO]] = ""),BE$2,BE$1)),0),0),0)</f>
        <v>145</v>
      </c>
      <c r="BF53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4" s="338">
        <f>SUMIF(Consumo!$C$3:$C$862,tabItens[[#This Row],[CÓDIGO]],Consumo!$E$3:$E$862)</f>
        <v>1</v>
      </c>
      <c r="BH534" s="339">
        <f>IF(AND(tabItens[[#This Row],[Pend]] &gt; 0,tabItens[[#This Row],[Consumo]] &lt;&gt; 0), tabItens[[#This Row],[Pend]] / tabItens[[#This Row],[Consumo]], 0 )</f>
        <v>5.9523809523809521E-3</v>
      </c>
      <c r="BI534" s="338"/>
      <c r="BJ534" s="407"/>
      <c r="BK534" s="408" t="s">
        <v>2086</v>
      </c>
    </row>
    <row r="535" spans="1:63" x14ac:dyDescent="0.3">
      <c r="A535" s="375">
        <v>35256</v>
      </c>
      <c r="B535" s="376" t="s">
        <v>1258</v>
      </c>
      <c r="C535" s="377" t="s">
        <v>345</v>
      </c>
      <c r="D535" s="378">
        <v>6</v>
      </c>
      <c r="E535" s="305"/>
      <c r="F535" s="379"/>
      <c r="G535" s="379" t="s">
        <v>889</v>
      </c>
      <c r="H535" s="380">
        <v>157</v>
      </c>
      <c r="I535" s="307">
        <v>103003</v>
      </c>
      <c r="J535" s="308">
        <v>6</v>
      </c>
      <c r="K535" s="381"/>
      <c r="L535" s="382">
        <f>IF(tabItens[[#This Row],[Média]] &gt; 0, tabItens[[#This Row],[QTDE ATUAL]] / tabItens[[#This Row],[Média]],999.9)</f>
        <v>999.9</v>
      </c>
      <c r="M535" s="383">
        <v>0</v>
      </c>
      <c r="N535" s="384">
        <f>tabItens[[#This Row],[VALOR UNIT.]] * tabItens[[#This Row],[LC]]</f>
        <v>0</v>
      </c>
      <c r="O535" s="385" t="s">
        <v>2111</v>
      </c>
      <c r="P535" s="386"/>
      <c r="Q535" s="387"/>
      <c r="R535" s="312"/>
      <c r="S535" s="388"/>
      <c r="T535" s="389">
        <f>ROUNDDOWN(IFERROR(tabItens[[#This Row],[ATA DT.VALID.]] - $D$1,0) / 30,0)</f>
        <v>-1474</v>
      </c>
      <c r="U535" s="302" t="s">
        <v>1259</v>
      </c>
      <c r="V535" s="318">
        <v>1</v>
      </c>
      <c r="W535" s="390" t="s">
        <v>2078</v>
      </c>
      <c r="X535" s="391">
        <v>69</v>
      </c>
      <c r="Y535" s="392">
        <v>3</v>
      </c>
      <c r="Z535" s="393"/>
      <c r="AA535" s="394"/>
      <c r="AB535" s="395"/>
      <c r="AC535" s="395"/>
      <c r="AD535" s="394"/>
      <c r="AE535" s="395"/>
      <c r="AF535" s="317"/>
      <c r="AG535" s="396" t="s">
        <v>2072</v>
      </c>
      <c r="AH535" s="397"/>
      <c r="AI535" s="317">
        <v>0</v>
      </c>
      <c r="AJ535" s="397">
        <v>43749</v>
      </c>
      <c r="AK535" s="326" t="s">
        <v>889</v>
      </c>
      <c r="AL535" s="326">
        <v>43734</v>
      </c>
      <c r="AM535" s="316"/>
      <c r="AN535" s="305"/>
      <c r="AO535" s="327" t="str">
        <f>_xlfn.IFNA(IF(VLOOKUP(tabItens[[#This Row],[CÓDIGO]],tabExcluirDoEstoque[#Data],1,FALSE),"sim",""),"")</f>
        <v/>
      </c>
      <c r="AP535" s="398" t="str">
        <f ca="1">IF(OR(ISBLANK(tabItens[[#This Row],[ATA DT.VALID.]]),tabItens[[#This Row],[ATA DT.VALID.]]="",tabItens[[#This Row],[ATA DT.VALID.]]=" "),"",IF(TYPE(tabItens[[#This Row],[ATA DT.VALID.]])=1,ROUNDUP((tabItens[[#This Row],[ATA DT.VALID.]]-TODAY())/7,0),""))</f>
        <v/>
      </c>
      <c r="AQ535" s="399">
        <v>0</v>
      </c>
      <c r="AR535" s="400">
        <f>IF(ISBLANK(tabItens[[#This Row],[CÓDIGO]]),"",IFERROR(VLOOKUP(tabItens[[#This Row],[CÓDIGO]],Consumo!$C$2:$AC$862,26,FALSE),0))</f>
        <v>0</v>
      </c>
      <c r="AS535" s="401">
        <f>SUMIF(Consumo!$C$3:$C$862,tabItens[[#This Row],[CÓDIGO]],Consumo!$N$3:$N$862) + SUMIF(Consumo!$C$3:$C$862,tabItens[[#This Row],[CÓDIGO]],Consumo!$O$3:$O$862) + SUMIF(Consumo!$C$3:$C$862,tabItens[[#This Row],[CÓDIGO]],Consumo!$P$3:$P$862) + SUMIF(Consumo!$C$3:$C$862,tabItens[[#This Row],[CÓDIGO]],Consumo!$Q$3:$Q$862)</f>
        <v>0</v>
      </c>
      <c r="AT535" s="401">
        <f>SUMIF(Consumo!$C$3:$C$862,tabItens[[#This Row],[CÓDIGO]],Consumo!$Z$3:$Z$862)</f>
        <v>0</v>
      </c>
      <c r="AU535" s="402">
        <f>SUMIF(Consumo!$C$3:$C$862,tabItens[[#This Row],[CÓDIGO]],Consumo!$AA$3:$AA$862)</f>
        <v>0</v>
      </c>
      <c r="AV535" s="403">
        <f>SUMIF(Consumo!$C$3:$C$862,tabItens[[#This Row],[CÓDIGO]],Consumo!$Y$3:$Y$862)</f>
        <v>0</v>
      </c>
      <c r="AW535" s="380">
        <f>tabItens[[#This Row],[QTDE ATUAL]] + tabItens[[#This Row],[RC QTDE]] + tabItens[[#This Row],[AF SALDO]] + tabItens[[#This Row],[Recentes]]</f>
        <v>157</v>
      </c>
      <c r="AX535" s="404">
        <v>21</v>
      </c>
      <c r="AY535" s="404">
        <v>4</v>
      </c>
      <c r="AZ535" s="404">
        <f>IF(ISBLANK(tabItens[[#This Row],[CÓDIGO]]),"",tabItens[[#This Row],[PontoMês]] * (AZ$2+tabItens[[#This Row],[PontoQtM]]))</f>
        <v>84</v>
      </c>
      <c r="BA535" s="403">
        <f>tabItens[[#This Row],[PontoPed]] - tabItens[[#This Row],[Saldo]] + (1/10)</f>
        <v>-72.900000000000006</v>
      </c>
      <c r="BB535" s="403">
        <f xml:space="preserve"> tabItens[[#This Row],[PontoMês]] * BB$2 - tabItens[[#This Row],[QTDE ATUAL]] - (1/10)</f>
        <v>-136.1</v>
      </c>
      <c r="BC535" s="335">
        <f>IF( tabItens[[#This Row],[PontoPed]]&gt;0, IF(tabItens[[#This Row],[PontoPed]]&lt;1, 1, IF( tabItens[[#This Row],[Saldo]]&gt;tabItens[[#This Row],[PontoPed]], 0, (tabItens[[#This Row],[PontoPed]]-tabItens[[#This Row],[Saldo]])/tabItens[[#This Row],[PontoPed]] ) ), 0 )</f>
        <v>0</v>
      </c>
      <c r="BD535" s="405">
        <f>ROUNDDOWN(IF( OR( AND(tabItens[[#This Row],[PontoPed]]&lt;tabItens[[#This Row],[Saldo]],tabItens[[#This Row],[Saldo]]&gt;0), tabItens[[#This Row],[PontoPed]]=0), 99, IF(AND(tabItens[[#This Row],[Saldo]]=0,tabItens[[#This Row],[PontoPed]]&gt;0), 0, (1-tabItens[[#This Row],[PctAb]])*10 ) ),0)</f>
        <v>99</v>
      </c>
      <c r="BE535" s="406">
        <f>MAX(ROUNDDOWN( IF(tabItens[[#This Row],[Abaixo]] &gt; 0,   tabItens[[#This Row],[Abaixo]] + (tabItens[[#This Row],[PontoMês]] * IF( OR( ISBLANK(tabItens[[#This Row],[ATA Nº/ANO]]), tabItens[[#This Row],[ATA Nº/ANO]] = ""),BE$2,BE$1)),0),0),0)</f>
        <v>0</v>
      </c>
      <c r="BF53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5" s="338">
        <f>SUMIF(Consumo!$C$3:$C$862,tabItens[[#This Row],[CÓDIGO]],Consumo!$E$3:$E$862)</f>
        <v>0</v>
      </c>
      <c r="BH535" s="339">
        <f>IF(AND(tabItens[[#This Row],[Pend]] &gt; 0,tabItens[[#This Row],[Consumo]] &lt;&gt; 0), tabItens[[#This Row],[Pend]] / tabItens[[#This Row],[Consumo]], 0 )</f>
        <v>0</v>
      </c>
      <c r="BI535" s="338"/>
      <c r="BJ535" s="407"/>
      <c r="BK535" s="408" t="s">
        <v>2086</v>
      </c>
    </row>
    <row r="536" spans="1:63" x14ac:dyDescent="0.3">
      <c r="A536" s="375">
        <v>12830</v>
      </c>
      <c r="B536" s="376" t="s">
        <v>969</v>
      </c>
      <c r="C536" s="377" t="s">
        <v>263</v>
      </c>
      <c r="D536" s="378">
        <v>4.0999999999999996</v>
      </c>
      <c r="E536" s="305"/>
      <c r="F536" s="379"/>
      <c r="G536" s="379" t="s">
        <v>889</v>
      </c>
      <c r="H536" s="380">
        <v>1412</v>
      </c>
      <c r="I536" s="307">
        <v>103003</v>
      </c>
      <c r="J536" s="308">
        <v>4.0999999999999996</v>
      </c>
      <c r="K536" s="381">
        <v>265</v>
      </c>
      <c r="L536" s="382">
        <f>IF(tabItens[[#This Row],[Média]] &gt; 0, tabItens[[#This Row],[QTDE ATUAL]] / tabItens[[#This Row],[Média]],999.9)</f>
        <v>54.482315112540192</v>
      </c>
      <c r="M536" s="383">
        <v>0</v>
      </c>
      <c r="N536" s="384">
        <f>tabItens[[#This Row],[VALOR UNIT.]] * tabItens[[#This Row],[LC]]</f>
        <v>0</v>
      </c>
      <c r="O536" s="385" t="s">
        <v>2098</v>
      </c>
      <c r="P536" s="386"/>
      <c r="Q536" s="387"/>
      <c r="R536" s="312"/>
      <c r="S536" s="388"/>
      <c r="T536" s="389">
        <f>ROUNDDOWN(IFERROR(tabItens[[#This Row],[ATA DT.VALID.]] - $D$1,0) / 30,0)</f>
        <v>-1474</v>
      </c>
      <c r="U536" s="302" t="s">
        <v>966</v>
      </c>
      <c r="V536" s="318">
        <v>1</v>
      </c>
      <c r="W536" s="390" t="s">
        <v>2076</v>
      </c>
      <c r="X536" s="391">
        <v>61</v>
      </c>
      <c r="Y536" s="392">
        <v>8</v>
      </c>
      <c r="Z536" s="393"/>
      <c r="AA536" s="394"/>
      <c r="AB536" s="395"/>
      <c r="AC536" s="395"/>
      <c r="AD536" s="394"/>
      <c r="AE536" s="395"/>
      <c r="AF536" s="317"/>
      <c r="AG536" s="396" t="s">
        <v>2072</v>
      </c>
      <c r="AH536" s="397"/>
      <c r="AI536" s="317">
        <v>104</v>
      </c>
      <c r="AJ536" s="397">
        <v>44533</v>
      </c>
      <c r="AK536" s="326" t="s">
        <v>889</v>
      </c>
      <c r="AL536" s="326">
        <v>44522</v>
      </c>
      <c r="AM536" s="316"/>
      <c r="AN536" s="305"/>
      <c r="AO536" s="327" t="str">
        <f>_xlfn.IFNA(IF(VLOOKUP(tabItens[[#This Row],[CÓDIGO]],tabExcluirDoEstoque[#Data],1,FALSE),"sim",""),"")</f>
        <v/>
      </c>
      <c r="AP536" s="398" t="str">
        <f ca="1">IF(OR(ISBLANK(tabItens[[#This Row],[ATA DT.VALID.]]),tabItens[[#This Row],[ATA DT.VALID.]]="",tabItens[[#This Row],[ATA DT.VALID.]]=" "),"",IF(TYPE(tabItens[[#This Row],[ATA DT.VALID.]])=1,ROUNDUP((tabItens[[#This Row],[ATA DT.VALID.]]-TODAY())/7,0),""))</f>
        <v/>
      </c>
      <c r="AQ536" s="399">
        <v>0</v>
      </c>
      <c r="AR536" s="400" t="str">
        <f>IF(ISBLANK(tabItens[[#This Row],[CÓDIGO]]),"",IFERROR(VLOOKUP(tabItens[[#This Row],[CÓDIGO]],Consumo!$C$2:$AC$862,26,FALSE),0))</f>
        <v>08.2023</v>
      </c>
      <c r="AS536" s="401">
        <f>SUMIF(Consumo!$C$3:$C$862,tabItens[[#This Row],[CÓDIGO]],Consumo!$N$3:$N$862) + SUMIF(Consumo!$C$3:$C$862,tabItens[[#This Row],[CÓDIGO]],Consumo!$O$3:$O$862) + SUMIF(Consumo!$C$3:$C$862,tabItens[[#This Row],[CÓDIGO]],Consumo!$P$3:$P$862) + SUMIF(Consumo!$C$3:$C$862,tabItens[[#This Row],[CÓDIGO]],Consumo!$Q$3:$Q$862)</f>
        <v>106</v>
      </c>
      <c r="AT536" s="401">
        <f>SUMIF(Consumo!$C$3:$C$862,tabItens[[#This Row],[CÓDIGO]],Consumo!$Z$3:$Z$862)</f>
        <v>313</v>
      </c>
      <c r="AU536" s="402">
        <f>SUMIF(Consumo!$C$3:$C$862,tabItens[[#This Row],[CÓDIGO]],Consumo!$AA$3:$AA$862)</f>
        <v>80</v>
      </c>
      <c r="AV536" s="403">
        <f>SUMIF(Consumo!$C$3:$C$862,tabItens[[#This Row],[CÓDIGO]],Consumo!$Y$3:$Y$862)</f>
        <v>25.916666666666668</v>
      </c>
      <c r="AW536" s="380">
        <f>tabItens[[#This Row],[QTDE ATUAL]] + tabItens[[#This Row],[RC QTDE]] + tabItens[[#This Row],[AF SALDO]] + tabItens[[#This Row],[Recentes]]</f>
        <v>1412</v>
      </c>
      <c r="AX536" s="404">
        <v>40</v>
      </c>
      <c r="AY536" s="404">
        <v>4</v>
      </c>
      <c r="AZ536" s="404">
        <f>IF(ISBLANK(tabItens[[#This Row],[CÓDIGO]]),"",tabItens[[#This Row],[PontoMês]] * (AZ$2+tabItens[[#This Row],[PontoQtM]]))</f>
        <v>160</v>
      </c>
      <c r="BA536" s="403">
        <f>tabItens[[#This Row],[PontoPed]] - tabItens[[#This Row],[Saldo]] + (1/10)</f>
        <v>-1251.9000000000001</v>
      </c>
      <c r="BB536" s="403">
        <f xml:space="preserve"> tabItens[[#This Row],[PontoMês]] * BB$2 - tabItens[[#This Row],[QTDE ATUAL]] - (1/10)</f>
        <v>-1372.1</v>
      </c>
      <c r="BC536" s="335">
        <f>IF( tabItens[[#This Row],[PontoPed]]&gt;0, IF(tabItens[[#This Row],[PontoPed]]&lt;1, 1, IF( tabItens[[#This Row],[Saldo]]&gt;tabItens[[#This Row],[PontoPed]], 0, (tabItens[[#This Row],[PontoPed]]-tabItens[[#This Row],[Saldo]])/tabItens[[#This Row],[PontoPed]] ) ), 0 )</f>
        <v>0</v>
      </c>
      <c r="BD536" s="405">
        <f>ROUNDDOWN(IF( OR( AND(tabItens[[#This Row],[PontoPed]]&lt;tabItens[[#This Row],[Saldo]],tabItens[[#This Row],[Saldo]]&gt;0), tabItens[[#This Row],[PontoPed]]=0), 99, IF(AND(tabItens[[#This Row],[Saldo]]=0,tabItens[[#This Row],[PontoPed]]&gt;0), 0, (1-tabItens[[#This Row],[PctAb]])*10 ) ),0)</f>
        <v>99</v>
      </c>
      <c r="BE536" s="406">
        <f>MAX(ROUNDDOWN( IF(tabItens[[#This Row],[Abaixo]] &gt; 0,   tabItens[[#This Row],[Abaixo]] + (tabItens[[#This Row],[PontoMês]] * IF( OR( ISBLANK(tabItens[[#This Row],[ATA Nº/ANO]]), tabItens[[#This Row],[ATA Nº/ANO]] = ""),BE$2,BE$1)),0),0),0)</f>
        <v>0</v>
      </c>
      <c r="BF53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6" s="338">
        <f>SUMIF(Consumo!$C$3:$C$862,tabItens[[#This Row],[CÓDIGO]],Consumo!$E$3:$E$862)</f>
        <v>0</v>
      </c>
      <c r="BH536" s="339">
        <f>IF(AND(tabItens[[#This Row],[Pend]] &gt; 0,tabItens[[#This Row],[Consumo]] &lt;&gt; 0), tabItens[[#This Row],[Pend]] / tabItens[[#This Row],[Consumo]], 0 )</f>
        <v>0</v>
      </c>
      <c r="BI536" s="338"/>
      <c r="BJ536" s="407"/>
      <c r="BK536" s="408" t="s">
        <v>2086</v>
      </c>
    </row>
    <row r="537" spans="1:63" x14ac:dyDescent="0.3">
      <c r="A537" s="375">
        <v>114976</v>
      </c>
      <c r="B537" s="376" t="s">
        <v>1712</v>
      </c>
      <c r="C537" s="377" t="s">
        <v>272</v>
      </c>
      <c r="D537" s="378">
        <v>90.5</v>
      </c>
      <c r="E537" s="305"/>
      <c r="F537" s="379"/>
      <c r="G537" s="379" t="s">
        <v>889</v>
      </c>
      <c r="H537" s="380">
        <v>634</v>
      </c>
      <c r="I537" s="307">
        <v>103003</v>
      </c>
      <c r="J537" s="308">
        <v>90.5</v>
      </c>
      <c r="K537" s="381">
        <v>53</v>
      </c>
      <c r="L537" s="382">
        <f>IF(tabItens[[#This Row],[Média]] &gt; 0, tabItens[[#This Row],[QTDE ATUAL]] / tabItens[[#This Row],[Média]],999.9)</f>
        <v>211.33333333333334</v>
      </c>
      <c r="M537" s="383">
        <v>0</v>
      </c>
      <c r="N537" s="384">
        <f>tabItens[[#This Row],[VALOR UNIT.]] * tabItens[[#This Row],[LC]]</f>
        <v>0</v>
      </c>
      <c r="O537" s="385" t="s">
        <v>2183</v>
      </c>
      <c r="P537" s="386"/>
      <c r="Q537" s="387"/>
      <c r="R537" s="312"/>
      <c r="S537" s="388"/>
      <c r="T537" s="389">
        <f>ROUNDDOWN(IFERROR(tabItens[[#This Row],[ATA DT.VALID.]] - $D$1,0) / 30,0)</f>
        <v>-1474</v>
      </c>
      <c r="U537" s="302" t="s">
        <v>1676</v>
      </c>
      <c r="V537" s="318">
        <v>1</v>
      </c>
      <c r="W537" s="390" t="s">
        <v>2077</v>
      </c>
      <c r="X537" s="391">
        <v>55</v>
      </c>
      <c r="Y537" s="392">
        <v>19</v>
      </c>
      <c r="Z537" s="393"/>
      <c r="AA537" s="394"/>
      <c r="AB537" s="395"/>
      <c r="AC537" s="395"/>
      <c r="AD537" s="394"/>
      <c r="AE537" s="395"/>
      <c r="AF537" s="317"/>
      <c r="AG537" s="396" t="s">
        <v>2072</v>
      </c>
      <c r="AH537" s="397"/>
      <c r="AI537" s="317">
        <v>18</v>
      </c>
      <c r="AJ537" s="397">
        <v>41884</v>
      </c>
      <c r="AK537" s="326">
        <v>40291</v>
      </c>
      <c r="AL537" s="326">
        <v>43580</v>
      </c>
      <c r="AM537" s="316"/>
      <c r="AN537" s="305"/>
      <c r="AO537" s="327" t="str">
        <f>_xlfn.IFNA(IF(VLOOKUP(tabItens[[#This Row],[CÓDIGO]],tabExcluirDoEstoque[#Data],1,FALSE),"sim",""),"")</f>
        <v/>
      </c>
      <c r="AP537" s="398" t="str">
        <f ca="1">IF(OR(ISBLANK(tabItens[[#This Row],[ATA DT.VALID.]]),tabItens[[#This Row],[ATA DT.VALID.]]="",tabItens[[#This Row],[ATA DT.VALID.]]=" "),"",IF(TYPE(tabItens[[#This Row],[ATA DT.VALID.]])=1,ROUNDUP((tabItens[[#This Row],[ATA DT.VALID.]]-TODAY())/7,0),""))</f>
        <v/>
      </c>
      <c r="AQ537" s="399">
        <v>0</v>
      </c>
      <c r="AR537" s="400" t="str">
        <f>IF(ISBLANK(tabItens[[#This Row],[CÓDIGO]]),"",IFERROR(VLOOKUP(tabItens[[#This Row],[CÓDIGO]],Consumo!$C$2:$AC$862,26,FALSE),0))</f>
        <v>01.2023</v>
      </c>
      <c r="AS537" s="401">
        <f>SUMIF(Consumo!$C$3:$C$862,tabItens[[#This Row],[CÓDIGO]],Consumo!$N$3:$N$862) + SUMIF(Consumo!$C$3:$C$862,tabItens[[#This Row],[CÓDIGO]],Consumo!$O$3:$O$862) + SUMIF(Consumo!$C$3:$C$862,tabItens[[#This Row],[CÓDIGO]],Consumo!$P$3:$P$862) + SUMIF(Consumo!$C$3:$C$862,tabItens[[#This Row],[CÓDIGO]],Consumo!$Q$3:$Q$862)</f>
        <v>0</v>
      </c>
      <c r="AT537" s="401">
        <f>SUMIF(Consumo!$C$3:$C$862,tabItens[[#This Row],[CÓDIGO]],Consumo!$Z$3:$Z$862)</f>
        <v>53</v>
      </c>
      <c r="AU537" s="402">
        <f>SUMIF(Consumo!$C$3:$C$862,tabItens[[#This Row],[CÓDIGO]],Consumo!$AA$3:$AA$862)</f>
        <v>50</v>
      </c>
      <c r="AV537" s="403">
        <f>SUMIF(Consumo!$C$3:$C$862,tabItens[[#This Row],[CÓDIGO]],Consumo!$Y$3:$Y$862)</f>
        <v>3</v>
      </c>
      <c r="AW537" s="380">
        <f>tabItens[[#This Row],[QTDE ATUAL]] + tabItens[[#This Row],[RC QTDE]] + tabItens[[#This Row],[AF SALDO]] + tabItens[[#This Row],[Recentes]]</f>
        <v>634</v>
      </c>
      <c r="AX537" s="404">
        <v>25</v>
      </c>
      <c r="AY537" s="404">
        <v>4</v>
      </c>
      <c r="AZ537" s="404">
        <f>IF(ISBLANK(tabItens[[#This Row],[CÓDIGO]]),"",tabItens[[#This Row],[PontoMês]] * (AZ$2+tabItens[[#This Row],[PontoQtM]]))</f>
        <v>100</v>
      </c>
      <c r="BA537" s="403">
        <f>tabItens[[#This Row],[PontoPed]] - tabItens[[#This Row],[Saldo]] + (1/10)</f>
        <v>-533.9</v>
      </c>
      <c r="BB537" s="403">
        <f xml:space="preserve"> tabItens[[#This Row],[PontoMês]] * BB$2 - tabItens[[#This Row],[QTDE ATUAL]] - (1/10)</f>
        <v>-609.1</v>
      </c>
      <c r="BC537" s="335">
        <f>IF( tabItens[[#This Row],[PontoPed]]&gt;0, IF(tabItens[[#This Row],[PontoPed]]&lt;1, 1, IF( tabItens[[#This Row],[Saldo]]&gt;tabItens[[#This Row],[PontoPed]], 0, (tabItens[[#This Row],[PontoPed]]-tabItens[[#This Row],[Saldo]])/tabItens[[#This Row],[PontoPed]] ) ), 0 )</f>
        <v>0</v>
      </c>
      <c r="BD537" s="405">
        <f>ROUNDDOWN(IF( OR( AND(tabItens[[#This Row],[PontoPed]]&lt;tabItens[[#This Row],[Saldo]],tabItens[[#This Row],[Saldo]]&gt;0), tabItens[[#This Row],[PontoPed]]=0), 99, IF(AND(tabItens[[#This Row],[Saldo]]=0,tabItens[[#This Row],[PontoPed]]&gt;0), 0, (1-tabItens[[#This Row],[PctAb]])*10 ) ),0)</f>
        <v>99</v>
      </c>
      <c r="BE537" s="406">
        <f>MAX(ROUNDDOWN( IF(tabItens[[#This Row],[Abaixo]] &gt; 0,   tabItens[[#This Row],[Abaixo]] + (tabItens[[#This Row],[PontoMês]] * IF( OR( ISBLANK(tabItens[[#This Row],[ATA Nº/ANO]]), tabItens[[#This Row],[ATA Nº/ANO]] = ""),BE$2,BE$1)),0),0),0)</f>
        <v>0</v>
      </c>
      <c r="BF53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7" s="338">
        <f>SUMIF(Consumo!$C$3:$C$862,tabItens[[#This Row],[CÓDIGO]],Consumo!$E$3:$E$862)</f>
        <v>0</v>
      </c>
      <c r="BH537" s="339">
        <f>IF(AND(tabItens[[#This Row],[Pend]] &gt; 0,tabItens[[#This Row],[Consumo]] &lt;&gt; 0), tabItens[[#This Row],[Pend]] / tabItens[[#This Row],[Consumo]], 0 )</f>
        <v>0</v>
      </c>
      <c r="BI537" s="338"/>
      <c r="BJ537" s="407"/>
      <c r="BK537" s="408" t="s">
        <v>2086</v>
      </c>
    </row>
    <row r="538" spans="1:63" x14ac:dyDescent="0.3">
      <c r="A538" s="375">
        <v>123372</v>
      </c>
      <c r="B538" s="376" t="s">
        <v>1760</v>
      </c>
      <c r="C538" s="377" t="s">
        <v>272</v>
      </c>
      <c r="D538" s="378">
        <v>33</v>
      </c>
      <c r="E538" s="305"/>
      <c r="F538" s="379"/>
      <c r="G538" s="379" t="s">
        <v>889</v>
      </c>
      <c r="H538" s="380">
        <v>651</v>
      </c>
      <c r="I538" s="307">
        <v>103003</v>
      </c>
      <c r="J538" s="308">
        <v>33</v>
      </c>
      <c r="K538" s="381">
        <v>27</v>
      </c>
      <c r="L538" s="382">
        <f>IF(tabItens[[#This Row],[Média]] &gt; 0, tabItens[[#This Row],[QTDE ATUAL]] / tabItens[[#This Row],[Média]],999.9)</f>
        <v>372</v>
      </c>
      <c r="M538" s="383">
        <v>0</v>
      </c>
      <c r="N538" s="384">
        <f>tabItens[[#This Row],[VALOR UNIT.]] * tabItens[[#This Row],[LC]]</f>
        <v>0</v>
      </c>
      <c r="O538" s="385" t="s">
        <v>2183</v>
      </c>
      <c r="P538" s="386"/>
      <c r="Q538" s="387"/>
      <c r="R538" s="312"/>
      <c r="S538" s="388"/>
      <c r="T538" s="389">
        <f>ROUNDDOWN(IFERROR(tabItens[[#This Row],[ATA DT.VALID.]] - $D$1,0) / 30,0)</f>
        <v>-1474</v>
      </c>
      <c r="U538" s="302" t="s">
        <v>1676</v>
      </c>
      <c r="V538" s="318">
        <v>1</v>
      </c>
      <c r="W538" s="390" t="s">
        <v>2077</v>
      </c>
      <c r="X538" s="391">
        <v>55</v>
      </c>
      <c r="Y538" s="392">
        <v>19</v>
      </c>
      <c r="Z538" s="393"/>
      <c r="AA538" s="394"/>
      <c r="AB538" s="395"/>
      <c r="AC538" s="395"/>
      <c r="AD538" s="394"/>
      <c r="AE538" s="395"/>
      <c r="AF538" s="317"/>
      <c r="AG538" s="396" t="s">
        <v>2072</v>
      </c>
      <c r="AH538" s="397"/>
      <c r="AI538" s="317">
        <v>10</v>
      </c>
      <c r="AJ538" s="397">
        <v>41471</v>
      </c>
      <c r="AK538" s="326">
        <v>41101</v>
      </c>
      <c r="AL538" s="326">
        <v>43584</v>
      </c>
      <c r="AM538" s="316"/>
      <c r="AN538" s="305"/>
      <c r="AO538" s="327" t="str">
        <f>_xlfn.IFNA(IF(VLOOKUP(tabItens[[#This Row],[CÓDIGO]],tabExcluirDoEstoque[#Data],1,FALSE),"sim",""),"")</f>
        <v/>
      </c>
      <c r="AP538" s="398" t="str">
        <f ca="1">IF(OR(ISBLANK(tabItens[[#This Row],[ATA DT.VALID.]]),tabItens[[#This Row],[ATA DT.VALID.]]="",tabItens[[#This Row],[ATA DT.VALID.]]=" "),"",IF(TYPE(tabItens[[#This Row],[ATA DT.VALID.]])=1,ROUNDUP((tabItens[[#This Row],[ATA DT.VALID.]]-TODAY())/7,0),""))</f>
        <v/>
      </c>
      <c r="AQ538" s="399">
        <v>0</v>
      </c>
      <c r="AR538" s="400" t="str">
        <f>IF(ISBLANK(tabItens[[#This Row],[CÓDIGO]]),"",IFERROR(VLOOKUP(tabItens[[#This Row],[CÓDIGO]],Consumo!$C$2:$AC$862,26,FALSE),0))</f>
        <v>06.2023</v>
      </c>
      <c r="AS538" s="401">
        <f>SUMIF(Consumo!$C$3:$C$862,tabItens[[#This Row],[CÓDIGO]],Consumo!$N$3:$N$862) + SUMIF(Consumo!$C$3:$C$862,tabItens[[#This Row],[CÓDIGO]],Consumo!$O$3:$O$862) + SUMIF(Consumo!$C$3:$C$862,tabItens[[#This Row],[CÓDIGO]],Consumo!$P$3:$P$862) + SUMIF(Consumo!$C$3:$C$862,tabItens[[#This Row],[CÓDIGO]],Consumo!$Q$3:$Q$862)</f>
        <v>7</v>
      </c>
      <c r="AT538" s="401">
        <f>SUMIF(Consumo!$C$3:$C$862,tabItens[[#This Row],[CÓDIGO]],Consumo!$Z$3:$Z$862)</f>
        <v>27</v>
      </c>
      <c r="AU538" s="402">
        <f>SUMIF(Consumo!$C$3:$C$862,tabItens[[#This Row],[CÓDIGO]],Consumo!$AA$3:$AA$862)</f>
        <v>20</v>
      </c>
      <c r="AV538" s="403">
        <f>SUMIF(Consumo!$C$3:$C$862,tabItens[[#This Row],[CÓDIGO]],Consumo!$Y$3:$Y$862)</f>
        <v>1.75</v>
      </c>
      <c r="AW538" s="380">
        <f>tabItens[[#This Row],[QTDE ATUAL]] + tabItens[[#This Row],[RC QTDE]] + tabItens[[#This Row],[AF SALDO]] + tabItens[[#This Row],[Recentes]]</f>
        <v>651</v>
      </c>
      <c r="AX538" s="404">
        <v>30</v>
      </c>
      <c r="AY538" s="404">
        <v>4</v>
      </c>
      <c r="AZ538" s="404">
        <f>IF(ISBLANK(tabItens[[#This Row],[CÓDIGO]]),"",tabItens[[#This Row],[PontoMês]] * (AZ$2+tabItens[[#This Row],[PontoQtM]]))</f>
        <v>120</v>
      </c>
      <c r="BA538" s="403">
        <f>tabItens[[#This Row],[PontoPed]] - tabItens[[#This Row],[Saldo]] + (1/10)</f>
        <v>-530.9</v>
      </c>
      <c r="BB538" s="403">
        <f xml:space="preserve"> tabItens[[#This Row],[PontoMês]] * BB$2 - tabItens[[#This Row],[QTDE ATUAL]] - (1/10)</f>
        <v>-621.1</v>
      </c>
      <c r="BC538" s="335">
        <f>IF( tabItens[[#This Row],[PontoPed]]&gt;0, IF(tabItens[[#This Row],[PontoPed]]&lt;1, 1, IF( tabItens[[#This Row],[Saldo]]&gt;tabItens[[#This Row],[PontoPed]], 0, (tabItens[[#This Row],[PontoPed]]-tabItens[[#This Row],[Saldo]])/tabItens[[#This Row],[PontoPed]] ) ), 0 )</f>
        <v>0</v>
      </c>
      <c r="BD538" s="405">
        <f>ROUNDDOWN(IF( OR( AND(tabItens[[#This Row],[PontoPed]]&lt;tabItens[[#This Row],[Saldo]],tabItens[[#This Row],[Saldo]]&gt;0), tabItens[[#This Row],[PontoPed]]=0), 99, IF(AND(tabItens[[#This Row],[Saldo]]=0,tabItens[[#This Row],[PontoPed]]&gt;0), 0, (1-tabItens[[#This Row],[PctAb]])*10 ) ),0)</f>
        <v>99</v>
      </c>
      <c r="BE538" s="406">
        <f>MAX(ROUNDDOWN( IF(tabItens[[#This Row],[Abaixo]] &gt; 0,   tabItens[[#This Row],[Abaixo]] + (tabItens[[#This Row],[PontoMês]] * IF( OR( ISBLANK(tabItens[[#This Row],[ATA Nº/ANO]]), tabItens[[#This Row],[ATA Nº/ANO]] = ""),BE$2,BE$1)),0),0),0)</f>
        <v>0</v>
      </c>
      <c r="BF53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8" s="338">
        <f>SUMIF(Consumo!$C$3:$C$862,tabItens[[#This Row],[CÓDIGO]],Consumo!$E$3:$E$862)</f>
        <v>0</v>
      </c>
      <c r="BH538" s="339">
        <f>IF(AND(tabItens[[#This Row],[Pend]] &gt; 0,tabItens[[#This Row],[Consumo]] &lt;&gt; 0), tabItens[[#This Row],[Pend]] / tabItens[[#This Row],[Consumo]], 0 )</f>
        <v>0</v>
      </c>
      <c r="BI538" s="338"/>
      <c r="BJ538" s="407"/>
      <c r="BK538" s="408" t="s">
        <v>2086</v>
      </c>
    </row>
    <row r="539" spans="1:63" x14ac:dyDescent="0.3">
      <c r="A539" s="375">
        <v>129960</v>
      </c>
      <c r="B539" s="376" t="s">
        <v>1799</v>
      </c>
      <c r="C539" s="377" t="s">
        <v>272</v>
      </c>
      <c r="D539" s="378">
        <v>136</v>
      </c>
      <c r="E539" s="305"/>
      <c r="F539" s="379"/>
      <c r="G539" s="379" t="s">
        <v>889</v>
      </c>
      <c r="H539" s="380">
        <v>240</v>
      </c>
      <c r="I539" s="307">
        <v>103003</v>
      </c>
      <c r="J539" s="308">
        <v>136</v>
      </c>
      <c r="K539" s="381">
        <v>10</v>
      </c>
      <c r="L539" s="382">
        <f>IF(tabItens[[#This Row],[Média]] &gt; 0, tabItens[[#This Row],[QTDE ATUAL]] / tabItens[[#This Row],[Média]],999.9)</f>
        <v>480</v>
      </c>
      <c r="M539" s="383">
        <v>0</v>
      </c>
      <c r="N539" s="384">
        <f>tabItens[[#This Row],[VALOR UNIT.]] * tabItens[[#This Row],[LC]]</f>
        <v>0</v>
      </c>
      <c r="O539" s="385" t="s">
        <v>2183</v>
      </c>
      <c r="P539" s="386"/>
      <c r="Q539" s="387"/>
      <c r="R539" s="312"/>
      <c r="S539" s="388"/>
      <c r="T539" s="389">
        <f>ROUNDDOWN(IFERROR(tabItens[[#This Row],[ATA DT.VALID.]] - $D$1,0) / 30,0)</f>
        <v>-1474</v>
      </c>
      <c r="U539" s="302" t="s">
        <v>1676</v>
      </c>
      <c r="V539" s="318">
        <v>1</v>
      </c>
      <c r="W539" s="390" t="s">
        <v>2077</v>
      </c>
      <c r="X539" s="391">
        <v>55</v>
      </c>
      <c r="Y539" s="392">
        <v>19</v>
      </c>
      <c r="Z539" s="393"/>
      <c r="AA539" s="394"/>
      <c r="AB539" s="395"/>
      <c r="AC539" s="395"/>
      <c r="AD539" s="394"/>
      <c r="AE539" s="395"/>
      <c r="AF539" s="317"/>
      <c r="AG539" s="396" t="s">
        <v>2072</v>
      </c>
      <c r="AH539" s="397"/>
      <c r="AI539" s="317">
        <v>4</v>
      </c>
      <c r="AJ539" s="397">
        <v>44960</v>
      </c>
      <c r="AK539" s="326">
        <v>42046</v>
      </c>
      <c r="AL539" s="326">
        <v>44845</v>
      </c>
      <c r="AM539" s="316"/>
      <c r="AN539" s="305"/>
      <c r="AO539" s="327" t="str">
        <f>_xlfn.IFNA(IF(VLOOKUP(tabItens[[#This Row],[CÓDIGO]],tabExcluirDoEstoque[#Data],1,FALSE),"sim",""),"")</f>
        <v/>
      </c>
      <c r="AP539" s="398" t="str">
        <f ca="1">IF(OR(ISBLANK(tabItens[[#This Row],[ATA DT.VALID.]]),tabItens[[#This Row],[ATA DT.VALID.]]="",tabItens[[#This Row],[ATA DT.VALID.]]=" "),"",IF(TYPE(tabItens[[#This Row],[ATA DT.VALID.]])=1,ROUNDUP((tabItens[[#This Row],[ATA DT.VALID.]]-TODAY())/7,0),""))</f>
        <v/>
      </c>
      <c r="AQ539" s="399">
        <v>0</v>
      </c>
      <c r="AR539" s="400" t="str">
        <f>IF(ISBLANK(tabItens[[#This Row],[CÓDIGO]]),"",IFERROR(VLOOKUP(tabItens[[#This Row],[CÓDIGO]],Consumo!$C$2:$AC$862,26,FALSE),0))</f>
        <v>08.2023</v>
      </c>
      <c r="AS539" s="401">
        <f>SUMIF(Consumo!$C$3:$C$862,tabItens[[#This Row],[CÓDIGO]],Consumo!$N$3:$N$862) + SUMIF(Consumo!$C$3:$C$862,tabItens[[#This Row],[CÓDIGO]],Consumo!$O$3:$O$862) + SUMIF(Consumo!$C$3:$C$862,tabItens[[#This Row],[CÓDIGO]],Consumo!$P$3:$P$862) + SUMIF(Consumo!$C$3:$C$862,tabItens[[#This Row],[CÓDIGO]],Consumo!$Q$3:$Q$862)</f>
        <v>10</v>
      </c>
      <c r="AT539" s="401">
        <f>SUMIF(Consumo!$C$3:$C$862,tabItens[[#This Row],[CÓDIGO]],Consumo!$Z$3:$Z$862)</f>
        <v>10</v>
      </c>
      <c r="AU539" s="402">
        <f>SUMIF(Consumo!$C$3:$C$862,tabItens[[#This Row],[CÓDIGO]],Consumo!$AA$3:$AA$862)</f>
        <v>10</v>
      </c>
      <c r="AV539" s="403">
        <f>SUMIF(Consumo!$C$3:$C$862,tabItens[[#This Row],[CÓDIGO]],Consumo!$Y$3:$Y$862)</f>
        <v>0.5</v>
      </c>
      <c r="AW539" s="380">
        <f>tabItens[[#This Row],[QTDE ATUAL]] + tabItens[[#This Row],[RC QTDE]] + tabItens[[#This Row],[AF SALDO]] + tabItens[[#This Row],[Recentes]]</f>
        <v>240</v>
      </c>
      <c r="AX539" s="404">
        <v>5</v>
      </c>
      <c r="AY539" s="404">
        <v>4</v>
      </c>
      <c r="AZ539" s="404">
        <f>IF(ISBLANK(tabItens[[#This Row],[CÓDIGO]]),"",tabItens[[#This Row],[PontoMês]] * (AZ$2+tabItens[[#This Row],[PontoQtM]]))</f>
        <v>20</v>
      </c>
      <c r="BA539" s="403">
        <f>tabItens[[#This Row],[PontoPed]] - tabItens[[#This Row],[Saldo]] + (1/10)</f>
        <v>-219.9</v>
      </c>
      <c r="BB539" s="403">
        <f xml:space="preserve"> tabItens[[#This Row],[PontoMês]] * BB$2 - tabItens[[#This Row],[QTDE ATUAL]] - (1/10)</f>
        <v>-235.1</v>
      </c>
      <c r="BC539" s="335">
        <f>IF( tabItens[[#This Row],[PontoPed]]&gt;0, IF(tabItens[[#This Row],[PontoPed]]&lt;1, 1, IF( tabItens[[#This Row],[Saldo]]&gt;tabItens[[#This Row],[PontoPed]], 0, (tabItens[[#This Row],[PontoPed]]-tabItens[[#This Row],[Saldo]])/tabItens[[#This Row],[PontoPed]] ) ), 0 )</f>
        <v>0</v>
      </c>
      <c r="BD539" s="405">
        <f>ROUNDDOWN(IF( OR( AND(tabItens[[#This Row],[PontoPed]]&lt;tabItens[[#This Row],[Saldo]],tabItens[[#This Row],[Saldo]]&gt;0), tabItens[[#This Row],[PontoPed]]=0), 99, IF(AND(tabItens[[#This Row],[Saldo]]=0,tabItens[[#This Row],[PontoPed]]&gt;0), 0, (1-tabItens[[#This Row],[PctAb]])*10 ) ),0)</f>
        <v>99</v>
      </c>
      <c r="BE539" s="406">
        <f>MAX(ROUNDDOWN( IF(tabItens[[#This Row],[Abaixo]] &gt; 0,   tabItens[[#This Row],[Abaixo]] + (tabItens[[#This Row],[PontoMês]] * IF( OR( ISBLANK(tabItens[[#This Row],[ATA Nº/ANO]]), tabItens[[#This Row],[ATA Nº/ANO]] = ""),BE$2,BE$1)),0),0),0)</f>
        <v>0</v>
      </c>
      <c r="BF53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9" s="338">
        <f>SUMIF(Consumo!$C$3:$C$862,tabItens[[#This Row],[CÓDIGO]],Consumo!$E$3:$E$862)</f>
        <v>0</v>
      </c>
      <c r="BH539" s="339">
        <f>IF(AND(tabItens[[#This Row],[Pend]] &gt; 0,tabItens[[#This Row],[Consumo]] &lt;&gt; 0), tabItens[[#This Row],[Pend]] / tabItens[[#This Row],[Consumo]], 0 )</f>
        <v>0</v>
      </c>
      <c r="BI539" s="338"/>
      <c r="BJ539" s="407"/>
      <c r="BK539" s="408" t="s">
        <v>2086</v>
      </c>
    </row>
    <row r="540" spans="1:63" x14ac:dyDescent="0.3">
      <c r="A540" s="375">
        <v>138552</v>
      </c>
      <c r="B540" s="376" t="s">
        <v>1983</v>
      </c>
      <c r="C540" s="377" t="s">
        <v>31</v>
      </c>
      <c r="D540" s="378">
        <v>438.58</v>
      </c>
      <c r="E540" s="305"/>
      <c r="F540" s="379"/>
      <c r="G540" s="379" t="s">
        <v>889</v>
      </c>
      <c r="H540" s="380">
        <v>484</v>
      </c>
      <c r="I540" s="307">
        <v>103003</v>
      </c>
      <c r="J540" s="308">
        <v>438.58</v>
      </c>
      <c r="K540" s="381">
        <v>115</v>
      </c>
      <c r="L540" s="382">
        <f>IF(tabItens[[#This Row],[Média]] &gt; 0, tabItens[[#This Row],[QTDE ATUAL]] / tabItens[[#This Row],[Média]],999.9)</f>
        <v>51.857142857142854</v>
      </c>
      <c r="M540" s="383">
        <v>0</v>
      </c>
      <c r="N540" s="384">
        <f>tabItens[[#This Row],[VALOR UNIT.]] * tabItens[[#This Row],[LC]]</f>
        <v>0</v>
      </c>
      <c r="O540" s="385" t="s">
        <v>2209</v>
      </c>
      <c r="P540" s="386"/>
      <c r="Q540" s="387"/>
      <c r="R540" s="312"/>
      <c r="S540" s="388"/>
      <c r="T540" s="389">
        <f>ROUNDDOWN(IFERROR(tabItens[[#This Row],[ATA DT.VALID.]] - $D$1,0) / 30,0)</f>
        <v>-1474</v>
      </c>
      <c r="U540" s="302" t="s">
        <v>1086</v>
      </c>
      <c r="V540" s="318">
        <v>1</v>
      </c>
      <c r="W540" s="390" t="s">
        <v>2077</v>
      </c>
      <c r="X540" s="391">
        <v>55</v>
      </c>
      <c r="Y540" s="392">
        <v>49</v>
      </c>
      <c r="Z540" s="393"/>
      <c r="AA540" s="394"/>
      <c r="AB540" s="395"/>
      <c r="AC540" s="395"/>
      <c r="AD540" s="394"/>
      <c r="AE540" s="395"/>
      <c r="AF540" s="317"/>
      <c r="AG540" s="396" t="s">
        <v>2072</v>
      </c>
      <c r="AH540" s="397"/>
      <c r="AI540" s="317">
        <v>38</v>
      </c>
      <c r="AJ540" s="397">
        <v>44532</v>
      </c>
      <c r="AK540" s="326">
        <v>43734</v>
      </c>
      <c r="AL540" s="326">
        <v>44470</v>
      </c>
      <c r="AM540" s="316"/>
      <c r="AN540" s="305"/>
      <c r="AO540" s="327" t="str">
        <f>_xlfn.IFNA(IF(VLOOKUP(tabItens[[#This Row],[CÓDIGO]],tabExcluirDoEstoque[#Data],1,FALSE),"sim",""),"")</f>
        <v/>
      </c>
      <c r="AP540" s="398" t="str">
        <f ca="1">IF(OR(ISBLANK(tabItens[[#This Row],[ATA DT.VALID.]]),tabItens[[#This Row],[ATA DT.VALID.]]="",tabItens[[#This Row],[ATA DT.VALID.]]=" "),"",IF(TYPE(tabItens[[#This Row],[ATA DT.VALID.]])=1,ROUNDUP((tabItens[[#This Row],[ATA DT.VALID.]]-TODAY())/7,0),""))</f>
        <v/>
      </c>
      <c r="AQ540" s="399">
        <v>0</v>
      </c>
      <c r="AR540" s="400" t="str">
        <f>IF(ISBLANK(tabItens[[#This Row],[CÓDIGO]]),"",IFERROR(VLOOKUP(tabItens[[#This Row],[CÓDIGO]],Consumo!$C$2:$AC$862,26,FALSE),0))</f>
        <v>09.2023</v>
      </c>
      <c r="AS540" s="401">
        <f>SUMIF(Consumo!$C$3:$C$862,tabItens[[#This Row],[CÓDIGO]],Consumo!$N$3:$N$862) + SUMIF(Consumo!$C$3:$C$862,tabItens[[#This Row],[CÓDIGO]],Consumo!$O$3:$O$862) + SUMIF(Consumo!$C$3:$C$862,tabItens[[#This Row],[CÓDIGO]],Consumo!$P$3:$P$862) + SUMIF(Consumo!$C$3:$C$862,tabItens[[#This Row],[CÓDIGO]],Consumo!$Q$3:$Q$862)</f>
        <v>72</v>
      </c>
      <c r="AT540" s="401">
        <f>SUMIF(Consumo!$C$3:$C$862,tabItens[[#This Row],[CÓDIGO]],Consumo!$Z$3:$Z$862)</f>
        <v>115</v>
      </c>
      <c r="AU540" s="402">
        <f>SUMIF(Consumo!$C$3:$C$862,tabItens[[#This Row],[CÓDIGO]],Consumo!$AA$3:$AA$862)</f>
        <v>45</v>
      </c>
      <c r="AV540" s="403">
        <f>SUMIF(Consumo!$C$3:$C$862,tabItens[[#This Row],[CÓDIGO]],Consumo!$Y$3:$Y$862)</f>
        <v>9.3333333333333339</v>
      </c>
      <c r="AW540" s="380">
        <f>tabItens[[#This Row],[QTDE ATUAL]] + tabItens[[#This Row],[RC QTDE]] + tabItens[[#This Row],[AF SALDO]] + tabItens[[#This Row],[Recentes]]</f>
        <v>484</v>
      </c>
      <c r="AX540" s="404">
        <v>42</v>
      </c>
      <c r="AY540" s="404">
        <v>4</v>
      </c>
      <c r="AZ540" s="404">
        <f>IF(ISBLANK(tabItens[[#This Row],[CÓDIGO]]),"",tabItens[[#This Row],[PontoMês]] * (AZ$2+tabItens[[#This Row],[PontoQtM]]))</f>
        <v>168</v>
      </c>
      <c r="BA540" s="403">
        <f>tabItens[[#This Row],[PontoPed]] - tabItens[[#This Row],[Saldo]] + (1/10)</f>
        <v>-315.89999999999998</v>
      </c>
      <c r="BB540" s="403">
        <f xml:space="preserve"> tabItens[[#This Row],[PontoMês]] * BB$2 - tabItens[[#This Row],[QTDE ATUAL]] - (1/10)</f>
        <v>-442.1</v>
      </c>
      <c r="BC540" s="335">
        <f>IF( tabItens[[#This Row],[PontoPed]]&gt;0, IF(tabItens[[#This Row],[PontoPed]]&lt;1, 1, IF( tabItens[[#This Row],[Saldo]]&gt;tabItens[[#This Row],[PontoPed]], 0, (tabItens[[#This Row],[PontoPed]]-tabItens[[#This Row],[Saldo]])/tabItens[[#This Row],[PontoPed]] ) ), 0 )</f>
        <v>0</v>
      </c>
      <c r="BD540" s="405">
        <f>ROUNDDOWN(IF( OR( AND(tabItens[[#This Row],[PontoPed]]&lt;tabItens[[#This Row],[Saldo]],tabItens[[#This Row],[Saldo]]&gt;0), tabItens[[#This Row],[PontoPed]]=0), 99, IF(AND(tabItens[[#This Row],[Saldo]]=0,tabItens[[#This Row],[PontoPed]]&gt;0), 0, (1-tabItens[[#This Row],[PctAb]])*10 ) ),0)</f>
        <v>99</v>
      </c>
      <c r="BE540" s="406">
        <f>MAX(ROUNDDOWN( IF(tabItens[[#This Row],[Abaixo]] &gt; 0,   tabItens[[#This Row],[Abaixo]] + (tabItens[[#This Row],[PontoMês]] * IF( OR( ISBLANK(tabItens[[#This Row],[ATA Nº/ANO]]), tabItens[[#This Row],[ATA Nº/ANO]] = ""),BE$2,BE$1)),0),0),0)</f>
        <v>0</v>
      </c>
      <c r="BF54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0" s="338">
        <f>SUMIF(Consumo!$C$3:$C$862,tabItens[[#This Row],[CÓDIGO]],Consumo!$E$3:$E$862)</f>
        <v>0</v>
      </c>
      <c r="BH540" s="339">
        <f>IF(AND(tabItens[[#This Row],[Pend]] &gt; 0,tabItens[[#This Row],[Consumo]] &lt;&gt; 0), tabItens[[#This Row],[Pend]] / tabItens[[#This Row],[Consumo]], 0 )</f>
        <v>0</v>
      </c>
      <c r="BI540" s="338"/>
      <c r="BJ540" s="407"/>
      <c r="BK540" s="408" t="s">
        <v>2086</v>
      </c>
    </row>
    <row r="541" spans="1:63" x14ac:dyDescent="0.3">
      <c r="A541" s="375">
        <v>138553</v>
      </c>
      <c r="B541" s="376" t="s">
        <v>1984</v>
      </c>
      <c r="C541" s="377" t="s">
        <v>31</v>
      </c>
      <c r="D541" s="378">
        <v>566.33000000000004</v>
      </c>
      <c r="E541" s="305"/>
      <c r="F541" s="379"/>
      <c r="G541" s="379" t="s">
        <v>889</v>
      </c>
      <c r="H541" s="380">
        <v>660</v>
      </c>
      <c r="I541" s="307">
        <v>103003</v>
      </c>
      <c r="J541" s="308">
        <v>566.33000000000004</v>
      </c>
      <c r="K541" s="381">
        <v>20</v>
      </c>
      <c r="L541" s="382">
        <f>IF(tabItens[[#This Row],[Média]] &gt; 0, tabItens[[#This Row],[QTDE ATUAL]] / tabItens[[#This Row],[Média]],999.9)</f>
        <v>440</v>
      </c>
      <c r="M541" s="383">
        <v>0</v>
      </c>
      <c r="N541" s="384">
        <f>tabItens[[#This Row],[VALOR UNIT.]] * tabItens[[#This Row],[LC]]</f>
        <v>0</v>
      </c>
      <c r="O541" s="385" t="s">
        <v>2209</v>
      </c>
      <c r="P541" s="386"/>
      <c r="Q541" s="387"/>
      <c r="R541" s="312"/>
      <c r="S541" s="388"/>
      <c r="T541" s="389">
        <f>ROUNDDOWN(IFERROR(tabItens[[#This Row],[ATA DT.VALID.]] - $D$1,0) / 30,0)</f>
        <v>-1474</v>
      </c>
      <c r="U541" s="302" t="s">
        <v>1086</v>
      </c>
      <c r="V541" s="318">
        <v>1</v>
      </c>
      <c r="W541" s="390" t="s">
        <v>2077</v>
      </c>
      <c r="X541" s="391">
        <v>55</v>
      </c>
      <c r="Y541" s="392">
        <v>49</v>
      </c>
      <c r="Z541" s="393"/>
      <c r="AA541" s="394"/>
      <c r="AB541" s="395"/>
      <c r="AC541" s="395"/>
      <c r="AD541" s="394"/>
      <c r="AE541" s="395"/>
      <c r="AF541" s="317"/>
      <c r="AG541" s="396" t="s">
        <v>2072</v>
      </c>
      <c r="AH541" s="397"/>
      <c r="AI541" s="317">
        <v>6</v>
      </c>
      <c r="AJ541" s="397">
        <v>44537</v>
      </c>
      <c r="AK541" s="326">
        <v>43734</v>
      </c>
      <c r="AL541" s="326">
        <v>44470</v>
      </c>
      <c r="AM541" s="316"/>
      <c r="AN541" s="305"/>
      <c r="AO541" s="327" t="str">
        <f>_xlfn.IFNA(IF(VLOOKUP(tabItens[[#This Row],[CÓDIGO]],tabExcluirDoEstoque[#Data],1,FALSE),"sim",""),"")</f>
        <v/>
      </c>
      <c r="AP541" s="398" t="str">
        <f ca="1">IF(OR(ISBLANK(tabItens[[#This Row],[ATA DT.VALID.]]),tabItens[[#This Row],[ATA DT.VALID.]]="",tabItens[[#This Row],[ATA DT.VALID.]]=" "),"",IF(TYPE(tabItens[[#This Row],[ATA DT.VALID.]])=1,ROUNDUP((tabItens[[#This Row],[ATA DT.VALID.]]-TODAY())/7,0),""))</f>
        <v/>
      </c>
      <c r="AQ541" s="399">
        <v>0</v>
      </c>
      <c r="AR541" s="400" t="str">
        <f>IF(ISBLANK(tabItens[[#This Row],[CÓDIGO]]),"",IFERROR(VLOOKUP(tabItens[[#This Row],[CÓDIGO]],Consumo!$C$2:$AC$862,26,FALSE),0))</f>
        <v>05.2023</v>
      </c>
      <c r="AS541" s="401">
        <f>SUMIF(Consumo!$C$3:$C$862,tabItens[[#This Row],[CÓDIGO]],Consumo!$N$3:$N$862) + SUMIF(Consumo!$C$3:$C$862,tabItens[[#This Row],[CÓDIGO]],Consumo!$O$3:$O$862) + SUMIF(Consumo!$C$3:$C$862,tabItens[[#This Row],[CÓDIGO]],Consumo!$P$3:$P$862) + SUMIF(Consumo!$C$3:$C$862,tabItens[[#This Row],[CÓDIGO]],Consumo!$Q$3:$Q$862)</f>
        <v>0</v>
      </c>
      <c r="AT541" s="401">
        <f>SUMIF(Consumo!$C$3:$C$862,tabItens[[#This Row],[CÓDIGO]],Consumo!$Z$3:$Z$862)</f>
        <v>20</v>
      </c>
      <c r="AU541" s="402">
        <f>SUMIF(Consumo!$C$3:$C$862,tabItens[[#This Row],[CÓDIGO]],Consumo!$AA$3:$AA$862)</f>
        <v>10</v>
      </c>
      <c r="AV541" s="403">
        <f>SUMIF(Consumo!$C$3:$C$862,tabItens[[#This Row],[CÓDIGO]],Consumo!$Y$3:$Y$862)</f>
        <v>1.5</v>
      </c>
      <c r="AW541" s="380">
        <f>tabItens[[#This Row],[QTDE ATUAL]] + tabItens[[#This Row],[RC QTDE]] + tabItens[[#This Row],[AF SALDO]] + tabItens[[#This Row],[Recentes]]</f>
        <v>660</v>
      </c>
      <c r="AX541" s="404">
        <v>42</v>
      </c>
      <c r="AY541" s="404">
        <v>4</v>
      </c>
      <c r="AZ541" s="404">
        <f>IF(ISBLANK(tabItens[[#This Row],[CÓDIGO]]),"",tabItens[[#This Row],[PontoMês]] * (AZ$2+tabItens[[#This Row],[PontoQtM]]))</f>
        <v>168</v>
      </c>
      <c r="BA541" s="403">
        <f>tabItens[[#This Row],[PontoPed]] - tabItens[[#This Row],[Saldo]] + (1/10)</f>
        <v>-491.9</v>
      </c>
      <c r="BB541" s="403">
        <f xml:space="preserve"> tabItens[[#This Row],[PontoMês]] * BB$2 - tabItens[[#This Row],[QTDE ATUAL]] - (1/10)</f>
        <v>-618.1</v>
      </c>
      <c r="BC541" s="335">
        <f>IF( tabItens[[#This Row],[PontoPed]]&gt;0, IF(tabItens[[#This Row],[PontoPed]]&lt;1, 1, IF( tabItens[[#This Row],[Saldo]]&gt;tabItens[[#This Row],[PontoPed]], 0, (tabItens[[#This Row],[PontoPed]]-tabItens[[#This Row],[Saldo]])/tabItens[[#This Row],[PontoPed]] ) ), 0 )</f>
        <v>0</v>
      </c>
      <c r="BD541" s="405">
        <f>ROUNDDOWN(IF( OR( AND(tabItens[[#This Row],[PontoPed]]&lt;tabItens[[#This Row],[Saldo]],tabItens[[#This Row],[Saldo]]&gt;0), tabItens[[#This Row],[PontoPed]]=0), 99, IF(AND(tabItens[[#This Row],[Saldo]]=0,tabItens[[#This Row],[PontoPed]]&gt;0), 0, (1-tabItens[[#This Row],[PctAb]])*10 ) ),0)</f>
        <v>99</v>
      </c>
      <c r="BE541" s="406">
        <f>MAX(ROUNDDOWN( IF(tabItens[[#This Row],[Abaixo]] &gt; 0,   tabItens[[#This Row],[Abaixo]] + (tabItens[[#This Row],[PontoMês]] * IF( OR( ISBLANK(tabItens[[#This Row],[ATA Nº/ANO]]), tabItens[[#This Row],[ATA Nº/ANO]] = ""),BE$2,BE$1)),0),0),0)</f>
        <v>0</v>
      </c>
      <c r="BF54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1" s="338">
        <f>SUMIF(Consumo!$C$3:$C$862,tabItens[[#This Row],[CÓDIGO]],Consumo!$E$3:$E$862)</f>
        <v>0</v>
      </c>
      <c r="BH541" s="339">
        <f>IF(AND(tabItens[[#This Row],[Pend]] &gt; 0,tabItens[[#This Row],[Consumo]] &lt;&gt; 0), tabItens[[#This Row],[Pend]] / tabItens[[#This Row],[Consumo]], 0 )</f>
        <v>0</v>
      </c>
      <c r="BI541" s="338"/>
      <c r="BJ541" s="407"/>
      <c r="BK541" s="408" t="s">
        <v>2086</v>
      </c>
    </row>
    <row r="542" spans="1:63" x14ac:dyDescent="0.3">
      <c r="A542" s="375">
        <v>138554</v>
      </c>
      <c r="B542" s="376" t="s">
        <v>1985</v>
      </c>
      <c r="C542" s="377" t="s">
        <v>31</v>
      </c>
      <c r="D542" s="378">
        <v>377.85</v>
      </c>
      <c r="E542" s="305"/>
      <c r="F542" s="379"/>
      <c r="G542" s="379" t="s">
        <v>889</v>
      </c>
      <c r="H542" s="380">
        <v>248</v>
      </c>
      <c r="I542" s="307">
        <v>103003</v>
      </c>
      <c r="J542" s="308">
        <v>377.85</v>
      </c>
      <c r="K542" s="381">
        <v>368</v>
      </c>
      <c r="L542" s="382">
        <f>IF(tabItens[[#This Row],[Média]] &gt; 0, tabItens[[#This Row],[QTDE ATUAL]] / tabItens[[#This Row],[Média]],999.9)</f>
        <v>8.0869565217391308</v>
      </c>
      <c r="M542" s="383">
        <v>0</v>
      </c>
      <c r="N542" s="384">
        <f>tabItens[[#This Row],[VALOR UNIT.]] * tabItens[[#This Row],[LC]]</f>
        <v>0</v>
      </c>
      <c r="O542" s="385" t="s">
        <v>2209</v>
      </c>
      <c r="P542" s="386"/>
      <c r="Q542" s="387"/>
      <c r="R542" s="312"/>
      <c r="S542" s="388"/>
      <c r="T542" s="389">
        <f>ROUNDDOWN(IFERROR(tabItens[[#This Row],[ATA DT.VALID.]] - $D$1,0) / 30,0)</f>
        <v>-1474</v>
      </c>
      <c r="U542" s="302" t="s">
        <v>1086</v>
      </c>
      <c r="V542" s="318">
        <v>1</v>
      </c>
      <c r="W542" s="390" t="s">
        <v>2077</v>
      </c>
      <c r="X542" s="391">
        <v>55</v>
      </c>
      <c r="Y542" s="392">
        <v>49</v>
      </c>
      <c r="Z542" s="393"/>
      <c r="AA542" s="394"/>
      <c r="AB542" s="395"/>
      <c r="AC542" s="395"/>
      <c r="AD542" s="394"/>
      <c r="AE542" s="395"/>
      <c r="AF542" s="317"/>
      <c r="AG542" s="396" t="s">
        <v>2072</v>
      </c>
      <c r="AH542" s="397"/>
      <c r="AI542" s="317">
        <v>0</v>
      </c>
      <c r="AJ542" s="397">
        <v>44525</v>
      </c>
      <c r="AK542" s="326">
        <v>43734</v>
      </c>
      <c r="AL542" s="326">
        <v>44431</v>
      </c>
      <c r="AM542" s="316"/>
      <c r="AN542" s="305"/>
      <c r="AO542" s="327" t="str">
        <f>_xlfn.IFNA(IF(VLOOKUP(tabItens[[#This Row],[CÓDIGO]],tabExcluirDoEstoque[#Data],1,FALSE),"sim",""),"")</f>
        <v/>
      </c>
      <c r="AP542" s="398" t="str">
        <f ca="1">IF(OR(ISBLANK(tabItens[[#This Row],[ATA DT.VALID.]]),tabItens[[#This Row],[ATA DT.VALID.]]="",tabItens[[#This Row],[ATA DT.VALID.]]=" "),"",IF(TYPE(tabItens[[#This Row],[ATA DT.VALID.]])=1,ROUNDUP((tabItens[[#This Row],[ATA DT.VALID.]]-TODAY())/7,0),""))</f>
        <v/>
      </c>
      <c r="AQ542" s="399">
        <v>0</v>
      </c>
      <c r="AR542" s="400" t="str">
        <f>IF(ISBLANK(tabItens[[#This Row],[CÓDIGO]]),"",IFERROR(VLOOKUP(tabItens[[#This Row],[CÓDIGO]],Consumo!$C$2:$AC$862,26,FALSE),0))</f>
        <v>09.2023</v>
      </c>
      <c r="AS542" s="401">
        <f>SUMIF(Consumo!$C$3:$C$862,tabItens[[#This Row],[CÓDIGO]],Consumo!$N$3:$N$862) + SUMIF(Consumo!$C$3:$C$862,tabItens[[#This Row],[CÓDIGO]],Consumo!$O$3:$O$862) + SUMIF(Consumo!$C$3:$C$862,tabItens[[#This Row],[CÓDIGO]],Consumo!$P$3:$P$862) + SUMIF(Consumo!$C$3:$C$862,tabItens[[#This Row],[CÓDIGO]],Consumo!$Q$3:$Q$862)</f>
        <v>368</v>
      </c>
      <c r="AT542" s="401">
        <f>SUMIF(Consumo!$C$3:$C$862,tabItens[[#This Row],[CÓDIGO]],Consumo!$Z$3:$Z$862)</f>
        <v>368</v>
      </c>
      <c r="AU542" s="402">
        <f>SUMIF(Consumo!$C$3:$C$862,tabItens[[#This Row],[CÓDIGO]],Consumo!$AA$3:$AA$862)</f>
        <v>110</v>
      </c>
      <c r="AV542" s="403">
        <f>SUMIF(Consumo!$C$3:$C$862,tabItens[[#This Row],[CÓDIGO]],Consumo!$Y$3:$Y$862)</f>
        <v>30.666666666666668</v>
      </c>
      <c r="AW542" s="380">
        <f>tabItens[[#This Row],[QTDE ATUAL]] + tabItens[[#This Row],[RC QTDE]] + tabItens[[#This Row],[AF SALDO]] + tabItens[[#This Row],[Recentes]]</f>
        <v>248</v>
      </c>
      <c r="AX542" s="404">
        <v>59</v>
      </c>
      <c r="AY542" s="404">
        <v>4</v>
      </c>
      <c r="AZ542" s="404">
        <f>IF(ISBLANK(tabItens[[#This Row],[CÓDIGO]]),"",tabItens[[#This Row],[PontoMês]] * (AZ$2+tabItens[[#This Row],[PontoQtM]]))</f>
        <v>236</v>
      </c>
      <c r="BA542" s="403">
        <f>tabItens[[#This Row],[PontoPed]] - tabItens[[#This Row],[Saldo]] + (1/10)</f>
        <v>-11.9</v>
      </c>
      <c r="BB542" s="403">
        <f xml:space="preserve"> tabItens[[#This Row],[PontoMês]] * BB$2 - tabItens[[#This Row],[QTDE ATUAL]] - (1/10)</f>
        <v>-189.1</v>
      </c>
      <c r="BC542" s="335">
        <f>IF( tabItens[[#This Row],[PontoPed]]&gt;0, IF(tabItens[[#This Row],[PontoPed]]&lt;1, 1, IF( tabItens[[#This Row],[Saldo]]&gt;tabItens[[#This Row],[PontoPed]], 0, (tabItens[[#This Row],[PontoPed]]-tabItens[[#This Row],[Saldo]])/tabItens[[#This Row],[PontoPed]] ) ), 0 )</f>
        <v>0</v>
      </c>
      <c r="BD542" s="405">
        <f>ROUNDDOWN(IF( OR( AND(tabItens[[#This Row],[PontoPed]]&lt;tabItens[[#This Row],[Saldo]],tabItens[[#This Row],[Saldo]]&gt;0), tabItens[[#This Row],[PontoPed]]=0), 99, IF(AND(tabItens[[#This Row],[Saldo]]=0,tabItens[[#This Row],[PontoPed]]&gt;0), 0, (1-tabItens[[#This Row],[PctAb]])*10 ) ),0)</f>
        <v>99</v>
      </c>
      <c r="BE542" s="406">
        <f>MAX(ROUNDDOWN( IF(tabItens[[#This Row],[Abaixo]] &gt; 0,   tabItens[[#This Row],[Abaixo]] + (tabItens[[#This Row],[PontoMês]] * IF( OR( ISBLANK(tabItens[[#This Row],[ATA Nº/ANO]]), tabItens[[#This Row],[ATA Nº/ANO]] = ""),BE$2,BE$1)),0),0),0)</f>
        <v>0</v>
      </c>
      <c r="BF54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2" s="338">
        <f>SUMIF(Consumo!$C$3:$C$862,tabItens[[#This Row],[CÓDIGO]],Consumo!$E$3:$E$862)</f>
        <v>0</v>
      </c>
      <c r="BH542" s="339">
        <f>IF(AND(tabItens[[#This Row],[Pend]] &gt; 0,tabItens[[#This Row],[Consumo]] &lt;&gt; 0), tabItens[[#This Row],[Pend]] / tabItens[[#This Row],[Consumo]], 0 )</f>
        <v>0</v>
      </c>
      <c r="BI542" s="338"/>
      <c r="BJ542" s="407"/>
      <c r="BK542" s="408" t="s">
        <v>2086</v>
      </c>
    </row>
    <row r="543" spans="1:63" x14ac:dyDescent="0.3">
      <c r="A543" s="375">
        <v>138551</v>
      </c>
      <c r="B543" s="376" t="s">
        <v>1982</v>
      </c>
      <c r="C543" s="377" t="s">
        <v>31</v>
      </c>
      <c r="D543" s="378">
        <v>299.89</v>
      </c>
      <c r="E543" s="305"/>
      <c r="F543" s="379"/>
      <c r="G543" s="379" t="s">
        <v>889</v>
      </c>
      <c r="H543" s="380">
        <v>0</v>
      </c>
      <c r="I543" s="307">
        <v>103003</v>
      </c>
      <c r="J543" s="308">
        <v>299.89</v>
      </c>
      <c r="K543" s="381">
        <v>278</v>
      </c>
      <c r="L543" s="382">
        <f>IF(tabItens[[#This Row],[Média]] &gt; 0, tabItens[[#This Row],[QTDE ATUAL]] / tabItens[[#This Row],[Média]],999.9)</f>
        <v>0</v>
      </c>
      <c r="M543" s="383">
        <v>0</v>
      </c>
      <c r="N543" s="384">
        <f>tabItens[[#This Row],[VALOR UNIT.]] * tabItens[[#This Row],[LC]]</f>
        <v>0</v>
      </c>
      <c r="O543" s="385" t="s">
        <v>2209</v>
      </c>
      <c r="P543" s="386"/>
      <c r="Q543" s="387"/>
      <c r="R543" s="312"/>
      <c r="S543" s="388"/>
      <c r="T543" s="389">
        <f>ROUNDDOWN(IFERROR(tabItens[[#This Row],[ATA DT.VALID.]] - $D$1,0) / 30,0)</f>
        <v>-1474</v>
      </c>
      <c r="U543" s="302" t="s">
        <v>1881</v>
      </c>
      <c r="V543" s="318">
        <v>1</v>
      </c>
      <c r="W543" s="390" t="s">
        <v>2077</v>
      </c>
      <c r="X543" s="391">
        <v>55</v>
      </c>
      <c r="Y543" s="392">
        <v>66</v>
      </c>
      <c r="Z543" s="393">
        <v>2376</v>
      </c>
      <c r="AA543" s="394">
        <v>2023</v>
      </c>
      <c r="AB543" s="395">
        <v>500</v>
      </c>
      <c r="AC543" s="395"/>
      <c r="AD543" s="394"/>
      <c r="AE543" s="395"/>
      <c r="AF543" s="317"/>
      <c r="AG543" s="396" t="s">
        <v>2072</v>
      </c>
      <c r="AH543" s="397"/>
      <c r="AI543" s="317">
        <v>100</v>
      </c>
      <c r="AJ543" s="397">
        <v>44495</v>
      </c>
      <c r="AK543" s="326">
        <v>43734</v>
      </c>
      <c r="AL543" s="326">
        <v>44431</v>
      </c>
      <c r="AM543" s="316"/>
      <c r="AN543" s="305"/>
      <c r="AO543" s="327" t="str">
        <f>_xlfn.IFNA(IF(VLOOKUP(tabItens[[#This Row],[CÓDIGO]],tabExcluirDoEstoque[#Data],1,FALSE),"sim",""),"")</f>
        <v/>
      </c>
      <c r="AP543" s="398" t="str">
        <f ca="1">IF(OR(ISBLANK(tabItens[[#This Row],[ATA DT.VALID.]]),tabItens[[#This Row],[ATA DT.VALID.]]="",tabItens[[#This Row],[ATA DT.VALID.]]=" "),"",IF(TYPE(tabItens[[#This Row],[ATA DT.VALID.]])=1,ROUNDUP((tabItens[[#This Row],[ATA DT.VALID.]]-TODAY())/7,0),""))</f>
        <v/>
      </c>
      <c r="AQ543" s="399">
        <v>0</v>
      </c>
      <c r="AR543" s="400" t="str">
        <f>IF(ISBLANK(tabItens[[#This Row],[CÓDIGO]]),"",IFERROR(VLOOKUP(tabItens[[#This Row],[CÓDIGO]],Consumo!$C$2:$AC$862,26,FALSE),0))</f>
        <v>06.2023</v>
      </c>
      <c r="AS543" s="401">
        <f>SUMIF(Consumo!$C$3:$C$862,tabItens[[#This Row],[CÓDIGO]],Consumo!$N$3:$N$862) + SUMIF(Consumo!$C$3:$C$862,tabItens[[#This Row],[CÓDIGO]],Consumo!$O$3:$O$862) + SUMIF(Consumo!$C$3:$C$862,tabItens[[#This Row],[CÓDIGO]],Consumo!$P$3:$P$862) + SUMIF(Consumo!$C$3:$C$862,tabItens[[#This Row],[CÓDIGO]],Consumo!$Q$3:$Q$862)</f>
        <v>8</v>
      </c>
      <c r="AT543" s="401">
        <f>SUMIF(Consumo!$C$3:$C$862,tabItens[[#This Row],[CÓDIGO]],Consumo!$Z$3:$Z$862)</f>
        <v>350</v>
      </c>
      <c r="AU543" s="402">
        <f>SUMIF(Consumo!$C$3:$C$862,tabItens[[#This Row],[CÓDIGO]],Consumo!$AA$3:$AA$862)</f>
        <v>120</v>
      </c>
      <c r="AV543" s="403">
        <f>SUMIF(Consumo!$C$3:$C$862,tabItens[[#This Row],[CÓDIGO]],Consumo!$Y$3:$Y$862)</f>
        <v>28.25</v>
      </c>
      <c r="AW543" s="380">
        <f>tabItens[[#This Row],[QTDE ATUAL]] + tabItens[[#This Row],[RC QTDE]] + tabItens[[#This Row],[AF SALDO]] + tabItens[[#This Row],[Recentes]]</f>
        <v>500</v>
      </c>
      <c r="AX543" s="404">
        <v>100</v>
      </c>
      <c r="AY543" s="404">
        <v>4</v>
      </c>
      <c r="AZ543" s="404">
        <f>IF(ISBLANK(tabItens[[#This Row],[CÓDIGO]]),"",tabItens[[#This Row],[PontoMês]] * (AZ$2+tabItens[[#This Row],[PontoQtM]]))</f>
        <v>400</v>
      </c>
      <c r="BA543" s="403">
        <f>tabItens[[#This Row],[PontoPed]] - tabItens[[#This Row],[Saldo]] + (1/10)</f>
        <v>-99.9</v>
      </c>
      <c r="BB543" s="403">
        <f xml:space="preserve"> tabItens[[#This Row],[PontoMês]] * BB$2 - tabItens[[#This Row],[QTDE ATUAL]] - (1/10)</f>
        <v>99.9</v>
      </c>
      <c r="BC543" s="335">
        <f>IF( tabItens[[#This Row],[PontoPed]]&gt;0, IF(tabItens[[#This Row],[PontoPed]]&lt;1, 1, IF( tabItens[[#This Row],[Saldo]]&gt;tabItens[[#This Row],[PontoPed]], 0, (tabItens[[#This Row],[PontoPed]]-tabItens[[#This Row],[Saldo]])/tabItens[[#This Row],[PontoPed]] ) ), 0 )</f>
        <v>0</v>
      </c>
      <c r="BD543" s="405">
        <f>ROUNDDOWN(IF( OR( AND(tabItens[[#This Row],[PontoPed]]&lt;tabItens[[#This Row],[Saldo]],tabItens[[#This Row],[Saldo]]&gt;0), tabItens[[#This Row],[PontoPed]]=0), 99, IF(AND(tabItens[[#This Row],[Saldo]]=0,tabItens[[#This Row],[PontoPed]]&gt;0), 0, (1-tabItens[[#This Row],[PctAb]])*10 ) ),0)</f>
        <v>99</v>
      </c>
      <c r="BE543" s="406">
        <f>MAX(ROUNDDOWN( IF(tabItens[[#This Row],[Abaixo]] &gt; 0,   tabItens[[#This Row],[Abaixo]] + (tabItens[[#This Row],[PontoMês]] * IF( OR( ISBLANK(tabItens[[#This Row],[ATA Nº/ANO]]), tabItens[[#This Row],[ATA Nº/ANO]] = ""),BE$2,BE$1)),0),0),0)</f>
        <v>0</v>
      </c>
      <c r="BF54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3" s="338">
        <f>SUMIF(Consumo!$C$3:$C$862,tabItens[[#This Row],[CÓDIGO]],Consumo!$E$3:$E$862)</f>
        <v>52</v>
      </c>
      <c r="BH543" s="339">
        <f>IF(AND(tabItens[[#This Row],[Pend]] &gt; 0,tabItens[[#This Row],[Consumo]] &lt;&gt; 0), tabItens[[#This Row],[Pend]] / tabItens[[#This Row],[Consumo]], 0 )</f>
        <v>0.14857142857142858</v>
      </c>
      <c r="BI543" s="338"/>
      <c r="BJ543" s="407"/>
      <c r="BK543" s="408" t="s">
        <v>2086</v>
      </c>
    </row>
    <row r="544" spans="1:63" x14ac:dyDescent="0.3">
      <c r="A544" s="375">
        <v>4680</v>
      </c>
      <c r="B544" s="376" t="s">
        <v>891</v>
      </c>
      <c r="C544" s="377" t="s">
        <v>260</v>
      </c>
      <c r="D544" s="378">
        <v>8.14</v>
      </c>
      <c r="E544" s="305"/>
      <c r="F544" s="379"/>
      <c r="G544" s="379" t="s">
        <v>889</v>
      </c>
      <c r="H544" s="380">
        <v>21196</v>
      </c>
      <c r="I544" s="307">
        <v>103003</v>
      </c>
      <c r="J544" s="308">
        <v>8.14</v>
      </c>
      <c r="K544" s="381">
        <v>12926</v>
      </c>
      <c r="L544" s="382">
        <f>IF(tabItens[[#This Row],[Média]] &gt; 0, tabItens[[#This Row],[QTDE ATUAL]] / tabItens[[#This Row],[Média]],999.9)</f>
        <v>12.106235126130414</v>
      </c>
      <c r="M544" s="383">
        <v>0</v>
      </c>
      <c r="N544" s="384">
        <f>tabItens[[#This Row],[VALOR UNIT.]] * tabItens[[#This Row],[LC]]</f>
        <v>0</v>
      </c>
      <c r="O544" s="385" t="s">
        <v>2087</v>
      </c>
      <c r="P544" s="386"/>
      <c r="Q544" s="387"/>
      <c r="R544" s="312"/>
      <c r="S544" s="388"/>
      <c r="T544" s="389">
        <f>ROUNDDOWN(IFERROR(tabItens[[#This Row],[ATA DT.VALID.]] - $D$1,0) / 30,0)</f>
        <v>-1474</v>
      </c>
      <c r="U544" s="302" t="s">
        <v>892</v>
      </c>
      <c r="V544" s="318">
        <v>1</v>
      </c>
      <c r="W544" s="390" t="s">
        <v>2073</v>
      </c>
      <c r="X544" s="391">
        <v>20</v>
      </c>
      <c r="Y544" s="392">
        <v>3</v>
      </c>
      <c r="Z544" s="393"/>
      <c r="AA544" s="394"/>
      <c r="AB544" s="395"/>
      <c r="AC544" s="395"/>
      <c r="AD544" s="394"/>
      <c r="AE544" s="395"/>
      <c r="AF544" s="317"/>
      <c r="AG544" s="396" t="s">
        <v>2072</v>
      </c>
      <c r="AH544" s="397"/>
      <c r="AI544" s="317">
        <v>6988</v>
      </c>
      <c r="AJ544" s="397">
        <v>45069</v>
      </c>
      <c r="AK544" s="326" t="s">
        <v>889</v>
      </c>
      <c r="AL544" s="326">
        <v>45138</v>
      </c>
      <c r="AM544" s="316"/>
      <c r="AN544" s="305"/>
      <c r="AO544" s="327" t="str">
        <f>_xlfn.IFNA(IF(VLOOKUP(tabItens[[#This Row],[CÓDIGO]],tabExcluirDoEstoque[#Data],1,FALSE),"sim",""),"")</f>
        <v/>
      </c>
      <c r="AP544" s="398" t="str">
        <f ca="1">IF(OR(ISBLANK(tabItens[[#This Row],[ATA DT.VALID.]]),tabItens[[#This Row],[ATA DT.VALID.]]="",tabItens[[#This Row],[ATA DT.VALID.]]=" "),"",IF(TYPE(tabItens[[#This Row],[ATA DT.VALID.]])=1,ROUNDUP((tabItens[[#This Row],[ATA DT.VALID.]]-TODAY())/7,0),""))</f>
        <v/>
      </c>
      <c r="AQ544" s="399">
        <v>0</v>
      </c>
      <c r="AR544" s="400" t="str">
        <f>IF(ISBLANK(tabItens[[#This Row],[CÓDIGO]]),"",IFERROR(VLOOKUP(tabItens[[#This Row],[CÓDIGO]],Consumo!$C$2:$AC$862,26,FALSE),0))</f>
        <v>09.2023</v>
      </c>
      <c r="AS544" s="401">
        <f>SUMIF(Consumo!$C$3:$C$862,tabItens[[#This Row],[CÓDIGO]],Consumo!$N$3:$N$862) + SUMIF(Consumo!$C$3:$C$862,tabItens[[#This Row],[CÓDIGO]],Consumo!$O$3:$O$862) + SUMIF(Consumo!$C$3:$C$862,tabItens[[#This Row],[CÓDIGO]],Consumo!$P$3:$P$862) + SUMIF(Consumo!$C$3:$C$862,tabItens[[#This Row],[CÓDIGO]],Consumo!$Q$3:$Q$862)</f>
        <v>8390</v>
      </c>
      <c r="AT544" s="401">
        <f>SUMIF(Consumo!$C$3:$C$862,tabItens[[#This Row],[CÓDIGO]],Consumo!$Z$3:$Z$862)</f>
        <v>21010</v>
      </c>
      <c r="AU544" s="402">
        <f>SUMIF(Consumo!$C$3:$C$862,tabItens[[#This Row],[CÓDIGO]],Consumo!$AA$3:$AA$862)</f>
        <v>2517</v>
      </c>
      <c r="AV544" s="403">
        <f>SUMIF(Consumo!$C$3:$C$862,tabItens[[#This Row],[CÓDIGO]],Consumo!$Y$3:$Y$862)</f>
        <v>1750.8333333333333</v>
      </c>
      <c r="AW544" s="380">
        <f>tabItens[[#This Row],[QTDE ATUAL]] + tabItens[[#This Row],[RC QTDE]] + tabItens[[#This Row],[AF SALDO]] + tabItens[[#This Row],[Recentes]]</f>
        <v>21196</v>
      </c>
      <c r="AX544" s="404">
        <v>805</v>
      </c>
      <c r="AY544" s="404">
        <v>4</v>
      </c>
      <c r="AZ544" s="404">
        <f>IF(ISBLANK(tabItens[[#This Row],[CÓDIGO]]),"",tabItens[[#This Row],[PontoMês]] * (AZ$2+tabItens[[#This Row],[PontoQtM]]))</f>
        <v>3220</v>
      </c>
      <c r="BA544" s="403">
        <f>tabItens[[#This Row],[PontoPed]] - tabItens[[#This Row],[Saldo]] + (1/10)</f>
        <v>-17975.900000000001</v>
      </c>
      <c r="BB544" s="403">
        <f xml:space="preserve"> tabItens[[#This Row],[PontoMês]] * BB$2 - tabItens[[#This Row],[QTDE ATUAL]] - (1/10)</f>
        <v>-20391.099999999999</v>
      </c>
      <c r="BC544" s="335">
        <f>IF( tabItens[[#This Row],[PontoPed]]&gt;0, IF(tabItens[[#This Row],[PontoPed]]&lt;1, 1, IF( tabItens[[#This Row],[Saldo]]&gt;tabItens[[#This Row],[PontoPed]], 0, (tabItens[[#This Row],[PontoPed]]-tabItens[[#This Row],[Saldo]])/tabItens[[#This Row],[PontoPed]] ) ), 0 )</f>
        <v>0</v>
      </c>
      <c r="BD544" s="405">
        <f>ROUNDDOWN(IF( OR( AND(tabItens[[#This Row],[PontoPed]]&lt;tabItens[[#This Row],[Saldo]],tabItens[[#This Row],[Saldo]]&gt;0), tabItens[[#This Row],[PontoPed]]=0), 99, IF(AND(tabItens[[#This Row],[Saldo]]=0,tabItens[[#This Row],[PontoPed]]&gt;0), 0, (1-tabItens[[#This Row],[PctAb]])*10 ) ),0)</f>
        <v>99</v>
      </c>
      <c r="BE544" s="406">
        <f>MAX(ROUNDDOWN( IF(tabItens[[#This Row],[Abaixo]] &gt; 0,   tabItens[[#This Row],[Abaixo]] + (tabItens[[#This Row],[PontoMês]] * IF( OR( ISBLANK(tabItens[[#This Row],[ATA Nº/ANO]]), tabItens[[#This Row],[ATA Nº/ANO]] = ""),BE$2,BE$1)),0),0),0)</f>
        <v>0</v>
      </c>
      <c r="BF54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4" s="338">
        <f>SUMIF(Consumo!$C$3:$C$862,tabItens[[#This Row],[CÓDIGO]],Consumo!$E$3:$E$862)</f>
        <v>44</v>
      </c>
      <c r="BH544" s="339">
        <f>IF(AND(tabItens[[#This Row],[Pend]] &gt; 0,tabItens[[#This Row],[Consumo]] &lt;&gt; 0), tabItens[[#This Row],[Pend]] / tabItens[[#This Row],[Consumo]], 0 )</f>
        <v>2.0942408376963353E-3</v>
      </c>
      <c r="BI544" s="338"/>
      <c r="BJ544" s="407"/>
      <c r="BK544" s="408" t="s">
        <v>2086</v>
      </c>
    </row>
    <row r="545" spans="1:63" x14ac:dyDescent="0.3">
      <c r="A545" s="375">
        <v>10359</v>
      </c>
      <c r="B545" s="376" t="s">
        <v>902</v>
      </c>
      <c r="C545" s="377" t="s">
        <v>320</v>
      </c>
      <c r="D545" s="378">
        <v>35</v>
      </c>
      <c r="E545" s="305" t="s">
        <v>903</v>
      </c>
      <c r="F545" s="379" t="s">
        <v>904</v>
      </c>
      <c r="G545" s="379" t="s">
        <v>905</v>
      </c>
      <c r="H545" s="380">
        <v>267</v>
      </c>
      <c r="I545" s="307">
        <v>103003</v>
      </c>
      <c r="J545" s="308">
        <v>35</v>
      </c>
      <c r="K545" s="381">
        <v>1479</v>
      </c>
      <c r="L545" s="382">
        <f>IF(tabItens[[#This Row],[Média]] &gt; 0, tabItens[[#This Row],[QTDE ATUAL]] / tabItens[[#This Row],[Média]],999.9)</f>
        <v>1.1875463306152705</v>
      </c>
      <c r="M545" s="383">
        <v>0</v>
      </c>
      <c r="N545" s="384">
        <f>tabItens[[#This Row],[VALOR UNIT.]] * tabItens[[#This Row],[LC]]</f>
        <v>0</v>
      </c>
      <c r="O545" s="385" t="s">
        <v>2089</v>
      </c>
      <c r="P545" s="386"/>
      <c r="Q545" s="387"/>
      <c r="R545" s="312"/>
      <c r="S545" s="388"/>
      <c r="T545" s="389">
        <f>ROUNDDOWN(IFERROR(tabItens[[#This Row],[ATA DT.VALID.]] - $D$1,0) / 30,0)</f>
        <v>-1474</v>
      </c>
      <c r="U545" s="302" t="s">
        <v>907</v>
      </c>
      <c r="V545" s="318">
        <v>1</v>
      </c>
      <c r="W545" s="390" t="s">
        <v>2073</v>
      </c>
      <c r="X545" s="391">
        <v>71</v>
      </c>
      <c r="Y545" s="392">
        <v>7</v>
      </c>
      <c r="Z545" s="393"/>
      <c r="AA545" s="394"/>
      <c r="AB545" s="395"/>
      <c r="AC545" s="395"/>
      <c r="AD545" s="394"/>
      <c r="AE545" s="395"/>
      <c r="AF545" s="317"/>
      <c r="AG545" s="396" t="s">
        <v>2072</v>
      </c>
      <c r="AH545" s="397"/>
      <c r="AI545" s="317">
        <v>900</v>
      </c>
      <c r="AJ545" s="397">
        <v>45127</v>
      </c>
      <c r="AK545" s="326" t="s">
        <v>889</v>
      </c>
      <c r="AL545" s="326">
        <v>45215</v>
      </c>
      <c r="AM545" s="316"/>
      <c r="AN545" s="305"/>
      <c r="AO545" s="327" t="str">
        <f>_xlfn.IFNA(IF(VLOOKUP(tabItens[[#This Row],[CÓDIGO]],tabExcluirDoEstoque[#Data],1,FALSE),"sim",""),"")</f>
        <v/>
      </c>
      <c r="AP545" s="398" t="str">
        <f ca="1">IF(OR(ISBLANK(tabItens[[#This Row],[ATA DT.VALID.]]),tabItens[[#This Row],[ATA DT.VALID.]]="",tabItens[[#This Row],[ATA DT.VALID.]]=" "),"",IF(TYPE(tabItens[[#This Row],[ATA DT.VALID.]])=1,ROUNDUP((tabItens[[#This Row],[ATA DT.VALID.]]-TODAY())/7,0),""))</f>
        <v/>
      </c>
      <c r="AQ545" s="399">
        <v>0</v>
      </c>
      <c r="AR545" s="400" t="str">
        <f>IF(ISBLANK(tabItens[[#This Row],[CÓDIGO]]),"",IFERROR(VLOOKUP(tabItens[[#This Row],[CÓDIGO]],Consumo!$C$2:$AC$862,26,FALSE),0))</f>
        <v>09.2023</v>
      </c>
      <c r="AS545" s="401">
        <f>SUMIF(Consumo!$C$3:$C$862,tabItens[[#This Row],[CÓDIGO]],Consumo!$N$3:$N$862) + SUMIF(Consumo!$C$3:$C$862,tabItens[[#This Row],[CÓDIGO]],Consumo!$O$3:$O$862) + SUMIF(Consumo!$C$3:$C$862,tabItens[[#This Row],[CÓDIGO]],Consumo!$P$3:$P$862) + SUMIF(Consumo!$C$3:$C$862,tabItens[[#This Row],[CÓDIGO]],Consumo!$Q$3:$Q$862)</f>
        <v>951</v>
      </c>
      <c r="AT545" s="401">
        <f>SUMIF(Consumo!$C$3:$C$862,tabItens[[#This Row],[CÓDIGO]],Consumo!$Z$3:$Z$862)</f>
        <v>2698</v>
      </c>
      <c r="AU545" s="402">
        <f>SUMIF(Consumo!$C$3:$C$862,tabItens[[#This Row],[CÓDIGO]],Consumo!$AA$3:$AA$862)</f>
        <v>262</v>
      </c>
      <c r="AV545" s="403">
        <f>SUMIF(Consumo!$C$3:$C$862,tabItens[[#This Row],[CÓDIGO]],Consumo!$Y$3:$Y$862)</f>
        <v>224.83333333333334</v>
      </c>
      <c r="AW545" s="380">
        <f>tabItens[[#This Row],[QTDE ATUAL]] + tabItens[[#This Row],[RC QTDE]] + tabItens[[#This Row],[AF SALDO]] + tabItens[[#This Row],[Recentes]]</f>
        <v>267</v>
      </c>
      <c r="AX545" s="404">
        <v>166</v>
      </c>
      <c r="AY545" s="404">
        <v>4</v>
      </c>
      <c r="AZ545" s="404">
        <f>IF(ISBLANK(tabItens[[#This Row],[CÓDIGO]]),"",tabItens[[#This Row],[PontoMês]] * (AZ$2+tabItens[[#This Row],[PontoQtM]]))</f>
        <v>664</v>
      </c>
      <c r="BA545" s="403">
        <f>tabItens[[#This Row],[PontoPed]] - tabItens[[#This Row],[Saldo]] + (1/10)</f>
        <v>397.1</v>
      </c>
      <c r="BB545" s="403">
        <f xml:space="preserve"> tabItens[[#This Row],[PontoMês]] * BB$2 - tabItens[[#This Row],[QTDE ATUAL]] - (1/10)</f>
        <v>-101.1</v>
      </c>
      <c r="BC545" s="335">
        <f>IF( tabItens[[#This Row],[PontoPed]]&gt;0, IF(tabItens[[#This Row],[PontoPed]]&lt;1, 1, IF( tabItens[[#This Row],[Saldo]]&gt;tabItens[[#This Row],[PontoPed]], 0, (tabItens[[#This Row],[PontoPed]]-tabItens[[#This Row],[Saldo]])/tabItens[[#This Row],[PontoPed]] ) ), 0 )</f>
        <v>0.59789156626506024</v>
      </c>
      <c r="BD545" s="405">
        <f>ROUNDDOWN(IF( OR( AND(tabItens[[#This Row],[PontoPed]]&lt;tabItens[[#This Row],[Saldo]],tabItens[[#This Row],[Saldo]]&gt;0), tabItens[[#This Row],[PontoPed]]=0), 99, IF(AND(tabItens[[#This Row],[Saldo]]=0,tabItens[[#This Row],[PontoPed]]&gt;0), 0, (1-tabItens[[#This Row],[PctAb]])*10 ) ),0)</f>
        <v>4</v>
      </c>
      <c r="BE545" s="406">
        <f>MAX(ROUNDDOWN( IF(tabItens[[#This Row],[Abaixo]] &gt; 0,   tabItens[[#This Row],[Abaixo]] + (tabItens[[#This Row],[PontoMês]] * IF( OR( ISBLANK(tabItens[[#This Row],[ATA Nº/ANO]]), tabItens[[#This Row],[ATA Nº/ANO]] = ""),BE$2,BE$1)),0),0),0)</f>
        <v>895</v>
      </c>
      <c r="BF54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5" s="338">
        <f>SUMIF(Consumo!$C$3:$C$862,tabItens[[#This Row],[CÓDIGO]],Consumo!$E$3:$E$862)</f>
        <v>0</v>
      </c>
      <c r="BH545" s="339">
        <f>IF(AND(tabItens[[#This Row],[Pend]] &gt; 0,tabItens[[#This Row],[Consumo]] &lt;&gt; 0), tabItens[[#This Row],[Pend]] / tabItens[[#This Row],[Consumo]], 0 )</f>
        <v>0</v>
      </c>
      <c r="BI545" s="338"/>
      <c r="BJ545" s="407"/>
      <c r="BK545" s="408" t="s">
        <v>2086</v>
      </c>
    </row>
    <row r="546" spans="1:63" x14ac:dyDescent="0.3">
      <c r="A546" s="375">
        <v>98359</v>
      </c>
      <c r="B546" s="376" t="s">
        <v>1562</v>
      </c>
      <c r="C546" s="377" t="s">
        <v>260</v>
      </c>
      <c r="D546" s="378">
        <v>137</v>
      </c>
      <c r="E546" s="305"/>
      <c r="F546" s="379"/>
      <c r="G546" s="379" t="s">
        <v>889</v>
      </c>
      <c r="H546" s="380">
        <v>56</v>
      </c>
      <c r="I546" s="307">
        <v>103003</v>
      </c>
      <c r="J546" s="308">
        <v>137</v>
      </c>
      <c r="K546" s="381">
        <v>21</v>
      </c>
      <c r="L546" s="382">
        <f>IF(tabItens[[#This Row],[Média]] &gt; 0, tabItens[[#This Row],[QTDE ATUAL]] / tabItens[[#This Row],[Média]],999.9)</f>
        <v>35.368421052631582</v>
      </c>
      <c r="M546" s="383">
        <v>0</v>
      </c>
      <c r="N546" s="384">
        <f>tabItens[[#This Row],[VALOR UNIT.]] * tabItens[[#This Row],[LC]]</f>
        <v>0</v>
      </c>
      <c r="O546" s="385" t="s">
        <v>2169</v>
      </c>
      <c r="P546" s="386"/>
      <c r="Q546" s="387"/>
      <c r="R546" s="312"/>
      <c r="S546" s="388"/>
      <c r="T546" s="389">
        <f>ROUNDDOWN(IFERROR(tabItens[[#This Row],[ATA DT.VALID.]] - $D$1,0) / 30,0)</f>
        <v>-1474</v>
      </c>
      <c r="U546" s="302" t="s">
        <v>1076</v>
      </c>
      <c r="V546" s="318">
        <v>1</v>
      </c>
      <c r="W546" s="390" t="s">
        <v>2079</v>
      </c>
      <c r="X546" s="391">
        <v>78</v>
      </c>
      <c r="Y546" s="392">
        <v>2</v>
      </c>
      <c r="Z546" s="393"/>
      <c r="AA546" s="394"/>
      <c r="AB546" s="395"/>
      <c r="AC546" s="395"/>
      <c r="AD546" s="394"/>
      <c r="AE546" s="395"/>
      <c r="AF546" s="317"/>
      <c r="AG546" s="396" t="s">
        <v>2072</v>
      </c>
      <c r="AH546" s="397"/>
      <c r="AI546" s="317">
        <v>8</v>
      </c>
      <c r="AJ546" s="397">
        <v>44165</v>
      </c>
      <c r="AK546" s="326">
        <v>39168</v>
      </c>
      <c r="AL546" s="326">
        <v>44789</v>
      </c>
      <c r="AM546" s="316"/>
      <c r="AN546" s="305"/>
      <c r="AO546" s="327" t="str">
        <f>_xlfn.IFNA(IF(VLOOKUP(tabItens[[#This Row],[CÓDIGO]],tabExcluirDoEstoque[#Data],1,FALSE),"sim",""),"")</f>
        <v/>
      </c>
      <c r="AP546" s="398" t="str">
        <f ca="1">IF(OR(ISBLANK(tabItens[[#This Row],[ATA DT.VALID.]]),tabItens[[#This Row],[ATA DT.VALID.]]="",tabItens[[#This Row],[ATA DT.VALID.]]=" "),"",IF(TYPE(tabItens[[#This Row],[ATA DT.VALID.]])=1,ROUNDUP((tabItens[[#This Row],[ATA DT.VALID.]]-TODAY())/7,0),""))</f>
        <v/>
      </c>
      <c r="AQ546" s="399">
        <v>0</v>
      </c>
      <c r="AR546" s="400" t="str">
        <f>IF(ISBLANK(tabItens[[#This Row],[CÓDIGO]]),"",IFERROR(VLOOKUP(tabItens[[#This Row],[CÓDIGO]],Consumo!$C$2:$AC$862,26,FALSE),0))</f>
        <v>07.2023</v>
      </c>
      <c r="AS546" s="401">
        <f>SUMIF(Consumo!$C$3:$C$862,tabItens[[#This Row],[CÓDIGO]],Consumo!$N$3:$N$862) + SUMIF(Consumo!$C$3:$C$862,tabItens[[#This Row],[CÓDIGO]],Consumo!$O$3:$O$862) + SUMIF(Consumo!$C$3:$C$862,tabItens[[#This Row],[CÓDIGO]],Consumo!$P$3:$P$862) + SUMIF(Consumo!$C$3:$C$862,tabItens[[#This Row],[CÓDIGO]],Consumo!$Q$3:$Q$862)</f>
        <v>10</v>
      </c>
      <c r="AT546" s="401">
        <f>SUMIF(Consumo!$C$3:$C$862,tabItens[[#This Row],[CÓDIGO]],Consumo!$Z$3:$Z$862)</f>
        <v>21</v>
      </c>
      <c r="AU546" s="402">
        <f>SUMIF(Consumo!$C$3:$C$862,tabItens[[#This Row],[CÓDIGO]],Consumo!$AA$3:$AA$862)</f>
        <v>10</v>
      </c>
      <c r="AV546" s="403">
        <f>SUMIF(Consumo!$C$3:$C$862,tabItens[[#This Row],[CÓDIGO]],Consumo!$Y$3:$Y$862)</f>
        <v>1.5833333333333333</v>
      </c>
      <c r="AW546" s="380">
        <f>tabItens[[#This Row],[QTDE ATUAL]] + tabItens[[#This Row],[RC QTDE]] + tabItens[[#This Row],[AF SALDO]] + tabItens[[#This Row],[Recentes]]</f>
        <v>56</v>
      </c>
      <c r="AX546" s="404">
        <v>10</v>
      </c>
      <c r="AY546" s="404">
        <v>4</v>
      </c>
      <c r="AZ546" s="404">
        <f>IF(ISBLANK(tabItens[[#This Row],[CÓDIGO]]),"",tabItens[[#This Row],[PontoMês]] * (AZ$2+tabItens[[#This Row],[PontoQtM]]))</f>
        <v>40</v>
      </c>
      <c r="BA546" s="403">
        <f>tabItens[[#This Row],[PontoPed]] - tabItens[[#This Row],[Saldo]] + (1/10)</f>
        <v>-15.9</v>
      </c>
      <c r="BB546" s="403">
        <f xml:space="preserve"> tabItens[[#This Row],[PontoMês]] * BB$2 - tabItens[[#This Row],[QTDE ATUAL]] - (1/10)</f>
        <v>-46.1</v>
      </c>
      <c r="BC546" s="335">
        <f>IF( tabItens[[#This Row],[PontoPed]]&gt;0, IF(tabItens[[#This Row],[PontoPed]]&lt;1, 1, IF( tabItens[[#This Row],[Saldo]]&gt;tabItens[[#This Row],[PontoPed]], 0, (tabItens[[#This Row],[PontoPed]]-tabItens[[#This Row],[Saldo]])/tabItens[[#This Row],[PontoPed]] ) ), 0 )</f>
        <v>0</v>
      </c>
      <c r="BD546" s="405">
        <f>ROUNDDOWN(IF( OR( AND(tabItens[[#This Row],[PontoPed]]&lt;tabItens[[#This Row],[Saldo]],tabItens[[#This Row],[Saldo]]&gt;0), tabItens[[#This Row],[PontoPed]]=0), 99, IF(AND(tabItens[[#This Row],[Saldo]]=0,tabItens[[#This Row],[PontoPed]]&gt;0), 0, (1-tabItens[[#This Row],[PctAb]])*10 ) ),0)</f>
        <v>99</v>
      </c>
      <c r="BE546" s="406">
        <f>MAX(ROUNDDOWN( IF(tabItens[[#This Row],[Abaixo]] &gt; 0,   tabItens[[#This Row],[Abaixo]] + (tabItens[[#This Row],[PontoMês]] * IF( OR( ISBLANK(tabItens[[#This Row],[ATA Nº/ANO]]), tabItens[[#This Row],[ATA Nº/ANO]] = ""),BE$2,BE$1)),0),0),0)</f>
        <v>0</v>
      </c>
      <c r="BF54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6" s="338">
        <f>SUMIF(Consumo!$C$3:$C$862,tabItens[[#This Row],[CÓDIGO]],Consumo!$E$3:$E$862)</f>
        <v>0</v>
      </c>
      <c r="BH546" s="339">
        <f>IF(AND(tabItens[[#This Row],[Pend]] &gt; 0,tabItens[[#This Row],[Consumo]] &lt;&gt; 0), tabItens[[#This Row],[Pend]] / tabItens[[#This Row],[Consumo]], 0 )</f>
        <v>0</v>
      </c>
      <c r="BI546" s="338"/>
      <c r="BJ546" s="407"/>
      <c r="BK546" s="408" t="s">
        <v>2086</v>
      </c>
    </row>
    <row r="547" spans="1:63" x14ac:dyDescent="0.3">
      <c r="A547" s="375">
        <v>74908</v>
      </c>
      <c r="B547" s="376" t="s">
        <v>1411</v>
      </c>
      <c r="C547" s="377" t="s">
        <v>263</v>
      </c>
      <c r="D547" s="378">
        <v>70.2</v>
      </c>
      <c r="E547" s="305"/>
      <c r="F547" s="379"/>
      <c r="G547" s="379" t="s">
        <v>889</v>
      </c>
      <c r="H547" s="380">
        <v>350</v>
      </c>
      <c r="I547" s="307">
        <v>103003</v>
      </c>
      <c r="J547" s="308">
        <v>70.2</v>
      </c>
      <c r="K547" s="381">
        <v>53</v>
      </c>
      <c r="L547" s="382">
        <f>IF(tabItens[[#This Row],[Média]] &gt; 0, tabItens[[#This Row],[QTDE ATUAL]] / tabItens[[#This Row],[Média]],999.9)</f>
        <v>97.674418604651166</v>
      </c>
      <c r="M547" s="383">
        <v>0</v>
      </c>
      <c r="N547" s="384">
        <f>tabItens[[#This Row],[VALOR UNIT.]] * tabItens[[#This Row],[LC]]</f>
        <v>0</v>
      </c>
      <c r="O547" s="385" t="s">
        <v>2157</v>
      </c>
      <c r="P547" s="386"/>
      <c r="Q547" s="387"/>
      <c r="R547" s="312"/>
      <c r="S547" s="388"/>
      <c r="T547" s="389">
        <f>ROUNDDOWN(IFERROR(tabItens[[#This Row],[ATA DT.VALID.]] - $D$1,0) / 30,0)</f>
        <v>-1474</v>
      </c>
      <c r="U547" s="302" t="s">
        <v>1339</v>
      </c>
      <c r="V547" s="318">
        <v>1</v>
      </c>
      <c r="W547" s="390" t="s">
        <v>2071</v>
      </c>
      <c r="X547" s="391">
        <v>74</v>
      </c>
      <c r="Y547" s="392">
        <v>3</v>
      </c>
      <c r="Z547" s="393"/>
      <c r="AA547" s="394"/>
      <c r="AB547" s="395"/>
      <c r="AC547" s="395"/>
      <c r="AD547" s="394"/>
      <c r="AE547" s="395"/>
      <c r="AF547" s="317"/>
      <c r="AG547" s="396" t="s">
        <v>2072</v>
      </c>
      <c r="AH547" s="397"/>
      <c r="AI547" s="317">
        <v>18</v>
      </c>
      <c r="AJ547" s="397">
        <v>44158</v>
      </c>
      <c r="AK547" s="326">
        <v>37845</v>
      </c>
      <c r="AL547" s="326">
        <v>44133</v>
      </c>
      <c r="AM547" s="316"/>
      <c r="AN547" s="305"/>
      <c r="AO547" s="327" t="str">
        <f>_xlfn.IFNA(IF(VLOOKUP(tabItens[[#This Row],[CÓDIGO]],tabExcluirDoEstoque[#Data],1,FALSE),"sim",""),"")</f>
        <v/>
      </c>
      <c r="AP547" s="398" t="str">
        <f ca="1">IF(OR(ISBLANK(tabItens[[#This Row],[ATA DT.VALID.]]),tabItens[[#This Row],[ATA DT.VALID.]]="",tabItens[[#This Row],[ATA DT.VALID.]]=" "),"",IF(TYPE(tabItens[[#This Row],[ATA DT.VALID.]])=1,ROUNDUP((tabItens[[#This Row],[ATA DT.VALID.]]-TODAY())/7,0),""))</f>
        <v/>
      </c>
      <c r="AQ547" s="399">
        <v>0</v>
      </c>
      <c r="AR547" s="400" t="str">
        <f>IF(ISBLANK(tabItens[[#This Row],[CÓDIGO]]),"",IFERROR(VLOOKUP(tabItens[[#This Row],[CÓDIGO]],Consumo!$C$2:$AC$862,26,FALSE),0))</f>
        <v>06.2023</v>
      </c>
      <c r="AS547" s="401">
        <f>SUMIF(Consumo!$C$3:$C$862,tabItens[[#This Row],[CÓDIGO]],Consumo!$N$3:$N$862) + SUMIF(Consumo!$C$3:$C$862,tabItens[[#This Row],[CÓDIGO]],Consumo!$O$3:$O$862) + SUMIF(Consumo!$C$3:$C$862,tabItens[[#This Row],[CÓDIGO]],Consumo!$P$3:$P$862) + SUMIF(Consumo!$C$3:$C$862,tabItens[[#This Row],[CÓDIGO]],Consumo!$Q$3:$Q$862)</f>
        <v>34</v>
      </c>
      <c r="AT547" s="401">
        <f>SUMIF(Consumo!$C$3:$C$862,tabItens[[#This Row],[CÓDIGO]],Consumo!$Z$3:$Z$862)</f>
        <v>53</v>
      </c>
      <c r="AU547" s="402">
        <f>SUMIF(Consumo!$C$3:$C$862,tabItens[[#This Row],[CÓDIGO]],Consumo!$AA$3:$AA$862)</f>
        <v>34</v>
      </c>
      <c r="AV547" s="403">
        <f>SUMIF(Consumo!$C$3:$C$862,tabItens[[#This Row],[CÓDIGO]],Consumo!$Y$3:$Y$862)</f>
        <v>3.5833333333333335</v>
      </c>
      <c r="AW547" s="380">
        <f>tabItens[[#This Row],[QTDE ATUAL]] + tabItens[[#This Row],[RC QTDE]] + tabItens[[#This Row],[AF SALDO]] + tabItens[[#This Row],[Recentes]]</f>
        <v>350</v>
      </c>
      <c r="AX547" s="404">
        <v>12</v>
      </c>
      <c r="AY547" s="404">
        <v>4</v>
      </c>
      <c r="AZ547" s="404">
        <f>IF(ISBLANK(tabItens[[#This Row],[CÓDIGO]]),"",tabItens[[#This Row],[PontoMês]] * (AZ$2+tabItens[[#This Row],[PontoQtM]]))</f>
        <v>48</v>
      </c>
      <c r="BA547" s="403">
        <f>tabItens[[#This Row],[PontoPed]] - tabItens[[#This Row],[Saldo]] + (1/10)</f>
        <v>-301.89999999999998</v>
      </c>
      <c r="BB547" s="403">
        <f xml:space="preserve"> tabItens[[#This Row],[PontoMês]] * BB$2 - tabItens[[#This Row],[QTDE ATUAL]] - (1/10)</f>
        <v>-338.1</v>
      </c>
      <c r="BC547" s="335">
        <f>IF( tabItens[[#This Row],[PontoPed]]&gt;0, IF(tabItens[[#This Row],[PontoPed]]&lt;1, 1, IF( tabItens[[#This Row],[Saldo]]&gt;tabItens[[#This Row],[PontoPed]], 0, (tabItens[[#This Row],[PontoPed]]-tabItens[[#This Row],[Saldo]])/tabItens[[#This Row],[PontoPed]] ) ), 0 )</f>
        <v>0</v>
      </c>
      <c r="BD547" s="405">
        <f>ROUNDDOWN(IF( OR( AND(tabItens[[#This Row],[PontoPed]]&lt;tabItens[[#This Row],[Saldo]],tabItens[[#This Row],[Saldo]]&gt;0), tabItens[[#This Row],[PontoPed]]=0), 99, IF(AND(tabItens[[#This Row],[Saldo]]=0,tabItens[[#This Row],[PontoPed]]&gt;0), 0, (1-tabItens[[#This Row],[PctAb]])*10 ) ),0)</f>
        <v>99</v>
      </c>
      <c r="BE547" s="406">
        <f>MAX(ROUNDDOWN( IF(tabItens[[#This Row],[Abaixo]] &gt; 0,   tabItens[[#This Row],[Abaixo]] + (tabItens[[#This Row],[PontoMês]] * IF( OR( ISBLANK(tabItens[[#This Row],[ATA Nº/ANO]]), tabItens[[#This Row],[ATA Nº/ANO]] = ""),BE$2,BE$1)),0),0),0)</f>
        <v>0</v>
      </c>
      <c r="BF54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7" s="338">
        <f>SUMIF(Consumo!$C$3:$C$862,tabItens[[#This Row],[CÓDIGO]],Consumo!$E$3:$E$862)</f>
        <v>0</v>
      </c>
      <c r="BH547" s="339">
        <f>IF(AND(tabItens[[#This Row],[Pend]] &gt; 0,tabItens[[#This Row],[Consumo]] &lt;&gt; 0), tabItens[[#This Row],[Pend]] / tabItens[[#This Row],[Consumo]], 0 )</f>
        <v>0</v>
      </c>
      <c r="BI547" s="338"/>
      <c r="BJ547" s="407"/>
      <c r="BK547" s="408" t="s">
        <v>2086</v>
      </c>
    </row>
    <row r="548" spans="1:63" x14ac:dyDescent="0.3">
      <c r="A548" s="375">
        <v>108711</v>
      </c>
      <c r="B548" s="376" t="s">
        <v>1663</v>
      </c>
      <c r="C548" s="377" t="s">
        <v>31</v>
      </c>
      <c r="D548" s="378">
        <v>36.5</v>
      </c>
      <c r="E548" s="305"/>
      <c r="F548" s="379"/>
      <c r="G548" s="379" t="s">
        <v>889</v>
      </c>
      <c r="H548" s="380">
        <v>108</v>
      </c>
      <c r="I548" s="307">
        <v>103003</v>
      </c>
      <c r="J548" s="308">
        <v>36.5</v>
      </c>
      <c r="K548" s="381">
        <v>1</v>
      </c>
      <c r="L548" s="382">
        <f>IF(tabItens[[#This Row],[Média]] &gt; 0, tabItens[[#This Row],[QTDE ATUAL]] / tabItens[[#This Row],[Média]],999.9)</f>
        <v>999.9</v>
      </c>
      <c r="M548" s="383">
        <v>0</v>
      </c>
      <c r="N548" s="384">
        <f>tabItens[[#This Row],[VALOR UNIT.]] * tabItens[[#This Row],[LC]]</f>
        <v>0</v>
      </c>
      <c r="O548" s="385" t="s">
        <v>2177</v>
      </c>
      <c r="P548" s="386"/>
      <c r="Q548" s="387"/>
      <c r="R548" s="312"/>
      <c r="S548" s="388"/>
      <c r="T548" s="389">
        <f>ROUNDDOWN(IFERROR(tabItens[[#This Row],[ATA DT.VALID.]] - $D$1,0) / 30,0)</f>
        <v>-1474</v>
      </c>
      <c r="U548" s="302" t="s">
        <v>1664</v>
      </c>
      <c r="V548" s="318">
        <v>1</v>
      </c>
      <c r="W548" s="390" t="s">
        <v>2076</v>
      </c>
      <c r="X548" s="391">
        <v>61</v>
      </c>
      <c r="Y548" s="392">
        <v>10</v>
      </c>
      <c r="Z548" s="393"/>
      <c r="AA548" s="394"/>
      <c r="AB548" s="395"/>
      <c r="AC548" s="395"/>
      <c r="AD548" s="394"/>
      <c r="AE548" s="395"/>
      <c r="AF548" s="317"/>
      <c r="AG548" s="396" t="s">
        <v>2072</v>
      </c>
      <c r="AH548" s="397"/>
      <c r="AI548" s="317">
        <v>0</v>
      </c>
      <c r="AJ548" s="397">
        <v>43739</v>
      </c>
      <c r="AK548" s="326">
        <v>39762</v>
      </c>
      <c r="AL548" s="326">
        <v>44462</v>
      </c>
      <c r="AM548" s="316"/>
      <c r="AN548" s="305"/>
      <c r="AO548" s="327" t="str">
        <f>_xlfn.IFNA(IF(VLOOKUP(tabItens[[#This Row],[CÓDIGO]],tabExcluirDoEstoque[#Data],1,FALSE),"sim",""),"")</f>
        <v/>
      </c>
      <c r="AP548" s="398" t="str">
        <f ca="1">IF(OR(ISBLANK(tabItens[[#This Row],[ATA DT.VALID.]]),tabItens[[#This Row],[ATA DT.VALID.]]="",tabItens[[#This Row],[ATA DT.VALID.]]=" "),"",IF(TYPE(tabItens[[#This Row],[ATA DT.VALID.]])=1,ROUNDUP((tabItens[[#This Row],[ATA DT.VALID.]]-TODAY())/7,0),""))</f>
        <v/>
      </c>
      <c r="AQ548" s="399">
        <v>0</v>
      </c>
      <c r="AR548" s="400" t="str">
        <f>IF(ISBLANK(tabItens[[#This Row],[CÓDIGO]]),"",IFERROR(VLOOKUP(tabItens[[#This Row],[CÓDIGO]],Consumo!$C$2:$AC$862,26,FALSE),0))</f>
        <v>11.2022</v>
      </c>
      <c r="AS548" s="401">
        <f>SUMIF(Consumo!$C$3:$C$862,tabItens[[#This Row],[CÓDIGO]],Consumo!$N$3:$N$862) + SUMIF(Consumo!$C$3:$C$862,tabItens[[#This Row],[CÓDIGO]],Consumo!$O$3:$O$862) + SUMIF(Consumo!$C$3:$C$862,tabItens[[#This Row],[CÓDIGO]],Consumo!$P$3:$P$862) + SUMIF(Consumo!$C$3:$C$862,tabItens[[#This Row],[CÓDIGO]],Consumo!$Q$3:$Q$862)</f>
        <v>0</v>
      </c>
      <c r="AT548" s="401">
        <f>SUMIF(Consumo!$C$3:$C$862,tabItens[[#This Row],[CÓDIGO]],Consumo!$Z$3:$Z$862)</f>
        <v>1</v>
      </c>
      <c r="AU548" s="402">
        <f>SUMIF(Consumo!$C$3:$C$862,tabItens[[#This Row],[CÓDIGO]],Consumo!$AA$3:$AA$862)</f>
        <v>1</v>
      </c>
      <c r="AV548" s="403">
        <f>SUMIF(Consumo!$C$3:$C$862,tabItens[[#This Row],[CÓDIGO]],Consumo!$Y$3:$Y$862)</f>
        <v>0</v>
      </c>
      <c r="AW548" s="380">
        <f>tabItens[[#This Row],[QTDE ATUAL]] + tabItens[[#This Row],[RC QTDE]] + tabItens[[#This Row],[AF SALDO]] + tabItens[[#This Row],[Recentes]]</f>
        <v>108</v>
      </c>
      <c r="AX548" s="404">
        <v>25</v>
      </c>
      <c r="AY548" s="404">
        <v>4</v>
      </c>
      <c r="AZ548" s="404">
        <f>IF(ISBLANK(tabItens[[#This Row],[CÓDIGO]]),"",tabItens[[#This Row],[PontoMês]] * (AZ$2+tabItens[[#This Row],[PontoQtM]]))</f>
        <v>100</v>
      </c>
      <c r="BA548" s="403">
        <f>tabItens[[#This Row],[PontoPed]] - tabItens[[#This Row],[Saldo]] + (1/10)</f>
        <v>-7.9</v>
      </c>
      <c r="BB548" s="403">
        <f xml:space="preserve"> tabItens[[#This Row],[PontoMês]] * BB$2 - tabItens[[#This Row],[QTDE ATUAL]] - (1/10)</f>
        <v>-83.1</v>
      </c>
      <c r="BC548" s="335">
        <f>IF( tabItens[[#This Row],[PontoPed]]&gt;0, IF(tabItens[[#This Row],[PontoPed]]&lt;1, 1, IF( tabItens[[#This Row],[Saldo]]&gt;tabItens[[#This Row],[PontoPed]], 0, (tabItens[[#This Row],[PontoPed]]-tabItens[[#This Row],[Saldo]])/tabItens[[#This Row],[PontoPed]] ) ), 0 )</f>
        <v>0</v>
      </c>
      <c r="BD548" s="405">
        <f>ROUNDDOWN(IF( OR( AND(tabItens[[#This Row],[PontoPed]]&lt;tabItens[[#This Row],[Saldo]],tabItens[[#This Row],[Saldo]]&gt;0), tabItens[[#This Row],[PontoPed]]=0), 99, IF(AND(tabItens[[#This Row],[Saldo]]=0,tabItens[[#This Row],[PontoPed]]&gt;0), 0, (1-tabItens[[#This Row],[PctAb]])*10 ) ),0)</f>
        <v>99</v>
      </c>
      <c r="BE548" s="406">
        <f>MAX(ROUNDDOWN( IF(tabItens[[#This Row],[Abaixo]] &gt; 0,   tabItens[[#This Row],[Abaixo]] + (tabItens[[#This Row],[PontoMês]] * IF( OR( ISBLANK(tabItens[[#This Row],[ATA Nº/ANO]]), tabItens[[#This Row],[ATA Nº/ANO]] = ""),BE$2,BE$1)),0),0),0)</f>
        <v>0</v>
      </c>
      <c r="BF54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8" s="338">
        <f>SUMIF(Consumo!$C$3:$C$862,tabItens[[#This Row],[CÓDIGO]],Consumo!$E$3:$E$862)</f>
        <v>0</v>
      </c>
      <c r="BH548" s="339">
        <f>IF(AND(tabItens[[#This Row],[Pend]] &gt; 0,tabItens[[#This Row],[Consumo]] &lt;&gt; 0), tabItens[[#This Row],[Pend]] / tabItens[[#This Row],[Consumo]], 0 )</f>
        <v>0</v>
      </c>
      <c r="BI548" s="338"/>
      <c r="BJ548" s="407"/>
      <c r="BK548" s="408" t="s">
        <v>2086</v>
      </c>
    </row>
    <row r="549" spans="1:63" x14ac:dyDescent="0.3">
      <c r="A549" s="375">
        <v>42854</v>
      </c>
      <c r="B549" s="376" t="s">
        <v>1284</v>
      </c>
      <c r="C549" s="377" t="s">
        <v>263</v>
      </c>
      <c r="D549" s="378">
        <v>17.98</v>
      </c>
      <c r="E549" s="305"/>
      <c r="F549" s="379"/>
      <c r="G549" s="379" t="s">
        <v>889</v>
      </c>
      <c r="H549" s="380">
        <v>293</v>
      </c>
      <c r="I549" s="307">
        <v>103003</v>
      </c>
      <c r="J549" s="308">
        <v>17.98</v>
      </c>
      <c r="K549" s="381">
        <v>713</v>
      </c>
      <c r="L549" s="382">
        <f>IF(tabItens[[#This Row],[Média]] &gt; 0, tabItens[[#This Row],[QTDE ATUAL]] / tabItens[[#This Row],[Média]],999.9)</f>
        <v>3.2109589041095892</v>
      </c>
      <c r="M549" s="383">
        <v>0</v>
      </c>
      <c r="N549" s="384">
        <f>tabItens[[#This Row],[VALOR UNIT.]] * tabItens[[#This Row],[LC]]</f>
        <v>0</v>
      </c>
      <c r="O549" s="385" t="s">
        <v>2097</v>
      </c>
      <c r="P549" s="386"/>
      <c r="Q549" s="387"/>
      <c r="R549" s="312"/>
      <c r="S549" s="388"/>
      <c r="T549" s="389">
        <f>ROUNDDOWN(IFERROR(tabItens[[#This Row],[ATA DT.VALID.]] - $D$1,0) / 30,0)</f>
        <v>-1474</v>
      </c>
      <c r="U549" s="302" t="s">
        <v>1285</v>
      </c>
      <c r="V549" s="318">
        <v>1</v>
      </c>
      <c r="W549" s="390" t="s">
        <v>2073</v>
      </c>
      <c r="X549" s="391">
        <v>49</v>
      </c>
      <c r="Y549" s="392">
        <v>8</v>
      </c>
      <c r="Z549" s="393"/>
      <c r="AA549" s="394"/>
      <c r="AB549" s="395"/>
      <c r="AC549" s="395">
        <v>9670</v>
      </c>
      <c r="AD549" s="394">
        <v>2023</v>
      </c>
      <c r="AE549" s="395">
        <v>0</v>
      </c>
      <c r="AF549" s="317">
        <v>500</v>
      </c>
      <c r="AG549" s="396" t="s">
        <v>2061</v>
      </c>
      <c r="AH549" s="397">
        <v>45162</v>
      </c>
      <c r="AI549" s="317">
        <v>368</v>
      </c>
      <c r="AJ549" s="397">
        <v>44991</v>
      </c>
      <c r="AK549" s="326" t="s">
        <v>889</v>
      </c>
      <c r="AL549" s="326">
        <v>45145</v>
      </c>
      <c r="AM549" s="316"/>
      <c r="AN549" s="305"/>
      <c r="AO549" s="327" t="str">
        <f>_xlfn.IFNA(IF(VLOOKUP(tabItens[[#This Row],[CÓDIGO]],tabExcluirDoEstoque[#Data],1,FALSE),"sim",""),"")</f>
        <v/>
      </c>
      <c r="AP549" s="398" t="str">
        <f ca="1">IF(OR(ISBLANK(tabItens[[#This Row],[ATA DT.VALID.]]),tabItens[[#This Row],[ATA DT.VALID.]]="",tabItens[[#This Row],[ATA DT.VALID.]]=" "),"",IF(TYPE(tabItens[[#This Row],[ATA DT.VALID.]])=1,ROUNDUP((tabItens[[#This Row],[ATA DT.VALID.]]-TODAY())/7,0),""))</f>
        <v/>
      </c>
      <c r="AQ549" s="399">
        <v>0</v>
      </c>
      <c r="AR549" s="400" t="str">
        <f>IF(ISBLANK(tabItens[[#This Row],[CÓDIGO]]),"",IFERROR(VLOOKUP(tabItens[[#This Row],[CÓDIGO]],Consumo!$C$2:$AC$862,26,FALSE),0))</f>
        <v>09.2023</v>
      </c>
      <c r="AS549" s="401">
        <f>SUMIF(Consumo!$C$3:$C$862,tabItens[[#This Row],[CÓDIGO]],Consumo!$N$3:$N$862) + SUMIF(Consumo!$C$3:$C$862,tabItens[[#This Row],[CÓDIGO]],Consumo!$O$3:$O$862) + SUMIF(Consumo!$C$3:$C$862,tabItens[[#This Row],[CÓDIGO]],Consumo!$P$3:$P$862) + SUMIF(Consumo!$C$3:$C$862,tabItens[[#This Row],[CÓDIGO]],Consumo!$Q$3:$Q$862)</f>
        <v>391</v>
      </c>
      <c r="AT549" s="401">
        <f>SUMIF(Consumo!$C$3:$C$862,tabItens[[#This Row],[CÓDIGO]],Consumo!$Z$3:$Z$862)</f>
        <v>1101</v>
      </c>
      <c r="AU549" s="402">
        <f>SUMIF(Consumo!$C$3:$C$862,tabItens[[#This Row],[CÓDIGO]],Consumo!$AA$3:$AA$862)</f>
        <v>181</v>
      </c>
      <c r="AV549" s="403">
        <f>SUMIF(Consumo!$C$3:$C$862,tabItens[[#This Row],[CÓDIGO]],Consumo!$Y$3:$Y$862)</f>
        <v>91.25</v>
      </c>
      <c r="AW549" s="380">
        <f>tabItens[[#This Row],[QTDE ATUAL]] + tabItens[[#This Row],[RC QTDE]] + tabItens[[#This Row],[AF SALDO]] + tabItens[[#This Row],[Recentes]]</f>
        <v>293</v>
      </c>
      <c r="AX549" s="404">
        <v>128</v>
      </c>
      <c r="AY549" s="404">
        <v>4</v>
      </c>
      <c r="AZ549" s="404">
        <f>IF(ISBLANK(tabItens[[#This Row],[CÓDIGO]]),"",tabItens[[#This Row],[PontoMês]] * (AZ$2+tabItens[[#This Row],[PontoQtM]]))</f>
        <v>512</v>
      </c>
      <c r="BA549" s="403">
        <f>tabItens[[#This Row],[PontoPed]] - tabItens[[#This Row],[Saldo]] + (1/10)</f>
        <v>219.1</v>
      </c>
      <c r="BB549" s="403">
        <f xml:space="preserve"> tabItens[[#This Row],[PontoMês]] * BB$2 - tabItens[[#This Row],[QTDE ATUAL]] - (1/10)</f>
        <v>-165.1</v>
      </c>
      <c r="BC549" s="335">
        <f>IF( tabItens[[#This Row],[PontoPed]]&gt;0, IF(tabItens[[#This Row],[PontoPed]]&lt;1, 1, IF( tabItens[[#This Row],[Saldo]]&gt;tabItens[[#This Row],[PontoPed]], 0, (tabItens[[#This Row],[PontoPed]]-tabItens[[#This Row],[Saldo]])/tabItens[[#This Row],[PontoPed]] ) ), 0 )</f>
        <v>0.427734375</v>
      </c>
      <c r="BD549" s="405">
        <f>ROUNDDOWN(IF( OR( AND(tabItens[[#This Row],[PontoPed]]&lt;tabItens[[#This Row],[Saldo]],tabItens[[#This Row],[Saldo]]&gt;0), tabItens[[#This Row],[PontoPed]]=0), 99, IF(AND(tabItens[[#This Row],[Saldo]]=0,tabItens[[#This Row],[PontoPed]]&gt;0), 0, (1-tabItens[[#This Row],[PctAb]])*10 ) ),0)</f>
        <v>5</v>
      </c>
      <c r="BE549" s="406">
        <f>MAX(ROUNDDOWN( IF(tabItens[[#This Row],[Abaixo]] &gt; 0,   tabItens[[#This Row],[Abaixo]] + (tabItens[[#This Row],[PontoMês]] * IF( OR( ISBLANK(tabItens[[#This Row],[ATA Nº/ANO]]), tabItens[[#This Row],[ATA Nº/ANO]] = ""),BE$2,BE$1)),0),0),0)</f>
        <v>603</v>
      </c>
      <c r="BF54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9" s="338">
        <f>SUMIF(Consumo!$C$3:$C$862,tabItens[[#This Row],[CÓDIGO]],Consumo!$E$3:$E$862)</f>
        <v>0</v>
      </c>
      <c r="BH549" s="339">
        <f>IF(AND(tabItens[[#This Row],[Pend]] &gt; 0,tabItens[[#This Row],[Consumo]] &lt;&gt; 0), tabItens[[#This Row],[Pend]] / tabItens[[#This Row],[Consumo]], 0 )</f>
        <v>0</v>
      </c>
      <c r="BI549" s="338"/>
      <c r="BJ549" s="407"/>
      <c r="BK549" s="408" t="s">
        <v>2086</v>
      </c>
    </row>
    <row r="550" spans="1:63" x14ac:dyDescent="0.3">
      <c r="A550" s="375">
        <v>53446</v>
      </c>
      <c r="B550" s="376" t="s">
        <v>1307</v>
      </c>
      <c r="C550" s="377" t="s">
        <v>611</v>
      </c>
      <c r="D550" s="378">
        <v>3.04</v>
      </c>
      <c r="E550" s="305"/>
      <c r="F550" s="379"/>
      <c r="G550" s="379" t="s">
        <v>889</v>
      </c>
      <c r="H550" s="380">
        <v>1853</v>
      </c>
      <c r="I550" s="307">
        <v>103003</v>
      </c>
      <c r="J550" s="308">
        <v>3.04</v>
      </c>
      <c r="K550" s="381">
        <v>1225</v>
      </c>
      <c r="L550" s="382">
        <f>IF(tabItens[[#This Row],[Média]] &gt; 0, tabItens[[#This Row],[QTDE ATUAL]] / tabItens[[#This Row],[Média]],999.9)</f>
        <v>16.871016691957511</v>
      </c>
      <c r="M550" s="383">
        <v>0</v>
      </c>
      <c r="N550" s="384">
        <f>tabItens[[#This Row],[VALOR UNIT.]] * tabItens[[#This Row],[LC]]</f>
        <v>0</v>
      </c>
      <c r="O550" s="385" t="s">
        <v>2097</v>
      </c>
      <c r="P550" s="386"/>
      <c r="Q550" s="387"/>
      <c r="R550" s="312"/>
      <c r="S550" s="388"/>
      <c r="T550" s="389">
        <f>ROUNDDOWN(IFERROR(tabItens[[#This Row],[ATA DT.VALID.]] - $D$1,0) / 30,0)</f>
        <v>-1474</v>
      </c>
      <c r="U550" s="302" t="s">
        <v>1308</v>
      </c>
      <c r="V550" s="318">
        <v>1</v>
      </c>
      <c r="W550" s="390" t="s">
        <v>2071</v>
      </c>
      <c r="X550" s="391">
        <v>51</v>
      </c>
      <c r="Y550" s="392">
        <v>19</v>
      </c>
      <c r="Z550" s="393"/>
      <c r="AA550" s="394"/>
      <c r="AB550" s="395"/>
      <c r="AC550" s="395"/>
      <c r="AD550" s="394"/>
      <c r="AE550" s="395"/>
      <c r="AF550" s="317"/>
      <c r="AG550" s="396" t="s">
        <v>2072</v>
      </c>
      <c r="AH550" s="397"/>
      <c r="AI550" s="317">
        <v>568</v>
      </c>
      <c r="AJ550" s="397">
        <v>45169</v>
      </c>
      <c r="AK550" s="326" t="s">
        <v>889</v>
      </c>
      <c r="AL550" s="326">
        <v>45174</v>
      </c>
      <c r="AM550" s="316"/>
      <c r="AN550" s="305"/>
      <c r="AO550" s="327" t="str">
        <f>_xlfn.IFNA(IF(VLOOKUP(tabItens[[#This Row],[CÓDIGO]],tabExcluirDoEstoque[#Data],1,FALSE),"sim",""),"")</f>
        <v/>
      </c>
      <c r="AP550" s="398" t="str">
        <f ca="1">IF(OR(ISBLANK(tabItens[[#This Row],[ATA DT.VALID.]]),tabItens[[#This Row],[ATA DT.VALID.]]="",tabItens[[#This Row],[ATA DT.VALID.]]=" "),"",IF(TYPE(tabItens[[#This Row],[ATA DT.VALID.]])=1,ROUNDUP((tabItens[[#This Row],[ATA DT.VALID.]]-TODAY())/7,0),""))</f>
        <v/>
      </c>
      <c r="AQ550" s="399">
        <v>0</v>
      </c>
      <c r="AR550" s="400" t="str">
        <f>IF(ISBLANK(tabItens[[#This Row],[CÓDIGO]]),"",IFERROR(VLOOKUP(tabItens[[#This Row],[CÓDIGO]],Consumo!$C$2:$AC$862,26,FALSE),0))</f>
        <v>09.2023</v>
      </c>
      <c r="AS550" s="401">
        <f>SUMIF(Consumo!$C$3:$C$862,tabItens[[#This Row],[CÓDIGO]],Consumo!$N$3:$N$862) + SUMIF(Consumo!$C$3:$C$862,tabItens[[#This Row],[CÓDIGO]],Consumo!$O$3:$O$862) + SUMIF(Consumo!$C$3:$C$862,tabItens[[#This Row],[CÓDIGO]],Consumo!$P$3:$P$862) + SUMIF(Consumo!$C$3:$C$862,tabItens[[#This Row],[CÓDIGO]],Consumo!$Q$3:$Q$862)</f>
        <v>380</v>
      </c>
      <c r="AT550" s="401">
        <f>SUMIF(Consumo!$C$3:$C$862,tabItens[[#This Row],[CÓDIGO]],Consumo!$Z$3:$Z$862)</f>
        <v>1402</v>
      </c>
      <c r="AU550" s="402">
        <f>SUMIF(Consumo!$C$3:$C$862,tabItens[[#This Row],[CÓDIGO]],Consumo!$AA$3:$AA$862)</f>
        <v>482</v>
      </c>
      <c r="AV550" s="403">
        <f>SUMIF(Consumo!$C$3:$C$862,tabItens[[#This Row],[CÓDIGO]],Consumo!$Y$3:$Y$862)</f>
        <v>109.83333333333333</v>
      </c>
      <c r="AW550" s="380">
        <f>tabItens[[#This Row],[QTDE ATUAL]] + tabItens[[#This Row],[RC QTDE]] + tabItens[[#This Row],[AF SALDO]] + tabItens[[#This Row],[Recentes]]</f>
        <v>1853</v>
      </c>
      <c r="AX550" s="404">
        <v>94</v>
      </c>
      <c r="AY550" s="404">
        <v>4</v>
      </c>
      <c r="AZ550" s="404">
        <f>IF(ISBLANK(tabItens[[#This Row],[CÓDIGO]]),"",tabItens[[#This Row],[PontoMês]] * (AZ$2+tabItens[[#This Row],[PontoQtM]]))</f>
        <v>376</v>
      </c>
      <c r="BA550" s="403">
        <f>tabItens[[#This Row],[PontoPed]] - tabItens[[#This Row],[Saldo]] + (1/10)</f>
        <v>-1476.9</v>
      </c>
      <c r="BB550" s="403">
        <f xml:space="preserve"> tabItens[[#This Row],[PontoMês]] * BB$2 - tabItens[[#This Row],[QTDE ATUAL]] - (1/10)</f>
        <v>-1759.1</v>
      </c>
      <c r="BC550" s="335">
        <f>IF( tabItens[[#This Row],[PontoPed]]&gt;0, IF(tabItens[[#This Row],[PontoPed]]&lt;1, 1, IF( tabItens[[#This Row],[Saldo]]&gt;tabItens[[#This Row],[PontoPed]], 0, (tabItens[[#This Row],[PontoPed]]-tabItens[[#This Row],[Saldo]])/tabItens[[#This Row],[PontoPed]] ) ), 0 )</f>
        <v>0</v>
      </c>
      <c r="BD550" s="405">
        <f>ROUNDDOWN(IF( OR( AND(tabItens[[#This Row],[PontoPed]]&lt;tabItens[[#This Row],[Saldo]],tabItens[[#This Row],[Saldo]]&gt;0), tabItens[[#This Row],[PontoPed]]=0), 99, IF(AND(tabItens[[#This Row],[Saldo]]=0,tabItens[[#This Row],[PontoPed]]&gt;0), 0, (1-tabItens[[#This Row],[PctAb]])*10 ) ),0)</f>
        <v>99</v>
      </c>
      <c r="BE550" s="406">
        <f>MAX(ROUNDDOWN( IF(tabItens[[#This Row],[Abaixo]] &gt; 0,   tabItens[[#This Row],[Abaixo]] + (tabItens[[#This Row],[PontoMês]] * IF( OR( ISBLANK(tabItens[[#This Row],[ATA Nº/ANO]]), tabItens[[#This Row],[ATA Nº/ANO]] = ""),BE$2,BE$1)),0),0),0)</f>
        <v>0</v>
      </c>
      <c r="BF55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0" s="338">
        <f>SUMIF(Consumo!$C$3:$C$862,tabItens[[#This Row],[CÓDIGO]],Consumo!$E$3:$E$862)</f>
        <v>0</v>
      </c>
      <c r="BH550" s="339">
        <f>IF(AND(tabItens[[#This Row],[Pend]] &gt; 0,tabItens[[#This Row],[Consumo]] &lt;&gt; 0), tabItens[[#This Row],[Pend]] / tabItens[[#This Row],[Consumo]], 0 )</f>
        <v>0</v>
      </c>
      <c r="BI550" s="338"/>
      <c r="BJ550" s="407"/>
      <c r="BK550" s="408" t="s">
        <v>2086</v>
      </c>
    </row>
    <row r="551" spans="1:63" x14ac:dyDescent="0.3">
      <c r="A551" s="375">
        <v>57598</v>
      </c>
      <c r="B551" s="376" t="s">
        <v>1333</v>
      </c>
      <c r="C551" s="377" t="s">
        <v>611</v>
      </c>
      <c r="D551" s="378">
        <v>4.87</v>
      </c>
      <c r="E551" s="305"/>
      <c r="F551" s="379"/>
      <c r="G551" s="379" t="s">
        <v>889</v>
      </c>
      <c r="H551" s="380">
        <v>160</v>
      </c>
      <c r="I551" s="307">
        <v>103003</v>
      </c>
      <c r="J551" s="308">
        <v>4.87</v>
      </c>
      <c r="K551" s="381">
        <v>856</v>
      </c>
      <c r="L551" s="382">
        <f>IF(tabItens[[#This Row],[Média]] &gt; 0, tabItens[[#This Row],[QTDE ATUAL]] / tabItens[[#This Row],[Média]],999.9)</f>
        <v>1.8130311614730878</v>
      </c>
      <c r="M551" s="383">
        <v>0</v>
      </c>
      <c r="N551" s="384">
        <f>tabItens[[#This Row],[VALOR UNIT.]] * tabItens[[#This Row],[LC]]</f>
        <v>0</v>
      </c>
      <c r="O551" s="385" t="s">
        <v>2097</v>
      </c>
      <c r="P551" s="386"/>
      <c r="Q551" s="387"/>
      <c r="R551" s="312"/>
      <c r="S551" s="388"/>
      <c r="T551" s="389">
        <f>ROUNDDOWN(IFERROR(tabItens[[#This Row],[ATA DT.VALID.]] - $D$1,0) / 30,0)</f>
        <v>-1474</v>
      </c>
      <c r="U551" s="302" t="s">
        <v>1308</v>
      </c>
      <c r="V551" s="318">
        <v>1</v>
      </c>
      <c r="W551" s="390" t="s">
        <v>2071</v>
      </c>
      <c r="X551" s="391">
        <v>51</v>
      </c>
      <c r="Y551" s="392">
        <v>19</v>
      </c>
      <c r="Z551" s="393"/>
      <c r="AA551" s="394"/>
      <c r="AB551" s="395"/>
      <c r="AC551" s="395">
        <v>10437</v>
      </c>
      <c r="AD551" s="394">
        <v>2023</v>
      </c>
      <c r="AE551" s="395">
        <v>0</v>
      </c>
      <c r="AF551" s="317">
        <v>1000</v>
      </c>
      <c r="AG551" s="396" t="s">
        <v>2063</v>
      </c>
      <c r="AH551" s="397">
        <v>45197</v>
      </c>
      <c r="AI551" s="317">
        <v>344</v>
      </c>
      <c r="AJ551" s="397">
        <v>45201</v>
      </c>
      <c r="AK551" s="326" t="s">
        <v>889</v>
      </c>
      <c r="AL551" s="326">
        <v>45160</v>
      </c>
      <c r="AM551" s="316"/>
      <c r="AN551" s="305"/>
      <c r="AO551" s="327" t="str">
        <f>_xlfn.IFNA(IF(VLOOKUP(tabItens[[#This Row],[CÓDIGO]],tabExcluirDoEstoque[#Data],1,FALSE),"sim",""),"")</f>
        <v/>
      </c>
      <c r="AP551" s="398" t="str">
        <f ca="1">IF(OR(ISBLANK(tabItens[[#This Row],[ATA DT.VALID.]]),tabItens[[#This Row],[ATA DT.VALID.]]="",tabItens[[#This Row],[ATA DT.VALID.]]=" "),"",IF(TYPE(tabItens[[#This Row],[ATA DT.VALID.]])=1,ROUNDUP((tabItens[[#This Row],[ATA DT.VALID.]]-TODAY())/7,0),""))</f>
        <v/>
      </c>
      <c r="AQ551" s="399">
        <v>0</v>
      </c>
      <c r="AR551" s="400" t="str">
        <f>IF(ISBLANK(tabItens[[#This Row],[CÓDIGO]]),"",IFERROR(VLOOKUP(tabItens[[#This Row],[CÓDIGO]],Consumo!$C$2:$AC$862,26,FALSE),0))</f>
        <v>09.2023</v>
      </c>
      <c r="AS551" s="401">
        <f>SUMIF(Consumo!$C$3:$C$862,tabItens[[#This Row],[CÓDIGO]],Consumo!$N$3:$N$862) + SUMIF(Consumo!$C$3:$C$862,tabItens[[#This Row],[CÓDIGO]],Consumo!$O$3:$O$862) + SUMIF(Consumo!$C$3:$C$862,tabItens[[#This Row],[CÓDIGO]],Consumo!$P$3:$P$862) + SUMIF(Consumo!$C$3:$C$862,tabItens[[#This Row],[CÓDIGO]],Consumo!$Q$3:$Q$862)</f>
        <v>315</v>
      </c>
      <c r="AT551" s="401">
        <f>SUMIF(Consumo!$C$3:$C$862,tabItens[[#This Row],[CÓDIGO]],Consumo!$Z$3:$Z$862)</f>
        <v>1059</v>
      </c>
      <c r="AU551" s="402">
        <f>SUMIF(Consumo!$C$3:$C$862,tabItens[[#This Row],[CÓDIGO]],Consumo!$AA$3:$AA$862)</f>
        <v>220</v>
      </c>
      <c r="AV551" s="403">
        <f>SUMIF(Consumo!$C$3:$C$862,tabItens[[#This Row],[CÓDIGO]],Consumo!$Y$3:$Y$862)</f>
        <v>88.25</v>
      </c>
      <c r="AW551" s="380">
        <f>tabItens[[#This Row],[QTDE ATUAL]] + tabItens[[#This Row],[RC QTDE]] + tabItens[[#This Row],[AF SALDO]] + tabItens[[#This Row],[Recentes]]</f>
        <v>160</v>
      </c>
      <c r="AX551" s="404">
        <v>105</v>
      </c>
      <c r="AY551" s="404">
        <v>4</v>
      </c>
      <c r="AZ551" s="404">
        <f>IF(ISBLANK(tabItens[[#This Row],[CÓDIGO]]),"",tabItens[[#This Row],[PontoMês]] * (AZ$2+tabItens[[#This Row],[PontoQtM]]))</f>
        <v>420</v>
      </c>
      <c r="BA551" s="403">
        <f>tabItens[[#This Row],[PontoPed]] - tabItens[[#This Row],[Saldo]] + (1/10)</f>
        <v>260.10000000000002</v>
      </c>
      <c r="BB551" s="403">
        <f xml:space="preserve"> tabItens[[#This Row],[PontoMês]] * BB$2 - tabItens[[#This Row],[QTDE ATUAL]] - (1/10)</f>
        <v>-55.1</v>
      </c>
      <c r="BC551" s="335">
        <f>IF( tabItens[[#This Row],[PontoPed]]&gt;0, IF(tabItens[[#This Row],[PontoPed]]&lt;1, 1, IF( tabItens[[#This Row],[Saldo]]&gt;tabItens[[#This Row],[PontoPed]], 0, (tabItens[[#This Row],[PontoPed]]-tabItens[[#This Row],[Saldo]])/tabItens[[#This Row],[PontoPed]] ) ), 0 )</f>
        <v>0.61904761904761907</v>
      </c>
      <c r="BD551" s="405">
        <f>ROUNDDOWN(IF( OR( AND(tabItens[[#This Row],[PontoPed]]&lt;tabItens[[#This Row],[Saldo]],tabItens[[#This Row],[Saldo]]&gt;0), tabItens[[#This Row],[PontoPed]]=0), 99, IF(AND(tabItens[[#This Row],[Saldo]]=0,tabItens[[#This Row],[PontoPed]]&gt;0), 0, (1-tabItens[[#This Row],[PctAb]])*10 ) ),0)</f>
        <v>3</v>
      </c>
      <c r="BE551" s="406">
        <f>MAX(ROUNDDOWN( IF(tabItens[[#This Row],[Abaixo]] &gt; 0,   tabItens[[#This Row],[Abaixo]] + (tabItens[[#This Row],[PontoMês]] * IF( OR( ISBLANK(tabItens[[#This Row],[ATA Nº/ANO]]), tabItens[[#This Row],[ATA Nº/ANO]] = ""),BE$2,BE$1)),0),0),0)</f>
        <v>575</v>
      </c>
      <c r="BF55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1" s="338">
        <f>SUMIF(Consumo!$C$3:$C$862,tabItens[[#This Row],[CÓDIGO]],Consumo!$E$3:$E$862)</f>
        <v>30</v>
      </c>
      <c r="BH551" s="339">
        <f>IF(AND(tabItens[[#This Row],[Pend]] &gt; 0,tabItens[[#This Row],[Consumo]] &lt;&gt; 0), tabItens[[#This Row],[Pend]] / tabItens[[#This Row],[Consumo]], 0 )</f>
        <v>2.8328611898016998E-2</v>
      </c>
      <c r="BI551" s="338"/>
      <c r="BJ551" s="407"/>
      <c r="BK551" s="408" t="s">
        <v>2086</v>
      </c>
    </row>
    <row r="552" spans="1:63" x14ac:dyDescent="0.3">
      <c r="A552" s="375">
        <v>113846</v>
      </c>
      <c r="B552" s="376" t="s">
        <v>1700</v>
      </c>
      <c r="C552" s="377" t="s">
        <v>611</v>
      </c>
      <c r="D552" s="378">
        <v>2.93</v>
      </c>
      <c r="E552" s="305"/>
      <c r="F552" s="379"/>
      <c r="G552" s="379" t="s">
        <v>889</v>
      </c>
      <c r="H552" s="380">
        <v>2255</v>
      </c>
      <c r="I552" s="307">
        <v>103003</v>
      </c>
      <c r="J552" s="308">
        <v>2.93</v>
      </c>
      <c r="K552" s="381">
        <v>997</v>
      </c>
      <c r="L552" s="382">
        <f>IF(tabItens[[#This Row],[Média]] &gt; 0, tabItens[[#This Row],[QTDE ATUAL]] / tabItens[[#This Row],[Média]],999.9)</f>
        <v>25.576559546313799</v>
      </c>
      <c r="M552" s="383">
        <v>0</v>
      </c>
      <c r="N552" s="384">
        <f>tabItens[[#This Row],[VALOR UNIT.]] * tabItens[[#This Row],[LC]]</f>
        <v>0</v>
      </c>
      <c r="O552" s="385" t="s">
        <v>2097</v>
      </c>
      <c r="P552" s="386"/>
      <c r="Q552" s="387"/>
      <c r="R552" s="312"/>
      <c r="S552" s="388"/>
      <c r="T552" s="389">
        <f>ROUNDDOWN(IFERROR(tabItens[[#This Row],[ATA DT.VALID.]] - $D$1,0) / 30,0)</f>
        <v>-1474</v>
      </c>
      <c r="U552" s="302" t="s">
        <v>1308</v>
      </c>
      <c r="V552" s="318">
        <v>1</v>
      </c>
      <c r="W552" s="390" t="s">
        <v>2071</v>
      </c>
      <c r="X552" s="391">
        <v>51</v>
      </c>
      <c r="Y552" s="392">
        <v>19</v>
      </c>
      <c r="Z552" s="393"/>
      <c r="AA552" s="394"/>
      <c r="AB552" s="395"/>
      <c r="AC552" s="395"/>
      <c r="AD552" s="394"/>
      <c r="AE552" s="395"/>
      <c r="AF552" s="317"/>
      <c r="AG552" s="396" t="s">
        <v>2072</v>
      </c>
      <c r="AH552" s="397"/>
      <c r="AI552" s="317">
        <v>378</v>
      </c>
      <c r="AJ552" s="397">
        <v>45201</v>
      </c>
      <c r="AK552" s="326">
        <v>40198</v>
      </c>
      <c r="AL552" s="326">
        <v>45161</v>
      </c>
      <c r="AM552" s="316"/>
      <c r="AN552" s="305"/>
      <c r="AO552" s="327" t="str">
        <f>_xlfn.IFNA(IF(VLOOKUP(tabItens[[#This Row],[CÓDIGO]],tabExcluirDoEstoque[#Data],1,FALSE),"sim",""),"")</f>
        <v/>
      </c>
      <c r="AP552" s="398" t="str">
        <f ca="1">IF(OR(ISBLANK(tabItens[[#This Row],[ATA DT.VALID.]]),tabItens[[#This Row],[ATA DT.VALID.]]="",tabItens[[#This Row],[ATA DT.VALID.]]=" "),"",IF(TYPE(tabItens[[#This Row],[ATA DT.VALID.]])=1,ROUNDUP((tabItens[[#This Row],[ATA DT.VALID.]]-TODAY())/7,0),""))</f>
        <v/>
      </c>
      <c r="AQ552" s="399">
        <v>0</v>
      </c>
      <c r="AR552" s="400" t="str">
        <f>IF(ISBLANK(tabItens[[#This Row],[CÓDIGO]]),"",IFERROR(VLOOKUP(tabItens[[#This Row],[CÓDIGO]],Consumo!$C$2:$AC$862,26,FALSE),0))</f>
        <v>09.2023</v>
      </c>
      <c r="AS552" s="401">
        <f>SUMIF(Consumo!$C$3:$C$862,tabItens[[#This Row],[CÓDIGO]],Consumo!$N$3:$N$862) + SUMIF(Consumo!$C$3:$C$862,tabItens[[#This Row],[CÓDIGO]],Consumo!$O$3:$O$862) + SUMIF(Consumo!$C$3:$C$862,tabItens[[#This Row],[CÓDIGO]],Consumo!$P$3:$P$862) + SUMIF(Consumo!$C$3:$C$862,tabItens[[#This Row],[CÓDIGO]],Consumo!$Q$3:$Q$862)</f>
        <v>480</v>
      </c>
      <c r="AT552" s="401">
        <f>SUMIF(Consumo!$C$3:$C$862,tabItens[[#This Row],[CÓDIGO]],Consumo!$Z$3:$Z$862)</f>
        <v>1068</v>
      </c>
      <c r="AU552" s="402">
        <f>SUMIF(Consumo!$C$3:$C$862,tabItens[[#This Row],[CÓDIGO]],Consumo!$AA$3:$AA$862)</f>
        <v>300</v>
      </c>
      <c r="AV552" s="403">
        <f>SUMIF(Consumo!$C$3:$C$862,tabItens[[#This Row],[CÓDIGO]],Consumo!$Y$3:$Y$862)</f>
        <v>88.166666666666671</v>
      </c>
      <c r="AW552" s="380">
        <f>tabItens[[#This Row],[QTDE ATUAL]] + tabItens[[#This Row],[RC QTDE]] + tabItens[[#This Row],[AF SALDO]] + tabItens[[#This Row],[Recentes]]</f>
        <v>2255</v>
      </c>
      <c r="AX552" s="404">
        <v>92</v>
      </c>
      <c r="AY552" s="404">
        <v>4</v>
      </c>
      <c r="AZ552" s="404">
        <f>IF(ISBLANK(tabItens[[#This Row],[CÓDIGO]]),"",tabItens[[#This Row],[PontoMês]] * (AZ$2+tabItens[[#This Row],[PontoQtM]]))</f>
        <v>368</v>
      </c>
      <c r="BA552" s="403">
        <f>tabItens[[#This Row],[PontoPed]] - tabItens[[#This Row],[Saldo]] + (1/10)</f>
        <v>-1886.9</v>
      </c>
      <c r="BB552" s="403">
        <f xml:space="preserve"> tabItens[[#This Row],[PontoMês]] * BB$2 - tabItens[[#This Row],[QTDE ATUAL]] - (1/10)</f>
        <v>-2163.1</v>
      </c>
      <c r="BC552" s="335">
        <f>IF( tabItens[[#This Row],[PontoPed]]&gt;0, IF(tabItens[[#This Row],[PontoPed]]&lt;1, 1, IF( tabItens[[#This Row],[Saldo]]&gt;tabItens[[#This Row],[PontoPed]], 0, (tabItens[[#This Row],[PontoPed]]-tabItens[[#This Row],[Saldo]])/tabItens[[#This Row],[PontoPed]] ) ), 0 )</f>
        <v>0</v>
      </c>
      <c r="BD552" s="405">
        <f>ROUNDDOWN(IF( OR( AND(tabItens[[#This Row],[PontoPed]]&lt;tabItens[[#This Row],[Saldo]],tabItens[[#This Row],[Saldo]]&gt;0), tabItens[[#This Row],[PontoPed]]=0), 99, IF(AND(tabItens[[#This Row],[Saldo]]=0,tabItens[[#This Row],[PontoPed]]&gt;0), 0, (1-tabItens[[#This Row],[PctAb]])*10 ) ),0)</f>
        <v>99</v>
      </c>
      <c r="BE552" s="406">
        <f>MAX(ROUNDDOWN( IF(tabItens[[#This Row],[Abaixo]] &gt; 0,   tabItens[[#This Row],[Abaixo]] + (tabItens[[#This Row],[PontoMês]] * IF( OR( ISBLANK(tabItens[[#This Row],[ATA Nº/ANO]]), tabItens[[#This Row],[ATA Nº/ANO]] = ""),BE$2,BE$1)),0),0),0)</f>
        <v>0</v>
      </c>
      <c r="BF55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2" s="338">
        <f>SUMIF(Consumo!$C$3:$C$862,tabItens[[#This Row],[CÓDIGO]],Consumo!$E$3:$E$862)</f>
        <v>0</v>
      </c>
      <c r="BH552" s="339">
        <f>IF(AND(tabItens[[#This Row],[Pend]] &gt; 0,tabItens[[#This Row],[Consumo]] &lt;&gt; 0), tabItens[[#This Row],[Pend]] / tabItens[[#This Row],[Consumo]], 0 )</f>
        <v>0</v>
      </c>
      <c r="BI552" s="338"/>
      <c r="BJ552" s="407"/>
      <c r="BK552" s="408" t="s">
        <v>2086</v>
      </c>
    </row>
    <row r="553" spans="1:63" x14ac:dyDescent="0.3">
      <c r="A553" s="375">
        <v>102832</v>
      </c>
      <c r="B553" s="376" t="s">
        <v>1597</v>
      </c>
      <c r="C553" s="377" t="s">
        <v>263</v>
      </c>
      <c r="D553" s="378">
        <v>0</v>
      </c>
      <c r="E553" s="305"/>
      <c r="F553" s="379"/>
      <c r="G553" s="379" t="s">
        <v>889</v>
      </c>
      <c r="H553" s="380">
        <v>75</v>
      </c>
      <c r="I553" s="307">
        <v>103003</v>
      </c>
      <c r="J553" s="308">
        <v>0</v>
      </c>
      <c r="K553" s="381">
        <v>90</v>
      </c>
      <c r="L553" s="382">
        <f>IF(tabItens[[#This Row],[Média]] &gt; 0, tabItens[[#This Row],[QTDE ATUAL]] / tabItens[[#This Row],[Média]],999.9)</f>
        <v>11.842105263157896</v>
      </c>
      <c r="M553" s="383">
        <v>0</v>
      </c>
      <c r="N553" s="384">
        <f>tabItens[[#This Row],[VALOR UNIT.]] * tabItens[[#This Row],[LC]]</f>
        <v>0</v>
      </c>
      <c r="O553" s="385" t="s">
        <v>2097</v>
      </c>
      <c r="P553" s="386"/>
      <c r="Q553" s="387"/>
      <c r="R553" s="312"/>
      <c r="S553" s="388"/>
      <c r="T553" s="389">
        <f>ROUNDDOWN(IFERROR(tabItens[[#This Row],[ATA DT.VALID.]] - $D$1,0) / 30,0)</f>
        <v>-1474</v>
      </c>
      <c r="U553" s="302" t="s">
        <v>1598</v>
      </c>
      <c r="V553" s="318">
        <v>1</v>
      </c>
      <c r="W553" s="390" t="s">
        <v>2071</v>
      </c>
      <c r="X553" s="391">
        <v>51</v>
      </c>
      <c r="Y553" s="392">
        <v>42</v>
      </c>
      <c r="Z553" s="393"/>
      <c r="AA553" s="394"/>
      <c r="AB553" s="395"/>
      <c r="AC553" s="395"/>
      <c r="AD553" s="394"/>
      <c r="AE553" s="395"/>
      <c r="AF553" s="317"/>
      <c r="AG553" s="396" t="s">
        <v>2072</v>
      </c>
      <c r="AH553" s="397"/>
      <c r="AI553" s="317">
        <v>30</v>
      </c>
      <c r="AJ553" s="397" t="s">
        <v>889</v>
      </c>
      <c r="AK553" s="326">
        <v>39377</v>
      </c>
      <c r="AL553" s="326" t="s">
        <v>889</v>
      </c>
      <c r="AM553" s="316"/>
      <c r="AN553" s="305"/>
      <c r="AO553" s="327" t="str">
        <f>_xlfn.IFNA(IF(VLOOKUP(tabItens[[#This Row],[CÓDIGO]],tabExcluirDoEstoque[#Data],1,FALSE),"sim",""),"")</f>
        <v/>
      </c>
      <c r="AP553" s="398" t="str">
        <f ca="1">IF(OR(ISBLANK(tabItens[[#This Row],[ATA DT.VALID.]]),tabItens[[#This Row],[ATA DT.VALID.]]="",tabItens[[#This Row],[ATA DT.VALID.]]=" "),"",IF(TYPE(tabItens[[#This Row],[ATA DT.VALID.]])=1,ROUNDUP((tabItens[[#This Row],[ATA DT.VALID.]]-TODAY())/7,0),""))</f>
        <v/>
      </c>
      <c r="AQ553" s="399">
        <v>0</v>
      </c>
      <c r="AR553" s="400" t="str">
        <f>IF(ISBLANK(tabItens[[#This Row],[CÓDIGO]]),"",IFERROR(VLOOKUP(tabItens[[#This Row],[CÓDIGO]],Consumo!$C$2:$AC$862,26,FALSE),0))</f>
        <v>05.2023</v>
      </c>
      <c r="AS553" s="401">
        <f>SUMIF(Consumo!$C$3:$C$862,tabItens[[#This Row],[CÓDIGO]],Consumo!$N$3:$N$862) + SUMIF(Consumo!$C$3:$C$862,tabItens[[#This Row],[CÓDIGO]],Consumo!$O$3:$O$862) + SUMIF(Consumo!$C$3:$C$862,tabItens[[#This Row],[CÓDIGO]],Consumo!$P$3:$P$862) + SUMIF(Consumo!$C$3:$C$862,tabItens[[#This Row],[CÓDIGO]],Consumo!$Q$3:$Q$862)</f>
        <v>0</v>
      </c>
      <c r="AT553" s="401">
        <f>SUMIF(Consumo!$C$3:$C$862,tabItens[[#This Row],[CÓDIGO]],Consumo!$Z$3:$Z$862)</f>
        <v>90</v>
      </c>
      <c r="AU553" s="402">
        <f>SUMIF(Consumo!$C$3:$C$862,tabItens[[#This Row],[CÓDIGO]],Consumo!$AA$3:$AA$862)</f>
        <v>50</v>
      </c>
      <c r="AV553" s="403">
        <f>SUMIF(Consumo!$C$3:$C$862,tabItens[[#This Row],[CÓDIGO]],Consumo!$Y$3:$Y$862)</f>
        <v>6.333333333333333</v>
      </c>
      <c r="AW553" s="380">
        <f>tabItens[[#This Row],[QTDE ATUAL]] + tabItens[[#This Row],[RC QTDE]] + tabItens[[#This Row],[AF SALDO]] + tabItens[[#This Row],[Recentes]]</f>
        <v>75</v>
      </c>
      <c r="AX553" s="404">
        <v>9</v>
      </c>
      <c r="AY553" s="404">
        <v>4</v>
      </c>
      <c r="AZ553" s="404">
        <f>IF(ISBLANK(tabItens[[#This Row],[CÓDIGO]]),"",tabItens[[#This Row],[PontoMês]] * (AZ$2+tabItens[[#This Row],[PontoQtM]]))</f>
        <v>36</v>
      </c>
      <c r="BA553" s="403">
        <f>tabItens[[#This Row],[PontoPed]] - tabItens[[#This Row],[Saldo]] + (1/10)</f>
        <v>-38.9</v>
      </c>
      <c r="BB553" s="403">
        <f xml:space="preserve"> tabItens[[#This Row],[PontoMês]] * BB$2 - tabItens[[#This Row],[QTDE ATUAL]] - (1/10)</f>
        <v>-66.099999999999994</v>
      </c>
      <c r="BC553" s="335">
        <f>IF( tabItens[[#This Row],[PontoPed]]&gt;0, IF(tabItens[[#This Row],[PontoPed]]&lt;1, 1, IF( tabItens[[#This Row],[Saldo]]&gt;tabItens[[#This Row],[PontoPed]], 0, (tabItens[[#This Row],[PontoPed]]-tabItens[[#This Row],[Saldo]])/tabItens[[#This Row],[PontoPed]] ) ), 0 )</f>
        <v>0</v>
      </c>
      <c r="BD553" s="405">
        <f>ROUNDDOWN(IF( OR( AND(tabItens[[#This Row],[PontoPed]]&lt;tabItens[[#This Row],[Saldo]],tabItens[[#This Row],[Saldo]]&gt;0), tabItens[[#This Row],[PontoPed]]=0), 99, IF(AND(tabItens[[#This Row],[Saldo]]=0,tabItens[[#This Row],[PontoPed]]&gt;0), 0, (1-tabItens[[#This Row],[PctAb]])*10 ) ),0)</f>
        <v>99</v>
      </c>
      <c r="BE553" s="406">
        <f>MAX(ROUNDDOWN( IF(tabItens[[#This Row],[Abaixo]] &gt; 0,   tabItens[[#This Row],[Abaixo]] + (tabItens[[#This Row],[PontoMês]] * IF( OR( ISBLANK(tabItens[[#This Row],[ATA Nº/ANO]]), tabItens[[#This Row],[ATA Nº/ANO]] = ""),BE$2,BE$1)),0),0),0)</f>
        <v>0</v>
      </c>
      <c r="BF55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3" s="338">
        <f>SUMIF(Consumo!$C$3:$C$862,tabItens[[#This Row],[CÓDIGO]],Consumo!$E$3:$E$862)</f>
        <v>0</v>
      </c>
      <c r="BH553" s="339">
        <f>IF(AND(tabItens[[#This Row],[Pend]] &gt; 0,tabItens[[#This Row],[Consumo]] &lt;&gt; 0), tabItens[[#This Row],[Pend]] / tabItens[[#This Row],[Consumo]], 0 )</f>
        <v>0</v>
      </c>
      <c r="BI553" s="338"/>
      <c r="BJ553" s="407"/>
      <c r="BK553" s="408" t="s">
        <v>2086</v>
      </c>
    </row>
    <row r="554" spans="1:63" x14ac:dyDescent="0.3">
      <c r="A554" s="375">
        <v>54586</v>
      </c>
      <c r="B554" s="376" t="s">
        <v>1322</v>
      </c>
      <c r="C554" s="377" t="s">
        <v>263</v>
      </c>
      <c r="D554" s="378">
        <v>15</v>
      </c>
      <c r="E554" s="305"/>
      <c r="F554" s="379"/>
      <c r="G554" s="379" t="s">
        <v>889</v>
      </c>
      <c r="H554" s="380">
        <v>10</v>
      </c>
      <c r="I554" s="307">
        <v>103003</v>
      </c>
      <c r="J554" s="308">
        <v>15</v>
      </c>
      <c r="K554" s="381">
        <v>62</v>
      </c>
      <c r="L554" s="382">
        <f>IF(tabItens[[#This Row],[Média]] &gt; 0, tabItens[[#This Row],[QTDE ATUAL]] / tabItens[[#This Row],[Média]],999.9)</f>
        <v>1.875</v>
      </c>
      <c r="M554" s="383">
        <v>0</v>
      </c>
      <c r="N554" s="384">
        <f>tabItens[[#This Row],[VALOR UNIT.]] * tabItens[[#This Row],[LC]]</f>
        <v>0</v>
      </c>
      <c r="O554" s="385" t="s">
        <v>2097</v>
      </c>
      <c r="P554" s="386"/>
      <c r="Q554" s="387"/>
      <c r="R554" s="312"/>
      <c r="S554" s="388"/>
      <c r="T554" s="389">
        <f>ROUNDDOWN(IFERROR(tabItens[[#This Row],[ATA DT.VALID.]] - $D$1,0) / 30,0)</f>
        <v>-1474</v>
      </c>
      <c r="U554" s="302" t="s">
        <v>1041</v>
      </c>
      <c r="V554" s="318">
        <v>1</v>
      </c>
      <c r="W554" s="390" t="s">
        <v>2076</v>
      </c>
      <c r="X554" s="391">
        <v>61</v>
      </c>
      <c r="Y554" s="392">
        <v>2</v>
      </c>
      <c r="Z554" s="393"/>
      <c r="AA554" s="394"/>
      <c r="AB554" s="395"/>
      <c r="AC554" s="395"/>
      <c r="AD554" s="394"/>
      <c r="AE554" s="395"/>
      <c r="AF554" s="317"/>
      <c r="AG554" s="396" t="s">
        <v>2072</v>
      </c>
      <c r="AH554" s="397"/>
      <c r="AI554" s="317">
        <v>24</v>
      </c>
      <c r="AJ554" s="397">
        <v>45160</v>
      </c>
      <c r="AK554" s="326" t="s">
        <v>889</v>
      </c>
      <c r="AL554" s="326">
        <v>45145</v>
      </c>
      <c r="AM554" s="316"/>
      <c r="AN554" s="305"/>
      <c r="AO554" s="327" t="str">
        <f>_xlfn.IFNA(IF(VLOOKUP(tabItens[[#This Row],[CÓDIGO]],tabExcluirDoEstoque[#Data],1,FALSE),"sim",""),"")</f>
        <v/>
      </c>
      <c r="AP554" s="398" t="str">
        <f ca="1">IF(OR(ISBLANK(tabItens[[#This Row],[ATA DT.VALID.]]),tabItens[[#This Row],[ATA DT.VALID.]]="",tabItens[[#This Row],[ATA DT.VALID.]]=" "),"",IF(TYPE(tabItens[[#This Row],[ATA DT.VALID.]])=1,ROUNDUP((tabItens[[#This Row],[ATA DT.VALID.]]-TODAY())/7,0),""))</f>
        <v/>
      </c>
      <c r="AQ554" s="399">
        <v>0</v>
      </c>
      <c r="AR554" s="400" t="str">
        <f>IF(ISBLANK(tabItens[[#This Row],[CÓDIGO]]),"",IFERROR(VLOOKUP(tabItens[[#This Row],[CÓDIGO]],Consumo!$C$2:$AC$862,26,FALSE),0))</f>
        <v>08.2023</v>
      </c>
      <c r="AS554" s="401">
        <f>SUMIF(Consumo!$C$3:$C$862,tabItens[[#This Row],[CÓDIGO]],Consumo!$N$3:$N$862) + SUMIF(Consumo!$C$3:$C$862,tabItens[[#This Row],[CÓDIGO]],Consumo!$O$3:$O$862) + SUMIF(Consumo!$C$3:$C$862,tabItens[[#This Row],[CÓDIGO]],Consumo!$P$3:$P$862) + SUMIF(Consumo!$C$3:$C$862,tabItens[[#This Row],[CÓDIGO]],Consumo!$Q$3:$Q$862)</f>
        <v>11</v>
      </c>
      <c r="AT554" s="401">
        <f>SUMIF(Consumo!$C$3:$C$862,tabItens[[#This Row],[CÓDIGO]],Consumo!$Z$3:$Z$862)</f>
        <v>70</v>
      </c>
      <c r="AU554" s="402">
        <f>SUMIF(Consumo!$C$3:$C$862,tabItens[[#This Row],[CÓDIGO]],Consumo!$AA$3:$AA$862)</f>
        <v>25</v>
      </c>
      <c r="AV554" s="403">
        <f>SUMIF(Consumo!$C$3:$C$862,tabItens[[#This Row],[CÓDIGO]],Consumo!$Y$3:$Y$862)</f>
        <v>5.333333333333333</v>
      </c>
      <c r="AW554" s="380">
        <f>tabItens[[#This Row],[QTDE ATUAL]] + tabItens[[#This Row],[RC QTDE]] + tabItens[[#This Row],[AF SALDO]] + tabItens[[#This Row],[Recentes]]</f>
        <v>10</v>
      </c>
      <c r="AX554" s="404">
        <v>3</v>
      </c>
      <c r="AY554" s="404">
        <v>4</v>
      </c>
      <c r="AZ554" s="404">
        <f>IF(ISBLANK(tabItens[[#This Row],[CÓDIGO]]),"",tabItens[[#This Row],[PontoMês]] * (AZ$2+tabItens[[#This Row],[PontoQtM]]))</f>
        <v>12</v>
      </c>
      <c r="BA554" s="403">
        <f>tabItens[[#This Row],[PontoPed]] - tabItens[[#This Row],[Saldo]] + (1/10)</f>
        <v>2.1</v>
      </c>
      <c r="BB554" s="403">
        <f xml:space="preserve"> tabItens[[#This Row],[PontoMês]] * BB$2 - tabItens[[#This Row],[QTDE ATUAL]] - (1/10)</f>
        <v>-7.1</v>
      </c>
      <c r="BC554" s="335">
        <f>IF( tabItens[[#This Row],[PontoPed]]&gt;0, IF(tabItens[[#This Row],[PontoPed]]&lt;1, 1, IF( tabItens[[#This Row],[Saldo]]&gt;tabItens[[#This Row],[PontoPed]], 0, (tabItens[[#This Row],[PontoPed]]-tabItens[[#This Row],[Saldo]])/tabItens[[#This Row],[PontoPed]] ) ), 0 )</f>
        <v>0.16666666666666666</v>
      </c>
      <c r="BD554" s="405">
        <f>ROUNDDOWN(IF( OR( AND(tabItens[[#This Row],[PontoPed]]&lt;tabItens[[#This Row],[Saldo]],tabItens[[#This Row],[Saldo]]&gt;0), tabItens[[#This Row],[PontoPed]]=0), 99, IF(AND(tabItens[[#This Row],[Saldo]]=0,tabItens[[#This Row],[PontoPed]]&gt;0), 0, (1-tabItens[[#This Row],[PctAb]])*10 ) ),0)</f>
        <v>8</v>
      </c>
      <c r="BE554" s="406">
        <f>MAX(ROUNDDOWN( IF(tabItens[[#This Row],[Abaixo]] &gt; 0,   tabItens[[#This Row],[Abaixo]] + (tabItens[[#This Row],[PontoMês]] * IF( OR( ISBLANK(tabItens[[#This Row],[ATA Nº/ANO]]), tabItens[[#This Row],[ATA Nº/ANO]] = ""),BE$2,BE$1)),0),0),0)</f>
        <v>11</v>
      </c>
      <c r="BF55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4" s="338">
        <f>SUMIF(Consumo!$C$3:$C$862,tabItens[[#This Row],[CÓDIGO]],Consumo!$E$3:$E$862)</f>
        <v>1</v>
      </c>
      <c r="BH554" s="339">
        <f>IF(AND(tabItens[[#This Row],[Pend]] &gt; 0,tabItens[[#This Row],[Consumo]] &lt;&gt; 0), tabItens[[#This Row],[Pend]] / tabItens[[#This Row],[Consumo]], 0 )</f>
        <v>1.4285714285714285E-2</v>
      </c>
      <c r="BI554" s="338"/>
      <c r="BJ554" s="407"/>
      <c r="BK554" s="408" t="s">
        <v>2086</v>
      </c>
    </row>
    <row r="555" spans="1:63" x14ac:dyDescent="0.3">
      <c r="A555" s="375">
        <v>54587</v>
      </c>
      <c r="B555" s="376" t="s">
        <v>1323</v>
      </c>
      <c r="C555" s="377" t="s">
        <v>263</v>
      </c>
      <c r="D555" s="378">
        <v>17.829999999999998</v>
      </c>
      <c r="E555" s="305"/>
      <c r="F555" s="379"/>
      <c r="G555" s="379" t="s">
        <v>889</v>
      </c>
      <c r="H555" s="380">
        <v>27</v>
      </c>
      <c r="I555" s="307">
        <v>103003</v>
      </c>
      <c r="J555" s="308">
        <v>17.829999999999998</v>
      </c>
      <c r="K555" s="381">
        <v>71</v>
      </c>
      <c r="L555" s="382">
        <f>IF(tabItens[[#This Row],[Média]] &gt; 0, tabItens[[#This Row],[QTDE ATUAL]] / tabItens[[#This Row],[Média]],999.9)</f>
        <v>5.3114754098360661</v>
      </c>
      <c r="M555" s="383">
        <v>0</v>
      </c>
      <c r="N555" s="384">
        <f>tabItens[[#This Row],[VALOR UNIT.]] * tabItens[[#This Row],[LC]]</f>
        <v>0</v>
      </c>
      <c r="O555" s="385" t="s">
        <v>2097</v>
      </c>
      <c r="P555" s="386"/>
      <c r="Q555" s="387"/>
      <c r="R555" s="312"/>
      <c r="S555" s="388"/>
      <c r="T555" s="389">
        <f>ROUNDDOWN(IFERROR(tabItens[[#This Row],[ATA DT.VALID.]] - $D$1,0) / 30,0)</f>
        <v>-1474</v>
      </c>
      <c r="U555" s="302" t="s">
        <v>1041</v>
      </c>
      <c r="V555" s="318">
        <v>1</v>
      </c>
      <c r="W555" s="390" t="s">
        <v>2076</v>
      </c>
      <c r="X555" s="391">
        <v>61</v>
      </c>
      <c r="Y555" s="392">
        <v>2</v>
      </c>
      <c r="Z555" s="393"/>
      <c r="AA555" s="394"/>
      <c r="AB555" s="395"/>
      <c r="AC555" s="395"/>
      <c r="AD555" s="394"/>
      <c r="AE555" s="395"/>
      <c r="AF555" s="317"/>
      <c r="AG555" s="396" t="s">
        <v>2072</v>
      </c>
      <c r="AH555" s="397"/>
      <c r="AI555" s="317">
        <v>24</v>
      </c>
      <c r="AJ555" s="397">
        <v>45180</v>
      </c>
      <c r="AK555" s="326" t="s">
        <v>889</v>
      </c>
      <c r="AL555" s="326">
        <v>45145</v>
      </c>
      <c r="AM555" s="316"/>
      <c r="AN555" s="305"/>
      <c r="AO555" s="327" t="str">
        <f>_xlfn.IFNA(IF(VLOOKUP(tabItens[[#This Row],[CÓDIGO]],tabExcluirDoEstoque[#Data],1,FALSE),"sim",""),"")</f>
        <v/>
      </c>
      <c r="AP555" s="398" t="str">
        <f ca="1">IF(OR(ISBLANK(tabItens[[#This Row],[ATA DT.VALID.]]),tabItens[[#This Row],[ATA DT.VALID.]]="",tabItens[[#This Row],[ATA DT.VALID.]]=" "),"",IF(TYPE(tabItens[[#This Row],[ATA DT.VALID.]])=1,ROUNDUP((tabItens[[#This Row],[ATA DT.VALID.]]-TODAY())/7,0),""))</f>
        <v/>
      </c>
      <c r="AQ555" s="399">
        <v>0</v>
      </c>
      <c r="AR555" s="400" t="str">
        <f>IF(ISBLANK(tabItens[[#This Row],[CÓDIGO]]),"",IFERROR(VLOOKUP(tabItens[[#This Row],[CÓDIGO]],Consumo!$C$2:$AC$862,26,FALSE),0))</f>
        <v>05.2023</v>
      </c>
      <c r="AS555" s="401">
        <f>SUMIF(Consumo!$C$3:$C$862,tabItens[[#This Row],[CÓDIGO]],Consumo!$N$3:$N$862) + SUMIF(Consumo!$C$3:$C$862,tabItens[[#This Row],[CÓDIGO]],Consumo!$O$3:$O$862) + SUMIF(Consumo!$C$3:$C$862,tabItens[[#This Row],[CÓDIGO]],Consumo!$P$3:$P$862) + SUMIF(Consumo!$C$3:$C$862,tabItens[[#This Row],[CÓDIGO]],Consumo!$Q$3:$Q$862)</f>
        <v>0</v>
      </c>
      <c r="AT555" s="401">
        <f>SUMIF(Consumo!$C$3:$C$862,tabItens[[#This Row],[CÓDIGO]],Consumo!$Z$3:$Z$862)</f>
        <v>71</v>
      </c>
      <c r="AU555" s="402">
        <f>SUMIF(Consumo!$C$3:$C$862,tabItens[[#This Row],[CÓDIGO]],Consumo!$AA$3:$AA$862)</f>
        <v>36</v>
      </c>
      <c r="AV555" s="403">
        <f>SUMIF(Consumo!$C$3:$C$862,tabItens[[#This Row],[CÓDIGO]],Consumo!$Y$3:$Y$862)</f>
        <v>5.083333333333333</v>
      </c>
      <c r="AW555" s="380">
        <f>tabItens[[#This Row],[QTDE ATUAL]] + tabItens[[#This Row],[RC QTDE]] + tabItens[[#This Row],[AF SALDO]] + tabItens[[#This Row],[Recentes]]</f>
        <v>27</v>
      </c>
      <c r="AX555" s="404">
        <v>5</v>
      </c>
      <c r="AY555" s="404">
        <v>4</v>
      </c>
      <c r="AZ555" s="404">
        <f>IF(ISBLANK(tabItens[[#This Row],[CÓDIGO]]),"",tabItens[[#This Row],[PontoMês]] * (AZ$2+tabItens[[#This Row],[PontoQtM]]))</f>
        <v>20</v>
      </c>
      <c r="BA555" s="403">
        <f>tabItens[[#This Row],[PontoPed]] - tabItens[[#This Row],[Saldo]] + (1/10)</f>
        <v>-6.9</v>
      </c>
      <c r="BB555" s="403">
        <f xml:space="preserve"> tabItens[[#This Row],[PontoMês]] * BB$2 - tabItens[[#This Row],[QTDE ATUAL]] - (1/10)</f>
        <v>-22.1</v>
      </c>
      <c r="BC555" s="335">
        <f>IF( tabItens[[#This Row],[PontoPed]]&gt;0, IF(tabItens[[#This Row],[PontoPed]]&lt;1, 1, IF( tabItens[[#This Row],[Saldo]]&gt;tabItens[[#This Row],[PontoPed]], 0, (tabItens[[#This Row],[PontoPed]]-tabItens[[#This Row],[Saldo]])/tabItens[[#This Row],[PontoPed]] ) ), 0 )</f>
        <v>0</v>
      </c>
      <c r="BD555" s="405">
        <f>ROUNDDOWN(IF( OR( AND(tabItens[[#This Row],[PontoPed]]&lt;tabItens[[#This Row],[Saldo]],tabItens[[#This Row],[Saldo]]&gt;0), tabItens[[#This Row],[PontoPed]]=0), 99, IF(AND(tabItens[[#This Row],[Saldo]]=0,tabItens[[#This Row],[PontoPed]]&gt;0), 0, (1-tabItens[[#This Row],[PctAb]])*10 ) ),0)</f>
        <v>99</v>
      </c>
      <c r="BE555" s="406">
        <f>MAX(ROUNDDOWN( IF(tabItens[[#This Row],[Abaixo]] &gt; 0,   tabItens[[#This Row],[Abaixo]] + (tabItens[[#This Row],[PontoMês]] * IF( OR( ISBLANK(tabItens[[#This Row],[ATA Nº/ANO]]), tabItens[[#This Row],[ATA Nº/ANO]] = ""),BE$2,BE$1)),0),0),0)</f>
        <v>0</v>
      </c>
      <c r="BF55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5" s="338">
        <f>SUMIF(Consumo!$C$3:$C$862,tabItens[[#This Row],[CÓDIGO]],Consumo!$E$3:$E$862)</f>
        <v>0</v>
      </c>
      <c r="BH555" s="339">
        <f>IF(AND(tabItens[[#This Row],[Pend]] &gt; 0,tabItens[[#This Row],[Consumo]] &lt;&gt; 0), tabItens[[#This Row],[Pend]] / tabItens[[#This Row],[Consumo]], 0 )</f>
        <v>0</v>
      </c>
      <c r="BI555" s="338"/>
      <c r="BJ555" s="407"/>
      <c r="BK555" s="408" t="s">
        <v>2086</v>
      </c>
    </row>
    <row r="556" spans="1:63" x14ac:dyDescent="0.3">
      <c r="A556" s="375">
        <v>60116</v>
      </c>
      <c r="B556" s="376" t="s">
        <v>1349</v>
      </c>
      <c r="C556" s="377" t="s">
        <v>263</v>
      </c>
      <c r="D556" s="378">
        <v>7.2</v>
      </c>
      <c r="E556" s="305"/>
      <c r="F556" s="379"/>
      <c r="G556" s="379" t="s">
        <v>889</v>
      </c>
      <c r="H556" s="380">
        <v>141</v>
      </c>
      <c r="I556" s="307">
        <v>103003</v>
      </c>
      <c r="J556" s="308">
        <v>7.2</v>
      </c>
      <c r="K556" s="381">
        <v>68</v>
      </c>
      <c r="L556" s="382">
        <f>IF(tabItens[[#This Row],[Média]] &gt; 0, tabItens[[#This Row],[QTDE ATUAL]] / tabItens[[#This Row],[Média]],999.9)</f>
        <v>18.8</v>
      </c>
      <c r="M556" s="383">
        <v>0</v>
      </c>
      <c r="N556" s="384">
        <f>tabItens[[#This Row],[VALOR UNIT.]] * tabItens[[#This Row],[LC]]</f>
        <v>0</v>
      </c>
      <c r="O556" s="385" t="s">
        <v>2097</v>
      </c>
      <c r="P556" s="386"/>
      <c r="Q556" s="387"/>
      <c r="R556" s="312"/>
      <c r="S556" s="388"/>
      <c r="T556" s="389">
        <f>ROUNDDOWN(IFERROR(tabItens[[#This Row],[ATA DT.VALID.]] - $D$1,0) / 30,0)</f>
        <v>-1474</v>
      </c>
      <c r="U556" s="302" t="s">
        <v>1350</v>
      </c>
      <c r="V556" s="318">
        <v>1</v>
      </c>
      <c r="W556" s="390" t="s">
        <v>2077</v>
      </c>
      <c r="X556" s="391">
        <v>61</v>
      </c>
      <c r="Y556" s="392">
        <v>3</v>
      </c>
      <c r="Z556" s="393"/>
      <c r="AA556" s="394"/>
      <c r="AB556" s="395"/>
      <c r="AC556" s="395"/>
      <c r="AD556" s="394"/>
      <c r="AE556" s="395"/>
      <c r="AF556" s="317"/>
      <c r="AG556" s="396" t="s">
        <v>2072</v>
      </c>
      <c r="AH556" s="397"/>
      <c r="AI556" s="317">
        <v>30</v>
      </c>
      <c r="AJ556" s="397">
        <v>45169</v>
      </c>
      <c r="AK556" s="326" t="s">
        <v>889</v>
      </c>
      <c r="AL556" s="326">
        <v>45145</v>
      </c>
      <c r="AM556" s="316"/>
      <c r="AN556" s="305"/>
      <c r="AO556" s="327" t="str">
        <f>_xlfn.IFNA(IF(VLOOKUP(tabItens[[#This Row],[CÓDIGO]],tabExcluirDoEstoque[#Data],1,FALSE),"sim",""),"")</f>
        <v/>
      </c>
      <c r="AP556" s="398" t="str">
        <f ca="1">IF(OR(ISBLANK(tabItens[[#This Row],[ATA DT.VALID.]]),tabItens[[#This Row],[ATA DT.VALID.]]="",tabItens[[#This Row],[ATA DT.VALID.]]=" "),"",IF(TYPE(tabItens[[#This Row],[ATA DT.VALID.]])=1,ROUNDUP((tabItens[[#This Row],[ATA DT.VALID.]]-TODAY())/7,0),""))</f>
        <v/>
      </c>
      <c r="AQ556" s="399">
        <v>0</v>
      </c>
      <c r="AR556" s="400" t="str">
        <f>IF(ISBLANK(tabItens[[#This Row],[CÓDIGO]]),"",IFERROR(VLOOKUP(tabItens[[#This Row],[CÓDIGO]],Consumo!$C$2:$AC$862,26,FALSE),0))</f>
        <v>09.2023</v>
      </c>
      <c r="AS556" s="401">
        <f>SUMIF(Consumo!$C$3:$C$862,tabItens[[#This Row],[CÓDIGO]],Consumo!$N$3:$N$862) + SUMIF(Consumo!$C$3:$C$862,tabItens[[#This Row],[CÓDIGO]],Consumo!$O$3:$O$862) + SUMIF(Consumo!$C$3:$C$862,tabItens[[#This Row],[CÓDIGO]],Consumo!$P$3:$P$862) + SUMIF(Consumo!$C$3:$C$862,tabItens[[#This Row],[CÓDIGO]],Consumo!$Q$3:$Q$862)</f>
        <v>30</v>
      </c>
      <c r="AT556" s="401">
        <f>SUMIF(Consumo!$C$3:$C$862,tabItens[[#This Row],[CÓDIGO]],Consumo!$Z$3:$Z$862)</f>
        <v>90</v>
      </c>
      <c r="AU556" s="402">
        <f>SUMIF(Consumo!$C$3:$C$862,tabItens[[#This Row],[CÓDIGO]],Consumo!$AA$3:$AA$862)</f>
        <v>14</v>
      </c>
      <c r="AV556" s="403">
        <f>SUMIF(Consumo!$C$3:$C$862,tabItens[[#This Row],[CÓDIGO]],Consumo!$Y$3:$Y$862)</f>
        <v>7.5</v>
      </c>
      <c r="AW556" s="380">
        <f>tabItens[[#This Row],[QTDE ATUAL]] + tabItens[[#This Row],[RC QTDE]] + tabItens[[#This Row],[AF SALDO]] + tabItens[[#This Row],[Recentes]]</f>
        <v>141</v>
      </c>
      <c r="AX556" s="404">
        <v>13</v>
      </c>
      <c r="AY556" s="404">
        <v>4</v>
      </c>
      <c r="AZ556" s="404">
        <f>IF(ISBLANK(tabItens[[#This Row],[CÓDIGO]]),"",tabItens[[#This Row],[PontoMês]] * (AZ$2+tabItens[[#This Row],[PontoQtM]]))</f>
        <v>52</v>
      </c>
      <c r="BA556" s="403">
        <f>tabItens[[#This Row],[PontoPed]] - tabItens[[#This Row],[Saldo]] + (1/10)</f>
        <v>-88.9</v>
      </c>
      <c r="BB556" s="403">
        <f xml:space="preserve"> tabItens[[#This Row],[PontoMês]] * BB$2 - tabItens[[#This Row],[QTDE ATUAL]] - (1/10)</f>
        <v>-128.1</v>
      </c>
      <c r="BC556" s="335">
        <f>IF( tabItens[[#This Row],[PontoPed]]&gt;0, IF(tabItens[[#This Row],[PontoPed]]&lt;1, 1, IF( tabItens[[#This Row],[Saldo]]&gt;tabItens[[#This Row],[PontoPed]], 0, (tabItens[[#This Row],[PontoPed]]-tabItens[[#This Row],[Saldo]])/tabItens[[#This Row],[PontoPed]] ) ), 0 )</f>
        <v>0</v>
      </c>
      <c r="BD556" s="405">
        <f>ROUNDDOWN(IF( OR( AND(tabItens[[#This Row],[PontoPed]]&lt;tabItens[[#This Row],[Saldo]],tabItens[[#This Row],[Saldo]]&gt;0), tabItens[[#This Row],[PontoPed]]=0), 99, IF(AND(tabItens[[#This Row],[Saldo]]=0,tabItens[[#This Row],[PontoPed]]&gt;0), 0, (1-tabItens[[#This Row],[PctAb]])*10 ) ),0)</f>
        <v>99</v>
      </c>
      <c r="BE556" s="406">
        <f>MAX(ROUNDDOWN( IF(tabItens[[#This Row],[Abaixo]] &gt; 0,   tabItens[[#This Row],[Abaixo]] + (tabItens[[#This Row],[PontoMês]] * IF( OR( ISBLANK(tabItens[[#This Row],[ATA Nº/ANO]]), tabItens[[#This Row],[ATA Nº/ANO]] = ""),BE$2,BE$1)),0),0),0)</f>
        <v>0</v>
      </c>
      <c r="BF55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6" s="338">
        <f>SUMIF(Consumo!$C$3:$C$862,tabItens[[#This Row],[CÓDIGO]],Consumo!$E$3:$E$862)</f>
        <v>0</v>
      </c>
      <c r="BH556" s="339">
        <f>IF(AND(tabItens[[#This Row],[Pend]] &gt; 0,tabItens[[#This Row],[Consumo]] &lt;&gt; 0), tabItens[[#This Row],[Pend]] / tabItens[[#This Row],[Consumo]], 0 )</f>
        <v>0</v>
      </c>
      <c r="BI556" s="338"/>
      <c r="BJ556" s="407"/>
      <c r="BK556" s="408" t="s">
        <v>2086</v>
      </c>
    </row>
    <row r="557" spans="1:63" x14ac:dyDescent="0.3">
      <c r="A557" s="375">
        <v>70967</v>
      </c>
      <c r="B557" s="376" t="s">
        <v>1401</v>
      </c>
      <c r="C557" s="377" t="s">
        <v>263</v>
      </c>
      <c r="D557" s="378">
        <v>5.59</v>
      </c>
      <c r="E557" s="305"/>
      <c r="F557" s="379"/>
      <c r="G557" s="379" t="s">
        <v>889</v>
      </c>
      <c r="H557" s="380">
        <v>39</v>
      </c>
      <c r="I557" s="307">
        <v>103003</v>
      </c>
      <c r="J557" s="308">
        <v>5.59</v>
      </c>
      <c r="K557" s="381">
        <v>63</v>
      </c>
      <c r="L557" s="382">
        <f>IF(tabItens[[#This Row],[Média]] &gt; 0, tabItens[[#This Row],[QTDE ATUAL]] / tabItens[[#This Row],[Média]],999.9)</f>
        <v>8.5090909090909097</v>
      </c>
      <c r="M557" s="383">
        <v>0</v>
      </c>
      <c r="N557" s="384">
        <f>tabItens[[#This Row],[VALOR UNIT.]] * tabItens[[#This Row],[LC]]</f>
        <v>0</v>
      </c>
      <c r="O557" s="385" t="s">
        <v>2097</v>
      </c>
      <c r="P557" s="386"/>
      <c r="Q557" s="387"/>
      <c r="R557" s="312"/>
      <c r="S557" s="388"/>
      <c r="T557" s="389">
        <f>ROUNDDOWN(IFERROR(tabItens[[#This Row],[ATA DT.VALID.]] - $D$1,0) / 30,0)</f>
        <v>-1474</v>
      </c>
      <c r="U557" s="302" t="s">
        <v>1350</v>
      </c>
      <c r="V557" s="318">
        <v>1</v>
      </c>
      <c r="W557" s="390" t="s">
        <v>2077</v>
      </c>
      <c r="X557" s="391">
        <v>61</v>
      </c>
      <c r="Y557" s="392">
        <v>3</v>
      </c>
      <c r="Z557" s="393"/>
      <c r="AA557" s="394"/>
      <c r="AB557" s="395"/>
      <c r="AC557" s="395"/>
      <c r="AD557" s="394"/>
      <c r="AE557" s="395"/>
      <c r="AF557" s="317"/>
      <c r="AG557" s="396" t="s">
        <v>2072</v>
      </c>
      <c r="AH557" s="397"/>
      <c r="AI557" s="317">
        <v>22</v>
      </c>
      <c r="AJ557" s="397">
        <v>44166</v>
      </c>
      <c r="AK557" s="326" t="s">
        <v>889</v>
      </c>
      <c r="AL557" s="326">
        <v>44284</v>
      </c>
      <c r="AM557" s="316"/>
      <c r="AN557" s="305"/>
      <c r="AO557" s="327" t="str">
        <f>_xlfn.IFNA(IF(VLOOKUP(tabItens[[#This Row],[CÓDIGO]],tabExcluirDoEstoque[#Data],1,FALSE),"sim",""),"")</f>
        <v/>
      </c>
      <c r="AP557" s="398" t="str">
        <f ca="1">IF(OR(ISBLANK(tabItens[[#This Row],[ATA DT.VALID.]]),tabItens[[#This Row],[ATA DT.VALID.]]="",tabItens[[#This Row],[ATA DT.VALID.]]=" "),"",IF(TYPE(tabItens[[#This Row],[ATA DT.VALID.]])=1,ROUNDUP((tabItens[[#This Row],[ATA DT.VALID.]]-TODAY())/7,0),""))</f>
        <v/>
      </c>
      <c r="AQ557" s="399">
        <v>0</v>
      </c>
      <c r="AR557" s="400" t="str">
        <f>IF(ISBLANK(tabItens[[#This Row],[CÓDIGO]]),"",IFERROR(VLOOKUP(tabItens[[#This Row],[CÓDIGO]],Consumo!$C$2:$AC$862,26,FALSE),0))</f>
        <v>04.2023</v>
      </c>
      <c r="AS557" s="401">
        <f>SUMIF(Consumo!$C$3:$C$862,tabItens[[#This Row],[CÓDIGO]],Consumo!$N$3:$N$862) + SUMIF(Consumo!$C$3:$C$862,tabItens[[#This Row],[CÓDIGO]],Consumo!$O$3:$O$862) + SUMIF(Consumo!$C$3:$C$862,tabItens[[#This Row],[CÓDIGO]],Consumo!$P$3:$P$862) + SUMIF(Consumo!$C$3:$C$862,tabItens[[#This Row],[CÓDIGO]],Consumo!$Q$3:$Q$862)</f>
        <v>0</v>
      </c>
      <c r="AT557" s="401">
        <f>SUMIF(Consumo!$C$3:$C$862,tabItens[[#This Row],[CÓDIGO]],Consumo!$Z$3:$Z$862)</f>
        <v>63</v>
      </c>
      <c r="AU557" s="402">
        <f>SUMIF(Consumo!$C$3:$C$862,tabItens[[#This Row],[CÓDIGO]],Consumo!$AA$3:$AA$862)</f>
        <v>35</v>
      </c>
      <c r="AV557" s="403">
        <f>SUMIF(Consumo!$C$3:$C$862,tabItens[[#This Row],[CÓDIGO]],Consumo!$Y$3:$Y$862)</f>
        <v>4.583333333333333</v>
      </c>
      <c r="AW557" s="380">
        <f>tabItens[[#This Row],[QTDE ATUAL]] + tabItens[[#This Row],[RC QTDE]] + tabItens[[#This Row],[AF SALDO]] + tabItens[[#This Row],[Recentes]]</f>
        <v>39</v>
      </c>
      <c r="AX557" s="404">
        <v>17</v>
      </c>
      <c r="AY557" s="404">
        <v>4</v>
      </c>
      <c r="AZ557" s="404">
        <f>IF(ISBLANK(tabItens[[#This Row],[CÓDIGO]]),"",tabItens[[#This Row],[PontoMês]] * (AZ$2+tabItens[[#This Row],[PontoQtM]]))</f>
        <v>68</v>
      </c>
      <c r="BA557" s="403">
        <f>tabItens[[#This Row],[PontoPed]] - tabItens[[#This Row],[Saldo]] + (1/10)</f>
        <v>29.1</v>
      </c>
      <c r="BB557" s="403">
        <f xml:space="preserve"> tabItens[[#This Row],[PontoMês]] * BB$2 - tabItens[[#This Row],[QTDE ATUAL]] - (1/10)</f>
        <v>-22.1</v>
      </c>
      <c r="BC557" s="335">
        <f>IF( tabItens[[#This Row],[PontoPed]]&gt;0, IF(tabItens[[#This Row],[PontoPed]]&lt;1, 1, IF( tabItens[[#This Row],[Saldo]]&gt;tabItens[[#This Row],[PontoPed]], 0, (tabItens[[#This Row],[PontoPed]]-tabItens[[#This Row],[Saldo]])/tabItens[[#This Row],[PontoPed]] ) ), 0 )</f>
        <v>0.4264705882352941</v>
      </c>
      <c r="BD557" s="405">
        <f>ROUNDDOWN(IF( OR( AND(tabItens[[#This Row],[PontoPed]]&lt;tabItens[[#This Row],[Saldo]],tabItens[[#This Row],[Saldo]]&gt;0), tabItens[[#This Row],[PontoPed]]=0), 99, IF(AND(tabItens[[#This Row],[Saldo]]=0,tabItens[[#This Row],[PontoPed]]&gt;0), 0, (1-tabItens[[#This Row],[PctAb]])*10 ) ),0)</f>
        <v>5</v>
      </c>
      <c r="BE557" s="406">
        <f>MAX(ROUNDDOWN( IF(tabItens[[#This Row],[Abaixo]] &gt; 0,   tabItens[[#This Row],[Abaixo]] + (tabItens[[#This Row],[PontoMês]] * IF( OR( ISBLANK(tabItens[[#This Row],[ATA Nº/ANO]]), tabItens[[#This Row],[ATA Nº/ANO]] = ""),BE$2,BE$1)),0),0),0)</f>
        <v>80</v>
      </c>
      <c r="BF55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7" s="338">
        <f>SUMIF(Consumo!$C$3:$C$862,tabItens[[#This Row],[CÓDIGO]],Consumo!$E$3:$E$862)</f>
        <v>0</v>
      </c>
      <c r="BH557" s="339">
        <f>IF(AND(tabItens[[#This Row],[Pend]] &gt; 0,tabItens[[#This Row],[Consumo]] &lt;&gt; 0), tabItens[[#This Row],[Pend]] / tabItens[[#This Row],[Consumo]], 0 )</f>
        <v>0</v>
      </c>
      <c r="BI557" s="338"/>
      <c r="BJ557" s="407"/>
      <c r="BK557" s="408" t="s">
        <v>2086</v>
      </c>
    </row>
    <row r="558" spans="1:63" x14ac:dyDescent="0.3">
      <c r="A558" s="375">
        <v>12813</v>
      </c>
      <c r="B558" s="376" t="s">
        <v>965</v>
      </c>
      <c r="C558" s="377" t="s">
        <v>263</v>
      </c>
      <c r="D558" s="378">
        <v>11.08</v>
      </c>
      <c r="E558" s="305"/>
      <c r="F558" s="379"/>
      <c r="G558" s="379" t="s">
        <v>889</v>
      </c>
      <c r="H558" s="380">
        <v>61</v>
      </c>
      <c r="I558" s="307">
        <v>103003</v>
      </c>
      <c r="J558" s="308">
        <v>11.08</v>
      </c>
      <c r="K558" s="381">
        <v>25</v>
      </c>
      <c r="L558" s="382">
        <f>IF(tabItens[[#This Row],[Média]] &gt; 0, tabItens[[#This Row],[QTDE ATUAL]] / tabItens[[#This Row],[Média]],999.9)</f>
        <v>45.75</v>
      </c>
      <c r="M558" s="383">
        <v>0</v>
      </c>
      <c r="N558" s="384">
        <f>tabItens[[#This Row],[VALOR UNIT.]] * tabItens[[#This Row],[LC]]</f>
        <v>0</v>
      </c>
      <c r="O558" s="385" t="s">
        <v>2097</v>
      </c>
      <c r="P558" s="386"/>
      <c r="Q558" s="387"/>
      <c r="R558" s="312"/>
      <c r="S558" s="388"/>
      <c r="T558" s="389">
        <f>ROUNDDOWN(IFERROR(tabItens[[#This Row],[ATA DT.VALID.]] - $D$1,0) / 30,0)</f>
        <v>-1474</v>
      </c>
      <c r="U558" s="302" t="s">
        <v>966</v>
      </c>
      <c r="V558" s="318">
        <v>1</v>
      </c>
      <c r="W558" s="390" t="s">
        <v>2076</v>
      </c>
      <c r="X558" s="391">
        <v>61</v>
      </c>
      <c r="Y558" s="392">
        <v>8</v>
      </c>
      <c r="Z558" s="393"/>
      <c r="AA558" s="394"/>
      <c r="AB558" s="395"/>
      <c r="AC558" s="395"/>
      <c r="AD558" s="394"/>
      <c r="AE558" s="395"/>
      <c r="AF558" s="317"/>
      <c r="AG558" s="396" t="s">
        <v>2072</v>
      </c>
      <c r="AH558" s="397"/>
      <c r="AI558" s="317">
        <v>6</v>
      </c>
      <c r="AJ558" s="397">
        <v>44298</v>
      </c>
      <c r="AK558" s="326" t="s">
        <v>889</v>
      </c>
      <c r="AL558" s="326">
        <v>44257</v>
      </c>
      <c r="AM558" s="316"/>
      <c r="AN558" s="305"/>
      <c r="AO558" s="327" t="str">
        <f>_xlfn.IFNA(IF(VLOOKUP(tabItens[[#This Row],[CÓDIGO]],tabExcluirDoEstoque[#Data],1,FALSE),"sim",""),"")</f>
        <v/>
      </c>
      <c r="AP558" s="398" t="str">
        <f ca="1">IF(OR(ISBLANK(tabItens[[#This Row],[ATA DT.VALID.]]),tabItens[[#This Row],[ATA DT.VALID.]]="",tabItens[[#This Row],[ATA DT.VALID.]]=" "),"",IF(TYPE(tabItens[[#This Row],[ATA DT.VALID.]])=1,ROUNDUP((tabItens[[#This Row],[ATA DT.VALID.]]-TODAY())/7,0),""))</f>
        <v/>
      </c>
      <c r="AQ558" s="399">
        <v>0</v>
      </c>
      <c r="AR558" s="400" t="str">
        <f>IF(ISBLANK(tabItens[[#This Row],[CÓDIGO]]),"",IFERROR(VLOOKUP(tabItens[[#This Row],[CÓDIGO]],Consumo!$C$2:$AC$862,26,FALSE),0))</f>
        <v>04.2023</v>
      </c>
      <c r="AS558" s="401">
        <f>SUMIF(Consumo!$C$3:$C$862,tabItens[[#This Row],[CÓDIGO]],Consumo!$N$3:$N$862) + SUMIF(Consumo!$C$3:$C$862,tabItens[[#This Row],[CÓDIGO]],Consumo!$O$3:$O$862) + SUMIF(Consumo!$C$3:$C$862,tabItens[[#This Row],[CÓDIGO]],Consumo!$P$3:$P$862) + SUMIF(Consumo!$C$3:$C$862,tabItens[[#This Row],[CÓDIGO]],Consumo!$Q$3:$Q$862)</f>
        <v>0</v>
      </c>
      <c r="AT558" s="401">
        <f>SUMIF(Consumo!$C$3:$C$862,tabItens[[#This Row],[CÓDIGO]],Consumo!$Z$3:$Z$862)</f>
        <v>17</v>
      </c>
      <c r="AU558" s="402">
        <f>SUMIF(Consumo!$C$3:$C$862,tabItens[[#This Row],[CÓDIGO]],Consumo!$AA$3:$AA$862)</f>
        <v>6</v>
      </c>
      <c r="AV558" s="403">
        <f>SUMIF(Consumo!$C$3:$C$862,tabItens[[#This Row],[CÓDIGO]],Consumo!$Y$3:$Y$862)</f>
        <v>1.3333333333333333</v>
      </c>
      <c r="AW558" s="380">
        <f>tabItens[[#This Row],[QTDE ATUAL]] + tabItens[[#This Row],[RC QTDE]] + tabItens[[#This Row],[AF SALDO]] + tabItens[[#This Row],[Recentes]]</f>
        <v>61</v>
      </c>
      <c r="AX558" s="404">
        <v>7</v>
      </c>
      <c r="AY558" s="404">
        <v>4</v>
      </c>
      <c r="AZ558" s="404">
        <f>IF(ISBLANK(tabItens[[#This Row],[CÓDIGO]]),"",tabItens[[#This Row],[PontoMês]] * (AZ$2+tabItens[[#This Row],[PontoQtM]]))</f>
        <v>28</v>
      </c>
      <c r="BA558" s="403">
        <f>tabItens[[#This Row],[PontoPed]] - tabItens[[#This Row],[Saldo]] + (1/10)</f>
        <v>-32.9</v>
      </c>
      <c r="BB558" s="403">
        <f xml:space="preserve"> tabItens[[#This Row],[PontoMês]] * BB$2 - tabItens[[#This Row],[QTDE ATUAL]] - (1/10)</f>
        <v>-54.1</v>
      </c>
      <c r="BC558" s="335">
        <f>IF( tabItens[[#This Row],[PontoPed]]&gt;0, IF(tabItens[[#This Row],[PontoPed]]&lt;1, 1, IF( tabItens[[#This Row],[Saldo]]&gt;tabItens[[#This Row],[PontoPed]], 0, (tabItens[[#This Row],[PontoPed]]-tabItens[[#This Row],[Saldo]])/tabItens[[#This Row],[PontoPed]] ) ), 0 )</f>
        <v>0</v>
      </c>
      <c r="BD558" s="405">
        <f>ROUNDDOWN(IF( OR( AND(tabItens[[#This Row],[PontoPed]]&lt;tabItens[[#This Row],[Saldo]],tabItens[[#This Row],[Saldo]]&gt;0), tabItens[[#This Row],[PontoPed]]=0), 99, IF(AND(tabItens[[#This Row],[Saldo]]=0,tabItens[[#This Row],[PontoPed]]&gt;0), 0, (1-tabItens[[#This Row],[PctAb]])*10 ) ),0)</f>
        <v>99</v>
      </c>
      <c r="BE558" s="406">
        <f>MAX(ROUNDDOWN( IF(tabItens[[#This Row],[Abaixo]] &gt; 0,   tabItens[[#This Row],[Abaixo]] + (tabItens[[#This Row],[PontoMês]] * IF( OR( ISBLANK(tabItens[[#This Row],[ATA Nº/ANO]]), tabItens[[#This Row],[ATA Nº/ANO]] = ""),BE$2,BE$1)),0),0),0)</f>
        <v>0</v>
      </c>
      <c r="BF55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8" s="338">
        <f>SUMIF(Consumo!$C$3:$C$862,tabItens[[#This Row],[CÓDIGO]],Consumo!$E$3:$E$862)</f>
        <v>0</v>
      </c>
      <c r="BH558" s="339">
        <f>IF(AND(tabItens[[#This Row],[Pend]] &gt; 0,tabItens[[#This Row],[Consumo]] &lt;&gt; 0), tabItens[[#This Row],[Pend]] / tabItens[[#This Row],[Consumo]], 0 )</f>
        <v>0</v>
      </c>
      <c r="BI558" s="338"/>
      <c r="BJ558" s="407"/>
      <c r="BK558" s="408" t="s">
        <v>2086</v>
      </c>
    </row>
    <row r="559" spans="1:63" x14ac:dyDescent="0.3">
      <c r="A559" s="375">
        <v>12821</v>
      </c>
      <c r="B559" s="376" t="s">
        <v>967</v>
      </c>
      <c r="C559" s="377" t="s">
        <v>263</v>
      </c>
      <c r="D559" s="378">
        <v>25.42</v>
      </c>
      <c r="E559" s="305"/>
      <c r="F559" s="379"/>
      <c r="G559" s="379" t="s">
        <v>889</v>
      </c>
      <c r="H559" s="380">
        <v>137</v>
      </c>
      <c r="I559" s="307">
        <v>103003</v>
      </c>
      <c r="J559" s="308">
        <v>25.42</v>
      </c>
      <c r="K559" s="381">
        <v>8</v>
      </c>
      <c r="L559" s="382">
        <f>IF(tabItens[[#This Row],[Média]] &gt; 0, tabItens[[#This Row],[QTDE ATUAL]] / tabItens[[#This Row],[Média]],999.9)</f>
        <v>328.8</v>
      </c>
      <c r="M559" s="383">
        <v>0</v>
      </c>
      <c r="N559" s="384">
        <f>tabItens[[#This Row],[VALOR UNIT.]] * tabItens[[#This Row],[LC]]</f>
        <v>0</v>
      </c>
      <c r="O559" s="385" t="s">
        <v>2097</v>
      </c>
      <c r="P559" s="386"/>
      <c r="Q559" s="387"/>
      <c r="R559" s="312"/>
      <c r="S559" s="388"/>
      <c r="T559" s="389">
        <f>ROUNDDOWN(IFERROR(tabItens[[#This Row],[ATA DT.VALID.]] - $D$1,0) / 30,0)</f>
        <v>-1474</v>
      </c>
      <c r="U559" s="302" t="s">
        <v>966</v>
      </c>
      <c r="V559" s="318">
        <v>1</v>
      </c>
      <c r="W559" s="390" t="s">
        <v>2076</v>
      </c>
      <c r="X559" s="391">
        <v>61</v>
      </c>
      <c r="Y559" s="392">
        <v>8</v>
      </c>
      <c r="Z559" s="393"/>
      <c r="AA559" s="394"/>
      <c r="AB559" s="395"/>
      <c r="AC559" s="395"/>
      <c r="AD559" s="394"/>
      <c r="AE559" s="395"/>
      <c r="AF559" s="317"/>
      <c r="AG559" s="396" t="s">
        <v>2072</v>
      </c>
      <c r="AH559" s="397"/>
      <c r="AI559" s="317">
        <v>2</v>
      </c>
      <c r="AJ559" s="397">
        <v>44806</v>
      </c>
      <c r="AK559" s="326" t="s">
        <v>889</v>
      </c>
      <c r="AL559" s="326">
        <v>44776</v>
      </c>
      <c r="AM559" s="316"/>
      <c r="AN559" s="305"/>
      <c r="AO559" s="327" t="str">
        <f>_xlfn.IFNA(IF(VLOOKUP(tabItens[[#This Row],[CÓDIGO]],tabExcluirDoEstoque[#Data],1,FALSE),"sim",""),"")</f>
        <v/>
      </c>
      <c r="AP559" s="398" t="str">
        <f ca="1">IF(OR(ISBLANK(tabItens[[#This Row],[ATA DT.VALID.]]),tabItens[[#This Row],[ATA DT.VALID.]]="",tabItens[[#This Row],[ATA DT.VALID.]]=" "),"",IF(TYPE(tabItens[[#This Row],[ATA DT.VALID.]])=1,ROUNDUP((tabItens[[#This Row],[ATA DT.VALID.]]-TODAY())/7,0),""))</f>
        <v/>
      </c>
      <c r="AQ559" s="399">
        <v>50</v>
      </c>
      <c r="AR559" s="400" t="str">
        <f>IF(ISBLANK(tabItens[[#This Row],[CÓDIGO]]),"",IFERROR(VLOOKUP(tabItens[[#This Row],[CÓDIGO]],Consumo!$C$2:$AC$862,26,FALSE),0))</f>
        <v>04.2023</v>
      </c>
      <c r="AS559" s="401">
        <f>SUMIF(Consumo!$C$3:$C$862,tabItens[[#This Row],[CÓDIGO]],Consumo!$N$3:$N$862) + SUMIF(Consumo!$C$3:$C$862,tabItens[[#This Row],[CÓDIGO]],Consumo!$O$3:$O$862) + SUMIF(Consumo!$C$3:$C$862,tabItens[[#This Row],[CÓDIGO]],Consumo!$P$3:$P$862) + SUMIF(Consumo!$C$3:$C$862,tabItens[[#This Row],[CÓDIGO]],Consumo!$Q$3:$Q$862)</f>
        <v>0</v>
      </c>
      <c r="AT559" s="401">
        <f>SUMIF(Consumo!$C$3:$C$862,tabItens[[#This Row],[CÓDIGO]],Consumo!$Z$3:$Z$862)</f>
        <v>8</v>
      </c>
      <c r="AU559" s="402">
        <f>SUMIF(Consumo!$C$3:$C$862,tabItens[[#This Row],[CÓDIGO]],Consumo!$AA$3:$AA$862)</f>
        <v>7</v>
      </c>
      <c r="AV559" s="403">
        <f>SUMIF(Consumo!$C$3:$C$862,tabItens[[#This Row],[CÓDIGO]],Consumo!$Y$3:$Y$862)</f>
        <v>0.41666666666666669</v>
      </c>
      <c r="AW559" s="380">
        <f>tabItens[[#This Row],[QTDE ATUAL]] + tabItens[[#This Row],[RC QTDE]] + tabItens[[#This Row],[AF SALDO]] + tabItens[[#This Row],[Recentes]]</f>
        <v>187</v>
      </c>
      <c r="AX559" s="404">
        <v>5</v>
      </c>
      <c r="AY559" s="404">
        <v>4</v>
      </c>
      <c r="AZ559" s="404">
        <f>IF(ISBLANK(tabItens[[#This Row],[CÓDIGO]]),"",tabItens[[#This Row],[PontoMês]] * (AZ$2+tabItens[[#This Row],[PontoQtM]]))</f>
        <v>20</v>
      </c>
      <c r="BA559" s="403">
        <f>tabItens[[#This Row],[PontoPed]] - tabItens[[#This Row],[Saldo]] + (1/10)</f>
        <v>-166.9</v>
      </c>
      <c r="BB559" s="403">
        <f xml:space="preserve"> tabItens[[#This Row],[PontoMês]] * BB$2 - tabItens[[#This Row],[QTDE ATUAL]] - (1/10)</f>
        <v>-132.1</v>
      </c>
      <c r="BC559" s="335">
        <f>IF( tabItens[[#This Row],[PontoPed]]&gt;0, IF(tabItens[[#This Row],[PontoPed]]&lt;1, 1, IF( tabItens[[#This Row],[Saldo]]&gt;tabItens[[#This Row],[PontoPed]], 0, (tabItens[[#This Row],[PontoPed]]-tabItens[[#This Row],[Saldo]])/tabItens[[#This Row],[PontoPed]] ) ), 0 )</f>
        <v>0</v>
      </c>
      <c r="BD559" s="405">
        <f>ROUNDDOWN(IF( OR( AND(tabItens[[#This Row],[PontoPed]]&lt;tabItens[[#This Row],[Saldo]],tabItens[[#This Row],[Saldo]]&gt;0), tabItens[[#This Row],[PontoPed]]=0), 99, IF(AND(tabItens[[#This Row],[Saldo]]=0,tabItens[[#This Row],[PontoPed]]&gt;0), 0, (1-tabItens[[#This Row],[PctAb]])*10 ) ),0)</f>
        <v>99</v>
      </c>
      <c r="BE559" s="406">
        <f>MAX(ROUNDDOWN( IF(tabItens[[#This Row],[Abaixo]] &gt; 0,   tabItens[[#This Row],[Abaixo]] + (tabItens[[#This Row],[PontoMês]] * IF( OR( ISBLANK(tabItens[[#This Row],[ATA Nº/ANO]]), tabItens[[#This Row],[ATA Nº/ANO]] = ""),BE$2,BE$1)),0),0),0)</f>
        <v>0</v>
      </c>
      <c r="BF55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9" s="338">
        <f>SUMIF(Consumo!$C$3:$C$862,tabItens[[#This Row],[CÓDIGO]],Consumo!$E$3:$E$862)</f>
        <v>0</v>
      </c>
      <c r="BH559" s="339">
        <f>IF(AND(tabItens[[#This Row],[Pend]] &gt; 0,tabItens[[#This Row],[Consumo]] &lt;&gt; 0), tabItens[[#This Row],[Pend]] / tabItens[[#This Row],[Consumo]], 0 )</f>
        <v>0</v>
      </c>
      <c r="BI559" s="338"/>
      <c r="BJ559" s="407"/>
      <c r="BK559" s="408" t="s">
        <v>2086</v>
      </c>
    </row>
    <row r="560" spans="1:63" x14ac:dyDescent="0.3">
      <c r="A560" s="375">
        <v>12824</v>
      </c>
      <c r="B560" s="376" t="s">
        <v>968</v>
      </c>
      <c r="C560" s="377" t="s">
        <v>263</v>
      </c>
      <c r="D560" s="378">
        <v>10.71</v>
      </c>
      <c r="E560" s="305"/>
      <c r="F560" s="379"/>
      <c r="G560" s="379" t="s">
        <v>889</v>
      </c>
      <c r="H560" s="380">
        <v>92</v>
      </c>
      <c r="I560" s="307">
        <v>103003</v>
      </c>
      <c r="J560" s="308">
        <v>10.71</v>
      </c>
      <c r="K560" s="381">
        <v>15</v>
      </c>
      <c r="L560" s="382">
        <f>IF(tabItens[[#This Row],[Média]] &gt; 0, tabItens[[#This Row],[QTDE ATUAL]] / tabItens[[#This Row],[Média]],999.9)</f>
        <v>73.599999999999994</v>
      </c>
      <c r="M560" s="383">
        <v>0</v>
      </c>
      <c r="N560" s="384">
        <f>tabItens[[#This Row],[VALOR UNIT.]] * tabItens[[#This Row],[LC]]</f>
        <v>0</v>
      </c>
      <c r="O560" s="385" t="s">
        <v>2097</v>
      </c>
      <c r="P560" s="386"/>
      <c r="Q560" s="387"/>
      <c r="R560" s="312"/>
      <c r="S560" s="388"/>
      <c r="T560" s="389">
        <f>ROUNDDOWN(IFERROR(tabItens[[#This Row],[ATA DT.VALID.]] - $D$1,0) / 30,0)</f>
        <v>-1474</v>
      </c>
      <c r="U560" s="302" t="s">
        <v>966</v>
      </c>
      <c r="V560" s="318">
        <v>1</v>
      </c>
      <c r="W560" s="390" t="s">
        <v>2076</v>
      </c>
      <c r="X560" s="391">
        <v>61</v>
      </c>
      <c r="Y560" s="392">
        <v>8</v>
      </c>
      <c r="Z560" s="393"/>
      <c r="AA560" s="394"/>
      <c r="AB560" s="395"/>
      <c r="AC560" s="395"/>
      <c r="AD560" s="394"/>
      <c r="AE560" s="395"/>
      <c r="AF560" s="317"/>
      <c r="AG560" s="396" t="s">
        <v>2072</v>
      </c>
      <c r="AH560" s="397"/>
      <c r="AI560" s="317">
        <v>12</v>
      </c>
      <c r="AJ560" s="397">
        <v>44188</v>
      </c>
      <c r="AK560" s="326" t="s">
        <v>889</v>
      </c>
      <c r="AL560" s="326">
        <v>44637</v>
      </c>
      <c r="AM560" s="316"/>
      <c r="AN560" s="305"/>
      <c r="AO560" s="327" t="str">
        <f>_xlfn.IFNA(IF(VLOOKUP(tabItens[[#This Row],[CÓDIGO]],tabExcluirDoEstoque[#Data],1,FALSE),"sim",""),"")</f>
        <v/>
      </c>
      <c r="AP560" s="398" t="str">
        <f ca="1">IF(OR(ISBLANK(tabItens[[#This Row],[ATA DT.VALID.]]),tabItens[[#This Row],[ATA DT.VALID.]]="",tabItens[[#This Row],[ATA DT.VALID.]]=" "),"",IF(TYPE(tabItens[[#This Row],[ATA DT.VALID.]])=1,ROUNDUP((tabItens[[#This Row],[ATA DT.VALID.]]-TODAY())/7,0),""))</f>
        <v/>
      </c>
      <c r="AQ560" s="399">
        <v>0</v>
      </c>
      <c r="AR560" s="400" t="str">
        <f>IF(ISBLANK(tabItens[[#This Row],[CÓDIGO]]),"",IFERROR(VLOOKUP(tabItens[[#This Row],[CÓDIGO]],Consumo!$C$2:$AC$862,26,FALSE),0))</f>
        <v>04.2023</v>
      </c>
      <c r="AS560" s="401">
        <f>SUMIF(Consumo!$C$3:$C$862,tabItens[[#This Row],[CÓDIGO]],Consumo!$N$3:$N$862) + SUMIF(Consumo!$C$3:$C$862,tabItens[[#This Row],[CÓDIGO]],Consumo!$O$3:$O$862) + SUMIF(Consumo!$C$3:$C$862,tabItens[[#This Row],[CÓDIGO]],Consumo!$P$3:$P$862) + SUMIF(Consumo!$C$3:$C$862,tabItens[[#This Row],[CÓDIGO]],Consumo!$Q$3:$Q$862)</f>
        <v>0</v>
      </c>
      <c r="AT560" s="401">
        <f>SUMIF(Consumo!$C$3:$C$862,tabItens[[#This Row],[CÓDIGO]],Consumo!$Z$3:$Z$862)</f>
        <v>15</v>
      </c>
      <c r="AU560" s="402">
        <f>SUMIF(Consumo!$C$3:$C$862,tabItens[[#This Row],[CÓDIGO]],Consumo!$AA$3:$AA$862)</f>
        <v>5</v>
      </c>
      <c r="AV560" s="403">
        <f>SUMIF(Consumo!$C$3:$C$862,tabItens[[#This Row],[CÓDIGO]],Consumo!$Y$3:$Y$862)</f>
        <v>1.25</v>
      </c>
      <c r="AW560" s="380">
        <f>tabItens[[#This Row],[QTDE ATUAL]] + tabItens[[#This Row],[RC QTDE]] + tabItens[[#This Row],[AF SALDO]] + tabItens[[#This Row],[Recentes]]</f>
        <v>92</v>
      </c>
      <c r="AX560" s="404">
        <v>6</v>
      </c>
      <c r="AY560" s="404">
        <v>4</v>
      </c>
      <c r="AZ560" s="404">
        <f>IF(ISBLANK(tabItens[[#This Row],[CÓDIGO]]),"",tabItens[[#This Row],[PontoMês]] * (AZ$2+tabItens[[#This Row],[PontoQtM]]))</f>
        <v>24</v>
      </c>
      <c r="BA560" s="403">
        <f>tabItens[[#This Row],[PontoPed]] - tabItens[[#This Row],[Saldo]] + (1/10)</f>
        <v>-67.900000000000006</v>
      </c>
      <c r="BB560" s="403">
        <f xml:space="preserve"> tabItens[[#This Row],[PontoMês]] * BB$2 - tabItens[[#This Row],[QTDE ATUAL]] - (1/10)</f>
        <v>-86.1</v>
      </c>
      <c r="BC560" s="335">
        <f>IF( tabItens[[#This Row],[PontoPed]]&gt;0, IF(tabItens[[#This Row],[PontoPed]]&lt;1, 1, IF( tabItens[[#This Row],[Saldo]]&gt;tabItens[[#This Row],[PontoPed]], 0, (tabItens[[#This Row],[PontoPed]]-tabItens[[#This Row],[Saldo]])/tabItens[[#This Row],[PontoPed]] ) ), 0 )</f>
        <v>0</v>
      </c>
      <c r="BD560" s="405">
        <f>ROUNDDOWN(IF( OR( AND(tabItens[[#This Row],[PontoPed]]&lt;tabItens[[#This Row],[Saldo]],tabItens[[#This Row],[Saldo]]&gt;0), tabItens[[#This Row],[PontoPed]]=0), 99, IF(AND(tabItens[[#This Row],[Saldo]]=0,tabItens[[#This Row],[PontoPed]]&gt;0), 0, (1-tabItens[[#This Row],[PctAb]])*10 ) ),0)</f>
        <v>99</v>
      </c>
      <c r="BE560" s="406">
        <f>MAX(ROUNDDOWN( IF(tabItens[[#This Row],[Abaixo]] &gt; 0,   tabItens[[#This Row],[Abaixo]] + (tabItens[[#This Row],[PontoMês]] * IF( OR( ISBLANK(tabItens[[#This Row],[ATA Nº/ANO]]), tabItens[[#This Row],[ATA Nº/ANO]] = ""),BE$2,BE$1)),0),0),0)</f>
        <v>0</v>
      </c>
      <c r="BF56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0" s="338">
        <f>SUMIF(Consumo!$C$3:$C$862,tabItens[[#This Row],[CÓDIGO]],Consumo!$E$3:$E$862)</f>
        <v>0</v>
      </c>
      <c r="BH560" s="339">
        <f>IF(AND(tabItens[[#This Row],[Pend]] &gt; 0,tabItens[[#This Row],[Consumo]] &lt;&gt; 0), tabItens[[#This Row],[Pend]] / tabItens[[#This Row],[Consumo]], 0 )</f>
        <v>0</v>
      </c>
      <c r="BI560" s="338"/>
      <c r="BJ560" s="407"/>
      <c r="BK560" s="408" t="s">
        <v>2086</v>
      </c>
    </row>
    <row r="561" spans="1:63" x14ac:dyDescent="0.3">
      <c r="A561" s="375">
        <v>12884</v>
      </c>
      <c r="B561" s="376" t="s">
        <v>976</v>
      </c>
      <c r="C561" s="377" t="s">
        <v>263</v>
      </c>
      <c r="D561" s="378">
        <v>3.8</v>
      </c>
      <c r="E561" s="305"/>
      <c r="F561" s="379"/>
      <c r="G561" s="379" t="s">
        <v>889</v>
      </c>
      <c r="H561" s="380">
        <v>88</v>
      </c>
      <c r="I561" s="307">
        <v>103003</v>
      </c>
      <c r="J561" s="308">
        <v>3.8</v>
      </c>
      <c r="K561" s="381">
        <v>179</v>
      </c>
      <c r="L561" s="382">
        <f>IF(tabItens[[#This Row],[Média]] &gt; 0, tabItens[[#This Row],[QTDE ATUAL]] / tabItens[[#This Row],[Média]],999.9)</f>
        <v>4.8219178082191778</v>
      </c>
      <c r="M561" s="383">
        <v>0</v>
      </c>
      <c r="N561" s="384">
        <f>tabItens[[#This Row],[VALOR UNIT.]] * tabItens[[#This Row],[LC]]</f>
        <v>0</v>
      </c>
      <c r="O561" s="385" t="s">
        <v>2097</v>
      </c>
      <c r="P561" s="386"/>
      <c r="Q561" s="387"/>
      <c r="R561" s="312"/>
      <c r="S561" s="388"/>
      <c r="T561" s="389">
        <f>ROUNDDOWN(IFERROR(tabItens[[#This Row],[ATA DT.VALID.]] - $D$1,0) / 30,0)</f>
        <v>-1474</v>
      </c>
      <c r="U561" s="302" t="s">
        <v>966</v>
      </c>
      <c r="V561" s="318">
        <v>1</v>
      </c>
      <c r="W561" s="390" t="s">
        <v>2076</v>
      </c>
      <c r="X561" s="391">
        <v>61</v>
      </c>
      <c r="Y561" s="392">
        <v>8</v>
      </c>
      <c r="Z561" s="393"/>
      <c r="AA561" s="394"/>
      <c r="AB561" s="395"/>
      <c r="AC561" s="395"/>
      <c r="AD561" s="394"/>
      <c r="AE561" s="395"/>
      <c r="AF561" s="317"/>
      <c r="AG561" s="396" t="s">
        <v>2072</v>
      </c>
      <c r="AH561" s="397"/>
      <c r="AI561" s="317">
        <v>76</v>
      </c>
      <c r="AJ561" s="397">
        <v>45170</v>
      </c>
      <c r="AK561" s="326" t="s">
        <v>889</v>
      </c>
      <c r="AL561" s="326">
        <v>45145</v>
      </c>
      <c r="AM561" s="316"/>
      <c r="AN561" s="305"/>
      <c r="AO561" s="327" t="str">
        <f>_xlfn.IFNA(IF(VLOOKUP(tabItens[[#This Row],[CÓDIGO]],tabExcluirDoEstoque[#Data],1,FALSE),"sim",""),"")</f>
        <v/>
      </c>
      <c r="AP561" s="398" t="str">
        <f ca="1">IF(OR(ISBLANK(tabItens[[#This Row],[ATA DT.VALID.]]),tabItens[[#This Row],[ATA DT.VALID.]]="",tabItens[[#This Row],[ATA DT.VALID.]]=" "),"",IF(TYPE(tabItens[[#This Row],[ATA DT.VALID.]])=1,ROUNDUP((tabItens[[#This Row],[ATA DT.VALID.]]-TODAY())/7,0),""))</f>
        <v/>
      </c>
      <c r="AQ561" s="399">
        <v>0</v>
      </c>
      <c r="AR561" s="400" t="str">
        <f>IF(ISBLANK(tabItens[[#This Row],[CÓDIGO]]),"",IFERROR(VLOOKUP(tabItens[[#This Row],[CÓDIGO]],Consumo!$C$2:$AC$862,26,FALSE),0))</f>
        <v>09.2023</v>
      </c>
      <c r="AS561" s="401">
        <f>SUMIF(Consumo!$C$3:$C$862,tabItens[[#This Row],[CÓDIGO]],Consumo!$N$3:$N$862) + SUMIF(Consumo!$C$3:$C$862,tabItens[[#This Row],[CÓDIGO]],Consumo!$O$3:$O$862) + SUMIF(Consumo!$C$3:$C$862,tabItens[[#This Row],[CÓDIGO]],Consumo!$P$3:$P$862) + SUMIF(Consumo!$C$3:$C$862,tabItens[[#This Row],[CÓDIGO]],Consumo!$Q$3:$Q$862)</f>
        <v>40</v>
      </c>
      <c r="AT561" s="401">
        <f>SUMIF(Consumo!$C$3:$C$862,tabItens[[#This Row],[CÓDIGO]],Consumo!$Z$3:$Z$862)</f>
        <v>225</v>
      </c>
      <c r="AU561" s="402">
        <f>SUMIF(Consumo!$C$3:$C$862,tabItens[[#This Row],[CÓDIGO]],Consumo!$AA$3:$AA$862)</f>
        <v>56</v>
      </c>
      <c r="AV561" s="403">
        <f>SUMIF(Consumo!$C$3:$C$862,tabItens[[#This Row],[CÓDIGO]],Consumo!$Y$3:$Y$862)</f>
        <v>18.25</v>
      </c>
      <c r="AW561" s="380">
        <f>tabItens[[#This Row],[QTDE ATUAL]] + tabItens[[#This Row],[RC QTDE]] + tabItens[[#This Row],[AF SALDO]] + tabItens[[#This Row],[Recentes]]</f>
        <v>88</v>
      </c>
      <c r="AX561" s="404">
        <v>34</v>
      </c>
      <c r="AY561" s="404">
        <v>4</v>
      </c>
      <c r="AZ561" s="404">
        <f>IF(ISBLANK(tabItens[[#This Row],[CÓDIGO]]),"",tabItens[[#This Row],[PontoMês]] * (AZ$2+tabItens[[#This Row],[PontoQtM]]))</f>
        <v>136</v>
      </c>
      <c r="BA561" s="403">
        <f>tabItens[[#This Row],[PontoPed]] - tabItens[[#This Row],[Saldo]] + (1/10)</f>
        <v>48.1</v>
      </c>
      <c r="BB561" s="403">
        <f xml:space="preserve"> tabItens[[#This Row],[PontoMês]] * BB$2 - tabItens[[#This Row],[QTDE ATUAL]] - (1/10)</f>
        <v>-54.1</v>
      </c>
      <c r="BC561" s="335">
        <f>IF( tabItens[[#This Row],[PontoPed]]&gt;0, IF(tabItens[[#This Row],[PontoPed]]&lt;1, 1, IF( tabItens[[#This Row],[Saldo]]&gt;tabItens[[#This Row],[PontoPed]], 0, (tabItens[[#This Row],[PontoPed]]-tabItens[[#This Row],[Saldo]])/tabItens[[#This Row],[PontoPed]] ) ), 0 )</f>
        <v>0.35294117647058826</v>
      </c>
      <c r="BD561" s="405">
        <f>ROUNDDOWN(IF( OR( AND(tabItens[[#This Row],[PontoPed]]&lt;tabItens[[#This Row],[Saldo]],tabItens[[#This Row],[Saldo]]&gt;0), tabItens[[#This Row],[PontoPed]]=0), 99, IF(AND(tabItens[[#This Row],[Saldo]]=0,tabItens[[#This Row],[PontoPed]]&gt;0), 0, (1-tabItens[[#This Row],[PctAb]])*10 ) ),0)</f>
        <v>6</v>
      </c>
      <c r="BE561" s="406">
        <f>MAX(ROUNDDOWN( IF(tabItens[[#This Row],[Abaixo]] &gt; 0,   tabItens[[#This Row],[Abaixo]] + (tabItens[[#This Row],[PontoMês]] * IF( OR( ISBLANK(tabItens[[#This Row],[ATA Nº/ANO]]), tabItens[[#This Row],[ATA Nº/ANO]] = ""),BE$2,BE$1)),0),0),0)</f>
        <v>150</v>
      </c>
      <c r="BF56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1" s="338">
        <f>SUMIF(Consumo!$C$3:$C$862,tabItens[[#This Row],[CÓDIGO]],Consumo!$E$3:$E$862)</f>
        <v>0</v>
      </c>
      <c r="BH561" s="339">
        <f>IF(AND(tabItens[[#This Row],[Pend]] &gt; 0,tabItens[[#This Row],[Consumo]] &lt;&gt; 0), tabItens[[#This Row],[Pend]] / tabItens[[#This Row],[Consumo]], 0 )</f>
        <v>0</v>
      </c>
      <c r="BI561" s="338"/>
      <c r="BJ561" s="407"/>
      <c r="BK561" s="408" t="s">
        <v>2086</v>
      </c>
    </row>
    <row r="562" spans="1:63" x14ac:dyDescent="0.3">
      <c r="A562" s="375">
        <v>12891</v>
      </c>
      <c r="B562" s="376" t="s">
        <v>978</v>
      </c>
      <c r="C562" s="377" t="s">
        <v>263</v>
      </c>
      <c r="D562" s="378">
        <v>1.1599999999999999</v>
      </c>
      <c r="E562" s="305"/>
      <c r="F562" s="379"/>
      <c r="G562" s="379" t="s">
        <v>889</v>
      </c>
      <c r="H562" s="380">
        <v>154</v>
      </c>
      <c r="I562" s="307">
        <v>103003</v>
      </c>
      <c r="J562" s="308">
        <v>1.1599999999999999</v>
      </c>
      <c r="K562" s="381">
        <v>62</v>
      </c>
      <c r="L562" s="382">
        <f>IF(tabItens[[#This Row],[Média]] &gt; 0, tabItens[[#This Row],[QTDE ATUAL]] / tabItens[[#This Row],[Média]],999.9)</f>
        <v>27.582089552238809</v>
      </c>
      <c r="M562" s="383">
        <v>0</v>
      </c>
      <c r="N562" s="384">
        <f>tabItens[[#This Row],[VALOR UNIT.]] * tabItens[[#This Row],[LC]]</f>
        <v>0</v>
      </c>
      <c r="O562" s="385" t="s">
        <v>2097</v>
      </c>
      <c r="P562" s="386"/>
      <c r="Q562" s="387"/>
      <c r="R562" s="312"/>
      <c r="S562" s="388"/>
      <c r="T562" s="389">
        <f>ROUNDDOWN(IFERROR(tabItens[[#This Row],[ATA DT.VALID.]] - $D$1,0) / 30,0)</f>
        <v>-1474</v>
      </c>
      <c r="U562" s="302" t="s">
        <v>966</v>
      </c>
      <c r="V562" s="318">
        <v>1</v>
      </c>
      <c r="W562" s="390" t="s">
        <v>2076</v>
      </c>
      <c r="X562" s="391">
        <v>61</v>
      </c>
      <c r="Y562" s="392">
        <v>8</v>
      </c>
      <c r="Z562" s="393"/>
      <c r="AA562" s="394"/>
      <c r="AB562" s="395"/>
      <c r="AC562" s="395"/>
      <c r="AD562" s="394"/>
      <c r="AE562" s="395"/>
      <c r="AF562" s="317"/>
      <c r="AG562" s="396" t="s">
        <v>2072</v>
      </c>
      <c r="AH562" s="397"/>
      <c r="AI562" s="317">
        <v>22</v>
      </c>
      <c r="AJ562" s="397">
        <v>45180</v>
      </c>
      <c r="AK562" s="326" t="s">
        <v>889</v>
      </c>
      <c r="AL562" s="326">
        <v>45145</v>
      </c>
      <c r="AM562" s="316"/>
      <c r="AN562" s="305"/>
      <c r="AO562" s="327" t="str">
        <f>_xlfn.IFNA(IF(VLOOKUP(tabItens[[#This Row],[CÓDIGO]],tabExcluirDoEstoque[#Data],1,FALSE),"sim",""),"")</f>
        <v/>
      </c>
      <c r="AP562" s="398" t="str">
        <f ca="1">IF(OR(ISBLANK(tabItens[[#This Row],[ATA DT.VALID.]]),tabItens[[#This Row],[ATA DT.VALID.]]="",tabItens[[#This Row],[ATA DT.VALID.]]=" "),"",IF(TYPE(tabItens[[#This Row],[ATA DT.VALID.]])=1,ROUNDUP((tabItens[[#This Row],[ATA DT.VALID.]]-TODAY())/7,0),""))</f>
        <v/>
      </c>
      <c r="AQ562" s="399">
        <v>100</v>
      </c>
      <c r="AR562" s="400" t="str">
        <f>IF(ISBLANK(tabItens[[#This Row],[CÓDIGO]]),"",IFERROR(VLOOKUP(tabItens[[#This Row],[CÓDIGO]],Consumo!$C$2:$AC$862,26,FALSE),0))</f>
        <v>05.2023</v>
      </c>
      <c r="AS562" s="401">
        <f>SUMIF(Consumo!$C$3:$C$862,tabItens[[#This Row],[CÓDIGO]],Consumo!$N$3:$N$862) + SUMIF(Consumo!$C$3:$C$862,tabItens[[#This Row],[CÓDIGO]],Consumo!$O$3:$O$862) + SUMIF(Consumo!$C$3:$C$862,tabItens[[#This Row],[CÓDIGO]],Consumo!$P$3:$P$862) + SUMIF(Consumo!$C$3:$C$862,tabItens[[#This Row],[CÓDIGO]],Consumo!$Q$3:$Q$862)</f>
        <v>0</v>
      </c>
      <c r="AT562" s="401">
        <f>SUMIF(Consumo!$C$3:$C$862,tabItens[[#This Row],[CÓDIGO]],Consumo!$Z$3:$Z$862)</f>
        <v>67</v>
      </c>
      <c r="AU562" s="402">
        <f>SUMIF(Consumo!$C$3:$C$862,tabItens[[#This Row],[CÓDIGO]],Consumo!$AA$3:$AA$862)</f>
        <v>15</v>
      </c>
      <c r="AV562" s="403">
        <f>SUMIF(Consumo!$C$3:$C$862,tabItens[[#This Row],[CÓDIGO]],Consumo!$Y$3:$Y$862)</f>
        <v>5.583333333333333</v>
      </c>
      <c r="AW562" s="380">
        <f>tabItens[[#This Row],[QTDE ATUAL]] + tabItens[[#This Row],[RC QTDE]] + tabItens[[#This Row],[AF SALDO]] + tabItens[[#This Row],[Recentes]]</f>
        <v>254</v>
      </c>
      <c r="AX562" s="404">
        <v>17</v>
      </c>
      <c r="AY562" s="404">
        <v>4</v>
      </c>
      <c r="AZ562" s="404">
        <f>IF(ISBLANK(tabItens[[#This Row],[CÓDIGO]]),"",tabItens[[#This Row],[PontoMês]] * (AZ$2+tabItens[[#This Row],[PontoQtM]]))</f>
        <v>68</v>
      </c>
      <c r="BA562" s="403">
        <f>tabItens[[#This Row],[PontoPed]] - tabItens[[#This Row],[Saldo]] + (1/10)</f>
        <v>-185.9</v>
      </c>
      <c r="BB562" s="403">
        <f xml:space="preserve"> tabItens[[#This Row],[PontoMês]] * BB$2 - tabItens[[#This Row],[QTDE ATUAL]] - (1/10)</f>
        <v>-137.1</v>
      </c>
      <c r="BC562" s="335">
        <f>IF( tabItens[[#This Row],[PontoPed]]&gt;0, IF(tabItens[[#This Row],[PontoPed]]&lt;1, 1, IF( tabItens[[#This Row],[Saldo]]&gt;tabItens[[#This Row],[PontoPed]], 0, (tabItens[[#This Row],[PontoPed]]-tabItens[[#This Row],[Saldo]])/tabItens[[#This Row],[PontoPed]] ) ), 0 )</f>
        <v>0</v>
      </c>
      <c r="BD562" s="405">
        <f>ROUNDDOWN(IF( OR( AND(tabItens[[#This Row],[PontoPed]]&lt;tabItens[[#This Row],[Saldo]],tabItens[[#This Row],[Saldo]]&gt;0), tabItens[[#This Row],[PontoPed]]=0), 99, IF(AND(tabItens[[#This Row],[Saldo]]=0,tabItens[[#This Row],[PontoPed]]&gt;0), 0, (1-tabItens[[#This Row],[PctAb]])*10 ) ),0)</f>
        <v>99</v>
      </c>
      <c r="BE562" s="406">
        <f>MAX(ROUNDDOWN( IF(tabItens[[#This Row],[Abaixo]] &gt; 0,   tabItens[[#This Row],[Abaixo]] + (tabItens[[#This Row],[PontoMês]] * IF( OR( ISBLANK(tabItens[[#This Row],[ATA Nº/ANO]]), tabItens[[#This Row],[ATA Nº/ANO]] = ""),BE$2,BE$1)),0),0),0)</f>
        <v>0</v>
      </c>
      <c r="BF56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2" s="338">
        <f>SUMIF(Consumo!$C$3:$C$862,tabItens[[#This Row],[CÓDIGO]],Consumo!$E$3:$E$862)</f>
        <v>0</v>
      </c>
      <c r="BH562" s="339">
        <f>IF(AND(tabItens[[#This Row],[Pend]] &gt; 0,tabItens[[#This Row],[Consumo]] &lt;&gt; 0), tabItens[[#This Row],[Pend]] / tabItens[[#This Row],[Consumo]], 0 )</f>
        <v>0</v>
      </c>
      <c r="BI562" s="338"/>
      <c r="BJ562" s="407"/>
      <c r="BK562" s="408" t="s">
        <v>2086</v>
      </c>
    </row>
    <row r="563" spans="1:63" x14ac:dyDescent="0.3">
      <c r="A563" s="375">
        <v>25523</v>
      </c>
      <c r="B563" s="376" t="s">
        <v>1205</v>
      </c>
      <c r="C563" s="377" t="s">
        <v>263</v>
      </c>
      <c r="D563" s="378">
        <v>5.57</v>
      </c>
      <c r="E563" s="305"/>
      <c r="F563" s="379"/>
      <c r="G563" s="379" t="s">
        <v>889</v>
      </c>
      <c r="H563" s="380">
        <v>692</v>
      </c>
      <c r="I563" s="307">
        <v>103003</v>
      </c>
      <c r="J563" s="308">
        <v>5.57</v>
      </c>
      <c r="K563" s="381">
        <v>239</v>
      </c>
      <c r="L563" s="382">
        <f>IF(tabItens[[#This Row],[Média]] &gt; 0, tabItens[[#This Row],[QTDE ATUAL]] / tabItens[[#This Row],[Média]],999.9)</f>
        <v>31.101123595505619</v>
      </c>
      <c r="M563" s="383">
        <v>0</v>
      </c>
      <c r="N563" s="384">
        <f>tabItens[[#This Row],[VALOR UNIT.]] * tabItens[[#This Row],[LC]]</f>
        <v>0</v>
      </c>
      <c r="O563" s="385" t="s">
        <v>2097</v>
      </c>
      <c r="P563" s="386"/>
      <c r="Q563" s="387"/>
      <c r="R563" s="312"/>
      <c r="S563" s="388"/>
      <c r="T563" s="389">
        <f>ROUNDDOWN(IFERROR(tabItens[[#This Row],[ATA DT.VALID.]] - $D$1,0) / 30,0)</f>
        <v>-1474</v>
      </c>
      <c r="U563" s="302" t="s">
        <v>966</v>
      </c>
      <c r="V563" s="318">
        <v>1</v>
      </c>
      <c r="W563" s="390" t="s">
        <v>2076</v>
      </c>
      <c r="X563" s="391">
        <v>61</v>
      </c>
      <c r="Y563" s="392">
        <v>8</v>
      </c>
      <c r="Z563" s="393"/>
      <c r="AA563" s="394"/>
      <c r="AB563" s="395"/>
      <c r="AC563" s="395"/>
      <c r="AD563" s="394"/>
      <c r="AE563" s="395"/>
      <c r="AF563" s="317"/>
      <c r="AG563" s="396" t="s">
        <v>2072</v>
      </c>
      <c r="AH563" s="397"/>
      <c r="AI563" s="317">
        <v>90</v>
      </c>
      <c r="AJ563" s="397">
        <v>43903</v>
      </c>
      <c r="AK563" s="326" t="s">
        <v>889</v>
      </c>
      <c r="AL563" s="326">
        <v>44533</v>
      </c>
      <c r="AM563" s="316"/>
      <c r="AN563" s="305"/>
      <c r="AO563" s="327" t="str">
        <f>_xlfn.IFNA(IF(VLOOKUP(tabItens[[#This Row],[CÓDIGO]],tabExcluirDoEstoque[#Data],1,FALSE),"sim",""),"")</f>
        <v/>
      </c>
      <c r="AP563" s="398" t="str">
        <f ca="1">IF(OR(ISBLANK(tabItens[[#This Row],[ATA DT.VALID.]]),tabItens[[#This Row],[ATA DT.VALID.]]="",tabItens[[#This Row],[ATA DT.VALID.]]=" "),"",IF(TYPE(tabItens[[#This Row],[ATA DT.VALID.]])=1,ROUNDUP((tabItens[[#This Row],[ATA DT.VALID.]]-TODAY())/7,0),""))</f>
        <v/>
      </c>
      <c r="AQ563" s="399">
        <v>0</v>
      </c>
      <c r="AR563" s="400" t="str">
        <f>IF(ISBLANK(tabItens[[#This Row],[CÓDIGO]]),"",IFERROR(VLOOKUP(tabItens[[#This Row],[CÓDIGO]],Consumo!$C$2:$AC$862,26,FALSE),0))</f>
        <v>09.2023</v>
      </c>
      <c r="AS563" s="401">
        <f>SUMIF(Consumo!$C$3:$C$862,tabItens[[#This Row],[CÓDIGO]],Consumo!$N$3:$N$862) + SUMIF(Consumo!$C$3:$C$862,tabItens[[#This Row],[CÓDIGO]],Consumo!$O$3:$O$862) + SUMIF(Consumo!$C$3:$C$862,tabItens[[#This Row],[CÓDIGO]],Consumo!$P$3:$P$862) + SUMIF(Consumo!$C$3:$C$862,tabItens[[#This Row],[CÓDIGO]],Consumo!$Q$3:$Q$862)</f>
        <v>50</v>
      </c>
      <c r="AT563" s="401">
        <f>SUMIF(Consumo!$C$3:$C$862,tabItens[[#This Row],[CÓDIGO]],Consumo!$Z$3:$Z$862)</f>
        <v>271</v>
      </c>
      <c r="AU563" s="402">
        <f>SUMIF(Consumo!$C$3:$C$862,tabItens[[#This Row],[CÓDIGO]],Consumo!$AA$3:$AA$862)</f>
        <v>71</v>
      </c>
      <c r="AV563" s="403">
        <f>SUMIF(Consumo!$C$3:$C$862,tabItens[[#This Row],[CÓDIGO]],Consumo!$Y$3:$Y$862)</f>
        <v>22.25</v>
      </c>
      <c r="AW563" s="380">
        <f>tabItens[[#This Row],[QTDE ATUAL]] + tabItens[[#This Row],[RC QTDE]] + tabItens[[#This Row],[AF SALDO]] + tabItens[[#This Row],[Recentes]]</f>
        <v>692</v>
      </c>
      <c r="AX563" s="404">
        <v>17</v>
      </c>
      <c r="AY563" s="404">
        <v>4</v>
      </c>
      <c r="AZ563" s="404">
        <f>IF(ISBLANK(tabItens[[#This Row],[CÓDIGO]]),"",tabItens[[#This Row],[PontoMês]] * (AZ$2+tabItens[[#This Row],[PontoQtM]]))</f>
        <v>68</v>
      </c>
      <c r="BA563" s="403">
        <f>tabItens[[#This Row],[PontoPed]] - tabItens[[#This Row],[Saldo]] + (1/10)</f>
        <v>-623.9</v>
      </c>
      <c r="BB563" s="403">
        <f xml:space="preserve"> tabItens[[#This Row],[PontoMês]] * BB$2 - tabItens[[#This Row],[QTDE ATUAL]] - (1/10)</f>
        <v>-675.1</v>
      </c>
      <c r="BC563" s="335">
        <f>IF( tabItens[[#This Row],[PontoPed]]&gt;0, IF(tabItens[[#This Row],[PontoPed]]&lt;1, 1, IF( tabItens[[#This Row],[Saldo]]&gt;tabItens[[#This Row],[PontoPed]], 0, (tabItens[[#This Row],[PontoPed]]-tabItens[[#This Row],[Saldo]])/tabItens[[#This Row],[PontoPed]] ) ), 0 )</f>
        <v>0</v>
      </c>
      <c r="BD563" s="405">
        <f>ROUNDDOWN(IF( OR( AND(tabItens[[#This Row],[PontoPed]]&lt;tabItens[[#This Row],[Saldo]],tabItens[[#This Row],[Saldo]]&gt;0), tabItens[[#This Row],[PontoPed]]=0), 99, IF(AND(tabItens[[#This Row],[Saldo]]=0,tabItens[[#This Row],[PontoPed]]&gt;0), 0, (1-tabItens[[#This Row],[PctAb]])*10 ) ),0)</f>
        <v>99</v>
      </c>
      <c r="BE563" s="406">
        <f>MAX(ROUNDDOWN( IF(tabItens[[#This Row],[Abaixo]] &gt; 0,   tabItens[[#This Row],[Abaixo]] + (tabItens[[#This Row],[PontoMês]] * IF( OR( ISBLANK(tabItens[[#This Row],[ATA Nº/ANO]]), tabItens[[#This Row],[ATA Nº/ANO]] = ""),BE$2,BE$1)),0),0),0)</f>
        <v>0</v>
      </c>
      <c r="BF56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3" s="338">
        <f>SUMIF(Consumo!$C$3:$C$862,tabItens[[#This Row],[CÓDIGO]],Consumo!$E$3:$E$862)</f>
        <v>0</v>
      </c>
      <c r="BH563" s="339">
        <f>IF(AND(tabItens[[#This Row],[Pend]] &gt; 0,tabItens[[#This Row],[Consumo]] &lt;&gt; 0), tabItens[[#This Row],[Pend]] / tabItens[[#This Row],[Consumo]], 0 )</f>
        <v>0</v>
      </c>
      <c r="BI563" s="338"/>
      <c r="BJ563" s="407"/>
      <c r="BK563" s="408" t="s">
        <v>2086</v>
      </c>
    </row>
    <row r="564" spans="1:63" x14ac:dyDescent="0.3">
      <c r="A564" s="375">
        <v>28184</v>
      </c>
      <c r="B564" s="376" t="s">
        <v>1232</v>
      </c>
      <c r="C564" s="377" t="s">
        <v>263</v>
      </c>
      <c r="D564" s="378">
        <v>1.95</v>
      </c>
      <c r="E564" s="305"/>
      <c r="F564" s="379"/>
      <c r="G564" s="379" t="s">
        <v>889</v>
      </c>
      <c r="H564" s="380">
        <v>380</v>
      </c>
      <c r="I564" s="307">
        <v>103003</v>
      </c>
      <c r="J564" s="308">
        <v>1.95</v>
      </c>
      <c r="K564" s="381">
        <v>111</v>
      </c>
      <c r="L564" s="382">
        <f>IF(tabItens[[#This Row],[Média]] &gt; 0, tabItens[[#This Row],[QTDE ATUAL]] / tabItens[[#This Row],[Média]],999.9)</f>
        <v>40.714285714285708</v>
      </c>
      <c r="M564" s="383">
        <v>0</v>
      </c>
      <c r="N564" s="384">
        <f>tabItens[[#This Row],[VALOR UNIT.]] * tabItens[[#This Row],[LC]]</f>
        <v>0</v>
      </c>
      <c r="O564" s="385" t="s">
        <v>2097</v>
      </c>
      <c r="P564" s="386"/>
      <c r="Q564" s="387"/>
      <c r="R564" s="312"/>
      <c r="S564" s="388"/>
      <c r="T564" s="389">
        <f>ROUNDDOWN(IFERROR(tabItens[[#This Row],[ATA DT.VALID.]] - $D$1,0) / 30,0)</f>
        <v>-1474</v>
      </c>
      <c r="U564" s="302" t="s">
        <v>966</v>
      </c>
      <c r="V564" s="318">
        <v>1</v>
      </c>
      <c r="W564" s="390" t="s">
        <v>2076</v>
      </c>
      <c r="X564" s="391">
        <v>61</v>
      </c>
      <c r="Y564" s="392">
        <v>8</v>
      </c>
      <c r="Z564" s="393"/>
      <c r="AA564" s="394"/>
      <c r="AB564" s="395"/>
      <c r="AC564" s="395"/>
      <c r="AD564" s="394"/>
      <c r="AE564" s="395"/>
      <c r="AF564" s="317"/>
      <c r="AG564" s="396" t="s">
        <v>2072</v>
      </c>
      <c r="AH564" s="397"/>
      <c r="AI564" s="317">
        <v>52</v>
      </c>
      <c r="AJ564" s="397">
        <v>44823</v>
      </c>
      <c r="AK564" s="326" t="s">
        <v>889</v>
      </c>
      <c r="AL564" s="326">
        <v>44776</v>
      </c>
      <c r="AM564" s="316"/>
      <c r="AN564" s="305"/>
      <c r="AO564" s="327" t="str">
        <f>_xlfn.IFNA(IF(VLOOKUP(tabItens[[#This Row],[CÓDIGO]],tabExcluirDoEstoque[#Data],1,FALSE),"sim",""),"")</f>
        <v/>
      </c>
      <c r="AP564" s="398" t="str">
        <f ca="1">IF(OR(ISBLANK(tabItens[[#This Row],[ATA DT.VALID.]]),tabItens[[#This Row],[ATA DT.VALID.]]="",tabItens[[#This Row],[ATA DT.VALID.]]=" "),"",IF(TYPE(tabItens[[#This Row],[ATA DT.VALID.]])=1,ROUNDUP((tabItens[[#This Row],[ATA DT.VALID.]]-TODAY())/7,0),""))</f>
        <v/>
      </c>
      <c r="AQ564" s="399">
        <v>460</v>
      </c>
      <c r="AR564" s="400" t="str">
        <f>IF(ISBLANK(tabItens[[#This Row],[CÓDIGO]]),"",IFERROR(VLOOKUP(tabItens[[#This Row],[CÓDIGO]],Consumo!$C$2:$AC$862,26,FALSE),0))</f>
        <v>04.2023</v>
      </c>
      <c r="AS564" s="401">
        <f>SUMIF(Consumo!$C$3:$C$862,tabItens[[#This Row],[CÓDIGO]],Consumo!$N$3:$N$862) + SUMIF(Consumo!$C$3:$C$862,tabItens[[#This Row],[CÓDIGO]],Consumo!$O$3:$O$862) + SUMIF(Consumo!$C$3:$C$862,tabItens[[#This Row],[CÓDIGO]],Consumo!$P$3:$P$862) + SUMIF(Consumo!$C$3:$C$862,tabItens[[#This Row],[CÓDIGO]],Consumo!$Q$3:$Q$862)</f>
        <v>0</v>
      </c>
      <c r="AT564" s="401">
        <f>SUMIF(Consumo!$C$3:$C$862,tabItens[[#This Row],[CÓDIGO]],Consumo!$Z$3:$Z$862)</f>
        <v>117</v>
      </c>
      <c r="AU564" s="402">
        <f>SUMIF(Consumo!$C$3:$C$862,tabItens[[#This Row],[CÓDIGO]],Consumo!$AA$3:$AA$862)</f>
        <v>38</v>
      </c>
      <c r="AV564" s="403">
        <f>SUMIF(Consumo!$C$3:$C$862,tabItens[[#This Row],[CÓDIGO]],Consumo!$Y$3:$Y$862)</f>
        <v>9.3333333333333339</v>
      </c>
      <c r="AW564" s="380">
        <f>tabItens[[#This Row],[QTDE ATUAL]] + tabItens[[#This Row],[RC QTDE]] + tabItens[[#This Row],[AF SALDO]] + tabItens[[#This Row],[Recentes]]</f>
        <v>840</v>
      </c>
      <c r="AX564" s="404">
        <v>13</v>
      </c>
      <c r="AY564" s="404">
        <v>4</v>
      </c>
      <c r="AZ564" s="404">
        <f>IF(ISBLANK(tabItens[[#This Row],[CÓDIGO]]),"",tabItens[[#This Row],[PontoMês]] * (AZ$2+tabItens[[#This Row],[PontoQtM]]))</f>
        <v>52</v>
      </c>
      <c r="BA564" s="403">
        <f>tabItens[[#This Row],[PontoPed]] - tabItens[[#This Row],[Saldo]] + (1/10)</f>
        <v>-787.9</v>
      </c>
      <c r="BB564" s="403">
        <f xml:space="preserve"> tabItens[[#This Row],[PontoMês]] * BB$2 - tabItens[[#This Row],[QTDE ATUAL]] - (1/10)</f>
        <v>-367.1</v>
      </c>
      <c r="BC564" s="335">
        <f>IF( tabItens[[#This Row],[PontoPed]]&gt;0, IF(tabItens[[#This Row],[PontoPed]]&lt;1, 1, IF( tabItens[[#This Row],[Saldo]]&gt;tabItens[[#This Row],[PontoPed]], 0, (tabItens[[#This Row],[PontoPed]]-tabItens[[#This Row],[Saldo]])/tabItens[[#This Row],[PontoPed]] ) ), 0 )</f>
        <v>0</v>
      </c>
      <c r="BD564" s="405">
        <f>ROUNDDOWN(IF( OR( AND(tabItens[[#This Row],[PontoPed]]&lt;tabItens[[#This Row],[Saldo]],tabItens[[#This Row],[Saldo]]&gt;0), tabItens[[#This Row],[PontoPed]]=0), 99, IF(AND(tabItens[[#This Row],[Saldo]]=0,tabItens[[#This Row],[PontoPed]]&gt;0), 0, (1-tabItens[[#This Row],[PctAb]])*10 ) ),0)</f>
        <v>99</v>
      </c>
      <c r="BE564" s="406">
        <f>MAX(ROUNDDOWN( IF(tabItens[[#This Row],[Abaixo]] &gt; 0,   tabItens[[#This Row],[Abaixo]] + (tabItens[[#This Row],[PontoMês]] * IF( OR( ISBLANK(tabItens[[#This Row],[ATA Nº/ANO]]), tabItens[[#This Row],[ATA Nº/ANO]] = ""),BE$2,BE$1)),0),0),0)</f>
        <v>0</v>
      </c>
      <c r="BF56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4" s="338">
        <f>SUMIF(Consumo!$C$3:$C$862,tabItens[[#This Row],[CÓDIGO]],Consumo!$E$3:$E$862)</f>
        <v>0</v>
      </c>
      <c r="BH564" s="339">
        <f>IF(AND(tabItens[[#This Row],[Pend]] &gt; 0,tabItens[[#This Row],[Consumo]] &lt;&gt; 0), tabItens[[#This Row],[Pend]] / tabItens[[#This Row],[Consumo]], 0 )</f>
        <v>0</v>
      </c>
      <c r="BI564" s="338"/>
      <c r="BJ564" s="407"/>
      <c r="BK564" s="408" t="s">
        <v>2086</v>
      </c>
    </row>
    <row r="565" spans="1:63" x14ac:dyDescent="0.3">
      <c r="A565" s="375">
        <v>59097</v>
      </c>
      <c r="B565" s="376" t="s">
        <v>1344</v>
      </c>
      <c r="C565" s="377" t="s">
        <v>345</v>
      </c>
      <c r="D565" s="378">
        <v>139</v>
      </c>
      <c r="E565" s="305"/>
      <c r="F565" s="379"/>
      <c r="G565" s="379" t="s">
        <v>889</v>
      </c>
      <c r="H565" s="380">
        <v>0</v>
      </c>
      <c r="I565" s="307">
        <v>103003</v>
      </c>
      <c r="J565" s="308">
        <v>139</v>
      </c>
      <c r="K565" s="381">
        <v>61</v>
      </c>
      <c r="L565" s="382">
        <f>IF(tabItens[[#This Row],[Média]] &gt; 0, tabItens[[#This Row],[QTDE ATUAL]] / tabItens[[#This Row],[Média]],999.9)</f>
        <v>0</v>
      </c>
      <c r="M565" s="383">
        <v>0</v>
      </c>
      <c r="N565" s="384">
        <f>tabItens[[#This Row],[VALOR UNIT.]] * tabItens[[#This Row],[LC]]</f>
        <v>0</v>
      </c>
      <c r="O565" s="385" t="s">
        <v>2097</v>
      </c>
      <c r="P565" s="386"/>
      <c r="Q565" s="387"/>
      <c r="R565" s="312"/>
      <c r="S565" s="388"/>
      <c r="T565" s="389">
        <f>ROUNDDOWN(IFERROR(tabItens[[#This Row],[ATA DT.VALID.]] - $D$1,0) / 30,0)</f>
        <v>-1474</v>
      </c>
      <c r="U565" s="302" t="s">
        <v>966</v>
      </c>
      <c r="V565" s="318">
        <v>1</v>
      </c>
      <c r="W565" s="390" t="s">
        <v>2076</v>
      </c>
      <c r="X565" s="391">
        <v>61</v>
      </c>
      <c r="Y565" s="392">
        <v>8</v>
      </c>
      <c r="Z565" s="393"/>
      <c r="AA565" s="394"/>
      <c r="AB565" s="395"/>
      <c r="AC565" s="395">
        <v>9656</v>
      </c>
      <c r="AD565" s="394">
        <v>2023</v>
      </c>
      <c r="AE565" s="395">
        <v>0</v>
      </c>
      <c r="AF565" s="317">
        <v>100</v>
      </c>
      <c r="AG565" s="396" t="s">
        <v>2055</v>
      </c>
      <c r="AH565" s="397">
        <v>45162</v>
      </c>
      <c r="AI565" s="317">
        <v>22</v>
      </c>
      <c r="AJ565" s="397">
        <v>44950</v>
      </c>
      <c r="AK565" s="326" t="s">
        <v>889</v>
      </c>
      <c r="AL565" s="326">
        <v>45145</v>
      </c>
      <c r="AM565" s="316"/>
      <c r="AN565" s="305"/>
      <c r="AO565" s="327" t="str">
        <f>_xlfn.IFNA(IF(VLOOKUP(tabItens[[#This Row],[CÓDIGO]],tabExcluirDoEstoque[#Data],1,FALSE),"sim",""),"")</f>
        <v/>
      </c>
      <c r="AP565" s="398" t="str">
        <f ca="1">IF(OR(ISBLANK(tabItens[[#This Row],[ATA DT.VALID.]]),tabItens[[#This Row],[ATA DT.VALID.]]="",tabItens[[#This Row],[ATA DT.VALID.]]=" "),"",IF(TYPE(tabItens[[#This Row],[ATA DT.VALID.]])=1,ROUNDUP((tabItens[[#This Row],[ATA DT.VALID.]]-TODAY())/7,0),""))</f>
        <v/>
      </c>
      <c r="AQ565" s="399">
        <v>0</v>
      </c>
      <c r="AR565" s="400" t="str">
        <f>IF(ISBLANK(tabItens[[#This Row],[CÓDIGO]]),"",IFERROR(VLOOKUP(tabItens[[#This Row],[CÓDIGO]],Consumo!$C$2:$AC$862,26,FALSE),0))</f>
        <v>05.2023</v>
      </c>
      <c r="AS565" s="401">
        <f>SUMIF(Consumo!$C$3:$C$862,tabItens[[#This Row],[CÓDIGO]],Consumo!$N$3:$N$862) + SUMIF(Consumo!$C$3:$C$862,tabItens[[#This Row],[CÓDIGO]],Consumo!$O$3:$O$862) + SUMIF(Consumo!$C$3:$C$862,tabItens[[#This Row],[CÓDIGO]],Consumo!$P$3:$P$862) + SUMIF(Consumo!$C$3:$C$862,tabItens[[#This Row],[CÓDIGO]],Consumo!$Q$3:$Q$862)</f>
        <v>0</v>
      </c>
      <c r="AT565" s="401">
        <f>SUMIF(Consumo!$C$3:$C$862,tabItens[[#This Row],[CÓDIGO]],Consumo!$Z$3:$Z$862)</f>
        <v>68</v>
      </c>
      <c r="AU565" s="402">
        <f>SUMIF(Consumo!$C$3:$C$862,tabItens[[#This Row],[CÓDIGO]],Consumo!$AA$3:$AA$862)</f>
        <v>24</v>
      </c>
      <c r="AV565" s="403">
        <f>SUMIF(Consumo!$C$3:$C$862,tabItens[[#This Row],[CÓDIGO]],Consumo!$Y$3:$Y$862)</f>
        <v>5.333333333333333</v>
      </c>
      <c r="AW565" s="380">
        <f>tabItens[[#This Row],[QTDE ATUAL]] + tabItens[[#This Row],[RC QTDE]] + tabItens[[#This Row],[AF SALDO]] + tabItens[[#This Row],[Recentes]]</f>
        <v>0</v>
      </c>
      <c r="AX565" s="404">
        <v>9</v>
      </c>
      <c r="AY565" s="404">
        <v>4</v>
      </c>
      <c r="AZ565" s="404">
        <f>IF(ISBLANK(tabItens[[#This Row],[CÓDIGO]]),"",tabItens[[#This Row],[PontoMês]] * (AZ$2+tabItens[[#This Row],[PontoQtM]]))</f>
        <v>36</v>
      </c>
      <c r="BA565" s="403">
        <f>tabItens[[#This Row],[PontoPed]] - tabItens[[#This Row],[Saldo]] + (1/10)</f>
        <v>36.1</v>
      </c>
      <c r="BB565" s="403">
        <f xml:space="preserve"> tabItens[[#This Row],[PontoMês]] * BB$2 - tabItens[[#This Row],[QTDE ATUAL]] - (1/10)</f>
        <v>8.9</v>
      </c>
      <c r="BC565" s="335">
        <f>IF( tabItens[[#This Row],[PontoPed]]&gt;0, IF(tabItens[[#This Row],[PontoPed]]&lt;1, 1, IF( tabItens[[#This Row],[Saldo]]&gt;tabItens[[#This Row],[PontoPed]], 0, (tabItens[[#This Row],[PontoPed]]-tabItens[[#This Row],[Saldo]])/tabItens[[#This Row],[PontoPed]] ) ), 0 )</f>
        <v>1</v>
      </c>
      <c r="BD565" s="405">
        <f>ROUNDDOWN(IF( OR( AND(tabItens[[#This Row],[PontoPed]]&lt;tabItens[[#This Row],[Saldo]],tabItens[[#This Row],[Saldo]]&gt;0), tabItens[[#This Row],[PontoPed]]=0), 99, IF(AND(tabItens[[#This Row],[Saldo]]=0,tabItens[[#This Row],[PontoPed]]&gt;0), 0, (1-tabItens[[#This Row],[PctAb]])*10 ) ),0)</f>
        <v>0</v>
      </c>
      <c r="BE565" s="406">
        <f>MAX(ROUNDDOWN( IF(tabItens[[#This Row],[Abaixo]] &gt; 0,   tabItens[[#This Row],[Abaixo]] + (tabItens[[#This Row],[PontoMês]] * IF( OR( ISBLANK(tabItens[[#This Row],[ATA Nº/ANO]]), tabItens[[#This Row],[ATA Nº/ANO]] = ""),BE$2,BE$1)),0),0),0)</f>
        <v>63</v>
      </c>
      <c r="BF56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5" s="338">
        <f>SUMIF(Consumo!$C$3:$C$862,tabItens[[#This Row],[CÓDIGO]],Consumo!$E$3:$E$862)</f>
        <v>5</v>
      </c>
      <c r="BH565" s="339">
        <f>IF(AND(tabItens[[#This Row],[Pend]] &gt; 0,tabItens[[#This Row],[Consumo]] &lt;&gt; 0), tabItens[[#This Row],[Pend]] / tabItens[[#This Row],[Consumo]], 0 )</f>
        <v>7.3529411764705885E-2</v>
      </c>
      <c r="BI565" s="338"/>
      <c r="BJ565" s="407"/>
      <c r="BK565" s="408" t="s">
        <v>2086</v>
      </c>
    </row>
    <row r="566" spans="1:63" x14ac:dyDescent="0.3">
      <c r="A566" s="375">
        <v>64636</v>
      </c>
      <c r="B566" s="376" t="s">
        <v>1386</v>
      </c>
      <c r="C566" s="377" t="s">
        <v>263</v>
      </c>
      <c r="D566" s="378">
        <v>4.5</v>
      </c>
      <c r="E566" s="305"/>
      <c r="F566" s="379"/>
      <c r="G566" s="379" t="s">
        <v>889</v>
      </c>
      <c r="H566" s="380">
        <v>41</v>
      </c>
      <c r="I566" s="307">
        <v>103003</v>
      </c>
      <c r="J566" s="308">
        <v>4.5</v>
      </c>
      <c r="K566" s="381">
        <v>51</v>
      </c>
      <c r="L566" s="382">
        <f>IF(tabItens[[#This Row],[Média]] &gt; 0, tabItens[[#This Row],[QTDE ATUAL]] / tabItens[[#This Row],[Média]],999.9)</f>
        <v>9.84</v>
      </c>
      <c r="M566" s="383">
        <v>0</v>
      </c>
      <c r="N566" s="384">
        <f>tabItens[[#This Row],[VALOR UNIT.]] * tabItens[[#This Row],[LC]]</f>
        <v>0</v>
      </c>
      <c r="O566" s="385" t="s">
        <v>2097</v>
      </c>
      <c r="P566" s="386"/>
      <c r="Q566" s="387"/>
      <c r="R566" s="312"/>
      <c r="S566" s="388"/>
      <c r="T566" s="389">
        <f>ROUNDDOWN(IFERROR(tabItens[[#This Row],[ATA DT.VALID.]] - $D$1,0) / 30,0)</f>
        <v>-1474</v>
      </c>
      <c r="U566" s="302" t="s">
        <v>966</v>
      </c>
      <c r="V566" s="318">
        <v>1</v>
      </c>
      <c r="W566" s="390" t="s">
        <v>2076</v>
      </c>
      <c r="X566" s="391">
        <v>61</v>
      </c>
      <c r="Y566" s="392">
        <v>8</v>
      </c>
      <c r="Z566" s="393"/>
      <c r="AA566" s="394"/>
      <c r="AB566" s="395"/>
      <c r="AC566" s="395"/>
      <c r="AD566" s="394"/>
      <c r="AE566" s="395"/>
      <c r="AF566" s="317"/>
      <c r="AG566" s="396" t="s">
        <v>2072</v>
      </c>
      <c r="AH566" s="397"/>
      <c r="AI566" s="317">
        <v>18</v>
      </c>
      <c r="AJ566" s="397">
        <v>45160</v>
      </c>
      <c r="AK566" s="326" t="s">
        <v>889</v>
      </c>
      <c r="AL566" s="326">
        <v>45145</v>
      </c>
      <c r="AM566" s="316"/>
      <c r="AN566" s="305"/>
      <c r="AO566" s="327" t="str">
        <f>_xlfn.IFNA(IF(VLOOKUP(tabItens[[#This Row],[CÓDIGO]],tabExcluirDoEstoque[#Data],1,FALSE),"sim",""),"")</f>
        <v/>
      </c>
      <c r="AP566" s="398" t="str">
        <f ca="1">IF(OR(ISBLANK(tabItens[[#This Row],[ATA DT.VALID.]]),tabItens[[#This Row],[ATA DT.VALID.]]="",tabItens[[#This Row],[ATA DT.VALID.]]=" "),"",IF(TYPE(tabItens[[#This Row],[ATA DT.VALID.]])=1,ROUNDUP((tabItens[[#This Row],[ATA DT.VALID.]]-TODAY())/7,0),""))</f>
        <v/>
      </c>
      <c r="AQ566" s="399">
        <v>0</v>
      </c>
      <c r="AR566" s="400" t="str">
        <f>IF(ISBLANK(tabItens[[#This Row],[CÓDIGO]]),"",IFERROR(VLOOKUP(tabItens[[#This Row],[CÓDIGO]],Consumo!$C$2:$AC$862,26,FALSE),0))</f>
        <v>04.2023</v>
      </c>
      <c r="AS566" s="401">
        <f>SUMIF(Consumo!$C$3:$C$862,tabItens[[#This Row],[CÓDIGO]],Consumo!$N$3:$N$862) + SUMIF(Consumo!$C$3:$C$862,tabItens[[#This Row],[CÓDIGO]],Consumo!$O$3:$O$862) + SUMIF(Consumo!$C$3:$C$862,tabItens[[#This Row],[CÓDIGO]],Consumo!$P$3:$P$862) + SUMIF(Consumo!$C$3:$C$862,tabItens[[#This Row],[CÓDIGO]],Consumo!$Q$3:$Q$862)</f>
        <v>0</v>
      </c>
      <c r="AT566" s="401">
        <f>SUMIF(Consumo!$C$3:$C$862,tabItens[[#This Row],[CÓDIGO]],Consumo!$Z$3:$Z$862)</f>
        <v>54</v>
      </c>
      <c r="AU566" s="402">
        <f>SUMIF(Consumo!$C$3:$C$862,tabItens[[#This Row],[CÓDIGO]],Consumo!$AA$3:$AA$862)</f>
        <v>20</v>
      </c>
      <c r="AV566" s="403">
        <f>SUMIF(Consumo!$C$3:$C$862,tabItens[[#This Row],[CÓDIGO]],Consumo!$Y$3:$Y$862)</f>
        <v>4.166666666666667</v>
      </c>
      <c r="AW566" s="380">
        <f>tabItens[[#This Row],[QTDE ATUAL]] + tabItens[[#This Row],[RC QTDE]] + tabItens[[#This Row],[AF SALDO]] + tabItens[[#This Row],[Recentes]]</f>
        <v>41</v>
      </c>
      <c r="AX566" s="404">
        <v>9</v>
      </c>
      <c r="AY566" s="404">
        <v>4</v>
      </c>
      <c r="AZ566" s="404">
        <f>IF(ISBLANK(tabItens[[#This Row],[CÓDIGO]]),"",tabItens[[#This Row],[PontoMês]] * (AZ$2+tabItens[[#This Row],[PontoQtM]]))</f>
        <v>36</v>
      </c>
      <c r="BA566" s="403">
        <f>tabItens[[#This Row],[PontoPed]] - tabItens[[#This Row],[Saldo]] + (1/10)</f>
        <v>-4.9000000000000004</v>
      </c>
      <c r="BB566" s="403">
        <f xml:space="preserve"> tabItens[[#This Row],[PontoMês]] * BB$2 - tabItens[[#This Row],[QTDE ATUAL]] - (1/10)</f>
        <v>-32.1</v>
      </c>
      <c r="BC566" s="335">
        <f>IF( tabItens[[#This Row],[PontoPed]]&gt;0, IF(tabItens[[#This Row],[PontoPed]]&lt;1, 1, IF( tabItens[[#This Row],[Saldo]]&gt;tabItens[[#This Row],[PontoPed]], 0, (tabItens[[#This Row],[PontoPed]]-tabItens[[#This Row],[Saldo]])/tabItens[[#This Row],[PontoPed]] ) ), 0 )</f>
        <v>0</v>
      </c>
      <c r="BD566" s="405">
        <f>ROUNDDOWN(IF( OR( AND(tabItens[[#This Row],[PontoPed]]&lt;tabItens[[#This Row],[Saldo]],tabItens[[#This Row],[Saldo]]&gt;0), tabItens[[#This Row],[PontoPed]]=0), 99, IF(AND(tabItens[[#This Row],[Saldo]]=0,tabItens[[#This Row],[PontoPed]]&gt;0), 0, (1-tabItens[[#This Row],[PctAb]])*10 ) ),0)</f>
        <v>99</v>
      </c>
      <c r="BE566" s="406">
        <f>MAX(ROUNDDOWN( IF(tabItens[[#This Row],[Abaixo]] &gt; 0,   tabItens[[#This Row],[Abaixo]] + (tabItens[[#This Row],[PontoMês]] * IF( OR( ISBLANK(tabItens[[#This Row],[ATA Nº/ANO]]), tabItens[[#This Row],[ATA Nº/ANO]] = ""),BE$2,BE$1)),0),0),0)</f>
        <v>0</v>
      </c>
      <c r="BF56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6" s="338">
        <f>SUMIF(Consumo!$C$3:$C$862,tabItens[[#This Row],[CÓDIGO]],Consumo!$E$3:$E$862)</f>
        <v>0</v>
      </c>
      <c r="BH566" s="339">
        <f>IF(AND(tabItens[[#This Row],[Pend]] &gt; 0,tabItens[[#This Row],[Consumo]] &lt;&gt; 0), tabItens[[#This Row],[Pend]] / tabItens[[#This Row],[Consumo]], 0 )</f>
        <v>0</v>
      </c>
      <c r="BI566" s="338"/>
      <c r="BJ566" s="407"/>
      <c r="BK566" s="408" t="s">
        <v>2086</v>
      </c>
    </row>
    <row r="567" spans="1:63" x14ac:dyDescent="0.3">
      <c r="A567" s="375">
        <v>64647</v>
      </c>
      <c r="B567" s="376" t="s">
        <v>1388</v>
      </c>
      <c r="C567" s="377" t="s">
        <v>263</v>
      </c>
      <c r="D567" s="378">
        <v>20.8</v>
      </c>
      <c r="E567" s="305"/>
      <c r="F567" s="379"/>
      <c r="G567" s="379" t="s">
        <v>889</v>
      </c>
      <c r="H567" s="380">
        <v>18</v>
      </c>
      <c r="I567" s="307">
        <v>103003</v>
      </c>
      <c r="J567" s="308">
        <v>20.8</v>
      </c>
      <c r="K567" s="381"/>
      <c r="L567" s="382">
        <f>IF(tabItens[[#This Row],[Média]] &gt; 0, tabItens[[#This Row],[QTDE ATUAL]] / tabItens[[#This Row],[Média]],999.9)</f>
        <v>999.9</v>
      </c>
      <c r="M567" s="383">
        <v>0</v>
      </c>
      <c r="N567" s="384">
        <f>tabItens[[#This Row],[VALOR UNIT.]] * tabItens[[#This Row],[LC]]</f>
        <v>0</v>
      </c>
      <c r="O567" s="385" t="s">
        <v>2097</v>
      </c>
      <c r="P567" s="386"/>
      <c r="Q567" s="387"/>
      <c r="R567" s="312"/>
      <c r="S567" s="388"/>
      <c r="T567" s="389">
        <f>ROUNDDOWN(IFERROR(tabItens[[#This Row],[ATA DT.VALID.]] - $D$1,0) / 30,0)</f>
        <v>-1474</v>
      </c>
      <c r="U567" s="302" t="s">
        <v>966</v>
      </c>
      <c r="V567" s="318">
        <v>1</v>
      </c>
      <c r="W567" s="390" t="s">
        <v>2076</v>
      </c>
      <c r="X567" s="391">
        <v>61</v>
      </c>
      <c r="Y567" s="392">
        <v>8</v>
      </c>
      <c r="Z567" s="393"/>
      <c r="AA567" s="394"/>
      <c r="AB567" s="395"/>
      <c r="AC567" s="395"/>
      <c r="AD567" s="394"/>
      <c r="AE567" s="395"/>
      <c r="AF567" s="317"/>
      <c r="AG567" s="396" t="s">
        <v>2072</v>
      </c>
      <c r="AH567" s="397"/>
      <c r="AI567" s="317">
        <v>0</v>
      </c>
      <c r="AJ567" s="397">
        <v>40688</v>
      </c>
      <c r="AK567" s="326" t="s">
        <v>889</v>
      </c>
      <c r="AL567" s="326">
        <v>43725</v>
      </c>
      <c r="AM567" s="316"/>
      <c r="AN567" s="305"/>
      <c r="AO567" s="327" t="str">
        <f>_xlfn.IFNA(IF(VLOOKUP(tabItens[[#This Row],[CÓDIGO]],tabExcluirDoEstoque[#Data],1,FALSE),"sim",""),"")</f>
        <v/>
      </c>
      <c r="AP567" s="398" t="str">
        <f ca="1">IF(OR(ISBLANK(tabItens[[#This Row],[ATA DT.VALID.]]),tabItens[[#This Row],[ATA DT.VALID.]]="",tabItens[[#This Row],[ATA DT.VALID.]]=" "),"",IF(TYPE(tabItens[[#This Row],[ATA DT.VALID.]])=1,ROUNDUP((tabItens[[#This Row],[ATA DT.VALID.]]-TODAY())/7,0),""))</f>
        <v/>
      </c>
      <c r="AQ567" s="399">
        <v>0</v>
      </c>
      <c r="AR567" s="400">
        <f>IF(ISBLANK(tabItens[[#This Row],[CÓDIGO]]),"",IFERROR(VLOOKUP(tabItens[[#This Row],[CÓDIGO]],Consumo!$C$2:$AC$862,26,FALSE),0))</f>
        <v>0</v>
      </c>
      <c r="AS567" s="401">
        <f>SUMIF(Consumo!$C$3:$C$862,tabItens[[#This Row],[CÓDIGO]],Consumo!$N$3:$N$862) + SUMIF(Consumo!$C$3:$C$862,tabItens[[#This Row],[CÓDIGO]],Consumo!$O$3:$O$862) + SUMIF(Consumo!$C$3:$C$862,tabItens[[#This Row],[CÓDIGO]],Consumo!$P$3:$P$862) + SUMIF(Consumo!$C$3:$C$862,tabItens[[#This Row],[CÓDIGO]],Consumo!$Q$3:$Q$862)</f>
        <v>0</v>
      </c>
      <c r="AT567" s="401">
        <f>SUMIF(Consumo!$C$3:$C$862,tabItens[[#This Row],[CÓDIGO]],Consumo!$Z$3:$Z$862)</f>
        <v>0</v>
      </c>
      <c r="AU567" s="402">
        <f>SUMIF(Consumo!$C$3:$C$862,tabItens[[#This Row],[CÓDIGO]],Consumo!$AA$3:$AA$862)</f>
        <v>0</v>
      </c>
      <c r="AV567" s="403">
        <f>SUMIF(Consumo!$C$3:$C$862,tabItens[[#This Row],[CÓDIGO]],Consumo!$Y$3:$Y$862)</f>
        <v>0</v>
      </c>
      <c r="AW567" s="380">
        <f>tabItens[[#This Row],[QTDE ATUAL]] + tabItens[[#This Row],[RC QTDE]] + tabItens[[#This Row],[AF SALDO]] + tabItens[[#This Row],[Recentes]]</f>
        <v>18</v>
      </c>
      <c r="AX567" s="404">
        <v>4</v>
      </c>
      <c r="AY567" s="404">
        <v>4</v>
      </c>
      <c r="AZ567" s="404">
        <f>IF(ISBLANK(tabItens[[#This Row],[CÓDIGO]]),"",tabItens[[#This Row],[PontoMês]] * (AZ$2+tabItens[[#This Row],[PontoQtM]]))</f>
        <v>16</v>
      </c>
      <c r="BA567" s="403">
        <f>tabItens[[#This Row],[PontoPed]] - tabItens[[#This Row],[Saldo]] + (1/10)</f>
        <v>-1.9</v>
      </c>
      <c r="BB567" s="403">
        <f xml:space="preserve"> tabItens[[#This Row],[PontoMês]] * BB$2 - tabItens[[#This Row],[QTDE ATUAL]] - (1/10)</f>
        <v>-14.1</v>
      </c>
      <c r="BC567" s="335">
        <f>IF( tabItens[[#This Row],[PontoPed]]&gt;0, IF(tabItens[[#This Row],[PontoPed]]&lt;1, 1, IF( tabItens[[#This Row],[Saldo]]&gt;tabItens[[#This Row],[PontoPed]], 0, (tabItens[[#This Row],[PontoPed]]-tabItens[[#This Row],[Saldo]])/tabItens[[#This Row],[PontoPed]] ) ), 0 )</f>
        <v>0</v>
      </c>
      <c r="BD567" s="405">
        <f>ROUNDDOWN(IF( OR( AND(tabItens[[#This Row],[PontoPed]]&lt;tabItens[[#This Row],[Saldo]],tabItens[[#This Row],[Saldo]]&gt;0), tabItens[[#This Row],[PontoPed]]=0), 99, IF(AND(tabItens[[#This Row],[Saldo]]=0,tabItens[[#This Row],[PontoPed]]&gt;0), 0, (1-tabItens[[#This Row],[PctAb]])*10 ) ),0)</f>
        <v>99</v>
      </c>
      <c r="BE567" s="406">
        <f>MAX(ROUNDDOWN( IF(tabItens[[#This Row],[Abaixo]] &gt; 0,   tabItens[[#This Row],[Abaixo]] + (tabItens[[#This Row],[PontoMês]] * IF( OR( ISBLANK(tabItens[[#This Row],[ATA Nº/ANO]]), tabItens[[#This Row],[ATA Nº/ANO]] = ""),BE$2,BE$1)),0),0),0)</f>
        <v>0</v>
      </c>
      <c r="BF56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7" s="338">
        <f>SUMIF(Consumo!$C$3:$C$862,tabItens[[#This Row],[CÓDIGO]],Consumo!$E$3:$E$862)</f>
        <v>0</v>
      </c>
      <c r="BH567" s="339">
        <f>IF(AND(tabItens[[#This Row],[Pend]] &gt; 0,tabItens[[#This Row],[Consumo]] &lt;&gt; 0), tabItens[[#This Row],[Pend]] / tabItens[[#This Row],[Consumo]], 0 )</f>
        <v>0</v>
      </c>
      <c r="BI567" s="338"/>
      <c r="BJ567" s="407"/>
      <c r="BK567" s="408" t="s">
        <v>2086</v>
      </c>
    </row>
    <row r="568" spans="1:63" x14ac:dyDescent="0.3">
      <c r="A568" s="375">
        <v>74979</v>
      </c>
      <c r="B568" s="376" t="s">
        <v>1415</v>
      </c>
      <c r="C568" s="377" t="s">
        <v>263</v>
      </c>
      <c r="D568" s="378">
        <v>28.49</v>
      </c>
      <c r="E568" s="305"/>
      <c r="F568" s="379"/>
      <c r="G568" s="379" t="s">
        <v>889</v>
      </c>
      <c r="H568" s="380">
        <v>169</v>
      </c>
      <c r="I568" s="307">
        <v>103003</v>
      </c>
      <c r="J568" s="308">
        <v>28.49</v>
      </c>
      <c r="K568" s="381">
        <v>56</v>
      </c>
      <c r="L568" s="382">
        <f>IF(tabItens[[#This Row],[Média]] &gt; 0, tabItens[[#This Row],[QTDE ATUAL]] / tabItens[[#This Row],[Média]],999.9)</f>
        <v>37.555555555555557</v>
      </c>
      <c r="M568" s="383">
        <v>0</v>
      </c>
      <c r="N568" s="384">
        <f>tabItens[[#This Row],[VALOR UNIT.]] * tabItens[[#This Row],[LC]]</f>
        <v>0</v>
      </c>
      <c r="O568" s="385" t="s">
        <v>2097</v>
      </c>
      <c r="P568" s="386"/>
      <c r="Q568" s="387"/>
      <c r="R568" s="312"/>
      <c r="S568" s="388"/>
      <c r="T568" s="389">
        <f>ROUNDDOWN(IFERROR(tabItens[[#This Row],[ATA DT.VALID.]] - $D$1,0) / 30,0)</f>
        <v>-1474</v>
      </c>
      <c r="U568" s="302" t="s">
        <v>966</v>
      </c>
      <c r="V568" s="318">
        <v>1</v>
      </c>
      <c r="W568" s="390" t="s">
        <v>2076</v>
      </c>
      <c r="X568" s="391">
        <v>61</v>
      </c>
      <c r="Y568" s="392">
        <v>8</v>
      </c>
      <c r="Z568" s="393"/>
      <c r="AA568" s="394"/>
      <c r="AB568" s="395"/>
      <c r="AC568" s="395"/>
      <c r="AD568" s="394"/>
      <c r="AE568" s="395"/>
      <c r="AF568" s="317"/>
      <c r="AG568" s="396" t="s">
        <v>2072</v>
      </c>
      <c r="AH568" s="397"/>
      <c r="AI568" s="317">
        <v>20</v>
      </c>
      <c r="AJ568" s="397">
        <v>44573</v>
      </c>
      <c r="AK568" s="326">
        <v>37847</v>
      </c>
      <c r="AL568" s="326">
        <v>44522</v>
      </c>
      <c r="AM568" s="316"/>
      <c r="AN568" s="305"/>
      <c r="AO568" s="327" t="str">
        <f>_xlfn.IFNA(IF(VLOOKUP(tabItens[[#This Row],[CÓDIGO]],tabExcluirDoEstoque[#Data],1,FALSE),"sim",""),"")</f>
        <v/>
      </c>
      <c r="AP568" s="398" t="str">
        <f ca="1">IF(OR(ISBLANK(tabItens[[#This Row],[ATA DT.VALID.]]),tabItens[[#This Row],[ATA DT.VALID.]]="",tabItens[[#This Row],[ATA DT.VALID.]]=" "),"",IF(TYPE(tabItens[[#This Row],[ATA DT.VALID.]])=1,ROUNDUP((tabItens[[#This Row],[ATA DT.VALID.]]-TODAY())/7,0),""))</f>
        <v/>
      </c>
      <c r="AQ568" s="399">
        <v>0</v>
      </c>
      <c r="AR568" s="400" t="str">
        <f>IF(ISBLANK(tabItens[[#This Row],[CÓDIGO]]),"",IFERROR(VLOOKUP(tabItens[[#This Row],[CÓDIGO]],Consumo!$C$2:$AC$862,26,FALSE),0))</f>
        <v>09.2023</v>
      </c>
      <c r="AS568" s="401">
        <f>SUMIF(Consumo!$C$3:$C$862,tabItens[[#This Row],[CÓDIGO]],Consumo!$N$3:$N$862) + SUMIF(Consumo!$C$3:$C$862,tabItens[[#This Row],[CÓDIGO]],Consumo!$O$3:$O$862) + SUMIF(Consumo!$C$3:$C$862,tabItens[[#This Row],[CÓDIGO]],Consumo!$P$3:$P$862) + SUMIF(Consumo!$C$3:$C$862,tabItens[[#This Row],[CÓDIGO]],Consumo!$Q$3:$Q$862)</f>
        <v>30</v>
      </c>
      <c r="AT568" s="401">
        <f>SUMIF(Consumo!$C$3:$C$862,tabItens[[#This Row],[CÓDIGO]],Consumo!$Z$3:$Z$862)</f>
        <v>57</v>
      </c>
      <c r="AU568" s="402">
        <f>SUMIF(Consumo!$C$3:$C$862,tabItens[[#This Row],[CÓDIGO]],Consumo!$AA$3:$AA$862)</f>
        <v>20</v>
      </c>
      <c r="AV568" s="403">
        <f>SUMIF(Consumo!$C$3:$C$862,tabItens[[#This Row],[CÓDIGO]],Consumo!$Y$3:$Y$862)</f>
        <v>4.5</v>
      </c>
      <c r="AW568" s="380">
        <f>tabItens[[#This Row],[QTDE ATUAL]] + tabItens[[#This Row],[RC QTDE]] + tabItens[[#This Row],[AF SALDO]] + tabItens[[#This Row],[Recentes]]</f>
        <v>169</v>
      </c>
      <c r="AX568" s="404">
        <v>13</v>
      </c>
      <c r="AY568" s="404">
        <v>4</v>
      </c>
      <c r="AZ568" s="404">
        <f>IF(ISBLANK(tabItens[[#This Row],[CÓDIGO]]),"",tabItens[[#This Row],[PontoMês]] * (AZ$2+tabItens[[#This Row],[PontoQtM]]))</f>
        <v>52</v>
      </c>
      <c r="BA568" s="403">
        <f>tabItens[[#This Row],[PontoPed]] - tabItens[[#This Row],[Saldo]] + (1/10)</f>
        <v>-116.9</v>
      </c>
      <c r="BB568" s="403">
        <f xml:space="preserve"> tabItens[[#This Row],[PontoMês]] * BB$2 - tabItens[[#This Row],[QTDE ATUAL]] - (1/10)</f>
        <v>-156.1</v>
      </c>
      <c r="BC568" s="335">
        <f>IF( tabItens[[#This Row],[PontoPed]]&gt;0, IF(tabItens[[#This Row],[PontoPed]]&lt;1, 1, IF( tabItens[[#This Row],[Saldo]]&gt;tabItens[[#This Row],[PontoPed]], 0, (tabItens[[#This Row],[PontoPed]]-tabItens[[#This Row],[Saldo]])/tabItens[[#This Row],[PontoPed]] ) ), 0 )</f>
        <v>0</v>
      </c>
      <c r="BD568" s="405">
        <f>ROUNDDOWN(IF( OR( AND(tabItens[[#This Row],[PontoPed]]&lt;tabItens[[#This Row],[Saldo]],tabItens[[#This Row],[Saldo]]&gt;0), tabItens[[#This Row],[PontoPed]]=0), 99, IF(AND(tabItens[[#This Row],[Saldo]]=0,tabItens[[#This Row],[PontoPed]]&gt;0), 0, (1-tabItens[[#This Row],[PctAb]])*10 ) ),0)</f>
        <v>99</v>
      </c>
      <c r="BE568" s="406">
        <f>MAX(ROUNDDOWN( IF(tabItens[[#This Row],[Abaixo]] &gt; 0,   tabItens[[#This Row],[Abaixo]] + (tabItens[[#This Row],[PontoMês]] * IF( OR( ISBLANK(tabItens[[#This Row],[ATA Nº/ANO]]), tabItens[[#This Row],[ATA Nº/ANO]] = ""),BE$2,BE$1)),0),0),0)</f>
        <v>0</v>
      </c>
      <c r="BF56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8" s="338">
        <f>SUMIF(Consumo!$C$3:$C$862,tabItens[[#This Row],[CÓDIGO]],Consumo!$E$3:$E$862)</f>
        <v>0</v>
      </c>
      <c r="BH568" s="339">
        <f>IF(AND(tabItens[[#This Row],[Pend]] &gt; 0,tabItens[[#This Row],[Consumo]] &lt;&gt; 0), tabItens[[#This Row],[Pend]] / tabItens[[#This Row],[Consumo]], 0 )</f>
        <v>0</v>
      </c>
      <c r="BI568" s="338"/>
      <c r="BJ568" s="407"/>
      <c r="BK568" s="408" t="s">
        <v>2086</v>
      </c>
    </row>
    <row r="569" spans="1:63" x14ac:dyDescent="0.3">
      <c r="A569" s="375">
        <v>125173</v>
      </c>
      <c r="B569" s="376" t="s">
        <v>1766</v>
      </c>
      <c r="C569" s="377" t="s">
        <v>31</v>
      </c>
      <c r="D569" s="378">
        <v>2.37</v>
      </c>
      <c r="E569" s="305"/>
      <c r="F569" s="379"/>
      <c r="G569" s="379" t="s">
        <v>889</v>
      </c>
      <c r="H569" s="380">
        <v>185</v>
      </c>
      <c r="I569" s="307">
        <v>103003</v>
      </c>
      <c r="J569" s="308">
        <v>2.37</v>
      </c>
      <c r="K569" s="381">
        <v>47</v>
      </c>
      <c r="L569" s="382">
        <f>IF(tabItens[[#This Row],[Média]] &gt; 0, tabItens[[#This Row],[QTDE ATUAL]] / tabItens[[#This Row],[Média]],999.9)</f>
        <v>46.25</v>
      </c>
      <c r="M569" s="383">
        <v>0</v>
      </c>
      <c r="N569" s="384">
        <f>tabItens[[#This Row],[VALOR UNIT.]] * tabItens[[#This Row],[LC]]</f>
        <v>0</v>
      </c>
      <c r="O569" s="385" t="s">
        <v>2097</v>
      </c>
      <c r="P569" s="386"/>
      <c r="Q569" s="387"/>
      <c r="R569" s="312"/>
      <c r="S569" s="388"/>
      <c r="T569" s="389">
        <f>ROUNDDOWN(IFERROR(tabItens[[#This Row],[ATA DT.VALID.]] - $D$1,0) / 30,0)</f>
        <v>-1474</v>
      </c>
      <c r="U569" s="302" t="s">
        <v>966</v>
      </c>
      <c r="V569" s="318">
        <v>1</v>
      </c>
      <c r="W569" s="390" t="s">
        <v>2076</v>
      </c>
      <c r="X569" s="391">
        <v>61</v>
      </c>
      <c r="Y569" s="392">
        <v>8</v>
      </c>
      <c r="Z569" s="393"/>
      <c r="AA569" s="394"/>
      <c r="AB569" s="395"/>
      <c r="AC569" s="395"/>
      <c r="AD569" s="394"/>
      <c r="AE569" s="395"/>
      <c r="AF569" s="317"/>
      <c r="AG569" s="396" t="s">
        <v>2072</v>
      </c>
      <c r="AH569" s="397"/>
      <c r="AI569" s="317">
        <v>16</v>
      </c>
      <c r="AJ569" s="397">
        <v>44526</v>
      </c>
      <c r="AK569" s="326">
        <v>41345</v>
      </c>
      <c r="AL569" s="326">
        <v>45096</v>
      </c>
      <c r="AM569" s="316"/>
      <c r="AN569" s="305"/>
      <c r="AO569" s="327" t="str">
        <f>_xlfn.IFNA(IF(VLOOKUP(tabItens[[#This Row],[CÓDIGO]],tabExcluirDoEstoque[#Data],1,FALSE),"sim",""),"")</f>
        <v/>
      </c>
      <c r="AP569" s="398" t="str">
        <f ca="1">IF(OR(ISBLANK(tabItens[[#This Row],[ATA DT.VALID.]]),tabItens[[#This Row],[ATA DT.VALID.]]="",tabItens[[#This Row],[ATA DT.VALID.]]=" "),"",IF(TYPE(tabItens[[#This Row],[ATA DT.VALID.]])=1,ROUNDUP((tabItens[[#This Row],[ATA DT.VALID.]]-TODAY())/7,0),""))</f>
        <v/>
      </c>
      <c r="AQ569" s="399">
        <v>0</v>
      </c>
      <c r="AR569" s="400" t="str">
        <f>IF(ISBLANK(tabItens[[#This Row],[CÓDIGO]]),"",IFERROR(VLOOKUP(tabItens[[#This Row],[CÓDIGO]],Consumo!$C$2:$AC$862,26,FALSE),0))</f>
        <v>09.2023</v>
      </c>
      <c r="AS569" s="401">
        <f>SUMIF(Consumo!$C$3:$C$862,tabItens[[#This Row],[CÓDIGO]],Consumo!$N$3:$N$862) + SUMIF(Consumo!$C$3:$C$862,tabItens[[#This Row],[CÓDIGO]],Consumo!$O$3:$O$862) + SUMIF(Consumo!$C$3:$C$862,tabItens[[#This Row],[CÓDIGO]],Consumo!$P$3:$P$862) + SUMIF(Consumo!$C$3:$C$862,tabItens[[#This Row],[CÓDIGO]],Consumo!$Q$3:$Q$862)</f>
        <v>15</v>
      </c>
      <c r="AT569" s="401">
        <f>SUMIF(Consumo!$C$3:$C$862,tabItens[[#This Row],[CÓDIGO]],Consumo!$Z$3:$Z$862)</f>
        <v>50</v>
      </c>
      <c r="AU569" s="402">
        <f>SUMIF(Consumo!$C$3:$C$862,tabItens[[#This Row],[CÓDIGO]],Consumo!$AA$3:$AA$862)</f>
        <v>17</v>
      </c>
      <c r="AV569" s="403">
        <f>SUMIF(Consumo!$C$3:$C$862,tabItens[[#This Row],[CÓDIGO]],Consumo!$Y$3:$Y$862)</f>
        <v>4</v>
      </c>
      <c r="AW569" s="380">
        <f>tabItens[[#This Row],[QTDE ATUAL]] + tabItens[[#This Row],[RC QTDE]] + tabItens[[#This Row],[AF SALDO]] + tabItens[[#This Row],[Recentes]]</f>
        <v>185</v>
      </c>
      <c r="AX569" s="404">
        <v>9</v>
      </c>
      <c r="AY569" s="404">
        <v>4</v>
      </c>
      <c r="AZ569" s="404">
        <f>IF(ISBLANK(tabItens[[#This Row],[CÓDIGO]]),"",tabItens[[#This Row],[PontoMês]] * (AZ$2+tabItens[[#This Row],[PontoQtM]]))</f>
        <v>36</v>
      </c>
      <c r="BA569" s="403">
        <f>tabItens[[#This Row],[PontoPed]] - tabItens[[#This Row],[Saldo]] + (1/10)</f>
        <v>-148.9</v>
      </c>
      <c r="BB569" s="403">
        <f xml:space="preserve"> tabItens[[#This Row],[PontoMês]] * BB$2 - tabItens[[#This Row],[QTDE ATUAL]] - (1/10)</f>
        <v>-176.1</v>
      </c>
      <c r="BC569" s="335">
        <f>IF( tabItens[[#This Row],[PontoPed]]&gt;0, IF(tabItens[[#This Row],[PontoPed]]&lt;1, 1, IF( tabItens[[#This Row],[Saldo]]&gt;tabItens[[#This Row],[PontoPed]], 0, (tabItens[[#This Row],[PontoPed]]-tabItens[[#This Row],[Saldo]])/tabItens[[#This Row],[PontoPed]] ) ), 0 )</f>
        <v>0</v>
      </c>
      <c r="BD569" s="405">
        <f>ROUNDDOWN(IF( OR( AND(tabItens[[#This Row],[PontoPed]]&lt;tabItens[[#This Row],[Saldo]],tabItens[[#This Row],[Saldo]]&gt;0), tabItens[[#This Row],[PontoPed]]=0), 99, IF(AND(tabItens[[#This Row],[Saldo]]=0,tabItens[[#This Row],[PontoPed]]&gt;0), 0, (1-tabItens[[#This Row],[PctAb]])*10 ) ),0)</f>
        <v>99</v>
      </c>
      <c r="BE569" s="406">
        <f>MAX(ROUNDDOWN( IF(tabItens[[#This Row],[Abaixo]] &gt; 0,   tabItens[[#This Row],[Abaixo]] + (tabItens[[#This Row],[PontoMês]] * IF( OR( ISBLANK(tabItens[[#This Row],[ATA Nº/ANO]]), tabItens[[#This Row],[ATA Nº/ANO]] = ""),BE$2,BE$1)),0),0),0)</f>
        <v>0</v>
      </c>
      <c r="BF56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9" s="338">
        <f>SUMIF(Consumo!$C$3:$C$862,tabItens[[#This Row],[CÓDIGO]],Consumo!$E$3:$E$862)</f>
        <v>0</v>
      </c>
      <c r="BH569" s="339">
        <f>IF(AND(tabItens[[#This Row],[Pend]] &gt; 0,tabItens[[#This Row],[Consumo]] &lt;&gt; 0), tabItens[[#This Row],[Pend]] / tabItens[[#This Row],[Consumo]], 0 )</f>
        <v>0</v>
      </c>
      <c r="BI569" s="338"/>
      <c r="BJ569" s="407"/>
      <c r="BK569" s="408" t="s">
        <v>2086</v>
      </c>
    </row>
    <row r="570" spans="1:63" x14ac:dyDescent="0.3">
      <c r="A570" s="375">
        <v>135300</v>
      </c>
      <c r="B570" s="376" t="s">
        <v>1912</v>
      </c>
      <c r="C570" s="377" t="s">
        <v>263</v>
      </c>
      <c r="D570" s="378">
        <v>3</v>
      </c>
      <c r="E570" s="305"/>
      <c r="F570" s="379"/>
      <c r="G570" s="379" t="s">
        <v>889</v>
      </c>
      <c r="H570" s="380">
        <v>323</v>
      </c>
      <c r="I570" s="307">
        <v>103003</v>
      </c>
      <c r="J570" s="308">
        <v>3</v>
      </c>
      <c r="K570" s="381">
        <v>82</v>
      </c>
      <c r="L570" s="382">
        <f>IF(tabItens[[#This Row],[Média]] &gt; 0, tabItens[[#This Row],[QTDE ATUAL]] / tabItens[[#This Row],[Média]],999.9)</f>
        <v>40.799999999999997</v>
      </c>
      <c r="M570" s="383">
        <v>0</v>
      </c>
      <c r="N570" s="384">
        <f>tabItens[[#This Row],[VALOR UNIT.]] * tabItens[[#This Row],[LC]]</f>
        <v>0</v>
      </c>
      <c r="O570" s="385" t="s">
        <v>2097</v>
      </c>
      <c r="P570" s="386"/>
      <c r="Q570" s="387"/>
      <c r="R570" s="312"/>
      <c r="S570" s="388"/>
      <c r="T570" s="389">
        <f>ROUNDDOWN(IFERROR(tabItens[[#This Row],[ATA DT.VALID.]] - $D$1,0) / 30,0)</f>
        <v>-1474</v>
      </c>
      <c r="U570" s="302" t="s">
        <v>966</v>
      </c>
      <c r="V570" s="318">
        <v>1</v>
      </c>
      <c r="W570" s="390" t="s">
        <v>2076</v>
      </c>
      <c r="X570" s="391">
        <v>61</v>
      </c>
      <c r="Y570" s="392">
        <v>8</v>
      </c>
      <c r="Z570" s="393"/>
      <c r="AA570" s="394"/>
      <c r="AB570" s="395"/>
      <c r="AC570" s="395"/>
      <c r="AD570" s="394"/>
      <c r="AE570" s="395"/>
      <c r="AF570" s="317"/>
      <c r="AG570" s="396" t="s">
        <v>2072</v>
      </c>
      <c r="AH570" s="397"/>
      <c r="AI570" s="317">
        <v>32</v>
      </c>
      <c r="AJ570" s="397">
        <v>45160</v>
      </c>
      <c r="AK570" s="326">
        <v>43277</v>
      </c>
      <c r="AL570" s="326">
        <v>45145</v>
      </c>
      <c r="AM570" s="316"/>
      <c r="AN570" s="305"/>
      <c r="AO570" s="327" t="str">
        <f>_xlfn.IFNA(IF(VLOOKUP(tabItens[[#This Row],[CÓDIGO]],tabExcluirDoEstoque[#Data],1,FALSE),"sim",""),"")</f>
        <v/>
      </c>
      <c r="AP570" s="398" t="str">
        <f ca="1">IF(OR(ISBLANK(tabItens[[#This Row],[ATA DT.VALID.]]),tabItens[[#This Row],[ATA DT.VALID.]]="",tabItens[[#This Row],[ATA DT.VALID.]]=" "),"",IF(TYPE(tabItens[[#This Row],[ATA DT.VALID.]])=1,ROUNDUP((tabItens[[#This Row],[ATA DT.VALID.]]-TODAY())/7,0),""))</f>
        <v/>
      </c>
      <c r="AQ570" s="399">
        <v>0</v>
      </c>
      <c r="AR570" s="400" t="str">
        <f>IF(ISBLANK(tabItens[[#This Row],[CÓDIGO]]),"",IFERROR(VLOOKUP(tabItens[[#This Row],[CÓDIGO]],Consumo!$C$2:$AC$862,26,FALSE),0))</f>
        <v>09.2023</v>
      </c>
      <c r="AS570" s="401">
        <f>SUMIF(Consumo!$C$3:$C$862,tabItens[[#This Row],[CÓDIGO]],Consumo!$N$3:$N$862) + SUMIF(Consumo!$C$3:$C$862,tabItens[[#This Row],[CÓDIGO]],Consumo!$O$3:$O$862) + SUMIF(Consumo!$C$3:$C$862,tabItens[[#This Row],[CÓDIGO]],Consumo!$P$3:$P$862) + SUMIF(Consumo!$C$3:$C$862,tabItens[[#This Row],[CÓDIGO]],Consumo!$Q$3:$Q$862)</f>
        <v>10</v>
      </c>
      <c r="AT570" s="401">
        <f>SUMIF(Consumo!$C$3:$C$862,tabItens[[#This Row],[CÓDIGO]],Consumo!$Z$3:$Z$862)</f>
        <v>95</v>
      </c>
      <c r="AU570" s="402">
        <f>SUMIF(Consumo!$C$3:$C$862,tabItens[[#This Row],[CÓDIGO]],Consumo!$AA$3:$AA$862)</f>
        <v>18</v>
      </c>
      <c r="AV570" s="403">
        <f>SUMIF(Consumo!$C$3:$C$862,tabItens[[#This Row],[CÓDIGO]],Consumo!$Y$3:$Y$862)</f>
        <v>7.916666666666667</v>
      </c>
      <c r="AW570" s="380">
        <f>tabItens[[#This Row],[QTDE ATUAL]] + tabItens[[#This Row],[RC QTDE]] + tabItens[[#This Row],[AF SALDO]] + tabItens[[#This Row],[Recentes]]</f>
        <v>323</v>
      </c>
      <c r="AX570" s="404">
        <v>7</v>
      </c>
      <c r="AY570" s="404">
        <v>4</v>
      </c>
      <c r="AZ570" s="404">
        <f>IF(ISBLANK(tabItens[[#This Row],[CÓDIGO]]),"",tabItens[[#This Row],[PontoMês]] * (AZ$2+tabItens[[#This Row],[PontoQtM]]))</f>
        <v>28</v>
      </c>
      <c r="BA570" s="403">
        <f>tabItens[[#This Row],[PontoPed]] - tabItens[[#This Row],[Saldo]] + (1/10)</f>
        <v>-294.89999999999998</v>
      </c>
      <c r="BB570" s="403">
        <f xml:space="preserve"> tabItens[[#This Row],[PontoMês]] * BB$2 - tabItens[[#This Row],[QTDE ATUAL]] - (1/10)</f>
        <v>-316.10000000000002</v>
      </c>
      <c r="BC570" s="335">
        <f>IF( tabItens[[#This Row],[PontoPed]]&gt;0, IF(tabItens[[#This Row],[PontoPed]]&lt;1, 1, IF( tabItens[[#This Row],[Saldo]]&gt;tabItens[[#This Row],[PontoPed]], 0, (tabItens[[#This Row],[PontoPed]]-tabItens[[#This Row],[Saldo]])/tabItens[[#This Row],[PontoPed]] ) ), 0 )</f>
        <v>0</v>
      </c>
      <c r="BD570" s="405">
        <f>ROUNDDOWN(IF( OR( AND(tabItens[[#This Row],[PontoPed]]&lt;tabItens[[#This Row],[Saldo]],tabItens[[#This Row],[Saldo]]&gt;0), tabItens[[#This Row],[PontoPed]]=0), 99, IF(AND(tabItens[[#This Row],[Saldo]]=0,tabItens[[#This Row],[PontoPed]]&gt;0), 0, (1-tabItens[[#This Row],[PctAb]])*10 ) ),0)</f>
        <v>99</v>
      </c>
      <c r="BE570" s="406">
        <f>MAX(ROUNDDOWN( IF(tabItens[[#This Row],[Abaixo]] &gt; 0,   tabItens[[#This Row],[Abaixo]] + (tabItens[[#This Row],[PontoMês]] * IF( OR( ISBLANK(tabItens[[#This Row],[ATA Nº/ANO]]), tabItens[[#This Row],[ATA Nº/ANO]] = ""),BE$2,BE$1)),0),0),0)</f>
        <v>0</v>
      </c>
      <c r="BF57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0" s="338">
        <f>SUMIF(Consumo!$C$3:$C$862,tabItens[[#This Row],[CÓDIGO]],Consumo!$E$3:$E$862)</f>
        <v>0</v>
      </c>
      <c r="BH570" s="339">
        <f>IF(AND(tabItens[[#This Row],[Pend]] &gt; 0,tabItens[[#This Row],[Consumo]] &lt;&gt; 0), tabItens[[#This Row],[Pend]] / tabItens[[#This Row],[Consumo]], 0 )</f>
        <v>0</v>
      </c>
      <c r="BI570" s="338"/>
      <c r="BJ570" s="407"/>
      <c r="BK570" s="408" t="s">
        <v>2086</v>
      </c>
    </row>
    <row r="571" spans="1:63" x14ac:dyDescent="0.3">
      <c r="A571" s="375">
        <v>135301</v>
      </c>
      <c r="B571" s="376" t="s">
        <v>1913</v>
      </c>
      <c r="C571" s="377" t="s">
        <v>263</v>
      </c>
      <c r="D571" s="378">
        <v>4.29</v>
      </c>
      <c r="E571" s="305"/>
      <c r="F571" s="379"/>
      <c r="G571" s="379" t="s">
        <v>889</v>
      </c>
      <c r="H571" s="380">
        <v>345</v>
      </c>
      <c r="I571" s="307">
        <v>103003</v>
      </c>
      <c r="J571" s="308">
        <v>4.29</v>
      </c>
      <c r="K571" s="381">
        <v>153</v>
      </c>
      <c r="L571" s="382">
        <f>IF(tabItens[[#This Row],[Média]] &gt; 0, tabItens[[#This Row],[QTDE ATUAL]] / tabItens[[#This Row],[Média]],999.9)</f>
        <v>22.622950819672131</v>
      </c>
      <c r="M571" s="383">
        <v>0</v>
      </c>
      <c r="N571" s="384">
        <f>tabItens[[#This Row],[VALOR UNIT.]] * tabItens[[#This Row],[LC]]</f>
        <v>0</v>
      </c>
      <c r="O571" s="385" t="s">
        <v>2097</v>
      </c>
      <c r="P571" s="386"/>
      <c r="Q571" s="387"/>
      <c r="R571" s="312"/>
      <c r="S571" s="388"/>
      <c r="T571" s="389">
        <f>ROUNDDOWN(IFERROR(tabItens[[#This Row],[ATA DT.VALID.]] - $D$1,0) / 30,0)</f>
        <v>-1474</v>
      </c>
      <c r="U571" s="302" t="s">
        <v>966</v>
      </c>
      <c r="V571" s="318">
        <v>1</v>
      </c>
      <c r="W571" s="390" t="s">
        <v>2076</v>
      </c>
      <c r="X571" s="391">
        <v>61</v>
      </c>
      <c r="Y571" s="392">
        <v>8</v>
      </c>
      <c r="Z571" s="393"/>
      <c r="AA571" s="394"/>
      <c r="AB571" s="395"/>
      <c r="AC571" s="395"/>
      <c r="AD571" s="394"/>
      <c r="AE571" s="395"/>
      <c r="AF571" s="317"/>
      <c r="AG571" s="396" t="s">
        <v>2072</v>
      </c>
      <c r="AH571" s="397"/>
      <c r="AI571" s="317">
        <v>62</v>
      </c>
      <c r="AJ571" s="397">
        <v>45180</v>
      </c>
      <c r="AK571" s="326">
        <v>43277</v>
      </c>
      <c r="AL571" s="326">
        <v>45145</v>
      </c>
      <c r="AM571" s="316"/>
      <c r="AN571" s="305"/>
      <c r="AO571" s="327" t="str">
        <f>_xlfn.IFNA(IF(VLOOKUP(tabItens[[#This Row],[CÓDIGO]],tabExcluirDoEstoque[#Data],1,FALSE),"sim",""),"")</f>
        <v/>
      </c>
      <c r="AP571" s="398" t="str">
        <f ca="1">IF(OR(ISBLANK(tabItens[[#This Row],[ATA DT.VALID.]]),tabItens[[#This Row],[ATA DT.VALID.]]="",tabItens[[#This Row],[ATA DT.VALID.]]=" "),"",IF(TYPE(tabItens[[#This Row],[ATA DT.VALID.]])=1,ROUNDUP((tabItens[[#This Row],[ATA DT.VALID.]]-TODAY())/7,0),""))</f>
        <v/>
      </c>
      <c r="AQ571" s="399">
        <v>0</v>
      </c>
      <c r="AR571" s="400" t="str">
        <f>IF(ISBLANK(tabItens[[#This Row],[CÓDIGO]]),"",IFERROR(VLOOKUP(tabItens[[#This Row],[CÓDIGO]],Consumo!$C$2:$AC$862,26,FALSE),0))</f>
        <v>09.2023</v>
      </c>
      <c r="AS571" s="401">
        <f>SUMIF(Consumo!$C$3:$C$862,tabItens[[#This Row],[CÓDIGO]],Consumo!$N$3:$N$862) + SUMIF(Consumo!$C$3:$C$862,tabItens[[#This Row],[CÓDIGO]],Consumo!$O$3:$O$862) + SUMIF(Consumo!$C$3:$C$862,tabItens[[#This Row],[CÓDIGO]],Consumo!$P$3:$P$862) + SUMIF(Consumo!$C$3:$C$862,tabItens[[#This Row],[CÓDIGO]],Consumo!$Q$3:$Q$862)</f>
        <v>20</v>
      </c>
      <c r="AT571" s="401">
        <f>SUMIF(Consumo!$C$3:$C$862,tabItens[[#This Row],[CÓDIGO]],Consumo!$Z$3:$Z$862)</f>
        <v>183</v>
      </c>
      <c r="AU571" s="402">
        <f>SUMIF(Consumo!$C$3:$C$862,tabItens[[#This Row],[CÓDIGO]],Consumo!$AA$3:$AA$862)</f>
        <v>40</v>
      </c>
      <c r="AV571" s="403">
        <f>SUMIF(Consumo!$C$3:$C$862,tabItens[[#This Row],[CÓDIGO]],Consumo!$Y$3:$Y$862)</f>
        <v>15.25</v>
      </c>
      <c r="AW571" s="380">
        <f>tabItens[[#This Row],[QTDE ATUAL]] + tabItens[[#This Row],[RC QTDE]] + tabItens[[#This Row],[AF SALDO]] + tabItens[[#This Row],[Recentes]]</f>
        <v>345</v>
      </c>
      <c r="AX571" s="404">
        <v>34</v>
      </c>
      <c r="AY571" s="404">
        <v>4</v>
      </c>
      <c r="AZ571" s="404">
        <f>IF(ISBLANK(tabItens[[#This Row],[CÓDIGO]]),"",tabItens[[#This Row],[PontoMês]] * (AZ$2+tabItens[[#This Row],[PontoQtM]]))</f>
        <v>136</v>
      </c>
      <c r="BA571" s="403">
        <f>tabItens[[#This Row],[PontoPed]] - tabItens[[#This Row],[Saldo]] + (1/10)</f>
        <v>-208.9</v>
      </c>
      <c r="BB571" s="403">
        <f xml:space="preserve"> tabItens[[#This Row],[PontoMês]] * BB$2 - tabItens[[#This Row],[QTDE ATUAL]] - (1/10)</f>
        <v>-311.10000000000002</v>
      </c>
      <c r="BC571" s="335">
        <f>IF( tabItens[[#This Row],[PontoPed]]&gt;0, IF(tabItens[[#This Row],[PontoPed]]&lt;1, 1, IF( tabItens[[#This Row],[Saldo]]&gt;tabItens[[#This Row],[PontoPed]], 0, (tabItens[[#This Row],[PontoPed]]-tabItens[[#This Row],[Saldo]])/tabItens[[#This Row],[PontoPed]] ) ), 0 )</f>
        <v>0</v>
      </c>
      <c r="BD571" s="405">
        <f>ROUNDDOWN(IF( OR( AND(tabItens[[#This Row],[PontoPed]]&lt;tabItens[[#This Row],[Saldo]],tabItens[[#This Row],[Saldo]]&gt;0), tabItens[[#This Row],[PontoPed]]=0), 99, IF(AND(tabItens[[#This Row],[Saldo]]=0,tabItens[[#This Row],[PontoPed]]&gt;0), 0, (1-tabItens[[#This Row],[PctAb]])*10 ) ),0)</f>
        <v>99</v>
      </c>
      <c r="BE571" s="406">
        <f>MAX(ROUNDDOWN( IF(tabItens[[#This Row],[Abaixo]] &gt; 0,   tabItens[[#This Row],[Abaixo]] + (tabItens[[#This Row],[PontoMês]] * IF( OR( ISBLANK(tabItens[[#This Row],[ATA Nº/ANO]]), tabItens[[#This Row],[ATA Nº/ANO]] = ""),BE$2,BE$1)),0),0),0)</f>
        <v>0</v>
      </c>
      <c r="BF57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1" s="338">
        <f>SUMIF(Consumo!$C$3:$C$862,tabItens[[#This Row],[CÓDIGO]],Consumo!$E$3:$E$862)</f>
        <v>0</v>
      </c>
      <c r="BH571" s="339">
        <f>IF(AND(tabItens[[#This Row],[Pend]] &gt; 0,tabItens[[#This Row],[Consumo]] &lt;&gt; 0), tabItens[[#This Row],[Pend]] / tabItens[[#This Row],[Consumo]], 0 )</f>
        <v>0</v>
      </c>
      <c r="BI571" s="338"/>
      <c r="BJ571" s="407"/>
      <c r="BK571" s="408" t="s">
        <v>2086</v>
      </c>
    </row>
    <row r="572" spans="1:63" x14ac:dyDescent="0.3">
      <c r="A572" s="375">
        <v>135302</v>
      </c>
      <c r="B572" s="376" t="s">
        <v>1914</v>
      </c>
      <c r="C572" s="377" t="s">
        <v>263</v>
      </c>
      <c r="D572" s="378">
        <v>3.58</v>
      </c>
      <c r="E572" s="305"/>
      <c r="F572" s="379"/>
      <c r="G572" s="379" t="s">
        <v>889</v>
      </c>
      <c r="H572" s="380">
        <v>593</v>
      </c>
      <c r="I572" s="307">
        <v>103003</v>
      </c>
      <c r="J572" s="308">
        <v>3.58</v>
      </c>
      <c r="K572" s="381">
        <v>203</v>
      </c>
      <c r="L572" s="382">
        <f>IF(tabItens[[#This Row],[Média]] &gt; 0, tabItens[[#This Row],[QTDE ATUAL]] / tabItens[[#This Row],[Média]],999.9)</f>
        <v>35.758793969849251</v>
      </c>
      <c r="M572" s="383">
        <v>0</v>
      </c>
      <c r="N572" s="384">
        <f>tabItens[[#This Row],[VALOR UNIT.]] * tabItens[[#This Row],[LC]]</f>
        <v>0</v>
      </c>
      <c r="O572" s="385" t="s">
        <v>2097</v>
      </c>
      <c r="P572" s="386"/>
      <c r="Q572" s="387"/>
      <c r="R572" s="312"/>
      <c r="S572" s="388"/>
      <c r="T572" s="389">
        <f>ROUNDDOWN(IFERROR(tabItens[[#This Row],[ATA DT.VALID.]] - $D$1,0) / 30,0)</f>
        <v>-1474</v>
      </c>
      <c r="U572" s="302" t="s">
        <v>966</v>
      </c>
      <c r="V572" s="318">
        <v>1</v>
      </c>
      <c r="W572" s="390" t="s">
        <v>2076</v>
      </c>
      <c r="X572" s="391">
        <v>61</v>
      </c>
      <c r="Y572" s="392">
        <v>8</v>
      </c>
      <c r="Z572" s="393"/>
      <c r="AA572" s="394"/>
      <c r="AB572" s="395"/>
      <c r="AC572" s="395"/>
      <c r="AD572" s="394"/>
      <c r="AE572" s="395"/>
      <c r="AF572" s="317"/>
      <c r="AG572" s="396" t="s">
        <v>2072</v>
      </c>
      <c r="AH572" s="397"/>
      <c r="AI572" s="317">
        <v>72</v>
      </c>
      <c r="AJ572" s="397">
        <v>44188</v>
      </c>
      <c r="AK572" s="326">
        <v>43277</v>
      </c>
      <c r="AL572" s="326">
        <v>44133</v>
      </c>
      <c r="AM572" s="316"/>
      <c r="AN572" s="305"/>
      <c r="AO572" s="327" t="str">
        <f>_xlfn.IFNA(IF(VLOOKUP(tabItens[[#This Row],[CÓDIGO]],tabExcluirDoEstoque[#Data],1,FALSE),"sim",""),"")</f>
        <v/>
      </c>
      <c r="AP572" s="398" t="str">
        <f ca="1">IF(OR(ISBLANK(tabItens[[#This Row],[ATA DT.VALID.]]),tabItens[[#This Row],[ATA DT.VALID.]]="",tabItens[[#This Row],[ATA DT.VALID.]]=" "),"",IF(TYPE(tabItens[[#This Row],[ATA DT.VALID.]])=1,ROUNDUP((tabItens[[#This Row],[ATA DT.VALID.]]-TODAY())/7,0),""))</f>
        <v/>
      </c>
      <c r="AQ572" s="399">
        <v>0</v>
      </c>
      <c r="AR572" s="400" t="str">
        <f>IF(ISBLANK(tabItens[[#This Row],[CÓDIGO]]),"",IFERROR(VLOOKUP(tabItens[[#This Row],[CÓDIGO]],Consumo!$C$2:$AC$862,26,FALSE),0))</f>
        <v>05.2023</v>
      </c>
      <c r="AS572" s="401">
        <f>SUMIF(Consumo!$C$3:$C$862,tabItens[[#This Row],[CÓDIGO]],Consumo!$N$3:$N$862) + SUMIF(Consumo!$C$3:$C$862,tabItens[[#This Row],[CÓDIGO]],Consumo!$O$3:$O$862) + SUMIF(Consumo!$C$3:$C$862,tabItens[[#This Row],[CÓDIGO]],Consumo!$P$3:$P$862) + SUMIF(Consumo!$C$3:$C$862,tabItens[[#This Row],[CÓDIGO]],Consumo!$Q$3:$Q$862)</f>
        <v>0</v>
      </c>
      <c r="AT572" s="401">
        <f>SUMIF(Consumo!$C$3:$C$862,tabItens[[#This Row],[CÓDIGO]],Consumo!$Z$3:$Z$862)</f>
        <v>213</v>
      </c>
      <c r="AU572" s="402">
        <f>SUMIF(Consumo!$C$3:$C$862,tabItens[[#This Row],[CÓDIGO]],Consumo!$AA$3:$AA$862)</f>
        <v>80</v>
      </c>
      <c r="AV572" s="403">
        <f>SUMIF(Consumo!$C$3:$C$862,tabItens[[#This Row],[CÓDIGO]],Consumo!$Y$3:$Y$862)</f>
        <v>16.583333333333332</v>
      </c>
      <c r="AW572" s="380">
        <f>tabItens[[#This Row],[QTDE ATUAL]] + tabItens[[#This Row],[RC QTDE]] + tabItens[[#This Row],[AF SALDO]] + tabItens[[#This Row],[Recentes]]</f>
        <v>593</v>
      </c>
      <c r="AX572" s="404">
        <v>19</v>
      </c>
      <c r="AY572" s="404">
        <v>4</v>
      </c>
      <c r="AZ572" s="404">
        <f>IF(ISBLANK(tabItens[[#This Row],[CÓDIGO]]),"",tabItens[[#This Row],[PontoMês]] * (AZ$2+tabItens[[#This Row],[PontoQtM]]))</f>
        <v>76</v>
      </c>
      <c r="BA572" s="403">
        <f>tabItens[[#This Row],[PontoPed]] - tabItens[[#This Row],[Saldo]] + (1/10)</f>
        <v>-516.9</v>
      </c>
      <c r="BB572" s="403">
        <f xml:space="preserve"> tabItens[[#This Row],[PontoMês]] * BB$2 - tabItens[[#This Row],[QTDE ATUAL]] - (1/10)</f>
        <v>-574.1</v>
      </c>
      <c r="BC572" s="335">
        <f>IF( tabItens[[#This Row],[PontoPed]]&gt;0, IF(tabItens[[#This Row],[PontoPed]]&lt;1, 1, IF( tabItens[[#This Row],[Saldo]]&gt;tabItens[[#This Row],[PontoPed]], 0, (tabItens[[#This Row],[PontoPed]]-tabItens[[#This Row],[Saldo]])/tabItens[[#This Row],[PontoPed]] ) ), 0 )</f>
        <v>0</v>
      </c>
      <c r="BD572" s="405">
        <f>ROUNDDOWN(IF( OR( AND(tabItens[[#This Row],[PontoPed]]&lt;tabItens[[#This Row],[Saldo]],tabItens[[#This Row],[Saldo]]&gt;0), tabItens[[#This Row],[PontoPed]]=0), 99, IF(AND(tabItens[[#This Row],[Saldo]]=0,tabItens[[#This Row],[PontoPed]]&gt;0), 0, (1-tabItens[[#This Row],[PctAb]])*10 ) ),0)</f>
        <v>99</v>
      </c>
      <c r="BE572" s="406">
        <f>MAX(ROUNDDOWN( IF(tabItens[[#This Row],[Abaixo]] &gt; 0,   tabItens[[#This Row],[Abaixo]] + (tabItens[[#This Row],[PontoMês]] * IF( OR( ISBLANK(tabItens[[#This Row],[ATA Nº/ANO]]), tabItens[[#This Row],[ATA Nº/ANO]] = ""),BE$2,BE$1)),0),0),0)</f>
        <v>0</v>
      </c>
      <c r="BF57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2" s="338">
        <f>SUMIF(Consumo!$C$3:$C$862,tabItens[[#This Row],[CÓDIGO]],Consumo!$E$3:$E$862)</f>
        <v>0</v>
      </c>
      <c r="BH572" s="339">
        <f>IF(AND(tabItens[[#This Row],[Pend]] &gt; 0,tabItens[[#This Row],[Consumo]] &lt;&gt; 0), tabItens[[#This Row],[Pend]] / tabItens[[#This Row],[Consumo]], 0 )</f>
        <v>0</v>
      </c>
      <c r="BI572" s="338"/>
      <c r="BJ572" s="407"/>
      <c r="BK572" s="408" t="s">
        <v>2086</v>
      </c>
    </row>
    <row r="573" spans="1:63" x14ac:dyDescent="0.3">
      <c r="A573" s="375">
        <v>13092</v>
      </c>
      <c r="B573" s="376" t="s">
        <v>1002</v>
      </c>
      <c r="C573" s="377" t="s">
        <v>263</v>
      </c>
      <c r="D573" s="378">
        <v>13.5</v>
      </c>
      <c r="E573" s="305"/>
      <c r="F573" s="379"/>
      <c r="G573" s="379" t="s">
        <v>889</v>
      </c>
      <c r="H573" s="380">
        <v>180</v>
      </c>
      <c r="I573" s="307">
        <v>103003</v>
      </c>
      <c r="J573" s="308">
        <v>13.5</v>
      </c>
      <c r="K573" s="381">
        <v>46</v>
      </c>
      <c r="L573" s="382">
        <f>IF(tabItens[[#This Row],[Média]] &gt; 0, tabItens[[#This Row],[QTDE ATUAL]] / tabItens[[#This Row],[Média]],999.9)</f>
        <v>51.428571428571431</v>
      </c>
      <c r="M573" s="383">
        <v>0</v>
      </c>
      <c r="N573" s="384">
        <f>tabItens[[#This Row],[VALOR UNIT.]] * tabItens[[#This Row],[LC]]</f>
        <v>0</v>
      </c>
      <c r="O573" s="385" t="s">
        <v>2097</v>
      </c>
      <c r="P573" s="386"/>
      <c r="Q573" s="387"/>
      <c r="R573" s="312"/>
      <c r="S573" s="388"/>
      <c r="T573" s="389">
        <f>ROUNDDOWN(IFERROR(tabItens[[#This Row],[ATA DT.VALID.]] - $D$1,0) / 30,0)</f>
        <v>-1474</v>
      </c>
      <c r="U573" s="302" t="s">
        <v>1003</v>
      </c>
      <c r="V573" s="318">
        <v>1</v>
      </c>
      <c r="W573" s="390" t="s">
        <v>2076</v>
      </c>
      <c r="X573" s="391">
        <v>61</v>
      </c>
      <c r="Y573" s="392">
        <v>11</v>
      </c>
      <c r="Z573" s="393"/>
      <c r="AA573" s="394"/>
      <c r="AB573" s="395"/>
      <c r="AC573" s="395"/>
      <c r="AD573" s="394"/>
      <c r="AE573" s="395"/>
      <c r="AF573" s="317"/>
      <c r="AG573" s="396" t="s">
        <v>2072</v>
      </c>
      <c r="AH573" s="397"/>
      <c r="AI573" s="317">
        <v>16</v>
      </c>
      <c r="AJ573" s="397">
        <v>44533</v>
      </c>
      <c r="AK573" s="326" t="s">
        <v>889</v>
      </c>
      <c r="AL573" s="326">
        <v>44522</v>
      </c>
      <c r="AM573" s="316"/>
      <c r="AN573" s="305"/>
      <c r="AO573" s="327" t="str">
        <f>_xlfn.IFNA(IF(VLOOKUP(tabItens[[#This Row],[CÓDIGO]],tabExcluirDoEstoque[#Data],1,FALSE),"sim",""),"")</f>
        <v/>
      </c>
      <c r="AP573" s="398" t="str">
        <f ca="1">IF(OR(ISBLANK(tabItens[[#This Row],[ATA DT.VALID.]]),tabItens[[#This Row],[ATA DT.VALID.]]="",tabItens[[#This Row],[ATA DT.VALID.]]=" "),"",IF(TYPE(tabItens[[#This Row],[ATA DT.VALID.]])=1,ROUNDUP((tabItens[[#This Row],[ATA DT.VALID.]]-TODAY())/7,0),""))</f>
        <v/>
      </c>
      <c r="AQ573" s="399">
        <v>0</v>
      </c>
      <c r="AR573" s="400" t="str">
        <f>IF(ISBLANK(tabItens[[#This Row],[CÓDIGO]]),"",IFERROR(VLOOKUP(tabItens[[#This Row],[CÓDIGO]],Consumo!$C$2:$AC$862,26,FALSE),0))</f>
        <v>09.2023</v>
      </c>
      <c r="AS573" s="401">
        <f>SUMIF(Consumo!$C$3:$C$862,tabItens[[#This Row],[CÓDIGO]],Consumo!$N$3:$N$862) + SUMIF(Consumo!$C$3:$C$862,tabItens[[#This Row],[CÓDIGO]],Consumo!$O$3:$O$862) + SUMIF(Consumo!$C$3:$C$862,tabItens[[#This Row],[CÓDIGO]],Consumo!$P$3:$P$862) + SUMIF(Consumo!$C$3:$C$862,tabItens[[#This Row],[CÓDIGO]],Consumo!$Q$3:$Q$862)</f>
        <v>30</v>
      </c>
      <c r="AT573" s="401">
        <f>SUMIF(Consumo!$C$3:$C$862,tabItens[[#This Row],[CÓDIGO]],Consumo!$Z$3:$Z$862)</f>
        <v>47</v>
      </c>
      <c r="AU573" s="402">
        <f>SUMIF(Consumo!$C$3:$C$862,tabItens[[#This Row],[CÓDIGO]],Consumo!$AA$3:$AA$862)</f>
        <v>20</v>
      </c>
      <c r="AV573" s="403">
        <f>SUMIF(Consumo!$C$3:$C$862,tabItens[[#This Row],[CÓDIGO]],Consumo!$Y$3:$Y$862)</f>
        <v>3.5</v>
      </c>
      <c r="AW573" s="380">
        <f>tabItens[[#This Row],[QTDE ATUAL]] + tabItens[[#This Row],[RC QTDE]] + tabItens[[#This Row],[AF SALDO]] + tabItens[[#This Row],[Recentes]]</f>
        <v>180</v>
      </c>
      <c r="AX573" s="404">
        <v>9</v>
      </c>
      <c r="AY573" s="404">
        <v>4</v>
      </c>
      <c r="AZ573" s="404">
        <f>IF(ISBLANK(tabItens[[#This Row],[CÓDIGO]]),"",tabItens[[#This Row],[PontoMês]] * (AZ$2+tabItens[[#This Row],[PontoQtM]]))</f>
        <v>36</v>
      </c>
      <c r="BA573" s="403">
        <f>tabItens[[#This Row],[PontoPed]] - tabItens[[#This Row],[Saldo]] + (1/10)</f>
        <v>-143.9</v>
      </c>
      <c r="BB573" s="403">
        <f xml:space="preserve"> tabItens[[#This Row],[PontoMês]] * BB$2 - tabItens[[#This Row],[QTDE ATUAL]] - (1/10)</f>
        <v>-171.1</v>
      </c>
      <c r="BC573" s="335">
        <f>IF( tabItens[[#This Row],[PontoPed]]&gt;0, IF(tabItens[[#This Row],[PontoPed]]&lt;1, 1, IF( tabItens[[#This Row],[Saldo]]&gt;tabItens[[#This Row],[PontoPed]], 0, (tabItens[[#This Row],[PontoPed]]-tabItens[[#This Row],[Saldo]])/tabItens[[#This Row],[PontoPed]] ) ), 0 )</f>
        <v>0</v>
      </c>
      <c r="BD573" s="405">
        <f>ROUNDDOWN(IF( OR( AND(tabItens[[#This Row],[PontoPed]]&lt;tabItens[[#This Row],[Saldo]],tabItens[[#This Row],[Saldo]]&gt;0), tabItens[[#This Row],[PontoPed]]=0), 99, IF(AND(tabItens[[#This Row],[Saldo]]=0,tabItens[[#This Row],[PontoPed]]&gt;0), 0, (1-tabItens[[#This Row],[PctAb]])*10 ) ),0)</f>
        <v>99</v>
      </c>
      <c r="BE573" s="406">
        <f>MAX(ROUNDDOWN( IF(tabItens[[#This Row],[Abaixo]] &gt; 0,   tabItens[[#This Row],[Abaixo]] + (tabItens[[#This Row],[PontoMês]] * IF( OR( ISBLANK(tabItens[[#This Row],[ATA Nº/ANO]]), tabItens[[#This Row],[ATA Nº/ANO]] = ""),BE$2,BE$1)),0),0),0)</f>
        <v>0</v>
      </c>
      <c r="BF57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3" s="338">
        <f>SUMIF(Consumo!$C$3:$C$862,tabItens[[#This Row],[CÓDIGO]],Consumo!$E$3:$E$862)</f>
        <v>0</v>
      </c>
      <c r="BH573" s="339">
        <f>IF(AND(tabItens[[#This Row],[Pend]] &gt; 0,tabItens[[#This Row],[Consumo]] &lt;&gt; 0), tabItens[[#This Row],[Pend]] / tabItens[[#This Row],[Consumo]], 0 )</f>
        <v>0</v>
      </c>
      <c r="BI573" s="338"/>
      <c r="BJ573" s="407"/>
      <c r="BK573" s="408" t="s">
        <v>2086</v>
      </c>
    </row>
    <row r="574" spans="1:63" x14ac:dyDescent="0.3">
      <c r="A574" s="375">
        <v>138055</v>
      </c>
      <c r="B574" s="376" t="s">
        <v>1961</v>
      </c>
      <c r="C574" s="377" t="s">
        <v>263</v>
      </c>
      <c r="D574" s="378">
        <v>2.9</v>
      </c>
      <c r="E574" s="305"/>
      <c r="F574" s="379"/>
      <c r="G574" s="379" t="s">
        <v>889</v>
      </c>
      <c r="H574" s="380">
        <v>100</v>
      </c>
      <c r="I574" s="307">
        <v>103003</v>
      </c>
      <c r="J574" s="308">
        <v>2.9</v>
      </c>
      <c r="K574" s="381">
        <v>820</v>
      </c>
      <c r="L574" s="382">
        <f>IF(tabItens[[#This Row],[Média]] &gt; 0, tabItens[[#This Row],[QTDE ATUAL]] / tabItens[[#This Row],[Média]],999.9)</f>
        <v>1.4251781472684084</v>
      </c>
      <c r="M574" s="383">
        <v>0</v>
      </c>
      <c r="N574" s="384">
        <f>tabItens[[#This Row],[VALOR UNIT.]] * tabItens[[#This Row],[LC]]</f>
        <v>0</v>
      </c>
      <c r="O574" s="385" t="s">
        <v>2097</v>
      </c>
      <c r="P574" s="386"/>
      <c r="Q574" s="387"/>
      <c r="R574" s="312"/>
      <c r="S574" s="388"/>
      <c r="T574" s="389">
        <f>ROUNDDOWN(IFERROR(tabItens[[#This Row],[ATA DT.VALID.]] - $D$1,0) / 30,0)</f>
        <v>-1474</v>
      </c>
      <c r="U574" s="302" t="s">
        <v>1003</v>
      </c>
      <c r="V574" s="318">
        <v>1</v>
      </c>
      <c r="W574" s="390" t="s">
        <v>2076</v>
      </c>
      <c r="X574" s="391">
        <v>61</v>
      </c>
      <c r="Y574" s="392">
        <v>11</v>
      </c>
      <c r="Z574" s="393"/>
      <c r="AA574" s="394"/>
      <c r="AB574" s="395"/>
      <c r="AC574" s="395"/>
      <c r="AD574" s="394"/>
      <c r="AE574" s="395"/>
      <c r="AF574" s="317"/>
      <c r="AG574" s="396" t="s">
        <v>2072</v>
      </c>
      <c r="AH574" s="397"/>
      <c r="AI574" s="317">
        <v>306</v>
      </c>
      <c r="AJ574" s="397">
        <v>45203</v>
      </c>
      <c r="AK574" s="326">
        <v>43656</v>
      </c>
      <c r="AL574" s="326">
        <v>45145</v>
      </c>
      <c r="AM574" s="316"/>
      <c r="AN574" s="305"/>
      <c r="AO574" s="327" t="str">
        <f>_xlfn.IFNA(IF(VLOOKUP(tabItens[[#This Row],[CÓDIGO]],tabExcluirDoEstoque[#Data],1,FALSE),"sim",""),"")</f>
        <v/>
      </c>
      <c r="AP574" s="398" t="str">
        <f ca="1">IF(OR(ISBLANK(tabItens[[#This Row],[ATA DT.VALID.]]),tabItens[[#This Row],[ATA DT.VALID.]]="",tabItens[[#This Row],[ATA DT.VALID.]]=" "),"",IF(TYPE(tabItens[[#This Row],[ATA DT.VALID.]])=1,ROUNDUP((tabItens[[#This Row],[ATA DT.VALID.]]-TODAY())/7,0),""))</f>
        <v/>
      </c>
      <c r="AQ574" s="399">
        <v>0</v>
      </c>
      <c r="AR574" s="400" t="str">
        <f>IF(ISBLANK(tabItens[[#This Row],[CÓDIGO]]),"",IFERROR(VLOOKUP(tabItens[[#This Row],[CÓDIGO]],Consumo!$C$2:$AC$862,26,FALSE),0))</f>
        <v>09.2023</v>
      </c>
      <c r="AS574" s="401">
        <f>SUMIF(Consumo!$C$3:$C$862,tabItens[[#This Row],[CÓDIGO]],Consumo!$N$3:$N$862) + SUMIF(Consumo!$C$3:$C$862,tabItens[[#This Row],[CÓDIGO]],Consumo!$O$3:$O$862) + SUMIF(Consumo!$C$3:$C$862,tabItens[[#This Row],[CÓDIGO]],Consumo!$P$3:$P$862) + SUMIF(Consumo!$C$3:$C$862,tabItens[[#This Row],[CÓDIGO]],Consumo!$Q$3:$Q$862)</f>
        <v>446</v>
      </c>
      <c r="AT574" s="401">
        <f>SUMIF(Consumo!$C$3:$C$862,tabItens[[#This Row],[CÓDIGO]],Consumo!$Z$3:$Z$862)</f>
        <v>920</v>
      </c>
      <c r="AU574" s="402">
        <f>SUMIF(Consumo!$C$3:$C$862,tabItens[[#This Row],[CÓDIGO]],Consumo!$AA$3:$AA$862)</f>
        <v>344</v>
      </c>
      <c r="AV574" s="403">
        <f>SUMIF(Consumo!$C$3:$C$862,tabItens[[#This Row],[CÓDIGO]],Consumo!$Y$3:$Y$862)</f>
        <v>70.166666666666671</v>
      </c>
      <c r="AW574" s="380">
        <f>tabItens[[#This Row],[QTDE ATUAL]] + tabItens[[#This Row],[RC QTDE]] + tabItens[[#This Row],[AF SALDO]] + tabItens[[#This Row],[Recentes]]</f>
        <v>100</v>
      </c>
      <c r="AX574" s="404">
        <v>50</v>
      </c>
      <c r="AY574" s="404">
        <v>4</v>
      </c>
      <c r="AZ574" s="404">
        <f>IF(ISBLANK(tabItens[[#This Row],[CÓDIGO]]),"",tabItens[[#This Row],[PontoMês]] * (AZ$2+tabItens[[#This Row],[PontoQtM]]))</f>
        <v>200</v>
      </c>
      <c r="BA574" s="403">
        <f>tabItens[[#This Row],[PontoPed]] - tabItens[[#This Row],[Saldo]] + (1/10)</f>
        <v>100.1</v>
      </c>
      <c r="BB574" s="403">
        <f xml:space="preserve"> tabItens[[#This Row],[PontoMês]] * BB$2 - tabItens[[#This Row],[QTDE ATUAL]] - (1/10)</f>
        <v>-50.1</v>
      </c>
      <c r="BC574" s="335">
        <f>IF( tabItens[[#This Row],[PontoPed]]&gt;0, IF(tabItens[[#This Row],[PontoPed]]&lt;1, 1, IF( tabItens[[#This Row],[Saldo]]&gt;tabItens[[#This Row],[PontoPed]], 0, (tabItens[[#This Row],[PontoPed]]-tabItens[[#This Row],[Saldo]])/tabItens[[#This Row],[PontoPed]] ) ), 0 )</f>
        <v>0.5</v>
      </c>
      <c r="BD574" s="405">
        <f>ROUNDDOWN(IF( OR( AND(tabItens[[#This Row],[PontoPed]]&lt;tabItens[[#This Row],[Saldo]],tabItens[[#This Row],[Saldo]]&gt;0), tabItens[[#This Row],[PontoPed]]=0), 99, IF(AND(tabItens[[#This Row],[Saldo]]=0,tabItens[[#This Row],[PontoPed]]&gt;0), 0, (1-tabItens[[#This Row],[PctAb]])*10 ) ),0)</f>
        <v>5</v>
      </c>
      <c r="BE574" s="406">
        <f>MAX(ROUNDDOWN( IF(tabItens[[#This Row],[Abaixo]] &gt; 0,   tabItens[[#This Row],[Abaixo]] + (tabItens[[#This Row],[PontoMês]] * IF( OR( ISBLANK(tabItens[[#This Row],[ATA Nº/ANO]]), tabItens[[#This Row],[ATA Nº/ANO]] = ""),BE$2,BE$1)),0),0),0)</f>
        <v>250</v>
      </c>
      <c r="BF57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4" s="338">
        <f>SUMIF(Consumo!$C$3:$C$862,tabItens[[#This Row],[CÓDIGO]],Consumo!$E$3:$E$862)</f>
        <v>1</v>
      </c>
      <c r="BH574" s="339">
        <f>IF(AND(tabItens[[#This Row],[Pend]] &gt; 0,tabItens[[#This Row],[Consumo]] &lt;&gt; 0), tabItens[[#This Row],[Pend]] / tabItens[[#This Row],[Consumo]], 0 )</f>
        <v>1.0869565217391304E-3</v>
      </c>
      <c r="BI574" s="338"/>
      <c r="BJ574" s="407"/>
      <c r="BK574" s="408" t="s">
        <v>2086</v>
      </c>
    </row>
    <row r="575" spans="1:63" x14ac:dyDescent="0.3">
      <c r="A575" s="375">
        <v>24500</v>
      </c>
      <c r="B575" s="376" t="s">
        <v>1201</v>
      </c>
      <c r="C575" s="377" t="s">
        <v>263</v>
      </c>
      <c r="D575" s="378">
        <v>23.08</v>
      </c>
      <c r="E575" s="305"/>
      <c r="F575" s="379"/>
      <c r="G575" s="379" t="s">
        <v>889</v>
      </c>
      <c r="H575" s="380">
        <v>0</v>
      </c>
      <c r="I575" s="307">
        <v>103003</v>
      </c>
      <c r="J575" s="308">
        <v>23.08</v>
      </c>
      <c r="K575" s="381">
        <v>1099</v>
      </c>
      <c r="L575" s="382">
        <f>IF(tabItens[[#This Row],[Média]] &gt; 0, tabItens[[#This Row],[QTDE ATUAL]] / tabItens[[#This Row],[Média]],999.9)</f>
        <v>0</v>
      </c>
      <c r="M575" s="383">
        <v>0</v>
      </c>
      <c r="N575" s="384">
        <f>tabItens[[#This Row],[VALOR UNIT.]] * tabItens[[#This Row],[LC]]</f>
        <v>0</v>
      </c>
      <c r="O575" s="385" t="s">
        <v>2097</v>
      </c>
      <c r="P575" s="386"/>
      <c r="Q575" s="387"/>
      <c r="R575" s="312"/>
      <c r="S575" s="388"/>
      <c r="T575" s="389">
        <f>ROUNDDOWN(IFERROR(tabItens[[#This Row],[ATA DT.VALID.]] - $D$1,0) / 30,0)</f>
        <v>-1474</v>
      </c>
      <c r="U575" s="302" t="s">
        <v>1015</v>
      </c>
      <c r="V575" s="318">
        <v>1</v>
      </c>
      <c r="W575" s="390" t="s">
        <v>2076</v>
      </c>
      <c r="X575" s="391">
        <v>61</v>
      </c>
      <c r="Y575" s="392">
        <v>14</v>
      </c>
      <c r="Z575" s="393"/>
      <c r="AA575" s="394"/>
      <c r="AB575" s="395"/>
      <c r="AC575" s="395"/>
      <c r="AD575" s="394"/>
      <c r="AE575" s="395"/>
      <c r="AF575" s="317"/>
      <c r="AG575" s="396" t="s">
        <v>2072</v>
      </c>
      <c r="AH575" s="397"/>
      <c r="AI575" s="317">
        <v>368</v>
      </c>
      <c r="AJ575" s="397">
        <v>45159</v>
      </c>
      <c r="AK575" s="326" t="s">
        <v>889</v>
      </c>
      <c r="AL575" s="326">
        <v>45145</v>
      </c>
      <c r="AM575" s="316"/>
      <c r="AN575" s="305"/>
      <c r="AO575" s="327" t="str">
        <f>_xlfn.IFNA(IF(VLOOKUP(tabItens[[#This Row],[CÓDIGO]],tabExcluirDoEstoque[#Data],1,FALSE),"sim",""),"")</f>
        <v/>
      </c>
      <c r="AP575" s="398" t="str">
        <f ca="1">IF(OR(ISBLANK(tabItens[[#This Row],[ATA DT.VALID.]]),tabItens[[#This Row],[ATA DT.VALID.]]="",tabItens[[#This Row],[ATA DT.VALID.]]=" "),"",IF(TYPE(tabItens[[#This Row],[ATA DT.VALID.]])=1,ROUNDUP((tabItens[[#This Row],[ATA DT.VALID.]]-TODAY())/7,0),""))</f>
        <v/>
      </c>
      <c r="AQ575" s="399">
        <v>0</v>
      </c>
      <c r="AR575" s="400" t="str">
        <f>IF(ISBLANK(tabItens[[#This Row],[CÓDIGO]]),"",IFERROR(VLOOKUP(tabItens[[#This Row],[CÓDIGO]],Consumo!$C$2:$AC$862,26,FALSE),0))</f>
        <v>09.2023</v>
      </c>
      <c r="AS575" s="401">
        <f>SUMIF(Consumo!$C$3:$C$862,tabItens[[#This Row],[CÓDIGO]],Consumo!$N$3:$N$862) + SUMIF(Consumo!$C$3:$C$862,tabItens[[#This Row],[CÓDIGO]],Consumo!$O$3:$O$862) + SUMIF(Consumo!$C$3:$C$862,tabItens[[#This Row],[CÓDIGO]],Consumo!$P$3:$P$862) + SUMIF(Consumo!$C$3:$C$862,tabItens[[#This Row],[CÓDIGO]],Consumo!$Q$3:$Q$862)</f>
        <v>856</v>
      </c>
      <c r="AT575" s="401">
        <f>SUMIF(Consumo!$C$3:$C$862,tabItens[[#This Row],[CÓDIGO]],Consumo!$Z$3:$Z$862)</f>
        <v>1141</v>
      </c>
      <c r="AU575" s="402">
        <f>SUMIF(Consumo!$C$3:$C$862,tabItens[[#This Row],[CÓDIGO]],Consumo!$AA$3:$AA$862)</f>
        <v>806</v>
      </c>
      <c r="AV575" s="403">
        <f>SUMIF(Consumo!$C$3:$C$862,tabItens[[#This Row],[CÓDIGO]],Consumo!$Y$3:$Y$862)</f>
        <v>72.083333333333329</v>
      </c>
      <c r="AW575" s="380">
        <f>tabItens[[#This Row],[QTDE ATUAL]] + tabItens[[#This Row],[RC QTDE]] + tabItens[[#This Row],[AF SALDO]] + tabItens[[#This Row],[Recentes]]</f>
        <v>0</v>
      </c>
      <c r="AX575" s="404">
        <v>17</v>
      </c>
      <c r="AY575" s="404">
        <v>4</v>
      </c>
      <c r="AZ575" s="404">
        <f>IF(ISBLANK(tabItens[[#This Row],[CÓDIGO]]),"",tabItens[[#This Row],[PontoMês]] * (AZ$2+tabItens[[#This Row],[PontoQtM]]))</f>
        <v>68</v>
      </c>
      <c r="BA575" s="403">
        <f>tabItens[[#This Row],[PontoPed]] - tabItens[[#This Row],[Saldo]] + (1/10)</f>
        <v>68.099999999999994</v>
      </c>
      <c r="BB575" s="403">
        <f xml:space="preserve"> tabItens[[#This Row],[PontoMês]] * BB$2 - tabItens[[#This Row],[QTDE ATUAL]] - (1/10)</f>
        <v>16.899999999999999</v>
      </c>
      <c r="BC575" s="335">
        <f>IF( tabItens[[#This Row],[PontoPed]]&gt;0, IF(tabItens[[#This Row],[PontoPed]]&lt;1, 1, IF( tabItens[[#This Row],[Saldo]]&gt;tabItens[[#This Row],[PontoPed]], 0, (tabItens[[#This Row],[PontoPed]]-tabItens[[#This Row],[Saldo]])/tabItens[[#This Row],[PontoPed]] ) ), 0 )</f>
        <v>1</v>
      </c>
      <c r="BD575" s="405">
        <f>ROUNDDOWN(IF( OR( AND(tabItens[[#This Row],[PontoPed]]&lt;tabItens[[#This Row],[Saldo]],tabItens[[#This Row],[Saldo]]&gt;0), tabItens[[#This Row],[PontoPed]]=0), 99, IF(AND(tabItens[[#This Row],[Saldo]]=0,tabItens[[#This Row],[PontoPed]]&gt;0), 0, (1-tabItens[[#This Row],[PctAb]])*10 ) ),0)</f>
        <v>0</v>
      </c>
      <c r="BE575" s="406">
        <f>MAX(ROUNDDOWN( IF(tabItens[[#This Row],[Abaixo]] &gt; 0,   tabItens[[#This Row],[Abaixo]] + (tabItens[[#This Row],[PontoMês]] * IF( OR( ISBLANK(tabItens[[#This Row],[ATA Nº/ANO]]), tabItens[[#This Row],[ATA Nº/ANO]] = ""),BE$2,BE$1)),0),0),0)</f>
        <v>119</v>
      </c>
      <c r="BF57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5" s="338">
        <f>SUMIF(Consumo!$C$3:$C$862,tabItens[[#This Row],[CÓDIGO]],Consumo!$E$3:$E$862)</f>
        <v>39</v>
      </c>
      <c r="BH575" s="339">
        <f>IF(AND(tabItens[[#This Row],[Pend]] &gt; 0,tabItens[[#This Row],[Consumo]] &lt;&gt; 0), tabItens[[#This Row],[Pend]] / tabItens[[#This Row],[Consumo]], 0 )</f>
        <v>3.4180543382997371E-2</v>
      </c>
      <c r="BI575" s="338"/>
      <c r="BJ575" s="407"/>
      <c r="BK575" s="408" t="s">
        <v>2086</v>
      </c>
    </row>
    <row r="576" spans="1:63" x14ac:dyDescent="0.3">
      <c r="A576" s="375">
        <v>13117</v>
      </c>
      <c r="B576" s="376" t="s">
        <v>1012</v>
      </c>
      <c r="C576" s="377" t="s">
        <v>263</v>
      </c>
      <c r="D576" s="378">
        <v>30</v>
      </c>
      <c r="E576" s="305"/>
      <c r="F576" s="379"/>
      <c r="G576" s="379" t="s">
        <v>889</v>
      </c>
      <c r="H576" s="380">
        <v>104</v>
      </c>
      <c r="I576" s="307">
        <v>103003</v>
      </c>
      <c r="J576" s="308">
        <v>30</v>
      </c>
      <c r="K576" s="381">
        <v>23</v>
      </c>
      <c r="L576" s="382">
        <f>IF(tabItens[[#This Row],[Média]] &gt; 0, tabItens[[#This Row],[QTDE ATUAL]] / tabItens[[#This Row],[Média]],999.9)</f>
        <v>73.411764705882348</v>
      </c>
      <c r="M576" s="383">
        <v>0</v>
      </c>
      <c r="N576" s="384">
        <f>tabItens[[#This Row],[VALOR UNIT.]] * tabItens[[#This Row],[LC]]</f>
        <v>0</v>
      </c>
      <c r="O576" s="385" t="s">
        <v>2097</v>
      </c>
      <c r="P576" s="386"/>
      <c r="Q576" s="387"/>
      <c r="R576" s="312"/>
      <c r="S576" s="388"/>
      <c r="T576" s="389">
        <f>ROUNDDOWN(IFERROR(tabItens[[#This Row],[ATA DT.VALID.]] - $D$1,0) / 30,0)</f>
        <v>-1474</v>
      </c>
      <c r="U576" s="302" t="s">
        <v>1011</v>
      </c>
      <c r="V576" s="318">
        <v>1</v>
      </c>
      <c r="W576" s="390" t="s">
        <v>2076</v>
      </c>
      <c r="X576" s="391">
        <v>61</v>
      </c>
      <c r="Y576" s="392">
        <v>15</v>
      </c>
      <c r="Z576" s="393"/>
      <c r="AA576" s="394"/>
      <c r="AB576" s="395"/>
      <c r="AC576" s="395"/>
      <c r="AD576" s="394"/>
      <c r="AE576" s="395"/>
      <c r="AF576" s="317"/>
      <c r="AG576" s="396" t="s">
        <v>2072</v>
      </c>
      <c r="AH576" s="397"/>
      <c r="AI576" s="317">
        <v>10</v>
      </c>
      <c r="AJ576" s="397">
        <v>44144</v>
      </c>
      <c r="AK576" s="326" t="s">
        <v>889</v>
      </c>
      <c r="AL576" s="326">
        <v>44946</v>
      </c>
      <c r="AM576" s="316"/>
      <c r="AN576" s="305"/>
      <c r="AO576" s="327" t="str">
        <f>_xlfn.IFNA(IF(VLOOKUP(tabItens[[#This Row],[CÓDIGO]],tabExcluirDoEstoque[#Data],1,FALSE),"sim",""),"")</f>
        <v/>
      </c>
      <c r="AP576" s="398" t="str">
        <f ca="1">IF(OR(ISBLANK(tabItens[[#This Row],[ATA DT.VALID.]]),tabItens[[#This Row],[ATA DT.VALID.]]="",tabItens[[#This Row],[ATA DT.VALID.]]=" "),"",IF(TYPE(tabItens[[#This Row],[ATA DT.VALID.]])=1,ROUNDUP((tabItens[[#This Row],[ATA DT.VALID.]]-TODAY())/7,0),""))</f>
        <v/>
      </c>
      <c r="AQ576" s="399">
        <v>0</v>
      </c>
      <c r="AR576" s="400" t="str">
        <f>IF(ISBLANK(tabItens[[#This Row],[CÓDIGO]]),"",IFERROR(VLOOKUP(tabItens[[#This Row],[CÓDIGO]],Consumo!$C$2:$AC$862,26,FALSE),0))</f>
        <v>05.2023</v>
      </c>
      <c r="AS576" s="401">
        <f>SUMIF(Consumo!$C$3:$C$862,tabItens[[#This Row],[CÓDIGO]],Consumo!$N$3:$N$862) + SUMIF(Consumo!$C$3:$C$862,tabItens[[#This Row],[CÓDIGO]],Consumo!$O$3:$O$862) + SUMIF(Consumo!$C$3:$C$862,tabItens[[#This Row],[CÓDIGO]],Consumo!$P$3:$P$862) + SUMIF(Consumo!$C$3:$C$862,tabItens[[#This Row],[CÓDIGO]],Consumo!$Q$3:$Q$862)</f>
        <v>0</v>
      </c>
      <c r="AT576" s="401">
        <f>SUMIF(Consumo!$C$3:$C$862,tabItens[[#This Row],[CÓDIGO]],Consumo!$Z$3:$Z$862)</f>
        <v>23</v>
      </c>
      <c r="AU576" s="402">
        <f>SUMIF(Consumo!$C$3:$C$862,tabItens[[#This Row],[CÓDIGO]],Consumo!$AA$3:$AA$862)</f>
        <v>17</v>
      </c>
      <c r="AV576" s="403">
        <f>SUMIF(Consumo!$C$3:$C$862,tabItens[[#This Row],[CÓDIGO]],Consumo!$Y$3:$Y$862)</f>
        <v>1.4166666666666667</v>
      </c>
      <c r="AW576" s="380">
        <f>tabItens[[#This Row],[QTDE ATUAL]] + tabItens[[#This Row],[RC QTDE]] + tabItens[[#This Row],[AF SALDO]] + tabItens[[#This Row],[Recentes]]</f>
        <v>104</v>
      </c>
      <c r="AX576" s="404">
        <v>9</v>
      </c>
      <c r="AY576" s="404">
        <v>4</v>
      </c>
      <c r="AZ576" s="404">
        <f>IF(ISBLANK(tabItens[[#This Row],[CÓDIGO]]),"",tabItens[[#This Row],[PontoMês]] * (AZ$2+tabItens[[#This Row],[PontoQtM]]))</f>
        <v>36</v>
      </c>
      <c r="BA576" s="403">
        <f>tabItens[[#This Row],[PontoPed]] - tabItens[[#This Row],[Saldo]] + (1/10)</f>
        <v>-67.900000000000006</v>
      </c>
      <c r="BB576" s="403">
        <f xml:space="preserve"> tabItens[[#This Row],[PontoMês]] * BB$2 - tabItens[[#This Row],[QTDE ATUAL]] - (1/10)</f>
        <v>-95.1</v>
      </c>
      <c r="BC576" s="335">
        <f>IF( tabItens[[#This Row],[PontoPed]]&gt;0, IF(tabItens[[#This Row],[PontoPed]]&lt;1, 1, IF( tabItens[[#This Row],[Saldo]]&gt;tabItens[[#This Row],[PontoPed]], 0, (tabItens[[#This Row],[PontoPed]]-tabItens[[#This Row],[Saldo]])/tabItens[[#This Row],[PontoPed]] ) ), 0 )</f>
        <v>0</v>
      </c>
      <c r="BD576" s="405">
        <f>ROUNDDOWN(IF( OR( AND(tabItens[[#This Row],[PontoPed]]&lt;tabItens[[#This Row],[Saldo]],tabItens[[#This Row],[Saldo]]&gt;0), tabItens[[#This Row],[PontoPed]]=0), 99, IF(AND(tabItens[[#This Row],[Saldo]]=0,tabItens[[#This Row],[PontoPed]]&gt;0), 0, (1-tabItens[[#This Row],[PctAb]])*10 ) ),0)</f>
        <v>99</v>
      </c>
      <c r="BE576" s="406">
        <f>MAX(ROUNDDOWN( IF(tabItens[[#This Row],[Abaixo]] &gt; 0,   tabItens[[#This Row],[Abaixo]] + (tabItens[[#This Row],[PontoMês]] * IF( OR( ISBLANK(tabItens[[#This Row],[ATA Nº/ANO]]), tabItens[[#This Row],[ATA Nº/ANO]] = ""),BE$2,BE$1)),0),0),0)</f>
        <v>0</v>
      </c>
      <c r="BF57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6" s="338">
        <f>SUMIF(Consumo!$C$3:$C$862,tabItens[[#This Row],[CÓDIGO]],Consumo!$E$3:$E$862)</f>
        <v>0</v>
      </c>
      <c r="BH576" s="339">
        <f>IF(AND(tabItens[[#This Row],[Pend]] &gt; 0,tabItens[[#This Row],[Consumo]] &lt;&gt; 0), tabItens[[#This Row],[Pend]] / tabItens[[#This Row],[Consumo]], 0 )</f>
        <v>0</v>
      </c>
      <c r="BI576" s="338"/>
      <c r="BJ576" s="407"/>
      <c r="BK576" s="408" t="s">
        <v>2086</v>
      </c>
    </row>
    <row r="577" spans="1:63" x14ac:dyDescent="0.3">
      <c r="A577" s="375">
        <v>15066</v>
      </c>
      <c r="B577" s="376" t="s">
        <v>1083</v>
      </c>
      <c r="C577" s="377" t="s">
        <v>263</v>
      </c>
      <c r="D577" s="378">
        <v>39</v>
      </c>
      <c r="E577" s="305"/>
      <c r="F577" s="379"/>
      <c r="G577" s="379" t="s">
        <v>889</v>
      </c>
      <c r="H577" s="380">
        <v>129</v>
      </c>
      <c r="I577" s="307">
        <v>103003</v>
      </c>
      <c r="J577" s="308">
        <v>39</v>
      </c>
      <c r="K577" s="381">
        <v>157</v>
      </c>
      <c r="L577" s="382">
        <f>IF(tabItens[[#This Row],[Média]] &gt; 0, tabItens[[#This Row],[QTDE ATUAL]] / tabItens[[#This Row],[Média]],999.9)</f>
        <v>10.901408450704224</v>
      </c>
      <c r="M577" s="383">
        <v>0</v>
      </c>
      <c r="N577" s="384">
        <f>tabItens[[#This Row],[VALOR UNIT.]] * tabItens[[#This Row],[LC]]</f>
        <v>0</v>
      </c>
      <c r="O577" s="385" t="s">
        <v>2097</v>
      </c>
      <c r="P577" s="386"/>
      <c r="Q577" s="387"/>
      <c r="R577" s="312"/>
      <c r="S577" s="388"/>
      <c r="T577" s="389">
        <f>ROUNDDOWN(IFERROR(tabItens[[#This Row],[ATA DT.VALID.]] - $D$1,0) / 30,0)</f>
        <v>-1474</v>
      </c>
      <c r="U577" s="302" t="s">
        <v>1011</v>
      </c>
      <c r="V577" s="318">
        <v>1</v>
      </c>
      <c r="W577" s="390" t="s">
        <v>2076</v>
      </c>
      <c r="X577" s="391">
        <v>61</v>
      </c>
      <c r="Y577" s="392">
        <v>15</v>
      </c>
      <c r="Z577" s="393"/>
      <c r="AA577" s="394"/>
      <c r="AB577" s="395"/>
      <c r="AC577" s="395"/>
      <c r="AD577" s="394"/>
      <c r="AE577" s="395"/>
      <c r="AF577" s="317"/>
      <c r="AG577" s="396" t="s">
        <v>2072</v>
      </c>
      <c r="AH577" s="397"/>
      <c r="AI577" s="317">
        <v>48</v>
      </c>
      <c r="AJ577" s="397">
        <v>44613</v>
      </c>
      <c r="AK577" s="326" t="s">
        <v>889</v>
      </c>
      <c r="AL577" s="326">
        <v>44607</v>
      </c>
      <c r="AM577" s="316"/>
      <c r="AN577" s="305"/>
      <c r="AO577" s="327" t="str">
        <f>_xlfn.IFNA(IF(VLOOKUP(tabItens[[#This Row],[CÓDIGO]],tabExcluirDoEstoque[#Data],1,FALSE),"sim",""),"")</f>
        <v/>
      </c>
      <c r="AP577" s="398" t="str">
        <f ca="1">IF(OR(ISBLANK(tabItens[[#This Row],[ATA DT.VALID.]]),tabItens[[#This Row],[ATA DT.VALID.]]="",tabItens[[#This Row],[ATA DT.VALID.]]=" "),"",IF(TYPE(tabItens[[#This Row],[ATA DT.VALID.]])=1,ROUNDUP((tabItens[[#This Row],[ATA DT.VALID.]]-TODAY())/7,0),""))</f>
        <v/>
      </c>
      <c r="AQ577" s="399">
        <v>0</v>
      </c>
      <c r="AR577" s="400" t="str">
        <f>IF(ISBLANK(tabItens[[#This Row],[CÓDIGO]]),"",IFERROR(VLOOKUP(tabItens[[#This Row],[CÓDIGO]],Consumo!$C$2:$AC$862,26,FALSE),0))</f>
        <v>08.2023</v>
      </c>
      <c r="AS577" s="401">
        <f>SUMIF(Consumo!$C$3:$C$862,tabItens[[#This Row],[CÓDIGO]],Consumo!$N$3:$N$862) + SUMIF(Consumo!$C$3:$C$862,tabItens[[#This Row],[CÓDIGO]],Consumo!$O$3:$O$862) + SUMIF(Consumo!$C$3:$C$862,tabItens[[#This Row],[CÓDIGO]],Consumo!$P$3:$P$862) + SUMIF(Consumo!$C$3:$C$862,tabItens[[#This Row],[CÓDIGO]],Consumo!$Q$3:$Q$862)</f>
        <v>50</v>
      </c>
      <c r="AT577" s="401">
        <f>SUMIF(Consumo!$C$3:$C$862,tabItens[[#This Row],[CÓDIGO]],Consumo!$Z$3:$Z$862)</f>
        <v>145</v>
      </c>
      <c r="AU577" s="402">
        <f>SUMIF(Consumo!$C$3:$C$862,tabItens[[#This Row],[CÓDIGO]],Consumo!$AA$3:$AA$862)</f>
        <v>50</v>
      </c>
      <c r="AV577" s="403">
        <f>SUMIF(Consumo!$C$3:$C$862,tabItens[[#This Row],[CÓDIGO]],Consumo!$Y$3:$Y$862)</f>
        <v>11.833333333333334</v>
      </c>
      <c r="AW577" s="380">
        <f>tabItens[[#This Row],[QTDE ATUAL]] + tabItens[[#This Row],[RC QTDE]] + tabItens[[#This Row],[AF SALDO]] + tabItens[[#This Row],[Recentes]]</f>
        <v>129</v>
      </c>
      <c r="AX577" s="404">
        <v>17</v>
      </c>
      <c r="AY577" s="404">
        <v>4</v>
      </c>
      <c r="AZ577" s="404">
        <f>IF(ISBLANK(tabItens[[#This Row],[CÓDIGO]]),"",tabItens[[#This Row],[PontoMês]] * (AZ$2+tabItens[[#This Row],[PontoQtM]]))</f>
        <v>68</v>
      </c>
      <c r="BA577" s="403">
        <f>tabItens[[#This Row],[PontoPed]] - tabItens[[#This Row],[Saldo]] + (1/10)</f>
        <v>-60.9</v>
      </c>
      <c r="BB577" s="403">
        <f xml:space="preserve"> tabItens[[#This Row],[PontoMês]] * BB$2 - tabItens[[#This Row],[QTDE ATUAL]] - (1/10)</f>
        <v>-112.1</v>
      </c>
      <c r="BC577" s="335">
        <f>IF( tabItens[[#This Row],[PontoPed]]&gt;0, IF(tabItens[[#This Row],[PontoPed]]&lt;1, 1, IF( tabItens[[#This Row],[Saldo]]&gt;tabItens[[#This Row],[PontoPed]], 0, (tabItens[[#This Row],[PontoPed]]-tabItens[[#This Row],[Saldo]])/tabItens[[#This Row],[PontoPed]] ) ), 0 )</f>
        <v>0</v>
      </c>
      <c r="BD577" s="405">
        <f>ROUNDDOWN(IF( OR( AND(tabItens[[#This Row],[PontoPed]]&lt;tabItens[[#This Row],[Saldo]],tabItens[[#This Row],[Saldo]]&gt;0), tabItens[[#This Row],[PontoPed]]=0), 99, IF(AND(tabItens[[#This Row],[Saldo]]=0,tabItens[[#This Row],[PontoPed]]&gt;0), 0, (1-tabItens[[#This Row],[PctAb]])*10 ) ),0)</f>
        <v>99</v>
      </c>
      <c r="BE577" s="406">
        <f>MAX(ROUNDDOWN( IF(tabItens[[#This Row],[Abaixo]] &gt; 0,   tabItens[[#This Row],[Abaixo]] + (tabItens[[#This Row],[PontoMês]] * IF( OR( ISBLANK(tabItens[[#This Row],[ATA Nº/ANO]]), tabItens[[#This Row],[ATA Nº/ANO]] = ""),BE$2,BE$1)),0),0),0)</f>
        <v>0</v>
      </c>
      <c r="BF57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7" s="338">
        <f>SUMIF(Consumo!$C$3:$C$862,tabItens[[#This Row],[CÓDIGO]],Consumo!$E$3:$E$862)</f>
        <v>0</v>
      </c>
      <c r="BH577" s="339">
        <f>IF(AND(tabItens[[#This Row],[Pend]] &gt; 0,tabItens[[#This Row],[Consumo]] &lt;&gt; 0), tabItens[[#This Row],[Pend]] / tabItens[[#This Row],[Consumo]], 0 )</f>
        <v>0</v>
      </c>
      <c r="BI577" s="338"/>
      <c r="BJ577" s="407"/>
      <c r="BK577" s="408" t="s">
        <v>2086</v>
      </c>
    </row>
    <row r="578" spans="1:63" x14ac:dyDescent="0.3">
      <c r="A578" s="375">
        <v>25630</v>
      </c>
      <c r="B578" s="376" t="s">
        <v>1207</v>
      </c>
      <c r="C578" s="377" t="s">
        <v>263</v>
      </c>
      <c r="D578" s="378">
        <v>62.87</v>
      </c>
      <c r="E578" s="305"/>
      <c r="F578" s="379"/>
      <c r="G578" s="379" t="s">
        <v>889</v>
      </c>
      <c r="H578" s="380">
        <v>124</v>
      </c>
      <c r="I578" s="307">
        <v>103003</v>
      </c>
      <c r="J578" s="308">
        <v>62.87</v>
      </c>
      <c r="K578" s="381">
        <v>58</v>
      </c>
      <c r="L578" s="382">
        <f>IF(tabItens[[#This Row],[Média]] &gt; 0, tabItens[[#This Row],[QTDE ATUAL]] / tabItens[[#This Row],[Média]],999.9)</f>
        <v>22.892307692307693</v>
      </c>
      <c r="M578" s="383">
        <v>0</v>
      </c>
      <c r="N578" s="384">
        <f>tabItens[[#This Row],[VALOR UNIT.]] * tabItens[[#This Row],[LC]]</f>
        <v>0</v>
      </c>
      <c r="O578" s="385" t="s">
        <v>2097</v>
      </c>
      <c r="P578" s="386"/>
      <c r="Q578" s="387"/>
      <c r="R578" s="312"/>
      <c r="S578" s="388"/>
      <c r="T578" s="389">
        <f>ROUNDDOWN(IFERROR(tabItens[[#This Row],[ATA DT.VALID.]] - $D$1,0) / 30,0)</f>
        <v>-1474</v>
      </c>
      <c r="U578" s="302" t="s">
        <v>1011</v>
      </c>
      <c r="V578" s="318">
        <v>1</v>
      </c>
      <c r="W578" s="390" t="s">
        <v>2076</v>
      </c>
      <c r="X578" s="391">
        <v>61</v>
      </c>
      <c r="Y578" s="392">
        <v>15</v>
      </c>
      <c r="Z578" s="393"/>
      <c r="AA578" s="394"/>
      <c r="AB578" s="395"/>
      <c r="AC578" s="395"/>
      <c r="AD578" s="394"/>
      <c r="AE578" s="395"/>
      <c r="AF578" s="317"/>
      <c r="AG578" s="396" t="s">
        <v>2072</v>
      </c>
      <c r="AH578" s="397"/>
      <c r="AI578" s="317">
        <v>22</v>
      </c>
      <c r="AJ578" s="397">
        <v>44526</v>
      </c>
      <c r="AK578" s="326" t="s">
        <v>889</v>
      </c>
      <c r="AL578" s="326">
        <v>45096</v>
      </c>
      <c r="AM578" s="316"/>
      <c r="AN578" s="305"/>
      <c r="AO578" s="327" t="str">
        <f>_xlfn.IFNA(IF(VLOOKUP(tabItens[[#This Row],[CÓDIGO]],tabExcluirDoEstoque[#Data],1,FALSE),"sim",""),"")</f>
        <v/>
      </c>
      <c r="AP578" s="398" t="str">
        <f ca="1">IF(OR(ISBLANK(tabItens[[#This Row],[ATA DT.VALID.]]),tabItens[[#This Row],[ATA DT.VALID.]]="",tabItens[[#This Row],[ATA DT.VALID.]]=" "),"",IF(TYPE(tabItens[[#This Row],[ATA DT.VALID.]])=1,ROUNDUP((tabItens[[#This Row],[ATA DT.VALID.]]-TODAY())/7,0),""))</f>
        <v/>
      </c>
      <c r="AQ578" s="399">
        <v>0</v>
      </c>
      <c r="AR578" s="400" t="str">
        <f>IF(ISBLANK(tabItens[[#This Row],[CÓDIGO]]),"",IFERROR(VLOOKUP(tabItens[[#This Row],[CÓDIGO]],Consumo!$C$2:$AC$862,26,FALSE),0))</f>
        <v>08.2023</v>
      </c>
      <c r="AS578" s="401">
        <f>SUMIF(Consumo!$C$3:$C$862,tabItens[[#This Row],[CÓDIGO]],Consumo!$N$3:$N$862) + SUMIF(Consumo!$C$3:$C$862,tabItens[[#This Row],[CÓDIGO]],Consumo!$O$3:$O$862) + SUMIF(Consumo!$C$3:$C$862,tabItens[[#This Row],[CÓDIGO]],Consumo!$P$3:$P$862) + SUMIF(Consumo!$C$3:$C$862,tabItens[[#This Row],[CÓDIGO]],Consumo!$Q$3:$Q$862)</f>
        <v>10</v>
      </c>
      <c r="AT578" s="401">
        <f>SUMIF(Consumo!$C$3:$C$862,tabItens[[#This Row],[CÓDIGO]],Consumo!$Z$3:$Z$862)</f>
        <v>67</v>
      </c>
      <c r="AU578" s="402">
        <f>SUMIF(Consumo!$C$3:$C$862,tabItens[[#This Row],[CÓDIGO]],Consumo!$AA$3:$AA$862)</f>
        <v>18</v>
      </c>
      <c r="AV578" s="403">
        <f>SUMIF(Consumo!$C$3:$C$862,tabItens[[#This Row],[CÓDIGO]],Consumo!$Y$3:$Y$862)</f>
        <v>5.416666666666667</v>
      </c>
      <c r="AW578" s="380">
        <f>tabItens[[#This Row],[QTDE ATUAL]] + tabItens[[#This Row],[RC QTDE]] + tabItens[[#This Row],[AF SALDO]] + tabItens[[#This Row],[Recentes]]</f>
        <v>124</v>
      </c>
      <c r="AX578" s="404">
        <v>6</v>
      </c>
      <c r="AY578" s="404">
        <v>4</v>
      </c>
      <c r="AZ578" s="404">
        <f>IF(ISBLANK(tabItens[[#This Row],[CÓDIGO]]),"",tabItens[[#This Row],[PontoMês]] * (AZ$2+tabItens[[#This Row],[PontoQtM]]))</f>
        <v>24</v>
      </c>
      <c r="BA578" s="403">
        <f>tabItens[[#This Row],[PontoPed]] - tabItens[[#This Row],[Saldo]] + (1/10)</f>
        <v>-99.9</v>
      </c>
      <c r="BB578" s="403">
        <f xml:space="preserve"> tabItens[[#This Row],[PontoMês]] * BB$2 - tabItens[[#This Row],[QTDE ATUAL]] - (1/10)</f>
        <v>-118.1</v>
      </c>
      <c r="BC578" s="335">
        <f>IF( tabItens[[#This Row],[PontoPed]]&gt;0, IF(tabItens[[#This Row],[PontoPed]]&lt;1, 1, IF( tabItens[[#This Row],[Saldo]]&gt;tabItens[[#This Row],[PontoPed]], 0, (tabItens[[#This Row],[PontoPed]]-tabItens[[#This Row],[Saldo]])/tabItens[[#This Row],[PontoPed]] ) ), 0 )</f>
        <v>0</v>
      </c>
      <c r="BD578" s="405">
        <f>ROUNDDOWN(IF( OR( AND(tabItens[[#This Row],[PontoPed]]&lt;tabItens[[#This Row],[Saldo]],tabItens[[#This Row],[Saldo]]&gt;0), tabItens[[#This Row],[PontoPed]]=0), 99, IF(AND(tabItens[[#This Row],[Saldo]]=0,tabItens[[#This Row],[PontoPed]]&gt;0), 0, (1-tabItens[[#This Row],[PctAb]])*10 ) ),0)</f>
        <v>99</v>
      </c>
      <c r="BE578" s="406">
        <f>MAX(ROUNDDOWN( IF(tabItens[[#This Row],[Abaixo]] &gt; 0,   tabItens[[#This Row],[Abaixo]] + (tabItens[[#This Row],[PontoMês]] * IF( OR( ISBLANK(tabItens[[#This Row],[ATA Nº/ANO]]), tabItens[[#This Row],[ATA Nº/ANO]] = ""),BE$2,BE$1)),0),0),0)</f>
        <v>0</v>
      </c>
      <c r="BF57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8" s="338">
        <f>SUMIF(Consumo!$C$3:$C$862,tabItens[[#This Row],[CÓDIGO]],Consumo!$E$3:$E$862)</f>
        <v>0</v>
      </c>
      <c r="BH578" s="339">
        <f>IF(AND(tabItens[[#This Row],[Pend]] &gt; 0,tabItens[[#This Row],[Consumo]] &lt;&gt; 0), tabItens[[#This Row],[Pend]] / tabItens[[#This Row],[Consumo]], 0 )</f>
        <v>0</v>
      </c>
      <c r="BI578" s="338"/>
      <c r="BJ578" s="407"/>
      <c r="BK578" s="408" t="s">
        <v>2086</v>
      </c>
    </row>
    <row r="579" spans="1:63" x14ac:dyDescent="0.3">
      <c r="A579" s="375">
        <v>80385</v>
      </c>
      <c r="B579" s="376" t="s">
        <v>1465</v>
      </c>
      <c r="C579" s="377" t="s">
        <v>847</v>
      </c>
      <c r="D579" s="378">
        <v>29.12</v>
      </c>
      <c r="E579" s="305"/>
      <c r="F579" s="379"/>
      <c r="G579" s="379" t="s">
        <v>889</v>
      </c>
      <c r="H579" s="380">
        <v>20</v>
      </c>
      <c r="I579" s="307">
        <v>103003</v>
      </c>
      <c r="J579" s="308">
        <v>29.12</v>
      </c>
      <c r="K579" s="381">
        <v>60</v>
      </c>
      <c r="L579" s="382">
        <f>IF(tabItens[[#This Row],[Média]] &gt; 0, tabItens[[#This Row],[QTDE ATUAL]] / tabItens[[#This Row],[Média]],999.9)</f>
        <v>4.5283018867924527</v>
      </c>
      <c r="M579" s="383">
        <v>0</v>
      </c>
      <c r="N579" s="384">
        <f>tabItens[[#This Row],[VALOR UNIT.]] * tabItens[[#This Row],[LC]]</f>
        <v>0</v>
      </c>
      <c r="O579" s="385" t="s">
        <v>2097</v>
      </c>
      <c r="P579" s="386"/>
      <c r="Q579" s="387"/>
      <c r="R579" s="312"/>
      <c r="S579" s="388"/>
      <c r="T579" s="389">
        <f>ROUNDDOWN(IFERROR(tabItens[[#This Row],[ATA DT.VALID.]] - $D$1,0) / 30,0)</f>
        <v>-1474</v>
      </c>
      <c r="U579" s="302" t="s">
        <v>1011</v>
      </c>
      <c r="V579" s="318">
        <v>1</v>
      </c>
      <c r="W579" s="390" t="s">
        <v>2076</v>
      </c>
      <c r="X579" s="391">
        <v>61</v>
      </c>
      <c r="Y579" s="392">
        <v>15</v>
      </c>
      <c r="Z579" s="393"/>
      <c r="AA579" s="394"/>
      <c r="AB579" s="395"/>
      <c r="AC579" s="395"/>
      <c r="AD579" s="394"/>
      <c r="AE579" s="395"/>
      <c r="AF579" s="317"/>
      <c r="AG579" s="396" t="s">
        <v>2072</v>
      </c>
      <c r="AH579" s="397"/>
      <c r="AI579" s="317">
        <v>20</v>
      </c>
      <c r="AJ579" s="397">
        <v>44798</v>
      </c>
      <c r="AK579" s="326">
        <v>38169</v>
      </c>
      <c r="AL579" s="326">
        <v>44776</v>
      </c>
      <c r="AM579" s="316"/>
      <c r="AN579" s="305"/>
      <c r="AO579" s="327" t="str">
        <f>_xlfn.IFNA(IF(VLOOKUP(tabItens[[#This Row],[CÓDIGO]],tabExcluirDoEstoque[#Data],1,FALSE),"sim",""),"")</f>
        <v/>
      </c>
      <c r="AP579" s="398" t="str">
        <f ca="1">IF(OR(ISBLANK(tabItens[[#This Row],[ATA DT.VALID.]]),tabItens[[#This Row],[ATA DT.VALID.]]="",tabItens[[#This Row],[ATA DT.VALID.]]=" "),"",IF(TYPE(tabItens[[#This Row],[ATA DT.VALID.]])=1,ROUNDUP((tabItens[[#This Row],[ATA DT.VALID.]]-TODAY())/7,0),""))</f>
        <v/>
      </c>
      <c r="AQ579" s="399">
        <v>50</v>
      </c>
      <c r="AR579" s="400" t="str">
        <f>IF(ISBLANK(tabItens[[#This Row],[CÓDIGO]]),"",IFERROR(VLOOKUP(tabItens[[#This Row],[CÓDIGO]],Consumo!$C$2:$AC$862,26,FALSE),0))</f>
        <v>08.2023</v>
      </c>
      <c r="AS579" s="401">
        <f>SUMIF(Consumo!$C$3:$C$862,tabItens[[#This Row],[CÓDIGO]],Consumo!$N$3:$N$862) + SUMIF(Consumo!$C$3:$C$862,tabItens[[#This Row],[CÓDIGO]],Consumo!$O$3:$O$862) + SUMIF(Consumo!$C$3:$C$862,tabItens[[#This Row],[CÓDIGO]],Consumo!$P$3:$P$862) + SUMIF(Consumo!$C$3:$C$862,tabItens[[#This Row],[CÓDIGO]],Consumo!$Q$3:$Q$862)</f>
        <v>30</v>
      </c>
      <c r="AT579" s="401">
        <f>SUMIF(Consumo!$C$3:$C$862,tabItens[[#This Row],[CÓDIGO]],Consumo!$Z$3:$Z$862)</f>
        <v>60</v>
      </c>
      <c r="AU579" s="402">
        <f>SUMIF(Consumo!$C$3:$C$862,tabItens[[#This Row],[CÓDIGO]],Consumo!$AA$3:$AA$862)</f>
        <v>30</v>
      </c>
      <c r="AV579" s="403">
        <f>SUMIF(Consumo!$C$3:$C$862,tabItens[[#This Row],[CÓDIGO]],Consumo!$Y$3:$Y$862)</f>
        <v>4.416666666666667</v>
      </c>
      <c r="AW579" s="380">
        <f>tabItens[[#This Row],[QTDE ATUAL]] + tabItens[[#This Row],[RC QTDE]] + tabItens[[#This Row],[AF SALDO]] + tabItens[[#This Row],[Recentes]]</f>
        <v>70</v>
      </c>
      <c r="AX579" s="404">
        <v>3</v>
      </c>
      <c r="AY579" s="404">
        <v>4</v>
      </c>
      <c r="AZ579" s="404">
        <f>IF(ISBLANK(tabItens[[#This Row],[CÓDIGO]]),"",tabItens[[#This Row],[PontoMês]] * (AZ$2+tabItens[[#This Row],[PontoQtM]]))</f>
        <v>12</v>
      </c>
      <c r="BA579" s="403">
        <f>tabItens[[#This Row],[PontoPed]] - tabItens[[#This Row],[Saldo]] + (1/10)</f>
        <v>-57.9</v>
      </c>
      <c r="BB579" s="403">
        <f xml:space="preserve"> tabItens[[#This Row],[PontoMês]] * BB$2 - tabItens[[#This Row],[QTDE ATUAL]] - (1/10)</f>
        <v>-17.100000000000001</v>
      </c>
      <c r="BC579" s="335">
        <f>IF( tabItens[[#This Row],[PontoPed]]&gt;0, IF(tabItens[[#This Row],[PontoPed]]&lt;1, 1, IF( tabItens[[#This Row],[Saldo]]&gt;tabItens[[#This Row],[PontoPed]], 0, (tabItens[[#This Row],[PontoPed]]-tabItens[[#This Row],[Saldo]])/tabItens[[#This Row],[PontoPed]] ) ), 0 )</f>
        <v>0</v>
      </c>
      <c r="BD579" s="405">
        <f>ROUNDDOWN(IF( OR( AND(tabItens[[#This Row],[PontoPed]]&lt;tabItens[[#This Row],[Saldo]],tabItens[[#This Row],[Saldo]]&gt;0), tabItens[[#This Row],[PontoPed]]=0), 99, IF(AND(tabItens[[#This Row],[Saldo]]=0,tabItens[[#This Row],[PontoPed]]&gt;0), 0, (1-tabItens[[#This Row],[PctAb]])*10 ) ),0)</f>
        <v>99</v>
      </c>
      <c r="BE579" s="406">
        <f>MAX(ROUNDDOWN( IF(tabItens[[#This Row],[Abaixo]] &gt; 0,   tabItens[[#This Row],[Abaixo]] + (tabItens[[#This Row],[PontoMês]] * IF( OR( ISBLANK(tabItens[[#This Row],[ATA Nº/ANO]]), tabItens[[#This Row],[ATA Nº/ANO]] = ""),BE$2,BE$1)),0),0),0)</f>
        <v>0</v>
      </c>
      <c r="BF57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9" s="338">
        <f>SUMIF(Consumo!$C$3:$C$862,tabItens[[#This Row],[CÓDIGO]],Consumo!$E$3:$E$862)</f>
        <v>0</v>
      </c>
      <c r="BH579" s="339">
        <f>IF(AND(tabItens[[#This Row],[Pend]] &gt; 0,tabItens[[#This Row],[Consumo]] &lt;&gt; 0), tabItens[[#This Row],[Pend]] / tabItens[[#This Row],[Consumo]], 0 )</f>
        <v>0</v>
      </c>
      <c r="BI579" s="338"/>
      <c r="BJ579" s="407"/>
      <c r="BK579" s="408" t="s">
        <v>2086</v>
      </c>
    </row>
    <row r="580" spans="1:63" x14ac:dyDescent="0.3">
      <c r="A580" s="375">
        <v>80390</v>
      </c>
      <c r="B580" s="376" t="s">
        <v>1467</v>
      </c>
      <c r="C580" s="377" t="s">
        <v>263</v>
      </c>
      <c r="D580" s="378">
        <v>16.5</v>
      </c>
      <c r="E580" s="305"/>
      <c r="F580" s="379"/>
      <c r="G580" s="379" t="s">
        <v>889</v>
      </c>
      <c r="H580" s="380">
        <v>75</v>
      </c>
      <c r="I580" s="307">
        <v>103003</v>
      </c>
      <c r="J580" s="308">
        <v>16.5</v>
      </c>
      <c r="K580" s="381">
        <v>90</v>
      </c>
      <c r="L580" s="382">
        <f>IF(tabItens[[#This Row],[Média]] &gt; 0, tabItens[[#This Row],[QTDE ATUAL]] / tabItens[[#This Row],[Média]],999.9)</f>
        <v>12</v>
      </c>
      <c r="M580" s="383">
        <v>0</v>
      </c>
      <c r="N580" s="384">
        <f>tabItens[[#This Row],[VALOR UNIT.]] * tabItens[[#This Row],[LC]]</f>
        <v>0</v>
      </c>
      <c r="O580" s="385" t="s">
        <v>2097</v>
      </c>
      <c r="P580" s="386"/>
      <c r="Q580" s="387"/>
      <c r="R580" s="312"/>
      <c r="S580" s="388"/>
      <c r="T580" s="389">
        <f>ROUNDDOWN(IFERROR(tabItens[[#This Row],[ATA DT.VALID.]] - $D$1,0) / 30,0)</f>
        <v>-1474</v>
      </c>
      <c r="U580" s="302" t="s">
        <v>1011</v>
      </c>
      <c r="V580" s="318">
        <v>1</v>
      </c>
      <c r="W580" s="390" t="s">
        <v>2076</v>
      </c>
      <c r="X580" s="391">
        <v>61</v>
      </c>
      <c r="Y580" s="392">
        <v>15</v>
      </c>
      <c r="Z580" s="393"/>
      <c r="AA580" s="394"/>
      <c r="AB580" s="395"/>
      <c r="AC580" s="395"/>
      <c r="AD580" s="394"/>
      <c r="AE580" s="395"/>
      <c r="AF580" s="317"/>
      <c r="AG580" s="396" t="s">
        <v>2072</v>
      </c>
      <c r="AH580" s="397"/>
      <c r="AI580" s="317">
        <v>30</v>
      </c>
      <c r="AJ580" s="397">
        <v>44830</v>
      </c>
      <c r="AK580" s="326">
        <v>38169</v>
      </c>
      <c r="AL580" s="326">
        <v>44748</v>
      </c>
      <c r="AM580" s="316"/>
      <c r="AN580" s="305"/>
      <c r="AO580" s="327" t="str">
        <f>_xlfn.IFNA(IF(VLOOKUP(tabItens[[#This Row],[CÓDIGO]],tabExcluirDoEstoque[#Data],1,FALSE),"sim",""),"")</f>
        <v/>
      </c>
      <c r="AP580" s="398" t="str">
        <f ca="1">IF(OR(ISBLANK(tabItens[[#This Row],[ATA DT.VALID.]]),tabItens[[#This Row],[ATA DT.VALID.]]="",tabItens[[#This Row],[ATA DT.VALID.]]=" "),"",IF(TYPE(tabItens[[#This Row],[ATA DT.VALID.]])=1,ROUNDUP((tabItens[[#This Row],[ATA DT.VALID.]]-TODAY())/7,0),""))</f>
        <v/>
      </c>
      <c r="AQ580" s="399">
        <v>0</v>
      </c>
      <c r="AR580" s="400" t="str">
        <f>IF(ISBLANK(tabItens[[#This Row],[CÓDIGO]]),"",IFERROR(VLOOKUP(tabItens[[#This Row],[CÓDIGO]],Consumo!$C$2:$AC$862,26,FALSE),0))</f>
        <v>05.2023</v>
      </c>
      <c r="AS580" s="401">
        <f>SUMIF(Consumo!$C$3:$C$862,tabItens[[#This Row],[CÓDIGO]],Consumo!$N$3:$N$862) + SUMIF(Consumo!$C$3:$C$862,tabItens[[#This Row],[CÓDIGO]],Consumo!$O$3:$O$862) + SUMIF(Consumo!$C$3:$C$862,tabItens[[#This Row],[CÓDIGO]],Consumo!$P$3:$P$862) + SUMIF(Consumo!$C$3:$C$862,tabItens[[#This Row],[CÓDIGO]],Consumo!$Q$3:$Q$862)</f>
        <v>0</v>
      </c>
      <c r="AT580" s="401">
        <f>SUMIF(Consumo!$C$3:$C$862,tabItens[[#This Row],[CÓDIGO]],Consumo!$Z$3:$Z$862)</f>
        <v>90</v>
      </c>
      <c r="AU580" s="402">
        <f>SUMIF(Consumo!$C$3:$C$862,tabItens[[#This Row],[CÓDIGO]],Consumo!$AA$3:$AA$862)</f>
        <v>50</v>
      </c>
      <c r="AV580" s="403">
        <f>SUMIF(Consumo!$C$3:$C$862,tabItens[[#This Row],[CÓDIGO]],Consumo!$Y$3:$Y$862)</f>
        <v>6.25</v>
      </c>
      <c r="AW580" s="380">
        <f>tabItens[[#This Row],[QTDE ATUAL]] + tabItens[[#This Row],[RC QTDE]] + tabItens[[#This Row],[AF SALDO]] + tabItens[[#This Row],[Recentes]]</f>
        <v>75</v>
      </c>
      <c r="AX580" s="404">
        <v>9</v>
      </c>
      <c r="AY580" s="404">
        <v>4</v>
      </c>
      <c r="AZ580" s="404">
        <f>IF(ISBLANK(tabItens[[#This Row],[CÓDIGO]]),"",tabItens[[#This Row],[PontoMês]] * (AZ$2+tabItens[[#This Row],[PontoQtM]]))</f>
        <v>36</v>
      </c>
      <c r="BA580" s="403">
        <f>tabItens[[#This Row],[PontoPed]] - tabItens[[#This Row],[Saldo]] + (1/10)</f>
        <v>-38.9</v>
      </c>
      <c r="BB580" s="403">
        <f xml:space="preserve"> tabItens[[#This Row],[PontoMês]] * BB$2 - tabItens[[#This Row],[QTDE ATUAL]] - (1/10)</f>
        <v>-66.099999999999994</v>
      </c>
      <c r="BC580" s="335">
        <f>IF( tabItens[[#This Row],[PontoPed]]&gt;0, IF(tabItens[[#This Row],[PontoPed]]&lt;1, 1, IF( tabItens[[#This Row],[Saldo]]&gt;tabItens[[#This Row],[PontoPed]], 0, (tabItens[[#This Row],[PontoPed]]-tabItens[[#This Row],[Saldo]])/tabItens[[#This Row],[PontoPed]] ) ), 0 )</f>
        <v>0</v>
      </c>
      <c r="BD580" s="405">
        <f>ROUNDDOWN(IF( OR( AND(tabItens[[#This Row],[PontoPed]]&lt;tabItens[[#This Row],[Saldo]],tabItens[[#This Row],[Saldo]]&gt;0), tabItens[[#This Row],[PontoPed]]=0), 99, IF(AND(tabItens[[#This Row],[Saldo]]=0,tabItens[[#This Row],[PontoPed]]&gt;0), 0, (1-tabItens[[#This Row],[PctAb]])*10 ) ),0)</f>
        <v>99</v>
      </c>
      <c r="BE580" s="406">
        <f>MAX(ROUNDDOWN( IF(tabItens[[#This Row],[Abaixo]] &gt; 0,   tabItens[[#This Row],[Abaixo]] + (tabItens[[#This Row],[PontoMês]] * IF( OR( ISBLANK(tabItens[[#This Row],[ATA Nº/ANO]]), tabItens[[#This Row],[ATA Nº/ANO]] = ""),BE$2,BE$1)),0),0),0)</f>
        <v>0</v>
      </c>
      <c r="BF58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0" s="338">
        <f>SUMIF(Consumo!$C$3:$C$862,tabItens[[#This Row],[CÓDIGO]],Consumo!$E$3:$E$862)</f>
        <v>0</v>
      </c>
      <c r="BH580" s="339">
        <f>IF(AND(tabItens[[#This Row],[Pend]] &gt; 0,tabItens[[#This Row],[Consumo]] &lt;&gt; 0), tabItens[[#This Row],[Pend]] / tabItens[[#This Row],[Consumo]], 0 )</f>
        <v>0</v>
      </c>
      <c r="BI580" s="338"/>
      <c r="BJ580" s="407"/>
      <c r="BK580" s="408" t="s">
        <v>2086</v>
      </c>
    </row>
    <row r="581" spans="1:63" x14ac:dyDescent="0.3">
      <c r="A581" s="375">
        <v>81807</v>
      </c>
      <c r="B581" s="376" t="s">
        <v>1484</v>
      </c>
      <c r="C581" s="377" t="s">
        <v>263</v>
      </c>
      <c r="D581" s="378">
        <v>43.41</v>
      </c>
      <c r="E581" s="305"/>
      <c r="F581" s="379"/>
      <c r="G581" s="379" t="s">
        <v>889</v>
      </c>
      <c r="H581" s="380">
        <v>31</v>
      </c>
      <c r="I581" s="307">
        <v>103003</v>
      </c>
      <c r="J581" s="308">
        <v>43.41</v>
      </c>
      <c r="K581" s="381">
        <v>6</v>
      </c>
      <c r="L581" s="382">
        <f>IF(tabItens[[#This Row],[Média]] &gt; 0, tabItens[[#This Row],[QTDE ATUAL]] / tabItens[[#This Row],[Média]],999.9)</f>
        <v>124</v>
      </c>
      <c r="M581" s="383">
        <v>0</v>
      </c>
      <c r="N581" s="384">
        <f>tabItens[[#This Row],[VALOR UNIT.]] * tabItens[[#This Row],[LC]]</f>
        <v>0</v>
      </c>
      <c r="O581" s="385" t="s">
        <v>2097</v>
      </c>
      <c r="P581" s="386"/>
      <c r="Q581" s="387"/>
      <c r="R581" s="312"/>
      <c r="S581" s="388"/>
      <c r="T581" s="389">
        <f>ROUNDDOWN(IFERROR(tabItens[[#This Row],[ATA DT.VALID.]] - $D$1,0) / 30,0)</f>
        <v>-1474</v>
      </c>
      <c r="U581" s="302" t="s">
        <v>1011</v>
      </c>
      <c r="V581" s="318">
        <v>1</v>
      </c>
      <c r="W581" s="390" t="s">
        <v>2076</v>
      </c>
      <c r="X581" s="391">
        <v>61</v>
      </c>
      <c r="Y581" s="392">
        <v>15</v>
      </c>
      <c r="Z581" s="393"/>
      <c r="AA581" s="394"/>
      <c r="AB581" s="395"/>
      <c r="AC581" s="395"/>
      <c r="AD581" s="394"/>
      <c r="AE581" s="395"/>
      <c r="AF581" s="317"/>
      <c r="AG581" s="396" t="s">
        <v>2072</v>
      </c>
      <c r="AH581" s="397"/>
      <c r="AI581" s="317">
        <v>2</v>
      </c>
      <c r="AJ581" s="397">
        <v>45170</v>
      </c>
      <c r="AK581" s="326">
        <v>38246</v>
      </c>
      <c r="AL581" s="326">
        <v>45180</v>
      </c>
      <c r="AM581" s="316"/>
      <c r="AN581" s="305"/>
      <c r="AO581" s="327" t="str">
        <f>_xlfn.IFNA(IF(VLOOKUP(tabItens[[#This Row],[CÓDIGO]],tabExcluirDoEstoque[#Data],1,FALSE),"sim",""),"")</f>
        <v/>
      </c>
      <c r="AP581" s="398" t="str">
        <f ca="1">IF(OR(ISBLANK(tabItens[[#This Row],[ATA DT.VALID.]]),tabItens[[#This Row],[ATA DT.VALID.]]="",tabItens[[#This Row],[ATA DT.VALID.]]=" "),"",IF(TYPE(tabItens[[#This Row],[ATA DT.VALID.]])=1,ROUNDUP((tabItens[[#This Row],[ATA DT.VALID.]]-TODAY())/7,0),""))</f>
        <v/>
      </c>
      <c r="AQ581" s="399">
        <v>0</v>
      </c>
      <c r="AR581" s="400" t="str">
        <f>IF(ISBLANK(tabItens[[#This Row],[CÓDIGO]]),"",IFERROR(VLOOKUP(tabItens[[#This Row],[CÓDIGO]],Consumo!$C$2:$AC$862,26,FALSE),0))</f>
        <v>03.2023</v>
      </c>
      <c r="AS581" s="401">
        <f>SUMIF(Consumo!$C$3:$C$862,tabItens[[#This Row],[CÓDIGO]],Consumo!$N$3:$N$862) + SUMIF(Consumo!$C$3:$C$862,tabItens[[#This Row],[CÓDIGO]],Consumo!$O$3:$O$862) + SUMIF(Consumo!$C$3:$C$862,tabItens[[#This Row],[CÓDIGO]],Consumo!$P$3:$P$862) + SUMIF(Consumo!$C$3:$C$862,tabItens[[#This Row],[CÓDIGO]],Consumo!$Q$3:$Q$862)</f>
        <v>0</v>
      </c>
      <c r="AT581" s="401">
        <f>SUMIF(Consumo!$C$3:$C$862,tabItens[[#This Row],[CÓDIGO]],Consumo!$Z$3:$Z$862)</f>
        <v>6</v>
      </c>
      <c r="AU581" s="402">
        <f>SUMIF(Consumo!$C$3:$C$862,tabItens[[#This Row],[CÓDIGO]],Consumo!$AA$3:$AA$862)</f>
        <v>6</v>
      </c>
      <c r="AV581" s="403">
        <f>SUMIF(Consumo!$C$3:$C$862,tabItens[[#This Row],[CÓDIGO]],Consumo!$Y$3:$Y$862)</f>
        <v>0.25</v>
      </c>
      <c r="AW581" s="380">
        <f>tabItens[[#This Row],[QTDE ATUAL]] + tabItens[[#This Row],[RC QTDE]] + tabItens[[#This Row],[AF SALDO]] + tabItens[[#This Row],[Recentes]]</f>
        <v>31</v>
      </c>
      <c r="AX581" s="404">
        <v>3</v>
      </c>
      <c r="AY581" s="404">
        <v>4</v>
      </c>
      <c r="AZ581" s="404">
        <f>IF(ISBLANK(tabItens[[#This Row],[CÓDIGO]]),"",tabItens[[#This Row],[PontoMês]] * (AZ$2+tabItens[[#This Row],[PontoQtM]]))</f>
        <v>12</v>
      </c>
      <c r="BA581" s="403">
        <f>tabItens[[#This Row],[PontoPed]] - tabItens[[#This Row],[Saldo]] + (1/10)</f>
        <v>-18.899999999999999</v>
      </c>
      <c r="BB581" s="403">
        <f xml:space="preserve"> tabItens[[#This Row],[PontoMês]] * BB$2 - tabItens[[#This Row],[QTDE ATUAL]] - (1/10)</f>
        <v>-28.1</v>
      </c>
      <c r="BC581" s="335">
        <f>IF( tabItens[[#This Row],[PontoPed]]&gt;0, IF(tabItens[[#This Row],[PontoPed]]&lt;1, 1, IF( tabItens[[#This Row],[Saldo]]&gt;tabItens[[#This Row],[PontoPed]], 0, (tabItens[[#This Row],[PontoPed]]-tabItens[[#This Row],[Saldo]])/tabItens[[#This Row],[PontoPed]] ) ), 0 )</f>
        <v>0</v>
      </c>
      <c r="BD581" s="405">
        <f>ROUNDDOWN(IF( OR( AND(tabItens[[#This Row],[PontoPed]]&lt;tabItens[[#This Row],[Saldo]],tabItens[[#This Row],[Saldo]]&gt;0), tabItens[[#This Row],[PontoPed]]=0), 99, IF(AND(tabItens[[#This Row],[Saldo]]=0,tabItens[[#This Row],[PontoPed]]&gt;0), 0, (1-tabItens[[#This Row],[PctAb]])*10 ) ),0)</f>
        <v>99</v>
      </c>
      <c r="BE581" s="406">
        <f>MAX(ROUNDDOWN( IF(tabItens[[#This Row],[Abaixo]] &gt; 0,   tabItens[[#This Row],[Abaixo]] + (tabItens[[#This Row],[PontoMês]] * IF( OR( ISBLANK(tabItens[[#This Row],[ATA Nº/ANO]]), tabItens[[#This Row],[ATA Nº/ANO]] = ""),BE$2,BE$1)),0),0),0)</f>
        <v>0</v>
      </c>
      <c r="BF58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1" s="338">
        <f>SUMIF(Consumo!$C$3:$C$862,tabItens[[#This Row],[CÓDIGO]],Consumo!$E$3:$E$862)</f>
        <v>0</v>
      </c>
      <c r="BH581" s="339">
        <f>IF(AND(tabItens[[#This Row],[Pend]] &gt; 0,tabItens[[#This Row],[Consumo]] &lt;&gt; 0), tabItens[[#This Row],[Pend]] / tabItens[[#This Row],[Consumo]], 0 )</f>
        <v>0</v>
      </c>
      <c r="BI581" s="338"/>
      <c r="BJ581" s="407"/>
      <c r="BK581" s="408" t="s">
        <v>2086</v>
      </c>
    </row>
    <row r="582" spans="1:63" x14ac:dyDescent="0.3">
      <c r="A582" s="375">
        <v>81808</v>
      </c>
      <c r="B582" s="376" t="s">
        <v>1485</v>
      </c>
      <c r="C582" s="377" t="s">
        <v>263</v>
      </c>
      <c r="D582" s="378">
        <v>23</v>
      </c>
      <c r="E582" s="305"/>
      <c r="F582" s="379"/>
      <c r="G582" s="379" t="s">
        <v>889</v>
      </c>
      <c r="H582" s="380">
        <v>36</v>
      </c>
      <c r="I582" s="307">
        <v>103003</v>
      </c>
      <c r="J582" s="308">
        <v>23</v>
      </c>
      <c r="K582" s="381"/>
      <c r="L582" s="382">
        <f>IF(tabItens[[#This Row],[Média]] &gt; 0, tabItens[[#This Row],[QTDE ATUAL]] / tabItens[[#This Row],[Média]],999.9)</f>
        <v>999.9</v>
      </c>
      <c r="M582" s="383">
        <v>0</v>
      </c>
      <c r="N582" s="384">
        <f>tabItens[[#This Row],[VALOR UNIT.]] * tabItens[[#This Row],[LC]]</f>
        <v>0</v>
      </c>
      <c r="O582" s="385" t="s">
        <v>2097</v>
      </c>
      <c r="P582" s="386"/>
      <c r="Q582" s="387"/>
      <c r="R582" s="312"/>
      <c r="S582" s="388"/>
      <c r="T582" s="389">
        <f>ROUNDDOWN(IFERROR(tabItens[[#This Row],[ATA DT.VALID.]] - $D$1,0) / 30,0)</f>
        <v>-1474</v>
      </c>
      <c r="U582" s="302" t="s">
        <v>1011</v>
      </c>
      <c r="V582" s="318">
        <v>1</v>
      </c>
      <c r="W582" s="390" t="s">
        <v>2076</v>
      </c>
      <c r="X582" s="391">
        <v>61</v>
      </c>
      <c r="Y582" s="392">
        <v>15</v>
      </c>
      <c r="Z582" s="393"/>
      <c r="AA582" s="394"/>
      <c r="AB582" s="395"/>
      <c r="AC582" s="395"/>
      <c r="AD582" s="394"/>
      <c r="AE582" s="395"/>
      <c r="AF582" s="317"/>
      <c r="AG582" s="396" t="s">
        <v>2072</v>
      </c>
      <c r="AH582" s="397"/>
      <c r="AI582" s="317">
        <v>0</v>
      </c>
      <c r="AJ582" s="397">
        <v>45170</v>
      </c>
      <c r="AK582" s="326">
        <v>38246</v>
      </c>
      <c r="AL582" s="326">
        <v>45145</v>
      </c>
      <c r="AM582" s="316"/>
      <c r="AN582" s="305"/>
      <c r="AO582" s="327" t="str">
        <f>_xlfn.IFNA(IF(VLOOKUP(tabItens[[#This Row],[CÓDIGO]],tabExcluirDoEstoque[#Data],1,FALSE),"sim",""),"")</f>
        <v/>
      </c>
      <c r="AP582" s="398" t="str">
        <f ca="1">IF(OR(ISBLANK(tabItens[[#This Row],[ATA DT.VALID.]]),tabItens[[#This Row],[ATA DT.VALID.]]="",tabItens[[#This Row],[ATA DT.VALID.]]=" "),"",IF(TYPE(tabItens[[#This Row],[ATA DT.VALID.]])=1,ROUNDUP((tabItens[[#This Row],[ATA DT.VALID.]]-TODAY())/7,0),""))</f>
        <v/>
      </c>
      <c r="AQ582" s="399">
        <v>0</v>
      </c>
      <c r="AR582" s="400">
        <f>IF(ISBLANK(tabItens[[#This Row],[CÓDIGO]]),"",IFERROR(VLOOKUP(tabItens[[#This Row],[CÓDIGO]],Consumo!$C$2:$AC$862,26,FALSE),0))</f>
        <v>0</v>
      </c>
      <c r="AS582" s="401">
        <f>SUMIF(Consumo!$C$3:$C$862,tabItens[[#This Row],[CÓDIGO]],Consumo!$N$3:$N$862) + SUMIF(Consumo!$C$3:$C$862,tabItens[[#This Row],[CÓDIGO]],Consumo!$O$3:$O$862) + SUMIF(Consumo!$C$3:$C$862,tabItens[[#This Row],[CÓDIGO]],Consumo!$P$3:$P$862) + SUMIF(Consumo!$C$3:$C$862,tabItens[[#This Row],[CÓDIGO]],Consumo!$Q$3:$Q$862)</f>
        <v>0</v>
      </c>
      <c r="AT582" s="401">
        <f>SUMIF(Consumo!$C$3:$C$862,tabItens[[#This Row],[CÓDIGO]],Consumo!$Z$3:$Z$862)</f>
        <v>0</v>
      </c>
      <c r="AU582" s="402">
        <f>SUMIF(Consumo!$C$3:$C$862,tabItens[[#This Row],[CÓDIGO]],Consumo!$AA$3:$AA$862)</f>
        <v>0</v>
      </c>
      <c r="AV582" s="403">
        <f>SUMIF(Consumo!$C$3:$C$862,tabItens[[#This Row],[CÓDIGO]],Consumo!$Y$3:$Y$862)</f>
        <v>0</v>
      </c>
      <c r="AW582" s="380">
        <f>tabItens[[#This Row],[QTDE ATUAL]] + tabItens[[#This Row],[RC QTDE]] + tabItens[[#This Row],[AF SALDO]] + tabItens[[#This Row],[Recentes]]</f>
        <v>36</v>
      </c>
      <c r="AX582" s="404">
        <v>3</v>
      </c>
      <c r="AY582" s="404">
        <v>4</v>
      </c>
      <c r="AZ582" s="404">
        <f>IF(ISBLANK(tabItens[[#This Row],[CÓDIGO]]),"",tabItens[[#This Row],[PontoMês]] * (AZ$2+tabItens[[#This Row],[PontoQtM]]))</f>
        <v>12</v>
      </c>
      <c r="BA582" s="403">
        <f>tabItens[[#This Row],[PontoPed]] - tabItens[[#This Row],[Saldo]] + (1/10)</f>
        <v>-23.9</v>
      </c>
      <c r="BB582" s="403">
        <f xml:space="preserve"> tabItens[[#This Row],[PontoMês]] * BB$2 - tabItens[[#This Row],[QTDE ATUAL]] - (1/10)</f>
        <v>-33.1</v>
      </c>
      <c r="BC582" s="335">
        <f>IF( tabItens[[#This Row],[PontoPed]]&gt;0, IF(tabItens[[#This Row],[PontoPed]]&lt;1, 1, IF( tabItens[[#This Row],[Saldo]]&gt;tabItens[[#This Row],[PontoPed]], 0, (tabItens[[#This Row],[PontoPed]]-tabItens[[#This Row],[Saldo]])/tabItens[[#This Row],[PontoPed]] ) ), 0 )</f>
        <v>0</v>
      </c>
      <c r="BD582" s="405">
        <f>ROUNDDOWN(IF( OR( AND(tabItens[[#This Row],[PontoPed]]&lt;tabItens[[#This Row],[Saldo]],tabItens[[#This Row],[Saldo]]&gt;0), tabItens[[#This Row],[PontoPed]]=0), 99, IF(AND(tabItens[[#This Row],[Saldo]]=0,tabItens[[#This Row],[PontoPed]]&gt;0), 0, (1-tabItens[[#This Row],[PctAb]])*10 ) ),0)</f>
        <v>99</v>
      </c>
      <c r="BE582" s="406">
        <f>MAX(ROUNDDOWN( IF(tabItens[[#This Row],[Abaixo]] &gt; 0,   tabItens[[#This Row],[Abaixo]] + (tabItens[[#This Row],[PontoMês]] * IF( OR( ISBLANK(tabItens[[#This Row],[ATA Nº/ANO]]), tabItens[[#This Row],[ATA Nº/ANO]] = ""),BE$2,BE$1)),0),0),0)</f>
        <v>0</v>
      </c>
      <c r="BF58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2" s="338">
        <f>SUMIF(Consumo!$C$3:$C$862,tabItens[[#This Row],[CÓDIGO]],Consumo!$E$3:$E$862)</f>
        <v>0</v>
      </c>
      <c r="BH582" s="339">
        <f>IF(AND(tabItens[[#This Row],[Pend]] &gt; 0,tabItens[[#This Row],[Consumo]] &lt;&gt; 0), tabItens[[#This Row],[Pend]] / tabItens[[#This Row],[Consumo]], 0 )</f>
        <v>0</v>
      </c>
      <c r="BI582" s="338"/>
      <c r="BJ582" s="407"/>
      <c r="BK582" s="408" t="s">
        <v>2086</v>
      </c>
    </row>
    <row r="583" spans="1:63" x14ac:dyDescent="0.3">
      <c r="A583" s="375">
        <v>95209</v>
      </c>
      <c r="B583" s="376" t="s">
        <v>1554</v>
      </c>
      <c r="C583" s="377" t="s">
        <v>263</v>
      </c>
      <c r="D583" s="378">
        <v>1.8</v>
      </c>
      <c r="E583" s="305"/>
      <c r="F583" s="379"/>
      <c r="G583" s="379" t="s">
        <v>889</v>
      </c>
      <c r="H583" s="380">
        <v>0</v>
      </c>
      <c r="I583" s="307">
        <v>103003</v>
      </c>
      <c r="J583" s="308">
        <v>1.8</v>
      </c>
      <c r="K583" s="381">
        <v>290</v>
      </c>
      <c r="L583" s="382">
        <f>IF(tabItens[[#This Row],[Média]] &gt; 0, tabItens[[#This Row],[QTDE ATUAL]] / tabItens[[#This Row],[Média]],999.9)</f>
        <v>0</v>
      </c>
      <c r="M583" s="383">
        <v>0</v>
      </c>
      <c r="N583" s="384">
        <f>tabItens[[#This Row],[VALOR UNIT.]] * tabItens[[#This Row],[LC]]</f>
        <v>0</v>
      </c>
      <c r="O583" s="385" t="s">
        <v>2097</v>
      </c>
      <c r="P583" s="386"/>
      <c r="Q583" s="387"/>
      <c r="R583" s="312"/>
      <c r="S583" s="388"/>
      <c r="T583" s="389">
        <f>ROUNDDOWN(IFERROR(tabItens[[#This Row],[ATA DT.VALID.]] - $D$1,0) / 30,0)</f>
        <v>-1474</v>
      </c>
      <c r="U583" s="302" t="s">
        <v>1011</v>
      </c>
      <c r="V583" s="318">
        <v>1</v>
      </c>
      <c r="W583" s="390" t="s">
        <v>2076</v>
      </c>
      <c r="X583" s="391">
        <v>61</v>
      </c>
      <c r="Y583" s="392">
        <v>15</v>
      </c>
      <c r="Z583" s="393"/>
      <c r="AA583" s="394"/>
      <c r="AB583" s="395"/>
      <c r="AC583" s="395"/>
      <c r="AD583" s="394"/>
      <c r="AE583" s="395"/>
      <c r="AF583" s="317"/>
      <c r="AG583" s="396" t="s">
        <v>2072</v>
      </c>
      <c r="AH583" s="397"/>
      <c r="AI583" s="317">
        <v>112</v>
      </c>
      <c r="AJ583" s="397">
        <v>45166</v>
      </c>
      <c r="AK583" s="326">
        <v>39007</v>
      </c>
      <c r="AL583" s="326">
        <v>45145</v>
      </c>
      <c r="AM583" s="316"/>
      <c r="AN583" s="305"/>
      <c r="AO583" s="327" t="str">
        <f>_xlfn.IFNA(IF(VLOOKUP(tabItens[[#This Row],[CÓDIGO]],tabExcluirDoEstoque[#Data],1,FALSE),"sim",""),"")</f>
        <v/>
      </c>
      <c r="AP583" s="398" t="str">
        <f ca="1">IF(OR(ISBLANK(tabItens[[#This Row],[ATA DT.VALID.]]),tabItens[[#This Row],[ATA DT.VALID.]]="",tabItens[[#This Row],[ATA DT.VALID.]]=" "),"",IF(TYPE(tabItens[[#This Row],[ATA DT.VALID.]])=1,ROUNDUP((tabItens[[#This Row],[ATA DT.VALID.]]-TODAY())/7,0),""))</f>
        <v/>
      </c>
      <c r="AQ583" s="399">
        <v>100</v>
      </c>
      <c r="AR583" s="400" t="str">
        <f>IF(ISBLANK(tabItens[[#This Row],[CÓDIGO]]),"",IFERROR(VLOOKUP(tabItens[[#This Row],[CÓDIGO]],Consumo!$C$2:$AC$862,26,FALSE),0))</f>
        <v>09.2023</v>
      </c>
      <c r="AS583" s="401">
        <f>SUMIF(Consumo!$C$3:$C$862,tabItens[[#This Row],[CÓDIGO]],Consumo!$N$3:$N$862) + SUMIF(Consumo!$C$3:$C$862,tabItens[[#This Row],[CÓDIGO]],Consumo!$O$3:$O$862) + SUMIF(Consumo!$C$3:$C$862,tabItens[[#This Row],[CÓDIGO]],Consumo!$P$3:$P$862) + SUMIF(Consumo!$C$3:$C$862,tabItens[[#This Row],[CÓDIGO]],Consumo!$Q$3:$Q$862)</f>
        <v>113</v>
      </c>
      <c r="AT583" s="401">
        <f>SUMIF(Consumo!$C$3:$C$862,tabItens[[#This Row],[CÓDIGO]],Consumo!$Z$3:$Z$862)</f>
        <v>436</v>
      </c>
      <c r="AU583" s="402">
        <f>SUMIF(Consumo!$C$3:$C$862,tabItens[[#This Row],[CÓDIGO]],Consumo!$AA$3:$AA$862)</f>
        <v>73</v>
      </c>
      <c r="AV583" s="403">
        <f>SUMIF(Consumo!$C$3:$C$862,tabItens[[#This Row],[CÓDIGO]],Consumo!$Y$3:$Y$862)</f>
        <v>36.333333333333336</v>
      </c>
      <c r="AW583" s="380">
        <f>tabItens[[#This Row],[QTDE ATUAL]] + tabItens[[#This Row],[RC QTDE]] + tabItens[[#This Row],[AF SALDO]] + tabItens[[#This Row],[Recentes]]</f>
        <v>100</v>
      </c>
      <c r="AX583" s="404">
        <v>16</v>
      </c>
      <c r="AY583" s="404">
        <v>4</v>
      </c>
      <c r="AZ583" s="404">
        <f>IF(ISBLANK(tabItens[[#This Row],[CÓDIGO]]),"",tabItens[[#This Row],[PontoMês]] * (AZ$2+tabItens[[#This Row],[PontoQtM]]))</f>
        <v>64</v>
      </c>
      <c r="BA583" s="403">
        <f>tabItens[[#This Row],[PontoPed]] - tabItens[[#This Row],[Saldo]] + (1/10)</f>
        <v>-35.9</v>
      </c>
      <c r="BB583" s="403">
        <f xml:space="preserve"> tabItens[[#This Row],[PontoMês]] * BB$2 - tabItens[[#This Row],[QTDE ATUAL]] - (1/10)</f>
        <v>15.9</v>
      </c>
      <c r="BC583" s="335">
        <f>IF( tabItens[[#This Row],[PontoPed]]&gt;0, IF(tabItens[[#This Row],[PontoPed]]&lt;1, 1, IF( tabItens[[#This Row],[Saldo]]&gt;tabItens[[#This Row],[PontoPed]], 0, (tabItens[[#This Row],[PontoPed]]-tabItens[[#This Row],[Saldo]])/tabItens[[#This Row],[PontoPed]] ) ), 0 )</f>
        <v>0</v>
      </c>
      <c r="BD583" s="405">
        <f>ROUNDDOWN(IF( OR( AND(tabItens[[#This Row],[PontoPed]]&lt;tabItens[[#This Row],[Saldo]],tabItens[[#This Row],[Saldo]]&gt;0), tabItens[[#This Row],[PontoPed]]=0), 99, IF(AND(tabItens[[#This Row],[Saldo]]=0,tabItens[[#This Row],[PontoPed]]&gt;0), 0, (1-tabItens[[#This Row],[PctAb]])*10 ) ),0)</f>
        <v>99</v>
      </c>
      <c r="BE583" s="406">
        <f>MAX(ROUNDDOWN( IF(tabItens[[#This Row],[Abaixo]] &gt; 0,   tabItens[[#This Row],[Abaixo]] + (tabItens[[#This Row],[PontoMês]] * IF( OR( ISBLANK(tabItens[[#This Row],[ATA Nº/ANO]]), tabItens[[#This Row],[ATA Nº/ANO]] = ""),BE$2,BE$1)),0),0),0)</f>
        <v>0</v>
      </c>
      <c r="BF58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3" s="338">
        <f>SUMIF(Consumo!$C$3:$C$862,tabItens[[#This Row],[CÓDIGO]],Consumo!$E$3:$E$862)</f>
        <v>100</v>
      </c>
      <c r="BH583" s="339">
        <f>IF(AND(tabItens[[#This Row],[Pend]] &gt; 0,tabItens[[#This Row],[Consumo]] &lt;&gt; 0), tabItens[[#This Row],[Pend]] / tabItens[[#This Row],[Consumo]], 0 )</f>
        <v>0.22935779816513763</v>
      </c>
      <c r="BI583" s="338"/>
      <c r="BJ583" s="407"/>
      <c r="BK583" s="408" t="s">
        <v>2086</v>
      </c>
    </row>
    <row r="584" spans="1:63" x14ac:dyDescent="0.3">
      <c r="A584" s="375">
        <v>59069</v>
      </c>
      <c r="B584" s="376" t="s">
        <v>1341</v>
      </c>
      <c r="C584" s="377" t="s">
        <v>263</v>
      </c>
      <c r="D584" s="378">
        <v>6.49</v>
      </c>
      <c r="E584" s="305"/>
      <c r="F584" s="379"/>
      <c r="G584" s="379" t="s">
        <v>889</v>
      </c>
      <c r="H584" s="380">
        <v>117</v>
      </c>
      <c r="I584" s="307">
        <v>103003</v>
      </c>
      <c r="J584" s="308">
        <v>6.49</v>
      </c>
      <c r="K584" s="381">
        <v>48</v>
      </c>
      <c r="L584" s="382">
        <f>IF(tabItens[[#This Row],[Média]] &gt; 0, tabItens[[#This Row],[QTDE ATUAL]] / tabItens[[#This Row],[Média]],999.9)</f>
        <v>31.2</v>
      </c>
      <c r="M584" s="383">
        <v>0</v>
      </c>
      <c r="N584" s="384">
        <f>tabItens[[#This Row],[VALOR UNIT.]] * tabItens[[#This Row],[LC]]</f>
        <v>0</v>
      </c>
      <c r="O584" s="385" t="s">
        <v>2151</v>
      </c>
      <c r="P584" s="386"/>
      <c r="Q584" s="387"/>
      <c r="R584" s="312"/>
      <c r="S584" s="388"/>
      <c r="T584" s="389">
        <f>ROUNDDOWN(IFERROR(tabItens[[#This Row],[ATA DT.VALID.]] - $D$1,0) / 30,0)</f>
        <v>-1474</v>
      </c>
      <c r="U584" s="302" t="s">
        <v>966</v>
      </c>
      <c r="V584" s="318">
        <v>1</v>
      </c>
      <c r="W584" s="390" t="s">
        <v>2076</v>
      </c>
      <c r="X584" s="391">
        <v>61</v>
      </c>
      <c r="Y584" s="392">
        <v>8</v>
      </c>
      <c r="Z584" s="393"/>
      <c r="AA584" s="394"/>
      <c r="AB584" s="395"/>
      <c r="AC584" s="395"/>
      <c r="AD584" s="394"/>
      <c r="AE584" s="395"/>
      <c r="AF584" s="317"/>
      <c r="AG584" s="396" t="s">
        <v>2072</v>
      </c>
      <c r="AH584" s="397"/>
      <c r="AI584" s="317">
        <v>16</v>
      </c>
      <c r="AJ584" s="397">
        <v>44560</v>
      </c>
      <c r="AK584" s="326" t="s">
        <v>889</v>
      </c>
      <c r="AL584" s="326">
        <v>44522</v>
      </c>
      <c r="AM584" s="316"/>
      <c r="AN584" s="305"/>
      <c r="AO584" s="327" t="str">
        <f>_xlfn.IFNA(IF(VLOOKUP(tabItens[[#This Row],[CÓDIGO]],tabExcluirDoEstoque[#Data],1,FALSE),"sim",""),"")</f>
        <v/>
      </c>
      <c r="AP584" s="398" t="str">
        <f ca="1">IF(OR(ISBLANK(tabItens[[#This Row],[ATA DT.VALID.]]),tabItens[[#This Row],[ATA DT.VALID.]]="",tabItens[[#This Row],[ATA DT.VALID.]]=" "),"",IF(TYPE(tabItens[[#This Row],[ATA DT.VALID.]])=1,ROUNDUP((tabItens[[#This Row],[ATA DT.VALID.]]-TODAY())/7,0),""))</f>
        <v/>
      </c>
      <c r="AQ584" s="399">
        <v>0</v>
      </c>
      <c r="AR584" s="400" t="str">
        <f>IF(ISBLANK(tabItens[[#This Row],[CÓDIGO]]),"",IFERROR(VLOOKUP(tabItens[[#This Row],[CÓDIGO]],Consumo!$C$2:$AC$862,26,FALSE),0))</f>
        <v>04.2023</v>
      </c>
      <c r="AS584" s="401">
        <f>SUMIF(Consumo!$C$3:$C$862,tabItens[[#This Row],[CÓDIGO]],Consumo!$N$3:$N$862) + SUMIF(Consumo!$C$3:$C$862,tabItens[[#This Row],[CÓDIGO]],Consumo!$O$3:$O$862) + SUMIF(Consumo!$C$3:$C$862,tabItens[[#This Row],[CÓDIGO]],Consumo!$P$3:$P$862) + SUMIF(Consumo!$C$3:$C$862,tabItens[[#This Row],[CÓDIGO]],Consumo!$Q$3:$Q$862)</f>
        <v>0</v>
      </c>
      <c r="AT584" s="401">
        <f>SUMIF(Consumo!$C$3:$C$862,tabItens[[#This Row],[CÓDIGO]],Consumo!$Z$3:$Z$862)</f>
        <v>48</v>
      </c>
      <c r="AU584" s="402">
        <f>SUMIF(Consumo!$C$3:$C$862,tabItens[[#This Row],[CÓDIGO]],Consumo!$AA$3:$AA$862)</f>
        <v>19</v>
      </c>
      <c r="AV584" s="403">
        <f>SUMIF(Consumo!$C$3:$C$862,tabItens[[#This Row],[CÓDIGO]],Consumo!$Y$3:$Y$862)</f>
        <v>3.75</v>
      </c>
      <c r="AW584" s="380">
        <f>tabItens[[#This Row],[QTDE ATUAL]] + tabItens[[#This Row],[RC QTDE]] + tabItens[[#This Row],[AF SALDO]] + tabItens[[#This Row],[Recentes]]</f>
        <v>117</v>
      </c>
      <c r="AX584" s="404">
        <v>8</v>
      </c>
      <c r="AY584" s="404">
        <v>4</v>
      </c>
      <c r="AZ584" s="404">
        <f>IF(ISBLANK(tabItens[[#This Row],[CÓDIGO]]),"",tabItens[[#This Row],[PontoMês]] * (AZ$2+tabItens[[#This Row],[PontoQtM]]))</f>
        <v>32</v>
      </c>
      <c r="BA584" s="403">
        <f>tabItens[[#This Row],[PontoPed]] - tabItens[[#This Row],[Saldo]] + (1/10)</f>
        <v>-84.9</v>
      </c>
      <c r="BB584" s="403">
        <f xml:space="preserve"> tabItens[[#This Row],[PontoMês]] * BB$2 - tabItens[[#This Row],[QTDE ATUAL]] - (1/10)</f>
        <v>-109.1</v>
      </c>
      <c r="BC584" s="335">
        <f>IF( tabItens[[#This Row],[PontoPed]]&gt;0, IF(tabItens[[#This Row],[PontoPed]]&lt;1, 1, IF( tabItens[[#This Row],[Saldo]]&gt;tabItens[[#This Row],[PontoPed]], 0, (tabItens[[#This Row],[PontoPed]]-tabItens[[#This Row],[Saldo]])/tabItens[[#This Row],[PontoPed]] ) ), 0 )</f>
        <v>0</v>
      </c>
      <c r="BD584" s="405">
        <f>ROUNDDOWN(IF( OR( AND(tabItens[[#This Row],[PontoPed]]&lt;tabItens[[#This Row],[Saldo]],tabItens[[#This Row],[Saldo]]&gt;0), tabItens[[#This Row],[PontoPed]]=0), 99, IF(AND(tabItens[[#This Row],[Saldo]]=0,tabItens[[#This Row],[PontoPed]]&gt;0), 0, (1-tabItens[[#This Row],[PctAb]])*10 ) ),0)</f>
        <v>99</v>
      </c>
      <c r="BE584" s="406">
        <f>MAX(ROUNDDOWN( IF(tabItens[[#This Row],[Abaixo]] &gt; 0,   tabItens[[#This Row],[Abaixo]] + (tabItens[[#This Row],[PontoMês]] * IF( OR( ISBLANK(tabItens[[#This Row],[ATA Nº/ANO]]), tabItens[[#This Row],[ATA Nº/ANO]] = ""),BE$2,BE$1)),0),0),0)</f>
        <v>0</v>
      </c>
      <c r="BF58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4" s="338">
        <f>SUMIF(Consumo!$C$3:$C$862,tabItens[[#This Row],[CÓDIGO]],Consumo!$E$3:$E$862)</f>
        <v>0</v>
      </c>
      <c r="BH584" s="339">
        <f>IF(AND(tabItens[[#This Row],[Pend]] &gt; 0,tabItens[[#This Row],[Consumo]] &lt;&gt; 0), tabItens[[#This Row],[Pend]] / tabItens[[#This Row],[Consumo]], 0 )</f>
        <v>0</v>
      </c>
      <c r="BI584" s="338"/>
      <c r="BJ584" s="407"/>
      <c r="BK584" s="408" t="s">
        <v>2086</v>
      </c>
    </row>
    <row r="585" spans="1:63" x14ac:dyDescent="0.3">
      <c r="A585" s="375">
        <v>102588</v>
      </c>
      <c r="B585" s="376" t="s">
        <v>1587</v>
      </c>
      <c r="C585" s="377" t="s">
        <v>263</v>
      </c>
      <c r="D585" s="378">
        <v>4.87</v>
      </c>
      <c r="E585" s="305"/>
      <c r="F585" s="379"/>
      <c r="G585" s="379" t="s">
        <v>889</v>
      </c>
      <c r="H585" s="380">
        <v>350</v>
      </c>
      <c r="I585" s="307">
        <v>103003</v>
      </c>
      <c r="J585" s="308">
        <v>4.87</v>
      </c>
      <c r="K585" s="381">
        <v>248</v>
      </c>
      <c r="L585" s="382">
        <f>IF(tabItens[[#This Row],[Média]] &gt; 0, tabItens[[#This Row],[QTDE ATUAL]] / tabItens[[#This Row],[Média]],999.9)</f>
        <v>14.840989399293287</v>
      </c>
      <c r="M585" s="383">
        <v>0</v>
      </c>
      <c r="N585" s="384">
        <f>tabItens[[#This Row],[VALOR UNIT.]] * tabItens[[#This Row],[LC]]</f>
        <v>0</v>
      </c>
      <c r="O585" s="385" t="s">
        <v>2151</v>
      </c>
      <c r="P585" s="386"/>
      <c r="Q585" s="387"/>
      <c r="R585" s="312"/>
      <c r="S585" s="388"/>
      <c r="T585" s="389">
        <f>ROUNDDOWN(IFERROR(tabItens[[#This Row],[ATA DT.VALID.]] - $D$1,0) / 30,0)</f>
        <v>-1474</v>
      </c>
      <c r="U585" s="302" t="s">
        <v>1003</v>
      </c>
      <c r="V585" s="318">
        <v>1</v>
      </c>
      <c r="W585" s="390" t="s">
        <v>2076</v>
      </c>
      <c r="X585" s="391">
        <v>61</v>
      </c>
      <c r="Y585" s="392">
        <v>11</v>
      </c>
      <c r="Z585" s="393"/>
      <c r="AA585" s="394"/>
      <c r="AB585" s="395"/>
      <c r="AC585" s="395"/>
      <c r="AD585" s="394"/>
      <c r="AE585" s="395"/>
      <c r="AF585" s="317"/>
      <c r="AG585" s="396" t="s">
        <v>2072</v>
      </c>
      <c r="AH585" s="397"/>
      <c r="AI585" s="317">
        <v>86</v>
      </c>
      <c r="AJ585" s="397">
        <v>45166</v>
      </c>
      <c r="AK585" s="326">
        <v>39365</v>
      </c>
      <c r="AL585" s="326">
        <v>45145</v>
      </c>
      <c r="AM585" s="316"/>
      <c r="AN585" s="305"/>
      <c r="AO585" s="327" t="str">
        <f>_xlfn.IFNA(IF(VLOOKUP(tabItens[[#This Row],[CÓDIGO]],tabExcluirDoEstoque[#Data],1,FALSE),"sim",""),"")</f>
        <v/>
      </c>
      <c r="AP585" s="398" t="str">
        <f ca="1">IF(OR(ISBLANK(tabItens[[#This Row],[ATA DT.VALID.]]),tabItens[[#This Row],[ATA DT.VALID.]]="",tabItens[[#This Row],[ATA DT.VALID.]]=" "),"",IF(TYPE(tabItens[[#This Row],[ATA DT.VALID.]])=1,ROUNDUP((tabItens[[#This Row],[ATA DT.VALID.]]-TODAY())/7,0),""))</f>
        <v/>
      </c>
      <c r="AQ585" s="399">
        <v>0</v>
      </c>
      <c r="AR585" s="400" t="str">
        <f>IF(ISBLANK(tabItens[[#This Row],[CÓDIGO]]),"",IFERROR(VLOOKUP(tabItens[[#This Row],[CÓDIGO]],Consumo!$C$2:$AC$862,26,FALSE),0))</f>
        <v>09.2023</v>
      </c>
      <c r="AS585" s="401">
        <f>SUMIF(Consumo!$C$3:$C$862,tabItens[[#This Row],[CÓDIGO]],Consumo!$N$3:$N$862) + SUMIF(Consumo!$C$3:$C$862,tabItens[[#This Row],[CÓDIGO]],Consumo!$O$3:$O$862) + SUMIF(Consumo!$C$3:$C$862,tabItens[[#This Row],[CÓDIGO]],Consumo!$P$3:$P$862) + SUMIF(Consumo!$C$3:$C$862,tabItens[[#This Row],[CÓDIGO]],Consumo!$Q$3:$Q$862)</f>
        <v>150</v>
      </c>
      <c r="AT585" s="401">
        <f>SUMIF(Consumo!$C$3:$C$862,tabItens[[#This Row],[CÓDIGO]],Consumo!$Z$3:$Z$862)</f>
        <v>322</v>
      </c>
      <c r="AU585" s="402">
        <f>SUMIF(Consumo!$C$3:$C$862,tabItens[[#This Row],[CÓDIGO]],Consumo!$AA$3:$AA$862)</f>
        <v>150</v>
      </c>
      <c r="AV585" s="403">
        <f>SUMIF(Consumo!$C$3:$C$862,tabItens[[#This Row],[CÓDIGO]],Consumo!$Y$3:$Y$862)</f>
        <v>23.583333333333332</v>
      </c>
      <c r="AW585" s="380">
        <f>tabItens[[#This Row],[QTDE ATUAL]] + tabItens[[#This Row],[RC QTDE]] + tabItens[[#This Row],[AF SALDO]] + tabItens[[#This Row],[Recentes]]</f>
        <v>350</v>
      </c>
      <c r="AX585" s="404">
        <v>6</v>
      </c>
      <c r="AY585" s="404">
        <v>4</v>
      </c>
      <c r="AZ585" s="404">
        <f>IF(ISBLANK(tabItens[[#This Row],[CÓDIGO]]),"",tabItens[[#This Row],[PontoMês]] * (AZ$2+tabItens[[#This Row],[PontoQtM]]))</f>
        <v>24</v>
      </c>
      <c r="BA585" s="403">
        <f>tabItens[[#This Row],[PontoPed]] - tabItens[[#This Row],[Saldo]] + (1/10)</f>
        <v>-325.89999999999998</v>
      </c>
      <c r="BB585" s="403">
        <f xml:space="preserve"> tabItens[[#This Row],[PontoMês]] * BB$2 - tabItens[[#This Row],[QTDE ATUAL]] - (1/10)</f>
        <v>-344.1</v>
      </c>
      <c r="BC585" s="335">
        <f>IF( tabItens[[#This Row],[PontoPed]]&gt;0, IF(tabItens[[#This Row],[PontoPed]]&lt;1, 1, IF( tabItens[[#This Row],[Saldo]]&gt;tabItens[[#This Row],[PontoPed]], 0, (tabItens[[#This Row],[PontoPed]]-tabItens[[#This Row],[Saldo]])/tabItens[[#This Row],[PontoPed]] ) ), 0 )</f>
        <v>0</v>
      </c>
      <c r="BD585" s="405">
        <f>ROUNDDOWN(IF( OR( AND(tabItens[[#This Row],[PontoPed]]&lt;tabItens[[#This Row],[Saldo]],tabItens[[#This Row],[Saldo]]&gt;0), tabItens[[#This Row],[PontoPed]]=0), 99, IF(AND(tabItens[[#This Row],[Saldo]]=0,tabItens[[#This Row],[PontoPed]]&gt;0), 0, (1-tabItens[[#This Row],[PctAb]])*10 ) ),0)</f>
        <v>99</v>
      </c>
      <c r="BE585" s="406">
        <f>MAX(ROUNDDOWN( IF(tabItens[[#This Row],[Abaixo]] &gt; 0,   tabItens[[#This Row],[Abaixo]] + (tabItens[[#This Row],[PontoMês]] * IF( OR( ISBLANK(tabItens[[#This Row],[ATA Nº/ANO]]), tabItens[[#This Row],[ATA Nº/ANO]] = ""),BE$2,BE$1)),0),0),0)</f>
        <v>0</v>
      </c>
      <c r="BF58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5" s="338">
        <f>SUMIF(Consumo!$C$3:$C$862,tabItens[[#This Row],[CÓDIGO]],Consumo!$E$3:$E$862)</f>
        <v>65</v>
      </c>
      <c r="BH585" s="339">
        <f>IF(AND(tabItens[[#This Row],[Pend]] &gt; 0,tabItens[[#This Row],[Consumo]] &lt;&gt; 0), tabItens[[#This Row],[Pend]] / tabItens[[#This Row],[Consumo]], 0 )</f>
        <v>0.20186335403726707</v>
      </c>
      <c r="BI585" s="338"/>
      <c r="BJ585" s="407"/>
      <c r="BK585" s="408" t="s">
        <v>2086</v>
      </c>
    </row>
    <row r="586" spans="1:63" x14ac:dyDescent="0.3">
      <c r="A586" s="375">
        <v>13186</v>
      </c>
      <c r="B586" s="376" t="s">
        <v>1023</v>
      </c>
      <c r="C586" s="377" t="s">
        <v>335</v>
      </c>
      <c r="D586" s="378">
        <v>20</v>
      </c>
      <c r="E586" s="305"/>
      <c r="F586" s="379"/>
      <c r="G586" s="379" t="s">
        <v>889</v>
      </c>
      <c r="H586" s="380">
        <v>66</v>
      </c>
      <c r="I586" s="307">
        <v>103003</v>
      </c>
      <c r="J586" s="308">
        <v>20</v>
      </c>
      <c r="K586" s="381">
        <v>42</v>
      </c>
      <c r="L586" s="382">
        <f>IF(tabItens[[#This Row],[Média]] &gt; 0, tabItens[[#This Row],[QTDE ATUAL]] / tabItens[[#This Row],[Média]],999.9)</f>
        <v>12.774193548387096</v>
      </c>
      <c r="M586" s="383">
        <v>0</v>
      </c>
      <c r="N586" s="384">
        <f>tabItens[[#This Row],[VALOR UNIT.]] * tabItens[[#This Row],[LC]]</f>
        <v>0</v>
      </c>
      <c r="O586" s="385" t="s">
        <v>2101</v>
      </c>
      <c r="P586" s="386"/>
      <c r="Q586" s="387"/>
      <c r="R586" s="312"/>
      <c r="S586" s="388"/>
      <c r="T586" s="389">
        <f>ROUNDDOWN(IFERROR(tabItens[[#This Row],[ATA DT.VALID.]] - $D$1,0) / 30,0)</f>
        <v>-1474</v>
      </c>
      <c r="U586" s="302" t="s">
        <v>1024</v>
      </c>
      <c r="V586" s="318">
        <v>1</v>
      </c>
      <c r="W586" s="390" t="s">
        <v>2079</v>
      </c>
      <c r="X586" s="391">
        <v>74</v>
      </c>
      <c r="Y586" s="392">
        <v>4</v>
      </c>
      <c r="Z586" s="393"/>
      <c r="AA586" s="394"/>
      <c r="AB586" s="395"/>
      <c r="AC586" s="395"/>
      <c r="AD586" s="394"/>
      <c r="AE586" s="395"/>
      <c r="AF586" s="317"/>
      <c r="AG586" s="396" t="s">
        <v>2072</v>
      </c>
      <c r="AH586" s="397"/>
      <c r="AI586" s="317">
        <v>22</v>
      </c>
      <c r="AJ586" s="397">
        <v>45210</v>
      </c>
      <c r="AK586" s="326" t="s">
        <v>889</v>
      </c>
      <c r="AL586" s="326">
        <v>45189</v>
      </c>
      <c r="AM586" s="316"/>
      <c r="AN586" s="305"/>
      <c r="AO586" s="327" t="str">
        <f>_xlfn.IFNA(IF(VLOOKUP(tabItens[[#This Row],[CÓDIGO]],tabExcluirDoEstoque[#Data],1,FALSE),"sim",""),"")</f>
        <v/>
      </c>
      <c r="AP586" s="398" t="str">
        <f ca="1">IF(OR(ISBLANK(tabItens[[#This Row],[ATA DT.VALID.]]),tabItens[[#This Row],[ATA DT.VALID.]]="",tabItens[[#This Row],[ATA DT.VALID.]]=" "),"",IF(TYPE(tabItens[[#This Row],[ATA DT.VALID.]])=1,ROUNDUP((tabItens[[#This Row],[ATA DT.VALID.]]-TODAY())/7,0),""))</f>
        <v/>
      </c>
      <c r="AQ586" s="399">
        <v>0</v>
      </c>
      <c r="AR586" s="400" t="str">
        <f>IF(ISBLANK(tabItens[[#This Row],[CÓDIGO]]),"",IFERROR(VLOOKUP(tabItens[[#This Row],[CÓDIGO]],Consumo!$C$2:$AC$862,26,FALSE),0))</f>
        <v>01.2023</v>
      </c>
      <c r="AS586" s="401">
        <f>SUMIF(Consumo!$C$3:$C$862,tabItens[[#This Row],[CÓDIGO]],Consumo!$N$3:$N$862) + SUMIF(Consumo!$C$3:$C$862,tabItens[[#This Row],[CÓDIGO]],Consumo!$O$3:$O$862) + SUMIF(Consumo!$C$3:$C$862,tabItens[[#This Row],[CÓDIGO]],Consumo!$P$3:$P$862) + SUMIF(Consumo!$C$3:$C$862,tabItens[[#This Row],[CÓDIGO]],Consumo!$Q$3:$Q$862)</f>
        <v>0</v>
      </c>
      <c r="AT586" s="401">
        <f>SUMIF(Consumo!$C$3:$C$862,tabItens[[#This Row],[CÓDIGO]],Consumo!$Z$3:$Z$862)</f>
        <v>63</v>
      </c>
      <c r="AU586" s="402">
        <f>SUMIF(Consumo!$C$3:$C$862,tabItens[[#This Row],[CÓDIGO]],Consumo!$AA$3:$AA$862)</f>
        <v>22</v>
      </c>
      <c r="AV586" s="403">
        <f>SUMIF(Consumo!$C$3:$C$862,tabItens[[#This Row],[CÓDIGO]],Consumo!$Y$3:$Y$862)</f>
        <v>5.166666666666667</v>
      </c>
      <c r="AW586" s="380">
        <f>tabItens[[#This Row],[QTDE ATUAL]] + tabItens[[#This Row],[RC QTDE]] + tabItens[[#This Row],[AF SALDO]] + tabItens[[#This Row],[Recentes]]</f>
        <v>66</v>
      </c>
      <c r="AX586" s="404">
        <v>7</v>
      </c>
      <c r="AY586" s="404">
        <v>4</v>
      </c>
      <c r="AZ586" s="404">
        <f>IF(ISBLANK(tabItens[[#This Row],[CÓDIGO]]),"",tabItens[[#This Row],[PontoMês]] * (AZ$2+tabItens[[#This Row],[PontoQtM]]))</f>
        <v>28</v>
      </c>
      <c r="BA586" s="403">
        <f>tabItens[[#This Row],[PontoPed]] - tabItens[[#This Row],[Saldo]] + (1/10)</f>
        <v>-37.9</v>
      </c>
      <c r="BB586" s="403">
        <f xml:space="preserve"> tabItens[[#This Row],[PontoMês]] * BB$2 - tabItens[[#This Row],[QTDE ATUAL]] - (1/10)</f>
        <v>-59.1</v>
      </c>
      <c r="BC586" s="335">
        <f>IF( tabItens[[#This Row],[PontoPed]]&gt;0, IF(tabItens[[#This Row],[PontoPed]]&lt;1, 1, IF( tabItens[[#This Row],[Saldo]]&gt;tabItens[[#This Row],[PontoPed]], 0, (tabItens[[#This Row],[PontoPed]]-tabItens[[#This Row],[Saldo]])/tabItens[[#This Row],[PontoPed]] ) ), 0 )</f>
        <v>0</v>
      </c>
      <c r="BD586" s="405">
        <f>ROUNDDOWN(IF( OR( AND(tabItens[[#This Row],[PontoPed]]&lt;tabItens[[#This Row],[Saldo]],tabItens[[#This Row],[Saldo]]&gt;0), tabItens[[#This Row],[PontoPed]]=0), 99, IF(AND(tabItens[[#This Row],[Saldo]]=0,tabItens[[#This Row],[PontoPed]]&gt;0), 0, (1-tabItens[[#This Row],[PctAb]])*10 ) ),0)</f>
        <v>99</v>
      </c>
      <c r="BE586" s="406">
        <f>MAX(ROUNDDOWN( IF(tabItens[[#This Row],[Abaixo]] &gt; 0,   tabItens[[#This Row],[Abaixo]] + (tabItens[[#This Row],[PontoMês]] * IF( OR( ISBLANK(tabItens[[#This Row],[ATA Nº/ANO]]), tabItens[[#This Row],[ATA Nº/ANO]] = ""),BE$2,BE$1)),0),0),0)</f>
        <v>0</v>
      </c>
      <c r="BF58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6" s="338">
        <f>SUMIF(Consumo!$C$3:$C$862,tabItens[[#This Row],[CÓDIGO]],Consumo!$E$3:$E$862)</f>
        <v>21</v>
      </c>
      <c r="BH586" s="339">
        <f>IF(AND(tabItens[[#This Row],[Pend]] &gt; 0,tabItens[[#This Row],[Consumo]] &lt;&gt; 0), tabItens[[#This Row],[Pend]] / tabItens[[#This Row],[Consumo]], 0 )</f>
        <v>0.33333333333333331</v>
      </c>
      <c r="BI586" s="338"/>
      <c r="BJ586" s="407"/>
      <c r="BK586" s="408" t="s">
        <v>2086</v>
      </c>
    </row>
    <row r="587" spans="1:63" x14ac:dyDescent="0.3">
      <c r="A587" s="375">
        <v>12856</v>
      </c>
      <c r="B587" s="376" t="s">
        <v>972</v>
      </c>
      <c r="C587" s="377" t="s">
        <v>263</v>
      </c>
      <c r="D587" s="378">
        <v>3.35</v>
      </c>
      <c r="E587" s="305"/>
      <c r="F587" s="379"/>
      <c r="G587" s="379" t="s">
        <v>889</v>
      </c>
      <c r="H587" s="380">
        <v>5330</v>
      </c>
      <c r="I587" s="307">
        <v>103003</v>
      </c>
      <c r="J587" s="308">
        <v>3.35</v>
      </c>
      <c r="K587" s="381">
        <v>2447</v>
      </c>
      <c r="L587" s="382">
        <f>IF(tabItens[[#This Row],[Média]] &gt; 0, tabItens[[#This Row],[QTDE ATUAL]] / tabItens[[#This Row],[Média]],999.9)</f>
        <v>24.666409564211339</v>
      </c>
      <c r="M587" s="383">
        <v>0</v>
      </c>
      <c r="N587" s="384">
        <f>tabItens[[#This Row],[VALOR UNIT.]] * tabItens[[#This Row],[LC]]</f>
        <v>0</v>
      </c>
      <c r="O587" s="385" t="s">
        <v>2101</v>
      </c>
      <c r="P587" s="386"/>
      <c r="Q587" s="387"/>
      <c r="R587" s="312"/>
      <c r="S587" s="388"/>
      <c r="T587" s="389">
        <f>ROUNDDOWN(IFERROR(tabItens[[#This Row],[ATA DT.VALID.]] - $D$1,0) / 30,0)</f>
        <v>-1474</v>
      </c>
      <c r="U587" s="302" t="s">
        <v>964</v>
      </c>
      <c r="V587" s="318">
        <v>1</v>
      </c>
      <c r="W587" s="390" t="s">
        <v>2075</v>
      </c>
      <c r="X587" s="391">
        <v>76</v>
      </c>
      <c r="Y587" s="392">
        <v>11</v>
      </c>
      <c r="Z587" s="393"/>
      <c r="AA587" s="394"/>
      <c r="AB587" s="395"/>
      <c r="AC587" s="395"/>
      <c r="AD587" s="394"/>
      <c r="AE587" s="395"/>
      <c r="AF587" s="317"/>
      <c r="AG587" s="396" t="s">
        <v>2072</v>
      </c>
      <c r="AH587" s="397"/>
      <c r="AI587" s="317">
        <v>1044</v>
      </c>
      <c r="AJ587" s="397">
        <v>44874</v>
      </c>
      <c r="AK587" s="326" t="s">
        <v>889</v>
      </c>
      <c r="AL587" s="326">
        <v>44865</v>
      </c>
      <c r="AM587" s="316"/>
      <c r="AN587" s="305"/>
      <c r="AO587" s="327" t="str">
        <f>_xlfn.IFNA(IF(VLOOKUP(tabItens[[#This Row],[CÓDIGO]],tabExcluirDoEstoque[#Data],1,FALSE),"sim",""),"")</f>
        <v/>
      </c>
      <c r="AP587" s="398" t="str">
        <f ca="1">IF(OR(ISBLANK(tabItens[[#This Row],[ATA DT.VALID.]]),tabItens[[#This Row],[ATA DT.VALID.]]="",tabItens[[#This Row],[ATA DT.VALID.]]=" "),"",IF(TYPE(tabItens[[#This Row],[ATA DT.VALID.]])=1,ROUNDUP((tabItens[[#This Row],[ATA DT.VALID.]]-TODAY())/7,0),""))</f>
        <v/>
      </c>
      <c r="AQ587" s="399">
        <v>0</v>
      </c>
      <c r="AR587" s="400" t="str">
        <f>IF(ISBLANK(tabItens[[#This Row],[CÓDIGO]]),"",IFERROR(VLOOKUP(tabItens[[#This Row],[CÓDIGO]],Consumo!$C$2:$AC$862,26,FALSE),0))</f>
        <v>09.2023</v>
      </c>
      <c r="AS587" s="401">
        <f>SUMIF(Consumo!$C$3:$C$862,tabItens[[#This Row],[CÓDIGO]],Consumo!$N$3:$N$862) + SUMIF(Consumo!$C$3:$C$862,tabItens[[#This Row],[CÓDIGO]],Consumo!$O$3:$O$862) + SUMIF(Consumo!$C$3:$C$862,tabItens[[#This Row],[CÓDIGO]],Consumo!$P$3:$P$862) + SUMIF(Consumo!$C$3:$C$862,tabItens[[#This Row],[CÓDIGO]],Consumo!$Q$3:$Q$862)</f>
        <v>557</v>
      </c>
      <c r="AT587" s="401">
        <f>SUMIF(Consumo!$C$3:$C$862,tabItens[[#This Row],[CÓDIGO]],Consumo!$Z$3:$Z$862)</f>
        <v>3131</v>
      </c>
      <c r="AU587" s="402">
        <f>SUMIF(Consumo!$C$3:$C$862,tabItens[[#This Row],[CÓDIGO]],Consumo!$AA$3:$AA$862)</f>
        <v>1716</v>
      </c>
      <c r="AV587" s="403">
        <f>SUMIF(Consumo!$C$3:$C$862,tabItens[[#This Row],[CÓDIGO]],Consumo!$Y$3:$Y$862)</f>
        <v>216.08333333333334</v>
      </c>
      <c r="AW587" s="380">
        <f>tabItens[[#This Row],[QTDE ATUAL]] + tabItens[[#This Row],[RC QTDE]] + tabItens[[#This Row],[AF SALDO]] + tabItens[[#This Row],[Recentes]]</f>
        <v>5330</v>
      </c>
      <c r="AX587" s="404">
        <v>280</v>
      </c>
      <c r="AY587" s="404">
        <v>4</v>
      </c>
      <c r="AZ587" s="404">
        <f>IF(ISBLANK(tabItens[[#This Row],[CÓDIGO]]),"",tabItens[[#This Row],[PontoMês]] * (AZ$2+tabItens[[#This Row],[PontoQtM]]))</f>
        <v>1120</v>
      </c>
      <c r="BA587" s="403">
        <f>tabItens[[#This Row],[PontoPed]] - tabItens[[#This Row],[Saldo]] + (1/10)</f>
        <v>-4209.8999999999996</v>
      </c>
      <c r="BB587" s="403">
        <f xml:space="preserve"> tabItens[[#This Row],[PontoMês]] * BB$2 - tabItens[[#This Row],[QTDE ATUAL]] - (1/10)</f>
        <v>-5050.1000000000004</v>
      </c>
      <c r="BC587" s="335">
        <f>IF( tabItens[[#This Row],[PontoPed]]&gt;0, IF(tabItens[[#This Row],[PontoPed]]&lt;1, 1, IF( tabItens[[#This Row],[Saldo]]&gt;tabItens[[#This Row],[PontoPed]], 0, (tabItens[[#This Row],[PontoPed]]-tabItens[[#This Row],[Saldo]])/tabItens[[#This Row],[PontoPed]] ) ), 0 )</f>
        <v>0</v>
      </c>
      <c r="BD587" s="405">
        <f>ROUNDDOWN(IF( OR( AND(tabItens[[#This Row],[PontoPed]]&lt;tabItens[[#This Row],[Saldo]],tabItens[[#This Row],[Saldo]]&gt;0), tabItens[[#This Row],[PontoPed]]=0), 99, IF(AND(tabItens[[#This Row],[Saldo]]=0,tabItens[[#This Row],[PontoPed]]&gt;0), 0, (1-tabItens[[#This Row],[PctAb]])*10 ) ),0)</f>
        <v>99</v>
      </c>
      <c r="BE587" s="406">
        <f>MAX(ROUNDDOWN( IF(tabItens[[#This Row],[Abaixo]] &gt; 0,   tabItens[[#This Row],[Abaixo]] + (tabItens[[#This Row],[PontoMês]] * IF( OR( ISBLANK(tabItens[[#This Row],[ATA Nº/ANO]]), tabItens[[#This Row],[ATA Nº/ANO]] = ""),BE$2,BE$1)),0),0),0)</f>
        <v>0</v>
      </c>
      <c r="BF58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7" s="338">
        <f>SUMIF(Consumo!$C$3:$C$862,tabItens[[#This Row],[CÓDIGO]],Consumo!$E$3:$E$862)</f>
        <v>0</v>
      </c>
      <c r="BH587" s="339">
        <f>IF(AND(tabItens[[#This Row],[Pend]] &gt; 0,tabItens[[#This Row],[Consumo]] &lt;&gt; 0), tabItens[[#This Row],[Pend]] / tabItens[[#This Row],[Consumo]], 0 )</f>
        <v>0</v>
      </c>
      <c r="BI587" s="338"/>
      <c r="BJ587" s="407"/>
      <c r="BK587" s="408" t="s">
        <v>2086</v>
      </c>
    </row>
    <row r="588" spans="1:63" x14ac:dyDescent="0.3">
      <c r="A588" s="375">
        <v>81455</v>
      </c>
      <c r="B588" s="376" t="s">
        <v>1476</v>
      </c>
      <c r="C588" s="377" t="s">
        <v>263</v>
      </c>
      <c r="D588" s="378">
        <v>7.22</v>
      </c>
      <c r="E588" s="305"/>
      <c r="F588" s="379"/>
      <c r="G588" s="379" t="s">
        <v>889</v>
      </c>
      <c r="H588" s="380">
        <v>81</v>
      </c>
      <c r="I588" s="307">
        <v>103003</v>
      </c>
      <c r="J588" s="308">
        <v>7.22</v>
      </c>
      <c r="K588" s="381">
        <v>582</v>
      </c>
      <c r="L588" s="382">
        <f>IF(tabItens[[#This Row],[Média]] &gt; 0, tabItens[[#This Row],[QTDE ATUAL]] / tabItens[[#This Row],[Média]],999.9)</f>
        <v>1.6254180602006689</v>
      </c>
      <c r="M588" s="383">
        <v>0</v>
      </c>
      <c r="N588" s="384">
        <f>tabItens[[#This Row],[VALOR UNIT.]] * tabItens[[#This Row],[LC]]</f>
        <v>0</v>
      </c>
      <c r="O588" s="385" t="s">
        <v>2101</v>
      </c>
      <c r="P588" s="386"/>
      <c r="Q588" s="387"/>
      <c r="R588" s="312"/>
      <c r="S588" s="388"/>
      <c r="T588" s="389">
        <f>ROUNDDOWN(IFERROR(tabItens[[#This Row],[ATA DT.VALID.]] - $D$1,0) / 30,0)</f>
        <v>-1474</v>
      </c>
      <c r="U588" s="302" t="s">
        <v>1276</v>
      </c>
      <c r="V588" s="318">
        <v>1</v>
      </c>
      <c r="W588" s="390" t="s">
        <v>2078</v>
      </c>
      <c r="X588" s="391">
        <v>83</v>
      </c>
      <c r="Y588" s="392">
        <v>4</v>
      </c>
      <c r="Z588" s="393"/>
      <c r="AA588" s="394"/>
      <c r="AB588" s="395"/>
      <c r="AC588" s="395"/>
      <c r="AD588" s="394"/>
      <c r="AE588" s="395"/>
      <c r="AF588" s="317"/>
      <c r="AG588" s="396" t="s">
        <v>2072</v>
      </c>
      <c r="AH588" s="397"/>
      <c r="AI588" s="317">
        <v>194</v>
      </c>
      <c r="AJ588" s="397">
        <v>45201</v>
      </c>
      <c r="AK588" s="326">
        <v>38223</v>
      </c>
      <c r="AL588" s="326">
        <v>45189</v>
      </c>
      <c r="AM588" s="316"/>
      <c r="AN588" s="305"/>
      <c r="AO588" s="327" t="str">
        <f>_xlfn.IFNA(IF(VLOOKUP(tabItens[[#This Row],[CÓDIGO]],tabExcluirDoEstoque[#Data],1,FALSE),"sim",""),"")</f>
        <v/>
      </c>
      <c r="AP588" s="398" t="str">
        <f ca="1">IF(OR(ISBLANK(tabItens[[#This Row],[ATA DT.VALID.]]),tabItens[[#This Row],[ATA DT.VALID.]]="",tabItens[[#This Row],[ATA DT.VALID.]]=" "),"",IF(TYPE(tabItens[[#This Row],[ATA DT.VALID.]])=1,ROUNDUP((tabItens[[#This Row],[ATA DT.VALID.]]-TODAY())/7,0),""))</f>
        <v/>
      </c>
      <c r="AQ588" s="399">
        <v>0</v>
      </c>
      <c r="AR588" s="400" t="str">
        <f>IF(ISBLANK(tabItens[[#This Row],[CÓDIGO]]),"",IFERROR(VLOOKUP(tabItens[[#This Row],[CÓDIGO]],Consumo!$C$2:$AC$862,26,FALSE),0))</f>
        <v>05.2023</v>
      </c>
      <c r="AS588" s="401">
        <f>SUMIF(Consumo!$C$3:$C$862,tabItens[[#This Row],[CÓDIGO]],Consumo!$N$3:$N$862) + SUMIF(Consumo!$C$3:$C$862,tabItens[[#This Row],[CÓDIGO]],Consumo!$O$3:$O$862) + SUMIF(Consumo!$C$3:$C$862,tabItens[[#This Row],[CÓDIGO]],Consumo!$P$3:$P$862) + SUMIF(Consumo!$C$3:$C$862,tabItens[[#This Row],[CÓDIGO]],Consumo!$Q$3:$Q$862)</f>
        <v>0</v>
      </c>
      <c r="AT588" s="401">
        <f>SUMIF(Consumo!$C$3:$C$862,tabItens[[#This Row],[CÓDIGO]],Consumo!$Z$3:$Z$862)</f>
        <v>650</v>
      </c>
      <c r="AU588" s="402">
        <f>SUMIF(Consumo!$C$3:$C$862,tabItens[[#This Row],[CÓDIGO]],Consumo!$AA$3:$AA$862)</f>
        <v>270</v>
      </c>
      <c r="AV588" s="403">
        <f>SUMIF(Consumo!$C$3:$C$862,tabItens[[#This Row],[CÓDIGO]],Consumo!$Y$3:$Y$862)</f>
        <v>49.833333333333336</v>
      </c>
      <c r="AW588" s="380">
        <f>tabItens[[#This Row],[QTDE ATUAL]] + tabItens[[#This Row],[RC QTDE]] + tabItens[[#This Row],[AF SALDO]] + tabItens[[#This Row],[Recentes]]</f>
        <v>81</v>
      </c>
      <c r="AX588" s="404">
        <v>30</v>
      </c>
      <c r="AY588" s="404">
        <v>4</v>
      </c>
      <c r="AZ588" s="404">
        <f>IF(ISBLANK(tabItens[[#This Row],[CÓDIGO]]),"",tabItens[[#This Row],[PontoMês]] * (AZ$2+tabItens[[#This Row],[PontoQtM]]))</f>
        <v>120</v>
      </c>
      <c r="BA588" s="403">
        <f>tabItens[[#This Row],[PontoPed]] - tabItens[[#This Row],[Saldo]] + (1/10)</f>
        <v>39.1</v>
      </c>
      <c r="BB588" s="403">
        <f xml:space="preserve"> tabItens[[#This Row],[PontoMês]] * BB$2 - tabItens[[#This Row],[QTDE ATUAL]] - (1/10)</f>
        <v>-51.1</v>
      </c>
      <c r="BC588" s="335">
        <f>IF( tabItens[[#This Row],[PontoPed]]&gt;0, IF(tabItens[[#This Row],[PontoPed]]&lt;1, 1, IF( tabItens[[#This Row],[Saldo]]&gt;tabItens[[#This Row],[PontoPed]], 0, (tabItens[[#This Row],[PontoPed]]-tabItens[[#This Row],[Saldo]])/tabItens[[#This Row],[PontoPed]] ) ), 0 )</f>
        <v>0.32500000000000001</v>
      </c>
      <c r="BD588" s="405">
        <f>ROUNDDOWN(IF( OR( AND(tabItens[[#This Row],[PontoPed]]&lt;tabItens[[#This Row],[Saldo]],tabItens[[#This Row],[Saldo]]&gt;0), tabItens[[#This Row],[PontoPed]]=0), 99, IF(AND(tabItens[[#This Row],[Saldo]]=0,tabItens[[#This Row],[PontoPed]]&gt;0), 0, (1-tabItens[[#This Row],[PctAb]])*10 ) ),0)</f>
        <v>6</v>
      </c>
      <c r="BE588" s="406">
        <f>MAX(ROUNDDOWN( IF(tabItens[[#This Row],[Abaixo]] &gt; 0,   tabItens[[#This Row],[Abaixo]] + (tabItens[[#This Row],[PontoMês]] * IF( OR( ISBLANK(tabItens[[#This Row],[ATA Nº/ANO]]), tabItens[[#This Row],[ATA Nº/ANO]] = ""),BE$2,BE$1)),0),0),0)</f>
        <v>129</v>
      </c>
      <c r="BF58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8" s="338">
        <f>SUMIF(Consumo!$C$3:$C$862,tabItens[[#This Row],[CÓDIGO]],Consumo!$E$3:$E$862)</f>
        <v>68</v>
      </c>
      <c r="BH588" s="339">
        <f>IF(AND(tabItens[[#This Row],[Pend]] &gt; 0,tabItens[[#This Row],[Consumo]] &lt;&gt; 0), tabItens[[#This Row],[Pend]] / tabItens[[#This Row],[Consumo]], 0 )</f>
        <v>0.10461538461538461</v>
      </c>
      <c r="BI588" s="338"/>
      <c r="BJ588" s="407"/>
      <c r="BK588" s="408" t="s">
        <v>2086</v>
      </c>
    </row>
    <row r="589" spans="1:63" x14ac:dyDescent="0.3">
      <c r="A589" s="375">
        <v>17562</v>
      </c>
      <c r="B589" s="376" t="s">
        <v>1137</v>
      </c>
      <c r="C589" s="377" t="s">
        <v>263</v>
      </c>
      <c r="D589" s="378">
        <v>6.35</v>
      </c>
      <c r="E589" s="305"/>
      <c r="F589" s="379"/>
      <c r="G589" s="379" t="s">
        <v>889</v>
      </c>
      <c r="H589" s="380">
        <v>443</v>
      </c>
      <c r="I589" s="307">
        <v>103003</v>
      </c>
      <c r="J589" s="308">
        <v>6.35</v>
      </c>
      <c r="K589" s="381">
        <v>40</v>
      </c>
      <c r="L589" s="382">
        <f>IF(tabItens[[#This Row],[Média]] &gt; 0, tabItens[[#This Row],[QTDE ATUAL]] / tabItens[[#This Row],[Média]],999.9)</f>
        <v>171.48387096774192</v>
      </c>
      <c r="M589" s="383">
        <v>0</v>
      </c>
      <c r="N589" s="384">
        <f>tabItens[[#This Row],[VALOR UNIT.]] * tabItens[[#This Row],[LC]]</f>
        <v>0</v>
      </c>
      <c r="O589" s="385" t="s">
        <v>2101</v>
      </c>
      <c r="P589" s="386"/>
      <c r="Q589" s="387"/>
      <c r="R589" s="312"/>
      <c r="S589" s="388"/>
      <c r="T589" s="389">
        <f>ROUNDDOWN(IFERROR(tabItens[[#This Row],[ATA DT.VALID.]] - $D$1,0) / 30,0)</f>
        <v>-1474</v>
      </c>
      <c r="U589" s="302" t="s">
        <v>1138</v>
      </c>
      <c r="V589" s="318">
        <v>1</v>
      </c>
      <c r="W589" s="390" t="s">
        <v>2078</v>
      </c>
      <c r="X589" s="391">
        <v>83</v>
      </c>
      <c r="Y589" s="392">
        <v>8</v>
      </c>
      <c r="Z589" s="393"/>
      <c r="AA589" s="394"/>
      <c r="AB589" s="395"/>
      <c r="AC589" s="395"/>
      <c r="AD589" s="394"/>
      <c r="AE589" s="395"/>
      <c r="AF589" s="317"/>
      <c r="AG589" s="396" t="s">
        <v>2072</v>
      </c>
      <c r="AH589" s="397"/>
      <c r="AI589" s="317">
        <v>14</v>
      </c>
      <c r="AJ589" s="397">
        <v>43280</v>
      </c>
      <c r="AK589" s="326" t="s">
        <v>889</v>
      </c>
      <c r="AL589" s="326">
        <v>44231</v>
      </c>
      <c r="AM589" s="316"/>
      <c r="AN589" s="305"/>
      <c r="AO589" s="327" t="str">
        <f>_xlfn.IFNA(IF(VLOOKUP(tabItens[[#This Row],[CÓDIGO]],tabExcluirDoEstoque[#Data],1,FALSE),"sim",""),"")</f>
        <v/>
      </c>
      <c r="AP589" s="398" t="str">
        <f ca="1">IF(OR(ISBLANK(tabItens[[#This Row],[ATA DT.VALID.]]),tabItens[[#This Row],[ATA DT.VALID.]]="",tabItens[[#This Row],[ATA DT.VALID.]]=" "),"",IF(TYPE(tabItens[[#This Row],[ATA DT.VALID.]])=1,ROUNDUP((tabItens[[#This Row],[ATA DT.VALID.]]-TODAY())/7,0),""))</f>
        <v/>
      </c>
      <c r="AQ589" s="399">
        <v>0</v>
      </c>
      <c r="AR589" s="400" t="str">
        <f>IF(ISBLANK(tabItens[[#This Row],[CÓDIGO]]),"",IFERROR(VLOOKUP(tabItens[[#This Row],[CÓDIGO]],Consumo!$C$2:$AC$862,26,FALSE),0))</f>
        <v>03.2023</v>
      </c>
      <c r="AS589" s="401">
        <f>SUMIF(Consumo!$C$3:$C$862,tabItens[[#This Row],[CÓDIGO]],Consumo!$N$3:$N$862) + SUMIF(Consumo!$C$3:$C$862,tabItens[[#This Row],[CÓDIGO]],Consumo!$O$3:$O$862) + SUMIF(Consumo!$C$3:$C$862,tabItens[[#This Row],[CÓDIGO]],Consumo!$P$3:$P$862) + SUMIF(Consumo!$C$3:$C$862,tabItens[[#This Row],[CÓDIGO]],Consumo!$Q$3:$Q$862)</f>
        <v>0</v>
      </c>
      <c r="AT589" s="401">
        <f>SUMIF(Consumo!$C$3:$C$862,tabItens[[#This Row],[CÓDIGO]],Consumo!$Z$3:$Z$862)</f>
        <v>40</v>
      </c>
      <c r="AU589" s="402">
        <f>SUMIF(Consumo!$C$3:$C$862,tabItens[[#This Row],[CÓDIGO]],Consumo!$AA$3:$AA$862)</f>
        <v>30</v>
      </c>
      <c r="AV589" s="403">
        <f>SUMIF(Consumo!$C$3:$C$862,tabItens[[#This Row],[CÓDIGO]],Consumo!$Y$3:$Y$862)</f>
        <v>2.5833333333333335</v>
      </c>
      <c r="AW589" s="380">
        <f>tabItens[[#This Row],[QTDE ATUAL]] + tabItens[[#This Row],[RC QTDE]] + tabItens[[#This Row],[AF SALDO]] + tabItens[[#This Row],[Recentes]]</f>
        <v>443</v>
      </c>
      <c r="AX589" s="404">
        <v>17</v>
      </c>
      <c r="AY589" s="404">
        <v>4</v>
      </c>
      <c r="AZ589" s="404">
        <f>IF(ISBLANK(tabItens[[#This Row],[CÓDIGO]]),"",tabItens[[#This Row],[PontoMês]] * (AZ$2+tabItens[[#This Row],[PontoQtM]]))</f>
        <v>68</v>
      </c>
      <c r="BA589" s="403">
        <f>tabItens[[#This Row],[PontoPed]] - tabItens[[#This Row],[Saldo]] + (1/10)</f>
        <v>-374.9</v>
      </c>
      <c r="BB589" s="403">
        <f xml:space="preserve"> tabItens[[#This Row],[PontoMês]] * BB$2 - tabItens[[#This Row],[QTDE ATUAL]] - (1/10)</f>
        <v>-426.1</v>
      </c>
      <c r="BC589" s="335">
        <f>IF( tabItens[[#This Row],[PontoPed]]&gt;0, IF(tabItens[[#This Row],[PontoPed]]&lt;1, 1, IF( tabItens[[#This Row],[Saldo]]&gt;tabItens[[#This Row],[PontoPed]], 0, (tabItens[[#This Row],[PontoPed]]-tabItens[[#This Row],[Saldo]])/tabItens[[#This Row],[PontoPed]] ) ), 0 )</f>
        <v>0</v>
      </c>
      <c r="BD589" s="405">
        <f>ROUNDDOWN(IF( OR( AND(tabItens[[#This Row],[PontoPed]]&lt;tabItens[[#This Row],[Saldo]],tabItens[[#This Row],[Saldo]]&gt;0), tabItens[[#This Row],[PontoPed]]=0), 99, IF(AND(tabItens[[#This Row],[Saldo]]=0,tabItens[[#This Row],[PontoPed]]&gt;0), 0, (1-tabItens[[#This Row],[PctAb]])*10 ) ),0)</f>
        <v>99</v>
      </c>
      <c r="BE589" s="406">
        <f>MAX(ROUNDDOWN( IF(tabItens[[#This Row],[Abaixo]] &gt; 0,   tabItens[[#This Row],[Abaixo]] + (tabItens[[#This Row],[PontoMês]] * IF( OR( ISBLANK(tabItens[[#This Row],[ATA Nº/ANO]]), tabItens[[#This Row],[ATA Nº/ANO]] = ""),BE$2,BE$1)),0),0),0)</f>
        <v>0</v>
      </c>
      <c r="BF58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9" s="338">
        <f>SUMIF(Consumo!$C$3:$C$862,tabItens[[#This Row],[CÓDIGO]],Consumo!$E$3:$E$862)</f>
        <v>0</v>
      </c>
      <c r="BH589" s="339">
        <f>IF(AND(tabItens[[#This Row],[Pend]] &gt; 0,tabItens[[#This Row],[Consumo]] &lt;&gt; 0), tabItens[[#This Row],[Pend]] / tabItens[[#This Row],[Consumo]], 0 )</f>
        <v>0</v>
      </c>
      <c r="BI589" s="338"/>
      <c r="BJ589" s="407"/>
      <c r="BK589" s="408" t="s">
        <v>2086</v>
      </c>
    </row>
    <row r="590" spans="1:63" x14ac:dyDescent="0.3">
      <c r="A590" s="375">
        <v>54144</v>
      </c>
      <c r="B590" s="376" t="s">
        <v>1319</v>
      </c>
      <c r="C590" s="377" t="s">
        <v>263</v>
      </c>
      <c r="D590" s="378">
        <v>1.29</v>
      </c>
      <c r="E590" s="305"/>
      <c r="F590" s="379"/>
      <c r="G590" s="379" t="s">
        <v>889</v>
      </c>
      <c r="H590" s="380">
        <v>326</v>
      </c>
      <c r="I590" s="307">
        <v>103003</v>
      </c>
      <c r="J590" s="308">
        <v>1.29</v>
      </c>
      <c r="K590" s="381">
        <v>253</v>
      </c>
      <c r="L590" s="382">
        <f>IF(tabItens[[#This Row],[Média]] &gt; 0, tabItens[[#This Row],[QTDE ATUAL]] / tabItens[[#This Row],[Média]],999.9)</f>
        <v>15.28125</v>
      </c>
      <c r="M590" s="383">
        <v>0</v>
      </c>
      <c r="N590" s="384">
        <f>tabItens[[#This Row],[VALOR UNIT.]] * tabItens[[#This Row],[LC]]</f>
        <v>0</v>
      </c>
      <c r="O590" s="385" t="s">
        <v>2110</v>
      </c>
      <c r="P590" s="386"/>
      <c r="Q590" s="387"/>
      <c r="R590" s="312"/>
      <c r="S590" s="388"/>
      <c r="T590" s="389">
        <f>ROUNDDOWN(IFERROR(tabItens[[#This Row],[ATA DT.VALID.]] - $D$1,0) / 30,0)</f>
        <v>-1474</v>
      </c>
      <c r="U590" s="302" t="s">
        <v>990</v>
      </c>
      <c r="V590" s="318">
        <v>1</v>
      </c>
      <c r="W590" s="390" t="s">
        <v>2077</v>
      </c>
      <c r="X590" s="391">
        <v>55</v>
      </c>
      <c r="Y590" s="392">
        <v>32</v>
      </c>
      <c r="Z590" s="393"/>
      <c r="AA590" s="394"/>
      <c r="AB590" s="395"/>
      <c r="AC590" s="395"/>
      <c r="AD590" s="394"/>
      <c r="AE590" s="395"/>
      <c r="AF590" s="317"/>
      <c r="AG590" s="396" t="s">
        <v>2072</v>
      </c>
      <c r="AH590" s="397"/>
      <c r="AI590" s="317">
        <v>104</v>
      </c>
      <c r="AJ590" s="397">
        <v>43893</v>
      </c>
      <c r="AK590" s="326" t="s">
        <v>889</v>
      </c>
      <c r="AL590" s="326">
        <v>44061</v>
      </c>
      <c r="AM590" s="316"/>
      <c r="AN590" s="305"/>
      <c r="AO590" s="327" t="str">
        <f>_xlfn.IFNA(IF(VLOOKUP(tabItens[[#This Row],[CÓDIGO]],tabExcluirDoEstoque[#Data],1,FALSE),"sim",""),"")</f>
        <v/>
      </c>
      <c r="AP590" s="398" t="str">
        <f ca="1">IF(OR(ISBLANK(tabItens[[#This Row],[ATA DT.VALID.]]),tabItens[[#This Row],[ATA DT.VALID.]]="",tabItens[[#This Row],[ATA DT.VALID.]]=" "),"",IF(TYPE(tabItens[[#This Row],[ATA DT.VALID.]])=1,ROUNDUP((tabItens[[#This Row],[ATA DT.VALID.]]-TODAY())/7,0),""))</f>
        <v/>
      </c>
      <c r="AQ590" s="399">
        <v>0</v>
      </c>
      <c r="AR590" s="400" t="str">
        <f>IF(ISBLANK(tabItens[[#This Row],[CÓDIGO]]),"",IFERROR(VLOOKUP(tabItens[[#This Row],[CÓDIGO]],Consumo!$C$2:$AC$862,26,FALSE),0))</f>
        <v>08.2023</v>
      </c>
      <c r="AS590" s="401">
        <f>SUMIF(Consumo!$C$3:$C$862,tabItens[[#This Row],[CÓDIGO]],Consumo!$N$3:$N$862) + SUMIF(Consumo!$C$3:$C$862,tabItens[[#This Row],[CÓDIGO]],Consumo!$O$3:$O$862) + SUMIF(Consumo!$C$3:$C$862,tabItens[[#This Row],[CÓDIGO]],Consumo!$P$3:$P$862) + SUMIF(Consumo!$C$3:$C$862,tabItens[[#This Row],[CÓDIGO]],Consumo!$Q$3:$Q$862)</f>
        <v>61</v>
      </c>
      <c r="AT590" s="401">
        <f>SUMIF(Consumo!$C$3:$C$862,tabItens[[#This Row],[CÓDIGO]],Consumo!$Z$3:$Z$862)</f>
        <v>269</v>
      </c>
      <c r="AU590" s="402">
        <f>SUMIF(Consumo!$C$3:$C$862,tabItens[[#This Row],[CÓDIGO]],Consumo!$AA$3:$AA$862)</f>
        <v>90</v>
      </c>
      <c r="AV590" s="403">
        <f>SUMIF(Consumo!$C$3:$C$862,tabItens[[#This Row],[CÓDIGO]],Consumo!$Y$3:$Y$862)</f>
        <v>21.333333333333332</v>
      </c>
      <c r="AW590" s="380">
        <f>tabItens[[#This Row],[QTDE ATUAL]] + tabItens[[#This Row],[RC QTDE]] + tabItens[[#This Row],[AF SALDO]] + tabItens[[#This Row],[Recentes]]</f>
        <v>326</v>
      </c>
      <c r="AX590" s="404">
        <v>42</v>
      </c>
      <c r="AY590" s="404">
        <v>4</v>
      </c>
      <c r="AZ590" s="404">
        <f>IF(ISBLANK(tabItens[[#This Row],[CÓDIGO]]),"",tabItens[[#This Row],[PontoMês]] * (AZ$2+tabItens[[#This Row],[PontoQtM]]))</f>
        <v>168</v>
      </c>
      <c r="BA590" s="403">
        <f>tabItens[[#This Row],[PontoPed]] - tabItens[[#This Row],[Saldo]] + (1/10)</f>
        <v>-157.9</v>
      </c>
      <c r="BB590" s="403">
        <f xml:space="preserve"> tabItens[[#This Row],[PontoMês]] * BB$2 - tabItens[[#This Row],[QTDE ATUAL]] - (1/10)</f>
        <v>-284.10000000000002</v>
      </c>
      <c r="BC590" s="335">
        <f>IF( tabItens[[#This Row],[PontoPed]]&gt;0, IF(tabItens[[#This Row],[PontoPed]]&lt;1, 1, IF( tabItens[[#This Row],[Saldo]]&gt;tabItens[[#This Row],[PontoPed]], 0, (tabItens[[#This Row],[PontoPed]]-tabItens[[#This Row],[Saldo]])/tabItens[[#This Row],[PontoPed]] ) ), 0 )</f>
        <v>0</v>
      </c>
      <c r="BD590" s="405">
        <f>ROUNDDOWN(IF( OR( AND(tabItens[[#This Row],[PontoPed]]&lt;tabItens[[#This Row],[Saldo]],tabItens[[#This Row],[Saldo]]&gt;0), tabItens[[#This Row],[PontoPed]]=0), 99, IF(AND(tabItens[[#This Row],[Saldo]]=0,tabItens[[#This Row],[PontoPed]]&gt;0), 0, (1-tabItens[[#This Row],[PctAb]])*10 ) ),0)</f>
        <v>99</v>
      </c>
      <c r="BE590" s="406">
        <f>MAX(ROUNDDOWN( IF(tabItens[[#This Row],[Abaixo]] &gt; 0,   tabItens[[#This Row],[Abaixo]] + (tabItens[[#This Row],[PontoMês]] * IF( OR( ISBLANK(tabItens[[#This Row],[ATA Nº/ANO]]), tabItens[[#This Row],[ATA Nº/ANO]] = ""),BE$2,BE$1)),0),0),0)</f>
        <v>0</v>
      </c>
      <c r="BF59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0" s="338">
        <f>SUMIF(Consumo!$C$3:$C$862,tabItens[[#This Row],[CÓDIGO]],Consumo!$E$3:$E$862)</f>
        <v>0</v>
      </c>
      <c r="BH590" s="339">
        <f>IF(AND(tabItens[[#This Row],[Pend]] &gt; 0,tabItens[[#This Row],[Consumo]] &lt;&gt; 0), tabItens[[#This Row],[Pend]] / tabItens[[#This Row],[Consumo]], 0 )</f>
        <v>0</v>
      </c>
      <c r="BI590" s="338"/>
      <c r="BJ590" s="407"/>
      <c r="BK590" s="408" t="s">
        <v>2086</v>
      </c>
    </row>
    <row r="591" spans="1:63" x14ac:dyDescent="0.3">
      <c r="A591" s="375">
        <v>120995</v>
      </c>
      <c r="B591" s="376" t="s">
        <v>1746</v>
      </c>
      <c r="C591" s="377" t="s">
        <v>272</v>
      </c>
      <c r="D591" s="378">
        <v>3.39</v>
      </c>
      <c r="E591" s="305"/>
      <c r="F591" s="379"/>
      <c r="G591" s="379" t="s">
        <v>889</v>
      </c>
      <c r="H591" s="380">
        <v>80</v>
      </c>
      <c r="I591" s="307">
        <v>103003</v>
      </c>
      <c r="J591" s="308">
        <v>3.39</v>
      </c>
      <c r="K591" s="381">
        <v>140</v>
      </c>
      <c r="L591" s="382">
        <f>IF(tabItens[[#This Row],[Média]] &gt; 0, tabItens[[#This Row],[QTDE ATUAL]] / tabItens[[#This Row],[Média]],999.9)</f>
        <v>6.9565217391304346</v>
      </c>
      <c r="M591" s="383">
        <v>0</v>
      </c>
      <c r="N591" s="384">
        <f>tabItens[[#This Row],[VALOR UNIT.]] * tabItens[[#This Row],[LC]]</f>
        <v>0</v>
      </c>
      <c r="O591" s="385" t="s">
        <v>2110</v>
      </c>
      <c r="P591" s="386"/>
      <c r="Q591" s="387"/>
      <c r="R591" s="312"/>
      <c r="S591" s="388"/>
      <c r="T591" s="389">
        <f>ROUNDDOWN(IFERROR(tabItens[[#This Row],[ATA DT.VALID.]] - $D$1,0) / 30,0)</f>
        <v>-1474</v>
      </c>
      <c r="U591" s="302" t="s">
        <v>990</v>
      </c>
      <c r="V591" s="318">
        <v>1</v>
      </c>
      <c r="W591" s="390" t="s">
        <v>2077</v>
      </c>
      <c r="X591" s="391">
        <v>55</v>
      </c>
      <c r="Y591" s="392">
        <v>32</v>
      </c>
      <c r="Z591" s="393">
        <v>2442</v>
      </c>
      <c r="AA591" s="394">
        <v>2023</v>
      </c>
      <c r="AB591" s="395">
        <v>100</v>
      </c>
      <c r="AC591" s="395"/>
      <c r="AD591" s="394"/>
      <c r="AE591" s="395"/>
      <c r="AF591" s="317"/>
      <c r="AG591" s="396" t="s">
        <v>2072</v>
      </c>
      <c r="AH591" s="397"/>
      <c r="AI591" s="317">
        <v>46</v>
      </c>
      <c r="AJ591" s="397">
        <v>44883</v>
      </c>
      <c r="AK591" s="326">
        <v>40794</v>
      </c>
      <c r="AL591" s="326">
        <v>44917</v>
      </c>
      <c r="AM591" s="316"/>
      <c r="AN591" s="305"/>
      <c r="AO591" s="327" t="str">
        <f>_xlfn.IFNA(IF(VLOOKUP(tabItens[[#This Row],[CÓDIGO]],tabExcluirDoEstoque[#Data],1,FALSE),"sim",""),"")</f>
        <v/>
      </c>
      <c r="AP591" s="398" t="str">
        <f ca="1">IF(OR(ISBLANK(tabItens[[#This Row],[ATA DT.VALID.]]),tabItens[[#This Row],[ATA DT.VALID.]]="",tabItens[[#This Row],[ATA DT.VALID.]]=" "),"",IF(TYPE(tabItens[[#This Row],[ATA DT.VALID.]])=1,ROUNDUP((tabItens[[#This Row],[ATA DT.VALID.]]-TODAY())/7,0),""))</f>
        <v/>
      </c>
      <c r="AQ591" s="399">
        <v>0</v>
      </c>
      <c r="AR591" s="400" t="str">
        <f>IF(ISBLANK(tabItens[[#This Row],[CÓDIGO]]),"",IFERROR(VLOOKUP(tabItens[[#This Row],[CÓDIGO]],Consumo!$C$2:$AC$862,26,FALSE),0))</f>
        <v>06.2023</v>
      </c>
      <c r="AS591" s="401">
        <f>SUMIF(Consumo!$C$3:$C$862,tabItens[[#This Row],[CÓDIGO]],Consumo!$N$3:$N$862) + SUMIF(Consumo!$C$3:$C$862,tabItens[[#This Row],[CÓDIGO]],Consumo!$O$3:$O$862) + SUMIF(Consumo!$C$3:$C$862,tabItens[[#This Row],[CÓDIGO]],Consumo!$P$3:$P$862) + SUMIF(Consumo!$C$3:$C$862,tabItens[[#This Row],[CÓDIGO]],Consumo!$Q$3:$Q$862)</f>
        <v>50</v>
      </c>
      <c r="AT591" s="401">
        <f>SUMIF(Consumo!$C$3:$C$862,tabItens[[#This Row],[CÓDIGO]],Consumo!$Z$3:$Z$862)</f>
        <v>140</v>
      </c>
      <c r="AU591" s="402">
        <f>SUMIF(Consumo!$C$3:$C$862,tabItens[[#This Row],[CÓDIGO]],Consumo!$AA$3:$AA$862)</f>
        <v>50</v>
      </c>
      <c r="AV591" s="403">
        <f>SUMIF(Consumo!$C$3:$C$862,tabItens[[#This Row],[CÓDIGO]],Consumo!$Y$3:$Y$862)</f>
        <v>11.5</v>
      </c>
      <c r="AW591" s="380">
        <f>tabItens[[#This Row],[QTDE ATUAL]] + tabItens[[#This Row],[RC QTDE]] + tabItens[[#This Row],[AF SALDO]] + tabItens[[#This Row],[Recentes]]</f>
        <v>180</v>
      </c>
      <c r="AX591" s="404">
        <v>10</v>
      </c>
      <c r="AY591" s="404">
        <v>4</v>
      </c>
      <c r="AZ591" s="404">
        <f>IF(ISBLANK(tabItens[[#This Row],[CÓDIGO]]),"",tabItens[[#This Row],[PontoMês]] * (AZ$2+tabItens[[#This Row],[PontoQtM]]))</f>
        <v>40</v>
      </c>
      <c r="BA591" s="403">
        <f>tabItens[[#This Row],[PontoPed]] - tabItens[[#This Row],[Saldo]] + (1/10)</f>
        <v>-139.9</v>
      </c>
      <c r="BB591" s="403">
        <f xml:space="preserve"> tabItens[[#This Row],[PontoMês]] * BB$2 - tabItens[[#This Row],[QTDE ATUAL]] - (1/10)</f>
        <v>-70.099999999999994</v>
      </c>
      <c r="BC591" s="335">
        <f>IF( tabItens[[#This Row],[PontoPed]]&gt;0, IF(tabItens[[#This Row],[PontoPed]]&lt;1, 1, IF( tabItens[[#This Row],[Saldo]]&gt;tabItens[[#This Row],[PontoPed]], 0, (tabItens[[#This Row],[PontoPed]]-tabItens[[#This Row],[Saldo]])/tabItens[[#This Row],[PontoPed]] ) ), 0 )</f>
        <v>0</v>
      </c>
      <c r="BD591" s="405">
        <f>ROUNDDOWN(IF( OR( AND(tabItens[[#This Row],[PontoPed]]&lt;tabItens[[#This Row],[Saldo]],tabItens[[#This Row],[Saldo]]&gt;0), tabItens[[#This Row],[PontoPed]]=0), 99, IF(AND(tabItens[[#This Row],[Saldo]]=0,tabItens[[#This Row],[PontoPed]]&gt;0), 0, (1-tabItens[[#This Row],[PctAb]])*10 ) ),0)</f>
        <v>99</v>
      </c>
      <c r="BE591" s="406">
        <f>MAX(ROUNDDOWN( IF(tabItens[[#This Row],[Abaixo]] &gt; 0,   tabItens[[#This Row],[Abaixo]] + (tabItens[[#This Row],[PontoMês]] * IF( OR( ISBLANK(tabItens[[#This Row],[ATA Nº/ANO]]), tabItens[[#This Row],[ATA Nº/ANO]] = ""),BE$2,BE$1)),0),0),0)</f>
        <v>0</v>
      </c>
      <c r="BF59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1" s="338">
        <f>SUMIF(Consumo!$C$3:$C$862,tabItens[[#This Row],[CÓDIGO]],Consumo!$E$3:$E$862)</f>
        <v>0</v>
      </c>
      <c r="BH591" s="339">
        <f>IF(AND(tabItens[[#This Row],[Pend]] &gt; 0,tabItens[[#This Row],[Consumo]] &lt;&gt; 0), tabItens[[#This Row],[Pend]] / tabItens[[#This Row],[Consumo]], 0 )</f>
        <v>0</v>
      </c>
      <c r="BI591" s="338"/>
      <c r="BJ591" s="407"/>
      <c r="BK591" s="408" t="s">
        <v>2086</v>
      </c>
    </row>
    <row r="592" spans="1:63" x14ac:dyDescent="0.3">
      <c r="A592" s="375">
        <v>15656</v>
      </c>
      <c r="B592" s="376" t="s">
        <v>1104</v>
      </c>
      <c r="C592" s="377" t="s">
        <v>263</v>
      </c>
      <c r="D592" s="378">
        <v>5.75</v>
      </c>
      <c r="E592" s="305"/>
      <c r="F592" s="379"/>
      <c r="G592" s="379" t="s">
        <v>889</v>
      </c>
      <c r="H592" s="380">
        <v>136</v>
      </c>
      <c r="I592" s="307">
        <v>103003</v>
      </c>
      <c r="J592" s="308">
        <v>5.75</v>
      </c>
      <c r="K592" s="381">
        <v>15</v>
      </c>
      <c r="L592" s="382">
        <f>IF(tabItens[[#This Row],[Média]] &gt; 0, tabItens[[#This Row],[QTDE ATUAL]] / tabItens[[#This Row],[Média]],999.9)</f>
        <v>136</v>
      </c>
      <c r="M592" s="383">
        <v>0</v>
      </c>
      <c r="N592" s="384">
        <f>tabItens[[#This Row],[VALOR UNIT.]] * tabItens[[#This Row],[LC]]</f>
        <v>0</v>
      </c>
      <c r="O592" s="385" t="s">
        <v>2110</v>
      </c>
      <c r="P592" s="386"/>
      <c r="Q592" s="387"/>
      <c r="R592" s="312"/>
      <c r="S592" s="388"/>
      <c r="T592" s="389">
        <f>ROUNDDOWN(IFERROR(tabItens[[#This Row],[ATA DT.VALID.]] - $D$1,0) / 30,0)</f>
        <v>-1474</v>
      </c>
      <c r="U592" s="302" t="s">
        <v>1103</v>
      </c>
      <c r="V592" s="318">
        <v>1</v>
      </c>
      <c r="W592" s="390" t="s">
        <v>2077</v>
      </c>
      <c r="X592" s="391">
        <v>55</v>
      </c>
      <c r="Y592" s="392">
        <v>35</v>
      </c>
      <c r="Z592" s="393"/>
      <c r="AA592" s="394"/>
      <c r="AB592" s="395"/>
      <c r="AC592" s="395"/>
      <c r="AD592" s="394"/>
      <c r="AE592" s="395"/>
      <c r="AF592" s="317"/>
      <c r="AG592" s="396" t="s">
        <v>2072</v>
      </c>
      <c r="AH592" s="397"/>
      <c r="AI592" s="317">
        <v>6</v>
      </c>
      <c r="AJ592" s="397">
        <v>43966</v>
      </c>
      <c r="AK592" s="326" t="s">
        <v>889</v>
      </c>
      <c r="AL592" s="326">
        <v>43880</v>
      </c>
      <c r="AM592" s="316"/>
      <c r="AN592" s="305"/>
      <c r="AO592" s="327" t="str">
        <f>_xlfn.IFNA(IF(VLOOKUP(tabItens[[#This Row],[CÓDIGO]],tabExcluirDoEstoque[#Data],1,FALSE),"sim",""),"")</f>
        <v/>
      </c>
      <c r="AP592" s="398" t="str">
        <f ca="1">IF(OR(ISBLANK(tabItens[[#This Row],[ATA DT.VALID.]]),tabItens[[#This Row],[ATA DT.VALID.]]="",tabItens[[#This Row],[ATA DT.VALID.]]=" "),"",IF(TYPE(tabItens[[#This Row],[ATA DT.VALID.]])=1,ROUNDUP((tabItens[[#This Row],[ATA DT.VALID.]]-TODAY())/7,0),""))</f>
        <v/>
      </c>
      <c r="AQ592" s="399">
        <v>0</v>
      </c>
      <c r="AR592" s="400" t="str">
        <f>IF(ISBLANK(tabItens[[#This Row],[CÓDIGO]]),"",IFERROR(VLOOKUP(tabItens[[#This Row],[CÓDIGO]],Consumo!$C$2:$AC$862,26,FALSE),0))</f>
        <v>06.2023</v>
      </c>
      <c r="AS592" s="401">
        <f>SUMIF(Consumo!$C$3:$C$862,tabItens[[#This Row],[CÓDIGO]],Consumo!$N$3:$N$862) + SUMIF(Consumo!$C$3:$C$862,tabItens[[#This Row],[CÓDIGO]],Consumo!$O$3:$O$862) + SUMIF(Consumo!$C$3:$C$862,tabItens[[#This Row],[CÓDIGO]],Consumo!$P$3:$P$862) + SUMIF(Consumo!$C$3:$C$862,tabItens[[#This Row],[CÓDIGO]],Consumo!$Q$3:$Q$862)</f>
        <v>10</v>
      </c>
      <c r="AT592" s="401">
        <f>SUMIF(Consumo!$C$3:$C$862,tabItens[[#This Row],[CÓDIGO]],Consumo!$Z$3:$Z$862)</f>
        <v>15</v>
      </c>
      <c r="AU592" s="402">
        <f>SUMIF(Consumo!$C$3:$C$862,tabItens[[#This Row],[CÓDIGO]],Consumo!$AA$3:$AA$862)</f>
        <v>10</v>
      </c>
      <c r="AV592" s="403">
        <f>SUMIF(Consumo!$C$3:$C$862,tabItens[[#This Row],[CÓDIGO]],Consumo!$Y$3:$Y$862)</f>
        <v>1</v>
      </c>
      <c r="AW592" s="380">
        <f>tabItens[[#This Row],[QTDE ATUAL]] + tabItens[[#This Row],[RC QTDE]] + tabItens[[#This Row],[AF SALDO]] + tabItens[[#This Row],[Recentes]]</f>
        <v>136</v>
      </c>
      <c r="AX592" s="404">
        <v>9</v>
      </c>
      <c r="AY592" s="404">
        <v>4</v>
      </c>
      <c r="AZ592" s="404">
        <f>IF(ISBLANK(tabItens[[#This Row],[CÓDIGO]]),"",tabItens[[#This Row],[PontoMês]] * (AZ$2+tabItens[[#This Row],[PontoQtM]]))</f>
        <v>36</v>
      </c>
      <c r="BA592" s="403">
        <f>tabItens[[#This Row],[PontoPed]] - tabItens[[#This Row],[Saldo]] + (1/10)</f>
        <v>-99.9</v>
      </c>
      <c r="BB592" s="403">
        <f xml:space="preserve"> tabItens[[#This Row],[PontoMês]] * BB$2 - tabItens[[#This Row],[QTDE ATUAL]] - (1/10)</f>
        <v>-127.1</v>
      </c>
      <c r="BC592" s="335">
        <f>IF( tabItens[[#This Row],[PontoPed]]&gt;0, IF(tabItens[[#This Row],[PontoPed]]&lt;1, 1, IF( tabItens[[#This Row],[Saldo]]&gt;tabItens[[#This Row],[PontoPed]], 0, (tabItens[[#This Row],[PontoPed]]-tabItens[[#This Row],[Saldo]])/tabItens[[#This Row],[PontoPed]] ) ), 0 )</f>
        <v>0</v>
      </c>
      <c r="BD592" s="405">
        <f>ROUNDDOWN(IF( OR( AND(tabItens[[#This Row],[PontoPed]]&lt;tabItens[[#This Row],[Saldo]],tabItens[[#This Row],[Saldo]]&gt;0), tabItens[[#This Row],[PontoPed]]=0), 99, IF(AND(tabItens[[#This Row],[Saldo]]=0,tabItens[[#This Row],[PontoPed]]&gt;0), 0, (1-tabItens[[#This Row],[PctAb]])*10 ) ),0)</f>
        <v>99</v>
      </c>
      <c r="BE592" s="406">
        <f>MAX(ROUNDDOWN( IF(tabItens[[#This Row],[Abaixo]] &gt; 0,   tabItens[[#This Row],[Abaixo]] + (tabItens[[#This Row],[PontoMês]] * IF( OR( ISBLANK(tabItens[[#This Row],[ATA Nº/ANO]]), tabItens[[#This Row],[ATA Nº/ANO]] = ""),BE$2,BE$1)),0),0),0)</f>
        <v>0</v>
      </c>
      <c r="BF59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2" s="338">
        <f>SUMIF(Consumo!$C$3:$C$862,tabItens[[#This Row],[CÓDIGO]],Consumo!$E$3:$E$862)</f>
        <v>0</v>
      </c>
      <c r="BH592" s="339">
        <f>IF(AND(tabItens[[#This Row],[Pend]] &gt; 0,tabItens[[#This Row],[Consumo]] &lt;&gt; 0), tabItens[[#This Row],[Pend]] / tabItens[[#This Row],[Consumo]], 0 )</f>
        <v>0</v>
      </c>
      <c r="BI592" s="338"/>
      <c r="BJ592" s="407"/>
      <c r="BK592" s="408" t="s">
        <v>2086</v>
      </c>
    </row>
    <row r="593" spans="1:63" x14ac:dyDescent="0.3">
      <c r="A593" s="375">
        <v>54019</v>
      </c>
      <c r="B593" s="376" t="s">
        <v>1314</v>
      </c>
      <c r="C593" s="377" t="s">
        <v>263</v>
      </c>
      <c r="D593" s="378">
        <v>3.2</v>
      </c>
      <c r="E593" s="305"/>
      <c r="F593" s="379"/>
      <c r="G593" s="379" t="s">
        <v>889</v>
      </c>
      <c r="H593" s="380">
        <v>455</v>
      </c>
      <c r="I593" s="307">
        <v>103003</v>
      </c>
      <c r="J593" s="308">
        <v>3.2</v>
      </c>
      <c r="K593" s="381">
        <v>394</v>
      </c>
      <c r="L593" s="382">
        <f>IF(tabItens[[#This Row],[Média]] &gt; 0, tabItens[[#This Row],[QTDE ATUAL]] / tabItens[[#This Row],[Média]],999.9)</f>
        <v>12.757009345794394</v>
      </c>
      <c r="M593" s="383">
        <v>0</v>
      </c>
      <c r="N593" s="384">
        <f>tabItens[[#This Row],[VALOR UNIT.]] * tabItens[[#This Row],[LC]]</f>
        <v>0</v>
      </c>
      <c r="O593" s="385" t="s">
        <v>2110</v>
      </c>
      <c r="P593" s="386"/>
      <c r="Q593" s="387"/>
      <c r="R593" s="312"/>
      <c r="S593" s="388"/>
      <c r="T593" s="389">
        <f>ROUNDDOWN(IFERROR(tabItens[[#This Row],[ATA DT.VALID.]] - $D$1,0) / 30,0)</f>
        <v>-1474</v>
      </c>
      <c r="U593" s="302" t="s">
        <v>1315</v>
      </c>
      <c r="V593" s="318">
        <v>1</v>
      </c>
      <c r="W593" s="390" t="s">
        <v>2077</v>
      </c>
      <c r="X593" s="391">
        <v>55</v>
      </c>
      <c r="Y593" s="392">
        <v>45</v>
      </c>
      <c r="Z593" s="393">
        <v>2442</v>
      </c>
      <c r="AA593" s="394">
        <v>2023</v>
      </c>
      <c r="AB593" s="395">
        <v>100</v>
      </c>
      <c r="AC593" s="395"/>
      <c r="AD593" s="394"/>
      <c r="AE593" s="395"/>
      <c r="AF593" s="317"/>
      <c r="AG593" s="396" t="s">
        <v>2072</v>
      </c>
      <c r="AH593" s="397"/>
      <c r="AI593" s="317">
        <v>144</v>
      </c>
      <c r="AJ593" s="397">
        <v>44965</v>
      </c>
      <c r="AK593" s="326" t="s">
        <v>889</v>
      </c>
      <c r="AL593" s="326">
        <v>44917</v>
      </c>
      <c r="AM593" s="316"/>
      <c r="AN593" s="305"/>
      <c r="AO593" s="327" t="str">
        <f>_xlfn.IFNA(IF(VLOOKUP(tabItens[[#This Row],[CÓDIGO]],tabExcluirDoEstoque[#Data],1,FALSE),"sim",""),"")</f>
        <v/>
      </c>
      <c r="AP593" s="398" t="str">
        <f ca="1">IF(OR(ISBLANK(tabItens[[#This Row],[ATA DT.VALID.]]),tabItens[[#This Row],[ATA DT.VALID.]]="",tabItens[[#This Row],[ATA DT.VALID.]]=" "),"",IF(TYPE(tabItens[[#This Row],[ATA DT.VALID.]])=1,ROUNDUP((tabItens[[#This Row],[ATA DT.VALID.]]-TODAY())/7,0),""))</f>
        <v/>
      </c>
      <c r="AQ593" s="399">
        <v>0</v>
      </c>
      <c r="AR593" s="400" t="str">
        <f>IF(ISBLANK(tabItens[[#This Row],[CÓDIGO]]),"",IFERROR(VLOOKUP(tabItens[[#This Row],[CÓDIGO]],Consumo!$C$2:$AC$862,26,FALSE),0))</f>
        <v>08.2023</v>
      </c>
      <c r="AS593" s="401">
        <f>SUMIF(Consumo!$C$3:$C$862,tabItens[[#This Row],[CÓDIGO]],Consumo!$N$3:$N$862) + SUMIF(Consumo!$C$3:$C$862,tabItens[[#This Row],[CÓDIGO]],Consumo!$O$3:$O$862) + SUMIF(Consumo!$C$3:$C$862,tabItens[[#This Row],[CÓDIGO]],Consumo!$P$3:$P$862) + SUMIF(Consumo!$C$3:$C$862,tabItens[[#This Row],[CÓDIGO]],Consumo!$Q$3:$Q$862)</f>
        <v>70</v>
      </c>
      <c r="AT593" s="401">
        <f>SUMIF(Consumo!$C$3:$C$862,tabItens[[#This Row],[CÓDIGO]],Consumo!$Z$3:$Z$862)</f>
        <v>428</v>
      </c>
      <c r="AU593" s="402">
        <f>SUMIF(Consumo!$C$3:$C$862,tabItens[[#This Row],[CÓDIGO]],Consumo!$AA$3:$AA$862)</f>
        <v>105</v>
      </c>
      <c r="AV593" s="403">
        <f>SUMIF(Consumo!$C$3:$C$862,tabItens[[#This Row],[CÓDIGO]],Consumo!$Y$3:$Y$862)</f>
        <v>35.666666666666664</v>
      </c>
      <c r="AW593" s="380">
        <f>tabItens[[#This Row],[QTDE ATUAL]] + tabItens[[#This Row],[RC QTDE]] + tabItens[[#This Row],[AF SALDO]] + tabItens[[#This Row],[Recentes]]</f>
        <v>555</v>
      </c>
      <c r="AX593" s="404">
        <v>17</v>
      </c>
      <c r="AY593" s="404">
        <v>4</v>
      </c>
      <c r="AZ593" s="404">
        <f>IF(ISBLANK(tabItens[[#This Row],[CÓDIGO]]),"",tabItens[[#This Row],[PontoMês]] * (AZ$2+tabItens[[#This Row],[PontoQtM]]))</f>
        <v>68</v>
      </c>
      <c r="BA593" s="403">
        <f>tabItens[[#This Row],[PontoPed]] - tabItens[[#This Row],[Saldo]] + (1/10)</f>
        <v>-486.9</v>
      </c>
      <c r="BB593" s="403">
        <f xml:space="preserve"> tabItens[[#This Row],[PontoMês]] * BB$2 - tabItens[[#This Row],[QTDE ATUAL]] - (1/10)</f>
        <v>-438.1</v>
      </c>
      <c r="BC593" s="335">
        <f>IF( tabItens[[#This Row],[PontoPed]]&gt;0, IF(tabItens[[#This Row],[PontoPed]]&lt;1, 1, IF( tabItens[[#This Row],[Saldo]]&gt;tabItens[[#This Row],[PontoPed]], 0, (tabItens[[#This Row],[PontoPed]]-tabItens[[#This Row],[Saldo]])/tabItens[[#This Row],[PontoPed]] ) ), 0 )</f>
        <v>0</v>
      </c>
      <c r="BD593" s="405">
        <f>ROUNDDOWN(IF( OR( AND(tabItens[[#This Row],[PontoPed]]&lt;tabItens[[#This Row],[Saldo]],tabItens[[#This Row],[Saldo]]&gt;0), tabItens[[#This Row],[PontoPed]]=0), 99, IF(AND(tabItens[[#This Row],[Saldo]]=0,tabItens[[#This Row],[PontoPed]]&gt;0), 0, (1-tabItens[[#This Row],[PctAb]])*10 ) ),0)</f>
        <v>99</v>
      </c>
      <c r="BE593" s="406">
        <f>MAX(ROUNDDOWN( IF(tabItens[[#This Row],[Abaixo]] &gt; 0,   tabItens[[#This Row],[Abaixo]] + (tabItens[[#This Row],[PontoMês]] * IF( OR( ISBLANK(tabItens[[#This Row],[ATA Nº/ANO]]), tabItens[[#This Row],[ATA Nº/ANO]] = ""),BE$2,BE$1)),0),0),0)</f>
        <v>0</v>
      </c>
      <c r="BF59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3" s="338">
        <f>SUMIF(Consumo!$C$3:$C$862,tabItens[[#This Row],[CÓDIGO]],Consumo!$E$3:$E$862)</f>
        <v>0</v>
      </c>
      <c r="BH593" s="339">
        <f>IF(AND(tabItens[[#This Row],[Pend]] &gt; 0,tabItens[[#This Row],[Consumo]] &lt;&gt; 0), tabItens[[#This Row],[Pend]] / tabItens[[#This Row],[Consumo]], 0 )</f>
        <v>0</v>
      </c>
      <c r="BI593" s="338"/>
      <c r="BJ593" s="407"/>
      <c r="BK593" s="408" t="s">
        <v>2086</v>
      </c>
    </row>
    <row r="594" spans="1:63" x14ac:dyDescent="0.3">
      <c r="A594" s="375">
        <v>95229</v>
      </c>
      <c r="B594" s="376" t="s">
        <v>1556</v>
      </c>
      <c r="C594" s="377" t="s">
        <v>263</v>
      </c>
      <c r="D594" s="378">
        <v>0.19</v>
      </c>
      <c r="E594" s="305"/>
      <c r="F594" s="379"/>
      <c r="G594" s="379" t="s">
        <v>889</v>
      </c>
      <c r="H594" s="380">
        <v>0</v>
      </c>
      <c r="I594" s="307">
        <v>103003</v>
      </c>
      <c r="J594" s="308">
        <v>0.19</v>
      </c>
      <c r="K594" s="381">
        <v>8356</v>
      </c>
      <c r="L594" s="382">
        <f>IF(tabItens[[#This Row],[Média]] &gt; 0, tabItens[[#This Row],[QTDE ATUAL]] / tabItens[[#This Row],[Média]],999.9)</f>
        <v>0</v>
      </c>
      <c r="M594" s="383">
        <v>0</v>
      </c>
      <c r="N594" s="384">
        <f>tabItens[[#This Row],[VALOR UNIT.]] * tabItens[[#This Row],[LC]]</f>
        <v>0</v>
      </c>
      <c r="O594" s="385" t="s">
        <v>2110</v>
      </c>
      <c r="P594" s="386"/>
      <c r="Q594" s="387"/>
      <c r="R594" s="312"/>
      <c r="S594" s="388"/>
      <c r="T594" s="389">
        <f>ROUNDDOWN(IFERROR(tabItens[[#This Row],[ATA DT.VALID.]] - $D$1,0) / 30,0)</f>
        <v>-1474</v>
      </c>
      <c r="U594" s="302" t="s">
        <v>1052</v>
      </c>
      <c r="V594" s="318">
        <v>1</v>
      </c>
      <c r="W594" s="390" t="s">
        <v>2077</v>
      </c>
      <c r="X594" s="391">
        <v>55</v>
      </c>
      <c r="Y594" s="392">
        <v>46</v>
      </c>
      <c r="Z594" s="393">
        <v>10083</v>
      </c>
      <c r="AA594" s="394">
        <v>2023</v>
      </c>
      <c r="AB594" s="395">
        <v>2000</v>
      </c>
      <c r="AC594" s="395"/>
      <c r="AD594" s="394"/>
      <c r="AE594" s="395"/>
      <c r="AF594" s="317"/>
      <c r="AG594" s="396" t="s">
        <v>2072</v>
      </c>
      <c r="AH594" s="397"/>
      <c r="AI594" s="317">
        <v>3240</v>
      </c>
      <c r="AJ594" s="397">
        <v>44599</v>
      </c>
      <c r="AK594" s="326">
        <v>39007</v>
      </c>
      <c r="AL594" s="326">
        <v>45105</v>
      </c>
      <c r="AM594" s="316"/>
      <c r="AN594" s="305"/>
      <c r="AO594" s="327" t="str">
        <f>_xlfn.IFNA(IF(VLOOKUP(tabItens[[#This Row],[CÓDIGO]],tabExcluirDoEstoque[#Data],1,FALSE),"sim",""),"")</f>
        <v/>
      </c>
      <c r="AP594" s="398" t="str">
        <f ca="1">IF(OR(ISBLANK(tabItens[[#This Row],[ATA DT.VALID.]]),tabItens[[#This Row],[ATA DT.VALID.]]="",tabItens[[#This Row],[ATA DT.VALID.]]=" "),"",IF(TYPE(tabItens[[#This Row],[ATA DT.VALID.]])=1,ROUNDUP((tabItens[[#This Row],[ATA DT.VALID.]]-TODAY())/7,0),""))</f>
        <v/>
      </c>
      <c r="AQ594" s="399">
        <v>0</v>
      </c>
      <c r="AR594" s="400" t="str">
        <f>IF(ISBLANK(tabItens[[#This Row],[CÓDIGO]]),"",IFERROR(VLOOKUP(tabItens[[#This Row],[CÓDIGO]],Consumo!$C$2:$AC$862,26,FALSE),0))</f>
        <v>07.2023</v>
      </c>
      <c r="AS594" s="401">
        <f>SUMIF(Consumo!$C$3:$C$862,tabItens[[#This Row],[CÓDIGO]],Consumo!$N$3:$N$862) + SUMIF(Consumo!$C$3:$C$862,tabItens[[#This Row],[CÓDIGO]],Consumo!$O$3:$O$862) + SUMIF(Consumo!$C$3:$C$862,tabItens[[#This Row],[CÓDIGO]],Consumo!$P$3:$P$862) + SUMIF(Consumo!$C$3:$C$862,tabItens[[#This Row],[CÓDIGO]],Consumo!$Q$3:$Q$862)</f>
        <v>3313</v>
      </c>
      <c r="AT594" s="401">
        <f>SUMIF(Consumo!$C$3:$C$862,tabItens[[#This Row],[CÓDIGO]],Consumo!$Z$3:$Z$862)</f>
        <v>11406</v>
      </c>
      <c r="AU594" s="402">
        <f>SUMIF(Consumo!$C$3:$C$862,tabItens[[#This Row],[CÓDIGO]],Consumo!$AA$3:$AA$862)</f>
        <v>3200</v>
      </c>
      <c r="AV594" s="403">
        <f>SUMIF(Consumo!$C$3:$C$862,tabItens[[#This Row],[CÓDIGO]],Consumo!$Y$3:$Y$862)</f>
        <v>908.41666666666663</v>
      </c>
      <c r="AW594" s="380">
        <f>tabItens[[#This Row],[QTDE ATUAL]] + tabItens[[#This Row],[RC QTDE]] + tabItens[[#This Row],[AF SALDO]] + tabItens[[#This Row],[Recentes]]</f>
        <v>2000</v>
      </c>
      <c r="AX594" s="404">
        <v>165</v>
      </c>
      <c r="AY594" s="404">
        <v>4</v>
      </c>
      <c r="AZ594" s="404">
        <f>IF(ISBLANK(tabItens[[#This Row],[CÓDIGO]]),"",tabItens[[#This Row],[PontoMês]] * (AZ$2+tabItens[[#This Row],[PontoQtM]]))</f>
        <v>660</v>
      </c>
      <c r="BA594" s="403">
        <f>tabItens[[#This Row],[PontoPed]] - tabItens[[#This Row],[Saldo]] + (1/10)</f>
        <v>-1339.9</v>
      </c>
      <c r="BB594" s="403">
        <f xml:space="preserve"> tabItens[[#This Row],[PontoMês]] * BB$2 - tabItens[[#This Row],[QTDE ATUAL]] - (1/10)</f>
        <v>164.9</v>
      </c>
      <c r="BC594" s="335">
        <f>IF( tabItens[[#This Row],[PontoPed]]&gt;0, IF(tabItens[[#This Row],[PontoPed]]&lt;1, 1, IF( tabItens[[#This Row],[Saldo]]&gt;tabItens[[#This Row],[PontoPed]], 0, (tabItens[[#This Row],[PontoPed]]-tabItens[[#This Row],[Saldo]])/tabItens[[#This Row],[PontoPed]] ) ), 0 )</f>
        <v>0</v>
      </c>
      <c r="BD594" s="405">
        <f>ROUNDDOWN(IF( OR( AND(tabItens[[#This Row],[PontoPed]]&lt;tabItens[[#This Row],[Saldo]],tabItens[[#This Row],[Saldo]]&gt;0), tabItens[[#This Row],[PontoPed]]=0), 99, IF(AND(tabItens[[#This Row],[Saldo]]=0,tabItens[[#This Row],[PontoPed]]&gt;0), 0, (1-tabItens[[#This Row],[PctAb]])*10 ) ),0)</f>
        <v>99</v>
      </c>
      <c r="BE594" s="406">
        <f>MAX(ROUNDDOWN( IF(tabItens[[#This Row],[Abaixo]] &gt; 0,   tabItens[[#This Row],[Abaixo]] + (tabItens[[#This Row],[PontoMês]] * IF( OR( ISBLANK(tabItens[[#This Row],[ATA Nº/ANO]]), tabItens[[#This Row],[ATA Nº/ANO]] = ""),BE$2,BE$1)),0),0),0)</f>
        <v>0</v>
      </c>
      <c r="BF59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4" s="338">
        <f>SUMIF(Consumo!$C$3:$C$862,tabItens[[#This Row],[CÓDIGO]],Consumo!$E$3:$E$862)</f>
        <v>1687</v>
      </c>
      <c r="BH594" s="339">
        <f>IF(AND(tabItens[[#This Row],[Pend]] &gt; 0,tabItens[[#This Row],[Consumo]] &lt;&gt; 0), tabItens[[#This Row],[Pend]] / tabItens[[#This Row],[Consumo]], 0 )</f>
        <v>0.14790461160792565</v>
      </c>
      <c r="BI594" s="338"/>
      <c r="BJ594" s="407"/>
      <c r="BK594" s="408" t="s">
        <v>2086</v>
      </c>
    </row>
    <row r="595" spans="1:63" x14ac:dyDescent="0.3">
      <c r="A595" s="375">
        <v>13178</v>
      </c>
      <c r="B595" s="376" t="s">
        <v>1017</v>
      </c>
      <c r="C595" s="377" t="s">
        <v>263</v>
      </c>
      <c r="D595" s="378">
        <v>0.02</v>
      </c>
      <c r="E595" s="305"/>
      <c r="F595" s="379"/>
      <c r="G595" s="379" t="s">
        <v>889</v>
      </c>
      <c r="H595" s="380">
        <v>1950</v>
      </c>
      <c r="I595" s="307">
        <v>103003</v>
      </c>
      <c r="J595" s="308">
        <v>0.02</v>
      </c>
      <c r="K595" s="381">
        <v>15133</v>
      </c>
      <c r="L595" s="382">
        <f>IF(tabItens[[#This Row],[Média]] &gt; 0, tabItens[[#This Row],[QTDE ATUAL]] / tabItens[[#This Row],[Média]],999.9)</f>
        <v>1.452333664349553</v>
      </c>
      <c r="M595" s="383">
        <v>0</v>
      </c>
      <c r="N595" s="384">
        <f>tabItens[[#This Row],[VALOR UNIT.]] * tabItens[[#This Row],[LC]]</f>
        <v>0</v>
      </c>
      <c r="O595" s="385" t="s">
        <v>2110</v>
      </c>
      <c r="P595" s="386"/>
      <c r="Q595" s="387"/>
      <c r="R595" s="312"/>
      <c r="S595" s="388"/>
      <c r="T595" s="389">
        <f>ROUNDDOWN(IFERROR(tabItens[[#This Row],[ATA DT.VALID.]] - $D$1,0) / 30,0)</f>
        <v>-1474</v>
      </c>
      <c r="U595" s="302" t="s">
        <v>1018</v>
      </c>
      <c r="V595" s="318">
        <v>1</v>
      </c>
      <c r="W595" s="390" t="s">
        <v>2071</v>
      </c>
      <c r="X595" s="391">
        <v>67</v>
      </c>
      <c r="Y595" s="392">
        <v>9</v>
      </c>
      <c r="Z595" s="393"/>
      <c r="AA595" s="394"/>
      <c r="AB595" s="395"/>
      <c r="AC595" s="395"/>
      <c r="AD595" s="394"/>
      <c r="AE595" s="395"/>
      <c r="AF595" s="317"/>
      <c r="AG595" s="396" t="s">
        <v>2072</v>
      </c>
      <c r="AH595" s="397"/>
      <c r="AI595" s="317">
        <v>5744</v>
      </c>
      <c r="AJ595" s="397">
        <v>45201</v>
      </c>
      <c r="AK595" s="326" t="s">
        <v>889</v>
      </c>
      <c r="AL595" s="326">
        <v>45189</v>
      </c>
      <c r="AM595" s="316"/>
      <c r="AN595" s="305"/>
      <c r="AO595" s="327" t="str">
        <f>_xlfn.IFNA(IF(VLOOKUP(tabItens[[#This Row],[CÓDIGO]],tabExcluirDoEstoque[#Data],1,FALSE),"sim",""),"")</f>
        <v/>
      </c>
      <c r="AP595" s="398" t="str">
        <f ca="1">IF(OR(ISBLANK(tabItens[[#This Row],[ATA DT.VALID.]]),tabItens[[#This Row],[ATA DT.VALID.]]="",tabItens[[#This Row],[ATA DT.VALID.]]=" "),"",IF(TYPE(tabItens[[#This Row],[ATA DT.VALID.]])=1,ROUNDUP((tabItens[[#This Row],[ATA DT.VALID.]]-TODAY())/7,0),""))</f>
        <v/>
      </c>
      <c r="AQ595" s="399">
        <v>0</v>
      </c>
      <c r="AR595" s="400" t="str">
        <f>IF(ISBLANK(tabItens[[#This Row],[CÓDIGO]]),"",IFERROR(VLOOKUP(tabItens[[#This Row],[CÓDIGO]],Consumo!$C$2:$AC$862,26,FALSE),0))</f>
        <v>06.2023</v>
      </c>
      <c r="AS595" s="401">
        <f>SUMIF(Consumo!$C$3:$C$862,tabItens[[#This Row],[CÓDIGO]],Consumo!$N$3:$N$862) + SUMIF(Consumo!$C$3:$C$862,tabItens[[#This Row],[CÓDIGO]],Consumo!$O$3:$O$862) + SUMIF(Consumo!$C$3:$C$862,tabItens[[#This Row],[CÓDIGO]],Consumo!$P$3:$P$862) + SUMIF(Consumo!$C$3:$C$862,tabItens[[#This Row],[CÓDIGO]],Consumo!$Q$3:$Q$862)</f>
        <v>1353</v>
      </c>
      <c r="AT595" s="401">
        <f>SUMIF(Consumo!$C$3:$C$862,tabItens[[#This Row],[CÓDIGO]],Consumo!$Z$3:$Z$862)</f>
        <v>17880</v>
      </c>
      <c r="AU595" s="402">
        <f>SUMIF(Consumo!$C$3:$C$862,tabItens[[#This Row],[CÓDIGO]],Consumo!$AA$3:$AA$862)</f>
        <v>6900</v>
      </c>
      <c r="AV595" s="403">
        <f>SUMIF(Consumo!$C$3:$C$862,tabItens[[#This Row],[CÓDIGO]],Consumo!$Y$3:$Y$862)</f>
        <v>1342.6666666666667</v>
      </c>
      <c r="AW595" s="380">
        <f>tabItens[[#This Row],[QTDE ATUAL]] + tabItens[[#This Row],[RC QTDE]] + tabItens[[#This Row],[AF SALDO]] + tabItens[[#This Row],[Recentes]]</f>
        <v>1950</v>
      </c>
      <c r="AX595" s="404">
        <v>662</v>
      </c>
      <c r="AY595" s="404">
        <v>4</v>
      </c>
      <c r="AZ595" s="404">
        <f>IF(ISBLANK(tabItens[[#This Row],[CÓDIGO]]),"",tabItens[[#This Row],[PontoMês]] * (AZ$2+tabItens[[#This Row],[PontoQtM]]))</f>
        <v>2648</v>
      </c>
      <c r="BA595" s="403">
        <f>tabItens[[#This Row],[PontoPed]] - tabItens[[#This Row],[Saldo]] + (1/10)</f>
        <v>698.1</v>
      </c>
      <c r="BB595" s="403">
        <f xml:space="preserve"> tabItens[[#This Row],[PontoMês]] * BB$2 - tabItens[[#This Row],[QTDE ATUAL]] - (1/10)</f>
        <v>-1288.0999999999999</v>
      </c>
      <c r="BC595" s="335">
        <f>IF( tabItens[[#This Row],[PontoPed]]&gt;0, IF(tabItens[[#This Row],[PontoPed]]&lt;1, 1, IF( tabItens[[#This Row],[Saldo]]&gt;tabItens[[#This Row],[PontoPed]], 0, (tabItens[[#This Row],[PontoPed]]-tabItens[[#This Row],[Saldo]])/tabItens[[#This Row],[PontoPed]] ) ), 0 )</f>
        <v>0.26359516616314199</v>
      </c>
      <c r="BD595" s="405">
        <f>ROUNDDOWN(IF( OR( AND(tabItens[[#This Row],[PontoPed]]&lt;tabItens[[#This Row],[Saldo]],tabItens[[#This Row],[Saldo]]&gt;0), tabItens[[#This Row],[PontoPed]]=0), 99, IF(AND(tabItens[[#This Row],[Saldo]]=0,tabItens[[#This Row],[PontoPed]]&gt;0), 0, (1-tabItens[[#This Row],[PctAb]])*10 ) ),0)</f>
        <v>7</v>
      </c>
      <c r="BE595" s="406">
        <f>MAX(ROUNDDOWN( IF(tabItens[[#This Row],[Abaixo]] &gt; 0,   tabItens[[#This Row],[Abaixo]] + (tabItens[[#This Row],[PontoMês]] * IF( OR( ISBLANK(tabItens[[#This Row],[ATA Nº/ANO]]), tabItens[[#This Row],[ATA Nº/ANO]] = ""),BE$2,BE$1)),0),0),0)</f>
        <v>2684</v>
      </c>
      <c r="BF59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5" s="338">
        <f>SUMIF(Consumo!$C$3:$C$862,tabItens[[#This Row],[CÓDIGO]],Consumo!$E$3:$E$862)</f>
        <v>647</v>
      </c>
      <c r="BH595" s="339">
        <f>IF(AND(tabItens[[#This Row],[Pend]] &gt; 0,tabItens[[#This Row],[Consumo]] &lt;&gt; 0), tabItens[[#This Row],[Pend]] / tabItens[[#This Row],[Consumo]], 0 )</f>
        <v>3.6185682326621921E-2</v>
      </c>
      <c r="BI595" s="338"/>
      <c r="BJ595" s="407"/>
      <c r="BK595" s="408" t="s">
        <v>2086</v>
      </c>
    </row>
    <row r="596" spans="1:63" x14ac:dyDescent="0.3">
      <c r="A596" s="375">
        <v>13179</v>
      </c>
      <c r="B596" s="376" t="s">
        <v>1019</v>
      </c>
      <c r="C596" s="377" t="s">
        <v>263</v>
      </c>
      <c r="D596" s="378">
        <v>0.04</v>
      </c>
      <c r="E596" s="305"/>
      <c r="F596" s="379"/>
      <c r="G596" s="379" t="s">
        <v>889</v>
      </c>
      <c r="H596" s="380">
        <v>9557</v>
      </c>
      <c r="I596" s="307">
        <v>103003</v>
      </c>
      <c r="J596" s="308">
        <v>0.04</v>
      </c>
      <c r="K596" s="381">
        <v>16696</v>
      </c>
      <c r="L596" s="382">
        <f>IF(tabItens[[#This Row],[Média]] &gt; 0, tabItens[[#This Row],[QTDE ATUAL]] / tabItens[[#This Row],[Média]],999.9)</f>
        <v>5.1460109485775822</v>
      </c>
      <c r="M596" s="383">
        <v>0</v>
      </c>
      <c r="N596" s="384">
        <f>tabItens[[#This Row],[VALOR UNIT.]] * tabItens[[#This Row],[LC]]</f>
        <v>0</v>
      </c>
      <c r="O596" s="385" t="s">
        <v>2110</v>
      </c>
      <c r="P596" s="386"/>
      <c r="Q596" s="387"/>
      <c r="R596" s="312"/>
      <c r="S596" s="388"/>
      <c r="T596" s="389">
        <f>ROUNDDOWN(IFERROR(tabItens[[#This Row],[ATA DT.VALID.]] - $D$1,0) / 30,0)</f>
        <v>-1474</v>
      </c>
      <c r="U596" s="302" t="s">
        <v>1018</v>
      </c>
      <c r="V596" s="318">
        <v>1</v>
      </c>
      <c r="W596" s="390" t="s">
        <v>2071</v>
      </c>
      <c r="X596" s="391">
        <v>67</v>
      </c>
      <c r="Y596" s="392">
        <v>9</v>
      </c>
      <c r="Z596" s="393"/>
      <c r="AA596" s="394"/>
      <c r="AB596" s="395"/>
      <c r="AC596" s="395"/>
      <c r="AD596" s="394"/>
      <c r="AE596" s="395"/>
      <c r="AF596" s="317"/>
      <c r="AG596" s="396" t="s">
        <v>2072</v>
      </c>
      <c r="AH596" s="397"/>
      <c r="AI596" s="317">
        <v>7428</v>
      </c>
      <c r="AJ596" s="397">
        <v>45201</v>
      </c>
      <c r="AK596" s="326" t="s">
        <v>889</v>
      </c>
      <c r="AL596" s="326">
        <v>45189</v>
      </c>
      <c r="AM596" s="316"/>
      <c r="AN596" s="305"/>
      <c r="AO596" s="327" t="str">
        <f>_xlfn.IFNA(IF(VLOOKUP(tabItens[[#This Row],[CÓDIGO]],tabExcluirDoEstoque[#Data],1,FALSE),"sim",""),"")</f>
        <v/>
      </c>
      <c r="AP596" s="398" t="str">
        <f ca="1">IF(OR(ISBLANK(tabItens[[#This Row],[ATA DT.VALID.]]),tabItens[[#This Row],[ATA DT.VALID.]]="",tabItens[[#This Row],[ATA DT.VALID.]]=" "),"",IF(TYPE(tabItens[[#This Row],[ATA DT.VALID.]])=1,ROUNDUP((tabItens[[#This Row],[ATA DT.VALID.]]-TODAY())/7,0),""))</f>
        <v/>
      </c>
      <c r="AQ596" s="399">
        <v>0</v>
      </c>
      <c r="AR596" s="400" t="str">
        <f>IF(ISBLANK(tabItens[[#This Row],[CÓDIGO]]),"",IFERROR(VLOOKUP(tabItens[[#This Row],[CÓDIGO]],Consumo!$C$2:$AC$862,26,FALSE),0))</f>
        <v>09.2023</v>
      </c>
      <c r="AS596" s="401">
        <f>SUMIF(Consumo!$C$3:$C$862,tabItens[[#This Row],[CÓDIGO]],Consumo!$N$3:$N$862) + SUMIF(Consumo!$C$3:$C$862,tabItens[[#This Row],[CÓDIGO]],Consumo!$O$3:$O$862) + SUMIF(Consumo!$C$3:$C$862,tabItens[[#This Row],[CÓDIGO]],Consumo!$P$3:$P$862) + SUMIF(Consumo!$C$3:$C$862,tabItens[[#This Row],[CÓDIGO]],Consumo!$Q$3:$Q$862)</f>
        <v>3050</v>
      </c>
      <c r="AT596" s="401">
        <f>SUMIF(Consumo!$C$3:$C$862,tabItens[[#This Row],[CÓDIGO]],Consumo!$Z$3:$Z$862)</f>
        <v>22286</v>
      </c>
      <c r="AU596" s="402">
        <f>SUMIF(Consumo!$C$3:$C$862,tabItens[[#This Row],[CÓDIGO]],Consumo!$AA$3:$AA$862)</f>
        <v>3800</v>
      </c>
      <c r="AV596" s="403">
        <f>SUMIF(Consumo!$C$3:$C$862,tabItens[[#This Row],[CÓDIGO]],Consumo!$Y$3:$Y$862)</f>
        <v>1857.1666666666667</v>
      </c>
      <c r="AW596" s="380">
        <f>tabItens[[#This Row],[QTDE ATUAL]] + tabItens[[#This Row],[RC QTDE]] + tabItens[[#This Row],[AF SALDO]] + tabItens[[#This Row],[Recentes]]</f>
        <v>9557</v>
      </c>
      <c r="AX596" s="404">
        <v>591</v>
      </c>
      <c r="AY596" s="404">
        <v>4</v>
      </c>
      <c r="AZ596" s="404">
        <f>IF(ISBLANK(tabItens[[#This Row],[CÓDIGO]]),"",tabItens[[#This Row],[PontoMês]] * (AZ$2+tabItens[[#This Row],[PontoQtM]]))</f>
        <v>2364</v>
      </c>
      <c r="BA596" s="403">
        <f>tabItens[[#This Row],[PontoPed]] - tabItens[[#This Row],[Saldo]] + (1/10)</f>
        <v>-7192.9</v>
      </c>
      <c r="BB596" s="403">
        <f xml:space="preserve"> tabItens[[#This Row],[PontoMês]] * BB$2 - tabItens[[#This Row],[QTDE ATUAL]] - (1/10)</f>
        <v>-8966.1</v>
      </c>
      <c r="BC596" s="335">
        <f>IF( tabItens[[#This Row],[PontoPed]]&gt;0, IF(tabItens[[#This Row],[PontoPed]]&lt;1, 1, IF( tabItens[[#This Row],[Saldo]]&gt;tabItens[[#This Row],[PontoPed]], 0, (tabItens[[#This Row],[PontoPed]]-tabItens[[#This Row],[Saldo]])/tabItens[[#This Row],[PontoPed]] ) ), 0 )</f>
        <v>0</v>
      </c>
      <c r="BD596" s="405">
        <f>ROUNDDOWN(IF( OR( AND(tabItens[[#This Row],[PontoPed]]&lt;tabItens[[#This Row],[Saldo]],tabItens[[#This Row],[Saldo]]&gt;0), tabItens[[#This Row],[PontoPed]]=0), 99, IF(AND(tabItens[[#This Row],[Saldo]]=0,tabItens[[#This Row],[PontoPed]]&gt;0), 0, (1-tabItens[[#This Row],[PctAb]])*10 ) ),0)</f>
        <v>99</v>
      </c>
      <c r="BE596" s="406">
        <f>MAX(ROUNDDOWN( IF(tabItens[[#This Row],[Abaixo]] &gt; 0,   tabItens[[#This Row],[Abaixo]] + (tabItens[[#This Row],[PontoMês]] * IF( OR( ISBLANK(tabItens[[#This Row],[ATA Nº/ANO]]), tabItens[[#This Row],[ATA Nº/ANO]] = ""),BE$2,BE$1)),0),0),0)</f>
        <v>0</v>
      </c>
      <c r="BF59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6" s="338">
        <f>SUMIF(Consumo!$C$3:$C$862,tabItens[[#This Row],[CÓDIGO]],Consumo!$E$3:$E$862)</f>
        <v>0</v>
      </c>
      <c r="BH596" s="339">
        <f>IF(AND(tabItens[[#This Row],[Pend]] &gt; 0,tabItens[[#This Row],[Consumo]] &lt;&gt; 0), tabItens[[#This Row],[Pend]] / tabItens[[#This Row],[Consumo]], 0 )</f>
        <v>0</v>
      </c>
      <c r="BI596" s="338"/>
      <c r="BJ596" s="407"/>
      <c r="BK596" s="408" t="s">
        <v>2086</v>
      </c>
    </row>
    <row r="597" spans="1:63" x14ac:dyDescent="0.3">
      <c r="A597" s="375">
        <v>29293</v>
      </c>
      <c r="B597" s="376" t="s">
        <v>1237</v>
      </c>
      <c r="C597" s="377" t="s">
        <v>263</v>
      </c>
      <c r="D597" s="378">
        <v>0.2</v>
      </c>
      <c r="E597" s="305"/>
      <c r="F597" s="379"/>
      <c r="G597" s="379" t="s">
        <v>889</v>
      </c>
      <c r="H597" s="380">
        <v>5000</v>
      </c>
      <c r="I597" s="307">
        <v>103003</v>
      </c>
      <c r="J597" s="308">
        <v>0.2</v>
      </c>
      <c r="K597" s="381">
        <v>3165</v>
      </c>
      <c r="L597" s="382">
        <f>IF(tabItens[[#This Row],[Média]] &gt; 0, tabItens[[#This Row],[QTDE ATUAL]] / tabItens[[#This Row],[Média]],999.9)</f>
        <v>11.494252873563218</v>
      </c>
      <c r="M597" s="383">
        <v>0</v>
      </c>
      <c r="N597" s="384">
        <f>tabItens[[#This Row],[VALOR UNIT.]] * tabItens[[#This Row],[LC]]</f>
        <v>0</v>
      </c>
      <c r="O597" s="385" t="s">
        <v>2110</v>
      </c>
      <c r="P597" s="386"/>
      <c r="Q597" s="387"/>
      <c r="R597" s="312"/>
      <c r="S597" s="388"/>
      <c r="T597" s="389">
        <f>ROUNDDOWN(IFERROR(tabItens[[#This Row],[ATA DT.VALID.]] - $D$1,0) / 30,0)</f>
        <v>-1474</v>
      </c>
      <c r="U597" s="302" t="s">
        <v>1018</v>
      </c>
      <c r="V597" s="318">
        <v>1</v>
      </c>
      <c r="W597" s="390" t="s">
        <v>2071</v>
      </c>
      <c r="X597" s="391">
        <v>67</v>
      </c>
      <c r="Y597" s="392">
        <v>9</v>
      </c>
      <c r="Z597" s="393"/>
      <c r="AA597" s="394"/>
      <c r="AB597" s="395"/>
      <c r="AC597" s="395"/>
      <c r="AD597" s="394"/>
      <c r="AE597" s="395"/>
      <c r="AF597" s="317"/>
      <c r="AG597" s="396" t="s">
        <v>2072</v>
      </c>
      <c r="AH597" s="397"/>
      <c r="AI597" s="317">
        <v>1056</v>
      </c>
      <c r="AJ597" s="397">
        <v>45195</v>
      </c>
      <c r="AK597" s="326" t="s">
        <v>889</v>
      </c>
      <c r="AL597" s="326">
        <v>45189</v>
      </c>
      <c r="AM597" s="316"/>
      <c r="AN597" s="305"/>
      <c r="AO597" s="327" t="str">
        <f>_xlfn.IFNA(IF(VLOOKUP(tabItens[[#This Row],[CÓDIGO]],tabExcluirDoEstoque[#Data],1,FALSE),"sim",""),"")</f>
        <v/>
      </c>
      <c r="AP597" s="398" t="str">
        <f ca="1">IF(OR(ISBLANK(tabItens[[#This Row],[ATA DT.VALID.]]),tabItens[[#This Row],[ATA DT.VALID.]]="",tabItens[[#This Row],[ATA DT.VALID.]]=" "),"",IF(TYPE(tabItens[[#This Row],[ATA DT.VALID.]])=1,ROUNDUP((tabItens[[#This Row],[ATA DT.VALID.]]-TODAY())/7,0),""))</f>
        <v/>
      </c>
      <c r="AQ597" s="399">
        <v>0</v>
      </c>
      <c r="AR597" s="400" t="str">
        <f>IF(ISBLANK(tabItens[[#This Row],[CÓDIGO]]),"",IFERROR(VLOOKUP(tabItens[[#This Row],[CÓDIGO]],Consumo!$C$2:$AC$862,26,FALSE),0))</f>
        <v>03.2023</v>
      </c>
      <c r="AS597" s="401">
        <f>SUMIF(Consumo!$C$3:$C$862,tabItens[[#This Row],[CÓDIGO]],Consumo!$N$3:$N$862) + SUMIF(Consumo!$C$3:$C$862,tabItens[[#This Row],[CÓDIGO]],Consumo!$O$3:$O$862) + SUMIF(Consumo!$C$3:$C$862,tabItens[[#This Row],[CÓDIGO]],Consumo!$P$3:$P$862) + SUMIF(Consumo!$C$3:$C$862,tabItens[[#This Row],[CÓDIGO]],Consumo!$Q$3:$Q$862)</f>
        <v>0</v>
      </c>
      <c r="AT597" s="401">
        <f>SUMIF(Consumo!$C$3:$C$862,tabItens[[#This Row],[CÓDIGO]],Consumo!$Z$3:$Z$862)</f>
        <v>5220</v>
      </c>
      <c r="AU597" s="402">
        <f>SUMIF(Consumo!$C$3:$C$862,tabItens[[#This Row],[CÓDIGO]],Consumo!$AA$3:$AA$862)</f>
        <v>1495</v>
      </c>
      <c r="AV597" s="403">
        <f>SUMIF(Consumo!$C$3:$C$862,tabItens[[#This Row],[CÓDIGO]],Consumo!$Y$3:$Y$862)</f>
        <v>435</v>
      </c>
      <c r="AW597" s="380">
        <f>tabItens[[#This Row],[QTDE ATUAL]] + tabItens[[#This Row],[RC QTDE]] + tabItens[[#This Row],[AF SALDO]] + tabItens[[#This Row],[Recentes]]</f>
        <v>5000</v>
      </c>
      <c r="AX597" s="404">
        <v>93</v>
      </c>
      <c r="AY597" s="404">
        <v>4</v>
      </c>
      <c r="AZ597" s="404">
        <f>IF(ISBLANK(tabItens[[#This Row],[CÓDIGO]]),"",tabItens[[#This Row],[PontoMês]] * (AZ$2+tabItens[[#This Row],[PontoQtM]]))</f>
        <v>372</v>
      </c>
      <c r="BA597" s="403">
        <f>tabItens[[#This Row],[PontoPed]] - tabItens[[#This Row],[Saldo]] + (1/10)</f>
        <v>-4627.8999999999996</v>
      </c>
      <c r="BB597" s="403">
        <f xml:space="preserve"> tabItens[[#This Row],[PontoMês]] * BB$2 - tabItens[[#This Row],[QTDE ATUAL]] - (1/10)</f>
        <v>-4907.1000000000004</v>
      </c>
      <c r="BC597" s="335">
        <f>IF( tabItens[[#This Row],[PontoPed]]&gt;0, IF(tabItens[[#This Row],[PontoPed]]&lt;1, 1, IF( tabItens[[#This Row],[Saldo]]&gt;tabItens[[#This Row],[PontoPed]], 0, (tabItens[[#This Row],[PontoPed]]-tabItens[[#This Row],[Saldo]])/tabItens[[#This Row],[PontoPed]] ) ), 0 )</f>
        <v>0</v>
      </c>
      <c r="BD597" s="405">
        <f>ROUNDDOWN(IF( OR( AND(tabItens[[#This Row],[PontoPed]]&lt;tabItens[[#This Row],[Saldo]],tabItens[[#This Row],[Saldo]]&gt;0), tabItens[[#This Row],[PontoPed]]=0), 99, IF(AND(tabItens[[#This Row],[Saldo]]=0,tabItens[[#This Row],[PontoPed]]&gt;0), 0, (1-tabItens[[#This Row],[PctAb]])*10 ) ),0)</f>
        <v>99</v>
      </c>
      <c r="BE597" s="406">
        <f>MAX(ROUNDDOWN( IF(tabItens[[#This Row],[Abaixo]] &gt; 0,   tabItens[[#This Row],[Abaixo]] + (tabItens[[#This Row],[PontoMês]] * IF( OR( ISBLANK(tabItens[[#This Row],[ATA Nº/ANO]]), tabItens[[#This Row],[ATA Nº/ANO]] = ""),BE$2,BE$1)),0),0),0)</f>
        <v>0</v>
      </c>
      <c r="BF597"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7" s="338">
        <f>SUMIF(Consumo!$C$3:$C$862,tabItens[[#This Row],[CÓDIGO]],Consumo!$E$3:$E$862)</f>
        <v>2055</v>
      </c>
      <c r="BH597" s="339">
        <f>IF(AND(tabItens[[#This Row],[Pend]] &gt; 0,tabItens[[#This Row],[Consumo]] &lt;&gt; 0), tabItens[[#This Row],[Pend]] / tabItens[[#This Row],[Consumo]], 0 )</f>
        <v>0.39367816091954022</v>
      </c>
      <c r="BI597" s="338"/>
      <c r="BJ597" s="407"/>
      <c r="BK597" s="408" t="s">
        <v>2086</v>
      </c>
    </row>
    <row r="598" spans="1:63" x14ac:dyDescent="0.3">
      <c r="A598" s="375">
        <v>106546</v>
      </c>
      <c r="B598" s="376" t="s">
        <v>1640</v>
      </c>
      <c r="C598" s="377" t="s">
        <v>263</v>
      </c>
      <c r="D598" s="378">
        <v>2.04</v>
      </c>
      <c r="E598" s="305"/>
      <c r="F598" s="379"/>
      <c r="G598" s="379" t="s">
        <v>889</v>
      </c>
      <c r="H598" s="380">
        <v>931</v>
      </c>
      <c r="I598" s="307">
        <v>103003</v>
      </c>
      <c r="J598" s="308">
        <v>2.04</v>
      </c>
      <c r="K598" s="381">
        <v>1818</v>
      </c>
      <c r="L598" s="382">
        <f>IF(tabItens[[#This Row],[Média]] &gt; 0, tabItens[[#This Row],[QTDE ATUAL]] / tabItens[[#This Row],[Média]],999.9)</f>
        <v>6.0783460282916213</v>
      </c>
      <c r="M598" s="383">
        <v>0</v>
      </c>
      <c r="N598" s="384">
        <f>tabItens[[#This Row],[VALOR UNIT.]] * tabItens[[#This Row],[LC]]</f>
        <v>0</v>
      </c>
      <c r="O598" s="385" t="s">
        <v>2110</v>
      </c>
      <c r="P598" s="386"/>
      <c r="Q598" s="387"/>
      <c r="R598" s="312"/>
      <c r="S598" s="388"/>
      <c r="T598" s="389">
        <f>ROUNDDOWN(IFERROR(tabItens[[#This Row],[ATA DT.VALID.]] - $D$1,0) / 30,0)</f>
        <v>-1474</v>
      </c>
      <c r="U598" s="302" t="s">
        <v>1018</v>
      </c>
      <c r="V598" s="318">
        <v>1</v>
      </c>
      <c r="W598" s="390" t="s">
        <v>2071</v>
      </c>
      <c r="X598" s="391">
        <v>67</v>
      </c>
      <c r="Y598" s="392">
        <v>9</v>
      </c>
      <c r="Z598" s="393"/>
      <c r="AA598" s="394"/>
      <c r="AB598" s="395"/>
      <c r="AC598" s="395"/>
      <c r="AD598" s="394"/>
      <c r="AE598" s="395"/>
      <c r="AF598" s="317"/>
      <c r="AG598" s="396" t="s">
        <v>2072</v>
      </c>
      <c r="AH598" s="397"/>
      <c r="AI598" s="317">
        <v>612</v>
      </c>
      <c r="AJ598" s="397">
        <v>43866</v>
      </c>
      <c r="AK598" s="326">
        <v>39589</v>
      </c>
      <c r="AL598" s="326">
        <v>45105</v>
      </c>
      <c r="AM598" s="316"/>
      <c r="AN598" s="305"/>
      <c r="AO598" s="327" t="str">
        <f>_xlfn.IFNA(IF(VLOOKUP(tabItens[[#This Row],[CÓDIGO]],tabExcluirDoEstoque[#Data],1,FALSE),"sim",""),"")</f>
        <v/>
      </c>
      <c r="AP598" s="398" t="str">
        <f ca="1">IF(OR(ISBLANK(tabItens[[#This Row],[ATA DT.VALID.]]),tabItens[[#This Row],[ATA DT.VALID.]]="",tabItens[[#This Row],[ATA DT.VALID.]]=" "),"",IF(TYPE(tabItens[[#This Row],[ATA DT.VALID.]])=1,ROUNDUP((tabItens[[#This Row],[ATA DT.VALID.]]-TODAY())/7,0),""))</f>
        <v/>
      </c>
      <c r="AQ598" s="399">
        <v>0</v>
      </c>
      <c r="AR598" s="400" t="str">
        <f>IF(ISBLANK(tabItens[[#This Row],[CÓDIGO]]),"",IFERROR(VLOOKUP(tabItens[[#This Row],[CÓDIGO]],Consumo!$C$2:$AC$862,26,FALSE),0))</f>
        <v>09.2023</v>
      </c>
      <c r="AS598" s="401">
        <f>SUMIF(Consumo!$C$3:$C$862,tabItens[[#This Row],[CÓDIGO]],Consumo!$N$3:$N$862) + SUMIF(Consumo!$C$3:$C$862,tabItens[[#This Row],[CÓDIGO]],Consumo!$O$3:$O$862) + SUMIF(Consumo!$C$3:$C$862,tabItens[[#This Row],[CÓDIGO]],Consumo!$P$3:$P$862) + SUMIF(Consumo!$C$3:$C$862,tabItens[[#This Row],[CÓDIGO]],Consumo!$Q$3:$Q$862)</f>
        <v>500</v>
      </c>
      <c r="AT598" s="401">
        <f>SUMIF(Consumo!$C$3:$C$862,tabItens[[#This Row],[CÓDIGO]],Consumo!$Z$3:$Z$862)</f>
        <v>1838</v>
      </c>
      <c r="AU598" s="402">
        <f>SUMIF(Consumo!$C$3:$C$862,tabItens[[#This Row],[CÓDIGO]],Consumo!$AA$3:$AA$862)</f>
        <v>600</v>
      </c>
      <c r="AV598" s="403">
        <f>SUMIF(Consumo!$C$3:$C$862,tabItens[[#This Row],[CÓDIGO]],Consumo!$Y$3:$Y$862)</f>
        <v>153.16666666666666</v>
      </c>
      <c r="AW598" s="380">
        <f>tabItens[[#This Row],[QTDE ATUAL]] + tabItens[[#This Row],[RC QTDE]] + tabItens[[#This Row],[AF SALDO]] + tabItens[[#This Row],[Recentes]]</f>
        <v>931</v>
      </c>
      <c r="AX598" s="404">
        <v>150</v>
      </c>
      <c r="AY598" s="404">
        <v>4</v>
      </c>
      <c r="AZ598" s="404">
        <f>IF(ISBLANK(tabItens[[#This Row],[CÓDIGO]]),"",tabItens[[#This Row],[PontoMês]] * (AZ$2+tabItens[[#This Row],[PontoQtM]]))</f>
        <v>600</v>
      </c>
      <c r="BA598" s="403">
        <f>tabItens[[#This Row],[PontoPed]] - tabItens[[#This Row],[Saldo]] + (1/10)</f>
        <v>-330.9</v>
      </c>
      <c r="BB598" s="403">
        <f xml:space="preserve"> tabItens[[#This Row],[PontoMês]] * BB$2 - tabItens[[#This Row],[QTDE ATUAL]] - (1/10)</f>
        <v>-781.1</v>
      </c>
      <c r="BC598" s="335">
        <f>IF( tabItens[[#This Row],[PontoPed]]&gt;0, IF(tabItens[[#This Row],[PontoPed]]&lt;1, 1, IF( tabItens[[#This Row],[Saldo]]&gt;tabItens[[#This Row],[PontoPed]], 0, (tabItens[[#This Row],[PontoPed]]-tabItens[[#This Row],[Saldo]])/tabItens[[#This Row],[PontoPed]] ) ), 0 )</f>
        <v>0</v>
      </c>
      <c r="BD598" s="405">
        <f>ROUNDDOWN(IF( OR( AND(tabItens[[#This Row],[PontoPed]]&lt;tabItens[[#This Row],[Saldo]],tabItens[[#This Row],[Saldo]]&gt;0), tabItens[[#This Row],[PontoPed]]=0), 99, IF(AND(tabItens[[#This Row],[Saldo]]=0,tabItens[[#This Row],[PontoPed]]&gt;0), 0, (1-tabItens[[#This Row],[PctAb]])*10 ) ),0)</f>
        <v>99</v>
      </c>
      <c r="BE598" s="406">
        <f>MAX(ROUNDDOWN( IF(tabItens[[#This Row],[Abaixo]] &gt; 0,   tabItens[[#This Row],[Abaixo]] + (tabItens[[#This Row],[PontoMês]] * IF( OR( ISBLANK(tabItens[[#This Row],[ATA Nº/ANO]]), tabItens[[#This Row],[ATA Nº/ANO]] = ""),BE$2,BE$1)),0),0),0)</f>
        <v>0</v>
      </c>
      <c r="BF598"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8" s="338">
        <f>SUMIF(Consumo!$C$3:$C$862,tabItens[[#This Row],[CÓDIGO]],Consumo!$E$3:$E$862)</f>
        <v>0</v>
      </c>
      <c r="BH598" s="339">
        <f>IF(AND(tabItens[[#This Row],[Pend]] &gt; 0,tabItens[[#This Row],[Consumo]] &lt;&gt; 0), tabItens[[#This Row],[Pend]] / tabItens[[#This Row],[Consumo]], 0 )</f>
        <v>0</v>
      </c>
      <c r="BI598" s="338"/>
      <c r="BJ598" s="407"/>
      <c r="BK598" s="408" t="s">
        <v>2086</v>
      </c>
    </row>
    <row r="599" spans="1:63" x14ac:dyDescent="0.3">
      <c r="A599" s="375">
        <v>134567</v>
      </c>
      <c r="B599" s="376" t="s">
        <v>1900</v>
      </c>
      <c r="C599" s="377" t="s">
        <v>263</v>
      </c>
      <c r="D599" s="378">
        <v>0.06</v>
      </c>
      <c r="E599" s="305"/>
      <c r="F599" s="379"/>
      <c r="G599" s="379" t="s">
        <v>889</v>
      </c>
      <c r="H599" s="380">
        <v>14107</v>
      </c>
      <c r="I599" s="307">
        <v>103003</v>
      </c>
      <c r="J599" s="308">
        <v>0.06</v>
      </c>
      <c r="K599" s="381">
        <v>5800</v>
      </c>
      <c r="L599" s="382">
        <f>IF(tabItens[[#This Row],[Média]] &gt; 0, tabItens[[#This Row],[QTDE ATUAL]] / tabItens[[#This Row],[Média]],999.9)</f>
        <v>30.913805697589481</v>
      </c>
      <c r="M599" s="383">
        <v>0</v>
      </c>
      <c r="N599" s="384">
        <f>tabItens[[#This Row],[VALOR UNIT.]] * tabItens[[#This Row],[LC]]</f>
        <v>0</v>
      </c>
      <c r="O599" s="385" t="s">
        <v>2110</v>
      </c>
      <c r="P599" s="386"/>
      <c r="Q599" s="387"/>
      <c r="R599" s="312"/>
      <c r="S599" s="388"/>
      <c r="T599" s="389">
        <f>ROUNDDOWN(IFERROR(tabItens[[#This Row],[ATA DT.VALID.]] - $D$1,0) / 30,0)</f>
        <v>-1474</v>
      </c>
      <c r="U599" s="302" t="s">
        <v>1018</v>
      </c>
      <c r="V599" s="318">
        <v>1</v>
      </c>
      <c r="W599" s="390" t="s">
        <v>2071</v>
      </c>
      <c r="X599" s="391">
        <v>67</v>
      </c>
      <c r="Y599" s="392">
        <v>9</v>
      </c>
      <c r="Z599" s="393"/>
      <c r="AA599" s="394"/>
      <c r="AB599" s="395"/>
      <c r="AC599" s="395"/>
      <c r="AD599" s="394"/>
      <c r="AE599" s="395"/>
      <c r="AF599" s="317"/>
      <c r="AG599" s="396" t="s">
        <v>2072</v>
      </c>
      <c r="AH599" s="397"/>
      <c r="AI599" s="317">
        <v>2030</v>
      </c>
      <c r="AJ599" s="397">
        <v>43847</v>
      </c>
      <c r="AK599" s="326">
        <v>43174</v>
      </c>
      <c r="AL599" s="326">
        <v>43826</v>
      </c>
      <c r="AM599" s="316"/>
      <c r="AN599" s="305"/>
      <c r="AO599" s="327" t="str">
        <f>_xlfn.IFNA(IF(VLOOKUP(tabItens[[#This Row],[CÓDIGO]],tabExcluirDoEstoque[#Data],1,FALSE),"sim",""),"")</f>
        <v/>
      </c>
      <c r="AP599" s="398" t="str">
        <f ca="1">IF(OR(ISBLANK(tabItens[[#This Row],[ATA DT.VALID.]]),tabItens[[#This Row],[ATA DT.VALID.]]="",tabItens[[#This Row],[ATA DT.VALID.]]=" "),"",IF(TYPE(tabItens[[#This Row],[ATA DT.VALID.]])=1,ROUNDUP((tabItens[[#This Row],[ATA DT.VALID.]]-TODAY())/7,0),""))</f>
        <v/>
      </c>
      <c r="AQ599" s="399">
        <v>0</v>
      </c>
      <c r="AR599" s="400" t="str">
        <f>IF(ISBLANK(tabItens[[#This Row],[CÓDIGO]]),"",IFERROR(VLOOKUP(tabItens[[#This Row],[CÓDIGO]],Consumo!$C$2:$AC$862,26,FALSE),0))</f>
        <v>05.2023</v>
      </c>
      <c r="AS599" s="401">
        <f>SUMIF(Consumo!$C$3:$C$862,tabItens[[#This Row],[CÓDIGO]],Consumo!$N$3:$N$862) + SUMIF(Consumo!$C$3:$C$862,tabItens[[#This Row],[CÓDIGO]],Consumo!$O$3:$O$862) + SUMIF(Consumo!$C$3:$C$862,tabItens[[#This Row],[CÓDIGO]],Consumo!$P$3:$P$862) + SUMIF(Consumo!$C$3:$C$862,tabItens[[#This Row],[CÓDIGO]],Consumo!$Q$3:$Q$862)</f>
        <v>0</v>
      </c>
      <c r="AT599" s="401">
        <f>SUMIF(Consumo!$C$3:$C$862,tabItens[[#This Row],[CÓDIGO]],Consumo!$Z$3:$Z$862)</f>
        <v>5850</v>
      </c>
      <c r="AU599" s="402">
        <f>SUMIF(Consumo!$C$3:$C$862,tabItens[[#This Row],[CÓDIGO]],Consumo!$AA$3:$AA$862)</f>
        <v>2200</v>
      </c>
      <c r="AV599" s="403">
        <f>SUMIF(Consumo!$C$3:$C$862,tabItens[[#This Row],[CÓDIGO]],Consumo!$Y$3:$Y$862)</f>
        <v>456.33333333333331</v>
      </c>
      <c r="AW599" s="380">
        <f>tabItens[[#This Row],[QTDE ATUAL]] + tabItens[[#This Row],[RC QTDE]] + tabItens[[#This Row],[AF SALDO]] + tabItens[[#This Row],[Recentes]]</f>
        <v>14107</v>
      </c>
      <c r="AX599" s="404">
        <v>554</v>
      </c>
      <c r="AY599" s="404">
        <v>4</v>
      </c>
      <c r="AZ599" s="404">
        <f>IF(ISBLANK(tabItens[[#This Row],[CÓDIGO]]),"",tabItens[[#This Row],[PontoMês]] * (AZ$2+tabItens[[#This Row],[PontoQtM]]))</f>
        <v>2216</v>
      </c>
      <c r="BA599" s="403">
        <f>tabItens[[#This Row],[PontoPed]] - tabItens[[#This Row],[Saldo]] + (1/10)</f>
        <v>-11890.9</v>
      </c>
      <c r="BB599" s="403">
        <f xml:space="preserve"> tabItens[[#This Row],[PontoMês]] * BB$2 - tabItens[[#This Row],[QTDE ATUAL]] - (1/10)</f>
        <v>-13553.1</v>
      </c>
      <c r="BC599" s="335">
        <f>IF( tabItens[[#This Row],[PontoPed]]&gt;0, IF(tabItens[[#This Row],[PontoPed]]&lt;1, 1, IF( tabItens[[#This Row],[Saldo]]&gt;tabItens[[#This Row],[PontoPed]], 0, (tabItens[[#This Row],[PontoPed]]-tabItens[[#This Row],[Saldo]])/tabItens[[#This Row],[PontoPed]] ) ), 0 )</f>
        <v>0</v>
      </c>
      <c r="BD599" s="405">
        <f>ROUNDDOWN(IF( OR( AND(tabItens[[#This Row],[PontoPed]]&lt;tabItens[[#This Row],[Saldo]],tabItens[[#This Row],[Saldo]]&gt;0), tabItens[[#This Row],[PontoPed]]=0), 99, IF(AND(tabItens[[#This Row],[Saldo]]=0,tabItens[[#This Row],[PontoPed]]&gt;0), 0, (1-tabItens[[#This Row],[PctAb]])*10 ) ),0)</f>
        <v>99</v>
      </c>
      <c r="BE599" s="406">
        <f>MAX(ROUNDDOWN( IF(tabItens[[#This Row],[Abaixo]] &gt; 0,   tabItens[[#This Row],[Abaixo]] + (tabItens[[#This Row],[PontoMês]] * IF( OR( ISBLANK(tabItens[[#This Row],[ATA Nº/ANO]]), tabItens[[#This Row],[ATA Nº/ANO]] = ""),BE$2,BE$1)),0),0),0)</f>
        <v>0</v>
      </c>
      <c r="BF599"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9" s="338">
        <f>SUMIF(Consumo!$C$3:$C$862,tabItens[[#This Row],[CÓDIGO]],Consumo!$E$3:$E$862)</f>
        <v>0</v>
      </c>
      <c r="BH599" s="339">
        <f>IF(AND(tabItens[[#This Row],[Pend]] &gt; 0,tabItens[[#This Row],[Consumo]] &lt;&gt; 0), tabItens[[#This Row],[Pend]] / tabItens[[#This Row],[Consumo]], 0 )</f>
        <v>0</v>
      </c>
      <c r="BI599" s="338"/>
      <c r="BJ599" s="407"/>
      <c r="BK599" s="408" t="s">
        <v>2086</v>
      </c>
    </row>
    <row r="600" spans="1:63" x14ac:dyDescent="0.3">
      <c r="A600" s="375">
        <v>134568</v>
      </c>
      <c r="B600" s="376" t="s">
        <v>1901</v>
      </c>
      <c r="C600" s="377" t="s">
        <v>263</v>
      </c>
      <c r="D600" s="378">
        <v>0.08</v>
      </c>
      <c r="E600" s="305"/>
      <c r="F600" s="379"/>
      <c r="G600" s="379" t="s">
        <v>889</v>
      </c>
      <c r="H600" s="380">
        <v>6706</v>
      </c>
      <c r="I600" s="307">
        <v>103003</v>
      </c>
      <c r="J600" s="308">
        <v>0.08</v>
      </c>
      <c r="K600" s="381">
        <v>6260</v>
      </c>
      <c r="L600" s="382">
        <f>IF(tabItens[[#This Row],[Média]] &gt; 0, tabItens[[#This Row],[QTDE ATUAL]] / tabItens[[#This Row],[Média]],999.9)</f>
        <v>12.68274231678487</v>
      </c>
      <c r="M600" s="383">
        <v>0</v>
      </c>
      <c r="N600" s="384">
        <f>tabItens[[#This Row],[VALOR UNIT.]] * tabItens[[#This Row],[LC]]</f>
        <v>0</v>
      </c>
      <c r="O600" s="385" t="s">
        <v>2110</v>
      </c>
      <c r="P600" s="386"/>
      <c r="Q600" s="387"/>
      <c r="R600" s="312"/>
      <c r="S600" s="388"/>
      <c r="T600" s="389">
        <f>ROUNDDOWN(IFERROR(tabItens[[#This Row],[ATA DT.VALID.]] - $D$1,0) / 30,0)</f>
        <v>-1474</v>
      </c>
      <c r="U600" s="302" t="s">
        <v>1018</v>
      </c>
      <c r="V600" s="318">
        <v>1</v>
      </c>
      <c r="W600" s="390" t="s">
        <v>2071</v>
      </c>
      <c r="X600" s="391">
        <v>67</v>
      </c>
      <c r="Y600" s="392">
        <v>9</v>
      </c>
      <c r="Z600" s="393"/>
      <c r="AA600" s="394"/>
      <c r="AB600" s="395"/>
      <c r="AC600" s="395"/>
      <c r="AD600" s="394"/>
      <c r="AE600" s="395"/>
      <c r="AF600" s="317"/>
      <c r="AG600" s="396" t="s">
        <v>2072</v>
      </c>
      <c r="AH600" s="397"/>
      <c r="AI600" s="317">
        <v>2186</v>
      </c>
      <c r="AJ600" s="397">
        <v>43837</v>
      </c>
      <c r="AK600" s="326">
        <v>43174</v>
      </c>
      <c r="AL600" s="326">
        <v>43797</v>
      </c>
      <c r="AM600" s="316"/>
      <c r="AN600" s="305"/>
      <c r="AO600" s="327" t="str">
        <f>_xlfn.IFNA(IF(VLOOKUP(tabItens[[#This Row],[CÓDIGO]],tabExcluirDoEstoque[#Data],1,FALSE),"sim",""),"")</f>
        <v/>
      </c>
      <c r="AP600" s="398" t="str">
        <f ca="1">IF(OR(ISBLANK(tabItens[[#This Row],[ATA DT.VALID.]]),tabItens[[#This Row],[ATA DT.VALID.]]="",tabItens[[#This Row],[ATA DT.VALID.]]=" "),"",IF(TYPE(tabItens[[#This Row],[ATA DT.VALID.]])=1,ROUNDUP((tabItens[[#This Row],[ATA DT.VALID.]]-TODAY())/7,0),""))</f>
        <v/>
      </c>
      <c r="AQ600" s="399">
        <v>0</v>
      </c>
      <c r="AR600" s="400" t="str">
        <f>IF(ISBLANK(tabItens[[#This Row],[CÓDIGO]]),"",IFERROR(VLOOKUP(tabItens[[#This Row],[CÓDIGO]],Consumo!$C$2:$AC$862,26,FALSE),0))</f>
        <v>08.2023</v>
      </c>
      <c r="AS600" s="401">
        <f>SUMIF(Consumo!$C$3:$C$862,tabItens[[#This Row],[CÓDIGO]],Consumo!$N$3:$N$862) + SUMIF(Consumo!$C$3:$C$862,tabItens[[#This Row],[CÓDIGO]],Consumo!$O$3:$O$862) + SUMIF(Consumo!$C$3:$C$862,tabItens[[#This Row],[CÓDIGO]],Consumo!$P$3:$P$862) + SUMIF(Consumo!$C$3:$C$862,tabItens[[#This Row],[CÓDIGO]],Consumo!$Q$3:$Q$862)</f>
        <v>1500</v>
      </c>
      <c r="AT600" s="401">
        <f>SUMIF(Consumo!$C$3:$C$862,tabItens[[#This Row],[CÓDIGO]],Consumo!$Z$3:$Z$862)</f>
        <v>6560</v>
      </c>
      <c r="AU600" s="402">
        <f>SUMIF(Consumo!$C$3:$C$862,tabItens[[#This Row],[CÓDIGO]],Consumo!$AA$3:$AA$862)</f>
        <v>2160</v>
      </c>
      <c r="AV600" s="403">
        <f>SUMIF(Consumo!$C$3:$C$862,tabItens[[#This Row],[CÓDIGO]],Consumo!$Y$3:$Y$862)</f>
        <v>528.75</v>
      </c>
      <c r="AW600" s="380">
        <f>tabItens[[#This Row],[QTDE ATUAL]] + tabItens[[#This Row],[RC QTDE]] + tabItens[[#This Row],[AF SALDO]] + tabItens[[#This Row],[Recentes]]</f>
        <v>6706</v>
      </c>
      <c r="AX600" s="404">
        <v>500</v>
      </c>
      <c r="AY600" s="404">
        <v>4</v>
      </c>
      <c r="AZ600" s="404">
        <f>IF(ISBLANK(tabItens[[#This Row],[CÓDIGO]]),"",tabItens[[#This Row],[PontoMês]] * (AZ$2+tabItens[[#This Row],[PontoQtM]]))</f>
        <v>2000</v>
      </c>
      <c r="BA600" s="403">
        <f>tabItens[[#This Row],[PontoPed]] - tabItens[[#This Row],[Saldo]] + (1/10)</f>
        <v>-4705.8999999999996</v>
      </c>
      <c r="BB600" s="403">
        <f xml:space="preserve"> tabItens[[#This Row],[PontoMês]] * BB$2 - tabItens[[#This Row],[QTDE ATUAL]] - (1/10)</f>
        <v>-6206.1</v>
      </c>
      <c r="BC600" s="335">
        <f>IF( tabItens[[#This Row],[PontoPed]]&gt;0, IF(tabItens[[#This Row],[PontoPed]]&lt;1, 1, IF( tabItens[[#This Row],[Saldo]]&gt;tabItens[[#This Row],[PontoPed]], 0, (tabItens[[#This Row],[PontoPed]]-tabItens[[#This Row],[Saldo]])/tabItens[[#This Row],[PontoPed]] ) ), 0 )</f>
        <v>0</v>
      </c>
      <c r="BD600" s="405">
        <f>ROUNDDOWN(IF( OR( AND(tabItens[[#This Row],[PontoPed]]&lt;tabItens[[#This Row],[Saldo]],tabItens[[#This Row],[Saldo]]&gt;0), tabItens[[#This Row],[PontoPed]]=0), 99, IF(AND(tabItens[[#This Row],[Saldo]]=0,tabItens[[#This Row],[PontoPed]]&gt;0), 0, (1-tabItens[[#This Row],[PctAb]])*10 ) ),0)</f>
        <v>99</v>
      </c>
      <c r="BE600" s="406">
        <f>MAX(ROUNDDOWN( IF(tabItens[[#This Row],[Abaixo]] &gt; 0,   tabItens[[#This Row],[Abaixo]] + (tabItens[[#This Row],[PontoMês]] * IF( OR( ISBLANK(tabItens[[#This Row],[ATA Nº/ANO]]), tabItens[[#This Row],[ATA Nº/ANO]] = ""),BE$2,BE$1)),0),0),0)</f>
        <v>0</v>
      </c>
      <c r="BF600"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0" s="338">
        <f>SUMIF(Consumo!$C$3:$C$862,tabItens[[#This Row],[CÓDIGO]],Consumo!$E$3:$E$862)</f>
        <v>0</v>
      </c>
      <c r="BH600" s="339">
        <f>IF(AND(tabItens[[#This Row],[Pend]] &gt; 0,tabItens[[#This Row],[Consumo]] &lt;&gt; 0), tabItens[[#This Row],[Pend]] / tabItens[[#This Row],[Consumo]], 0 )</f>
        <v>0</v>
      </c>
      <c r="BI600" s="338"/>
      <c r="BJ600" s="407"/>
      <c r="BK600" s="408" t="s">
        <v>2086</v>
      </c>
    </row>
    <row r="601" spans="1:63" x14ac:dyDescent="0.3">
      <c r="A601" s="375">
        <v>109944</v>
      </c>
      <c r="B601" s="376" t="s">
        <v>1668</v>
      </c>
      <c r="C601" s="377" t="s">
        <v>263</v>
      </c>
      <c r="D601" s="378">
        <v>290</v>
      </c>
      <c r="E601" s="305"/>
      <c r="F601" s="379"/>
      <c r="G601" s="379" t="s">
        <v>889</v>
      </c>
      <c r="H601" s="380">
        <v>110</v>
      </c>
      <c r="I601" s="307">
        <v>103003</v>
      </c>
      <c r="J601" s="308">
        <v>290</v>
      </c>
      <c r="K601" s="381">
        <v>440</v>
      </c>
      <c r="L601" s="382">
        <f>IF(tabItens[[#This Row],[Média]] &gt; 0, tabItens[[#This Row],[QTDE ATUAL]] / tabItens[[#This Row],[Média]],999.9)</f>
        <v>3.3502538071065988</v>
      </c>
      <c r="M601" s="383">
        <v>0</v>
      </c>
      <c r="N601" s="384">
        <f>tabItens[[#This Row],[VALOR UNIT.]] * tabItens[[#This Row],[LC]]</f>
        <v>0</v>
      </c>
      <c r="O601" s="385" t="s">
        <v>2137</v>
      </c>
      <c r="P601" s="386"/>
      <c r="Q601" s="387"/>
      <c r="R601" s="312"/>
      <c r="S601" s="388"/>
      <c r="T601" s="389">
        <f>ROUNDDOWN(IFERROR(tabItens[[#This Row],[ATA DT.VALID.]] - $D$1,0) / 30,0)</f>
        <v>-1474</v>
      </c>
      <c r="U601" s="302" t="s">
        <v>1115</v>
      </c>
      <c r="V601" s="318">
        <v>1</v>
      </c>
      <c r="W601" s="390" t="s">
        <v>2079</v>
      </c>
      <c r="X601" s="391">
        <v>74</v>
      </c>
      <c r="Y601" s="392">
        <v>8</v>
      </c>
      <c r="Z601" s="393"/>
      <c r="AA601" s="394"/>
      <c r="AB601" s="395"/>
      <c r="AC601" s="395"/>
      <c r="AD601" s="394"/>
      <c r="AE601" s="395"/>
      <c r="AF601" s="317"/>
      <c r="AG601" s="396" t="s">
        <v>2072</v>
      </c>
      <c r="AH601" s="397"/>
      <c r="AI601" s="317">
        <v>146</v>
      </c>
      <c r="AJ601" s="397">
        <v>44546</v>
      </c>
      <c r="AK601" s="326">
        <v>39875</v>
      </c>
      <c r="AL601" s="326">
        <v>44511</v>
      </c>
      <c r="AM601" s="316"/>
      <c r="AN601" s="305"/>
      <c r="AO601" s="327" t="str">
        <f>_xlfn.IFNA(IF(VLOOKUP(tabItens[[#This Row],[CÓDIGO]],tabExcluirDoEstoque[#Data],1,FALSE),"sim",""),"")</f>
        <v/>
      </c>
      <c r="AP601" s="398" t="str">
        <f ca="1">IF(OR(ISBLANK(tabItens[[#This Row],[ATA DT.VALID.]]),tabItens[[#This Row],[ATA DT.VALID.]]="",tabItens[[#This Row],[ATA DT.VALID.]]=" "),"",IF(TYPE(tabItens[[#This Row],[ATA DT.VALID.]])=1,ROUNDUP((tabItens[[#This Row],[ATA DT.VALID.]]-TODAY())/7,0),""))</f>
        <v/>
      </c>
      <c r="AQ601" s="399">
        <v>0</v>
      </c>
      <c r="AR601" s="400" t="str">
        <f>IF(ISBLANK(tabItens[[#This Row],[CÓDIGO]]),"",IFERROR(VLOOKUP(tabItens[[#This Row],[CÓDIGO]],Consumo!$C$2:$AC$862,26,FALSE),0))</f>
        <v>09.2023</v>
      </c>
      <c r="AS601" s="401">
        <f>SUMIF(Consumo!$C$3:$C$862,tabItens[[#This Row],[CÓDIGO]],Consumo!$N$3:$N$862) + SUMIF(Consumo!$C$3:$C$862,tabItens[[#This Row],[CÓDIGO]],Consumo!$O$3:$O$862) + SUMIF(Consumo!$C$3:$C$862,tabItens[[#This Row],[CÓDIGO]],Consumo!$P$3:$P$862) + SUMIF(Consumo!$C$3:$C$862,tabItens[[#This Row],[CÓDIGO]],Consumo!$Q$3:$Q$862)</f>
        <v>80</v>
      </c>
      <c r="AT601" s="401">
        <f>SUMIF(Consumo!$C$3:$C$862,tabItens[[#This Row],[CÓDIGO]],Consumo!$Z$3:$Z$862)</f>
        <v>440</v>
      </c>
      <c r="AU601" s="402">
        <f>SUMIF(Consumo!$C$3:$C$862,tabItens[[#This Row],[CÓDIGO]],Consumo!$AA$3:$AA$862)</f>
        <v>200</v>
      </c>
      <c r="AV601" s="403">
        <f>SUMIF(Consumo!$C$3:$C$862,tabItens[[#This Row],[CÓDIGO]],Consumo!$Y$3:$Y$862)</f>
        <v>32.833333333333336</v>
      </c>
      <c r="AW601" s="380">
        <f>tabItens[[#This Row],[QTDE ATUAL]] + tabItens[[#This Row],[RC QTDE]] + tabItens[[#This Row],[AF SALDO]] + tabItens[[#This Row],[Recentes]]</f>
        <v>110</v>
      </c>
      <c r="AX601" s="404">
        <v>50</v>
      </c>
      <c r="AY601" s="404">
        <v>4</v>
      </c>
      <c r="AZ601" s="404">
        <f>IF(ISBLANK(tabItens[[#This Row],[CÓDIGO]]),"",tabItens[[#This Row],[PontoMês]] * (AZ$2+tabItens[[#This Row],[PontoQtM]]))</f>
        <v>200</v>
      </c>
      <c r="BA601" s="403">
        <f>tabItens[[#This Row],[PontoPed]] - tabItens[[#This Row],[Saldo]] + (1/10)</f>
        <v>90.1</v>
      </c>
      <c r="BB601" s="403">
        <f xml:space="preserve"> tabItens[[#This Row],[PontoMês]] * BB$2 - tabItens[[#This Row],[QTDE ATUAL]] - (1/10)</f>
        <v>-60.1</v>
      </c>
      <c r="BC601" s="335">
        <f>IF( tabItens[[#This Row],[PontoPed]]&gt;0, IF(tabItens[[#This Row],[PontoPed]]&lt;1, 1, IF( tabItens[[#This Row],[Saldo]]&gt;tabItens[[#This Row],[PontoPed]], 0, (tabItens[[#This Row],[PontoPed]]-tabItens[[#This Row],[Saldo]])/tabItens[[#This Row],[PontoPed]] ) ), 0 )</f>
        <v>0.45</v>
      </c>
      <c r="BD601" s="405">
        <f>ROUNDDOWN(IF( OR( AND(tabItens[[#This Row],[PontoPed]]&lt;tabItens[[#This Row],[Saldo]],tabItens[[#This Row],[Saldo]]&gt;0), tabItens[[#This Row],[PontoPed]]=0), 99, IF(AND(tabItens[[#This Row],[Saldo]]=0,tabItens[[#This Row],[PontoPed]]&gt;0), 0, (1-tabItens[[#This Row],[PctAb]])*10 ) ),0)</f>
        <v>5</v>
      </c>
      <c r="BE601" s="406">
        <f>MAX(ROUNDDOWN( IF(tabItens[[#This Row],[Abaixo]] &gt; 0,   tabItens[[#This Row],[Abaixo]] + (tabItens[[#This Row],[PontoMês]] * IF( OR( ISBLANK(tabItens[[#This Row],[ATA Nº/ANO]]), tabItens[[#This Row],[ATA Nº/ANO]] = ""),BE$2,BE$1)),0),0),0)</f>
        <v>240</v>
      </c>
      <c r="BF601"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1" s="338">
        <f>SUMIF(Consumo!$C$3:$C$862,tabItens[[#This Row],[CÓDIGO]],Consumo!$E$3:$E$862)</f>
        <v>0</v>
      </c>
      <c r="BH601" s="339">
        <f>IF(AND(tabItens[[#This Row],[Pend]] &gt; 0,tabItens[[#This Row],[Consumo]] &lt;&gt; 0), tabItens[[#This Row],[Pend]] / tabItens[[#This Row],[Consumo]], 0 )</f>
        <v>0</v>
      </c>
      <c r="BI601" s="338"/>
      <c r="BJ601" s="407"/>
      <c r="BK601" s="408" t="s">
        <v>2086</v>
      </c>
    </row>
    <row r="602" spans="1:63" x14ac:dyDescent="0.3">
      <c r="A602" s="375">
        <v>26215</v>
      </c>
      <c r="B602" s="376" t="s">
        <v>1209</v>
      </c>
      <c r="C602" s="377" t="s">
        <v>263</v>
      </c>
      <c r="D602" s="378">
        <v>250</v>
      </c>
      <c r="E602" s="305"/>
      <c r="F602" s="379"/>
      <c r="G602" s="379" t="s">
        <v>889</v>
      </c>
      <c r="H602" s="380">
        <v>20</v>
      </c>
      <c r="I602" s="307">
        <v>103003</v>
      </c>
      <c r="J602" s="308">
        <v>250</v>
      </c>
      <c r="K602" s="381">
        <v>99</v>
      </c>
      <c r="L602" s="382">
        <f>IF(tabItens[[#This Row],[Média]] &gt; 0, tabItens[[#This Row],[QTDE ATUAL]] / tabItens[[#This Row],[Média]],999.9)</f>
        <v>2.5263157894736841</v>
      </c>
      <c r="M602" s="383">
        <v>0</v>
      </c>
      <c r="N602" s="384">
        <f>tabItens[[#This Row],[VALOR UNIT.]] * tabItens[[#This Row],[LC]]</f>
        <v>0</v>
      </c>
      <c r="O602" s="385" t="s">
        <v>2137</v>
      </c>
      <c r="P602" s="386"/>
      <c r="Q602" s="387"/>
      <c r="R602" s="312"/>
      <c r="S602" s="388"/>
      <c r="T602" s="389">
        <f>ROUNDDOWN(IFERROR(tabItens[[#This Row],[ATA DT.VALID.]] - $D$1,0) / 30,0)</f>
        <v>-1474</v>
      </c>
      <c r="U602" s="302" t="s">
        <v>1210</v>
      </c>
      <c r="V602" s="318">
        <v>1</v>
      </c>
      <c r="W602" s="390" t="s">
        <v>2079</v>
      </c>
      <c r="X602" s="391">
        <v>74</v>
      </c>
      <c r="Y602" s="392">
        <v>9</v>
      </c>
      <c r="Z602" s="393"/>
      <c r="AA602" s="394"/>
      <c r="AB602" s="395"/>
      <c r="AC602" s="395"/>
      <c r="AD602" s="394"/>
      <c r="AE602" s="395"/>
      <c r="AF602" s="317"/>
      <c r="AG602" s="396" t="s">
        <v>2072</v>
      </c>
      <c r="AH602" s="397"/>
      <c r="AI602" s="317">
        <v>34</v>
      </c>
      <c r="AJ602" s="397">
        <v>44083</v>
      </c>
      <c r="AK602" s="326" t="s">
        <v>889</v>
      </c>
      <c r="AL602" s="326">
        <v>45210</v>
      </c>
      <c r="AM602" s="316"/>
      <c r="AN602" s="305"/>
      <c r="AO602" s="327" t="str">
        <f>_xlfn.IFNA(IF(VLOOKUP(tabItens[[#This Row],[CÓDIGO]],tabExcluirDoEstoque[#Data],1,FALSE),"sim",""),"")</f>
        <v/>
      </c>
      <c r="AP602" s="398" t="str">
        <f ca="1">IF(OR(ISBLANK(tabItens[[#This Row],[ATA DT.VALID.]]),tabItens[[#This Row],[ATA DT.VALID.]]="",tabItens[[#This Row],[ATA DT.VALID.]]=" "),"",IF(TYPE(tabItens[[#This Row],[ATA DT.VALID.]])=1,ROUNDUP((tabItens[[#This Row],[ATA DT.VALID.]]-TODAY())/7,0),""))</f>
        <v/>
      </c>
      <c r="AQ602" s="399">
        <v>0</v>
      </c>
      <c r="AR602" s="400" t="str">
        <f>IF(ISBLANK(tabItens[[#This Row],[CÓDIGO]]),"",IFERROR(VLOOKUP(tabItens[[#This Row],[CÓDIGO]],Consumo!$C$2:$AC$862,26,FALSE),0))</f>
        <v>08.2023</v>
      </c>
      <c r="AS602" s="401">
        <f>SUMIF(Consumo!$C$3:$C$862,tabItens[[#This Row],[CÓDIGO]],Consumo!$N$3:$N$862) + SUMIF(Consumo!$C$3:$C$862,tabItens[[#This Row],[CÓDIGO]],Consumo!$O$3:$O$862) + SUMIF(Consumo!$C$3:$C$862,tabItens[[#This Row],[CÓDIGO]],Consumo!$P$3:$P$862) + SUMIF(Consumo!$C$3:$C$862,tabItens[[#This Row],[CÓDIGO]],Consumo!$Q$3:$Q$862)</f>
        <v>6</v>
      </c>
      <c r="AT602" s="401">
        <f>SUMIF(Consumo!$C$3:$C$862,tabItens[[#This Row],[CÓDIGO]],Consumo!$Z$3:$Z$862)</f>
        <v>99</v>
      </c>
      <c r="AU602" s="402">
        <f>SUMIF(Consumo!$C$3:$C$862,tabItens[[#This Row],[CÓDIGO]],Consumo!$AA$3:$AA$862)</f>
        <v>38</v>
      </c>
      <c r="AV602" s="403">
        <f>SUMIF(Consumo!$C$3:$C$862,tabItens[[#This Row],[CÓDIGO]],Consumo!$Y$3:$Y$862)</f>
        <v>7.916666666666667</v>
      </c>
      <c r="AW602" s="380">
        <f>tabItens[[#This Row],[QTDE ATUAL]] + tabItens[[#This Row],[RC QTDE]] + tabItens[[#This Row],[AF SALDO]] + tabItens[[#This Row],[Recentes]]</f>
        <v>20</v>
      </c>
      <c r="AX602" s="404">
        <v>9</v>
      </c>
      <c r="AY602" s="404">
        <v>4</v>
      </c>
      <c r="AZ602" s="404">
        <f>IF(ISBLANK(tabItens[[#This Row],[CÓDIGO]]),"",tabItens[[#This Row],[PontoMês]] * (AZ$2+tabItens[[#This Row],[PontoQtM]]))</f>
        <v>36</v>
      </c>
      <c r="BA602" s="403">
        <f>tabItens[[#This Row],[PontoPed]] - tabItens[[#This Row],[Saldo]] + (1/10)</f>
        <v>16.100000000000001</v>
      </c>
      <c r="BB602" s="403">
        <f xml:space="preserve"> tabItens[[#This Row],[PontoMês]] * BB$2 - tabItens[[#This Row],[QTDE ATUAL]] - (1/10)</f>
        <v>-11.1</v>
      </c>
      <c r="BC602" s="335">
        <f>IF( tabItens[[#This Row],[PontoPed]]&gt;0, IF(tabItens[[#This Row],[PontoPed]]&lt;1, 1, IF( tabItens[[#This Row],[Saldo]]&gt;tabItens[[#This Row],[PontoPed]], 0, (tabItens[[#This Row],[PontoPed]]-tabItens[[#This Row],[Saldo]])/tabItens[[#This Row],[PontoPed]] ) ), 0 )</f>
        <v>0.44444444444444442</v>
      </c>
      <c r="BD602" s="405">
        <f>ROUNDDOWN(IF( OR( AND(tabItens[[#This Row],[PontoPed]]&lt;tabItens[[#This Row],[Saldo]],tabItens[[#This Row],[Saldo]]&gt;0), tabItens[[#This Row],[PontoPed]]=0), 99, IF(AND(tabItens[[#This Row],[Saldo]]=0,tabItens[[#This Row],[PontoPed]]&gt;0), 0, (1-tabItens[[#This Row],[PctAb]])*10 ) ),0)</f>
        <v>5</v>
      </c>
      <c r="BE602" s="406">
        <f>MAX(ROUNDDOWN( IF(tabItens[[#This Row],[Abaixo]] &gt; 0,   tabItens[[#This Row],[Abaixo]] + (tabItens[[#This Row],[PontoMês]] * IF( OR( ISBLANK(tabItens[[#This Row],[ATA Nº/ANO]]), tabItens[[#This Row],[ATA Nº/ANO]] = ""),BE$2,BE$1)),0),0),0)</f>
        <v>43</v>
      </c>
      <c r="BF602"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2" s="338">
        <f>SUMIF(Consumo!$C$3:$C$862,tabItens[[#This Row],[CÓDIGO]],Consumo!$E$3:$E$862)</f>
        <v>0</v>
      </c>
      <c r="BH602" s="339">
        <f>IF(AND(tabItens[[#This Row],[Pend]] &gt; 0,tabItens[[#This Row],[Consumo]] &lt;&gt; 0), tabItens[[#This Row],[Pend]] / tabItens[[#This Row],[Consumo]], 0 )</f>
        <v>0</v>
      </c>
      <c r="BI602" s="338"/>
      <c r="BJ602" s="407"/>
      <c r="BK602" s="408" t="s">
        <v>2086</v>
      </c>
    </row>
    <row r="603" spans="1:63" x14ac:dyDescent="0.3">
      <c r="A603" s="375">
        <v>13655</v>
      </c>
      <c r="B603" s="376" t="s">
        <v>1047</v>
      </c>
      <c r="C603" s="377" t="s">
        <v>31</v>
      </c>
      <c r="D603" s="378">
        <v>1.74</v>
      </c>
      <c r="E603" s="305"/>
      <c r="F603" s="379"/>
      <c r="G603" s="379" t="s">
        <v>889</v>
      </c>
      <c r="H603" s="380">
        <v>4386</v>
      </c>
      <c r="I603" s="307">
        <v>103003</v>
      </c>
      <c r="J603" s="308">
        <v>1.74</v>
      </c>
      <c r="K603" s="381">
        <v>14003</v>
      </c>
      <c r="L603" s="382">
        <f>IF(tabItens[[#This Row],[Média]] &gt; 0, tabItens[[#This Row],[QTDE ATUAL]] / tabItens[[#This Row],[Média]],999.9)</f>
        <v>3.701526127013151</v>
      </c>
      <c r="M603" s="383">
        <v>0</v>
      </c>
      <c r="N603" s="384">
        <f>tabItens[[#This Row],[VALOR UNIT.]] * tabItens[[#This Row],[LC]]</f>
        <v>0</v>
      </c>
      <c r="O603" s="385" t="s">
        <v>2115</v>
      </c>
      <c r="P603" s="386"/>
      <c r="Q603" s="387"/>
      <c r="R603" s="312"/>
      <c r="S603" s="388"/>
      <c r="T603" s="389">
        <f>ROUNDDOWN(IFERROR(tabItens[[#This Row],[ATA DT.VALID.]] - $D$1,0) / 30,0)</f>
        <v>-1474</v>
      </c>
      <c r="U603" s="302" t="s">
        <v>941</v>
      </c>
      <c r="V603" s="318">
        <v>1</v>
      </c>
      <c r="W603" s="390" t="s">
        <v>2074</v>
      </c>
      <c r="X603" s="391">
        <v>45</v>
      </c>
      <c r="Y603" s="392">
        <v>11</v>
      </c>
      <c r="Z603" s="393">
        <v>6211</v>
      </c>
      <c r="AA603" s="394">
        <v>2023</v>
      </c>
      <c r="AB603" s="395">
        <v>1000</v>
      </c>
      <c r="AC603" s="395"/>
      <c r="AD603" s="394"/>
      <c r="AE603" s="395"/>
      <c r="AF603" s="317"/>
      <c r="AG603" s="396" t="s">
        <v>2072</v>
      </c>
      <c r="AH603" s="397"/>
      <c r="AI603" s="317">
        <v>5868</v>
      </c>
      <c r="AJ603" s="397">
        <v>44993</v>
      </c>
      <c r="AK603" s="326" t="s">
        <v>889</v>
      </c>
      <c r="AL603" s="326">
        <v>45107</v>
      </c>
      <c r="AM603" s="316"/>
      <c r="AN603" s="305"/>
      <c r="AO603" s="327" t="str">
        <f>_xlfn.IFNA(IF(VLOOKUP(tabItens[[#This Row],[CÓDIGO]],tabExcluirDoEstoque[#Data],1,FALSE),"sim",""),"")</f>
        <v/>
      </c>
      <c r="AP603" s="398" t="str">
        <f ca="1">IF(OR(ISBLANK(tabItens[[#This Row],[ATA DT.VALID.]]),tabItens[[#This Row],[ATA DT.VALID.]]="",tabItens[[#This Row],[ATA DT.VALID.]]=" "),"",IF(TYPE(tabItens[[#This Row],[ATA DT.VALID.]])=1,ROUNDUP((tabItens[[#This Row],[ATA DT.VALID.]]-TODAY())/7,0),""))</f>
        <v/>
      </c>
      <c r="AQ603" s="399">
        <v>0</v>
      </c>
      <c r="AR603" s="400" t="str">
        <f>IF(ISBLANK(tabItens[[#This Row],[CÓDIGO]]),"",IFERROR(VLOOKUP(tabItens[[#This Row],[CÓDIGO]],Consumo!$C$2:$AC$862,26,FALSE),0))</f>
        <v>09.2023</v>
      </c>
      <c r="AS603" s="401">
        <f>SUMIF(Consumo!$C$3:$C$862,tabItens[[#This Row],[CÓDIGO]],Consumo!$N$3:$N$862) + SUMIF(Consumo!$C$3:$C$862,tabItens[[#This Row],[CÓDIGO]],Consumo!$O$3:$O$862) + SUMIF(Consumo!$C$3:$C$862,tabItens[[#This Row],[CÓDIGO]],Consumo!$P$3:$P$862) + SUMIF(Consumo!$C$3:$C$862,tabItens[[#This Row],[CÓDIGO]],Consumo!$Q$3:$Q$862)</f>
        <v>2647</v>
      </c>
      <c r="AT603" s="401">
        <f>SUMIF(Consumo!$C$3:$C$862,tabItens[[#This Row],[CÓDIGO]],Consumo!$Z$3:$Z$862)</f>
        <v>17460</v>
      </c>
      <c r="AU603" s="402">
        <f>SUMIF(Consumo!$C$3:$C$862,tabItens[[#This Row],[CÓDIGO]],Consumo!$AA$3:$AA$862)</f>
        <v>9807</v>
      </c>
      <c r="AV603" s="403">
        <f>SUMIF(Consumo!$C$3:$C$862,tabItens[[#This Row],[CÓDIGO]],Consumo!$Y$3:$Y$862)</f>
        <v>1184.9166666666667</v>
      </c>
      <c r="AW603" s="380">
        <f>tabItens[[#This Row],[QTDE ATUAL]] + tabItens[[#This Row],[RC QTDE]] + tabItens[[#This Row],[AF SALDO]] + tabItens[[#This Row],[Recentes]]</f>
        <v>5386</v>
      </c>
      <c r="AX603" s="404">
        <v>1435</v>
      </c>
      <c r="AY603" s="404">
        <v>4</v>
      </c>
      <c r="AZ603" s="404">
        <f>IF(ISBLANK(tabItens[[#This Row],[CÓDIGO]]),"",tabItens[[#This Row],[PontoMês]] * (AZ$2+tabItens[[#This Row],[PontoQtM]]))</f>
        <v>5740</v>
      </c>
      <c r="BA603" s="403">
        <f>tabItens[[#This Row],[PontoPed]] - tabItens[[#This Row],[Saldo]] + (1/10)</f>
        <v>354.1</v>
      </c>
      <c r="BB603" s="403">
        <f xml:space="preserve"> tabItens[[#This Row],[PontoMês]] * BB$2 - tabItens[[#This Row],[QTDE ATUAL]] - (1/10)</f>
        <v>-2951.1</v>
      </c>
      <c r="BC603" s="335">
        <f>IF( tabItens[[#This Row],[PontoPed]]&gt;0, IF(tabItens[[#This Row],[PontoPed]]&lt;1, 1, IF( tabItens[[#This Row],[Saldo]]&gt;tabItens[[#This Row],[PontoPed]], 0, (tabItens[[#This Row],[PontoPed]]-tabItens[[#This Row],[Saldo]])/tabItens[[#This Row],[PontoPed]] ) ), 0 )</f>
        <v>6.167247386759582E-2</v>
      </c>
      <c r="BD603" s="405">
        <f>ROUNDDOWN(IF( OR( AND(tabItens[[#This Row],[PontoPed]]&lt;tabItens[[#This Row],[Saldo]],tabItens[[#This Row],[Saldo]]&gt;0), tabItens[[#This Row],[PontoPed]]=0), 99, IF(AND(tabItens[[#This Row],[Saldo]]=0,tabItens[[#This Row],[PontoPed]]&gt;0), 0, (1-tabItens[[#This Row],[PctAb]])*10 ) ),0)</f>
        <v>9</v>
      </c>
      <c r="BE603" s="406">
        <f>MAX(ROUNDDOWN( IF(tabItens[[#This Row],[Abaixo]] &gt; 0,   tabItens[[#This Row],[Abaixo]] + (tabItens[[#This Row],[PontoMês]] * IF( OR( ISBLANK(tabItens[[#This Row],[ATA Nº/ANO]]), tabItens[[#This Row],[ATA Nº/ANO]] = ""),BE$2,BE$1)),0),0),0)</f>
        <v>4659</v>
      </c>
      <c r="BF603"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3" s="338">
        <f>SUMIF(Consumo!$C$3:$C$862,tabItens[[#This Row],[CÓDIGO]],Consumo!$E$3:$E$862)</f>
        <v>7</v>
      </c>
      <c r="BH603" s="339">
        <f>IF(AND(tabItens[[#This Row],[Pend]] &gt; 0,tabItens[[#This Row],[Consumo]] &lt;&gt; 0), tabItens[[#This Row],[Pend]] / tabItens[[#This Row],[Consumo]], 0 )</f>
        <v>4.0091638029782358E-4</v>
      </c>
      <c r="BI603" s="338"/>
      <c r="BJ603" s="407"/>
      <c r="BK603" s="408" t="s">
        <v>2086</v>
      </c>
    </row>
    <row r="604" spans="1:63" x14ac:dyDescent="0.3">
      <c r="A604" s="375">
        <v>17132</v>
      </c>
      <c r="B604" s="376" t="s">
        <v>1124</v>
      </c>
      <c r="C604" s="377" t="s">
        <v>267</v>
      </c>
      <c r="D604" s="378">
        <v>2.0299999999999998</v>
      </c>
      <c r="E604" s="305"/>
      <c r="F604" s="379"/>
      <c r="G604" s="379" t="s">
        <v>889</v>
      </c>
      <c r="H604" s="380">
        <v>1439</v>
      </c>
      <c r="I604" s="307">
        <v>103003</v>
      </c>
      <c r="J604" s="308">
        <v>2.0299999999999998</v>
      </c>
      <c r="K604" s="381">
        <v>799</v>
      </c>
      <c r="L604" s="382">
        <f>IF(tabItens[[#This Row],[Média]] &gt; 0, tabItens[[#This Row],[QTDE ATUAL]] / tabItens[[#This Row],[Média]],999.9)</f>
        <v>20.243845252051585</v>
      </c>
      <c r="M604" s="383">
        <v>0</v>
      </c>
      <c r="N604" s="384">
        <f>tabItens[[#This Row],[VALOR UNIT.]] * tabItens[[#This Row],[LC]]</f>
        <v>0</v>
      </c>
      <c r="O604" s="385" t="s">
        <v>2115</v>
      </c>
      <c r="P604" s="386"/>
      <c r="Q604" s="387"/>
      <c r="R604" s="312"/>
      <c r="S604" s="388"/>
      <c r="T604" s="389">
        <f>ROUNDDOWN(IFERROR(tabItens[[#This Row],[ATA DT.VALID.]] - $D$1,0) / 30,0)</f>
        <v>-1474</v>
      </c>
      <c r="U604" s="302" t="s">
        <v>931</v>
      </c>
      <c r="V604" s="318">
        <v>1</v>
      </c>
      <c r="W604" s="390" t="s">
        <v>2073</v>
      </c>
      <c r="X604" s="391">
        <v>45</v>
      </c>
      <c r="Y604" s="392">
        <v>12</v>
      </c>
      <c r="Z604" s="393"/>
      <c r="AA604" s="394"/>
      <c r="AB604" s="395"/>
      <c r="AC604" s="395"/>
      <c r="AD604" s="394"/>
      <c r="AE604" s="395"/>
      <c r="AF604" s="317"/>
      <c r="AG604" s="396" t="s">
        <v>2072</v>
      </c>
      <c r="AH604" s="397"/>
      <c r="AI604" s="317">
        <v>338</v>
      </c>
      <c r="AJ604" s="397">
        <v>44678</v>
      </c>
      <c r="AK604" s="326" t="s">
        <v>889</v>
      </c>
      <c r="AL604" s="326">
        <v>45107</v>
      </c>
      <c r="AM604" s="316"/>
      <c r="AN604" s="305"/>
      <c r="AO604" s="327" t="str">
        <f>_xlfn.IFNA(IF(VLOOKUP(tabItens[[#This Row],[CÓDIGO]],tabExcluirDoEstoque[#Data],1,FALSE),"sim",""),"")</f>
        <v/>
      </c>
      <c r="AP604" s="398" t="str">
        <f ca="1">IF(OR(ISBLANK(tabItens[[#This Row],[ATA DT.VALID.]]),tabItens[[#This Row],[ATA DT.VALID.]]="",tabItens[[#This Row],[ATA DT.VALID.]]=" "),"",IF(TYPE(tabItens[[#This Row],[ATA DT.VALID.]])=1,ROUNDUP((tabItens[[#This Row],[ATA DT.VALID.]]-TODAY())/7,0),""))</f>
        <v/>
      </c>
      <c r="AQ604" s="399">
        <v>0</v>
      </c>
      <c r="AR604" s="400" t="str">
        <f>IF(ISBLANK(tabItens[[#This Row],[CÓDIGO]]),"",IFERROR(VLOOKUP(tabItens[[#This Row],[CÓDIGO]],Consumo!$C$2:$AC$862,26,FALSE),0))</f>
        <v>09.2023</v>
      </c>
      <c r="AS604" s="401">
        <f>SUMIF(Consumo!$C$3:$C$862,tabItens[[#This Row],[CÓDIGO]],Consumo!$N$3:$N$862) + SUMIF(Consumo!$C$3:$C$862,tabItens[[#This Row],[CÓDIGO]],Consumo!$O$3:$O$862) + SUMIF(Consumo!$C$3:$C$862,tabItens[[#This Row],[CÓDIGO]],Consumo!$P$3:$P$862) + SUMIF(Consumo!$C$3:$C$862,tabItens[[#This Row],[CÓDIGO]],Consumo!$Q$3:$Q$862)</f>
        <v>223</v>
      </c>
      <c r="AT604" s="401">
        <f>SUMIF(Consumo!$C$3:$C$862,tabItens[[#This Row],[CÓDIGO]],Consumo!$Z$3:$Z$862)</f>
        <v>1013</v>
      </c>
      <c r="AU604" s="402">
        <f>SUMIF(Consumo!$C$3:$C$862,tabItens[[#This Row],[CÓDIGO]],Consumo!$AA$3:$AA$862)</f>
        <v>519</v>
      </c>
      <c r="AV604" s="403">
        <f>SUMIF(Consumo!$C$3:$C$862,tabItens[[#This Row],[CÓDIGO]],Consumo!$Y$3:$Y$862)</f>
        <v>71.083333333333329</v>
      </c>
      <c r="AW604" s="380">
        <f>tabItens[[#This Row],[QTDE ATUAL]] + tabItens[[#This Row],[RC QTDE]] + tabItens[[#This Row],[AF SALDO]] + tabItens[[#This Row],[Recentes]]</f>
        <v>1439</v>
      </c>
      <c r="AX604" s="404">
        <v>93</v>
      </c>
      <c r="AY604" s="404">
        <v>4</v>
      </c>
      <c r="AZ604" s="404">
        <f>IF(ISBLANK(tabItens[[#This Row],[CÓDIGO]]),"",tabItens[[#This Row],[PontoMês]] * (AZ$2+tabItens[[#This Row],[PontoQtM]]))</f>
        <v>372</v>
      </c>
      <c r="BA604" s="403">
        <f>tabItens[[#This Row],[PontoPed]] - tabItens[[#This Row],[Saldo]] + (1/10)</f>
        <v>-1066.9000000000001</v>
      </c>
      <c r="BB604" s="403">
        <f xml:space="preserve"> tabItens[[#This Row],[PontoMês]] * BB$2 - tabItens[[#This Row],[QTDE ATUAL]] - (1/10)</f>
        <v>-1346.1</v>
      </c>
      <c r="BC604" s="335">
        <f>IF( tabItens[[#This Row],[PontoPed]]&gt;0, IF(tabItens[[#This Row],[PontoPed]]&lt;1, 1, IF( tabItens[[#This Row],[Saldo]]&gt;tabItens[[#This Row],[PontoPed]], 0, (tabItens[[#This Row],[PontoPed]]-tabItens[[#This Row],[Saldo]])/tabItens[[#This Row],[PontoPed]] ) ), 0 )</f>
        <v>0</v>
      </c>
      <c r="BD604" s="405">
        <f>ROUNDDOWN(IF( OR( AND(tabItens[[#This Row],[PontoPed]]&lt;tabItens[[#This Row],[Saldo]],tabItens[[#This Row],[Saldo]]&gt;0), tabItens[[#This Row],[PontoPed]]=0), 99, IF(AND(tabItens[[#This Row],[Saldo]]=0,tabItens[[#This Row],[PontoPed]]&gt;0), 0, (1-tabItens[[#This Row],[PctAb]])*10 ) ),0)</f>
        <v>99</v>
      </c>
      <c r="BE604" s="406">
        <f>MAX(ROUNDDOWN( IF(tabItens[[#This Row],[Abaixo]] &gt; 0,   tabItens[[#This Row],[Abaixo]] + (tabItens[[#This Row],[PontoMês]] * IF( OR( ISBLANK(tabItens[[#This Row],[ATA Nº/ANO]]), tabItens[[#This Row],[ATA Nº/ANO]] = ""),BE$2,BE$1)),0),0),0)</f>
        <v>0</v>
      </c>
      <c r="BF604"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4" s="338">
        <f>SUMIF(Consumo!$C$3:$C$862,tabItens[[#This Row],[CÓDIGO]],Consumo!$E$3:$E$862)</f>
        <v>0</v>
      </c>
      <c r="BH604" s="339">
        <f>IF(AND(tabItens[[#This Row],[Pend]] &gt; 0,tabItens[[#This Row],[Consumo]] &lt;&gt; 0), tabItens[[#This Row],[Pend]] / tabItens[[#This Row],[Consumo]], 0 )</f>
        <v>0</v>
      </c>
      <c r="BI604" s="338"/>
      <c r="BJ604" s="407"/>
      <c r="BK604" s="408" t="s">
        <v>2086</v>
      </c>
    </row>
    <row r="605" spans="1:63" x14ac:dyDescent="0.3">
      <c r="A605" s="375">
        <v>63591</v>
      </c>
      <c r="B605" s="376" t="s">
        <v>1365</v>
      </c>
      <c r="C605" s="377" t="s">
        <v>380</v>
      </c>
      <c r="D605" s="378">
        <v>0.46</v>
      </c>
      <c r="E605" s="305"/>
      <c r="F605" s="379"/>
      <c r="G605" s="379" t="s">
        <v>889</v>
      </c>
      <c r="H605" s="380">
        <v>0</v>
      </c>
      <c r="I605" s="307">
        <v>103003</v>
      </c>
      <c r="J605" s="308">
        <v>0.46</v>
      </c>
      <c r="K605" s="381">
        <v>5589</v>
      </c>
      <c r="L605" s="382">
        <f>IF(tabItens[[#This Row],[Média]] &gt; 0, tabItens[[#This Row],[QTDE ATUAL]] / tabItens[[#This Row],[Média]],999.9)</f>
        <v>0</v>
      </c>
      <c r="M605" s="383">
        <v>0</v>
      </c>
      <c r="N605" s="384">
        <f>tabItens[[#This Row],[VALOR UNIT.]] * tabItens[[#This Row],[LC]]</f>
        <v>0</v>
      </c>
      <c r="O605" s="385" t="s">
        <v>2115</v>
      </c>
      <c r="P605" s="386"/>
      <c r="Q605" s="387"/>
      <c r="R605" s="312"/>
      <c r="S605" s="388"/>
      <c r="T605" s="389">
        <f>ROUNDDOWN(IFERROR(tabItens[[#This Row],[ATA DT.VALID.]] - $D$1,0) / 30,0)</f>
        <v>-1474</v>
      </c>
      <c r="U605" s="302" t="s">
        <v>1136</v>
      </c>
      <c r="V605" s="318">
        <v>1</v>
      </c>
      <c r="W605" s="390" t="s">
        <v>2074</v>
      </c>
      <c r="X605" s="391">
        <v>57</v>
      </c>
      <c r="Y605" s="392">
        <v>2</v>
      </c>
      <c r="Z605" s="393">
        <v>6216</v>
      </c>
      <c r="AA605" s="394">
        <v>2023</v>
      </c>
      <c r="AB605" s="395">
        <v>1000</v>
      </c>
      <c r="AC605" s="395"/>
      <c r="AD605" s="394"/>
      <c r="AE605" s="395"/>
      <c r="AF605" s="317"/>
      <c r="AG605" s="396" t="s">
        <v>2072</v>
      </c>
      <c r="AH605" s="397"/>
      <c r="AI605" s="317">
        <v>2784</v>
      </c>
      <c r="AJ605" s="397">
        <v>44586</v>
      </c>
      <c r="AK605" s="326" t="s">
        <v>889</v>
      </c>
      <c r="AL605" s="326">
        <v>44551</v>
      </c>
      <c r="AM605" s="316"/>
      <c r="AN605" s="305"/>
      <c r="AO605" s="327" t="str">
        <f>_xlfn.IFNA(IF(VLOOKUP(tabItens[[#This Row],[CÓDIGO]],tabExcluirDoEstoque[#Data],1,FALSE),"sim",""),"")</f>
        <v/>
      </c>
      <c r="AP605" s="398" t="str">
        <f ca="1">IF(OR(ISBLANK(tabItens[[#This Row],[ATA DT.VALID.]]),tabItens[[#This Row],[ATA DT.VALID.]]="",tabItens[[#This Row],[ATA DT.VALID.]]=" "),"",IF(TYPE(tabItens[[#This Row],[ATA DT.VALID.]])=1,ROUNDUP((tabItens[[#This Row],[ATA DT.VALID.]]-TODAY())/7,0),""))</f>
        <v/>
      </c>
      <c r="AQ605" s="399">
        <v>0</v>
      </c>
      <c r="AR605" s="400" t="str">
        <f>IF(ISBLANK(tabItens[[#This Row],[CÓDIGO]]),"",IFERROR(VLOOKUP(tabItens[[#This Row],[CÓDIGO]],Consumo!$C$2:$AC$862,26,FALSE),0))</f>
        <v>09.2023</v>
      </c>
      <c r="AS605" s="401">
        <f>SUMIF(Consumo!$C$3:$C$862,tabItens[[#This Row],[CÓDIGO]],Consumo!$N$3:$N$862) + SUMIF(Consumo!$C$3:$C$862,tabItens[[#This Row],[CÓDIGO]],Consumo!$O$3:$O$862) + SUMIF(Consumo!$C$3:$C$862,tabItens[[#This Row],[CÓDIGO]],Consumo!$P$3:$P$862) + SUMIF(Consumo!$C$3:$C$862,tabItens[[#This Row],[CÓDIGO]],Consumo!$Q$3:$Q$862)</f>
        <v>3187</v>
      </c>
      <c r="AT605" s="401">
        <f>SUMIF(Consumo!$C$3:$C$862,tabItens[[#This Row],[CÓDIGO]],Consumo!$Z$3:$Z$862)</f>
        <v>8434</v>
      </c>
      <c r="AU605" s="402">
        <f>SUMIF(Consumo!$C$3:$C$862,tabItens[[#This Row],[CÓDIGO]],Consumo!$AA$3:$AA$862)</f>
        <v>1399</v>
      </c>
      <c r="AV605" s="403">
        <f>SUMIF(Consumo!$C$3:$C$862,tabItens[[#This Row],[CÓDIGO]],Consumo!$Y$3:$Y$862)</f>
        <v>700.41666666666663</v>
      </c>
      <c r="AW605" s="380">
        <f>tabItens[[#This Row],[QTDE ATUAL]] + tabItens[[#This Row],[RC QTDE]] + tabItens[[#This Row],[AF SALDO]] + tabItens[[#This Row],[Recentes]]</f>
        <v>1000</v>
      </c>
      <c r="AX605" s="404">
        <v>1000</v>
      </c>
      <c r="AY605" s="404">
        <v>4</v>
      </c>
      <c r="AZ605" s="404">
        <f>IF(ISBLANK(tabItens[[#This Row],[CÓDIGO]]),"",tabItens[[#This Row],[PontoMês]] * (AZ$2+tabItens[[#This Row],[PontoQtM]]))</f>
        <v>4000</v>
      </c>
      <c r="BA605" s="403">
        <f>tabItens[[#This Row],[PontoPed]] - tabItens[[#This Row],[Saldo]] + (1/10)</f>
        <v>3000.1</v>
      </c>
      <c r="BB605" s="403">
        <f xml:space="preserve"> tabItens[[#This Row],[PontoMês]] * BB$2 - tabItens[[#This Row],[QTDE ATUAL]] - (1/10)</f>
        <v>999.9</v>
      </c>
      <c r="BC605" s="335">
        <f>IF( tabItens[[#This Row],[PontoPed]]&gt;0, IF(tabItens[[#This Row],[PontoPed]]&lt;1, 1, IF( tabItens[[#This Row],[Saldo]]&gt;tabItens[[#This Row],[PontoPed]], 0, (tabItens[[#This Row],[PontoPed]]-tabItens[[#This Row],[Saldo]])/tabItens[[#This Row],[PontoPed]] ) ), 0 )</f>
        <v>0.75</v>
      </c>
      <c r="BD605" s="405">
        <f>ROUNDDOWN(IF( OR( AND(tabItens[[#This Row],[PontoPed]]&lt;tabItens[[#This Row],[Saldo]],tabItens[[#This Row],[Saldo]]&gt;0), tabItens[[#This Row],[PontoPed]]=0), 99, IF(AND(tabItens[[#This Row],[Saldo]]=0,tabItens[[#This Row],[PontoPed]]&gt;0), 0, (1-tabItens[[#This Row],[PctAb]])*10 ) ),0)</f>
        <v>2</v>
      </c>
      <c r="BE605" s="406">
        <f>MAX(ROUNDDOWN( IF(tabItens[[#This Row],[Abaixo]] &gt; 0,   tabItens[[#This Row],[Abaixo]] + (tabItens[[#This Row],[PontoMês]] * IF( OR( ISBLANK(tabItens[[#This Row],[ATA Nº/ANO]]), tabItens[[#This Row],[ATA Nº/ANO]] = ""),BE$2,BE$1)),0),0),0)</f>
        <v>6000</v>
      </c>
      <c r="BF605"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5" s="338">
        <f>SUMIF(Consumo!$C$3:$C$862,tabItens[[#This Row],[CÓDIGO]],Consumo!$E$3:$E$862)</f>
        <v>80</v>
      </c>
      <c r="BH605" s="339">
        <f>IF(AND(tabItens[[#This Row],[Pend]] &gt; 0,tabItens[[#This Row],[Consumo]] &lt;&gt; 0), tabItens[[#This Row],[Pend]] / tabItens[[#This Row],[Consumo]], 0 )</f>
        <v>9.485416172634575E-3</v>
      </c>
      <c r="BI605" s="338"/>
      <c r="BJ605" s="407"/>
      <c r="BK605" s="408" t="s">
        <v>2086</v>
      </c>
    </row>
    <row r="606" spans="1:63" x14ac:dyDescent="0.3">
      <c r="A606" s="375">
        <v>63385</v>
      </c>
      <c r="B606" s="376" t="s">
        <v>1363</v>
      </c>
      <c r="C606" s="377" t="s">
        <v>380</v>
      </c>
      <c r="D606" s="378">
        <v>0.62</v>
      </c>
      <c r="E606" s="305"/>
      <c r="F606" s="379"/>
      <c r="G606" s="379" t="s">
        <v>889</v>
      </c>
      <c r="H606" s="380">
        <v>0</v>
      </c>
      <c r="I606" s="307">
        <v>103003</v>
      </c>
      <c r="J606" s="308">
        <v>0.62</v>
      </c>
      <c r="K606" s="381">
        <v>20287</v>
      </c>
      <c r="L606" s="382">
        <f>IF(tabItens[[#This Row],[Média]] &gt; 0, tabItens[[#This Row],[QTDE ATUAL]] / tabItens[[#This Row],[Média]],999.9)</f>
        <v>0</v>
      </c>
      <c r="M606" s="383">
        <v>0</v>
      </c>
      <c r="N606" s="384">
        <f>tabItens[[#This Row],[VALOR UNIT.]] * tabItens[[#This Row],[LC]]</f>
        <v>0</v>
      </c>
      <c r="O606" s="385" t="s">
        <v>2115</v>
      </c>
      <c r="P606" s="386"/>
      <c r="Q606" s="387"/>
      <c r="R606" s="312"/>
      <c r="S606" s="388"/>
      <c r="T606" s="389">
        <f>ROUNDDOWN(IFERROR(tabItens[[#This Row],[ATA DT.VALID.]] - $D$1,0) / 30,0)</f>
        <v>-1474</v>
      </c>
      <c r="U606" s="302" t="s">
        <v>1364</v>
      </c>
      <c r="V606" s="318">
        <v>1</v>
      </c>
      <c r="W606" s="390" t="s">
        <v>2074</v>
      </c>
      <c r="X606" s="391">
        <v>57</v>
      </c>
      <c r="Y606" s="392">
        <v>17</v>
      </c>
      <c r="Z606" s="393">
        <v>6989</v>
      </c>
      <c r="AA606" s="394">
        <v>2023</v>
      </c>
      <c r="AB606" s="395">
        <v>18800</v>
      </c>
      <c r="AC606" s="395"/>
      <c r="AD606" s="394"/>
      <c r="AE606" s="395"/>
      <c r="AF606" s="317"/>
      <c r="AG606" s="396" t="s">
        <v>2072</v>
      </c>
      <c r="AH606" s="397"/>
      <c r="AI606" s="317">
        <v>6762</v>
      </c>
      <c r="AJ606" s="397">
        <v>44967</v>
      </c>
      <c r="AK606" s="326" t="s">
        <v>889</v>
      </c>
      <c r="AL606" s="326">
        <v>44910</v>
      </c>
      <c r="AM606" s="316"/>
      <c r="AN606" s="305"/>
      <c r="AO606" s="327" t="str">
        <f>_xlfn.IFNA(IF(VLOOKUP(tabItens[[#This Row],[CÓDIGO]],tabExcluirDoEstoque[#Data],1,FALSE),"sim",""),"")</f>
        <v/>
      </c>
      <c r="AP606" s="398" t="str">
        <f ca="1">IF(OR(ISBLANK(tabItens[[#This Row],[ATA DT.VALID.]]),tabItens[[#This Row],[ATA DT.VALID.]]="",tabItens[[#This Row],[ATA DT.VALID.]]=" "),"",IF(TYPE(tabItens[[#This Row],[ATA DT.VALID.]])=1,ROUNDUP((tabItens[[#This Row],[ATA DT.VALID.]]-TODAY())/7,0),""))</f>
        <v/>
      </c>
      <c r="AQ606" s="399">
        <v>0</v>
      </c>
      <c r="AR606" s="400" t="str">
        <f>IF(ISBLANK(tabItens[[#This Row],[CÓDIGO]]),"",IFERROR(VLOOKUP(tabItens[[#This Row],[CÓDIGO]],Consumo!$C$2:$AC$862,26,FALSE),0))</f>
        <v>03.2023</v>
      </c>
      <c r="AS606" s="401">
        <f>SUMIF(Consumo!$C$3:$C$862,tabItens[[#This Row],[CÓDIGO]],Consumo!$N$3:$N$862) + SUMIF(Consumo!$C$3:$C$862,tabItens[[#This Row],[CÓDIGO]],Consumo!$O$3:$O$862) + SUMIF(Consumo!$C$3:$C$862,tabItens[[#This Row],[CÓDIGO]],Consumo!$P$3:$P$862) + SUMIF(Consumo!$C$3:$C$862,tabItens[[#This Row],[CÓDIGO]],Consumo!$Q$3:$Q$862)</f>
        <v>0</v>
      </c>
      <c r="AT606" s="401">
        <f>SUMIF(Consumo!$C$3:$C$862,tabItens[[#This Row],[CÓDIGO]],Consumo!$Z$3:$Z$862)</f>
        <v>48142</v>
      </c>
      <c r="AU606" s="402">
        <f>SUMIF(Consumo!$C$3:$C$862,tabItens[[#This Row],[CÓDIGO]],Consumo!$AA$3:$AA$862)</f>
        <v>13744</v>
      </c>
      <c r="AV606" s="403">
        <f>SUMIF(Consumo!$C$3:$C$862,tabItens[[#This Row],[CÓDIGO]],Consumo!$Y$3:$Y$862)</f>
        <v>4011.8333333333335</v>
      </c>
      <c r="AW606" s="380">
        <f>tabItens[[#This Row],[QTDE ATUAL]] + tabItens[[#This Row],[RC QTDE]] + tabItens[[#This Row],[AF SALDO]] + tabItens[[#This Row],[Recentes]]</f>
        <v>18800</v>
      </c>
      <c r="AX606" s="404">
        <v>3677</v>
      </c>
      <c r="AY606" s="404">
        <v>4</v>
      </c>
      <c r="AZ606" s="404">
        <f>IF(ISBLANK(tabItens[[#This Row],[CÓDIGO]]),"",tabItens[[#This Row],[PontoMês]] * (AZ$2+tabItens[[#This Row],[PontoQtM]]))</f>
        <v>14708</v>
      </c>
      <c r="BA606" s="403">
        <f>tabItens[[#This Row],[PontoPed]] - tabItens[[#This Row],[Saldo]] + (1/10)</f>
        <v>-4091.9</v>
      </c>
      <c r="BB606" s="403">
        <f xml:space="preserve"> tabItens[[#This Row],[PontoMês]] * BB$2 - tabItens[[#This Row],[QTDE ATUAL]] - (1/10)</f>
        <v>3676.9</v>
      </c>
      <c r="BC606" s="335">
        <f>IF( tabItens[[#This Row],[PontoPed]]&gt;0, IF(tabItens[[#This Row],[PontoPed]]&lt;1, 1, IF( tabItens[[#This Row],[Saldo]]&gt;tabItens[[#This Row],[PontoPed]], 0, (tabItens[[#This Row],[PontoPed]]-tabItens[[#This Row],[Saldo]])/tabItens[[#This Row],[PontoPed]] ) ), 0 )</f>
        <v>0</v>
      </c>
      <c r="BD606" s="405">
        <f>ROUNDDOWN(IF( OR( AND(tabItens[[#This Row],[PontoPed]]&lt;tabItens[[#This Row],[Saldo]],tabItens[[#This Row],[Saldo]]&gt;0), tabItens[[#This Row],[PontoPed]]=0), 99, IF(AND(tabItens[[#This Row],[Saldo]]=0,tabItens[[#This Row],[PontoPed]]&gt;0), 0, (1-tabItens[[#This Row],[PctAb]])*10 ) ),0)</f>
        <v>99</v>
      </c>
      <c r="BE606" s="406">
        <f>MAX(ROUNDDOWN( IF(tabItens[[#This Row],[Abaixo]] &gt; 0,   tabItens[[#This Row],[Abaixo]] + (tabItens[[#This Row],[PontoMês]] * IF( OR( ISBLANK(tabItens[[#This Row],[ATA Nº/ANO]]), tabItens[[#This Row],[ATA Nº/ANO]] = ""),BE$2,BE$1)),0),0),0)</f>
        <v>0</v>
      </c>
      <c r="BF606" s="40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6" s="338">
        <f>SUMIF(Consumo!$C$3:$C$862,tabItens[[#This Row],[CÓDIGO]],Consumo!$E$3:$E$862)</f>
        <v>27855</v>
      </c>
      <c r="BH606" s="339">
        <f>IF(AND(tabItens[[#This Row],[Pend]] &gt; 0,tabItens[[#This Row],[Consumo]] &lt;&gt; 0), tabItens[[#This Row],[Pend]] / tabItens[[#This Row],[Consumo]], 0 )</f>
        <v>0.57860080594906738</v>
      </c>
      <c r="BI606" s="338"/>
      <c r="BJ606" s="407"/>
      <c r="BK606" s="408" t="s">
        <v>2086</v>
      </c>
    </row>
    <row r="607" spans="1:63" hidden="1" x14ac:dyDescent="0.3">
      <c r="A607" s="301">
        <v>119318</v>
      </c>
      <c r="B607" s="302" t="s">
        <v>1738</v>
      </c>
      <c r="C607" s="303" t="s">
        <v>335</v>
      </c>
      <c r="D607" s="304">
        <v>3.2</v>
      </c>
      <c r="E607" s="305"/>
      <c r="F607" s="305"/>
      <c r="G607" s="305" t="s">
        <v>889</v>
      </c>
      <c r="H607" s="306">
        <v>0</v>
      </c>
      <c r="I607" s="307">
        <v>103003</v>
      </c>
      <c r="J607" s="308">
        <v>3.2</v>
      </c>
      <c r="K607" s="309">
        <v>137</v>
      </c>
      <c r="L607" s="310">
        <f>IF(tabItens[[#This Row],[Média]] &gt; 0, tabItens[[#This Row],[QTDE ATUAL]] / tabItens[[#This Row],[Média]],999.9)</f>
        <v>0</v>
      </c>
      <c r="M607" s="311">
        <v>0</v>
      </c>
      <c r="N607" s="312">
        <f>tabItens[[#This Row],[VALOR UNIT.]] * tabItens[[#This Row],[LC]]</f>
        <v>0</v>
      </c>
      <c r="O607" s="313"/>
      <c r="P607" s="314"/>
      <c r="Q607" s="315"/>
      <c r="R607" s="312"/>
      <c r="S607" s="316"/>
      <c r="T607" s="317">
        <f>ROUNDDOWN(IFERROR(tabItens[[#This Row],[ATA DT.VALID.]] - $D$1,0) / 30,0)</f>
        <v>-1474</v>
      </c>
      <c r="U607" s="302" t="s">
        <v>1739</v>
      </c>
      <c r="V607" s="318">
        <v>1</v>
      </c>
      <c r="W607" s="319" t="s">
        <v>2073</v>
      </c>
      <c r="X607" s="320">
        <v>45</v>
      </c>
      <c r="Y607" s="321">
        <v>8</v>
      </c>
      <c r="Z607" s="322">
        <v>6209</v>
      </c>
      <c r="AA607" s="323">
        <v>2023</v>
      </c>
      <c r="AB607" s="324">
        <v>50</v>
      </c>
      <c r="AC607" s="324"/>
      <c r="AD607" s="323"/>
      <c r="AE607" s="324"/>
      <c r="AF607" s="317"/>
      <c r="AG607" s="325" t="s">
        <v>2072</v>
      </c>
      <c r="AH607" s="326"/>
      <c r="AI607" s="317">
        <v>56</v>
      </c>
      <c r="AJ607" s="326">
        <v>43874</v>
      </c>
      <c r="AK607" s="326">
        <v>40598</v>
      </c>
      <c r="AL607" s="326">
        <v>43866</v>
      </c>
      <c r="AM607" s="316"/>
      <c r="AN607" s="305"/>
      <c r="AO607" s="327" t="str">
        <f>_xlfn.IFNA(IF(VLOOKUP(tabItens[[#This Row],[CÓDIGO]],tabExcluirDoEstoque[#Data],1,FALSE),"sim",""),"")</f>
        <v/>
      </c>
      <c r="AP607" s="328" t="str">
        <f ca="1">IF(OR(ISBLANK(tabItens[[#This Row],[ATA DT.VALID.]]),tabItens[[#This Row],[ATA DT.VALID.]]="",tabItens[[#This Row],[ATA DT.VALID.]]=" "),"",IF(TYPE(tabItens[[#This Row],[ATA DT.VALID.]])=1,ROUNDUP((tabItens[[#This Row],[ATA DT.VALID.]]-TODAY())/7,0),""))</f>
        <v/>
      </c>
      <c r="AQ607" s="329"/>
      <c r="AR607" s="330" t="str">
        <f>IF(ISBLANK(tabItens[[#This Row],[CÓDIGO]]),"",IFERROR(VLOOKUP(tabItens[[#This Row],[CÓDIGO]],Consumo!$C$2:$AC$862,26,FALSE),0))</f>
        <v>07.2023</v>
      </c>
      <c r="AS607" s="331">
        <f>SUMIF(Consumo!$C$3:$C$862,tabItens[[#This Row],[CÓDIGO]],Consumo!$N$3:$N$862) + SUMIF(Consumo!$C$3:$C$862,tabItens[[#This Row],[CÓDIGO]],Consumo!$O$3:$O$862) + SUMIF(Consumo!$C$3:$C$862,tabItens[[#This Row],[CÓDIGO]],Consumo!$P$3:$P$862) + SUMIF(Consumo!$C$3:$C$862,tabItens[[#This Row],[CÓDIGO]],Consumo!$Q$3:$Q$862)</f>
        <v>39</v>
      </c>
      <c r="AT607" s="331">
        <f>SUMIF(Consumo!$C$3:$C$862,tabItens[[#This Row],[CÓDIGO]],Consumo!$Z$3:$Z$862)</f>
        <v>172</v>
      </c>
      <c r="AU607" s="332">
        <f>SUMIF(Consumo!$C$3:$C$862,tabItens[[#This Row],[CÓDIGO]],Consumo!$AA$3:$AA$862)</f>
        <v>31</v>
      </c>
      <c r="AV607" s="333">
        <f>SUMIF(Consumo!$C$3:$C$862,tabItens[[#This Row],[CÓDIGO]],Consumo!$Y$3:$Y$862)</f>
        <v>14.333333333333334</v>
      </c>
      <c r="AW607" s="306">
        <f>tabItens[[#This Row],[QTDE ATUAL]] + tabItens[[#This Row],[RC QTDE]] + tabItens[[#This Row],[AF SALDO]] + tabItens[[#This Row],[Recentes]]</f>
        <v>50</v>
      </c>
      <c r="AX607" s="334">
        <v>11</v>
      </c>
      <c r="AY607" s="334">
        <v>4</v>
      </c>
      <c r="AZ607" s="334">
        <f>IF(ISBLANK(tabItens[[#This Row],[CÓDIGO]]),"",tabItens[[#This Row],[PontoMês]] * (AZ$2+tabItens[[#This Row],[PontoQtM]]))</f>
        <v>44</v>
      </c>
      <c r="BA607" s="333">
        <f>tabItens[[#This Row],[PontoPed]] - tabItens[[#This Row],[Saldo]] + (1/10)</f>
        <v>-5.9</v>
      </c>
      <c r="BB607" s="333">
        <f xml:space="preserve"> tabItens[[#This Row],[PontoMês]] * BB$2 - tabItens[[#This Row],[QTDE ATUAL]] - (1/10)</f>
        <v>10.9</v>
      </c>
      <c r="BC607" s="335">
        <f>IF( tabItens[[#This Row],[PontoPed]]&gt;0, IF(tabItens[[#This Row],[PontoPed]]&lt;1, 1, IF( tabItens[[#This Row],[Saldo]]&gt;tabItens[[#This Row],[PontoPed]], 0, (tabItens[[#This Row],[PontoPed]]-tabItens[[#This Row],[Saldo]])/tabItens[[#This Row],[PontoPed]] ) ), 0 )</f>
        <v>0</v>
      </c>
      <c r="BD607" s="336">
        <f>ROUNDDOWN(IF( OR( AND(tabItens[[#This Row],[PontoPed]]&lt;tabItens[[#This Row],[Saldo]],tabItens[[#This Row],[Saldo]]&gt;0), tabItens[[#This Row],[PontoPed]]=0), 99, IF(AND(tabItens[[#This Row],[Saldo]]=0,tabItens[[#This Row],[PontoPed]]&gt;0), 0, (1-tabItens[[#This Row],[PctAb]])*10 ) ),0)</f>
        <v>99</v>
      </c>
      <c r="BE607" s="337">
        <f>MAX(ROUNDDOWN( IF(tabItens[[#This Row],[Abaixo]] &gt; 0,   tabItens[[#This Row],[Abaixo]] + (tabItens[[#This Row],[PontoMês]] * IF( OR( ISBLANK(tabItens[[#This Row],[ATA Nº/ANO]]), tabItens[[#This Row],[ATA Nº/ANO]] = ""),BE$2,BE$1)),0),0),0)</f>
        <v>0</v>
      </c>
      <c r="BF60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7" s="338">
        <f>SUMIF(Consumo!$C$3:$C$862,tabItens[[#This Row],[CÓDIGO]],Consumo!$E$3:$E$862)</f>
        <v>4</v>
      </c>
      <c r="BH607" s="339">
        <f>IF(AND(tabItens[[#This Row],[Pend]] &gt; 0,tabItens[[#This Row],[Consumo]] &lt;&gt; 0), tabItens[[#This Row],[Pend]] / tabItens[[#This Row],[Consumo]], 0 )</f>
        <v>2.3255813953488372E-2</v>
      </c>
      <c r="BI607" s="338"/>
      <c r="BJ607" s="338"/>
      <c r="BK607" s="340" t="s">
        <v>2086</v>
      </c>
    </row>
    <row r="608" spans="1:63" hidden="1" x14ac:dyDescent="0.3">
      <c r="A608" s="301">
        <v>131917</v>
      </c>
      <c r="B608" s="302" t="s">
        <v>1817</v>
      </c>
      <c r="C608" s="303" t="s">
        <v>31</v>
      </c>
      <c r="D608" s="304">
        <v>2.0699999999999998</v>
      </c>
      <c r="E608" s="305"/>
      <c r="F608" s="305"/>
      <c r="G608" s="305" t="s">
        <v>889</v>
      </c>
      <c r="H608" s="306">
        <v>3605</v>
      </c>
      <c r="I608" s="307">
        <v>103003</v>
      </c>
      <c r="J608" s="308">
        <v>2.0699999999999998</v>
      </c>
      <c r="K608" s="309">
        <v>8810</v>
      </c>
      <c r="L608" s="310">
        <f>IF(tabItens[[#This Row],[Média]] &gt; 0, tabItens[[#This Row],[QTDE ATUAL]] / tabItens[[#This Row],[Média]],999.9)</f>
        <v>6.4041450777202078</v>
      </c>
      <c r="M608" s="311">
        <v>0</v>
      </c>
      <c r="N608" s="312">
        <f>tabItens[[#This Row],[VALOR UNIT.]] * tabItens[[#This Row],[LC]]</f>
        <v>0</v>
      </c>
      <c r="O608" s="313"/>
      <c r="P608" s="314"/>
      <c r="Q608" s="315"/>
      <c r="R608" s="312"/>
      <c r="S608" s="316"/>
      <c r="T608" s="317">
        <f>ROUNDDOWN(IFERROR(tabItens[[#This Row],[ATA DT.VALID.]] - $D$1,0) / 30,0)</f>
        <v>-1474</v>
      </c>
      <c r="U608" s="302" t="s">
        <v>937</v>
      </c>
      <c r="V608" s="318">
        <v>1</v>
      </c>
      <c r="W608" s="319" t="s">
        <v>2074</v>
      </c>
      <c r="X608" s="320">
        <v>45</v>
      </c>
      <c r="Y608" s="321">
        <v>9</v>
      </c>
      <c r="Z608" s="322"/>
      <c r="AA608" s="323"/>
      <c r="AB608" s="324"/>
      <c r="AC608" s="324"/>
      <c r="AD608" s="323"/>
      <c r="AE608" s="324"/>
      <c r="AF608" s="317"/>
      <c r="AG608" s="325" t="s">
        <v>2072</v>
      </c>
      <c r="AH608" s="326"/>
      <c r="AI608" s="317">
        <v>3132</v>
      </c>
      <c r="AJ608" s="326">
        <v>44950</v>
      </c>
      <c r="AK608" s="326">
        <v>42590</v>
      </c>
      <c r="AL608" s="326">
        <v>44910</v>
      </c>
      <c r="AM608" s="316"/>
      <c r="AN608" s="305"/>
      <c r="AO608" s="327" t="str">
        <f>_xlfn.IFNA(IF(VLOOKUP(tabItens[[#This Row],[CÓDIGO]],tabExcluirDoEstoque[#Data],1,FALSE),"sim",""),"")</f>
        <v/>
      </c>
      <c r="AP608" s="328" t="str">
        <f ca="1">IF(OR(ISBLANK(tabItens[[#This Row],[ATA DT.VALID.]]),tabItens[[#This Row],[ATA DT.VALID.]]="",tabItens[[#This Row],[ATA DT.VALID.]]=" "),"",IF(TYPE(tabItens[[#This Row],[ATA DT.VALID.]])=1,ROUNDUP((tabItens[[#This Row],[ATA DT.VALID.]]-TODAY())/7,0),""))</f>
        <v/>
      </c>
      <c r="AQ608" s="329"/>
      <c r="AR608" s="330" t="str">
        <f>IF(ISBLANK(tabItens[[#This Row],[CÓDIGO]]),"",IFERROR(VLOOKUP(tabItens[[#This Row],[CÓDIGO]],Consumo!$C$2:$AC$862,26,FALSE),0))</f>
        <v>09.2023</v>
      </c>
      <c r="AS608" s="331">
        <f>SUMIF(Consumo!$C$3:$C$862,tabItens[[#This Row],[CÓDIGO]],Consumo!$N$3:$N$862) + SUMIF(Consumo!$C$3:$C$862,tabItens[[#This Row],[CÓDIGO]],Consumo!$O$3:$O$862) + SUMIF(Consumo!$C$3:$C$862,tabItens[[#This Row],[CÓDIGO]],Consumo!$P$3:$P$862) + SUMIF(Consumo!$C$3:$C$862,tabItens[[#This Row],[CÓDIGO]],Consumo!$Q$3:$Q$862)</f>
        <v>438</v>
      </c>
      <c r="AT608" s="331">
        <f>SUMIF(Consumo!$C$3:$C$862,tabItens[[#This Row],[CÓDIGO]],Consumo!$Z$3:$Z$862)</f>
        <v>9396</v>
      </c>
      <c r="AU608" s="332">
        <f>SUMIF(Consumo!$C$3:$C$862,tabItens[[#This Row],[CÓDIGO]],Consumo!$AA$3:$AA$862)</f>
        <v>7920</v>
      </c>
      <c r="AV608" s="333">
        <f>SUMIF(Consumo!$C$3:$C$862,tabItens[[#This Row],[CÓDIGO]],Consumo!$Y$3:$Y$862)</f>
        <v>562.91666666666663</v>
      </c>
      <c r="AW608" s="306">
        <f>tabItens[[#This Row],[QTDE ATUAL]] + tabItens[[#This Row],[RC QTDE]] + tabItens[[#This Row],[AF SALDO]] + tabItens[[#This Row],[Recentes]]</f>
        <v>3605</v>
      </c>
      <c r="AX608" s="334">
        <v>617</v>
      </c>
      <c r="AY608" s="334">
        <v>4</v>
      </c>
      <c r="AZ608" s="334">
        <f>IF(ISBLANK(tabItens[[#This Row],[CÓDIGO]]),"",tabItens[[#This Row],[PontoMês]] * (AZ$2+tabItens[[#This Row],[PontoQtM]]))</f>
        <v>2468</v>
      </c>
      <c r="BA608" s="333">
        <f>tabItens[[#This Row],[PontoPed]] - tabItens[[#This Row],[Saldo]] + (1/10)</f>
        <v>-1136.9000000000001</v>
      </c>
      <c r="BB608" s="333">
        <f xml:space="preserve"> tabItens[[#This Row],[PontoMês]] * BB$2 - tabItens[[#This Row],[QTDE ATUAL]] - (1/10)</f>
        <v>-2988.1</v>
      </c>
      <c r="BC608" s="335">
        <f>IF( tabItens[[#This Row],[PontoPed]]&gt;0, IF(tabItens[[#This Row],[PontoPed]]&lt;1, 1, IF( tabItens[[#This Row],[Saldo]]&gt;tabItens[[#This Row],[PontoPed]], 0, (tabItens[[#This Row],[PontoPed]]-tabItens[[#This Row],[Saldo]])/tabItens[[#This Row],[PontoPed]] ) ), 0 )</f>
        <v>0</v>
      </c>
      <c r="BD608" s="336">
        <f>ROUNDDOWN(IF( OR( AND(tabItens[[#This Row],[PontoPed]]&lt;tabItens[[#This Row],[Saldo]],tabItens[[#This Row],[Saldo]]&gt;0), tabItens[[#This Row],[PontoPed]]=0), 99, IF(AND(tabItens[[#This Row],[Saldo]]=0,tabItens[[#This Row],[PontoPed]]&gt;0), 0, (1-tabItens[[#This Row],[PctAb]])*10 ) ),0)</f>
        <v>99</v>
      </c>
      <c r="BE608" s="337">
        <f>MAX(ROUNDDOWN( IF(tabItens[[#This Row],[Abaixo]] &gt; 0,   tabItens[[#This Row],[Abaixo]] + (tabItens[[#This Row],[PontoMês]] * IF( OR( ISBLANK(tabItens[[#This Row],[ATA Nº/ANO]]), tabItens[[#This Row],[ATA Nº/ANO]] = ""),BE$2,BE$1)),0),0),0)</f>
        <v>0</v>
      </c>
      <c r="BF60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8" s="338">
        <f>SUMIF(Consumo!$C$3:$C$862,tabItens[[#This Row],[CÓDIGO]],Consumo!$E$3:$E$862)</f>
        <v>0</v>
      </c>
      <c r="BH608" s="339">
        <f>IF(AND(tabItens[[#This Row],[Pend]] &gt; 0,tabItens[[#This Row],[Consumo]] &lt;&gt; 0), tabItens[[#This Row],[Pend]] / tabItens[[#This Row],[Consumo]], 0 )</f>
        <v>0</v>
      </c>
      <c r="BI608" s="338"/>
      <c r="BJ608" s="338"/>
      <c r="BK608" s="340" t="s">
        <v>2086</v>
      </c>
    </row>
    <row r="609" spans="1:63" hidden="1" x14ac:dyDescent="0.3">
      <c r="A609" s="301">
        <v>131926</v>
      </c>
      <c r="B609" s="302" t="s">
        <v>1818</v>
      </c>
      <c r="C609" s="303" t="s">
        <v>31</v>
      </c>
      <c r="D609" s="304">
        <v>3.32</v>
      </c>
      <c r="E609" s="305"/>
      <c r="F609" s="305"/>
      <c r="G609" s="305" t="s">
        <v>889</v>
      </c>
      <c r="H609" s="306">
        <v>9434</v>
      </c>
      <c r="I609" s="307">
        <v>103003</v>
      </c>
      <c r="J609" s="308">
        <v>3.32</v>
      </c>
      <c r="K609" s="309">
        <v>2062</v>
      </c>
      <c r="L609" s="310">
        <f>IF(tabItens[[#This Row],[Média]] &gt; 0, tabItens[[#This Row],[QTDE ATUAL]] / tabItens[[#This Row],[Média]],999.9)</f>
        <v>41.559471365638764</v>
      </c>
      <c r="M609" s="311">
        <v>0</v>
      </c>
      <c r="N609" s="312">
        <f>tabItens[[#This Row],[VALOR UNIT.]] * tabItens[[#This Row],[LC]]</f>
        <v>0</v>
      </c>
      <c r="O609" s="313"/>
      <c r="P609" s="314"/>
      <c r="Q609" s="315"/>
      <c r="R609" s="312"/>
      <c r="S609" s="316"/>
      <c r="T609" s="317">
        <f>ROUNDDOWN(IFERROR(tabItens[[#This Row],[ATA DT.VALID.]] - $D$1,0) / 30,0)</f>
        <v>-1474</v>
      </c>
      <c r="U609" s="302" t="s">
        <v>937</v>
      </c>
      <c r="V609" s="318">
        <v>1</v>
      </c>
      <c r="W609" s="319" t="s">
        <v>2074</v>
      </c>
      <c r="X609" s="320">
        <v>45</v>
      </c>
      <c r="Y609" s="321">
        <v>9</v>
      </c>
      <c r="Z609" s="322"/>
      <c r="AA609" s="323"/>
      <c r="AB609" s="324"/>
      <c r="AC609" s="324"/>
      <c r="AD609" s="323"/>
      <c r="AE609" s="324"/>
      <c r="AF609" s="317"/>
      <c r="AG609" s="325" t="s">
        <v>2072</v>
      </c>
      <c r="AH609" s="326"/>
      <c r="AI609" s="317">
        <v>688</v>
      </c>
      <c r="AJ609" s="326">
        <v>45105</v>
      </c>
      <c r="AK609" s="326">
        <v>42590</v>
      </c>
      <c r="AL609" s="326">
        <v>45079</v>
      </c>
      <c r="AM609" s="316"/>
      <c r="AN609" s="305"/>
      <c r="AO609" s="327" t="str">
        <f>_xlfn.IFNA(IF(VLOOKUP(tabItens[[#This Row],[CÓDIGO]],tabExcluirDoEstoque[#Data],1,FALSE),"sim",""),"")</f>
        <v/>
      </c>
      <c r="AP609" s="328" t="str">
        <f ca="1">IF(OR(ISBLANK(tabItens[[#This Row],[ATA DT.VALID.]]),tabItens[[#This Row],[ATA DT.VALID.]]="",tabItens[[#This Row],[ATA DT.VALID.]]=" "),"",IF(TYPE(tabItens[[#This Row],[ATA DT.VALID.]])=1,ROUNDUP((tabItens[[#This Row],[ATA DT.VALID.]]-TODAY())/7,0),""))</f>
        <v/>
      </c>
      <c r="AQ609" s="329"/>
      <c r="AR609" s="330" t="str">
        <f>IF(ISBLANK(tabItens[[#This Row],[CÓDIGO]]),"",IFERROR(VLOOKUP(tabItens[[#This Row],[CÓDIGO]],Consumo!$C$2:$AC$862,26,FALSE),0))</f>
        <v>09.2023</v>
      </c>
      <c r="AS609" s="331">
        <f>SUMIF(Consumo!$C$3:$C$862,tabItens[[#This Row],[CÓDIGO]],Consumo!$N$3:$N$862) + SUMIF(Consumo!$C$3:$C$862,tabItens[[#This Row],[CÓDIGO]],Consumo!$O$3:$O$862) + SUMIF(Consumo!$C$3:$C$862,tabItens[[#This Row],[CÓDIGO]],Consumo!$P$3:$P$862) + SUMIF(Consumo!$C$3:$C$862,tabItens[[#This Row],[CÓDIGO]],Consumo!$Q$3:$Q$862)</f>
        <v>2004</v>
      </c>
      <c r="AT609" s="331">
        <f>SUMIF(Consumo!$C$3:$C$862,tabItens[[#This Row],[CÓDIGO]],Consumo!$Z$3:$Z$862)</f>
        <v>2724</v>
      </c>
      <c r="AU609" s="332">
        <f>SUMIF(Consumo!$C$3:$C$862,tabItens[[#This Row],[CÓDIGO]],Consumo!$AA$3:$AA$862)</f>
        <v>728</v>
      </c>
      <c r="AV609" s="333">
        <f>SUMIF(Consumo!$C$3:$C$862,tabItens[[#This Row],[CÓDIGO]],Consumo!$Y$3:$Y$862)</f>
        <v>227</v>
      </c>
      <c r="AW609" s="306">
        <f>tabItens[[#This Row],[QTDE ATUAL]] + tabItens[[#This Row],[RC QTDE]] + tabItens[[#This Row],[AF SALDO]] + tabItens[[#This Row],[Recentes]]</f>
        <v>9434</v>
      </c>
      <c r="AX609" s="334">
        <v>873</v>
      </c>
      <c r="AY609" s="334">
        <v>4</v>
      </c>
      <c r="AZ609" s="334">
        <f>IF(ISBLANK(tabItens[[#This Row],[CÓDIGO]]),"",tabItens[[#This Row],[PontoMês]] * (AZ$2+tabItens[[#This Row],[PontoQtM]]))</f>
        <v>3492</v>
      </c>
      <c r="BA609" s="333">
        <f>tabItens[[#This Row],[PontoPed]] - tabItens[[#This Row],[Saldo]] + (1/10)</f>
        <v>-5941.9</v>
      </c>
      <c r="BB609" s="333">
        <f xml:space="preserve"> tabItens[[#This Row],[PontoMês]] * BB$2 - tabItens[[#This Row],[QTDE ATUAL]] - (1/10)</f>
        <v>-8561.1</v>
      </c>
      <c r="BC609" s="335">
        <f>IF( tabItens[[#This Row],[PontoPed]]&gt;0, IF(tabItens[[#This Row],[PontoPed]]&lt;1, 1, IF( tabItens[[#This Row],[Saldo]]&gt;tabItens[[#This Row],[PontoPed]], 0, (tabItens[[#This Row],[PontoPed]]-tabItens[[#This Row],[Saldo]])/tabItens[[#This Row],[PontoPed]] ) ), 0 )</f>
        <v>0</v>
      </c>
      <c r="BD609" s="336">
        <f>ROUNDDOWN(IF( OR( AND(tabItens[[#This Row],[PontoPed]]&lt;tabItens[[#This Row],[Saldo]],tabItens[[#This Row],[Saldo]]&gt;0), tabItens[[#This Row],[PontoPed]]=0), 99, IF(AND(tabItens[[#This Row],[Saldo]]=0,tabItens[[#This Row],[PontoPed]]&gt;0), 0, (1-tabItens[[#This Row],[PctAb]])*10 ) ),0)</f>
        <v>99</v>
      </c>
      <c r="BE609" s="337">
        <f>MAX(ROUNDDOWN( IF(tabItens[[#This Row],[Abaixo]] &gt; 0,   tabItens[[#This Row],[Abaixo]] + (tabItens[[#This Row],[PontoMês]] * IF( OR( ISBLANK(tabItens[[#This Row],[ATA Nº/ANO]]), tabItens[[#This Row],[ATA Nº/ANO]] = ""),BE$2,BE$1)),0),0),0)</f>
        <v>0</v>
      </c>
      <c r="BF60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9" s="338">
        <f>SUMIF(Consumo!$C$3:$C$862,tabItens[[#This Row],[CÓDIGO]],Consumo!$E$3:$E$862)</f>
        <v>662</v>
      </c>
      <c r="BH609" s="339">
        <f>IF(AND(tabItens[[#This Row],[Pend]] &gt; 0,tabItens[[#This Row],[Consumo]] &lt;&gt; 0), tabItens[[#This Row],[Pend]] / tabItens[[#This Row],[Consumo]], 0 )</f>
        <v>0.24302496328928047</v>
      </c>
      <c r="BI609" s="338"/>
      <c r="BJ609" s="338"/>
      <c r="BK609" s="340" t="s">
        <v>2086</v>
      </c>
    </row>
    <row r="610" spans="1:63" hidden="1" x14ac:dyDescent="0.3">
      <c r="A610" s="301">
        <v>131927</v>
      </c>
      <c r="B610" s="302" t="s">
        <v>1819</v>
      </c>
      <c r="C610" s="303" t="s">
        <v>31</v>
      </c>
      <c r="D610" s="304">
        <v>1.19</v>
      </c>
      <c r="E610" s="305"/>
      <c r="F610" s="305"/>
      <c r="G610" s="305" t="s">
        <v>889</v>
      </c>
      <c r="H610" s="306">
        <v>0</v>
      </c>
      <c r="I610" s="307">
        <v>103003</v>
      </c>
      <c r="J610" s="308">
        <v>1.19</v>
      </c>
      <c r="K610" s="309">
        <v>5027</v>
      </c>
      <c r="L610" s="310">
        <f>IF(tabItens[[#This Row],[Média]] &gt; 0, tabItens[[#This Row],[QTDE ATUAL]] / tabItens[[#This Row],[Média]],999.9)</f>
        <v>0</v>
      </c>
      <c r="M610" s="311">
        <v>0</v>
      </c>
      <c r="N610" s="312">
        <f>tabItens[[#This Row],[VALOR UNIT.]] * tabItens[[#This Row],[LC]]</f>
        <v>0</v>
      </c>
      <c r="O610" s="313"/>
      <c r="P610" s="314"/>
      <c r="Q610" s="315"/>
      <c r="R610" s="312"/>
      <c r="S610" s="316"/>
      <c r="T610" s="317">
        <f>ROUNDDOWN(IFERROR(tabItens[[#This Row],[ATA DT.VALID.]] - $D$1,0) / 30,0)</f>
        <v>-1474</v>
      </c>
      <c r="U610" s="302" t="s">
        <v>937</v>
      </c>
      <c r="V610" s="318">
        <v>1</v>
      </c>
      <c r="W610" s="319" t="s">
        <v>2074</v>
      </c>
      <c r="X610" s="320">
        <v>45</v>
      </c>
      <c r="Y610" s="321">
        <v>9</v>
      </c>
      <c r="Z610" s="322"/>
      <c r="AA610" s="323"/>
      <c r="AB610" s="324"/>
      <c r="AC610" s="324"/>
      <c r="AD610" s="323"/>
      <c r="AE610" s="324"/>
      <c r="AF610" s="317"/>
      <c r="AG610" s="325" t="s">
        <v>2072</v>
      </c>
      <c r="AH610" s="326"/>
      <c r="AI610" s="317">
        <v>1706</v>
      </c>
      <c r="AJ610" s="326">
        <v>44608</v>
      </c>
      <c r="AK610" s="326">
        <v>42590</v>
      </c>
      <c r="AL610" s="326">
        <v>44551</v>
      </c>
      <c r="AM610" s="316"/>
      <c r="AN610" s="305"/>
      <c r="AO610" s="327" t="str">
        <f>_xlfn.IFNA(IF(VLOOKUP(tabItens[[#This Row],[CÓDIGO]],tabExcluirDoEstoque[#Data],1,FALSE),"sim",""),"")</f>
        <v/>
      </c>
      <c r="AP610" s="328" t="str">
        <f ca="1">IF(OR(ISBLANK(tabItens[[#This Row],[ATA DT.VALID.]]),tabItens[[#This Row],[ATA DT.VALID.]]="",tabItens[[#This Row],[ATA DT.VALID.]]=" "),"",IF(TYPE(tabItens[[#This Row],[ATA DT.VALID.]])=1,ROUNDUP((tabItens[[#This Row],[ATA DT.VALID.]]-TODAY())/7,0),""))</f>
        <v/>
      </c>
      <c r="AQ610" s="329"/>
      <c r="AR610" s="330" t="str">
        <f>IF(ISBLANK(tabItens[[#This Row],[CÓDIGO]]),"",IFERROR(VLOOKUP(tabItens[[#This Row],[CÓDIGO]],Consumo!$C$2:$AC$862,26,FALSE),0))</f>
        <v>06.2023</v>
      </c>
      <c r="AS610" s="331">
        <f>SUMIF(Consumo!$C$3:$C$862,tabItens[[#This Row],[CÓDIGO]],Consumo!$N$3:$N$862) + SUMIF(Consumo!$C$3:$C$862,tabItens[[#This Row],[CÓDIGO]],Consumo!$O$3:$O$862) + SUMIF(Consumo!$C$3:$C$862,tabItens[[#This Row],[CÓDIGO]],Consumo!$P$3:$P$862) + SUMIF(Consumo!$C$3:$C$862,tabItens[[#This Row],[CÓDIGO]],Consumo!$Q$3:$Q$862)</f>
        <v>76</v>
      </c>
      <c r="AT610" s="331">
        <f>SUMIF(Consumo!$C$3:$C$862,tabItens[[#This Row],[CÓDIGO]],Consumo!$Z$3:$Z$862)</f>
        <v>5613</v>
      </c>
      <c r="AU610" s="332">
        <f>SUMIF(Consumo!$C$3:$C$862,tabItens[[#This Row],[CÓDIGO]],Consumo!$AA$3:$AA$862)</f>
        <v>3575</v>
      </c>
      <c r="AV610" s="333">
        <f>SUMIF(Consumo!$C$3:$C$862,tabItens[[#This Row],[CÓDIGO]],Consumo!$Y$3:$Y$862)</f>
        <v>368.91666666666669</v>
      </c>
      <c r="AW610" s="306">
        <f>tabItens[[#This Row],[QTDE ATUAL]] + tabItens[[#This Row],[RC QTDE]] + tabItens[[#This Row],[AF SALDO]] + tabItens[[#This Row],[Recentes]]</f>
        <v>0</v>
      </c>
      <c r="AX610" s="334">
        <v>691</v>
      </c>
      <c r="AY610" s="334">
        <v>4</v>
      </c>
      <c r="AZ610" s="334">
        <f>IF(ISBLANK(tabItens[[#This Row],[CÓDIGO]]),"",tabItens[[#This Row],[PontoMês]] * (AZ$2+tabItens[[#This Row],[PontoQtM]]))</f>
        <v>2764</v>
      </c>
      <c r="BA610" s="333">
        <f>tabItens[[#This Row],[PontoPed]] - tabItens[[#This Row],[Saldo]] + (1/10)</f>
        <v>2764.1</v>
      </c>
      <c r="BB610" s="333">
        <f xml:space="preserve"> tabItens[[#This Row],[PontoMês]] * BB$2 - tabItens[[#This Row],[QTDE ATUAL]] - (1/10)</f>
        <v>690.9</v>
      </c>
      <c r="BC610" s="335">
        <f>IF( tabItens[[#This Row],[PontoPed]]&gt;0, IF(tabItens[[#This Row],[PontoPed]]&lt;1, 1, IF( tabItens[[#This Row],[Saldo]]&gt;tabItens[[#This Row],[PontoPed]], 0, (tabItens[[#This Row],[PontoPed]]-tabItens[[#This Row],[Saldo]])/tabItens[[#This Row],[PontoPed]] ) ), 0 )</f>
        <v>1</v>
      </c>
      <c r="BD610" s="336">
        <f>ROUNDDOWN(IF( OR( AND(tabItens[[#This Row],[PontoPed]]&lt;tabItens[[#This Row],[Saldo]],tabItens[[#This Row],[Saldo]]&gt;0), tabItens[[#This Row],[PontoPed]]=0), 99, IF(AND(tabItens[[#This Row],[Saldo]]=0,tabItens[[#This Row],[PontoPed]]&gt;0), 0, (1-tabItens[[#This Row],[PctAb]])*10 ) ),0)</f>
        <v>0</v>
      </c>
      <c r="BE610" s="337">
        <f>MAX(ROUNDDOWN( IF(tabItens[[#This Row],[Abaixo]] &gt; 0,   tabItens[[#This Row],[Abaixo]] + (tabItens[[#This Row],[PontoMês]] * IF( OR( ISBLANK(tabItens[[#This Row],[ATA Nº/ANO]]), tabItens[[#This Row],[ATA Nº/ANO]] = ""),BE$2,BE$1)),0),0),0)</f>
        <v>6910</v>
      </c>
      <c r="BF61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6910</v>
      </c>
      <c r="BG610" s="338">
        <f>SUMIF(Consumo!$C$3:$C$862,tabItens[[#This Row],[CÓDIGO]],Consumo!$E$3:$E$862)</f>
        <v>495</v>
      </c>
      <c r="BH610" s="339">
        <f>IF(AND(tabItens[[#This Row],[Pend]] &gt; 0,tabItens[[#This Row],[Consumo]] &lt;&gt; 0), tabItens[[#This Row],[Pend]] / tabItens[[#This Row],[Consumo]], 0 )</f>
        <v>8.8188134687332984E-2</v>
      </c>
      <c r="BI610" s="338"/>
      <c r="BJ610" s="338"/>
      <c r="BK610" s="340" t="s">
        <v>2086</v>
      </c>
    </row>
    <row r="611" spans="1:63" hidden="1" x14ac:dyDescent="0.3">
      <c r="A611" s="301">
        <v>131930</v>
      </c>
      <c r="B611" s="302" t="s">
        <v>1820</v>
      </c>
      <c r="C611" s="303" t="s">
        <v>31</v>
      </c>
      <c r="D611" s="304">
        <v>5.18</v>
      </c>
      <c r="E611" s="305"/>
      <c r="F611" s="305"/>
      <c r="G611" s="305" t="s">
        <v>889</v>
      </c>
      <c r="H611" s="306">
        <v>8272</v>
      </c>
      <c r="I611" s="307">
        <v>103003</v>
      </c>
      <c r="J611" s="308">
        <v>4.4969000000000001</v>
      </c>
      <c r="K611" s="309">
        <v>11167</v>
      </c>
      <c r="L611" s="310">
        <f>IF(tabItens[[#This Row],[Média]] &gt; 0, tabItens[[#This Row],[QTDE ATUAL]] / tabItens[[#This Row],[Média]],999.9)</f>
        <v>6.3979374798582009</v>
      </c>
      <c r="M611" s="311">
        <v>0</v>
      </c>
      <c r="N611" s="312">
        <f>tabItens[[#This Row],[VALOR UNIT.]] * tabItens[[#This Row],[LC]]</f>
        <v>0</v>
      </c>
      <c r="O611" s="313"/>
      <c r="P611" s="314"/>
      <c r="Q611" s="315"/>
      <c r="R611" s="312"/>
      <c r="S611" s="316"/>
      <c r="T611" s="317">
        <f>ROUNDDOWN(IFERROR(tabItens[[#This Row],[ATA DT.VALID.]] - $D$1,0) / 30,0)</f>
        <v>-1474</v>
      </c>
      <c r="U611" s="302" t="s">
        <v>937</v>
      </c>
      <c r="V611" s="318">
        <v>1</v>
      </c>
      <c r="W611" s="319" t="s">
        <v>2074</v>
      </c>
      <c r="X611" s="320">
        <v>45</v>
      </c>
      <c r="Y611" s="321">
        <v>9</v>
      </c>
      <c r="Z611" s="322"/>
      <c r="AA611" s="323"/>
      <c r="AB611" s="324"/>
      <c r="AC611" s="324"/>
      <c r="AD611" s="323"/>
      <c r="AE611" s="324"/>
      <c r="AF611" s="317"/>
      <c r="AG611" s="325" t="s">
        <v>2072</v>
      </c>
      <c r="AH611" s="326"/>
      <c r="AI611" s="317">
        <v>5568</v>
      </c>
      <c r="AJ611" s="326">
        <v>44998</v>
      </c>
      <c r="AK611" s="326">
        <v>42590</v>
      </c>
      <c r="AL611" s="326">
        <v>44986</v>
      </c>
      <c r="AM611" s="316"/>
      <c r="AN611" s="305"/>
      <c r="AO611" s="327" t="str">
        <f>_xlfn.IFNA(IF(VLOOKUP(tabItens[[#This Row],[CÓDIGO]],tabExcluirDoEstoque[#Data],1,FALSE),"sim",""),"")</f>
        <v/>
      </c>
      <c r="AP611" s="328" t="str">
        <f ca="1">IF(OR(ISBLANK(tabItens[[#This Row],[ATA DT.VALID.]]),tabItens[[#This Row],[ATA DT.VALID.]]="",tabItens[[#This Row],[ATA DT.VALID.]]=" "),"",IF(TYPE(tabItens[[#This Row],[ATA DT.VALID.]])=1,ROUNDUP((tabItens[[#This Row],[ATA DT.VALID.]]-TODAY())/7,0),""))</f>
        <v/>
      </c>
      <c r="AQ611" s="329"/>
      <c r="AR611" s="330" t="str">
        <f>IF(ISBLANK(tabItens[[#This Row],[CÓDIGO]]),"",IFERROR(VLOOKUP(tabItens[[#This Row],[CÓDIGO]],Consumo!$C$2:$AC$862,26,FALSE),0))</f>
        <v>09.2023</v>
      </c>
      <c r="AS611" s="331">
        <f>SUMIF(Consumo!$C$3:$C$862,tabItens[[#This Row],[CÓDIGO]],Consumo!$N$3:$N$862) + SUMIF(Consumo!$C$3:$C$862,tabItens[[#This Row],[CÓDIGO]],Consumo!$O$3:$O$862) + SUMIF(Consumo!$C$3:$C$862,tabItens[[#This Row],[CÓDIGO]],Consumo!$P$3:$P$862) + SUMIF(Consumo!$C$3:$C$862,tabItens[[#This Row],[CÓDIGO]],Consumo!$Q$3:$Q$862)</f>
        <v>4738</v>
      </c>
      <c r="AT611" s="331">
        <f>SUMIF(Consumo!$C$3:$C$862,tabItens[[#This Row],[CÓDIGO]],Consumo!$Z$3:$Z$862)</f>
        <v>16777</v>
      </c>
      <c r="AU611" s="332">
        <f>SUMIF(Consumo!$C$3:$C$862,tabItens[[#This Row],[CÓDIGO]],Consumo!$AA$3:$AA$862)</f>
        <v>5008</v>
      </c>
      <c r="AV611" s="333">
        <f>SUMIF(Consumo!$C$3:$C$862,tabItens[[#This Row],[CÓDIGO]],Consumo!$Y$3:$Y$862)</f>
        <v>1292.9166666666667</v>
      </c>
      <c r="AW611" s="306">
        <f>tabItens[[#This Row],[QTDE ATUAL]] + tabItens[[#This Row],[RC QTDE]] + tabItens[[#This Row],[AF SALDO]] + tabItens[[#This Row],[Recentes]]</f>
        <v>8272</v>
      </c>
      <c r="AX611" s="334">
        <v>1008</v>
      </c>
      <c r="AY611" s="334">
        <v>4</v>
      </c>
      <c r="AZ611" s="334">
        <f>IF(ISBLANK(tabItens[[#This Row],[CÓDIGO]]),"",tabItens[[#This Row],[PontoMês]] * (AZ$2+tabItens[[#This Row],[PontoQtM]]))</f>
        <v>4032</v>
      </c>
      <c r="BA611" s="333">
        <f>tabItens[[#This Row],[PontoPed]] - tabItens[[#This Row],[Saldo]] + (1/10)</f>
        <v>-4239.8999999999996</v>
      </c>
      <c r="BB611" s="333">
        <f xml:space="preserve"> tabItens[[#This Row],[PontoMês]] * BB$2 - tabItens[[#This Row],[QTDE ATUAL]] - (1/10)</f>
        <v>-7264.1</v>
      </c>
      <c r="BC611" s="335">
        <f>IF( tabItens[[#This Row],[PontoPed]]&gt;0, IF(tabItens[[#This Row],[PontoPed]]&lt;1, 1, IF( tabItens[[#This Row],[Saldo]]&gt;tabItens[[#This Row],[PontoPed]], 0, (tabItens[[#This Row],[PontoPed]]-tabItens[[#This Row],[Saldo]])/tabItens[[#This Row],[PontoPed]] ) ), 0 )</f>
        <v>0</v>
      </c>
      <c r="BD611" s="336">
        <f>ROUNDDOWN(IF( OR( AND(tabItens[[#This Row],[PontoPed]]&lt;tabItens[[#This Row],[Saldo]],tabItens[[#This Row],[Saldo]]&gt;0), tabItens[[#This Row],[PontoPed]]=0), 99, IF(AND(tabItens[[#This Row],[Saldo]]=0,tabItens[[#This Row],[PontoPed]]&gt;0), 0, (1-tabItens[[#This Row],[PctAb]])*10 ) ),0)</f>
        <v>99</v>
      </c>
      <c r="BE611" s="337">
        <f>MAX(ROUNDDOWN( IF(tabItens[[#This Row],[Abaixo]] &gt; 0,   tabItens[[#This Row],[Abaixo]] + (tabItens[[#This Row],[PontoMês]] * IF( OR( ISBLANK(tabItens[[#This Row],[ATA Nº/ANO]]), tabItens[[#This Row],[ATA Nº/ANO]] = ""),BE$2,BE$1)),0),0),0)</f>
        <v>0</v>
      </c>
      <c r="BF61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1" s="338">
        <f>SUMIF(Consumo!$C$3:$C$862,tabItens[[#This Row],[CÓDIGO]],Consumo!$E$3:$E$862)</f>
        <v>72</v>
      </c>
      <c r="BH611" s="339">
        <f>IF(AND(tabItens[[#This Row],[Pend]] &gt; 0,tabItens[[#This Row],[Consumo]] &lt;&gt; 0), tabItens[[#This Row],[Pend]] / tabItens[[#This Row],[Consumo]], 0 )</f>
        <v>4.2915896763426123E-3</v>
      </c>
      <c r="BI611" s="338"/>
      <c r="BJ611" s="338"/>
      <c r="BK611" s="340" t="s">
        <v>2086</v>
      </c>
    </row>
    <row r="612" spans="1:63" hidden="1" x14ac:dyDescent="0.3">
      <c r="A612" s="301">
        <v>131935</v>
      </c>
      <c r="B612" s="302" t="s">
        <v>1821</v>
      </c>
      <c r="C612" s="303" t="s">
        <v>31</v>
      </c>
      <c r="D612" s="304">
        <v>2.56</v>
      </c>
      <c r="E612" s="305"/>
      <c r="F612" s="305"/>
      <c r="G612" s="305" t="s">
        <v>889</v>
      </c>
      <c r="H612" s="306">
        <v>2297</v>
      </c>
      <c r="I612" s="307">
        <v>103003</v>
      </c>
      <c r="J612" s="308">
        <v>2.56</v>
      </c>
      <c r="K612" s="309">
        <v>7280</v>
      </c>
      <c r="L612" s="310">
        <f>IF(tabItens[[#This Row],[Média]] &gt; 0, tabItens[[#This Row],[QTDE ATUAL]] / tabItens[[#This Row],[Média]],999.9)</f>
        <v>5.1129660545353364</v>
      </c>
      <c r="M612" s="311">
        <v>0</v>
      </c>
      <c r="N612" s="312">
        <f>tabItens[[#This Row],[VALOR UNIT.]] * tabItens[[#This Row],[LC]]</f>
        <v>0</v>
      </c>
      <c r="O612" s="313"/>
      <c r="P612" s="314"/>
      <c r="Q612" s="315"/>
      <c r="R612" s="312"/>
      <c r="S612" s="316"/>
      <c r="T612" s="317">
        <f>ROUNDDOWN(IFERROR(tabItens[[#This Row],[ATA DT.VALID.]] - $D$1,0) / 30,0)</f>
        <v>-1474</v>
      </c>
      <c r="U612" s="302" t="s">
        <v>937</v>
      </c>
      <c r="V612" s="318">
        <v>1</v>
      </c>
      <c r="W612" s="319" t="s">
        <v>2074</v>
      </c>
      <c r="X612" s="320">
        <v>45</v>
      </c>
      <c r="Y612" s="321">
        <v>9</v>
      </c>
      <c r="Z612" s="322"/>
      <c r="AA612" s="323"/>
      <c r="AB612" s="324"/>
      <c r="AC612" s="324"/>
      <c r="AD612" s="323"/>
      <c r="AE612" s="324"/>
      <c r="AF612" s="317"/>
      <c r="AG612" s="325" t="s">
        <v>2072</v>
      </c>
      <c r="AH612" s="326"/>
      <c r="AI612" s="317">
        <v>2542</v>
      </c>
      <c r="AJ612" s="326">
        <v>44950</v>
      </c>
      <c r="AK612" s="326">
        <v>42590</v>
      </c>
      <c r="AL612" s="326">
        <v>44910</v>
      </c>
      <c r="AM612" s="316"/>
      <c r="AN612" s="305"/>
      <c r="AO612" s="327" t="str">
        <f>_xlfn.IFNA(IF(VLOOKUP(tabItens[[#This Row],[CÓDIGO]],tabExcluirDoEstoque[#Data],1,FALSE),"sim",""),"")</f>
        <v/>
      </c>
      <c r="AP612" s="328" t="str">
        <f ca="1">IF(OR(ISBLANK(tabItens[[#This Row],[ATA DT.VALID.]]),tabItens[[#This Row],[ATA DT.VALID.]]="",tabItens[[#This Row],[ATA DT.VALID.]]=" "),"",IF(TYPE(tabItens[[#This Row],[ATA DT.VALID.]])=1,ROUNDUP((tabItens[[#This Row],[ATA DT.VALID.]]-TODAY())/7,0),""))</f>
        <v/>
      </c>
      <c r="AQ612" s="329"/>
      <c r="AR612" s="330" t="str">
        <f>IF(ISBLANK(tabItens[[#This Row],[CÓDIGO]]),"",IFERROR(VLOOKUP(tabItens[[#This Row],[CÓDIGO]],Consumo!$C$2:$AC$862,26,FALSE),0))</f>
        <v>09.2023</v>
      </c>
      <c r="AS612" s="331">
        <f>SUMIF(Consumo!$C$3:$C$862,tabItens[[#This Row],[CÓDIGO]],Consumo!$N$3:$N$862) + SUMIF(Consumo!$C$3:$C$862,tabItens[[#This Row],[CÓDIGO]],Consumo!$O$3:$O$862) + SUMIF(Consumo!$C$3:$C$862,tabItens[[#This Row],[CÓDIGO]],Consumo!$P$3:$P$862) + SUMIF(Consumo!$C$3:$C$862,tabItens[[#This Row],[CÓDIGO]],Consumo!$Q$3:$Q$862)</f>
        <v>394</v>
      </c>
      <c r="AT612" s="331">
        <f>SUMIF(Consumo!$C$3:$C$862,tabItens[[#This Row],[CÓDIGO]],Consumo!$Z$3:$Z$862)</f>
        <v>7696</v>
      </c>
      <c r="AU612" s="332">
        <f>SUMIF(Consumo!$C$3:$C$862,tabItens[[#This Row],[CÓDIGO]],Consumo!$AA$3:$AA$862)</f>
        <v>6500</v>
      </c>
      <c r="AV612" s="333">
        <f>SUMIF(Consumo!$C$3:$C$862,tabItens[[#This Row],[CÓDIGO]],Consumo!$Y$3:$Y$862)</f>
        <v>449.25</v>
      </c>
      <c r="AW612" s="306">
        <f>tabItens[[#This Row],[QTDE ATUAL]] + tabItens[[#This Row],[RC QTDE]] + tabItens[[#This Row],[AF SALDO]] + tabItens[[#This Row],[Recentes]]</f>
        <v>2297</v>
      </c>
      <c r="AX612" s="334">
        <v>834</v>
      </c>
      <c r="AY612" s="334">
        <v>4</v>
      </c>
      <c r="AZ612" s="334">
        <f>IF(ISBLANK(tabItens[[#This Row],[CÓDIGO]]),"",tabItens[[#This Row],[PontoMês]] * (AZ$2+tabItens[[#This Row],[PontoQtM]]))</f>
        <v>3336</v>
      </c>
      <c r="BA612" s="333">
        <f>tabItens[[#This Row],[PontoPed]] - tabItens[[#This Row],[Saldo]] + (1/10)</f>
        <v>1039.0999999999999</v>
      </c>
      <c r="BB612" s="333">
        <f xml:space="preserve"> tabItens[[#This Row],[PontoMês]] * BB$2 - tabItens[[#This Row],[QTDE ATUAL]] - (1/10)</f>
        <v>-1463.1</v>
      </c>
      <c r="BC612" s="335">
        <f>IF( tabItens[[#This Row],[PontoPed]]&gt;0, IF(tabItens[[#This Row],[PontoPed]]&lt;1, 1, IF( tabItens[[#This Row],[Saldo]]&gt;tabItens[[#This Row],[PontoPed]], 0, (tabItens[[#This Row],[PontoPed]]-tabItens[[#This Row],[Saldo]])/tabItens[[#This Row],[PontoPed]] ) ), 0 )</f>
        <v>0.31145083932853718</v>
      </c>
      <c r="BD612" s="336">
        <f>ROUNDDOWN(IF( OR( AND(tabItens[[#This Row],[PontoPed]]&lt;tabItens[[#This Row],[Saldo]],tabItens[[#This Row],[Saldo]]&gt;0), tabItens[[#This Row],[PontoPed]]=0), 99, IF(AND(tabItens[[#This Row],[Saldo]]=0,tabItens[[#This Row],[PontoPed]]&gt;0), 0, (1-tabItens[[#This Row],[PctAb]])*10 ) ),0)</f>
        <v>6</v>
      </c>
      <c r="BE612" s="337">
        <f>MAX(ROUNDDOWN( IF(tabItens[[#This Row],[Abaixo]] &gt; 0,   tabItens[[#This Row],[Abaixo]] + (tabItens[[#This Row],[PontoMês]] * IF( OR( ISBLANK(tabItens[[#This Row],[ATA Nº/ANO]]), tabItens[[#This Row],[ATA Nº/ANO]] = ""),BE$2,BE$1)),0),0),0)</f>
        <v>6043</v>
      </c>
      <c r="BF61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6043</v>
      </c>
      <c r="BG612" s="338">
        <f>SUMIF(Consumo!$C$3:$C$862,tabItens[[#This Row],[CÓDIGO]],Consumo!$E$3:$E$862)</f>
        <v>70</v>
      </c>
      <c r="BH612" s="339">
        <f>IF(AND(tabItens[[#This Row],[Pend]] &gt; 0,tabItens[[#This Row],[Consumo]] &lt;&gt; 0), tabItens[[#This Row],[Pend]] / tabItens[[#This Row],[Consumo]], 0 )</f>
        <v>9.0956340956340961E-3</v>
      </c>
      <c r="BI612" s="338"/>
      <c r="BJ612" s="338"/>
      <c r="BK612" s="340" t="s">
        <v>2086</v>
      </c>
    </row>
    <row r="613" spans="1:63" hidden="1" x14ac:dyDescent="0.3">
      <c r="A613" s="301">
        <v>131937</v>
      </c>
      <c r="B613" s="302" t="s">
        <v>1822</v>
      </c>
      <c r="C613" s="303" t="s">
        <v>31</v>
      </c>
      <c r="D613" s="304">
        <v>3.4</v>
      </c>
      <c r="E613" s="305"/>
      <c r="F613" s="305"/>
      <c r="G613" s="305" t="s">
        <v>889</v>
      </c>
      <c r="H613" s="306">
        <v>13</v>
      </c>
      <c r="I613" s="307">
        <v>103003</v>
      </c>
      <c r="J613" s="308">
        <v>3.4</v>
      </c>
      <c r="K613" s="309">
        <v>3971</v>
      </c>
      <c r="L613" s="310">
        <f>IF(tabItens[[#This Row],[Média]] &gt; 0, tabItens[[#This Row],[QTDE ATUAL]] / tabItens[[#This Row],[Média]],999.9)</f>
        <v>4.4776119402985079E-2</v>
      </c>
      <c r="M613" s="311">
        <v>0</v>
      </c>
      <c r="N613" s="312">
        <f>tabItens[[#This Row],[VALOR UNIT.]] * tabItens[[#This Row],[LC]]</f>
        <v>0</v>
      </c>
      <c r="O613" s="313"/>
      <c r="P613" s="314"/>
      <c r="Q613" s="315"/>
      <c r="R613" s="312"/>
      <c r="S613" s="316"/>
      <c r="T613" s="317">
        <f>ROUNDDOWN(IFERROR(tabItens[[#This Row],[ATA DT.VALID.]] - $D$1,0) / 30,0)</f>
        <v>-1474</v>
      </c>
      <c r="U613" s="302" t="s">
        <v>937</v>
      </c>
      <c r="V613" s="318">
        <v>1</v>
      </c>
      <c r="W613" s="319" t="s">
        <v>2074</v>
      </c>
      <c r="X613" s="320">
        <v>45</v>
      </c>
      <c r="Y613" s="321">
        <v>9</v>
      </c>
      <c r="Z613" s="322">
        <v>6978</v>
      </c>
      <c r="AA613" s="323">
        <v>2023</v>
      </c>
      <c r="AB613" s="324">
        <v>1300</v>
      </c>
      <c r="AC613" s="324"/>
      <c r="AD613" s="323"/>
      <c r="AE613" s="324"/>
      <c r="AF613" s="317"/>
      <c r="AG613" s="325" t="s">
        <v>2072</v>
      </c>
      <c r="AH613" s="326"/>
      <c r="AI613" s="317">
        <v>1522</v>
      </c>
      <c r="AJ613" s="326">
        <v>44952</v>
      </c>
      <c r="AK613" s="326">
        <v>42590</v>
      </c>
      <c r="AL613" s="326">
        <v>44910</v>
      </c>
      <c r="AM613" s="316"/>
      <c r="AN613" s="305"/>
      <c r="AO613" s="327" t="str">
        <f>_xlfn.IFNA(IF(VLOOKUP(tabItens[[#This Row],[CÓDIGO]],tabExcluirDoEstoque[#Data],1,FALSE),"sim",""),"")</f>
        <v/>
      </c>
      <c r="AP613" s="328" t="str">
        <f ca="1">IF(OR(ISBLANK(tabItens[[#This Row],[ATA DT.VALID.]]),tabItens[[#This Row],[ATA DT.VALID.]]="",tabItens[[#This Row],[ATA DT.VALID.]]=" "),"",IF(TYPE(tabItens[[#This Row],[ATA DT.VALID.]])=1,ROUNDUP((tabItens[[#This Row],[ATA DT.VALID.]]-TODAY())/7,0),""))</f>
        <v/>
      </c>
      <c r="AQ613" s="329"/>
      <c r="AR613" s="330" t="str">
        <f>IF(ISBLANK(tabItens[[#This Row],[CÓDIGO]]),"",IFERROR(VLOOKUP(tabItens[[#This Row],[CÓDIGO]],Consumo!$C$2:$AC$862,26,FALSE),0))</f>
        <v>09.2023</v>
      </c>
      <c r="AS613" s="331">
        <f>SUMIF(Consumo!$C$3:$C$862,tabItens[[#This Row],[CÓDIGO]],Consumo!$N$3:$N$862) + SUMIF(Consumo!$C$3:$C$862,tabItens[[#This Row],[CÓDIGO]],Consumo!$O$3:$O$862) + SUMIF(Consumo!$C$3:$C$862,tabItens[[#This Row],[CÓDIGO]],Consumo!$P$3:$P$862) + SUMIF(Consumo!$C$3:$C$862,tabItens[[#This Row],[CÓDIGO]],Consumo!$Q$3:$Q$862)</f>
        <v>450</v>
      </c>
      <c r="AT613" s="331">
        <f>SUMIF(Consumo!$C$3:$C$862,tabItens[[#This Row],[CÓDIGO]],Consumo!$Z$3:$Z$862)</f>
        <v>4589</v>
      </c>
      <c r="AU613" s="332">
        <f>SUMIF(Consumo!$C$3:$C$862,tabItens[[#This Row],[CÓDIGO]],Consumo!$AA$3:$AA$862)</f>
        <v>3200</v>
      </c>
      <c r="AV613" s="333">
        <f>SUMIF(Consumo!$C$3:$C$862,tabItens[[#This Row],[CÓDIGO]],Consumo!$Y$3:$Y$862)</f>
        <v>290.33333333333331</v>
      </c>
      <c r="AW613" s="306">
        <f>tabItens[[#This Row],[QTDE ATUAL]] + tabItens[[#This Row],[RC QTDE]] + tabItens[[#This Row],[AF SALDO]] + tabItens[[#This Row],[Recentes]]</f>
        <v>1313</v>
      </c>
      <c r="AX613" s="334">
        <v>304</v>
      </c>
      <c r="AY613" s="334">
        <v>4</v>
      </c>
      <c r="AZ613" s="334">
        <f>IF(ISBLANK(tabItens[[#This Row],[CÓDIGO]]),"",tabItens[[#This Row],[PontoMês]] * (AZ$2+tabItens[[#This Row],[PontoQtM]]))</f>
        <v>1216</v>
      </c>
      <c r="BA613" s="333">
        <f>tabItens[[#This Row],[PontoPed]] - tabItens[[#This Row],[Saldo]] + (1/10)</f>
        <v>-96.9</v>
      </c>
      <c r="BB613" s="333">
        <f xml:space="preserve"> tabItens[[#This Row],[PontoMês]] * BB$2 - tabItens[[#This Row],[QTDE ATUAL]] - (1/10)</f>
        <v>290.89999999999998</v>
      </c>
      <c r="BC613" s="335">
        <f>IF( tabItens[[#This Row],[PontoPed]]&gt;0, IF(tabItens[[#This Row],[PontoPed]]&lt;1, 1, IF( tabItens[[#This Row],[Saldo]]&gt;tabItens[[#This Row],[PontoPed]], 0, (tabItens[[#This Row],[PontoPed]]-tabItens[[#This Row],[Saldo]])/tabItens[[#This Row],[PontoPed]] ) ), 0 )</f>
        <v>0</v>
      </c>
      <c r="BD613" s="336">
        <f>ROUNDDOWN(IF( OR( AND(tabItens[[#This Row],[PontoPed]]&lt;tabItens[[#This Row],[Saldo]],tabItens[[#This Row],[Saldo]]&gt;0), tabItens[[#This Row],[PontoPed]]=0), 99, IF(AND(tabItens[[#This Row],[Saldo]]=0,tabItens[[#This Row],[PontoPed]]&gt;0), 0, (1-tabItens[[#This Row],[PctAb]])*10 ) ),0)</f>
        <v>99</v>
      </c>
      <c r="BE613" s="337">
        <f>MAX(ROUNDDOWN( IF(tabItens[[#This Row],[Abaixo]] &gt; 0,   tabItens[[#This Row],[Abaixo]] + (tabItens[[#This Row],[PontoMês]] * IF( OR( ISBLANK(tabItens[[#This Row],[ATA Nº/ANO]]), tabItens[[#This Row],[ATA Nº/ANO]] = ""),BE$2,BE$1)),0),0),0)</f>
        <v>0</v>
      </c>
      <c r="BF61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3" s="338">
        <f>SUMIF(Consumo!$C$3:$C$862,tabItens[[#This Row],[CÓDIGO]],Consumo!$E$3:$E$862)</f>
        <v>59</v>
      </c>
      <c r="BH613" s="339">
        <f>IF(AND(tabItens[[#This Row],[Pend]] &gt; 0,tabItens[[#This Row],[Consumo]] &lt;&gt; 0), tabItens[[#This Row],[Pend]] / tabItens[[#This Row],[Consumo]], 0 )</f>
        <v>1.2856831553715406E-2</v>
      </c>
      <c r="BI613" s="338"/>
      <c r="BJ613" s="338"/>
      <c r="BK613" s="340" t="s">
        <v>2086</v>
      </c>
    </row>
    <row r="614" spans="1:63" hidden="1" x14ac:dyDescent="0.3">
      <c r="A614" s="301">
        <v>135297</v>
      </c>
      <c r="B614" s="302" t="s">
        <v>1910</v>
      </c>
      <c r="C614" s="303" t="s">
        <v>269</v>
      </c>
      <c r="D614" s="304">
        <v>9.1199999999999992</v>
      </c>
      <c r="E614" s="305"/>
      <c r="F614" s="305"/>
      <c r="G614" s="305" t="s">
        <v>889</v>
      </c>
      <c r="H614" s="306">
        <v>1472</v>
      </c>
      <c r="I614" s="307">
        <v>103003</v>
      </c>
      <c r="J614" s="308">
        <v>9.1199999999999992</v>
      </c>
      <c r="K614" s="309">
        <v>13614</v>
      </c>
      <c r="L614" s="310">
        <f>IF(tabItens[[#This Row],[Média]] &gt; 0, tabItens[[#This Row],[QTDE ATUAL]] / tabItens[[#This Row],[Média]],999.9)</f>
        <v>1.8767530811729707</v>
      </c>
      <c r="M614" s="311">
        <v>0</v>
      </c>
      <c r="N614" s="312">
        <f>tabItens[[#This Row],[VALOR UNIT.]] * tabItens[[#This Row],[LC]]</f>
        <v>0</v>
      </c>
      <c r="O614" s="313"/>
      <c r="P614" s="314"/>
      <c r="Q614" s="315"/>
      <c r="R614" s="312"/>
      <c r="S614" s="316"/>
      <c r="T614" s="317">
        <f>ROUNDDOWN(IFERROR(tabItens[[#This Row],[ATA DT.VALID.]] - $D$1,0) / 30,0)</f>
        <v>-1474</v>
      </c>
      <c r="U614" s="302" t="s">
        <v>937</v>
      </c>
      <c r="V614" s="318">
        <v>1</v>
      </c>
      <c r="W614" s="319" t="s">
        <v>2074</v>
      </c>
      <c r="X614" s="320">
        <v>45</v>
      </c>
      <c r="Y614" s="321">
        <v>9</v>
      </c>
      <c r="Z614" s="322"/>
      <c r="AA614" s="323"/>
      <c r="AB614" s="324"/>
      <c r="AC614" s="324"/>
      <c r="AD614" s="323"/>
      <c r="AE614" s="324"/>
      <c r="AF614" s="317"/>
      <c r="AG614" s="325" t="s">
        <v>2072</v>
      </c>
      <c r="AH614" s="326"/>
      <c r="AI614" s="317">
        <v>4674</v>
      </c>
      <c r="AJ614" s="326">
        <v>44991</v>
      </c>
      <c r="AK614" s="326">
        <v>43277</v>
      </c>
      <c r="AL614" s="326">
        <v>44959</v>
      </c>
      <c r="AM614" s="316"/>
      <c r="AN614" s="305"/>
      <c r="AO614" s="327" t="str">
        <f>_xlfn.IFNA(IF(VLOOKUP(tabItens[[#This Row],[CÓDIGO]],tabExcluirDoEstoque[#Data],1,FALSE),"sim",""),"")</f>
        <v/>
      </c>
      <c r="AP614" s="328" t="str">
        <f ca="1">IF(OR(ISBLANK(tabItens[[#This Row],[ATA DT.VALID.]]),tabItens[[#This Row],[ATA DT.VALID.]]="",tabItens[[#This Row],[ATA DT.VALID.]]=" "),"",IF(TYPE(tabItens[[#This Row],[ATA DT.VALID.]])=1,ROUNDUP((tabItens[[#This Row],[ATA DT.VALID.]]-TODAY())/7,0),""))</f>
        <v/>
      </c>
      <c r="AQ614" s="329"/>
      <c r="AR614" s="330" t="str">
        <f>IF(ISBLANK(tabItens[[#This Row],[CÓDIGO]]),"",IFERROR(VLOOKUP(tabItens[[#This Row],[CÓDIGO]],Consumo!$C$2:$AC$862,26,FALSE),0))</f>
        <v>09.2023</v>
      </c>
      <c r="AS614" s="331">
        <f>SUMIF(Consumo!$C$3:$C$862,tabItens[[#This Row],[CÓDIGO]],Consumo!$N$3:$N$862) + SUMIF(Consumo!$C$3:$C$862,tabItens[[#This Row],[CÓDIGO]],Consumo!$O$3:$O$862) + SUMIF(Consumo!$C$3:$C$862,tabItens[[#This Row],[CÓDIGO]],Consumo!$P$3:$P$862) + SUMIF(Consumo!$C$3:$C$862,tabItens[[#This Row],[CÓDIGO]],Consumo!$Q$3:$Q$862)</f>
        <v>493</v>
      </c>
      <c r="AT614" s="331">
        <f>SUMIF(Consumo!$C$3:$C$862,tabItens[[#This Row],[CÓDIGO]],Consumo!$Z$3:$Z$862)</f>
        <v>14049</v>
      </c>
      <c r="AU614" s="332">
        <f>SUMIF(Consumo!$C$3:$C$862,tabItens[[#This Row],[CÓDIGO]],Consumo!$AA$3:$AA$862)</f>
        <v>12925</v>
      </c>
      <c r="AV614" s="333">
        <f>SUMIF(Consumo!$C$3:$C$862,tabItens[[#This Row],[CÓDIGO]],Consumo!$Y$3:$Y$862)</f>
        <v>784.33333333333337</v>
      </c>
      <c r="AW614" s="306">
        <f>tabItens[[#This Row],[QTDE ATUAL]] + tabItens[[#This Row],[RC QTDE]] + tabItens[[#This Row],[AF SALDO]] + tabItens[[#This Row],[Recentes]]</f>
        <v>1472</v>
      </c>
      <c r="AX614" s="334">
        <v>624</v>
      </c>
      <c r="AY614" s="334">
        <v>4</v>
      </c>
      <c r="AZ614" s="334">
        <f>IF(ISBLANK(tabItens[[#This Row],[CÓDIGO]]),"",tabItens[[#This Row],[PontoMês]] * (AZ$2+tabItens[[#This Row],[PontoQtM]]))</f>
        <v>2496</v>
      </c>
      <c r="BA614" s="333">
        <f>tabItens[[#This Row],[PontoPed]] - tabItens[[#This Row],[Saldo]] + (1/10)</f>
        <v>1024.0999999999999</v>
      </c>
      <c r="BB614" s="333">
        <f xml:space="preserve"> tabItens[[#This Row],[PontoMês]] * BB$2 - tabItens[[#This Row],[QTDE ATUAL]] - (1/10)</f>
        <v>-848.1</v>
      </c>
      <c r="BC614" s="335">
        <f>IF( tabItens[[#This Row],[PontoPed]]&gt;0, IF(tabItens[[#This Row],[PontoPed]]&lt;1, 1, IF( tabItens[[#This Row],[Saldo]]&gt;tabItens[[#This Row],[PontoPed]], 0, (tabItens[[#This Row],[PontoPed]]-tabItens[[#This Row],[Saldo]])/tabItens[[#This Row],[PontoPed]] ) ), 0 )</f>
        <v>0.41025641025641024</v>
      </c>
      <c r="BD614" s="336">
        <f>ROUNDDOWN(IF( OR( AND(tabItens[[#This Row],[PontoPed]]&lt;tabItens[[#This Row],[Saldo]],tabItens[[#This Row],[Saldo]]&gt;0), tabItens[[#This Row],[PontoPed]]=0), 99, IF(AND(tabItens[[#This Row],[Saldo]]=0,tabItens[[#This Row],[PontoPed]]&gt;0), 0, (1-tabItens[[#This Row],[PctAb]])*10 ) ),0)</f>
        <v>5</v>
      </c>
      <c r="BE614" s="337">
        <f>MAX(ROUNDDOWN( IF(tabItens[[#This Row],[Abaixo]] &gt; 0,   tabItens[[#This Row],[Abaixo]] + (tabItens[[#This Row],[PontoMês]] * IF( OR( ISBLANK(tabItens[[#This Row],[ATA Nº/ANO]]), tabItens[[#This Row],[ATA Nº/ANO]] = ""),BE$2,BE$1)),0),0),0)</f>
        <v>4768</v>
      </c>
      <c r="BF61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4768</v>
      </c>
      <c r="BG614" s="338">
        <f>SUMIF(Consumo!$C$3:$C$862,tabItens[[#This Row],[CÓDIGO]],Consumo!$E$3:$E$862)</f>
        <v>29</v>
      </c>
      <c r="BH614" s="339">
        <f>IF(AND(tabItens[[#This Row],[Pend]] &gt; 0,tabItens[[#This Row],[Consumo]] &lt;&gt; 0), tabItens[[#This Row],[Pend]] / tabItens[[#This Row],[Consumo]], 0 )</f>
        <v>2.0642038579258312E-3</v>
      </c>
      <c r="BI614" s="338"/>
      <c r="BJ614" s="338"/>
      <c r="BK614" s="340" t="s">
        <v>2086</v>
      </c>
    </row>
    <row r="615" spans="1:63" hidden="1" x14ac:dyDescent="0.3">
      <c r="A615" s="301">
        <v>138450</v>
      </c>
      <c r="B615" s="302" t="s">
        <v>1963</v>
      </c>
      <c r="C615" s="303" t="s">
        <v>31</v>
      </c>
      <c r="D615" s="304">
        <v>1.57</v>
      </c>
      <c r="E615" s="305"/>
      <c r="F615" s="305"/>
      <c r="G615" s="305" t="s">
        <v>889</v>
      </c>
      <c r="H615" s="306">
        <v>13510</v>
      </c>
      <c r="I615" s="307">
        <v>103003</v>
      </c>
      <c r="J615" s="308">
        <v>1.57</v>
      </c>
      <c r="K615" s="309">
        <v>5187</v>
      </c>
      <c r="L615" s="310">
        <f>IF(tabItens[[#This Row],[Média]] &gt; 0, tabItens[[#This Row],[QTDE ATUAL]] / tabItens[[#This Row],[Média]],999.9)</f>
        <v>19.574981888432745</v>
      </c>
      <c r="M615" s="311">
        <v>0</v>
      </c>
      <c r="N615" s="312">
        <f>tabItens[[#This Row],[VALOR UNIT.]] * tabItens[[#This Row],[LC]]</f>
        <v>0</v>
      </c>
      <c r="O615" s="313"/>
      <c r="P615" s="314"/>
      <c r="Q615" s="315"/>
      <c r="R615" s="312"/>
      <c r="S615" s="316"/>
      <c r="T615" s="317">
        <f>ROUNDDOWN(IFERROR(tabItens[[#This Row],[ATA DT.VALID.]] - $D$1,0) / 30,0)</f>
        <v>-1474</v>
      </c>
      <c r="U615" s="302" t="s">
        <v>937</v>
      </c>
      <c r="V615" s="318">
        <v>1</v>
      </c>
      <c r="W615" s="319" t="s">
        <v>2074</v>
      </c>
      <c r="X615" s="320">
        <v>45</v>
      </c>
      <c r="Y615" s="321">
        <v>9</v>
      </c>
      <c r="Z615" s="322">
        <v>8971</v>
      </c>
      <c r="AA615" s="323">
        <v>2023</v>
      </c>
      <c r="AB615" s="324">
        <v>4800</v>
      </c>
      <c r="AC615" s="324"/>
      <c r="AD615" s="323"/>
      <c r="AE615" s="324"/>
      <c r="AF615" s="317"/>
      <c r="AG615" s="325" t="s">
        <v>2072</v>
      </c>
      <c r="AH615" s="326"/>
      <c r="AI615" s="317">
        <v>9626</v>
      </c>
      <c r="AJ615" s="326">
        <v>44991</v>
      </c>
      <c r="AK615" s="326">
        <v>43720</v>
      </c>
      <c r="AL615" s="326">
        <v>45156</v>
      </c>
      <c r="AM615" s="316"/>
      <c r="AN615" s="305"/>
      <c r="AO615" s="327" t="str">
        <f>_xlfn.IFNA(IF(VLOOKUP(tabItens[[#This Row],[CÓDIGO]],tabExcluirDoEstoque[#Data],1,FALSE),"sim",""),"")</f>
        <v/>
      </c>
      <c r="AP615" s="328" t="str">
        <f ca="1">IF(OR(ISBLANK(tabItens[[#This Row],[ATA DT.VALID.]]),tabItens[[#This Row],[ATA DT.VALID.]]="",tabItens[[#This Row],[ATA DT.VALID.]]=" "),"",IF(TYPE(tabItens[[#This Row],[ATA DT.VALID.]])=1,ROUNDUP((tabItens[[#This Row],[ATA DT.VALID.]]-TODAY())/7,0),""))</f>
        <v/>
      </c>
      <c r="AQ615" s="329"/>
      <c r="AR615" s="330" t="str">
        <f>IF(ISBLANK(tabItens[[#This Row],[CÓDIGO]]),"",IFERROR(VLOOKUP(tabItens[[#This Row],[CÓDIGO]],Consumo!$C$2:$AC$862,26,FALSE),0))</f>
        <v>09.2023</v>
      </c>
      <c r="AS615" s="331">
        <f>SUMIF(Consumo!$C$3:$C$862,tabItens[[#This Row],[CÓDIGO]],Consumo!$N$3:$N$862) + SUMIF(Consumo!$C$3:$C$862,tabItens[[#This Row],[CÓDIGO]],Consumo!$O$3:$O$862) + SUMIF(Consumo!$C$3:$C$862,tabItens[[#This Row],[CÓDIGO]],Consumo!$P$3:$P$862) + SUMIF(Consumo!$C$3:$C$862,tabItens[[#This Row],[CÓDIGO]],Consumo!$Q$3:$Q$862)</f>
        <v>2769</v>
      </c>
      <c r="AT615" s="331">
        <f>SUMIF(Consumo!$C$3:$C$862,tabItens[[#This Row],[CÓDIGO]],Consumo!$Z$3:$Z$862)</f>
        <v>8282</v>
      </c>
      <c r="AU615" s="332">
        <f>SUMIF(Consumo!$C$3:$C$862,tabItens[[#This Row],[CÓDIGO]],Consumo!$AA$3:$AA$862)</f>
        <v>1005</v>
      </c>
      <c r="AV615" s="333">
        <f>SUMIF(Consumo!$C$3:$C$862,tabItens[[#This Row],[CÓDIGO]],Consumo!$Y$3:$Y$862)</f>
        <v>690.16666666666663</v>
      </c>
      <c r="AW615" s="306">
        <f>tabItens[[#This Row],[QTDE ATUAL]] + tabItens[[#This Row],[RC QTDE]] + tabItens[[#This Row],[AF SALDO]] + tabItens[[#This Row],[Recentes]]</f>
        <v>18310</v>
      </c>
      <c r="AX615" s="334">
        <v>1748</v>
      </c>
      <c r="AY615" s="334">
        <v>4</v>
      </c>
      <c r="AZ615" s="334">
        <f>IF(ISBLANK(tabItens[[#This Row],[CÓDIGO]]),"",tabItens[[#This Row],[PontoMês]] * (AZ$2+tabItens[[#This Row],[PontoQtM]]))</f>
        <v>6992</v>
      </c>
      <c r="BA615" s="333">
        <f>tabItens[[#This Row],[PontoPed]] - tabItens[[#This Row],[Saldo]] + (1/10)</f>
        <v>-11317.9</v>
      </c>
      <c r="BB615" s="333">
        <f xml:space="preserve"> tabItens[[#This Row],[PontoMês]] * BB$2 - tabItens[[#This Row],[QTDE ATUAL]] - (1/10)</f>
        <v>-11762.1</v>
      </c>
      <c r="BC615" s="335">
        <f>IF( tabItens[[#This Row],[PontoPed]]&gt;0, IF(tabItens[[#This Row],[PontoPed]]&lt;1, 1, IF( tabItens[[#This Row],[Saldo]]&gt;tabItens[[#This Row],[PontoPed]], 0, (tabItens[[#This Row],[PontoPed]]-tabItens[[#This Row],[Saldo]])/tabItens[[#This Row],[PontoPed]] ) ), 0 )</f>
        <v>0</v>
      </c>
      <c r="BD615" s="336">
        <f>ROUNDDOWN(IF( OR( AND(tabItens[[#This Row],[PontoPed]]&lt;tabItens[[#This Row],[Saldo]],tabItens[[#This Row],[Saldo]]&gt;0), tabItens[[#This Row],[PontoPed]]=0), 99, IF(AND(tabItens[[#This Row],[Saldo]]=0,tabItens[[#This Row],[PontoPed]]&gt;0), 0, (1-tabItens[[#This Row],[PctAb]])*10 ) ),0)</f>
        <v>99</v>
      </c>
      <c r="BE615" s="337">
        <f>MAX(ROUNDDOWN( IF(tabItens[[#This Row],[Abaixo]] &gt; 0,   tabItens[[#This Row],[Abaixo]] + (tabItens[[#This Row],[PontoMês]] * IF( OR( ISBLANK(tabItens[[#This Row],[ATA Nº/ANO]]), tabItens[[#This Row],[ATA Nº/ANO]] = ""),BE$2,BE$1)),0),0),0)</f>
        <v>0</v>
      </c>
      <c r="BF61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5" s="338">
        <f>SUMIF(Consumo!$C$3:$C$862,tabItens[[#This Row],[CÓDIGO]],Consumo!$E$3:$E$862)</f>
        <v>435</v>
      </c>
      <c r="BH615" s="339">
        <f>IF(AND(tabItens[[#This Row],[Pend]] &gt; 0,tabItens[[#This Row],[Consumo]] &lt;&gt; 0), tabItens[[#This Row],[Pend]] / tabItens[[#This Row],[Consumo]], 0 )</f>
        <v>5.252354503743057E-2</v>
      </c>
      <c r="BI615" s="338"/>
      <c r="BJ615" s="338"/>
      <c r="BK615" s="340" t="s">
        <v>2086</v>
      </c>
    </row>
    <row r="616" spans="1:63" hidden="1" x14ac:dyDescent="0.3">
      <c r="A616" s="301">
        <v>138451</v>
      </c>
      <c r="B616" s="302" t="s">
        <v>1964</v>
      </c>
      <c r="C616" s="303" t="s">
        <v>31</v>
      </c>
      <c r="D616" s="304">
        <v>0.43</v>
      </c>
      <c r="E616" s="305"/>
      <c r="F616" s="305"/>
      <c r="G616" s="305" t="s">
        <v>889</v>
      </c>
      <c r="H616" s="306">
        <v>53521</v>
      </c>
      <c r="I616" s="307">
        <v>103003</v>
      </c>
      <c r="J616" s="308">
        <v>0.43</v>
      </c>
      <c r="K616" s="309">
        <v>35466</v>
      </c>
      <c r="L616" s="310">
        <f>IF(tabItens[[#This Row],[Média]] &gt; 0, tabItens[[#This Row],[QTDE ATUAL]] / tabItens[[#This Row],[Média]],999.9)</f>
        <v>16.29419525065963</v>
      </c>
      <c r="M616" s="311">
        <v>0</v>
      </c>
      <c r="N616" s="312">
        <f>tabItens[[#This Row],[VALOR UNIT.]] * tabItens[[#This Row],[LC]]</f>
        <v>0</v>
      </c>
      <c r="O616" s="313"/>
      <c r="P616" s="314"/>
      <c r="Q616" s="315"/>
      <c r="R616" s="312"/>
      <c r="S616" s="316"/>
      <c r="T616" s="317">
        <f>ROUNDDOWN(IFERROR(tabItens[[#This Row],[ATA DT.VALID.]] - $D$1,0) / 30,0)</f>
        <v>-1474</v>
      </c>
      <c r="U616" s="302" t="s">
        <v>937</v>
      </c>
      <c r="V616" s="318">
        <v>1</v>
      </c>
      <c r="W616" s="319" t="s">
        <v>2074</v>
      </c>
      <c r="X616" s="320">
        <v>45</v>
      </c>
      <c r="Y616" s="321">
        <v>9</v>
      </c>
      <c r="Z616" s="322">
        <v>6211</v>
      </c>
      <c r="AA616" s="323">
        <v>2023</v>
      </c>
      <c r="AB616" s="324">
        <v>4000</v>
      </c>
      <c r="AC616" s="324"/>
      <c r="AD616" s="323"/>
      <c r="AE616" s="324"/>
      <c r="AF616" s="317"/>
      <c r="AG616" s="325" t="s">
        <v>2072</v>
      </c>
      <c r="AH616" s="326"/>
      <c r="AI616" s="317">
        <v>15378</v>
      </c>
      <c r="AJ616" s="326">
        <v>44949</v>
      </c>
      <c r="AK616" s="326">
        <v>43720</v>
      </c>
      <c r="AL616" s="326">
        <v>44910</v>
      </c>
      <c r="AM616" s="316"/>
      <c r="AN616" s="305"/>
      <c r="AO616" s="327" t="str">
        <f>_xlfn.IFNA(IF(VLOOKUP(tabItens[[#This Row],[CÓDIGO]],tabExcluirDoEstoque[#Data],1,FALSE),"sim",""),"")</f>
        <v/>
      </c>
      <c r="AP616" s="328" t="str">
        <f ca="1">IF(OR(ISBLANK(tabItens[[#This Row],[ATA DT.VALID.]]),tabItens[[#This Row],[ATA DT.VALID.]]="",tabItens[[#This Row],[ATA DT.VALID.]]=" "),"",IF(TYPE(tabItens[[#This Row],[ATA DT.VALID.]])=1,ROUNDUP((tabItens[[#This Row],[ATA DT.VALID.]]-TODAY())/7,0),""))</f>
        <v/>
      </c>
      <c r="AQ616" s="329"/>
      <c r="AR616" s="330" t="str">
        <f>IF(ISBLANK(tabItens[[#This Row],[CÓDIGO]]),"",IFERROR(VLOOKUP(tabItens[[#This Row],[CÓDIGO]],Consumo!$C$2:$AC$862,26,FALSE),0))</f>
        <v>09.2023</v>
      </c>
      <c r="AS616" s="331">
        <f>SUMIF(Consumo!$C$3:$C$862,tabItens[[#This Row],[CÓDIGO]],Consumo!$N$3:$N$862) + SUMIF(Consumo!$C$3:$C$862,tabItens[[#This Row],[CÓDIGO]],Consumo!$O$3:$O$862) + SUMIF(Consumo!$C$3:$C$862,tabItens[[#This Row],[CÓDIGO]],Consumo!$P$3:$P$862) + SUMIF(Consumo!$C$3:$C$862,tabItens[[#This Row],[CÓDIGO]],Consumo!$Q$3:$Q$862)</f>
        <v>9477</v>
      </c>
      <c r="AT616" s="331">
        <f>SUMIF(Consumo!$C$3:$C$862,tabItens[[#This Row],[CÓDIGO]],Consumo!$Z$3:$Z$862)</f>
        <v>46432</v>
      </c>
      <c r="AU616" s="332">
        <f>SUMIF(Consumo!$C$3:$C$862,tabItens[[#This Row],[CÓDIGO]],Consumo!$AA$3:$AA$862)</f>
        <v>22155</v>
      </c>
      <c r="AV616" s="333">
        <f>SUMIF(Consumo!$C$3:$C$862,tabItens[[#This Row],[CÓDIGO]],Consumo!$Y$3:$Y$862)</f>
        <v>3284.6666666666665</v>
      </c>
      <c r="AW616" s="306">
        <f>tabItens[[#This Row],[QTDE ATUAL]] + tabItens[[#This Row],[RC QTDE]] + tabItens[[#This Row],[AF SALDO]] + tabItens[[#This Row],[Recentes]]</f>
        <v>57521</v>
      </c>
      <c r="AX616" s="334">
        <v>6983</v>
      </c>
      <c r="AY616" s="334">
        <v>4</v>
      </c>
      <c r="AZ616" s="334">
        <f>IF(ISBLANK(tabItens[[#This Row],[CÓDIGO]]),"",tabItens[[#This Row],[PontoMês]] * (AZ$2+tabItens[[#This Row],[PontoQtM]]))</f>
        <v>27932</v>
      </c>
      <c r="BA616" s="333">
        <f>tabItens[[#This Row],[PontoPed]] - tabItens[[#This Row],[Saldo]] + (1/10)</f>
        <v>-29588.9</v>
      </c>
      <c r="BB616" s="333">
        <f xml:space="preserve"> tabItens[[#This Row],[PontoMês]] * BB$2 - tabItens[[#This Row],[QTDE ATUAL]] - (1/10)</f>
        <v>-46538.1</v>
      </c>
      <c r="BC616" s="335">
        <f>IF( tabItens[[#This Row],[PontoPed]]&gt;0, IF(tabItens[[#This Row],[PontoPed]]&lt;1, 1, IF( tabItens[[#This Row],[Saldo]]&gt;tabItens[[#This Row],[PontoPed]], 0, (tabItens[[#This Row],[PontoPed]]-tabItens[[#This Row],[Saldo]])/tabItens[[#This Row],[PontoPed]] ) ), 0 )</f>
        <v>0</v>
      </c>
      <c r="BD616" s="336">
        <f>ROUNDDOWN(IF( OR( AND(tabItens[[#This Row],[PontoPed]]&lt;tabItens[[#This Row],[Saldo]],tabItens[[#This Row],[Saldo]]&gt;0), tabItens[[#This Row],[PontoPed]]=0), 99, IF(AND(tabItens[[#This Row],[Saldo]]=0,tabItens[[#This Row],[PontoPed]]&gt;0), 0, (1-tabItens[[#This Row],[PctAb]])*10 ) ),0)</f>
        <v>99</v>
      </c>
      <c r="BE616" s="337">
        <f>MAX(ROUNDDOWN( IF(tabItens[[#This Row],[Abaixo]] &gt; 0,   tabItens[[#This Row],[Abaixo]] + (tabItens[[#This Row],[PontoMês]] * IF( OR( ISBLANK(tabItens[[#This Row],[ATA Nº/ANO]]), tabItens[[#This Row],[ATA Nº/ANO]] = ""),BE$2,BE$1)),0),0),0)</f>
        <v>0</v>
      </c>
      <c r="BF61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6" s="338">
        <f>SUMIF(Consumo!$C$3:$C$862,tabItens[[#This Row],[CÓDIGO]],Consumo!$E$3:$E$862)</f>
        <v>300</v>
      </c>
      <c r="BH616" s="339">
        <f>IF(AND(tabItens[[#This Row],[Pend]] &gt; 0,tabItens[[#This Row],[Consumo]] &lt;&gt; 0), tabItens[[#This Row],[Pend]] / tabItens[[#This Row],[Consumo]], 0 )</f>
        <v>6.4610613370089595E-3</v>
      </c>
      <c r="BI616" s="338"/>
      <c r="BJ616" s="338"/>
      <c r="BK616" s="340" t="s">
        <v>2086</v>
      </c>
    </row>
    <row r="617" spans="1:63" hidden="1" x14ac:dyDescent="0.3">
      <c r="A617" s="301">
        <v>138461</v>
      </c>
      <c r="B617" s="302" t="s">
        <v>1972</v>
      </c>
      <c r="C617" s="303" t="s">
        <v>1973</v>
      </c>
      <c r="D617" s="304">
        <v>8.5299999999999994</v>
      </c>
      <c r="E617" s="305"/>
      <c r="F617" s="305"/>
      <c r="G617" s="305" t="s">
        <v>889</v>
      </c>
      <c r="H617" s="306">
        <v>4972</v>
      </c>
      <c r="I617" s="307">
        <v>103003</v>
      </c>
      <c r="J617" s="308">
        <v>8.5299999999999994</v>
      </c>
      <c r="K617" s="309">
        <v>10902</v>
      </c>
      <c r="L617" s="310">
        <f>IF(tabItens[[#This Row],[Média]] &gt; 0, tabItens[[#This Row],[QTDE ATUAL]] / tabItens[[#This Row],[Média]],999.9)</f>
        <v>4.7792374239025959</v>
      </c>
      <c r="M617" s="311">
        <v>0</v>
      </c>
      <c r="N617" s="312">
        <f>tabItens[[#This Row],[VALOR UNIT.]] * tabItens[[#This Row],[LC]]</f>
        <v>0</v>
      </c>
      <c r="O617" s="313"/>
      <c r="P617" s="314"/>
      <c r="Q617" s="315"/>
      <c r="R617" s="312"/>
      <c r="S617" s="316"/>
      <c r="T617" s="317">
        <f>ROUNDDOWN(IFERROR(tabItens[[#This Row],[ATA DT.VALID.]] - $D$1,0) / 30,0)</f>
        <v>-1474</v>
      </c>
      <c r="U617" s="302" t="s">
        <v>937</v>
      </c>
      <c r="V617" s="318">
        <v>1</v>
      </c>
      <c r="W617" s="319" t="s">
        <v>2074</v>
      </c>
      <c r="X617" s="320">
        <v>45</v>
      </c>
      <c r="Y617" s="321">
        <v>9</v>
      </c>
      <c r="Z617" s="322"/>
      <c r="AA617" s="323"/>
      <c r="AB617" s="324"/>
      <c r="AC617" s="324"/>
      <c r="AD617" s="323"/>
      <c r="AE617" s="324"/>
      <c r="AF617" s="317"/>
      <c r="AG617" s="325" t="s">
        <v>2072</v>
      </c>
      <c r="AH617" s="326"/>
      <c r="AI617" s="317">
        <v>7188</v>
      </c>
      <c r="AJ617" s="326">
        <v>45090</v>
      </c>
      <c r="AK617" s="326">
        <v>43720</v>
      </c>
      <c r="AL617" s="326">
        <v>45079</v>
      </c>
      <c r="AM617" s="316"/>
      <c r="AN617" s="305"/>
      <c r="AO617" s="327" t="str">
        <f>_xlfn.IFNA(IF(VLOOKUP(tabItens[[#This Row],[CÓDIGO]],tabExcluirDoEstoque[#Data],1,FALSE),"sim",""),"")</f>
        <v/>
      </c>
      <c r="AP617" s="328" t="str">
        <f ca="1">IF(OR(ISBLANK(tabItens[[#This Row],[ATA DT.VALID.]]),tabItens[[#This Row],[ATA DT.VALID.]]="",tabItens[[#This Row],[ATA DT.VALID.]]=" "),"",IF(TYPE(tabItens[[#This Row],[ATA DT.VALID.]])=1,ROUNDUP((tabItens[[#This Row],[ATA DT.VALID.]]-TODAY())/7,0),""))</f>
        <v/>
      </c>
      <c r="AQ617" s="329"/>
      <c r="AR617" s="330" t="str">
        <f>IF(ISBLANK(tabItens[[#This Row],[CÓDIGO]]),"",IFERROR(VLOOKUP(tabItens[[#This Row],[CÓDIGO]],Consumo!$C$2:$AC$862,26,FALSE),0))</f>
        <v>09.2023</v>
      </c>
      <c r="AS617" s="331">
        <f>SUMIF(Consumo!$C$3:$C$862,tabItens[[#This Row],[CÓDIGO]],Consumo!$N$3:$N$862) + SUMIF(Consumo!$C$3:$C$862,tabItens[[#This Row],[CÓDIGO]],Consumo!$O$3:$O$862) + SUMIF(Consumo!$C$3:$C$862,tabItens[[#This Row],[CÓDIGO]],Consumo!$P$3:$P$862) + SUMIF(Consumo!$C$3:$C$862,tabItens[[#This Row],[CÓDIGO]],Consumo!$Q$3:$Q$862)</f>
        <v>3464</v>
      </c>
      <c r="AT617" s="331">
        <f>SUMIF(Consumo!$C$3:$C$862,tabItens[[#This Row],[CÓDIGO]],Consumo!$Z$3:$Z$862)</f>
        <v>14345</v>
      </c>
      <c r="AU617" s="332">
        <f>SUMIF(Consumo!$C$3:$C$862,tabItens[[#This Row],[CÓDIGO]],Consumo!$AA$3:$AA$862)</f>
        <v>6228</v>
      </c>
      <c r="AV617" s="333">
        <f>SUMIF(Consumo!$C$3:$C$862,tabItens[[#This Row],[CÓDIGO]],Consumo!$Y$3:$Y$862)</f>
        <v>1040.3333333333333</v>
      </c>
      <c r="AW617" s="306">
        <f>tabItens[[#This Row],[QTDE ATUAL]] + tabItens[[#This Row],[RC QTDE]] + tabItens[[#This Row],[AF SALDO]] + tabItens[[#This Row],[Recentes]]</f>
        <v>4972</v>
      </c>
      <c r="AX617" s="334">
        <v>3095</v>
      </c>
      <c r="AY617" s="334">
        <v>4</v>
      </c>
      <c r="AZ617" s="334">
        <f>IF(ISBLANK(tabItens[[#This Row],[CÓDIGO]]),"",tabItens[[#This Row],[PontoMês]] * (AZ$2+tabItens[[#This Row],[PontoQtM]]))</f>
        <v>12380</v>
      </c>
      <c r="BA617" s="333">
        <f>tabItens[[#This Row],[PontoPed]] - tabItens[[#This Row],[Saldo]] + (1/10)</f>
        <v>7408.1</v>
      </c>
      <c r="BB617" s="333">
        <f xml:space="preserve"> tabItens[[#This Row],[PontoMês]] * BB$2 - tabItens[[#This Row],[QTDE ATUAL]] - (1/10)</f>
        <v>-1877.1</v>
      </c>
      <c r="BC617" s="335">
        <f>IF( tabItens[[#This Row],[PontoPed]]&gt;0, IF(tabItens[[#This Row],[PontoPed]]&lt;1, 1, IF( tabItens[[#This Row],[Saldo]]&gt;tabItens[[#This Row],[PontoPed]], 0, (tabItens[[#This Row],[PontoPed]]-tabItens[[#This Row],[Saldo]])/tabItens[[#This Row],[PontoPed]] ) ), 0 )</f>
        <v>0.59838449111470116</v>
      </c>
      <c r="BD617" s="336">
        <f>ROUNDDOWN(IF( OR( AND(tabItens[[#This Row],[PontoPed]]&lt;tabItens[[#This Row],[Saldo]],tabItens[[#This Row],[Saldo]]&gt;0), tabItens[[#This Row],[PontoPed]]=0), 99, IF(AND(tabItens[[#This Row],[Saldo]]=0,tabItens[[#This Row],[PontoPed]]&gt;0), 0, (1-tabItens[[#This Row],[PctAb]])*10 ) ),0)</f>
        <v>4</v>
      </c>
      <c r="BE617" s="337">
        <f>MAX(ROUNDDOWN( IF(tabItens[[#This Row],[Abaixo]] &gt; 0,   tabItens[[#This Row],[Abaixo]] + (tabItens[[#This Row],[PontoMês]] * IF( OR( ISBLANK(tabItens[[#This Row],[ATA Nº/ANO]]), tabItens[[#This Row],[ATA Nº/ANO]] = ""),BE$2,BE$1)),0),0),0)</f>
        <v>25978</v>
      </c>
      <c r="BF61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25978</v>
      </c>
      <c r="BG617" s="338">
        <f>SUMIF(Consumo!$C$3:$C$862,tabItens[[#This Row],[CÓDIGO]],Consumo!$E$3:$E$862)</f>
        <v>1182</v>
      </c>
      <c r="BH617" s="339">
        <f>IF(AND(tabItens[[#This Row],[Pend]] &gt; 0,tabItens[[#This Row],[Consumo]] &lt;&gt; 0), tabItens[[#This Row],[Pend]] / tabItens[[#This Row],[Consumo]], 0 )</f>
        <v>8.2398048100383411E-2</v>
      </c>
      <c r="BI617" s="338"/>
      <c r="BJ617" s="338"/>
      <c r="BK617" s="340" t="s">
        <v>2086</v>
      </c>
    </row>
    <row r="618" spans="1:63" hidden="1" x14ac:dyDescent="0.3">
      <c r="A618" s="301">
        <v>138463</v>
      </c>
      <c r="B618" s="302" t="s">
        <v>1975</v>
      </c>
      <c r="C618" s="303" t="s">
        <v>1973</v>
      </c>
      <c r="D618" s="304">
        <v>7.29</v>
      </c>
      <c r="E618" s="305"/>
      <c r="F618" s="305"/>
      <c r="G618" s="305" t="s">
        <v>889</v>
      </c>
      <c r="H618" s="306">
        <v>22837</v>
      </c>
      <c r="I618" s="307">
        <v>103003</v>
      </c>
      <c r="J618" s="308">
        <v>7.3499400000000001</v>
      </c>
      <c r="K618" s="309">
        <v>23569</v>
      </c>
      <c r="L618" s="310">
        <f>IF(tabItens[[#This Row],[Média]] &gt; 0, tabItens[[#This Row],[QTDE ATUAL]] / tabItens[[#This Row],[Média]],999.9)</f>
        <v>12.284561592253899</v>
      </c>
      <c r="M618" s="311">
        <v>0</v>
      </c>
      <c r="N618" s="312">
        <f>tabItens[[#This Row],[VALOR UNIT.]] * tabItens[[#This Row],[LC]]</f>
        <v>0</v>
      </c>
      <c r="O618" s="313"/>
      <c r="P618" s="314"/>
      <c r="Q618" s="315"/>
      <c r="R618" s="312"/>
      <c r="S618" s="316"/>
      <c r="T618" s="317">
        <f>ROUNDDOWN(IFERROR(tabItens[[#This Row],[ATA DT.VALID.]] - $D$1,0) / 30,0)</f>
        <v>-1474</v>
      </c>
      <c r="U618" s="302" t="s">
        <v>937</v>
      </c>
      <c r="V618" s="318">
        <v>1</v>
      </c>
      <c r="W618" s="319" t="s">
        <v>2074</v>
      </c>
      <c r="X618" s="320">
        <v>45</v>
      </c>
      <c r="Y618" s="321">
        <v>9</v>
      </c>
      <c r="Z618" s="322"/>
      <c r="AA618" s="323"/>
      <c r="AB618" s="324"/>
      <c r="AC618" s="324"/>
      <c r="AD618" s="323"/>
      <c r="AE618" s="324"/>
      <c r="AF618" s="317"/>
      <c r="AG618" s="325" t="s">
        <v>2072</v>
      </c>
      <c r="AH618" s="326"/>
      <c r="AI618" s="317">
        <v>11400</v>
      </c>
      <c r="AJ618" s="326">
        <v>45051</v>
      </c>
      <c r="AK618" s="326">
        <v>43720</v>
      </c>
      <c r="AL618" s="326">
        <v>44959</v>
      </c>
      <c r="AM618" s="316"/>
      <c r="AN618" s="305"/>
      <c r="AO618" s="327" t="str">
        <f>_xlfn.IFNA(IF(VLOOKUP(tabItens[[#This Row],[CÓDIGO]],tabExcluirDoEstoque[#Data],1,FALSE),"sim",""),"")</f>
        <v/>
      </c>
      <c r="AP618" s="328" t="str">
        <f ca="1">IF(OR(ISBLANK(tabItens[[#This Row],[ATA DT.VALID.]]),tabItens[[#This Row],[ATA DT.VALID.]]="",tabItens[[#This Row],[ATA DT.VALID.]]=" "),"",IF(TYPE(tabItens[[#This Row],[ATA DT.VALID.]])=1,ROUNDUP((tabItens[[#This Row],[ATA DT.VALID.]]-TODAY())/7,0),""))</f>
        <v/>
      </c>
      <c r="AQ618" s="329"/>
      <c r="AR618" s="330" t="str">
        <f>IF(ISBLANK(tabItens[[#This Row],[CÓDIGO]]),"",IFERROR(VLOOKUP(tabItens[[#This Row],[CÓDIGO]],Consumo!$C$2:$AC$862,26,FALSE),0))</f>
        <v>09.2023</v>
      </c>
      <c r="AS618" s="331">
        <f>SUMIF(Consumo!$C$3:$C$862,tabItens[[#This Row],[CÓDIGO]],Consumo!$N$3:$N$862) + SUMIF(Consumo!$C$3:$C$862,tabItens[[#This Row],[CÓDIGO]],Consumo!$O$3:$O$862) + SUMIF(Consumo!$C$3:$C$862,tabItens[[#This Row],[CÓDIGO]],Consumo!$P$3:$P$862) + SUMIF(Consumo!$C$3:$C$862,tabItens[[#This Row],[CÓDIGO]],Consumo!$Q$3:$Q$862)</f>
        <v>1575</v>
      </c>
      <c r="AT618" s="331">
        <f>SUMIF(Consumo!$C$3:$C$862,tabItens[[#This Row],[CÓDIGO]],Consumo!$Z$3:$Z$862)</f>
        <v>25431</v>
      </c>
      <c r="AU618" s="332">
        <f>SUMIF(Consumo!$C$3:$C$862,tabItens[[#This Row],[CÓDIGO]],Consumo!$AA$3:$AA$862)</f>
        <v>13385</v>
      </c>
      <c r="AV618" s="333">
        <f>SUMIF(Consumo!$C$3:$C$862,tabItens[[#This Row],[CÓDIGO]],Consumo!$Y$3:$Y$862)</f>
        <v>1859</v>
      </c>
      <c r="AW618" s="306">
        <f>tabItens[[#This Row],[QTDE ATUAL]] + tabItens[[#This Row],[RC QTDE]] + tabItens[[#This Row],[AF SALDO]] + tabItens[[#This Row],[Recentes]]</f>
        <v>22837</v>
      </c>
      <c r="AX618" s="334">
        <v>2067</v>
      </c>
      <c r="AY618" s="334">
        <v>4</v>
      </c>
      <c r="AZ618" s="334">
        <f>IF(ISBLANK(tabItens[[#This Row],[CÓDIGO]]),"",tabItens[[#This Row],[PontoMês]] * (AZ$2+tabItens[[#This Row],[PontoQtM]]))</f>
        <v>8268</v>
      </c>
      <c r="BA618" s="333">
        <f>tabItens[[#This Row],[PontoPed]] - tabItens[[#This Row],[Saldo]] + (1/10)</f>
        <v>-14568.9</v>
      </c>
      <c r="BB618" s="333">
        <f xml:space="preserve"> tabItens[[#This Row],[PontoMês]] * BB$2 - tabItens[[#This Row],[QTDE ATUAL]] - (1/10)</f>
        <v>-20770.099999999999</v>
      </c>
      <c r="BC618" s="335">
        <f>IF( tabItens[[#This Row],[PontoPed]]&gt;0, IF(tabItens[[#This Row],[PontoPed]]&lt;1, 1, IF( tabItens[[#This Row],[Saldo]]&gt;tabItens[[#This Row],[PontoPed]], 0, (tabItens[[#This Row],[PontoPed]]-tabItens[[#This Row],[Saldo]])/tabItens[[#This Row],[PontoPed]] ) ), 0 )</f>
        <v>0</v>
      </c>
      <c r="BD618" s="336">
        <f>ROUNDDOWN(IF( OR( AND(tabItens[[#This Row],[PontoPed]]&lt;tabItens[[#This Row],[Saldo]],tabItens[[#This Row],[Saldo]]&gt;0), tabItens[[#This Row],[PontoPed]]=0), 99, IF(AND(tabItens[[#This Row],[Saldo]]=0,tabItens[[#This Row],[PontoPed]]&gt;0), 0, (1-tabItens[[#This Row],[PctAb]])*10 ) ),0)</f>
        <v>99</v>
      </c>
      <c r="BE618" s="337">
        <f>MAX(ROUNDDOWN( IF(tabItens[[#This Row],[Abaixo]] &gt; 0,   tabItens[[#This Row],[Abaixo]] + (tabItens[[#This Row],[PontoMês]] * IF( OR( ISBLANK(tabItens[[#This Row],[ATA Nº/ANO]]), tabItens[[#This Row],[ATA Nº/ANO]] = ""),BE$2,BE$1)),0),0),0)</f>
        <v>0</v>
      </c>
      <c r="BF61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8" s="338">
        <f>SUMIF(Consumo!$C$3:$C$862,tabItens[[#This Row],[CÓDIGO]],Consumo!$E$3:$E$862)</f>
        <v>71</v>
      </c>
      <c r="BH618" s="339">
        <f>IF(AND(tabItens[[#This Row],[Pend]] &gt; 0,tabItens[[#This Row],[Consumo]] &lt;&gt; 0), tabItens[[#This Row],[Pend]] / tabItens[[#This Row],[Consumo]], 0 )</f>
        <v>2.7918681923636505E-3</v>
      </c>
      <c r="BI618" s="338"/>
      <c r="BJ618" s="338"/>
      <c r="BK618" s="340" t="s">
        <v>2086</v>
      </c>
    </row>
    <row r="619" spans="1:63" hidden="1" x14ac:dyDescent="0.3">
      <c r="A619" s="301">
        <v>138464</v>
      </c>
      <c r="B619" s="302" t="s">
        <v>1976</v>
      </c>
      <c r="C619" s="303" t="s">
        <v>31</v>
      </c>
      <c r="D619" s="304">
        <v>0.23</v>
      </c>
      <c r="E619" s="305"/>
      <c r="F619" s="305"/>
      <c r="G619" s="305" t="s">
        <v>889</v>
      </c>
      <c r="H619" s="306">
        <v>60181</v>
      </c>
      <c r="I619" s="307">
        <v>103003</v>
      </c>
      <c r="J619" s="308">
        <v>0.23</v>
      </c>
      <c r="K619" s="309">
        <v>42641</v>
      </c>
      <c r="L619" s="310">
        <f>IF(tabItens[[#This Row],[Média]] &gt; 0, tabItens[[#This Row],[QTDE ATUAL]] / tabItens[[#This Row],[Média]],999.9)</f>
        <v>11.38713339640492</v>
      </c>
      <c r="M619" s="311">
        <v>0</v>
      </c>
      <c r="N619" s="312">
        <f>tabItens[[#This Row],[VALOR UNIT.]] * tabItens[[#This Row],[LC]]</f>
        <v>0</v>
      </c>
      <c r="O619" s="313"/>
      <c r="P619" s="314"/>
      <c r="Q619" s="315"/>
      <c r="R619" s="312"/>
      <c r="S619" s="316"/>
      <c r="T619" s="317">
        <f>ROUNDDOWN(IFERROR(tabItens[[#This Row],[ATA DT.VALID.]] - $D$1,0) / 30,0)</f>
        <v>-1474</v>
      </c>
      <c r="U619" s="302" t="s">
        <v>937</v>
      </c>
      <c r="V619" s="318">
        <v>1</v>
      </c>
      <c r="W619" s="319" t="s">
        <v>2074</v>
      </c>
      <c r="X619" s="320">
        <v>45</v>
      </c>
      <c r="Y619" s="321">
        <v>9</v>
      </c>
      <c r="Z619" s="322"/>
      <c r="AA619" s="323"/>
      <c r="AB619" s="324"/>
      <c r="AC619" s="324"/>
      <c r="AD619" s="323"/>
      <c r="AE619" s="324"/>
      <c r="AF619" s="317"/>
      <c r="AG619" s="325" t="s">
        <v>2072</v>
      </c>
      <c r="AH619" s="326"/>
      <c r="AI619" s="317">
        <v>61820</v>
      </c>
      <c r="AJ619" s="326">
        <v>44151</v>
      </c>
      <c r="AK619" s="326">
        <v>43720</v>
      </c>
      <c r="AL619" s="326">
        <v>44110</v>
      </c>
      <c r="AM619" s="316"/>
      <c r="AN619" s="305"/>
      <c r="AO619" s="327" t="str">
        <f>_xlfn.IFNA(IF(VLOOKUP(tabItens[[#This Row],[CÓDIGO]],tabExcluirDoEstoque[#Data],1,FALSE),"sim",""),"")</f>
        <v/>
      </c>
      <c r="AP619" s="328" t="str">
        <f ca="1">IF(OR(ISBLANK(tabItens[[#This Row],[ATA DT.VALID.]]),tabItens[[#This Row],[ATA DT.VALID.]]="",tabItens[[#This Row],[ATA DT.VALID.]]=" "),"",IF(TYPE(tabItens[[#This Row],[ATA DT.VALID.]])=1,ROUNDUP((tabItens[[#This Row],[ATA DT.VALID.]]-TODAY())/7,0),""))</f>
        <v/>
      </c>
      <c r="AQ619" s="329"/>
      <c r="AR619" s="330" t="str">
        <f>IF(ISBLANK(tabItens[[#This Row],[CÓDIGO]]),"",IFERROR(VLOOKUP(tabItens[[#This Row],[CÓDIGO]],Consumo!$C$2:$AC$862,26,FALSE),0))</f>
        <v>09.2023</v>
      </c>
      <c r="AS619" s="331">
        <f>SUMIF(Consumo!$C$3:$C$862,tabItens[[#This Row],[CÓDIGO]],Consumo!$N$3:$N$862) + SUMIF(Consumo!$C$3:$C$862,tabItens[[#This Row],[CÓDIGO]],Consumo!$O$3:$O$862) + SUMIF(Consumo!$C$3:$C$862,tabItens[[#This Row],[CÓDIGO]],Consumo!$P$3:$P$862) + SUMIF(Consumo!$C$3:$C$862,tabItens[[#This Row],[CÓDIGO]],Consumo!$Q$3:$Q$862)</f>
        <v>20251</v>
      </c>
      <c r="AT619" s="331">
        <f>SUMIF(Consumo!$C$3:$C$862,tabItens[[#This Row],[CÓDIGO]],Consumo!$Z$3:$Z$862)</f>
        <v>65549</v>
      </c>
      <c r="AU619" s="332">
        <f>SUMIF(Consumo!$C$3:$C$862,tabItens[[#This Row],[CÓDIGO]],Consumo!$AA$3:$AA$862)</f>
        <v>14402</v>
      </c>
      <c r="AV619" s="333">
        <f>SUMIF(Consumo!$C$3:$C$862,tabItens[[#This Row],[CÓDIGO]],Consumo!$Y$3:$Y$862)</f>
        <v>5285</v>
      </c>
      <c r="AW619" s="306">
        <f>tabItens[[#This Row],[QTDE ATUAL]] + tabItens[[#This Row],[RC QTDE]] + tabItens[[#This Row],[AF SALDO]] + tabItens[[#This Row],[Recentes]]</f>
        <v>60181</v>
      </c>
      <c r="AX619" s="334">
        <v>10936</v>
      </c>
      <c r="AY619" s="334">
        <v>4</v>
      </c>
      <c r="AZ619" s="334">
        <f>IF(ISBLANK(tabItens[[#This Row],[CÓDIGO]]),"",tabItens[[#This Row],[PontoMês]] * (AZ$2+tabItens[[#This Row],[PontoQtM]]))</f>
        <v>43744</v>
      </c>
      <c r="BA619" s="333">
        <f>tabItens[[#This Row],[PontoPed]] - tabItens[[#This Row],[Saldo]] + (1/10)</f>
        <v>-16436.900000000001</v>
      </c>
      <c r="BB619" s="333">
        <f xml:space="preserve"> tabItens[[#This Row],[PontoMês]] * BB$2 - tabItens[[#This Row],[QTDE ATUAL]] - (1/10)</f>
        <v>-49245.1</v>
      </c>
      <c r="BC619" s="335">
        <f>IF( tabItens[[#This Row],[PontoPed]]&gt;0, IF(tabItens[[#This Row],[PontoPed]]&lt;1, 1, IF( tabItens[[#This Row],[Saldo]]&gt;tabItens[[#This Row],[PontoPed]], 0, (tabItens[[#This Row],[PontoPed]]-tabItens[[#This Row],[Saldo]])/tabItens[[#This Row],[PontoPed]] ) ), 0 )</f>
        <v>0</v>
      </c>
      <c r="BD619" s="336">
        <f>ROUNDDOWN(IF( OR( AND(tabItens[[#This Row],[PontoPed]]&lt;tabItens[[#This Row],[Saldo]],tabItens[[#This Row],[Saldo]]&gt;0), tabItens[[#This Row],[PontoPed]]=0), 99, IF(AND(tabItens[[#This Row],[Saldo]]=0,tabItens[[#This Row],[PontoPed]]&gt;0), 0, (1-tabItens[[#This Row],[PctAb]])*10 ) ),0)</f>
        <v>99</v>
      </c>
      <c r="BE619" s="337">
        <f>MAX(ROUNDDOWN( IF(tabItens[[#This Row],[Abaixo]] &gt; 0,   tabItens[[#This Row],[Abaixo]] + (tabItens[[#This Row],[PontoMês]] * IF( OR( ISBLANK(tabItens[[#This Row],[ATA Nº/ANO]]), tabItens[[#This Row],[ATA Nº/ANO]] = ""),BE$2,BE$1)),0),0),0)</f>
        <v>0</v>
      </c>
      <c r="BF61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9" s="338">
        <f>SUMIF(Consumo!$C$3:$C$862,tabItens[[#This Row],[CÓDIGO]],Consumo!$E$3:$E$862)</f>
        <v>155</v>
      </c>
      <c r="BH619" s="339">
        <f>IF(AND(tabItens[[#This Row],[Pend]] &gt; 0,tabItens[[#This Row],[Consumo]] &lt;&gt; 0), tabItens[[#This Row],[Pend]] / tabItens[[#This Row],[Consumo]], 0 )</f>
        <v>2.3646432439854157E-3</v>
      </c>
      <c r="BI619" s="338"/>
      <c r="BJ619" s="338"/>
      <c r="BK619" s="340" t="s">
        <v>2086</v>
      </c>
    </row>
    <row r="620" spans="1:63" hidden="1" x14ac:dyDescent="0.3">
      <c r="A620" s="301">
        <v>139141</v>
      </c>
      <c r="B620" s="302" t="s">
        <v>1986</v>
      </c>
      <c r="C620" s="303" t="s">
        <v>31</v>
      </c>
      <c r="D620" s="304">
        <v>5.65</v>
      </c>
      <c r="E620" s="305"/>
      <c r="F620" s="305"/>
      <c r="G620" s="305" t="s">
        <v>889</v>
      </c>
      <c r="H620" s="306">
        <v>1706</v>
      </c>
      <c r="I620" s="307">
        <v>103003</v>
      </c>
      <c r="J620" s="308">
        <v>3.7949999999999999</v>
      </c>
      <c r="K620" s="309">
        <v>3315</v>
      </c>
      <c r="L620" s="310">
        <f>IF(tabItens[[#This Row],[Média]] &gt; 0, tabItens[[#This Row],[QTDE ATUAL]] / tabItens[[#This Row],[Média]],999.9)</f>
        <v>6.6880104540999668</v>
      </c>
      <c r="M620" s="311">
        <v>0</v>
      </c>
      <c r="N620" s="312">
        <f>tabItens[[#This Row],[VALOR UNIT.]] * tabItens[[#This Row],[LC]]</f>
        <v>0</v>
      </c>
      <c r="O620" s="313"/>
      <c r="P620" s="314"/>
      <c r="Q620" s="315"/>
      <c r="R620" s="312"/>
      <c r="S620" s="316"/>
      <c r="T620" s="317">
        <f>ROUNDDOWN(IFERROR(tabItens[[#This Row],[ATA DT.VALID.]] - $D$1,0) / 30,0)</f>
        <v>-1474</v>
      </c>
      <c r="U620" s="302" t="s">
        <v>937</v>
      </c>
      <c r="V620" s="318">
        <v>1</v>
      </c>
      <c r="W620" s="319" t="s">
        <v>2074</v>
      </c>
      <c r="X620" s="320">
        <v>45</v>
      </c>
      <c r="Y620" s="321">
        <v>9</v>
      </c>
      <c r="Z620" s="322"/>
      <c r="AA620" s="323"/>
      <c r="AB620" s="324"/>
      <c r="AC620" s="324"/>
      <c r="AD620" s="323"/>
      <c r="AE620" s="324"/>
      <c r="AF620" s="317"/>
      <c r="AG620" s="325" t="s">
        <v>2072</v>
      </c>
      <c r="AH620" s="326"/>
      <c r="AI620" s="317">
        <v>1274</v>
      </c>
      <c r="AJ620" s="326">
        <v>45057</v>
      </c>
      <c r="AK620" s="326">
        <v>43881</v>
      </c>
      <c r="AL620" s="326">
        <v>45044</v>
      </c>
      <c r="AM620" s="316"/>
      <c r="AN620" s="305"/>
      <c r="AO620" s="327" t="str">
        <f>_xlfn.IFNA(IF(VLOOKUP(tabItens[[#This Row],[CÓDIGO]],tabExcluirDoEstoque[#Data],1,FALSE),"sim",""),"")</f>
        <v/>
      </c>
      <c r="AP620" s="328" t="str">
        <f ca="1">IF(OR(ISBLANK(tabItens[[#This Row],[ATA DT.VALID.]]),tabItens[[#This Row],[ATA DT.VALID.]]="",tabItens[[#This Row],[ATA DT.VALID.]]=" "),"",IF(TYPE(tabItens[[#This Row],[ATA DT.VALID.]])=1,ROUNDUP((tabItens[[#This Row],[ATA DT.VALID.]]-TODAY())/7,0),""))</f>
        <v/>
      </c>
      <c r="AQ620" s="329"/>
      <c r="AR620" s="330" t="str">
        <f>IF(ISBLANK(tabItens[[#This Row],[CÓDIGO]]),"",IFERROR(VLOOKUP(tabItens[[#This Row],[CÓDIGO]],Consumo!$C$2:$AC$862,26,FALSE),0))</f>
        <v>09.2023</v>
      </c>
      <c r="AS620" s="331">
        <f>SUMIF(Consumo!$C$3:$C$862,tabItens[[#This Row],[CÓDIGO]],Consumo!$N$3:$N$862) + SUMIF(Consumo!$C$3:$C$862,tabItens[[#This Row],[CÓDIGO]],Consumo!$O$3:$O$862) + SUMIF(Consumo!$C$3:$C$862,tabItens[[#This Row],[CÓDIGO]],Consumo!$P$3:$P$862) + SUMIF(Consumo!$C$3:$C$862,tabItens[[#This Row],[CÓDIGO]],Consumo!$Q$3:$Q$862)</f>
        <v>625</v>
      </c>
      <c r="AT620" s="331">
        <f>SUMIF(Consumo!$C$3:$C$862,tabItens[[#This Row],[CÓDIGO]],Consumo!$Z$3:$Z$862)</f>
        <v>3921</v>
      </c>
      <c r="AU620" s="332">
        <f>SUMIF(Consumo!$C$3:$C$862,tabItens[[#This Row],[CÓDIGO]],Consumo!$AA$3:$AA$862)</f>
        <v>2526</v>
      </c>
      <c r="AV620" s="333">
        <f>SUMIF(Consumo!$C$3:$C$862,tabItens[[#This Row],[CÓDIGO]],Consumo!$Y$3:$Y$862)</f>
        <v>255.08333333333334</v>
      </c>
      <c r="AW620" s="306">
        <f>tabItens[[#This Row],[QTDE ATUAL]] + tabItens[[#This Row],[RC QTDE]] + tabItens[[#This Row],[AF SALDO]] + tabItens[[#This Row],[Recentes]]</f>
        <v>1706</v>
      </c>
      <c r="AX620" s="334">
        <v>5228</v>
      </c>
      <c r="AY620" s="334">
        <v>4</v>
      </c>
      <c r="AZ620" s="334">
        <f>IF(ISBLANK(tabItens[[#This Row],[CÓDIGO]]),"",tabItens[[#This Row],[PontoMês]] * (AZ$2+tabItens[[#This Row],[PontoQtM]]))</f>
        <v>20912</v>
      </c>
      <c r="BA620" s="333">
        <f>tabItens[[#This Row],[PontoPed]] - tabItens[[#This Row],[Saldo]] + (1/10)</f>
        <v>19206.099999999999</v>
      </c>
      <c r="BB620" s="333">
        <f xml:space="preserve"> tabItens[[#This Row],[PontoMês]] * BB$2 - tabItens[[#This Row],[QTDE ATUAL]] - (1/10)</f>
        <v>3521.9</v>
      </c>
      <c r="BC620" s="335">
        <f>IF( tabItens[[#This Row],[PontoPed]]&gt;0, IF(tabItens[[#This Row],[PontoPed]]&lt;1, 1, IF( tabItens[[#This Row],[Saldo]]&gt;tabItens[[#This Row],[PontoPed]], 0, (tabItens[[#This Row],[PontoPed]]-tabItens[[#This Row],[Saldo]])/tabItens[[#This Row],[PontoPed]] ) ), 0 )</f>
        <v>0.91842004590665649</v>
      </c>
      <c r="BD620" s="336">
        <f>ROUNDDOWN(IF( OR( AND(tabItens[[#This Row],[PontoPed]]&lt;tabItens[[#This Row],[Saldo]],tabItens[[#This Row],[Saldo]]&gt;0), tabItens[[#This Row],[PontoPed]]=0), 99, IF(AND(tabItens[[#This Row],[Saldo]]=0,tabItens[[#This Row],[PontoPed]]&gt;0), 0, (1-tabItens[[#This Row],[PctAb]])*10 ) ),0)</f>
        <v>0</v>
      </c>
      <c r="BE620" s="337">
        <f>MAX(ROUNDDOWN( IF(tabItens[[#This Row],[Abaixo]] &gt; 0,   tabItens[[#This Row],[Abaixo]] + (tabItens[[#This Row],[PontoMês]] * IF( OR( ISBLANK(tabItens[[#This Row],[ATA Nº/ANO]]), tabItens[[#This Row],[ATA Nº/ANO]] = ""),BE$2,BE$1)),0),0),0)</f>
        <v>50574</v>
      </c>
      <c r="BF62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50574</v>
      </c>
      <c r="BG620" s="338">
        <f>SUMIF(Consumo!$C$3:$C$862,tabItens[[#This Row],[CÓDIGO]],Consumo!$E$3:$E$862)</f>
        <v>102</v>
      </c>
      <c r="BH620" s="339">
        <f>IF(AND(tabItens[[#This Row],[Pend]] &gt; 0,tabItens[[#This Row],[Consumo]] &lt;&gt; 0), tabItens[[#This Row],[Pend]] / tabItens[[#This Row],[Consumo]], 0 )</f>
        <v>2.6013771996939557E-2</v>
      </c>
      <c r="BI620" s="338"/>
      <c r="BJ620" s="338"/>
      <c r="BK620" s="340" t="s">
        <v>2086</v>
      </c>
    </row>
    <row r="621" spans="1:63" hidden="1" x14ac:dyDescent="0.3">
      <c r="A621" s="301">
        <v>139142</v>
      </c>
      <c r="B621" s="302" t="s">
        <v>1987</v>
      </c>
      <c r="C621" s="303" t="s">
        <v>31</v>
      </c>
      <c r="D621" s="304">
        <v>6.85</v>
      </c>
      <c r="E621" s="305"/>
      <c r="F621" s="305"/>
      <c r="G621" s="305" t="s">
        <v>889</v>
      </c>
      <c r="H621" s="306">
        <v>1746</v>
      </c>
      <c r="I621" s="307">
        <v>103003</v>
      </c>
      <c r="J621" s="308">
        <v>4.625</v>
      </c>
      <c r="K621" s="309">
        <v>3522</v>
      </c>
      <c r="L621" s="310">
        <f>IF(tabItens[[#This Row],[Média]] &gt; 0, tabItens[[#This Row],[QTDE ATUAL]] / tabItens[[#This Row],[Média]],999.9)</f>
        <v>6.5928256765261173</v>
      </c>
      <c r="M621" s="311">
        <v>0</v>
      </c>
      <c r="N621" s="312">
        <f>tabItens[[#This Row],[VALOR UNIT.]] * tabItens[[#This Row],[LC]]</f>
        <v>0</v>
      </c>
      <c r="O621" s="313"/>
      <c r="P621" s="314"/>
      <c r="Q621" s="315"/>
      <c r="R621" s="312"/>
      <c r="S621" s="316"/>
      <c r="T621" s="317">
        <f>ROUNDDOWN(IFERROR(tabItens[[#This Row],[ATA DT.VALID.]] - $D$1,0) / 30,0)</f>
        <v>-1474</v>
      </c>
      <c r="U621" s="302" t="s">
        <v>937</v>
      </c>
      <c r="V621" s="318">
        <v>1</v>
      </c>
      <c r="W621" s="319" t="s">
        <v>2074</v>
      </c>
      <c r="X621" s="320">
        <v>45</v>
      </c>
      <c r="Y621" s="321">
        <v>9</v>
      </c>
      <c r="Z621" s="322"/>
      <c r="AA621" s="323"/>
      <c r="AB621" s="324"/>
      <c r="AC621" s="324"/>
      <c r="AD621" s="323"/>
      <c r="AE621" s="324"/>
      <c r="AF621" s="317"/>
      <c r="AG621" s="325" t="s">
        <v>2072</v>
      </c>
      <c r="AH621" s="326"/>
      <c r="AI621" s="317">
        <v>1402</v>
      </c>
      <c r="AJ621" s="326">
        <v>45057</v>
      </c>
      <c r="AK621" s="326">
        <v>43881</v>
      </c>
      <c r="AL621" s="326">
        <v>45044</v>
      </c>
      <c r="AM621" s="316"/>
      <c r="AN621" s="305"/>
      <c r="AO621" s="327" t="str">
        <f>_xlfn.IFNA(IF(VLOOKUP(tabItens[[#This Row],[CÓDIGO]],tabExcluirDoEstoque[#Data],1,FALSE),"sim",""),"")</f>
        <v/>
      </c>
      <c r="AP621" s="328" t="str">
        <f ca="1">IF(OR(ISBLANK(tabItens[[#This Row],[ATA DT.VALID.]]),tabItens[[#This Row],[ATA DT.VALID.]]="",tabItens[[#This Row],[ATA DT.VALID.]]=" "),"",IF(TYPE(tabItens[[#This Row],[ATA DT.VALID.]])=1,ROUNDUP((tabItens[[#This Row],[ATA DT.VALID.]]-TODAY())/7,0),""))</f>
        <v/>
      </c>
      <c r="AQ621" s="329"/>
      <c r="AR621" s="330" t="str">
        <f>IF(ISBLANK(tabItens[[#This Row],[CÓDIGO]]),"",IFERROR(VLOOKUP(tabItens[[#This Row],[CÓDIGO]],Consumo!$C$2:$AC$862,26,FALSE),0))</f>
        <v>09.2023</v>
      </c>
      <c r="AS621" s="331">
        <f>SUMIF(Consumo!$C$3:$C$862,tabItens[[#This Row],[CÓDIGO]],Consumo!$N$3:$N$862) + SUMIF(Consumo!$C$3:$C$862,tabItens[[#This Row],[CÓDIGO]],Consumo!$O$3:$O$862) + SUMIF(Consumo!$C$3:$C$862,tabItens[[#This Row],[CÓDIGO]],Consumo!$P$3:$P$862) + SUMIF(Consumo!$C$3:$C$862,tabItens[[#This Row],[CÓDIGO]],Consumo!$Q$3:$Q$862)</f>
        <v>588</v>
      </c>
      <c r="AT621" s="331">
        <f>SUMIF(Consumo!$C$3:$C$862,tabItens[[#This Row],[CÓDIGO]],Consumo!$Z$3:$Z$862)</f>
        <v>4120</v>
      </c>
      <c r="AU621" s="332">
        <f>SUMIF(Consumo!$C$3:$C$862,tabItens[[#This Row],[CÓDIGO]],Consumo!$AA$3:$AA$862)</f>
        <v>2750</v>
      </c>
      <c r="AV621" s="333">
        <f>SUMIF(Consumo!$C$3:$C$862,tabItens[[#This Row],[CÓDIGO]],Consumo!$Y$3:$Y$862)</f>
        <v>264.83333333333331</v>
      </c>
      <c r="AW621" s="306">
        <f>tabItens[[#This Row],[QTDE ATUAL]] + tabItens[[#This Row],[RC QTDE]] + tabItens[[#This Row],[AF SALDO]] + tabItens[[#This Row],[Recentes]]</f>
        <v>1746</v>
      </c>
      <c r="AX621" s="334">
        <v>5051</v>
      </c>
      <c r="AY621" s="334">
        <v>4</v>
      </c>
      <c r="AZ621" s="334">
        <f>IF(ISBLANK(tabItens[[#This Row],[CÓDIGO]]),"",tabItens[[#This Row],[PontoMês]] * (AZ$2+tabItens[[#This Row],[PontoQtM]]))</f>
        <v>20204</v>
      </c>
      <c r="BA621" s="333">
        <f>tabItens[[#This Row],[PontoPed]] - tabItens[[#This Row],[Saldo]] + (1/10)</f>
        <v>18458.099999999999</v>
      </c>
      <c r="BB621" s="333">
        <f xml:space="preserve"> tabItens[[#This Row],[PontoMês]] * BB$2 - tabItens[[#This Row],[QTDE ATUAL]] - (1/10)</f>
        <v>3304.9</v>
      </c>
      <c r="BC621" s="335">
        <f>IF( tabItens[[#This Row],[PontoPed]]&gt;0, IF(tabItens[[#This Row],[PontoPed]]&lt;1, 1, IF( tabItens[[#This Row],[Saldo]]&gt;tabItens[[#This Row],[PontoPed]], 0, (tabItens[[#This Row],[PontoPed]]-tabItens[[#This Row],[Saldo]])/tabItens[[#This Row],[PontoPed]] ) ), 0 )</f>
        <v>0.91358146901603643</v>
      </c>
      <c r="BD621" s="336">
        <f>ROUNDDOWN(IF( OR( AND(tabItens[[#This Row],[PontoPed]]&lt;tabItens[[#This Row],[Saldo]],tabItens[[#This Row],[Saldo]]&gt;0), tabItens[[#This Row],[PontoPed]]=0), 99, IF(AND(tabItens[[#This Row],[Saldo]]=0,tabItens[[#This Row],[PontoPed]]&gt;0), 0, (1-tabItens[[#This Row],[PctAb]])*10 ) ),0)</f>
        <v>0</v>
      </c>
      <c r="BE621" s="337">
        <f>MAX(ROUNDDOWN( IF(tabItens[[#This Row],[Abaixo]] &gt; 0,   tabItens[[#This Row],[Abaixo]] + (tabItens[[#This Row],[PontoMês]] * IF( OR( ISBLANK(tabItens[[#This Row],[ATA Nº/ANO]]), tabItens[[#This Row],[ATA Nº/ANO]] = ""),BE$2,BE$1)),0),0),0)</f>
        <v>48764</v>
      </c>
      <c r="BF62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48764</v>
      </c>
      <c r="BG621" s="338">
        <f>SUMIF(Consumo!$C$3:$C$862,tabItens[[#This Row],[CÓDIGO]],Consumo!$E$3:$E$862)</f>
        <v>65</v>
      </c>
      <c r="BH621" s="339">
        <f>IF(AND(tabItens[[#This Row],[Pend]] &gt; 0,tabItens[[#This Row],[Consumo]] &lt;&gt; 0), tabItens[[#This Row],[Pend]] / tabItens[[#This Row],[Consumo]], 0 )</f>
        <v>1.5776699029126214E-2</v>
      </c>
      <c r="BI621" s="338"/>
      <c r="BJ621" s="338"/>
      <c r="BK621" s="340" t="s">
        <v>2086</v>
      </c>
    </row>
    <row r="622" spans="1:63" hidden="1" x14ac:dyDescent="0.3">
      <c r="A622" s="301">
        <v>139143</v>
      </c>
      <c r="B622" s="302" t="s">
        <v>1988</v>
      </c>
      <c r="C622" s="303" t="s">
        <v>31</v>
      </c>
      <c r="D622" s="304">
        <v>10.4</v>
      </c>
      <c r="E622" s="305"/>
      <c r="F622" s="305"/>
      <c r="G622" s="305" t="s">
        <v>889</v>
      </c>
      <c r="H622" s="306">
        <v>250</v>
      </c>
      <c r="I622" s="307">
        <v>103003</v>
      </c>
      <c r="J622" s="308">
        <v>10.4</v>
      </c>
      <c r="K622" s="309">
        <v>4867</v>
      </c>
      <c r="L622" s="310">
        <f>IF(tabItens[[#This Row],[Média]] &gt; 0, tabItens[[#This Row],[QTDE ATUAL]] / tabItens[[#This Row],[Média]],999.9)</f>
        <v>0.7255139056831923</v>
      </c>
      <c r="M622" s="311">
        <v>0</v>
      </c>
      <c r="N622" s="312">
        <f>tabItens[[#This Row],[VALOR UNIT.]] * tabItens[[#This Row],[LC]]</f>
        <v>0</v>
      </c>
      <c r="O622" s="313"/>
      <c r="P622" s="314"/>
      <c r="Q622" s="315"/>
      <c r="R622" s="312"/>
      <c r="S622" s="316"/>
      <c r="T622" s="317">
        <f>ROUNDDOWN(IFERROR(tabItens[[#This Row],[ATA DT.VALID.]] - $D$1,0) / 30,0)</f>
        <v>-1474</v>
      </c>
      <c r="U622" s="302" t="s">
        <v>937</v>
      </c>
      <c r="V622" s="318">
        <v>1</v>
      </c>
      <c r="W622" s="319" t="s">
        <v>2074</v>
      </c>
      <c r="X622" s="320">
        <v>45</v>
      </c>
      <c r="Y622" s="321">
        <v>9</v>
      </c>
      <c r="Z622" s="322">
        <v>6978</v>
      </c>
      <c r="AA622" s="323">
        <v>2023</v>
      </c>
      <c r="AB622" s="324">
        <v>1100</v>
      </c>
      <c r="AC622" s="324"/>
      <c r="AD622" s="323"/>
      <c r="AE622" s="324"/>
      <c r="AF622" s="317"/>
      <c r="AG622" s="325" t="s">
        <v>2072</v>
      </c>
      <c r="AH622" s="326"/>
      <c r="AI622" s="317">
        <v>1850</v>
      </c>
      <c r="AJ622" s="326">
        <v>44974</v>
      </c>
      <c r="AK622" s="326">
        <v>43881</v>
      </c>
      <c r="AL622" s="326">
        <v>45044</v>
      </c>
      <c r="AM622" s="316"/>
      <c r="AN622" s="305"/>
      <c r="AO622" s="327" t="str">
        <f>_xlfn.IFNA(IF(VLOOKUP(tabItens[[#This Row],[CÓDIGO]],tabExcluirDoEstoque[#Data],1,FALSE),"sim",""),"")</f>
        <v/>
      </c>
      <c r="AP622" s="328" t="str">
        <f ca="1">IF(OR(ISBLANK(tabItens[[#This Row],[ATA DT.VALID.]]),tabItens[[#This Row],[ATA DT.VALID.]]="",tabItens[[#This Row],[ATA DT.VALID.]]=" "),"",IF(TYPE(tabItens[[#This Row],[ATA DT.VALID.]])=1,ROUNDUP((tabItens[[#This Row],[ATA DT.VALID.]]-TODAY())/7,0),""))</f>
        <v/>
      </c>
      <c r="AQ622" s="329"/>
      <c r="AR622" s="330" t="str">
        <f>IF(ISBLANK(tabItens[[#This Row],[CÓDIGO]]),"",IFERROR(VLOOKUP(tabItens[[#This Row],[CÓDIGO]],Consumo!$C$2:$AC$862,26,FALSE),0))</f>
        <v>09.2023</v>
      </c>
      <c r="AS622" s="331">
        <f>SUMIF(Consumo!$C$3:$C$862,tabItens[[#This Row],[CÓDIGO]],Consumo!$N$3:$N$862) + SUMIF(Consumo!$C$3:$C$862,tabItens[[#This Row],[CÓDIGO]],Consumo!$O$3:$O$862) + SUMIF(Consumo!$C$3:$C$862,tabItens[[#This Row],[CÓDIGO]],Consumo!$P$3:$P$862) + SUMIF(Consumo!$C$3:$C$862,tabItens[[#This Row],[CÓDIGO]],Consumo!$Q$3:$Q$862)</f>
        <v>613</v>
      </c>
      <c r="AT622" s="331">
        <f>SUMIF(Consumo!$C$3:$C$862,tabItens[[#This Row],[CÓDIGO]],Consumo!$Z$3:$Z$862)</f>
        <v>5550</v>
      </c>
      <c r="AU622" s="332">
        <f>SUMIF(Consumo!$C$3:$C$862,tabItens[[#This Row],[CÓDIGO]],Consumo!$AA$3:$AA$862)</f>
        <v>4066</v>
      </c>
      <c r="AV622" s="333">
        <f>SUMIF(Consumo!$C$3:$C$862,tabItens[[#This Row],[CÓDIGO]],Consumo!$Y$3:$Y$862)</f>
        <v>344.58333333333331</v>
      </c>
      <c r="AW622" s="306">
        <f>tabItens[[#This Row],[QTDE ATUAL]] + tabItens[[#This Row],[RC QTDE]] + tabItens[[#This Row],[AF SALDO]] + tabItens[[#This Row],[Recentes]]</f>
        <v>1350</v>
      </c>
      <c r="AX622" s="334">
        <v>5041</v>
      </c>
      <c r="AY622" s="334">
        <v>4</v>
      </c>
      <c r="AZ622" s="334">
        <f>IF(ISBLANK(tabItens[[#This Row],[CÓDIGO]]),"",tabItens[[#This Row],[PontoMês]] * (AZ$2+tabItens[[#This Row],[PontoQtM]]))</f>
        <v>20164</v>
      </c>
      <c r="BA622" s="333">
        <f>tabItens[[#This Row],[PontoPed]] - tabItens[[#This Row],[Saldo]] + (1/10)</f>
        <v>18814.099999999999</v>
      </c>
      <c r="BB622" s="333">
        <f xml:space="preserve"> tabItens[[#This Row],[PontoMês]] * BB$2 - tabItens[[#This Row],[QTDE ATUAL]] - (1/10)</f>
        <v>4790.8999999999996</v>
      </c>
      <c r="BC622" s="335">
        <f>IF( tabItens[[#This Row],[PontoPed]]&gt;0, IF(tabItens[[#This Row],[PontoPed]]&lt;1, 1, IF( tabItens[[#This Row],[Saldo]]&gt;tabItens[[#This Row],[PontoPed]], 0, (tabItens[[#This Row],[PontoPed]]-tabItens[[#This Row],[Saldo]])/tabItens[[#This Row],[PontoPed]] ) ), 0 )</f>
        <v>0.93304899821463994</v>
      </c>
      <c r="BD622" s="336">
        <f>ROUNDDOWN(IF( OR( AND(tabItens[[#This Row],[PontoPed]]&lt;tabItens[[#This Row],[Saldo]],tabItens[[#This Row],[Saldo]]&gt;0), tabItens[[#This Row],[PontoPed]]=0), 99, IF(AND(tabItens[[#This Row],[Saldo]]=0,tabItens[[#This Row],[PontoPed]]&gt;0), 0, (1-tabItens[[#This Row],[PctAb]])*10 ) ),0)</f>
        <v>0</v>
      </c>
      <c r="BE622" s="337">
        <f>MAX(ROUNDDOWN( IF(tabItens[[#This Row],[Abaixo]] &gt; 0,   tabItens[[#This Row],[Abaixo]] + (tabItens[[#This Row],[PontoMês]] * IF( OR( ISBLANK(tabItens[[#This Row],[ATA Nº/ANO]]), tabItens[[#This Row],[ATA Nº/ANO]] = ""),BE$2,BE$1)),0),0),0)</f>
        <v>49060</v>
      </c>
      <c r="BF62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49060</v>
      </c>
      <c r="BG622" s="338">
        <f>SUMIF(Consumo!$C$3:$C$862,tabItens[[#This Row],[CÓDIGO]],Consumo!$E$3:$E$862)</f>
        <v>3</v>
      </c>
      <c r="BH622" s="339">
        <f>IF(AND(tabItens[[#This Row],[Pend]] &gt; 0,tabItens[[#This Row],[Consumo]] &lt;&gt; 0), tabItens[[#This Row],[Pend]] / tabItens[[#This Row],[Consumo]], 0 )</f>
        <v>5.4054054054054055E-4</v>
      </c>
      <c r="BI622" s="338"/>
      <c r="BJ622" s="338"/>
      <c r="BK622" s="340" t="s">
        <v>2086</v>
      </c>
    </row>
    <row r="623" spans="1:63" hidden="1" x14ac:dyDescent="0.3">
      <c r="A623" s="301">
        <v>139144</v>
      </c>
      <c r="B623" s="302" t="s">
        <v>1989</v>
      </c>
      <c r="C623" s="303" t="s">
        <v>31</v>
      </c>
      <c r="D623" s="304">
        <v>14.1</v>
      </c>
      <c r="E623" s="305"/>
      <c r="F623" s="305"/>
      <c r="G623" s="305" t="s">
        <v>889</v>
      </c>
      <c r="H623" s="306">
        <v>542</v>
      </c>
      <c r="I623" s="307">
        <v>103003</v>
      </c>
      <c r="J623" s="308">
        <v>14.1</v>
      </c>
      <c r="K623" s="309">
        <v>4839</v>
      </c>
      <c r="L623" s="310">
        <f>IF(tabItens[[#This Row],[Média]] &gt; 0, tabItens[[#This Row],[QTDE ATUAL]] / tabItens[[#This Row],[Média]],999.9)</f>
        <v>2.0223880597014925</v>
      </c>
      <c r="M623" s="311">
        <v>0</v>
      </c>
      <c r="N623" s="312">
        <f>tabItens[[#This Row],[VALOR UNIT.]] * tabItens[[#This Row],[LC]]</f>
        <v>0</v>
      </c>
      <c r="O623" s="313"/>
      <c r="P623" s="314"/>
      <c r="Q623" s="315"/>
      <c r="R623" s="312"/>
      <c r="S623" s="316"/>
      <c r="T623" s="317">
        <f>ROUNDDOWN(IFERROR(tabItens[[#This Row],[ATA DT.VALID.]] - $D$1,0) / 30,0)</f>
        <v>-1474</v>
      </c>
      <c r="U623" s="302" t="s">
        <v>937</v>
      </c>
      <c r="V623" s="318">
        <v>1</v>
      </c>
      <c r="W623" s="319" t="s">
        <v>2074</v>
      </c>
      <c r="X623" s="320">
        <v>45</v>
      </c>
      <c r="Y623" s="321">
        <v>9</v>
      </c>
      <c r="Z623" s="322">
        <v>6982</v>
      </c>
      <c r="AA623" s="323">
        <v>2023</v>
      </c>
      <c r="AB623" s="324">
        <v>1200</v>
      </c>
      <c r="AC623" s="324"/>
      <c r="AD623" s="323"/>
      <c r="AE623" s="324"/>
      <c r="AF623" s="317"/>
      <c r="AG623" s="325" t="s">
        <v>2072</v>
      </c>
      <c r="AH623" s="326"/>
      <c r="AI623" s="317">
        <v>1614</v>
      </c>
      <c r="AJ623" s="326">
        <v>44337</v>
      </c>
      <c r="AK623" s="326">
        <v>43881</v>
      </c>
      <c r="AL623" s="326">
        <v>45044</v>
      </c>
      <c r="AM623" s="316"/>
      <c r="AN623" s="305"/>
      <c r="AO623" s="327" t="str">
        <f>_xlfn.IFNA(IF(VLOOKUP(tabItens[[#This Row],[CÓDIGO]],tabExcluirDoEstoque[#Data],1,FALSE),"sim",""),"")</f>
        <v/>
      </c>
      <c r="AP623" s="328" t="str">
        <f ca="1">IF(OR(ISBLANK(tabItens[[#This Row],[ATA DT.VALID.]]),tabItens[[#This Row],[ATA DT.VALID.]]="",tabItens[[#This Row],[ATA DT.VALID.]]=" "),"",IF(TYPE(tabItens[[#This Row],[ATA DT.VALID.]])=1,ROUNDUP((tabItens[[#This Row],[ATA DT.VALID.]]-TODAY())/7,0),""))</f>
        <v/>
      </c>
      <c r="AQ623" s="329"/>
      <c r="AR623" s="330" t="str">
        <f>IF(ISBLANK(tabItens[[#This Row],[CÓDIGO]]),"",IFERROR(VLOOKUP(tabItens[[#This Row],[CÓDIGO]],Consumo!$C$2:$AC$862,26,FALSE),0))</f>
        <v>08.2023</v>
      </c>
      <c r="AS623" s="331">
        <f>SUMIF(Consumo!$C$3:$C$862,tabItens[[#This Row],[CÓDIGO]],Consumo!$N$3:$N$862) + SUMIF(Consumo!$C$3:$C$862,tabItens[[#This Row],[CÓDIGO]],Consumo!$O$3:$O$862) + SUMIF(Consumo!$C$3:$C$862,tabItens[[#This Row],[CÓDIGO]],Consumo!$P$3:$P$862) + SUMIF(Consumo!$C$3:$C$862,tabItens[[#This Row],[CÓDIGO]],Consumo!$Q$3:$Q$862)</f>
        <v>16</v>
      </c>
      <c r="AT623" s="331">
        <f>SUMIF(Consumo!$C$3:$C$862,tabItens[[#This Row],[CÓDIGO]],Consumo!$Z$3:$Z$862)</f>
        <v>4839</v>
      </c>
      <c r="AU623" s="332">
        <f>SUMIF(Consumo!$C$3:$C$862,tabItens[[#This Row],[CÓDIGO]],Consumo!$AA$3:$AA$862)</f>
        <v>4787</v>
      </c>
      <c r="AV623" s="333">
        <f>SUMIF(Consumo!$C$3:$C$862,tabItens[[#This Row],[CÓDIGO]],Consumo!$Y$3:$Y$862)</f>
        <v>268</v>
      </c>
      <c r="AW623" s="306">
        <f>tabItens[[#This Row],[QTDE ATUAL]] + tabItens[[#This Row],[RC QTDE]] + tabItens[[#This Row],[AF SALDO]] + tabItens[[#This Row],[Recentes]]</f>
        <v>1742</v>
      </c>
      <c r="AX623" s="334">
        <v>81</v>
      </c>
      <c r="AY623" s="334">
        <v>4</v>
      </c>
      <c r="AZ623" s="334">
        <f>IF(ISBLANK(tabItens[[#This Row],[CÓDIGO]]),"",tabItens[[#This Row],[PontoMês]] * (AZ$2+tabItens[[#This Row],[PontoQtM]]))</f>
        <v>324</v>
      </c>
      <c r="BA623" s="333">
        <f>tabItens[[#This Row],[PontoPed]] - tabItens[[#This Row],[Saldo]] + (1/10)</f>
        <v>-1417.9</v>
      </c>
      <c r="BB623" s="333">
        <f xml:space="preserve"> tabItens[[#This Row],[PontoMês]] * BB$2 - tabItens[[#This Row],[QTDE ATUAL]] - (1/10)</f>
        <v>-461.1</v>
      </c>
      <c r="BC623" s="335">
        <f>IF( tabItens[[#This Row],[PontoPed]]&gt;0, IF(tabItens[[#This Row],[PontoPed]]&lt;1, 1, IF( tabItens[[#This Row],[Saldo]]&gt;tabItens[[#This Row],[PontoPed]], 0, (tabItens[[#This Row],[PontoPed]]-tabItens[[#This Row],[Saldo]])/tabItens[[#This Row],[PontoPed]] ) ), 0 )</f>
        <v>0</v>
      </c>
      <c r="BD623" s="336">
        <f>ROUNDDOWN(IF( OR( AND(tabItens[[#This Row],[PontoPed]]&lt;tabItens[[#This Row],[Saldo]],tabItens[[#This Row],[Saldo]]&gt;0), tabItens[[#This Row],[PontoPed]]=0), 99, IF(AND(tabItens[[#This Row],[Saldo]]=0,tabItens[[#This Row],[PontoPed]]&gt;0), 0, (1-tabItens[[#This Row],[PctAb]])*10 ) ),0)</f>
        <v>99</v>
      </c>
      <c r="BE623" s="337">
        <f>MAX(ROUNDDOWN( IF(tabItens[[#This Row],[Abaixo]] &gt; 0,   tabItens[[#This Row],[Abaixo]] + (tabItens[[#This Row],[PontoMês]] * IF( OR( ISBLANK(tabItens[[#This Row],[ATA Nº/ANO]]), tabItens[[#This Row],[ATA Nº/ANO]] = ""),BE$2,BE$1)),0),0),0)</f>
        <v>0</v>
      </c>
      <c r="BF62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3" s="338">
        <f>SUMIF(Consumo!$C$3:$C$862,tabItens[[#This Row],[CÓDIGO]],Consumo!$E$3:$E$862)</f>
        <v>0</v>
      </c>
      <c r="BH623" s="339">
        <f>IF(AND(tabItens[[#This Row],[Pend]] &gt; 0,tabItens[[#This Row],[Consumo]] &lt;&gt; 0), tabItens[[#This Row],[Pend]] / tabItens[[#This Row],[Consumo]], 0 )</f>
        <v>0</v>
      </c>
      <c r="BI623" s="338"/>
      <c r="BJ623" s="338"/>
      <c r="BK623" s="340" t="s">
        <v>2086</v>
      </c>
    </row>
    <row r="624" spans="1:63" hidden="1" x14ac:dyDescent="0.3">
      <c r="A624" s="301">
        <v>11418</v>
      </c>
      <c r="B624" s="302" t="s">
        <v>935</v>
      </c>
      <c r="C624" s="303" t="s">
        <v>263</v>
      </c>
      <c r="D624" s="304">
        <v>1.39</v>
      </c>
      <c r="E624" s="305"/>
      <c r="F624" s="305"/>
      <c r="G624" s="305" t="s">
        <v>889</v>
      </c>
      <c r="H624" s="306">
        <v>1449</v>
      </c>
      <c r="I624" s="307">
        <v>103003</v>
      </c>
      <c r="J624" s="308">
        <v>1.39</v>
      </c>
      <c r="K624" s="309">
        <v>7426</v>
      </c>
      <c r="L624" s="310">
        <f>IF(tabItens[[#This Row],[Média]] &gt; 0, tabItens[[#This Row],[QTDE ATUAL]] / tabItens[[#This Row],[Média]],999.9)</f>
        <v>2.4921886197506091</v>
      </c>
      <c r="M624" s="311">
        <v>0</v>
      </c>
      <c r="N624" s="312">
        <f>tabItens[[#This Row],[VALOR UNIT.]] * tabItens[[#This Row],[LC]]</f>
        <v>0</v>
      </c>
      <c r="O624" s="313"/>
      <c r="P624" s="314"/>
      <c r="Q624" s="315"/>
      <c r="R624" s="312"/>
      <c r="S624" s="316"/>
      <c r="T624" s="317">
        <f>ROUNDDOWN(IFERROR(tabItens[[#This Row],[ATA DT.VALID.]] - $D$1,0) / 30,0)</f>
        <v>-1474</v>
      </c>
      <c r="U624" s="302" t="s">
        <v>909</v>
      </c>
      <c r="V624" s="318">
        <v>1</v>
      </c>
      <c r="W624" s="319" t="s">
        <v>2074</v>
      </c>
      <c r="X624" s="320">
        <v>45</v>
      </c>
      <c r="Y624" s="321">
        <v>10</v>
      </c>
      <c r="Z624" s="322">
        <v>6209</v>
      </c>
      <c r="AA624" s="323">
        <v>2023</v>
      </c>
      <c r="AB624" s="324">
        <v>1000</v>
      </c>
      <c r="AC624" s="324"/>
      <c r="AD624" s="323"/>
      <c r="AE624" s="324"/>
      <c r="AF624" s="317"/>
      <c r="AG624" s="325" t="s">
        <v>2072</v>
      </c>
      <c r="AH624" s="326"/>
      <c r="AI624" s="317">
        <v>2860</v>
      </c>
      <c r="AJ624" s="326">
        <v>44956</v>
      </c>
      <c r="AK624" s="326" t="s">
        <v>889</v>
      </c>
      <c r="AL624" s="326">
        <v>44910</v>
      </c>
      <c r="AM624" s="316"/>
      <c r="AN624" s="305"/>
      <c r="AO624" s="327" t="str">
        <f>_xlfn.IFNA(IF(VLOOKUP(tabItens[[#This Row],[CÓDIGO]],tabExcluirDoEstoque[#Data],1,FALSE),"sim",""),"")</f>
        <v/>
      </c>
      <c r="AP624" s="328" t="str">
        <f ca="1">IF(OR(ISBLANK(tabItens[[#This Row],[ATA DT.VALID.]]),tabItens[[#This Row],[ATA DT.VALID.]]="",tabItens[[#This Row],[ATA DT.VALID.]]=" "),"",IF(TYPE(tabItens[[#This Row],[ATA DT.VALID.]])=1,ROUNDUP((tabItens[[#This Row],[ATA DT.VALID.]]-TODAY())/7,0),""))</f>
        <v/>
      </c>
      <c r="AQ624" s="329"/>
      <c r="AR624" s="330" t="str">
        <f>IF(ISBLANK(tabItens[[#This Row],[CÓDIGO]]),"",IFERROR(VLOOKUP(tabItens[[#This Row],[CÓDIGO]],Consumo!$C$2:$AC$862,26,FALSE),0))</f>
        <v>09.2023</v>
      </c>
      <c r="AS624" s="331">
        <f>SUMIF(Consumo!$C$3:$C$862,tabItens[[#This Row],[CÓDIGO]],Consumo!$N$3:$N$862) + SUMIF(Consumo!$C$3:$C$862,tabItens[[#This Row],[CÓDIGO]],Consumo!$O$3:$O$862) + SUMIF(Consumo!$C$3:$C$862,tabItens[[#This Row],[CÓDIGO]],Consumo!$P$3:$P$862) + SUMIF(Consumo!$C$3:$C$862,tabItens[[#This Row],[CÓDIGO]],Consumo!$Q$3:$Q$862)</f>
        <v>1466</v>
      </c>
      <c r="AT624" s="331">
        <f>SUMIF(Consumo!$C$3:$C$862,tabItens[[#This Row],[CÓDIGO]],Consumo!$Z$3:$Z$862)</f>
        <v>8808</v>
      </c>
      <c r="AU624" s="332">
        <f>SUMIF(Consumo!$C$3:$C$862,tabItens[[#This Row],[CÓDIGO]],Consumo!$AA$3:$AA$862)</f>
        <v>5441</v>
      </c>
      <c r="AV624" s="333">
        <f>SUMIF(Consumo!$C$3:$C$862,tabItens[[#This Row],[CÓDIGO]],Consumo!$Y$3:$Y$862)</f>
        <v>581.41666666666663</v>
      </c>
      <c r="AW624" s="306">
        <f>tabItens[[#This Row],[QTDE ATUAL]] + tabItens[[#This Row],[RC QTDE]] + tabItens[[#This Row],[AF SALDO]] + tabItens[[#This Row],[Recentes]]</f>
        <v>2449</v>
      </c>
      <c r="AX624" s="334">
        <v>657</v>
      </c>
      <c r="AY624" s="334">
        <v>4</v>
      </c>
      <c r="AZ624" s="334">
        <f>IF(ISBLANK(tabItens[[#This Row],[CÓDIGO]]),"",tabItens[[#This Row],[PontoMês]] * (AZ$2+tabItens[[#This Row],[PontoQtM]]))</f>
        <v>2628</v>
      </c>
      <c r="BA624" s="333">
        <f>tabItens[[#This Row],[PontoPed]] - tabItens[[#This Row],[Saldo]] + (1/10)</f>
        <v>179.1</v>
      </c>
      <c r="BB624" s="333">
        <f xml:space="preserve"> tabItens[[#This Row],[PontoMês]] * BB$2 - tabItens[[#This Row],[QTDE ATUAL]] - (1/10)</f>
        <v>-792.1</v>
      </c>
      <c r="BC624" s="335">
        <f>IF( tabItens[[#This Row],[PontoPed]]&gt;0, IF(tabItens[[#This Row],[PontoPed]]&lt;1, 1, IF( tabItens[[#This Row],[Saldo]]&gt;tabItens[[#This Row],[PontoPed]], 0, (tabItens[[#This Row],[PontoPed]]-tabItens[[#This Row],[Saldo]])/tabItens[[#This Row],[PontoPed]] ) ), 0 )</f>
        <v>6.8112633181126328E-2</v>
      </c>
      <c r="BD624" s="336">
        <f>ROUNDDOWN(IF( OR( AND(tabItens[[#This Row],[PontoPed]]&lt;tabItens[[#This Row],[Saldo]],tabItens[[#This Row],[Saldo]]&gt;0), tabItens[[#This Row],[PontoPed]]=0), 99, IF(AND(tabItens[[#This Row],[Saldo]]=0,tabItens[[#This Row],[PontoPed]]&gt;0), 0, (1-tabItens[[#This Row],[PctAb]])*10 ) ),0)</f>
        <v>9</v>
      </c>
      <c r="BE624" s="337">
        <f>MAX(ROUNDDOWN( IF(tabItens[[#This Row],[Abaixo]] &gt; 0,   tabItens[[#This Row],[Abaixo]] + (tabItens[[#This Row],[PontoMês]] * IF( OR( ISBLANK(tabItens[[#This Row],[ATA Nº/ANO]]), tabItens[[#This Row],[ATA Nº/ANO]] = ""),BE$2,BE$1)),0),0),0)</f>
        <v>4121</v>
      </c>
      <c r="BF62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4121</v>
      </c>
      <c r="BG624" s="338">
        <f>SUMIF(Consumo!$C$3:$C$862,tabItens[[#This Row],[CÓDIGO]],Consumo!$E$3:$E$862)</f>
        <v>230</v>
      </c>
      <c r="BH624" s="339">
        <f>IF(AND(tabItens[[#This Row],[Pend]] &gt; 0,tabItens[[#This Row],[Consumo]] &lt;&gt; 0), tabItens[[#This Row],[Pend]] / tabItens[[#This Row],[Consumo]], 0 )</f>
        <v>2.6112624886466849E-2</v>
      </c>
      <c r="BI624" s="338"/>
      <c r="BJ624" s="338"/>
      <c r="BK624" s="340" t="s">
        <v>2086</v>
      </c>
    </row>
    <row r="625" spans="1:63" hidden="1" x14ac:dyDescent="0.3">
      <c r="A625" s="301">
        <v>11509</v>
      </c>
      <c r="B625" s="302" t="s">
        <v>938</v>
      </c>
      <c r="C625" s="303" t="s">
        <v>263</v>
      </c>
      <c r="D625" s="304">
        <v>1.31</v>
      </c>
      <c r="E625" s="305"/>
      <c r="F625" s="305"/>
      <c r="G625" s="305" t="s">
        <v>889</v>
      </c>
      <c r="H625" s="306">
        <v>2933</v>
      </c>
      <c r="I625" s="307">
        <v>103003</v>
      </c>
      <c r="J625" s="308">
        <v>1.31</v>
      </c>
      <c r="K625" s="309">
        <v>7025</v>
      </c>
      <c r="L625" s="310">
        <f>IF(tabItens[[#This Row],[Média]] &gt; 0, tabItens[[#This Row],[QTDE ATUAL]] / tabItens[[#This Row],[Média]],999.9)</f>
        <v>5.0258460659717263</v>
      </c>
      <c r="M625" s="311">
        <v>0</v>
      </c>
      <c r="N625" s="312">
        <f>tabItens[[#This Row],[VALOR UNIT.]] * tabItens[[#This Row],[LC]]</f>
        <v>0</v>
      </c>
      <c r="O625" s="313"/>
      <c r="P625" s="314"/>
      <c r="Q625" s="315"/>
      <c r="R625" s="312"/>
      <c r="S625" s="316"/>
      <c r="T625" s="317">
        <f>ROUNDDOWN(IFERROR(tabItens[[#This Row],[ATA DT.VALID.]] - $D$1,0) / 30,0)</f>
        <v>-1474</v>
      </c>
      <c r="U625" s="302" t="s">
        <v>909</v>
      </c>
      <c r="V625" s="318">
        <v>1</v>
      </c>
      <c r="W625" s="319" t="s">
        <v>2074</v>
      </c>
      <c r="X625" s="320">
        <v>45</v>
      </c>
      <c r="Y625" s="321">
        <v>10</v>
      </c>
      <c r="Z625" s="322"/>
      <c r="AA625" s="323"/>
      <c r="AB625" s="324"/>
      <c r="AC625" s="324"/>
      <c r="AD625" s="323"/>
      <c r="AE625" s="324"/>
      <c r="AF625" s="317"/>
      <c r="AG625" s="325" t="s">
        <v>2072</v>
      </c>
      <c r="AH625" s="326"/>
      <c r="AI625" s="317">
        <v>2900</v>
      </c>
      <c r="AJ625" s="326">
        <v>44956</v>
      </c>
      <c r="AK625" s="326" t="s">
        <v>889</v>
      </c>
      <c r="AL625" s="326">
        <v>44910</v>
      </c>
      <c r="AM625" s="316"/>
      <c r="AN625" s="305"/>
      <c r="AO625" s="327" t="str">
        <f>_xlfn.IFNA(IF(VLOOKUP(tabItens[[#This Row],[CÓDIGO]],tabExcluirDoEstoque[#Data],1,FALSE),"sim",""),"")</f>
        <v/>
      </c>
      <c r="AP625" s="328" t="str">
        <f ca="1">IF(OR(ISBLANK(tabItens[[#This Row],[ATA DT.VALID.]]),tabItens[[#This Row],[ATA DT.VALID.]]="",tabItens[[#This Row],[ATA DT.VALID.]]=" "),"",IF(TYPE(tabItens[[#This Row],[ATA DT.VALID.]])=1,ROUNDUP((tabItens[[#This Row],[ATA DT.VALID.]]-TODAY())/7,0),""))</f>
        <v/>
      </c>
      <c r="AQ625" s="329"/>
      <c r="AR625" s="330" t="str">
        <f>IF(ISBLANK(tabItens[[#This Row],[CÓDIGO]]),"",IFERROR(VLOOKUP(tabItens[[#This Row],[CÓDIGO]],Consumo!$C$2:$AC$862,26,FALSE),0))</f>
        <v>09.2023</v>
      </c>
      <c r="AS625" s="331">
        <f>SUMIF(Consumo!$C$3:$C$862,tabItens[[#This Row],[CÓDIGO]],Consumo!$N$3:$N$862) + SUMIF(Consumo!$C$3:$C$862,tabItens[[#This Row],[CÓDIGO]],Consumo!$O$3:$O$862) + SUMIF(Consumo!$C$3:$C$862,tabItens[[#This Row],[CÓDIGO]],Consumo!$P$3:$P$862) + SUMIF(Consumo!$C$3:$C$862,tabItens[[#This Row],[CÓDIGO]],Consumo!$Q$3:$Q$862)</f>
        <v>1276</v>
      </c>
      <c r="AT625" s="331">
        <f>SUMIF(Consumo!$C$3:$C$862,tabItens[[#This Row],[CÓDIGO]],Consumo!$Z$3:$Z$862)</f>
        <v>8702</v>
      </c>
      <c r="AU625" s="332">
        <f>SUMIF(Consumo!$C$3:$C$862,tabItens[[#This Row],[CÓDIGO]],Consumo!$AA$3:$AA$862)</f>
        <v>5318</v>
      </c>
      <c r="AV625" s="333">
        <f>SUMIF(Consumo!$C$3:$C$862,tabItens[[#This Row],[CÓDIGO]],Consumo!$Y$3:$Y$862)</f>
        <v>583.58333333333337</v>
      </c>
      <c r="AW625" s="306">
        <f>tabItens[[#This Row],[QTDE ATUAL]] + tabItens[[#This Row],[RC QTDE]] + tabItens[[#This Row],[AF SALDO]] + tabItens[[#This Row],[Recentes]]</f>
        <v>2933</v>
      </c>
      <c r="AX625" s="334">
        <v>635</v>
      </c>
      <c r="AY625" s="334">
        <v>4</v>
      </c>
      <c r="AZ625" s="334">
        <f>IF(ISBLANK(tabItens[[#This Row],[CÓDIGO]]),"",tabItens[[#This Row],[PontoMês]] * (AZ$2+tabItens[[#This Row],[PontoQtM]]))</f>
        <v>2540</v>
      </c>
      <c r="BA625" s="333">
        <f>tabItens[[#This Row],[PontoPed]] - tabItens[[#This Row],[Saldo]] + (1/10)</f>
        <v>-392.9</v>
      </c>
      <c r="BB625" s="333">
        <f xml:space="preserve"> tabItens[[#This Row],[PontoMês]] * BB$2 - tabItens[[#This Row],[QTDE ATUAL]] - (1/10)</f>
        <v>-2298.1</v>
      </c>
      <c r="BC625" s="335">
        <f>IF( tabItens[[#This Row],[PontoPed]]&gt;0, IF(tabItens[[#This Row],[PontoPed]]&lt;1, 1, IF( tabItens[[#This Row],[Saldo]]&gt;tabItens[[#This Row],[PontoPed]], 0, (tabItens[[#This Row],[PontoPed]]-tabItens[[#This Row],[Saldo]])/tabItens[[#This Row],[PontoPed]] ) ), 0 )</f>
        <v>0</v>
      </c>
      <c r="BD625" s="336">
        <f>ROUNDDOWN(IF( OR( AND(tabItens[[#This Row],[PontoPed]]&lt;tabItens[[#This Row],[Saldo]],tabItens[[#This Row],[Saldo]]&gt;0), tabItens[[#This Row],[PontoPed]]=0), 99, IF(AND(tabItens[[#This Row],[Saldo]]=0,tabItens[[#This Row],[PontoPed]]&gt;0), 0, (1-tabItens[[#This Row],[PctAb]])*10 ) ),0)</f>
        <v>99</v>
      </c>
      <c r="BE625" s="337">
        <f>MAX(ROUNDDOWN( IF(tabItens[[#This Row],[Abaixo]] &gt; 0,   tabItens[[#This Row],[Abaixo]] + (tabItens[[#This Row],[PontoMês]] * IF( OR( ISBLANK(tabItens[[#This Row],[ATA Nº/ANO]]), tabItens[[#This Row],[ATA Nº/ANO]] = ""),BE$2,BE$1)),0),0),0)</f>
        <v>0</v>
      </c>
      <c r="BF62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5" s="338">
        <f>SUMIF(Consumo!$C$3:$C$862,tabItens[[#This Row],[CÓDIGO]],Consumo!$E$3:$E$862)</f>
        <v>0</v>
      </c>
      <c r="BH625" s="339">
        <f>IF(AND(tabItens[[#This Row],[Pend]] &gt; 0,tabItens[[#This Row],[Consumo]] &lt;&gt; 0), tabItens[[#This Row],[Pend]] / tabItens[[#This Row],[Consumo]], 0 )</f>
        <v>0</v>
      </c>
      <c r="BI625" s="338"/>
      <c r="BJ625" s="338"/>
      <c r="BK625" s="340" t="s">
        <v>2086</v>
      </c>
    </row>
    <row r="626" spans="1:63" hidden="1" x14ac:dyDescent="0.3">
      <c r="A626" s="301">
        <v>132646</v>
      </c>
      <c r="B626" s="302" t="s">
        <v>1840</v>
      </c>
      <c r="C626" s="303" t="s">
        <v>847</v>
      </c>
      <c r="D626" s="304">
        <v>18.510000000000002</v>
      </c>
      <c r="E626" s="305"/>
      <c r="F626" s="305"/>
      <c r="G626" s="305" t="s">
        <v>889</v>
      </c>
      <c r="H626" s="306">
        <v>5672</v>
      </c>
      <c r="I626" s="307">
        <v>103003</v>
      </c>
      <c r="J626" s="308">
        <v>18.510000000000002</v>
      </c>
      <c r="K626" s="309">
        <v>9687</v>
      </c>
      <c r="L626" s="310">
        <f>IF(tabItens[[#This Row],[Média]] &gt; 0, tabItens[[#This Row],[QTDE ATUAL]] / tabItens[[#This Row],[Média]],999.9)</f>
        <v>5.8080040959126205</v>
      </c>
      <c r="M626" s="311">
        <v>0</v>
      </c>
      <c r="N626" s="312">
        <f>tabItens[[#This Row],[VALOR UNIT.]] * tabItens[[#This Row],[LC]]</f>
        <v>0</v>
      </c>
      <c r="O626" s="313"/>
      <c r="P626" s="314"/>
      <c r="Q626" s="315"/>
      <c r="R626" s="312"/>
      <c r="S626" s="316"/>
      <c r="T626" s="317">
        <f>ROUNDDOWN(IFERROR(tabItens[[#This Row],[ATA DT.VALID.]] - $D$1,0) / 30,0)</f>
        <v>-1474</v>
      </c>
      <c r="U626" s="302" t="s">
        <v>909</v>
      </c>
      <c r="V626" s="318">
        <v>1</v>
      </c>
      <c r="W626" s="319" t="s">
        <v>2074</v>
      </c>
      <c r="X626" s="320">
        <v>45</v>
      </c>
      <c r="Y626" s="321">
        <v>10</v>
      </c>
      <c r="Z626" s="322"/>
      <c r="AA626" s="323"/>
      <c r="AB626" s="324"/>
      <c r="AC626" s="324"/>
      <c r="AD626" s="323"/>
      <c r="AE626" s="324"/>
      <c r="AF626" s="317"/>
      <c r="AG626" s="325" t="s">
        <v>2072</v>
      </c>
      <c r="AH626" s="326"/>
      <c r="AI626" s="317">
        <v>6678</v>
      </c>
      <c r="AJ626" s="326">
        <v>45009</v>
      </c>
      <c r="AK626" s="326">
        <v>42860</v>
      </c>
      <c r="AL626" s="326">
        <v>45156</v>
      </c>
      <c r="AM626" s="316"/>
      <c r="AN626" s="305"/>
      <c r="AO626" s="327" t="str">
        <f>_xlfn.IFNA(IF(VLOOKUP(tabItens[[#This Row],[CÓDIGO]],tabExcluirDoEstoque[#Data],1,FALSE),"sim",""),"")</f>
        <v/>
      </c>
      <c r="AP626" s="328" t="str">
        <f ca="1">IF(OR(ISBLANK(tabItens[[#This Row],[ATA DT.VALID.]]),tabItens[[#This Row],[ATA DT.VALID.]]="",tabItens[[#This Row],[ATA DT.VALID.]]=" "),"",IF(TYPE(tabItens[[#This Row],[ATA DT.VALID.]])=1,ROUNDUP((tabItens[[#This Row],[ATA DT.VALID.]]-TODAY())/7,0),""))</f>
        <v/>
      </c>
      <c r="AQ626" s="329"/>
      <c r="AR626" s="330" t="str">
        <f>IF(ISBLANK(tabItens[[#This Row],[CÓDIGO]]),"",IFERROR(VLOOKUP(tabItens[[#This Row],[CÓDIGO]],Consumo!$C$2:$AC$862,26,FALSE),0))</f>
        <v>09.2023</v>
      </c>
      <c r="AS626" s="331">
        <f>SUMIF(Consumo!$C$3:$C$862,tabItens[[#This Row],[CÓDIGO]],Consumo!$N$3:$N$862) + SUMIF(Consumo!$C$3:$C$862,tabItens[[#This Row],[CÓDIGO]],Consumo!$O$3:$O$862) + SUMIF(Consumo!$C$3:$C$862,tabItens[[#This Row],[CÓDIGO]],Consumo!$P$3:$P$862) + SUMIF(Consumo!$C$3:$C$862,tabItens[[#This Row],[CÓDIGO]],Consumo!$Q$3:$Q$862)</f>
        <v>3033</v>
      </c>
      <c r="AT626" s="331">
        <f>SUMIF(Consumo!$C$3:$C$862,tabItens[[#This Row],[CÓDIGO]],Consumo!$Z$3:$Z$862)</f>
        <v>13338</v>
      </c>
      <c r="AU626" s="332">
        <f>SUMIF(Consumo!$C$3:$C$862,tabItens[[#This Row],[CÓDIGO]],Consumo!$AA$3:$AA$862)</f>
        <v>5390</v>
      </c>
      <c r="AV626" s="333">
        <f>SUMIF(Consumo!$C$3:$C$862,tabItens[[#This Row],[CÓDIGO]],Consumo!$Y$3:$Y$862)</f>
        <v>976.58333333333337</v>
      </c>
      <c r="AW626" s="306">
        <f>tabItens[[#This Row],[QTDE ATUAL]] + tabItens[[#This Row],[RC QTDE]] + tabItens[[#This Row],[AF SALDO]] + tabItens[[#This Row],[Recentes]]</f>
        <v>5672</v>
      </c>
      <c r="AX626" s="334">
        <v>1240</v>
      </c>
      <c r="AY626" s="334">
        <v>4</v>
      </c>
      <c r="AZ626" s="334">
        <f>IF(ISBLANK(tabItens[[#This Row],[CÓDIGO]]),"",tabItens[[#This Row],[PontoMês]] * (AZ$2+tabItens[[#This Row],[PontoQtM]]))</f>
        <v>4960</v>
      </c>
      <c r="BA626" s="333">
        <f>tabItens[[#This Row],[PontoPed]] - tabItens[[#This Row],[Saldo]] + (1/10)</f>
        <v>-711.9</v>
      </c>
      <c r="BB626" s="333">
        <f xml:space="preserve"> tabItens[[#This Row],[PontoMês]] * BB$2 - tabItens[[#This Row],[QTDE ATUAL]] - (1/10)</f>
        <v>-4432.1000000000004</v>
      </c>
      <c r="BC626" s="335">
        <f>IF( tabItens[[#This Row],[PontoPed]]&gt;0, IF(tabItens[[#This Row],[PontoPed]]&lt;1, 1, IF( tabItens[[#This Row],[Saldo]]&gt;tabItens[[#This Row],[PontoPed]], 0, (tabItens[[#This Row],[PontoPed]]-tabItens[[#This Row],[Saldo]])/tabItens[[#This Row],[PontoPed]] ) ), 0 )</f>
        <v>0</v>
      </c>
      <c r="BD626" s="336">
        <f>ROUNDDOWN(IF( OR( AND(tabItens[[#This Row],[PontoPed]]&lt;tabItens[[#This Row],[Saldo]],tabItens[[#This Row],[Saldo]]&gt;0), tabItens[[#This Row],[PontoPed]]=0), 99, IF(AND(tabItens[[#This Row],[Saldo]]=0,tabItens[[#This Row],[PontoPed]]&gt;0), 0, (1-tabItens[[#This Row],[PctAb]])*10 ) ),0)</f>
        <v>99</v>
      </c>
      <c r="BE626" s="337">
        <f>MAX(ROUNDDOWN( IF(tabItens[[#This Row],[Abaixo]] &gt; 0,   tabItens[[#This Row],[Abaixo]] + (tabItens[[#This Row],[PontoMês]] * IF( OR( ISBLANK(tabItens[[#This Row],[ATA Nº/ANO]]), tabItens[[#This Row],[ATA Nº/ANO]] = ""),BE$2,BE$1)),0),0),0)</f>
        <v>0</v>
      </c>
      <c r="BF62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6" s="338">
        <f>SUMIF(Consumo!$C$3:$C$862,tabItens[[#This Row],[CÓDIGO]],Consumo!$E$3:$E$862)</f>
        <v>303</v>
      </c>
      <c r="BH626" s="339">
        <f>IF(AND(tabItens[[#This Row],[Pend]] &gt; 0,tabItens[[#This Row],[Consumo]] &lt;&gt; 0), tabItens[[#This Row],[Pend]] / tabItens[[#This Row],[Consumo]], 0 )</f>
        <v>2.2717049032838506E-2</v>
      </c>
      <c r="BI626" s="338"/>
      <c r="BJ626" s="338"/>
      <c r="BK626" s="340" t="s">
        <v>2086</v>
      </c>
    </row>
    <row r="627" spans="1:63" hidden="1" x14ac:dyDescent="0.3">
      <c r="A627" s="301">
        <v>132647</v>
      </c>
      <c r="B627" s="302" t="s">
        <v>1841</v>
      </c>
      <c r="C627" s="303" t="s">
        <v>31</v>
      </c>
      <c r="D627" s="304">
        <v>1.49</v>
      </c>
      <c r="E627" s="305"/>
      <c r="F627" s="305"/>
      <c r="G627" s="305" t="s">
        <v>889</v>
      </c>
      <c r="H627" s="306">
        <v>0</v>
      </c>
      <c r="I627" s="307">
        <v>103003</v>
      </c>
      <c r="J627" s="308">
        <v>1.49</v>
      </c>
      <c r="K627" s="309">
        <v>11463</v>
      </c>
      <c r="L627" s="310">
        <f>IF(tabItens[[#This Row],[Média]] &gt; 0, tabItens[[#This Row],[QTDE ATUAL]] / tabItens[[#This Row],[Média]],999.9)</f>
        <v>0</v>
      </c>
      <c r="M627" s="311">
        <v>0</v>
      </c>
      <c r="N627" s="312">
        <f>tabItens[[#This Row],[VALOR UNIT.]] * tabItens[[#This Row],[LC]]</f>
        <v>0</v>
      </c>
      <c r="O627" s="313"/>
      <c r="P627" s="314"/>
      <c r="Q627" s="315"/>
      <c r="R627" s="312"/>
      <c r="S627" s="316"/>
      <c r="T627" s="317">
        <f>ROUNDDOWN(IFERROR(tabItens[[#This Row],[ATA DT.VALID.]] - $D$1,0) / 30,0)</f>
        <v>-1474</v>
      </c>
      <c r="U627" s="302" t="s">
        <v>909</v>
      </c>
      <c r="V627" s="318">
        <v>1</v>
      </c>
      <c r="W627" s="319" t="s">
        <v>2074</v>
      </c>
      <c r="X627" s="320">
        <v>45</v>
      </c>
      <c r="Y627" s="321">
        <v>10</v>
      </c>
      <c r="Z627" s="322">
        <v>6979</v>
      </c>
      <c r="AA627" s="323">
        <v>2023</v>
      </c>
      <c r="AB627" s="324">
        <v>3800</v>
      </c>
      <c r="AC627" s="324"/>
      <c r="AD627" s="323"/>
      <c r="AE627" s="324"/>
      <c r="AF627" s="317"/>
      <c r="AG627" s="325" t="s">
        <v>2072</v>
      </c>
      <c r="AH627" s="326"/>
      <c r="AI627" s="317">
        <v>8114</v>
      </c>
      <c r="AJ627" s="326">
        <v>44924</v>
      </c>
      <c r="AK627" s="326">
        <v>42860</v>
      </c>
      <c r="AL627" s="326">
        <v>44910</v>
      </c>
      <c r="AM627" s="316"/>
      <c r="AN627" s="305"/>
      <c r="AO627" s="327" t="str">
        <f>_xlfn.IFNA(IF(VLOOKUP(tabItens[[#This Row],[CÓDIGO]],tabExcluirDoEstoque[#Data],1,FALSE),"sim",""),"")</f>
        <v/>
      </c>
      <c r="AP627" s="328" t="str">
        <f ca="1">IF(OR(ISBLANK(tabItens[[#This Row],[ATA DT.VALID.]]),tabItens[[#This Row],[ATA DT.VALID.]]="",tabItens[[#This Row],[ATA DT.VALID.]]=" "),"",IF(TYPE(tabItens[[#This Row],[ATA DT.VALID.]])=1,ROUNDUP((tabItens[[#This Row],[ATA DT.VALID.]]-TODAY())/7,0),""))</f>
        <v/>
      </c>
      <c r="AQ627" s="329"/>
      <c r="AR627" s="330" t="str">
        <f>IF(ISBLANK(tabItens[[#This Row],[CÓDIGO]]),"",IFERROR(VLOOKUP(tabItens[[#This Row],[CÓDIGO]],Consumo!$C$2:$AC$862,26,FALSE),0))</f>
        <v>09.2023</v>
      </c>
      <c r="AS627" s="331">
        <f>SUMIF(Consumo!$C$3:$C$862,tabItens[[#This Row],[CÓDIGO]],Consumo!$N$3:$N$862) + SUMIF(Consumo!$C$3:$C$862,tabItens[[#This Row],[CÓDIGO]],Consumo!$O$3:$O$862) + SUMIF(Consumo!$C$3:$C$862,tabItens[[#This Row],[CÓDIGO]],Consumo!$P$3:$P$862) + SUMIF(Consumo!$C$3:$C$862,tabItens[[#This Row],[CÓDIGO]],Consumo!$Q$3:$Q$862)</f>
        <v>2352</v>
      </c>
      <c r="AT627" s="331">
        <f>SUMIF(Consumo!$C$3:$C$862,tabItens[[#This Row],[CÓDIGO]],Consumo!$Z$3:$Z$862)</f>
        <v>14618</v>
      </c>
      <c r="AU627" s="332">
        <f>SUMIF(Consumo!$C$3:$C$862,tabItens[[#This Row],[CÓDIGO]],Consumo!$AA$3:$AA$862)</f>
        <v>7646</v>
      </c>
      <c r="AV627" s="333">
        <f>SUMIF(Consumo!$C$3:$C$862,tabItens[[#This Row],[CÓDIGO]],Consumo!$Y$3:$Y$862)</f>
        <v>1010.9166666666666</v>
      </c>
      <c r="AW627" s="306">
        <f>tabItens[[#This Row],[QTDE ATUAL]] + tabItens[[#This Row],[RC QTDE]] + tabItens[[#This Row],[AF SALDO]] + tabItens[[#This Row],[Recentes]]</f>
        <v>3800</v>
      </c>
      <c r="AX627" s="334">
        <v>1149</v>
      </c>
      <c r="AY627" s="334">
        <v>4</v>
      </c>
      <c r="AZ627" s="334">
        <f>IF(ISBLANK(tabItens[[#This Row],[CÓDIGO]]),"",tabItens[[#This Row],[PontoMês]] * (AZ$2+tabItens[[#This Row],[PontoQtM]]))</f>
        <v>4596</v>
      </c>
      <c r="BA627" s="333">
        <f>tabItens[[#This Row],[PontoPed]] - tabItens[[#This Row],[Saldo]] + (1/10)</f>
        <v>796.1</v>
      </c>
      <c r="BB627" s="333">
        <f xml:space="preserve"> tabItens[[#This Row],[PontoMês]] * BB$2 - tabItens[[#This Row],[QTDE ATUAL]] - (1/10)</f>
        <v>1148.9000000000001</v>
      </c>
      <c r="BC627" s="335">
        <f>IF( tabItens[[#This Row],[PontoPed]]&gt;0, IF(tabItens[[#This Row],[PontoPed]]&lt;1, 1, IF( tabItens[[#This Row],[Saldo]]&gt;tabItens[[#This Row],[PontoPed]], 0, (tabItens[[#This Row],[PontoPed]]-tabItens[[#This Row],[Saldo]])/tabItens[[#This Row],[PontoPed]] ) ), 0 )</f>
        <v>0.1731940818102698</v>
      </c>
      <c r="BD627" s="336">
        <f>ROUNDDOWN(IF( OR( AND(tabItens[[#This Row],[PontoPed]]&lt;tabItens[[#This Row],[Saldo]],tabItens[[#This Row],[Saldo]]&gt;0), tabItens[[#This Row],[PontoPed]]=0), 99, IF(AND(tabItens[[#This Row],[Saldo]]=0,tabItens[[#This Row],[PontoPed]]&gt;0), 0, (1-tabItens[[#This Row],[PctAb]])*10 ) ),0)</f>
        <v>8</v>
      </c>
      <c r="BE627" s="337">
        <f>MAX(ROUNDDOWN( IF(tabItens[[#This Row],[Abaixo]] &gt; 0,   tabItens[[#This Row],[Abaixo]] + (tabItens[[#This Row],[PontoMês]] * IF( OR( ISBLANK(tabItens[[#This Row],[ATA Nº/ANO]]), tabItens[[#This Row],[ATA Nº/ANO]] = ""),BE$2,BE$1)),0),0),0)</f>
        <v>7690</v>
      </c>
      <c r="BF62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7690</v>
      </c>
      <c r="BG627" s="338">
        <f>SUMIF(Consumo!$C$3:$C$862,tabItens[[#This Row],[CÓDIGO]],Consumo!$E$3:$E$862)</f>
        <v>279</v>
      </c>
      <c r="BH627" s="339">
        <f>IF(AND(tabItens[[#This Row],[Pend]] &gt; 0,tabItens[[#This Row],[Consumo]] &lt;&gt; 0), tabItens[[#This Row],[Pend]] / tabItens[[#This Row],[Consumo]], 0 )</f>
        <v>1.9086058284307018E-2</v>
      </c>
      <c r="BI627" s="338"/>
      <c r="BJ627" s="338"/>
      <c r="BK627" s="340" t="s">
        <v>2086</v>
      </c>
    </row>
    <row r="628" spans="1:63" hidden="1" x14ac:dyDescent="0.3">
      <c r="A628" s="301">
        <v>132649</v>
      </c>
      <c r="B628" s="302" t="s">
        <v>1842</v>
      </c>
      <c r="C628" s="303" t="s">
        <v>31</v>
      </c>
      <c r="D628" s="304">
        <v>0.99</v>
      </c>
      <c r="E628" s="305"/>
      <c r="F628" s="305"/>
      <c r="G628" s="305" t="s">
        <v>889</v>
      </c>
      <c r="H628" s="306">
        <v>0</v>
      </c>
      <c r="I628" s="307">
        <v>103003</v>
      </c>
      <c r="J628" s="308">
        <v>0.99</v>
      </c>
      <c r="K628" s="309">
        <v>8217</v>
      </c>
      <c r="L628" s="310">
        <f>IF(tabItens[[#This Row],[Média]] &gt; 0, tabItens[[#This Row],[QTDE ATUAL]] / tabItens[[#This Row],[Média]],999.9)</f>
        <v>0</v>
      </c>
      <c r="M628" s="311">
        <v>0</v>
      </c>
      <c r="N628" s="312">
        <f>tabItens[[#This Row],[VALOR UNIT.]] * tabItens[[#This Row],[LC]]</f>
        <v>0</v>
      </c>
      <c r="O628" s="313"/>
      <c r="P628" s="314"/>
      <c r="Q628" s="315"/>
      <c r="R628" s="312"/>
      <c r="S628" s="316"/>
      <c r="T628" s="317">
        <f>ROUNDDOWN(IFERROR(tabItens[[#This Row],[ATA DT.VALID.]] - $D$1,0) / 30,0)</f>
        <v>-1474</v>
      </c>
      <c r="U628" s="302" t="s">
        <v>909</v>
      </c>
      <c r="V628" s="318">
        <v>1</v>
      </c>
      <c r="W628" s="319" t="s">
        <v>2074</v>
      </c>
      <c r="X628" s="320">
        <v>45</v>
      </c>
      <c r="Y628" s="321">
        <v>10</v>
      </c>
      <c r="Z628" s="322">
        <v>6979</v>
      </c>
      <c r="AA628" s="323">
        <v>2023</v>
      </c>
      <c r="AB628" s="324">
        <v>4300</v>
      </c>
      <c r="AC628" s="324"/>
      <c r="AD628" s="323"/>
      <c r="AE628" s="324"/>
      <c r="AF628" s="317"/>
      <c r="AG628" s="325" t="s">
        <v>2072</v>
      </c>
      <c r="AH628" s="326"/>
      <c r="AI628" s="317">
        <v>2740</v>
      </c>
      <c r="AJ628" s="326">
        <v>44951</v>
      </c>
      <c r="AK628" s="326">
        <v>42860</v>
      </c>
      <c r="AL628" s="326">
        <v>44910</v>
      </c>
      <c r="AM628" s="316"/>
      <c r="AN628" s="305"/>
      <c r="AO628" s="327" t="str">
        <f>_xlfn.IFNA(IF(VLOOKUP(tabItens[[#This Row],[CÓDIGO]],tabExcluirDoEstoque[#Data],1,FALSE),"sim",""),"")</f>
        <v/>
      </c>
      <c r="AP628" s="328" t="str">
        <f ca="1">IF(OR(ISBLANK(tabItens[[#This Row],[ATA DT.VALID.]]),tabItens[[#This Row],[ATA DT.VALID.]]="",tabItens[[#This Row],[ATA DT.VALID.]]=" "),"",IF(TYPE(tabItens[[#This Row],[ATA DT.VALID.]])=1,ROUNDUP((tabItens[[#This Row],[ATA DT.VALID.]]-TODAY())/7,0),""))</f>
        <v/>
      </c>
      <c r="AQ628" s="329"/>
      <c r="AR628" s="330" t="str">
        <f>IF(ISBLANK(tabItens[[#This Row],[CÓDIGO]]),"",IFERROR(VLOOKUP(tabItens[[#This Row],[CÓDIGO]],Consumo!$C$2:$AC$862,26,FALSE),0))</f>
        <v>06.2023</v>
      </c>
      <c r="AS628" s="331">
        <f>SUMIF(Consumo!$C$3:$C$862,tabItens[[#This Row],[CÓDIGO]],Consumo!$N$3:$N$862) + SUMIF(Consumo!$C$3:$C$862,tabItens[[#This Row],[CÓDIGO]],Consumo!$O$3:$O$862) + SUMIF(Consumo!$C$3:$C$862,tabItens[[#This Row],[CÓDIGO]],Consumo!$P$3:$P$862) + SUMIF(Consumo!$C$3:$C$862,tabItens[[#This Row],[CÓDIGO]],Consumo!$Q$3:$Q$862)</f>
        <v>24</v>
      </c>
      <c r="AT628" s="331">
        <f>SUMIF(Consumo!$C$3:$C$862,tabItens[[#This Row],[CÓDIGO]],Consumo!$Z$3:$Z$862)</f>
        <v>9054</v>
      </c>
      <c r="AU628" s="332">
        <f>SUMIF(Consumo!$C$3:$C$862,tabItens[[#This Row],[CÓDIGO]],Consumo!$AA$3:$AA$862)</f>
        <v>7130</v>
      </c>
      <c r="AV628" s="333">
        <f>SUMIF(Consumo!$C$3:$C$862,tabItens[[#This Row],[CÓDIGO]],Consumo!$Y$3:$Y$862)</f>
        <v>548.16666666666663</v>
      </c>
      <c r="AW628" s="306">
        <f>tabItens[[#This Row],[QTDE ATUAL]] + tabItens[[#This Row],[RC QTDE]] + tabItens[[#This Row],[AF SALDO]] + tabItens[[#This Row],[Recentes]]</f>
        <v>4300</v>
      </c>
      <c r="AX628" s="334">
        <v>883</v>
      </c>
      <c r="AY628" s="334">
        <v>4</v>
      </c>
      <c r="AZ628" s="334">
        <f>IF(ISBLANK(tabItens[[#This Row],[CÓDIGO]]),"",tabItens[[#This Row],[PontoMês]] * (AZ$2+tabItens[[#This Row],[PontoQtM]]))</f>
        <v>3532</v>
      </c>
      <c r="BA628" s="333">
        <f>tabItens[[#This Row],[PontoPed]] - tabItens[[#This Row],[Saldo]] + (1/10)</f>
        <v>-767.9</v>
      </c>
      <c r="BB628" s="333">
        <f xml:space="preserve"> tabItens[[#This Row],[PontoMês]] * BB$2 - tabItens[[#This Row],[QTDE ATUAL]] - (1/10)</f>
        <v>882.9</v>
      </c>
      <c r="BC628" s="335">
        <f>IF( tabItens[[#This Row],[PontoPed]]&gt;0, IF(tabItens[[#This Row],[PontoPed]]&lt;1, 1, IF( tabItens[[#This Row],[Saldo]]&gt;tabItens[[#This Row],[PontoPed]], 0, (tabItens[[#This Row],[PontoPed]]-tabItens[[#This Row],[Saldo]])/tabItens[[#This Row],[PontoPed]] ) ), 0 )</f>
        <v>0</v>
      </c>
      <c r="BD628" s="336">
        <f>ROUNDDOWN(IF( OR( AND(tabItens[[#This Row],[PontoPed]]&lt;tabItens[[#This Row],[Saldo]],tabItens[[#This Row],[Saldo]]&gt;0), tabItens[[#This Row],[PontoPed]]=0), 99, IF(AND(tabItens[[#This Row],[Saldo]]=0,tabItens[[#This Row],[PontoPed]]&gt;0), 0, (1-tabItens[[#This Row],[PctAb]])*10 ) ),0)</f>
        <v>99</v>
      </c>
      <c r="BE628" s="337">
        <f>MAX(ROUNDDOWN( IF(tabItens[[#This Row],[Abaixo]] &gt; 0,   tabItens[[#This Row],[Abaixo]] + (tabItens[[#This Row],[PontoMês]] * IF( OR( ISBLANK(tabItens[[#This Row],[ATA Nº/ANO]]), tabItens[[#This Row],[ATA Nº/ANO]] = ""),BE$2,BE$1)),0),0),0)</f>
        <v>0</v>
      </c>
      <c r="BF62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8" s="338">
        <f>SUMIF(Consumo!$C$3:$C$862,tabItens[[#This Row],[CÓDIGO]],Consumo!$E$3:$E$862)</f>
        <v>837</v>
      </c>
      <c r="BH628" s="339">
        <f>IF(AND(tabItens[[#This Row],[Pend]] &gt; 0,tabItens[[#This Row],[Consumo]] &lt;&gt; 0), tabItens[[#This Row],[Pend]] / tabItens[[#This Row],[Consumo]], 0 )</f>
        <v>9.2445328031809146E-2</v>
      </c>
      <c r="BI628" s="338"/>
      <c r="BJ628" s="338"/>
      <c r="BK628" s="340" t="s">
        <v>2086</v>
      </c>
    </row>
    <row r="629" spans="1:63" hidden="1" x14ac:dyDescent="0.3">
      <c r="A629" s="301">
        <v>132655</v>
      </c>
      <c r="B629" s="302" t="s">
        <v>1844</v>
      </c>
      <c r="C629" s="303" t="s">
        <v>31</v>
      </c>
      <c r="D629" s="304">
        <v>1.48</v>
      </c>
      <c r="E629" s="305"/>
      <c r="F629" s="305"/>
      <c r="G629" s="305" t="s">
        <v>889</v>
      </c>
      <c r="H629" s="306">
        <v>1384</v>
      </c>
      <c r="I629" s="307">
        <v>103003</v>
      </c>
      <c r="J629" s="308">
        <v>1.48</v>
      </c>
      <c r="K629" s="309">
        <v>29376</v>
      </c>
      <c r="L629" s="310">
        <f>IF(tabItens[[#This Row],[Média]] &gt; 0, tabItens[[#This Row],[QTDE ATUAL]] / tabItens[[#This Row],[Média]],999.9)</f>
        <v>0.53384763741562202</v>
      </c>
      <c r="M629" s="311">
        <v>0</v>
      </c>
      <c r="N629" s="312">
        <f>tabItens[[#This Row],[VALOR UNIT.]] * tabItens[[#This Row],[LC]]</f>
        <v>0</v>
      </c>
      <c r="O629" s="313"/>
      <c r="P629" s="314"/>
      <c r="Q629" s="315"/>
      <c r="R629" s="312"/>
      <c r="S629" s="316"/>
      <c r="T629" s="317">
        <f>ROUNDDOWN(IFERROR(tabItens[[#This Row],[ATA DT.VALID.]] - $D$1,0) / 30,0)</f>
        <v>-1474</v>
      </c>
      <c r="U629" s="302" t="s">
        <v>909</v>
      </c>
      <c r="V629" s="318">
        <v>1</v>
      </c>
      <c r="W629" s="319" t="s">
        <v>2074</v>
      </c>
      <c r="X629" s="320">
        <v>45</v>
      </c>
      <c r="Y629" s="321">
        <v>10</v>
      </c>
      <c r="Z629" s="322">
        <v>6209</v>
      </c>
      <c r="AA629" s="323">
        <v>2023</v>
      </c>
      <c r="AB629" s="324">
        <v>3000</v>
      </c>
      <c r="AC629" s="324"/>
      <c r="AD629" s="323"/>
      <c r="AE629" s="324"/>
      <c r="AF629" s="317"/>
      <c r="AG629" s="325" t="s">
        <v>2072</v>
      </c>
      <c r="AH629" s="326"/>
      <c r="AI629" s="317">
        <v>11736</v>
      </c>
      <c r="AJ629" s="326">
        <v>44993</v>
      </c>
      <c r="AK629" s="326">
        <v>42860</v>
      </c>
      <c r="AL629" s="326">
        <v>44959</v>
      </c>
      <c r="AM629" s="316"/>
      <c r="AN629" s="305"/>
      <c r="AO629" s="327" t="str">
        <f>_xlfn.IFNA(IF(VLOOKUP(tabItens[[#This Row],[CÓDIGO]],tabExcluirDoEstoque[#Data],1,FALSE),"sim",""),"")</f>
        <v/>
      </c>
      <c r="AP629" s="328" t="str">
        <f ca="1">IF(OR(ISBLANK(tabItens[[#This Row],[ATA DT.VALID.]]),tabItens[[#This Row],[ATA DT.VALID.]]="",tabItens[[#This Row],[ATA DT.VALID.]]=" "),"",IF(TYPE(tabItens[[#This Row],[ATA DT.VALID.]])=1,ROUNDUP((tabItens[[#This Row],[ATA DT.VALID.]]-TODAY())/7,0),""))</f>
        <v/>
      </c>
      <c r="AQ629" s="329"/>
      <c r="AR629" s="330" t="str">
        <f>IF(ISBLANK(tabItens[[#This Row],[CÓDIGO]]),"",IFERROR(VLOOKUP(tabItens[[#This Row],[CÓDIGO]],Consumo!$C$2:$AC$862,26,FALSE),0))</f>
        <v>09.2023</v>
      </c>
      <c r="AS629" s="331">
        <f>SUMIF(Consumo!$C$3:$C$862,tabItens[[#This Row],[CÓDIGO]],Consumo!$N$3:$N$862) + SUMIF(Consumo!$C$3:$C$862,tabItens[[#This Row],[CÓDIGO]],Consumo!$O$3:$O$862) + SUMIF(Consumo!$C$3:$C$862,tabItens[[#This Row],[CÓDIGO]],Consumo!$P$3:$P$862) + SUMIF(Consumo!$C$3:$C$862,tabItens[[#This Row],[CÓDIGO]],Consumo!$Q$3:$Q$862)</f>
        <v>10042</v>
      </c>
      <c r="AT629" s="331">
        <f>SUMIF(Consumo!$C$3:$C$862,tabItens[[#This Row],[CÓDIGO]],Consumo!$Z$3:$Z$862)</f>
        <v>36046</v>
      </c>
      <c r="AU629" s="332">
        <f>SUMIF(Consumo!$C$3:$C$862,tabItens[[#This Row],[CÓDIGO]],Consumo!$AA$3:$AA$862)</f>
        <v>16416</v>
      </c>
      <c r="AV629" s="333">
        <f>SUMIF(Consumo!$C$3:$C$862,tabItens[[#This Row],[CÓDIGO]],Consumo!$Y$3:$Y$862)</f>
        <v>2592.5</v>
      </c>
      <c r="AW629" s="306">
        <f>tabItens[[#This Row],[QTDE ATUAL]] + tabItens[[#This Row],[RC QTDE]] + tabItens[[#This Row],[AF SALDO]] + tabItens[[#This Row],[Recentes]]</f>
        <v>4384</v>
      </c>
      <c r="AX629" s="334">
        <v>2694</v>
      </c>
      <c r="AY629" s="334">
        <v>4</v>
      </c>
      <c r="AZ629" s="334">
        <f>IF(ISBLANK(tabItens[[#This Row],[CÓDIGO]]),"",tabItens[[#This Row],[PontoMês]] * (AZ$2+tabItens[[#This Row],[PontoQtM]]))</f>
        <v>10776</v>
      </c>
      <c r="BA629" s="333">
        <f>tabItens[[#This Row],[PontoPed]] - tabItens[[#This Row],[Saldo]] + (1/10)</f>
        <v>6392.1</v>
      </c>
      <c r="BB629" s="333">
        <f xml:space="preserve"> tabItens[[#This Row],[PontoMês]] * BB$2 - tabItens[[#This Row],[QTDE ATUAL]] - (1/10)</f>
        <v>1309.9000000000001</v>
      </c>
      <c r="BC629" s="335">
        <f>IF( tabItens[[#This Row],[PontoPed]]&gt;0, IF(tabItens[[#This Row],[PontoPed]]&lt;1, 1, IF( tabItens[[#This Row],[Saldo]]&gt;tabItens[[#This Row],[PontoPed]], 0, (tabItens[[#This Row],[PontoPed]]-tabItens[[#This Row],[Saldo]])/tabItens[[#This Row],[PontoPed]] ) ), 0 )</f>
        <v>0.59317000742390502</v>
      </c>
      <c r="BD629" s="336">
        <f>ROUNDDOWN(IF( OR( AND(tabItens[[#This Row],[PontoPed]]&lt;tabItens[[#This Row],[Saldo]],tabItens[[#This Row],[Saldo]]&gt;0), tabItens[[#This Row],[PontoPed]]=0), 99, IF(AND(tabItens[[#This Row],[Saldo]]=0,tabItens[[#This Row],[PontoPed]]&gt;0), 0, (1-tabItens[[#This Row],[PctAb]])*10 ) ),0)</f>
        <v>4</v>
      </c>
      <c r="BE629" s="337">
        <f>MAX(ROUNDDOWN( IF(tabItens[[#This Row],[Abaixo]] &gt; 0,   tabItens[[#This Row],[Abaixo]] + (tabItens[[#This Row],[PontoMês]] * IF( OR( ISBLANK(tabItens[[#This Row],[ATA Nº/ANO]]), tabItens[[#This Row],[ATA Nº/ANO]] = ""),BE$2,BE$1)),0),0),0)</f>
        <v>22556</v>
      </c>
      <c r="BF62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22556</v>
      </c>
      <c r="BG629" s="338">
        <f>SUMIF(Consumo!$C$3:$C$862,tabItens[[#This Row],[CÓDIGO]],Consumo!$E$3:$E$862)</f>
        <v>840</v>
      </c>
      <c r="BH629" s="339">
        <f>IF(AND(tabItens[[#This Row],[Pend]] &gt; 0,tabItens[[#This Row],[Consumo]] &lt;&gt; 0), tabItens[[#This Row],[Pend]] / tabItens[[#This Row],[Consumo]], 0 )</f>
        <v>2.3303556566609332E-2</v>
      </c>
      <c r="BI629" s="338"/>
      <c r="BJ629" s="338"/>
      <c r="BK629" s="340" t="s">
        <v>2086</v>
      </c>
    </row>
    <row r="630" spans="1:63" hidden="1" x14ac:dyDescent="0.3">
      <c r="A630" s="301">
        <v>132656</v>
      </c>
      <c r="B630" s="302" t="s">
        <v>1845</v>
      </c>
      <c r="C630" s="303" t="s">
        <v>31</v>
      </c>
      <c r="D630" s="304">
        <v>2.19</v>
      </c>
      <c r="E630" s="305"/>
      <c r="F630" s="305"/>
      <c r="G630" s="305" t="s">
        <v>889</v>
      </c>
      <c r="H630" s="306">
        <v>0</v>
      </c>
      <c r="I630" s="307">
        <v>103003</v>
      </c>
      <c r="J630" s="308">
        <v>2.19</v>
      </c>
      <c r="K630" s="309">
        <v>28901</v>
      </c>
      <c r="L630" s="310">
        <f>IF(tabItens[[#This Row],[Média]] &gt; 0, tabItens[[#This Row],[QTDE ATUAL]] / tabItens[[#This Row],[Média]],999.9)</f>
        <v>0</v>
      </c>
      <c r="M630" s="311">
        <v>0</v>
      </c>
      <c r="N630" s="312">
        <f>tabItens[[#This Row],[VALOR UNIT.]] * tabItens[[#This Row],[LC]]</f>
        <v>0</v>
      </c>
      <c r="O630" s="313"/>
      <c r="P630" s="314"/>
      <c r="Q630" s="315"/>
      <c r="R630" s="312"/>
      <c r="S630" s="316"/>
      <c r="T630" s="317">
        <f>ROUNDDOWN(IFERROR(tabItens[[#This Row],[ATA DT.VALID.]] - $D$1,0) / 30,0)</f>
        <v>-1474</v>
      </c>
      <c r="U630" s="302" t="s">
        <v>909</v>
      </c>
      <c r="V630" s="318">
        <v>1</v>
      </c>
      <c r="W630" s="319" t="s">
        <v>2074</v>
      </c>
      <c r="X630" s="320">
        <v>45</v>
      </c>
      <c r="Y630" s="321">
        <v>10</v>
      </c>
      <c r="Z630" s="322">
        <v>6211</v>
      </c>
      <c r="AA630" s="323">
        <v>2023</v>
      </c>
      <c r="AB630" s="324">
        <v>8000</v>
      </c>
      <c r="AC630" s="324"/>
      <c r="AD630" s="323"/>
      <c r="AE630" s="324"/>
      <c r="AF630" s="317"/>
      <c r="AG630" s="325" t="s">
        <v>2072</v>
      </c>
      <c r="AH630" s="326"/>
      <c r="AI630" s="317">
        <v>22214</v>
      </c>
      <c r="AJ630" s="326">
        <v>44924</v>
      </c>
      <c r="AK630" s="326">
        <v>42860</v>
      </c>
      <c r="AL630" s="326">
        <v>44910</v>
      </c>
      <c r="AM630" s="316"/>
      <c r="AN630" s="305"/>
      <c r="AO630" s="327" t="str">
        <f>_xlfn.IFNA(IF(VLOOKUP(tabItens[[#This Row],[CÓDIGO]],tabExcluirDoEstoque[#Data],1,FALSE),"sim",""),"")</f>
        <v/>
      </c>
      <c r="AP630" s="328" t="str">
        <f ca="1">IF(OR(ISBLANK(tabItens[[#This Row],[ATA DT.VALID.]]),tabItens[[#This Row],[ATA DT.VALID.]]="",tabItens[[#This Row],[ATA DT.VALID.]]=" "),"",IF(TYPE(tabItens[[#This Row],[ATA DT.VALID.]])=1,ROUNDUP((tabItens[[#This Row],[ATA DT.VALID.]]-TODAY())/7,0),""))</f>
        <v/>
      </c>
      <c r="AQ630" s="329"/>
      <c r="AR630" s="330" t="str">
        <f>IF(ISBLANK(tabItens[[#This Row],[CÓDIGO]]),"",IFERROR(VLOOKUP(tabItens[[#This Row],[CÓDIGO]],Consumo!$C$2:$AC$862,26,FALSE),0))</f>
        <v>09.2023</v>
      </c>
      <c r="AS630" s="331">
        <f>SUMIF(Consumo!$C$3:$C$862,tabItens[[#This Row],[CÓDIGO]],Consumo!$N$3:$N$862) + SUMIF(Consumo!$C$3:$C$862,tabItens[[#This Row],[CÓDIGO]],Consumo!$O$3:$O$862) + SUMIF(Consumo!$C$3:$C$862,tabItens[[#This Row],[CÓDIGO]],Consumo!$P$3:$P$862) + SUMIF(Consumo!$C$3:$C$862,tabItens[[#This Row],[CÓDIGO]],Consumo!$Q$3:$Q$862)</f>
        <v>8293</v>
      </c>
      <c r="AT630" s="331">
        <f>SUMIF(Consumo!$C$3:$C$862,tabItens[[#This Row],[CÓDIGO]],Consumo!$Z$3:$Z$862)</f>
        <v>35497</v>
      </c>
      <c r="AU630" s="332">
        <f>SUMIF(Consumo!$C$3:$C$862,tabItens[[#This Row],[CÓDIGO]],Consumo!$AA$3:$AA$862)</f>
        <v>16392</v>
      </c>
      <c r="AV630" s="333">
        <f>SUMIF(Consumo!$C$3:$C$862,tabItens[[#This Row],[CÓDIGO]],Consumo!$Y$3:$Y$862)</f>
        <v>2542.3333333333335</v>
      </c>
      <c r="AW630" s="306">
        <f>tabItens[[#This Row],[QTDE ATUAL]] + tabItens[[#This Row],[RC QTDE]] + tabItens[[#This Row],[AF SALDO]] + tabItens[[#This Row],[Recentes]]</f>
        <v>8000</v>
      </c>
      <c r="AX630" s="334">
        <v>2680</v>
      </c>
      <c r="AY630" s="334">
        <v>4</v>
      </c>
      <c r="AZ630" s="334">
        <f>IF(ISBLANK(tabItens[[#This Row],[CÓDIGO]]),"",tabItens[[#This Row],[PontoMês]] * (AZ$2+tabItens[[#This Row],[PontoQtM]]))</f>
        <v>10720</v>
      </c>
      <c r="BA630" s="333">
        <f>tabItens[[#This Row],[PontoPed]] - tabItens[[#This Row],[Saldo]] + (1/10)</f>
        <v>2720.1</v>
      </c>
      <c r="BB630" s="333">
        <f xml:space="preserve"> tabItens[[#This Row],[PontoMês]] * BB$2 - tabItens[[#This Row],[QTDE ATUAL]] - (1/10)</f>
        <v>2679.9</v>
      </c>
      <c r="BC630" s="335">
        <f>IF( tabItens[[#This Row],[PontoPed]]&gt;0, IF(tabItens[[#This Row],[PontoPed]]&lt;1, 1, IF( tabItens[[#This Row],[Saldo]]&gt;tabItens[[#This Row],[PontoPed]], 0, (tabItens[[#This Row],[PontoPed]]-tabItens[[#This Row],[Saldo]])/tabItens[[#This Row],[PontoPed]] ) ), 0 )</f>
        <v>0.2537313432835821</v>
      </c>
      <c r="BD630" s="336">
        <f>ROUNDDOWN(IF( OR( AND(tabItens[[#This Row],[PontoPed]]&lt;tabItens[[#This Row],[Saldo]],tabItens[[#This Row],[Saldo]]&gt;0), tabItens[[#This Row],[PontoPed]]=0), 99, IF(AND(tabItens[[#This Row],[Saldo]]=0,tabItens[[#This Row],[PontoPed]]&gt;0), 0, (1-tabItens[[#This Row],[PctAb]])*10 ) ),0)</f>
        <v>7</v>
      </c>
      <c r="BE630" s="337">
        <f>MAX(ROUNDDOWN( IF(tabItens[[#This Row],[Abaixo]] &gt; 0,   tabItens[[#This Row],[Abaixo]] + (tabItens[[#This Row],[PontoMês]] * IF( OR( ISBLANK(tabItens[[#This Row],[ATA Nº/ANO]]), tabItens[[#This Row],[ATA Nº/ANO]] = ""),BE$2,BE$1)),0),0),0)</f>
        <v>18800</v>
      </c>
      <c r="BF63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18800</v>
      </c>
      <c r="BG630" s="338">
        <f>SUMIF(Consumo!$C$3:$C$862,tabItens[[#This Row],[CÓDIGO]],Consumo!$E$3:$E$862)</f>
        <v>1855</v>
      </c>
      <c r="BH630" s="339">
        <f>IF(AND(tabItens[[#This Row],[Pend]] &gt; 0,tabItens[[#This Row],[Consumo]] &lt;&gt; 0), tabItens[[#This Row],[Pend]] / tabItens[[#This Row],[Consumo]], 0 )</f>
        <v>5.2257937290475252E-2</v>
      </c>
      <c r="BI630" s="338"/>
      <c r="BJ630" s="338"/>
      <c r="BK630" s="340" t="s">
        <v>2086</v>
      </c>
    </row>
    <row r="631" spans="1:63" hidden="1" x14ac:dyDescent="0.3">
      <c r="A631" s="301">
        <v>23581</v>
      </c>
      <c r="B631" s="302" t="s">
        <v>1177</v>
      </c>
      <c r="C631" s="303" t="s">
        <v>31</v>
      </c>
      <c r="D631" s="304">
        <v>0.08</v>
      </c>
      <c r="E631" s="305"/>
      <c r="F631" s="305"/>
      <c r="G631" s="305" t="s">
        <v>889</v>
      </c>
      <c r="H631" s="306">
        <v>12976</v>
      </c>
      <c r="I631" s="307">
        <v>103003</v>
      </c>
      <c r="J631" s="308">
        <v>0.08</v>
      </c>
      <c r="K631" s="309">
        <v>11262</v>
      </c>
      <c r="L631" s="310">
        <f>IF(tabItens[[#This Row],[Média]] &gt; 0, tabItens[[#This Row],[QTDE ATUAL]] / tabItens[[#This Row],[Média]],999.9)</f>
        <v>10.618657937806875</v>
      </c>
      <c r="M631" s="311">
        <v>0</v>
      </c>
      <c r="N631" s="312">
        <f>tabItens[[#This Row],[VALOR UNIT.]] * tabItens[[#This Row],[LC]]</f>
        <v>0</v>
      </c>
      <c r="O631" s="313"/>
      <c r="P631" s="314"/>
      <c r="Q631" s="315"/>
      <c r="R631" s="312"/>
      <c r="S631" s="316"/>
      <c r="T631" s="317">
        <f>ROUNDDOWN(IFERROR(tabItens[[#This Row],[ATA DT.VALID.]] - $D$1,0) / 30,0)</f>
        <v>-1474</v>
      </c>
      <c r="U631" s="302" t="s">
        <v>941</v>
      </c>
      <c r="V631" s="318">
        <v>1</v>
      </c>
      <c r="W631" s="319" t="s">
        <v>2074</v>
      </c>
      <c r="X631" s="320">
        <v>45</v>
      </c>
      <c r="Y631" s="321">
        <v>11</v>
      </c>
      <c r="Z631" s="322"/>
      <c r="AA631" s="323"/>
      <c r="AB631" s="324"/>
      <c r="AC631" s="324"/>
      <c r="AD631" s="323"/>
      <c r="AE631" s="324"/>
      <c r="AF631" s="317"/>
      <c r="AG631" s="325" t="s">
        <v>2072</v>
      </c>
      <c r="AH631" s="326"/>
      <c r="AI631" s="317">
        <v>6072</v>
      </c>
      <c r="AJ631" s="326">
        <v>43628</v>
      </c>
      <c r="AK631" s="326" t="s">
        <v>889</v>
      </c>
      <c r="AL631" s="326">
        <v>45107</v>
      </c>
      <c r="AM631" s="316"/>
      <c r="AN631" s="305"/>
      <c r="AO631" s="327" t="str">
        <f>_xlfn.IFNA(IF(VLOOKUP(tabItens[[#This Row],[CÓDIGO]],tabExcluirDoEstoque[#Data],1,FALSE),"sim",""),"")</f>
        <v/>
      </c>
      <c r="AP631" s="328" t="str">
        <f ca="1">IF(OR(ISBLANK(tabItens[[#This Row],[ATA DT.VALID.]]),tabItens[[#This Row],[ATA DT.VALID.]]="",tabItens[[#This Row],[ATA DT.VALID.]]=" "),"",IF(TYPE(tabItens[[#This Row],[ATA DT.VALID.]])=1,ROUNDUP((tabItens[[#This Row],[ATA DT.VALID.]]-TODAY())/7,0),""))</f>
        <v/>
      </c>
      <c r="AQ631" s="329"/>
      <c r="AR631" s="330" t="str">
        <f>IF(ISBLANK(tabItens[[#This Row],[CÓDIGO]]),"",IFERROR(VLOOKUP(tabItens[[#This Row],[CÓDIGO]],Consumo!$C$2:$AC$862,26,FALSE),0))</f>
        <v>09.2023</v>
      </c>
      <c r="AS631" s="331">
        <f>SUMIF(Consumo!$C$3:$C$862,tabItens[[#This Row],[CÓDIGO]],Consumo!$N$3:$N$862) + SUMIF(Consumo!$C$3:$C$862,tabItens[[#This Row],[CÓDIGO]],Consumo!$O$3:$O$862) + SUMIF(Consumo!$C$3:$C$862,tabItens[[#This Row],[CÓDIGO]],Consumo!$P$3:$P$862) + SUMIF(Consumo!$C$3:$C$862,tabItens[[#This Row],[CÓDIGO]],Consumo!$Q$3:$Q$862)</f>
        <v>3946</v>
      </c>
      <c r="AT631" s="331">
        <f>SUMIF(Consumo!$C$3:$C$862,tabItens[[#This Row],[CÓDIGO]],Consumo!$Z$3:$Z$862)</f>
        <v>16132</v>
      </c>
      <c r="AU631" s="332">
        <f>SUMIF(Consumo!$C$3:$C$862,tabItens[[#This Row],[CÓDIGO]],Consumo!$AA$3:$AA$862)</f>
        <v>5409</v>
      </c>
      <c r="AV631" s="333">
        <f>SUMIF(Consumo!$C$3:$C$862,tabItens[[#This Row],[CÓDIGO]],Consumo!$Y$3:$Y$862)</f>
        <v>1222</v>
      </c>
      <c r="AW631" s="306">
        <f>tabItens[[#This Row],[QTDE ATUAL]] + tabItens[[#This Row],[RC QTDE]] + tabItens[[#This Row],[AF SALDO]] + tabItens[[#This Row],[Recentes]]</f>
        <v>12976</v>
      </c>
      <c r="AX631" s="334">
        <v>1372</v>
      </c>
      <c r="AY631" s="334">
        <v>4</v>
      </c>
      <c r="AZ631" s="334">
        <f>IF(ISBLANK(tabItens[[#This Row],[CÓDIGO]]),"",tabItens[[#This Row],[PontoMês]] * (AZ$2+tabItens[[#This Row],[PontoQtM]]))</f>
        <v>5488</v>
      </c>
      <c r="BA631" s="333">
        <f>tabItens[[#This Row],[PontoPed]] - tabItens[[#This Row],[Saldo]] + (1/10)</f>
        <v>-7487.9</v>
      </c>
      <c r="BB631" s="333">
        <f xml:space="preserve"> tabItens[[#This Row],[PontoMês]] * BB$2 - tabItens[[#This Row],[QTDE ATUAL]] - (1/10)</f>
        <v>-11604.1</v>
      </c>
      <c r="BC631" s="335">
        <f>IF( tabItens[[#This Row],[PontoPed]]&gt;0, IF(tabItens[[#This Row],[PontoPed]]&lt;1, 1, IF( tabItens[[#This Row],[Saldo]]&gt;tabItens[[#This Row],[PontoPed]], 0, (tabItens[[#This Row],[PontoPed]]-tabItens[[#This Row],[Saldo]])/tabItens[[#This Row],[PontoPed]] ) ), 0 )</f>
        <v>0</v>
      </c>
      <c r="BD631" s="336">
        <f>ROUNDDOWN(IF( OR( AND(tabItens[[#This Row],[PontoPed]]&lt;tabItens[[#This Row],[Saldo]],tabItens[[#This Row],[Saldo]]&gt;0), tabItens[[#This Row],[PontoPed]]=0), 99, IF(AND(tabItens[[#This Row],[Saldo]]=0,tabItens[[#This Row],[PontoPed]]&gt;0), 0, (1-tabItens[[#This Row],[PctAb]])*10 ) ),0)</f>
        <v>99</v>
      </c>
      <c r="BE631" s="337">
        <f>MAX(ROUNDDOWN( IF(tabItens[[#This Row],[Abaixo]] &gt; 0,   tabItens[[#This Row],[Abaixo]] + (tabItens[[#This Row],[PontoMês]] * IF( OR( ISBLANK(tabItens[[#This Row],[ATA Nº/ANO]]), tabItens[[#This Row],[ATA Nº/ANO]] = ""),BE$2,BE$1)),0),0),0)</f>
        <v>0</v>
      </c>
      <c r="BF63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1" s="338">
        <f>SUMIF(Consumo!$C$3:$C$862,tabItens[[#This Row],[CÓDIGO]],Consumo!$E$3:$E$862)</f>
        <v>0</v>
      </c>
      <c r="BH631" s="339">
        <f>IF(AND(tabItens[[#This Row],[Pend]] &gt; 0,tabItens[[#This Row],[Consumo]] &lt;&gt; 0), tabItens[[#This Row],[Pend]] / tabItens[[#This Row],[Consumo]], 0 )</f>
        <v>0</v>
      </c>
      <c r="BI631" s="338"/>
      <c r="BJ631" s="338"/>
      <c r="BK631" s="340" t="s">
        <v>2086</v>
      </c>
    </row>
    <row r="632" spans="1:63" hidden="1" x14ac:dyDescent="0.3">
      <c r="A632" s="301">
        <v>59074</v>
      </c>
      <c r="B632" s="302" t="s">
        <v>1342</v>
      </c>
      <c r="C632" s="303" t="s">
        <v>1343</v>
      </c>
      <c r="D632" s="304">
        <v>2.4900000000000002</v>
      </c>
      <c r="E632" s="305"/>
      <c r="F632" s="305"/>
      <c r="G632" s="305" t="s">
        <v>889</v>
      </c>
      <c r="H632" s="306">
        <v>0</v>
      </c>
      <c r="I632" s="307">
        <v>103003</v>
      </c>
      <c r="J632" s="308">
        <v>2.4900000000000002</v>
      </c>
      <c r="K632" s="309">
        <v>1299</v>
      </c>
      <c r="L632" s="310">
        <f>IF(tabItens[[#This Row],[Média]] &gt; 0, tabItens[[#This Row],[QTDE ATUAL]] / tabItens[[#This Row],[Média]],999.9)</f>
        <v>0</v>
      </c>
      <c r="M632" s="311">
        <v>0</v>
      </c>
      <c r="N632" s="312">
        <f>tabItens[[#This Row],[VALOR UNIT.]] * tabItens[[#This Row],[LC]]</f>
        <v>0</v>
      </c>
      <c r="O632" s="313"/>
      <c r="P632" s="314"/>
      <c r="Q632" s="315"/>
      <c r="R632" s="312"/>
      <c r="S632" s="316"/>
      <c r="T632" s="317">
        <f>ROUNDDOWN(IFERROR(tabItens[[#This Row],[ATA DT.VALID.]] - $D$1,0) / 30,0)</f>
        <v>-1474</v>
      </c>
      <c r="U632" s="302" t="s">
        <v>941</v>
      </c>
      <c r="V632" s="318">
        <v>1</v>
      </c>
      <c r="W632" s="319" t="s">
        <v>2074</v>
      </c>
      <c r="X632" s="320">
        <v>45</v>
      </c>
      <c r="Y632" s="321">
        <v>11</v>
      </c>
      <c r="Z632" s="322">
        <v>6978</v>
      </c>
      <c r="AA632" s="323">
        <v>2023</v>
      </c>
      <c r="AB632" s="324">
        <v>1000</v>
      </c>
      <c r="AC632" s="324"/>
      <c r="AD632" s="323"/>
      <c r="AE632" s="324"/>
      <c r="AF632" s="317"/>
      <c r="AG632" s="325" t="s">
        <v>2072</v>
      </c>
      <c r="AH632" s="326"/>
      <c r="AI632" s="317">
        <v>482</v>
      </c>
      <c r="AJ632" s="326">
        <v>43635</v>
      </c>
      <c r="AK632" s="326" t="s">
        <v>889</v>
      </c>
      <c r="AL632" s="326">
        <v>45107</v>
      </c>
      <c r="AM632" s="316"/>
      <c r="AN632" s="305"/>
      <c r="AO632" s="327" t="str">
        <f>_xlfn.IFNA(IF(VLOOKUP(tabItens[[#This Row],[CÓDIGO]],tabExcluirDoEstoque[#Data],1,FALSE),"sim",""),"")</f>
        <v/>
      </c>
      <c r="AP632" s="328" t="str">
        <f ca="1">IF(OR(ISBLANK(tabItens[[#This Row],[ATA DT.VALID.]]),tabItens[[#This Row],[ATA DT.VALID.]]="",tabItens[[#This Row],[ATA DT.VALID.]]=" "),"",IF(TYPE(tabItens[[#This Row],[ATA DT.VALID.]])=1,ROUNDUP((tabItens[[#This Row],[ATA DT.VALID.]]-TODAY())/7,0),""))</f>
        <v/>
      </c>
      <c r="AQ632" s="329"/>
      <c r="AR632" s="330" t="str">
        <f>IF(ISBLANK(tabItens[[#This Row],[CÓDIGO]]),"",IFERROR(VLOOKUP(tabItens[[#This Row],[CÓDIGO]],Consumo!$C$2:$AC$862,26,FALSE),0))</f>
        <v>05.2023</v>
      </c>
      <c r="AS632" s="331">
        <f>SUMIF(Consumo!$C$3:$C$862,tabItens[[#This Row],[CÓDIGO]],Consumo!$N$3:$N$862) + SUMIF(Consumo!$C$3:$C$862,tabItens[[#This Row],[CÓDIGO]],Consumo!$O$3:$O$862) + SUMIF(Consumo!$C$3:$C$862,tabItens[[#This Row],[CÓDIGO]],Consumo!$P$3:$P$862) + SUMIF(Consumo!$C$3:$C$862,tabItens[[#This Row],[CÓDIGO]],Consumo!$Q$3:$Q$862)</f>
        <v>0</v>
      </c>
      <c r="AT632" s="331">
        <f>SUMIF(Consumo!$C$3:$C$862,tabItens[[#This Row],[CÓDIGO]],Consumo!$Z$3:$Z$862)</f>
        <v>1764</v>
      </c>
      <c r="AU632" s="332">
        <f>SUMIF(Consumo!$C$3:$C$862,tabItens[[#This Row],[CÓDIGO]],Consumo!$AA$3:$AA$862)</f>
        <v>421</v>
      </c>
      <c r="AV632" s="333">
        <f>SUMIF(Consumo!$C$3:$C$862,tabItens[[#This Row],[CÓDIGO]],Consumo!$Y$3:$Y$862)</f>
        <v>147</v>
      </c>
      <c r="AW632" s="306">
        <f>tabItens[[#This Row],[QTDE ATUAL]] + tabItens[[#This Row],[RC QTDE]] + tabItens[[#This Row],[AF SALDO]] + tabItens[[#This Row],[Recentes]]</f>
        <v>1000</v>
      </c>
      <c r="AX632" s="334">
        <v>119</v>
      </c>
      <c r="AY632" s="334">
        <v>4</v>
      </c>
      <c r="AZ632" s="334">
        <f>IF(ISBLANK(tabItens[[#This Row],[CÓDIGO]]),"",tabItens[[#This Row],[PontoMês]] * (AZ$2+tabItens[[#This Row],[PontoQtM]]))</f>
        <v>476</v>
      </c>
      <c r="BA632" s="333">
        <f>tabItens[[#This Row],[PontoPed]] - tabItens[[#This Row],[Saldo]] + (1/10)</f>
        <v>-523.9</v>
      </c>
      <c r="BB632" s="333">
        <f xml:space="preserve"> tabItens[[#This Row],[PontoMês]] * BB$2 - tabItens[[#This Row],[QTDE ATUAL]] - (1/10)</f>
        <v>118.9</v>
      </c>
      <c r="BC632" s="335">
        <f>IF( tabItens[[#This Row],[PontoPed]]&gt;0, IF(tabItens[[#This Row],[PontoPed]]&lt;1, 1, IF( tabItens[[#This Row],[Saldo]]&gt;tabItens[[#This Row],[PontoPed]], 0, (tabItens[[#This Row],[PontoPed]]-tabItens[[#This Row],[Saldo]])/tabItens[[#This Row],[PontoPed]] ) ), 0 )</f>
        <v>0</v>
      </c>
      <c r="BD632" s="336">
        <f>ROUNDDOWN(IF( OR( AND(tabItens[[#This Row],[PontoPed]]&lt;tabItens[[#This Row],[Saldo]],tabItens[[#This Row],[Saldo]]&gt;0), tabItens[[#This Row],[PontoPed]]=0), 99, IF(AND(tabItens[[#This Row],[Saldo]]=0,tabItens[[#This Row],[PontoPed]]&gt;0), 0, (1-tabItens[[#This Row],[PctAb]])*10 ) ),0)</f>
        <v>99</v>
      </c>
      <c r="BE632" s="337">
        <f>MAX(ROUNDDOWN( IF(tabItens[[#This Row],[Abaixo]] &gt; 0,   tabItens[[#This Row],[Abaixo]] + (tabItens[[#This Row],[PontoMês]] * IF( OR( ISBLANK(tabItens[[#This Row],[ATA Nº/ANO]]), tabItens[[#This Row],[ATA Nº/ANO]] = ""),BE$2,BE$1)),0),0),0)</f>
        <v>0</v>
      </c>
      <c r="BF63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2" s="338">
        <f>SUMIF(Consumo!$C$3:$C$862,tabItens[[#This Row],[CÓDIGO]],Consumo!$E$3:$E$862)</f>
        <v>316</v>
      </c>
      <c r="BH632" s="339">
        <f>IF(AND(tabItens[[#This Row],[Pend]] &gt; 0,tabItens[[#This Row],[Consumo]] &lt;&gt; 0), tabItens[[#This Row],[Pend]] / tabItens[[#This Row],[Consumo]], 0 )</f>
        <v>0.17913832199546487</v>
      </c>
      <c r="BI632" s="338"/>
      <c r="BJ632" s="338"/>
      <c r="BK632" s="340" t="s">
        <v>2086</v>
      </c>
    </row>
    <row r="633" spans="1:63" hidden="1" x14ac:dyDescent="0.3">
      <c r="A633" s="301">
        <v>69222</v>
      </c>
      <c r="B633" s="302" t="s">
        <v>1399</v>
      </c>
      <c r="C633" s="303" t="s">
        <v>1343</v>
      </c>
      <c r="D633" s="304">
        <v>1.8</v>
      </c>
      <c r="E633" s="305"/>
      <c r="F633" s="305"/>
      <c r="G633" s="305" t="s">
        <v>889</v>
      </c>
      <c r="H633" s="306">
        <v>0</v>
      </c>
      <c r="I633" s="307">
        <v>103003</v>
      </c>
      <c r="J633" s="308">
        <v>1.8</v>
      </c>
      <c r="K633" s="309">
        <v>3320</v>
      </c>
      <c r="L633" s="310">
        <f>IF(tabItens[[#This Row],[Média]] &gt; 0, tabItens[[#This Row],[QTDE ATUAL]] / tabItens[[#This Row],[Média]],999.9)</f>
        <v>0</v>
      </c>
      <c r="M633" s="311">
        <v>0</v>
      </c>
      <c r="N633" s="312">
        <f>tabItens[[#This Row],[VALOR UNIT.]] * tabItens[[#This Row],[LC]]</f>
        <v>0</v>
      </c>
      <c r="O633" s="313"/>
      <c r="P633" s="314"/>
      <c r="Q633" s="315"/>
      <c r="R633" s="312"/>
      <c r="S633" s="316"/>
      <c r="T633" s="317">
        <f>ROUNDDOWN(IFERROR(tabItens[[#This Row],[ATA DT.VALID.]] - $D$1,0) / 30,0)</f>
        <v>-1474</v>
      </c>
      <c r="U633" s="302" t="s">
        <v>941</v>
      </c>
      <c r="V633" s="318">
        <v>1</v>
      </c>
      <c r="W633" s="319" t="s">
        <v>2074</v>
      </c>
      <c r="X633" s="320">
        <v>45</v>
      </c>
      <c r="Y633" s="321">
        <v>11</v>
      </c>
      <c r="Z633" s="322">
        <v>6978</v>
      </c>
      <c r="AA633" s="323">
        <v>2023</v>
      </c>
      <c r="AB633" s="324">
        <v>1500</v>
      </c>
      <c r="AC633" s="324"/>
      <c r="AD633" s="323"/>
      <c r="AE633" s="324"/>
      <c r="AF633" s="317"/>
      <c r="AG633" s="325" t="s">
        <v>2072</v>
      </c>
      <c r="AH633" s="326"/>
      <c r="AI633" s="317">
        <v>1192</v>
      </c>
      <c r="AJ633" s="326">
        <v>44973</v>
      </c>
      <c r="AK633" s="326" t="s">
        <v>889</v>
      </c>
      <c r="AL633" s="326">
        <v>45107</v>
      </c>
      <c r="AM633" s="316"/>
      <c r="AN633" s="305"/>
      <c r="AO633" s="327" t="str">
        <f>_xlfn.IFNA(IF(VLOOKUP(tabItens[[#This Row],[CÓDIGO]],tabExcluirDoEstoque[#Data],1,FALSE),"sim",""),"")</f>
        <v/>
      </c>
      <c r="AP633" s="328" t="str">
        <f ca="1">IF(OR(ISBLANK(tabItens[[#This Row],[ATA DT.VALID.]]),tabItens[[#This Row],[ATA DT.VALID.]]="",tabItens[[#This Row],[ATA DT.VALID.]]=" "),"",IF(TYPE(tabItens[[#This Row],[ATA DT.VALID.]])=1,ROUNDUP((tabItens[[#This Row],[ATA DT.VALID.]]-TODAY())/7,0),""))</f>
        <v/>
      </c>
      <c r="AQ633" s="329"/>
      <c r="AR633" s="330" t="str">
        <f>IF(ISBLANK(tabItens[[#This Row],[CÓDIGO]]),"",IFERROR(VLOOKUP(tabItens[[#This Row],[CÓDIGO]],Consumo!$C$2:$AC$862,26,FALSE),0))</f>
        <v>08.2023</v>
      </c>
      <c r="AS633" s="331">
        <f>SUMIF(Consumo!$C$3:$C$862,tabItens[[#This Row],[CÓDIGO]],Consumo!$N$3:$N$862) + SUMIF(Consumo!$C$3:$C$862,tabItens[[#This Row],[CÓDIGO]],Consumo!$O$3:$O$862) + SUMIF(Consumo!$C$3:$C$862,tabItens[[#This Row],[CÓDIGO]],Consumo!$P$3:$P$862) + SUMIF(Consumo!$C$3:$C$862,tabItens[[#This Row],[CÓDIGO]],Consumo!$Q$3:$Q$862)</f>
        <v>1253</v>
      </c>
      <c r="AT633" s="331">
        <f>SUMIF(Consumo!$C$3:$C$862,tabItens[[#This Row],[CÓDIGO]],Consumo!$Z$3:$Z$862)</f>
        <v>4775</v>
      </c>
      <c r="AU633" s="332">
        <f>SUMIF(Consumo!$C$3:$C$862,tabItens[[#This Row],[CÓDIGO]],Consumo!$AA$3:$AA$862)</f>
        <v>730</v>
      </c>
      <c r="AV633" s="333">
        <f>SUMIF(Consumo!$C$3:$C$862,tabItens[[#This Row],[CÓDIGO]],Consumo!$Y$3:$Y$862)</f>
        <v>397.91666666666669</v>
      </c>
      <c r="AW633" s="306">
        <f>tabItens[[#This Row],[QTDE ATUAL]] + tabItens[[#This Row],[RC QTDE]] + tabItens[[#This Row],[AF SALDO]] + tabItens[[#This Row],[Recentes]]</f>
        <v>1500</v>
      </c>
      <c r="AX633" s="334">
        <v>304</v>
      </c>
      <c r="AY633" s="334">
        <v>4</v>
      </c>
      <c r="AZ633" s="334">
        <f>IF(ISBLANK(tabItens[[#This Row],[CÓDIGO]]),"",tabItens[[#This Row],[PontoMês]] * (AZ$2+tabItens[[#This Row],[PontoQtM]]))</f>
        <v>1216</v>
      </c>
      <c r="BA633" s="333">
        <f>tabItens[[#This Row],[PontoPed]] - tabItens[[#This Row],[Saldo]] + (1/10)</f>
        <v>-283.89999999999998</v>
      </c>
      <c r="BB633" s="333">
        <f xml:space="preserve"> tabItens[[#This Row],[PontoMês]] * BB$2 - tabItens[[#This Row],[QTDE ATUAL]] - (1/10)</f>
        <v>303.89999999999998</v>
      </c>
      <c r="BC633" s="335">
        <f>IF( tabItens[[#This Row],[PontoPed]]&gt;0, IF(tabItens[[#This Row],[PontoPed]]&lt;1, 1, IF( tabItens[[#This Row],[Saldo]]&gt;tabItens[[#This Row],[PontoPed]], 0, (tabItens[[#This Row],[PontoPed]]-tabItens[[#This Row],[Saldo]])/tabItens[[#This Row],[PontoPed]] ) ), 0 )</f>
        <v>0</v>
      </c>
      <c r="BD633" s="336">
        <f>ROUNDDOWN(IF( OR( AND(tabItens[[#This Row],[PontoPed]]&lt;tabItens[[#This Row],[Saldo]],tabItens[[#This Row],[Saldo]]&gt;0), tabItens[[#This Row],[PontoPed]]=0), 99, IF(AND(tabItens[[#This Row],[Saldo]]=0,tabItens[[#This Row],[PontoPed]]&gt;0), 0, (1-tabItens[[#This Row],[PctAb]])*10 ) ),0)</f>
        <v>99</v>
      </c>
      <c r="BE633" s="337">
        <f>MAX(ROUNDDOWN( IF(tabItens[[#This Row],[Abaixo]] &gt; 0,   tabItens[[#This Row],[Abaixo]] + (tabItens[[#This Row],[PontoMês]] * IF( OR( ISBLANK(tabItens[[#This Row],[ATA Nº/ANO]]), tabItens[[#This Row],[ATA Nº/ANO]] = ""),BE$2,BE$1)),0),0),0)</f>
        <v>0</v>
      </c>
      <c r="BF63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3" s="338">
        <f>SUMIF(Consumo!$C$3:$C$862,tabItens[[#This Row],[CÓDIGO]],Consumo!$E$3:$E$862)</f>
        <v>1202</v>
      </c>
      <c r="BH633" s="339">
        <f>IF(AND(tabItens[[#This Row],[Pend]] &gt; 0,tabItens[[#This Row],[Consumo]] &lt;&gt; 0), tabItens[[#This Row],[Pend]] / tabItens[[#This Row],[Consumo]], 0 )</f>
        <v>0.25172774869109948</v>
      </c>
      <c r="BI633" s="338"/>
      <c r="BJ633" s="338"/>
      <c r="BK633" s="340" t="s">
        <v>2086</v>
      </c>
    </row>
    <row r="634" spans="1:63" hidden="1" x14ac:dyDescent="0.3">
      <c r="A634" s="301">
        <v>79687</v>
      </c>
      <c r="B634" s="302" t="s">
        <v>1460</v>
      </c>
      <c r="C634" s="303" t="s">
        <v>263</v>
      </c>
      <c r="D634" s="304">
        <v>0.33</v>
      </c>
      <c r="E634" s="305"/>
      <c r="F634" s="305"/>
      <c r="G634" s="305" t="s">
        <v>889</v>
      </c>
      <c r="H634" s="306">
        <v>11982</v>
      </c>
      <c r="I634" s="307">
        <v>103003</v>
      </c>
      <c r="J634" s="308">
        <v>0.33</v>
      </c>
      <c r="K634" s="309">
        <v>9835</v>
      </c>
      <c r="L634" s="310">
        <f>IF(tabItens[[#This Row],[Média]] &gt; 0, tabItens[[#This Row],[QTDE ATUAL]] / tabItens[[#This Row],[Média]],999.9)</f>
        <v>8.8048989589712185</v>
      </c>
      <c r="M634" s="311">
        <v>0</v>
      </c>
      <c r="N634" s="312">
        <f>tabItens[[#This Row],[VALOR UNIT.]] * tabItens[[#This Row],[LC]]</f>
        <v>0</v>
      </c>
      <c r="O634" s="313"/>
      <c r="P634" s="314"/>
      <c r="Q634" s="315"/>
      <c r="R634" s="312"/>
      <c r="S634" s="316"/>
      <c r="T634" s="317">
        <f>ROUNDDOWN(IFERROR(tabItens[[#This Row],[ATA DT.VALID.]] - $D$1,0) / 30,0)</f>
        <v>-1474</v>
      </c>
      <c r="U634" s="302" t="s">
        <v>941</v>
      </c>
      <c r="V634" s="318">
        <v>1</v>
      </c>
      <c r="W634" s="319" t="s">
        <v>2074</v>
      </c>
      <c r="X634" s="320">
        <v>45</v>
      </c>
      <c r="Y634" s="321">
        <v>11</v>
      </c>
      <c r="Z634" s="322"/>
      <c r="AA634" s="323"/>
      <c r="AB634" s="324"/>
      <c r="AC634" s="324"/>
      <c r="AD634" s="323"/>
      <c r="AE634" s="324"/>
      <c r="AF634" s="317"/>
      <c r="AG634" s="325" t="s">
        <v>2072</v>
      </c>
      <c r="AH634" s="326"/>
      <c r="AI634" s="317">
        <v>5756</v>
      </c>
      <c r="AJ634" s="326">
        <v>45019</v>
      </c>
      <c r="AK634" s="326">
        <v>38138</v>
      </c>
      <c r="AL634" s="326">
        <v>44959</v>
      </c>
      <c r="AM634" s="316"/>
      <c r="AN634" s="305"/>
      <c r="AO634" s="327" t="str">
        <f>_xlfn.IFNA(IF(VLOOKUP(tabItens[[#This Row],[CÓDIGO]],tabExcluirDoEstoque[#Data],1,FALSE),"sim",""),"")</f>
        <v/>
      </c>
      <c r="AP634" s="328" t="str">
        <f ca="1">IF(OR(ISBLANK(tabItens[[#This Row],[ATA DT.VALID.]]),tabItens[[#This Row],[ATA DT.VALID.]]="",tabItens[[#This Row],[ATA DT.VALID.]]=" "),"",IF(TYPE(tabItens[[#This Row],[ATA DT.VALID.]])=1,ROUNDUP((tabItens[[#This Row],[ATA DT.VALID.]]-TODAY())/7,0),""))</f>
        <v/>
      </c>
      <c r="AQ634" s="329"/>
      <c r="AR634" s="330" t="str">
        <f>IF(ISBLANK(tabItens[[#This Row],[CÓDIGO]]),"",IFERROR(VLOOKUP(tabItens[[#This Row],[CÓDIGO]],Consumo!$C$2:$AC$862,26,FALSE),0))</f>
        <v>09.2023</v>
      </c>
      <c r="AS634" s="331">
        <f>SUMIF(Consumo!$C$3:$C$862,tabItens[[#This Row],[CÓDIGO]],Consumo!$N$3:$N$862) + SUMIF(Consumo!$C$3:$C$862,tabItens[[#This Row],[CÓDIGO]],Consumo!$O$3:$O$862) + SUMIF(Consumo!$C$3:$C$862,tabItens[[#This Row],[CÓDIGO]],Consumo!$P$3:$P$862) + SUMIF(Consumo!$C$3:$C$862,tabItens[[#This Row],[CÓDIGO]],Consumo!$Q$3:$Q$862)</f>
        <v>4789</v>
      </c>
      <c r="AT634" s="331">
        <f>SUMIF(Consumo!$C$3:$C$862,tabItens[[#This Row],[CÓDIGO]],Consumo!$Z$3:$Z$862)</f>
        <v>16330</v>
      </c>
      <c r="AU634" s="332">
        <f>SUMIF(Consumo!$C$3:$C$862,tabItens[[#This Row],[CÓDIGO]],Consumo!$AA$3:$AA$862)</f>
        <v>2111</v>
      </c>
      <c r="AV634" s="333">
        <f>SUMIF(Consumo!$C$3:$C$862,tabItens[[#This Row],[CÓDIGO]],Consumo!$Y$3:$Y$862)</f>
        <v>1360.8333333333333</v>
      </c>
      <c r="AW634" s="306">
        <f>tabItens[[#This Row],[QTDE ATUAL]] + tabItens[[#This Row],[RC QTDE]] + tabItens[[#This Row],[AF SALDO]] + tabItens[[#This Row],[Recentes]]</f>
        <v>11982</v>
      </c>
      <c r="AX634" s="334">
        <v>811</v>
      </c>
      <c r="AY634" s="334">
        <v>4</v>
      </c>
      <c r="AZ634" s="334">
        <f>IF(ISBLANK(tabItens[[#This Row],[CÓDIGO]]),"",tabItens[[#This Row],[PontoMês]] * (AZ$2+tabItens[[#This Row],[PontoQtM]]))</f>
        <v>3244</v>
      </c>
      <c r="BA634" s="333">
        <f>tabItens[[#This Row],[PontoPed]] - tabItens[[#This Row],[Saldo]] + (1/10)</f>
        <v>-8737.9</v>
      </c>
      <c r="BB634" s="333">
        <f xml:space="preserve"> tabItens[[#This Row],[PontoMês]] * BB$2 - tabItens[[#This Row],[QTDE ATUAL]] - (1/10)</f>
        <v>-11171.1</v>
      </c>
      <c r="BC634" s="335">
        <f>IF( tabItens[[#This Row],[PontoPed]]&gt;0, IF(tabItens[[#This Row],[PontoPed]]&lt;1, 1, IF( tabItens[[#This Row],[Saldo]]&gt;tabItens[[#This Row],[PontoPed]], 0, (tabItens[[#This Row],[PontoPed]]-tabItens[[#This Row],[Saldo]])/tabItens[[#This Row],[PontoPed]] ) ), 0 )</f>
        <v>0</v>
      </c>
      <c r="BD634" s="336">
        <f>ROUNDDOWN(IF( OR( AND(tabItens[[#This Row],[PontoPed]]&lt;tabItens[[#This Row],[Saldo]],tabItens[[#This Row],[Saldo]]&gt;0), tabItens[[#This Row],[PontoPed]]=0), 99, IF(AND(tabItens[[#This Row],[Saldo]]=0,tabItens[[#This Row],[PontoPed]]&gt;0), 0, (1-tabItens[[#This Row],[PctAb]])*10 ) ),0)</f>
        <v>99</v>
      </c>
      <c r="BE634" s="337">
        <f>MAX(ROUNDDOWN( IF(tabItens[[#This Row],[Abaixo]] &gt; 0,   tabItens[[#This Row],[Abaixo]] + (tabItens[[#This Row],[PontoMês]] * IF( OR( ISBLANK(tabItens[[#This Row],[ATA Nº/ANO]]), tabItens[[#This Row],[ATA Nº/ANO]] = ""),BE$2,BE$1)),0),0),0)</f>
        <v>0</v>
      </c>
      <c r="BF63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4" s="338">
        <f>SUMIF(Consumo!$C$3:$C$862,tabItens[[#This Row],[CÓDIGO]],Consumo!$E$3:$E$862)</f>
        <v>41</v>
      </c>
      <c r="BH634" s="339">
        <f>IF(AND(tabItens[[#This Row],[Pend]] &gt; 0,tabItens[[#This Row],[Consumo]] &lt;&gt; 0), tabItens[[#This Row],[Pend]] / tabItens[[#This Row],[Consumo]], 0 )</f>
        <v>2.5107164727495405E-3</v>
      </c>
      <c r="BI634" s="338"/>
      <c r="BJ634" s="338"/>
      <c r="BK634" s="340" t="s">
        <v>2086</v>
      </c>
    </row>
    <row r="635" spans="1:63" hidden="1" x14ac:dyDescent="0.3">
      <c r="A635" s="301">
        <v>79688</v>
      </c>
      <c r="B635" s="302" t="s">
        <v>1461</v>
      </c>
      <c r="C635" s="303" t="s">
        <v>263</v>
      </c>
      <c r="D635" s="304">
        <v>0.26</v>
      </c>
      <c r="E635" s="305"/>
      <c r="F635" s="305"/>
      <c r="G635" s="305" t="s">
        <v>889</v>
      </c>
      <c r="H635" s="306">
        <v>17737</v>
      </c>
      <c r="I635" s="307">
        <v>103003</v>
      </c>
      <c r="J635" s="308">
        <v>0.26</v>
      </c>
      <c r="K635" s="309">
        <v>8507</v>
      </c>
      <c r="L635" s="310">
        <f>IF(tabItens[[#This Row],[Média]] &gt; 0, tabItens[[#This Row],[QTDE ATUAL]] / tabItens[[#This Row],[Média]],999.9)</f>
        <v>14.653631669535283</v>
      </c>
      <c r="M635" s="311">
        <v>0</v>
      </c>
      <c r="N635" s="312">
        <f>tabItens[[#This Row],[VALOR UNIT.]] * tabItens[[#This Row],[LC]]</f>
        <v>0</v>
      </c>
      <c r="O635" s="313"/>
      <c r="P635" s="314"/>
      <c r="Q635" s="315"/>
      <c r="R635" s="312"/>
      <c r="S635" s="316"/>
      <c r="T635" s="317">
        <f>ROUNDDOWN(IFERROR(tabItens[[#This Row],[ATA DT.VALID.]] - $D$1,0) / 30,0)</f>
        <v>-1474</v>
      </c>
      <c r="U635" s="302" t="s">
        <v>941</v>
      </c>
      <c r="V635" s="318">
        <v>1</v>
      </c>
      <c r="W635" s="319" t="s">
        <v>2074</v>
      </c>
      <c r="X635" s="320">
        <v>45</v>
      </c>
      <c r="Y635" s="321">
        <v>11</v>
      </c>
      <c r="Z635" s="322"/>
      <c r="AA635" s="323"/>
      <c r="AB635" s="324"/>
      <c r="AC635" s="324"/>
      <c r="AD635" s="323"/>
      <c r="AE635" s="324"/>
      <c r="AF635" s="317"/>
      <c r="AG635" s="325" t="s">
        <v>2072</v>
      </c>
      <c r="AH635" s="326"/>
      <c r="AI635" s="317">
        <v>4828</v>
      </c>
      <c r="AJ635" s="326">
        <v>44974</v>
      </c>
      <c r="AK635" s="326">
        <v>38138</v>
      </c>
      <c r="AL635" s="326">
        <v>44959</v>
      </c>
      <c r="AM635" s="316"/>
      <c r="AN635" s="305"/>
      <c r="AO635" s="327" t="str">
        <f>_xlfn.IFNA(IF(VLOOKUP(tabItens[[#This Row],[CÓDIGO]],tabExcluirDoEstoque[#Data],1,FALSE),"sim",""),"")</f>
        <v/>
      </c>
      <c r="AP635" s="328" t="str">
        <f ca="1">IF(OR(ISBLANK(tabItens[[#This Row],[ATA DT.VALID.]]),tabItens[[#This Row],[ATA DT.VALID.]]="",tabItens[[#This Row],[ATA DT.VALID.]]=" "),"",IF(TYPE(tabItens[[#This Row],[ATA DT.VALID.]])=1,ROUNDUP((tabItens[[#This Row],[ATA DT.VALID.]]-TODAY())/7,0),""))</f>
        <v/>
      </c>
      <c r="AQ635" s="329"/>
      <c r="AR635" s="330" t="str">
        <f>IF(ISBLANK(tabItens[[#This Row],[CÓDIGO]]),"",IFERROR(VLOOKUP(tabItens[[#This Row],[CÓDIGO]],Consumo!$C$2:$AC$862,26,FALSE),0))</f>
        <v>09.2023</v>
      </c>
      <c r="AS635" s="331">
        <f>SUMIF(Consumo!$C$3:$C$862,tabItens[[#This Row],[CÓDIGO]],Consumo!$N$3:$N$862) + SUMIF(Consumo!$C$3:$C$862,tabItens[[#This Row],[CÓDIGO]],Consumo!$O$3:$O$862) + SUMIF(Consumo!$C$3:$C$862,tabItens[[#This Row],[CÓDIGO]],Consumo!$P$3:$P$862) + SUMIF(Consumo!$C$3:$C$862,tabItens[[#This Row],[CÓDIGO]],Consumo!$Q$3:$Q$862)</f>
        <v>4761</v>
      </c>
      <c r="AT635" s="331">
        <f>SUMIF(Consumo!$C$3:$C$862,tabItens[[#This Row],[CÓDIGO]],Consumo!$Z$3:$Z$862)</f>
        <v>14525</v>
      </c>
      <c r="AU635" s="332">
        <f>SUMIF(Consumo!$C$3:$C$862,tabItens[[#This Row],[CÓDIGO]],Consumo!$AA$3:$AA$862)</f>
        <v>2043</v>
      </c>
      <c r="AV635" s="333">
        <f>SUMIF(Consumo!$C$3:$C$862,tabItens[[#This Row],[CÓDIGO]],Consumo!$Y$3:$Y$862)</f>
        <v>1210.4166666666667</v>
      </c>
      <c r="AW635" s="306">
        <f>tabItens[[#This Row],[QTDE ATUAL]] + tabItens[[#This Row],[RC QTDE]] + tabItens[[#This Row],[AF SALDO]] + tabItens[[#This Row],[Recentes]]</f>
        <v>17737</v>
      </c>
      <c r="AX635" s="334">
        <v>796</v>
      </c>
      <c r="AY635" s="334">
        <v>4</v>
      </c>
      <c r="AZ635" s="334">
        <f>IF(ISBLANK(tabItens[[#This Row],[CÓDIGO]]),"",tabItens[[#This Row],[PontoMês]] * (AZ$2+tabItens[[#This Row],[PontoQtM]]))</f>
        <v>3184</v>
      </c>
      <c r="BA635" s="333">
        <f>tabItens[[#This Row],[PontoPed]] - tabItens[[#This Row],[Saldo]] + (1/10)</f>
        <v>-14552.9</v>
      </c>
      <c r="BB635" s="333">
        <f xml:space="preserve"> tabItens[[#This Row],[PontoMês]] * BB$2 - tabItens[[#This Row],[QTDE ATUAL]] - (1/10)</f>
        <v>-16941.099999999999</v>
      </c>
      <c r="BC635" s="335">
        <f>IF( tabItens[[#This Row],[PontoPed]]&gt;0, IF(tabItens[[#This Row],[PontoPed]]&lt;1, 1, IF( tabItens[[#This Row],[Saldo]]&gt;tabItens[[#This Row],[PontoPed]], 0, (tabItens[[#This Row],[PontoPed]]-tabItens[[#This Row],[Saldo]])/tabItens[[#This Row],[PontoPed]] ) ), 0 )</f>
        <v>0</v>
      </c>
      <c r="BD635" s="336">
        <f>ROUNDDOWN(IF( OR( AND(tabItens[[#This Row],[PontoPed]]&lt;tabItens[[#This Row],[Saldo]],tabItens[[#This Row],[Saldo]]&gt;0), tabItens[[#This Row],[PontoPed]]=0), 99, IF(AND(tabItens[[#This Row],[Saldo]]=0,tabItens[[#This Row],[PontoPed]]&gt;0), 0, (1-tabItens[[#This Row],[PctAb]])*10 ) ),0)</f>
        <v>99</v>
      </c>
      <c r="BE635" s="337">
        <f>MAX(ROUNDDOWN( IF(tabItens[[#This Row],[Abaixo]] &gt; 0,   tabItens[[#This Row],[Abaixo]] + (tabItens[[#This Row],[PontoMês]] * IF( OR( ISBLANK(tabItens[[#This Row],[ATA Nº/ANO]]), tabItens[[#This Row],[ATA Nº/ANO]] = ""),BE$2,BE$1)),0),0),0)</f>
        <v>0</v>
      </c>
      <c r="BF63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5" s="338">
        <f>SUMIF(Consumo!$C$3:$C$862,tabItens[[#This Row],[CÓDIGO]],Consumo!$E$3:$E$862)</f>
        <v>41</v>
      </c>
      <c r="BH635" s="339">
        <f>IF(AND(tabItens[[#This Row],[Pend]] &gt; 0,tabItens[[#This Row],[Consumo]] &lt;&gt; 0), tabItens[[#This Row],[Pend]] / tabItens[[#This Row],[Consumo]], 0 )</f>
        <v>2.8227194492254732E-3</v>
      </c>
      <c r="BI635" s="338"/>
      <c r="BJ635" s="338"/>
      <c r="BK635" s="340" t="s">
        <v>2086</v>
      </c>
    </row>
    <row r="636" spans="1:63" hidden="1" x14ac:dyDescent="0.3">
      <c r="A636" s="301">
        <v>83627</v>
      </c>
      <c r="B636" s="302" t="s">
        <v>1490</v>
      </c>
      <c r="C636" s="303" t="s">
        <v>31</v>
      </c>
      <c r="D636" s="304">
        <v>0.29799999999999999</v>
      </c>
      <c r="E636" s="305"/>
      <c r="F636" s="305"/>
      <c r="G636" s="305" t="s">
        <v>889</v>
      </c>
      <c r="H636" s="306">
        <v>39672</v>
      </c>
      <c r="I636" s="307">
        <v>103003</v>
      </c>
      <c r="J636" s="308">
        <v>0.29799999999999999</v>
      </c>
      <c r="K636" s="309">
        <v>63006</v>
      </c>
      <c r="L636" s="310">
        <f>IF(tabItens[[#This Row],[Média]] &gt; 0, tabItens[[#This Row],[QTDE ATUAL]] / tabItens[[#This Row],[Média]],999.9)</f>
        <v>4.3066345823306973</v>
      </c>
      <c r="M636" s="311">
        <v>0</v>
      </c>
      <c r="N636" s="312">
        <f>tabItens[[#This Row],[VALOR UNIT.]] * tabItens[[#This Row],[LC]]</f>
        <v>0</v>
      </c>
      <c r="O636" s="313"/>
      <c r="P636" s="314"/>
      <c r="Q636" s="315"/>
      <c r="R636" s="312"/>
      <c r="S636" s="316"/>
      <c r="T636" s="317">
        <f>ROUNDDOWN(IFERROR(tabItens[[#This Row],[ATA DT.VALID.]] - $D$1,0) / 30,0)</f>
        <v>-1474</v>
      </c>
      <c r="U636" s="302" t="s">
        <v>941</v>
      </c>
      <c r="V636" s="318">
        <v>1</v>
      </c>
      <c r="W636" s="319" t="s">
        <v>2074</v>
      </c>
      <c r="X636" s="320">
        <v>45</v>
      </c>
      <c r="Y636" s="321">
        <v>11</v>
      </c>
      <c r="Z636" s="322"/>
      <c r="AA636" s="323"/>
      <c r="AB636" s="324"/>
      <c r="AC636" s="324"/>
      <c r="AD636" s="323"/>
      <c r="AE636" s="324"/>
      <c r="AF636" s="317"/>
      <c r="AG636" s="325" t="s">
        <v>2072</v>
      </c>
      <c r="AH636" s="326"/>
      <c r="AI636" s="317">
        <v>36660</v>
      </c>
      <c r="AJ636" s="326">
        <v>44943</v>
      </c>
      <c r="AK636" s="326">
        <v>38369</v>
      </c>
      <c r="AL636" s="326">
        <v>45048</v>
      </c>
      <c r="AM636" s="316"/>
      <c r="AN636" s="305"/>
      <c r="AO636" s="327" t="str">
        <f>_xlfn.IFNA(IF(VLOOKUP(tabItens[[#This Row],[CÓDIGO]],tabExcluirDoEstoque[#Data],1,FALSE),"sim",""),"")</f>
        <v/>
      </c>
      <c r="AP636" s="328" t="str">
        <f ca="1">IF(OR(ISBLANK(tabItens[[#This Row],[ATA DT.VALID.]]),tabItens[[#This Row],[ATA DT.VALID.]]="",tabItens[[#This Row],[ATA DT.VALID.]]=" "),"",IF(TYPE(tabItens[[#This Row],[ATA DT.VALID.]])=1,ROUNDUP((tabItens[[#This Row],[ATA DT.VALID.]]-TODAY())/7,0),""))</f>
        <v/>
      </c>
      <c r="AQ636" s="329"/>
      <c r="AR636" s="330" t="str">
        <f>IF(ISBLANK(tabItens[[#This Row],[CÓDIGO]]),"",IFERROR(VLOOKUP(tabItens[[#This Row],[CÓDIGO]],Consumo!$C$2:$AC$862,26,FALSE),0))</f>
        <v>09.2023</v>
      </c>
      <c r="AS636" s="331">
        <f>SUMIF(Consumo!$C$3:$C$862,tabItens[[#This Row],[CÓDIGO]],Consumo!$N$3:$N$862) + SUMIF(Consumo!$C$3:$C$862,tabItens[[#This Row],[CÓDIGO]],Consumo!$O$3:$O$862) + SUMIF(Consumo!$C$3:$C$862,tabItens[[#This Row],[CÓDIGO]],Consumo!$P$3:$P$862) + SUMIF(Consumo!$C$3:$C$862,tabItens[[#This Row],[CÓDIGO]],Consumo!$Q$3:$Q$862)</f>
        <v>34824</v>
      </c>
      <c r="AT636" s="331">
        <f>SUMIF(Consumo!$C$3:$C$862,tabItens[[#This Row],[CÓDIGO]],Consumo!$Z$3:$Z$862)</f>
        <v>110542</v>
      </c>
      <c r="AU636" s="332">
        <f>SUMIF(Consumo!$C$3:$C$862,tabItens[[#This Row],[CÓDIGO]],Consumo!$AA$3:$AA$862)</f>
        <v>12121</v>
      </c>
      <c r="AV636" s="333">
        <f>SUMIF(Consumo!$C$3:$C$862,tabItens[[#This Row],[CÓDIGO]],Consumo!$Y$3:$Y$862)</f>
        <v>9211.8333333333339</v>
      </c>
      <c r="AW636" s="306">
        <f>tabItens[[#This Row],[QTDE ATUAL]] + tabItens[[#This Row],[RC QTDE]] + tabItens[[#This Row],[AF SALDO]] + tabItens[[#This Row],[Recentes]]</f>
        <v>39672</v>
      </c>
      <c r="AX636" s="334">
        <v>5637</v>
      </c>
      <c r="AY636" s="334">
        <v>4</v>
      </c>
      <c r="AZ636" s="334">
        <f>IF(ISBLANK(tabItens[[#This Row],[CÓDIGO]]),"",tabItens[[#This Row],[PontoMês]] * (AZ$2+tabItens[[#This Row],[PontoQtM]]))</f>
        <v>22548</v>
      </c>
      <c r="BA636" s="333">
        <f>tabItens[[#This Row],[PontoPed]] - tabItens[[#This Row],[Saldo]] + (1/10)</f>
        <v>-17123.900000000001</v>
      </c>
      <c r="BB636" s="333">
        <f xml:space="preserve"> tabItens[[#This Row],[PontoMês]] * BB$2 - tabItens[[#This Row],[QTDE ATUAL]] - (1/10)</f>
        <v>-34035.1</v>
      </c>
      <c r="BC636" s="335">
        <f>IF( tabItens[[#This Row],[PontoPed]]&gt;0, IF(tabItens[[#This Row],[PontoPed]]&lt;1, 1, IF( tabItens[[#This Row],[Saldo]]&gt;tabItens[[#This Row],[PontoPed]], 0, (tabItens[[#This Row],[PontoPed]]-tabItens[[#This Row],[Saldo]])/tabItens[[#This Row],[PontoPed]] ) ), 0 )</f>
        <v>0</v>
      </c>
      <c r="BD636" s="336">
        <f>ROUNDDOWN(IF( OR( AND(tabItens[[#This Row],[PontoPed]]&lt;tabItens[[#This Row],[Saldo]],tabItens[[#This Row],[Saldo]]&gt;0), tabItens[[#This Row],[PontoPed]]=0), 99, IF(AND(tabItens[[#This Row],[Saldo]]=0,tabItens[[#This Row],[PontoPed]]&gt;0), 0, (1-tabItens[[#This Row],[PctAb]])*10 ) ),0)</f>
        <v>99</v>
      </c>
      <c r="BE636" s="337">
        <f>MAX(ROUNDDOWN( IF(tabItens[[#This Row],[Abaixo]] &gt; 0,   tabItens[[#This Row],[Abaixo]] + (tabItens[[#This Row],[PontoMês]] * IF( OR( ISBLANK(tabItens[[#This Row],[ATA Nº/ANO]]), tabItens[[#This Row],[ATA Nº/ANO]] = ""),BE$2,BE$1)),0),0),0)</f>
        <v>0</v>
      </c>
      <c r="BF63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6" s="338">
        <f>SUMIF(Consumo!$C$3:$C$862,tabItens[[#This Row],[CÓDIGO]],Consumo!$E$3:$E$862)</f>
        <v>560</v>
      </c>
      <c r="BH636" s="339">
        <f>IF(AND(tabItens[[#This Row],[Pend]] &gt; 0,tabItens[[#This Row],[Consumo]] &lt;&gt; 0), tabItens[[#This Row],[Pend]] / tabItens[[#This Row],[Consumo]], 0 )</f>
        <v>5.065947784552478E-3</v>
      </c>
      <c r="BI636" s="338"/>
      <c r="BJ636" s="338"/>
      <c r="BK636" s="340" t="s">
        <v>2086</v>
      </c>
    </row>
    <row r="637" spans="1:63" hidden="1" x14ac:dyDescent="0.3">
      <c r="A637" s="301">
        <v>84878</v>
      </c>
      <c r="B637" s="302" t="s">
        <v>1494</v>
      </c>
      <c r="C637" s="303" t="s">
        <v>31</v>
      </c>
      <c r="D637" s="304">
        <v>0.12</v>
      </c>
      <c r="E637" s="305"/>
      <c r="F637" s="305"/>
      <c r="G637" s="305" t="s">
        <v>889</v>
      </c>
      <c r="H637" s="306">
        <v>50966</v>
      </c>
      <c r="I637" s="307">
        <v>103003</v>
      </c>
      <c r="J637" s="308">
        <v>0.12</v>
      </c>
      <c r="K637" s="309">
        <v>61239</v>
      </c>
      <c r="L637" s="310">
        <f>IF(tabItens[[#This Row],[Média]] &gt; 0, tabItens[[#This Row],[QTDE ATUAL]] / tabItens[[#This Row],[Média]],999.9)</f>
        <v>10.179288305981826</v>
      </c>
      <c r="M637" s="311">
        <v>0</v>
      </c>
      <c r="N637" s="312">
        <f>tabItens[[#This Row],[VALOR UNIT.]] * tabItens[[#This Row],[LC]]</f>
        <v>0</v>
      </c>
      <c r="O637" s="313"/>
      <c r="P637" s="314"/>
      <c r="Q637" s="315"/>
      <c r="R637" s="312"/>
      <c r="S637" s="316"/>
      <c r="T637" s="317">
        <f>ROUNDDOWN(IFERROR(tabItens[[#This Row],[ATA DT.VALID.]] - $D$1,0) / 30,0)</f>
        <v>-1474</v>
      </c>
      <c r="U637" s="302" t="s">
        <v>941</v>
      </c>
      <c r="V637" s="318">
        <v>1</v>
      </c>
      <c r="W637" s="319" t="s">
        <v>2074</v>
      </c>
      <c r="X637" s="320">
        <v>45</v>
      </c>
      <c r="Y637" s="321">
        <v>11</v>
      </c>
      <c r="Z637" s="322"/>
      <c r="AA637" s="323"/>
      <c r="AB637" s="324"/>
      <c r="AC637" s="324"/>
      <c r="AD637" s="323"/>
      <c r="AE637" s="324"/>
      <c r="AF637" s="317"/>
      <c r="AG637" s="325" t="s">
        <v>2072</v>
      </c>
      <c r="AH637" s="326"/>
      <c r="AI637" s="317">
        <v>30782</v>
      </c>
      <c r="AJ637" s="326">
        <v>44967</v>
      </c>
      <c r="AK637" s="326">
        <v>38448</v>
      </c>
      <c r="AL637" s="326">
        <v>44998</v>
      </c>
      <c r="AM637" s="316"/>
      <c r="AN637" s="305"/>
      <c r="AO637" s="327" t="str">
        <f>_xlfn.IFNA(IF(VLOOKUP(tabItens[[#This Row],[CÓDIGO]],tabExcluirDoEstoque[#Data],1,FALSE),"sim",""),"")</f>
        <v/>
      </c>
      <c r="AP637" s="328" t="str">
        <f ca="1">IF(OR(ISBLANK(tabItens[[#This Row],[ATA DT.VALID.]]),tabItens[[#This Row],[ATA DT.VALID.]]="",tabItens[[#This Row],[ATA DT.VALID.]]=" "),"",IF(TYPE(tabItens[[#This Row],[ATA DT.VALID.]])=1,ROUNDUP((tabItens[[#This Row],[ATA DT.VALID.]]-TODAY())/7,0),""))</f>
        <v/>
      </c>
      <c r="AQ637" s="329"/>
      <c r="AR637" s="330" t="str">
        <f>IF(ISBLANK(tabItens[[#This Row],[CÓDIGO]]),"",IFERROR(VLOOKUP(tabItens[[#This Row],[CÓDIGO]],Consumo!$C$2:$AC$862,26,FALSE),0))</f>
        <v>09.2023</v>
      </c>
      <c r="AS637" s="331">
        <f>SUMIF(Consumo!$C$3:$C$862,tabItens[[#This Row],[CÓDIGO]],Consumo!$N$3:$N$862) + SUMIF(Consumo!$C$3:$C$862,tabItens[[#This Row],[CÓDIGO]],Consumo!$O$3:$O$862) + SUMIF(Consumo!$C$3:$C$862,tabItens[[#This Row],[CÓDIGO]],Consumo!$P$3:$P$862) + SUMIF(Consumo!$C$3:$C$862,tabItens[[#This Row],[CÓDIGO]],Consumo!$Q$3:$Q$862)</f>
        <v>12856</v>
      </c>
      <c r="AT637" s="331">
        <f>SUMIF(Consumo!$C$3:$C$862,tabItens[[#This Row],[CÓDIGO]],Consumo!$Z$3:$Z$862)</f>
        <v>73867</v>
      </c>
      <c r="AU637" s="332">
        <f>SUMIF(Consumo!$C$3:$C$862,tabItens[[#This Row],[CÓDIGO]],Consumo!$AA$3:$AA$862)</f>
        <v>41878</v>
      </c>
      <c r="AV637" s="333">
        <f>SUMIF(Consumo!$C$3:$C$862,tabItens[[#This Row],[CÓDIGO]],Consumo!$Y$3:$Y$862)</f>
        <v>5006.833333333333</v>
      </c>
      <c r="AW637" s="306">
        <f>tabItens[[#This Row],[QTDE ATUAL]] + tabItens[[#This Row],[RC QTDE]] + tabItens[[#This Row],[AF SALDO]] + tabItens[[#This Row],[Recentes]]</f>
        <v>50966</v>
      </c>
      <c r="AX637" s="334">
        <v>6209</v>
      </c>
      <c r="AY637" s="334">
        <v>4</v>
      </c>
      <c r="AZ637" s="334">
        <f>IF(ISBLANK(tabItens[[#This Row],[CÓDIGO]]),"",tabItens[[#This Row],[PontoMês]] * (AZ$2+tabItens[[#This Row],[PontoQtM]]))</f>
        <v>24836</v>
      </c>
      <c r="BA637" s="333">
        <f>tabItens[[#This Row],[PontoPed]] - tabItens[[#This Row],[Saldo]] + (1/10)</f>
        <v>-26129.9</v>
      </c>
      <c r="BB637" s="333">
        <f xml:space="preserve"> tabItens[[#This Row],[PontoMês]] * BB$2 - tabItens[[#This Row],[QTDE ATUAL]] - (1/10)</f>
        <v>-44757.1</v>
      </c>
      <c r="BC637" s="335">
        <f>IF( tabItens[[#This Row],[PontoPed]]&gt;0, IF(tabItens[[#This Row],[PontoPed]]&lt;1, 1, IF( tabItens[[#This Row],[Saldo]]&gt;tabItens[[#This Row],[PontoPed]], 0, (tabItens[[#This Row],[PontoPed]]-tabItens[[#This Row],[Saldo]])/tabItens[[#This Row],[PontoPed]] ) ), 0 )</f>
        <v>0</v>
      </c>
      <c r="BD637" s="336">
        <f>ROUNDDOWN(IF( OR( AND(tabItens[[#This Row],[PontoPed]]&lt;tabItens[[#This Row],[Saldo]],tabItens[[#This Row],[Saldo]]&gt;0), tabItens[[#This Row],[PontoPed]]=0), 99, IF(AND(tabItens[[#This Row],[Saldo]]=0,tabItens[[#This Row],[PontoPed]]&gt;0), 0, (1-tabItens[[#This Row],[PctAb]])*10 ) ),0)</f>
        <v>99</v>
      </c>
      <c r="BE637" s="337">
        <f>MAX(ROUNDDOWN( IF(tabItens[[#This Row],[Abaixo]] &gt; 0,   tabItens[[#This Row],[Abaixo]] + (tabItens[[#This Row],[PontoMês]] * IF( OR( ISBLANK(tabItens[[#This Row],[ATA Nº/ANO]]), tabItens[[#This Row],[ATA Nº/ANO]] = ""),BE$2,BE$1)),0),0),0)</f>
        <v>0</v>
      </c>
      <c r="BF63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7" s="338">
        <f>SUMIF(Consumo!$C$3:$C$862,tabItens[[#This Row],[CÓDIGO]],Consumo!$E$3:$E$862)</f>
        <v>1519</v>
      </c>
      <c r="BH637" s="339">
        <f>IF(AND(tabItens[[#This Row],[Pend]] &gt; 0,tabItens[[#This Row],[Consumo]] &lt;&gt; 0), tabItens[[#This Row],[Pend]] / tabItens[[#This Row],[Consumo]], 0 )</f>
        <v>2.0563986624609093E-2</v>
      </c>
      <c r="BI637" s="338"/>
      <c r="BJ637" s="338"/>
      <c r="BK637" s="340" t="s">
        <v>2086</v>
      </c>
    </row>
    <row r="638" spans="1:63" hidden="1" x14ac:dyDescent="0.3">
      <c r="A638" s="301">
        <v>133450</v>
      </c>
      <c r="B638" s="302" t="s">
        <v>1857</v>
      </c>
      <c r="C638" s="303" t="s">
        <v>31</v>
      </c>
      <c r="D638" s="304">
        <v>4.38</v>
      </c>
      <c r="E638" s="305"/>
      <c r="F638" s="305"/>
      <c r="G638" s="305" t="s">
        <v>889</v>
      </c>
      <c r="H638" s="306">
        <v>3073</v>
      </c>
      <c r="I638" s="307">
        <v>103003</v>
      </c>
      <c r="J638" s="308">
        <v>4.38</v>
      </c>
      <c r="K638" s="309">
        <v>434</v>
      </c>
      <c r="L638" s="310">
        <f>IF(tabItens[[#This Row],[Média]] &gt; 0, tabItens[[#This Row],[QTDE ATUAL]] / tabItens[[#This Row],[Média]],999.9)</f>
        <v>54.14977973568282</v>
      </c>
      <c r="M638" s="311">
        <v>0</v>
      </c>
      <c r="N638" s="312">
        <f>tabItens[[#This Row],[VALOR UNIT.]] * tabItens[[#This Row],[LC]]</f>
        <v>0</v>
      </c>
      <c r="O638" s="313"/>
      <c r="P638" s="314"/>
      <c r="Q638" s="315"/>
      <c r="R638" s="312"/>
      <c r="S638" s="316"/>
      <c r="T638" s="317">
        <f>ROUNDDOWN(IFERROR(tabItens[[#This Row],[ATA DT.VALID.]] - $D$1,0) / 30,0)</f>
        <v>-1474</v>
      </c>
      <c r="U638" s="302" t="s">
        <v>941</v>
      </c>
      <c r="V638" s="318">
        <v>1</v>
      </c>
      <c r="W638" s="319" t="s">
        <v>2074</v>
      </c>
      <c r="X638" s="320">
        <v>45</v>
      </c>
      <c r="Y638" s="321">
        <v>11</v>
      </c>
      <c r="Z638" s="322"/>
      <c r="AA638" s="323"/>
      <c r="AB638" s="324"/>
      <c r="AC638" s="324"/>
      <c r="AD638" s="323"/>
      <c r="AE638" s="324"/>
      <c r="AF638" s="317"/>
      <c r="AG638" s="325" t="s">
        <v>2072</v>
      </c>
      <c r="AH638" s="326"/>
      <c r="AI638" s="317">
        <v>228</v>
      </c>
      <c r="AJ638" s="326">
        <v>43626</v>
      </c>
      <c r="AK638" s="326">
        <v>42998</v>
      </c>
      <c r="AL638" s="326">
        <v>43607</v>
      </c>
      <c r="AM638" s="316"/>
      <c r="AN638" s="305"/>
      <c r="AO638" s="327" t="str">
        <f>_xlfn.IFNA(IF(VLOOKUP(tabItens[[#This Row],[CÓDIGO]],tabExcluirDoEstoque[#Data],1,FALSE),"sim",""),"")</f>
        <v/>
      </c>
      <c r="AP638" s="328" t="str">
        <f ca="1">IF(OR(ISBLANK(tabItens[[#This Row],[ATA DT.VALID.]]),tabItens[[#This Row],[ATA DT.VALID.]]="",tabItens[[#This Row],[ATA DT.VALID.]]=" "),"",IF(TYPE(tabItens[[#This Row],[ATA DT.VALID.]])=1,ROUNDUP((tabItens[[#This Row],[ATA DT.VALID.]]-TODAY())/7,0),""))</f>
        <v/>
      </c>
      <c r="AQ638" s="329"/>
      <c r="AR638" s="330" t="str">
        <f>IF(ISBLANK(tabItens[[#This Row],[CÓDIGO]]),"",IFERROR(VLOOKUP(tabItens[[#This Row],[CÓDIGO]],Consumo!$C$2:$AC$862,26,FALSE),0))</f>
        <v>09.2023</v>
      </c>
      <c r="AS638" s="331">
        <f>SUMIF(Consumo!$C$3:$C$862,tabItens[[#This Row],[CÓDIGO]],Consumo!$N$3:$N$862) + SUMIF(Consumo!$C$3:$C$862,tabItens[[#This Row],[CÓDIGO]],Consumo!$O$3:$O$862) + SUMIF(Consumo!$C$3:$C$862,tabItens[[#This Row],[CÓDIGO]],Consumo!$P$3:$P$862) + SUMIF(Consumo!$C$3:$C$862,tabItens[[#This Row],[CÓDIGO]],Consumo!$Q$3:$Q$862)</f>
        <v>174</v>
      </c>
      <c r="AT638" s="331">
        <f>SUMIF(Consumo!$C$3:$C$862,tabItens[[#This Row],[CÓDIGO]],Consumo!$Z$3:$Z$862)</f>
        <v>681</v>
      </c>
      <c r="AU638" s="332">
        <f>SUMIF(Consumo!$C$3:$C$862,tabItens[[#This Row],[CÓDIGO]],Consumo!$AA$3:$AA$862)</f>
        <v>98</v>
      </c>
      <c r="AV638" s="333">
        <f>SUMIF(Consumo!$C$3:$C$862,tabItens[[#This Row],[CÓDIGO]],Consumo!$Y$3:$Y$862)</f>
        <v>56.75</v>
      </c>
      <c r="AW638" s="306">
        <f>tabItens[[#This Row],[QTDE ATUAL]] + tabItens[[#This Row],[RC QTDE]] + tabItens[[#This Row],[AF SALDO]] + tabItens[[#This Row],[Recentes]]</f>
        <v>3073</v>
      </c>
      <c r="AX638" s="334">
        <v>65</v>
      </c>
      <c r="AY638" s="334">
        <v>4</v>
      </c>
      <c r="AZ638" s="334">
        <f>IF(ISBLANK(tabItens[[#This Row],[CÓDIGO]]),"",tabItens[[#This Row],[PontoMês]] * (AZ$2+tabItens[[#This Row],[PontoQtM]]))</f>
        <v>260</v>
      </c>
      <c r="BA638" s="333">
        <f>tabItens[[#This Row],[PontoPed]] - tabItens[[#This Row],[Saldo]] + (1/10)</f>
        <v>-2812.9</v>
      </c>
      <c r="BB638" s="333">
        <f xml:space="preserve"> tabItens[[#This Row],[PontoMês]] * BB$2 - tabItens[[#This Row],[QTDE ATUAL]] - (1/10)</f>
        <v>-3008.1</v>
      </c>
      <c r="BC638" s="335">
        <f>IF( tabItens[[#This Row],[PontoPed]]&gt;0, IF(tabItens[[#This Row],[PontoPed]]&lt;1, 1, IF( tabItens[[#This Row],[Saldo]]&gt;tabItens[[#This Row],[PontoPed]], 0, (tabItens[[#This Row],[PontoPed]]-tabItens[[#This Row],[Saldo]])/tabItens[[#This Row],[PontoPed]] ) ), 0 )</f>
        <v>0</v>
      </c>
      <c r="BD638" s="336">
        <f>ROUNDDOWN(IF( OR( AND(tabItens[[#This Row],[PontoPed]]&lt;tabItens[[#This Row],[Saldo]],tabItens[[#This Row],[Saldo]]&gt;0), tabItens[[#This Row],[PontoPed]]=0), 99, IF(AND(tabItens[[#This Row],[Saldo]]=0,tabItens[[#This Row],[PontoPed]]&gt;0), 0, (1-tabItens[[#This Row],[PctAb]])*10 ) ),0)</f>
        <v>99</v>
      </c>
      <c r="BE638" s="337">
        <f>MAX(ROUNDDOWN( IF(tabItens[[#This Row],[Abaixo]] &gt; 0,   tabItens[[#This Row],[Abaixo]] + (tabItens[[#This Row],[PontoMês]] * IF( OR( ISBLANK(tabItens[[#This Row],[ATA Nº/ANO]]), tabItens[[#This Row],[ATA Nº/ANO]] = ""),BE$2,BE$1)),0),0),0)</f>
        <v>0</v>
      </c>
      <c r="BF63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8" s="338">
        <f>SUMIF(Consumo!$C$3:$C$862,tabItens[[#This Row],[CÓDIGO]],Consumo!$E$3:$E$862)</f>
        <v>0</v>
      </c>
      <c r="BH638" s="339">
        <f>IF(AND(tabItens[[#This Row],[Pend]] &gt; 0,tabItens[[#This Row],[Consumo]] &lt;&gt; 0), tabItens[[#This Row],[Pend]] / tabItens[[#This Row],[Consumo]], 0 )</f>
        <v>0</v>
      </c>
      <c r="BI638" s="338"/>
      <c r="BJ638" s="338"/>
      <c r="BK638" s="340" t="s">
        <v>2086</v>
      </c>
    </row>
    <row r="639" spans="1:63" hidden="1" x14ac:dyDescent="0.3">
      <c r="A639" s="301">
        <v>138453</v>
      </c>
      <c r="B639" s="302" t="s">
        <v>1965</v>
      </c>
      <c r="C639" s="303" t="s">
        <v>31</v>
      </c>
      <c r="D639" s="304">
        <v>3.5</v>
      </c>
      <c r="E639" s="305"/>
      <c r="F639" s="305"/>
      <c r="G639" s="305" t="s">
        <v>889</v>
      </c>
      <c r="H639" s="306">
        <v>32475</v>
      </c>
      <c r="I639" s="307">
        <v>103003</v>
      </c>
      <c r="J639" s="308">
        <v>3.5</v>
      </c>
      <c r="K639" s="309">
        <v>5343</v>
      </c>
      <c r="L639" s="310">
        <f>IF(tabItens[[#This Row],[Média]] &gt; 0, tabItens[[#This Row],[QTDE ATUAL]] / tabItens[[#This Row],[Média]],999.9)</f>
        <v>46.614832535885171</v>
      </c>
      <c r="M639" s="311">
        <v>0</v>
      </c>
      <c r="N639" s="312">
        <f>tabItens[[#This Row],[VALOR UNIT.]] * tabItens[[#This Row],[LC]]</f>
        <v>0</v>
      </c>
      <c r="O639" s="313"/>
      <c r="P639" s="314"/>
      <c r="Q639" s="315"/>
      <c r="R639" s="312"/>
      <c r="S639" s="316"/>
      <c r="T639" s="317">
        <f>ROUNDDOWN(IFERROR(tabItens[[#This Row],[ATA DT.VALID.]] - $D$1,0) / 30,0)</f>
        <v>-1474</v>
      </c>
      <c r="U639" s="302" t="s">
        <v>941</v>
      </c>
      <c r="V639" s="318">
        <v>1</v>
      </c>
      <c r="W639" s="319" t="s">
        <v>2074</v>
      </c>
      <c r="X639" s="320">
        <v>45</v>
      </c>
      <c r="Y639" s="321">
        <v>11</v>
      </c>
      <c r="Z639" s="322"/>
      <c r="AA639" s="323"/>
      <c r="AB639" s="324"/>
      <c r="AC639" s="324"/>
      <c r="AD639" s="323"/>
      <c r="AE639" s="324"/>
      <c r="AF639" s="317"/>
      <c r="AG639" s="325" t="s">
        <v>2072</v>
      </c>
      <c r="AH639" s="326"/>
      <c r="AI639" s="317">
        <v>20306</v>
      </c>
      <c r="AJ639" s="326">
        <v>44173</v>
      </c>
      <c r="AK639" s="326">
        <v>43720</v>
      </c>
      <c r="AL639" s="326">
        <v>44133</v>
      </c>
      <c r="AM639" s="316"/>
      <c r="AN639" s="305"/>
      <c r="AO639" s="327" t="str">
        <f>_xlfn.IFNA(IF(VLOOKUP(tabItens[[#This Row],[CÓDIGO]],tabExcluirDoEstoque[#Data],1,FALSE),"sim",""),"")</f>
        <v/>
      </c>
      <c r="AP639" s="328" t="str">
        <f ca="1">IF(OR(ISBLANK(tabItens[[#This Row],[ATA DT.VALID.]]),tabItens[[#This Row],[ATA DT.VALID.]]="",tabItens[[#This Row],[ATA DT.VALID.]]=" "),"",IF(TYPE(tabItens[[#This Row],[ATA DT.VALID.]])=1,ROUNDUP((tabItens[[#This Row],[ATA DT.VALID.]]-TODAY())/7,0),""))</f>
        <v/>
      </c>
      <c r="AQ639" s="329"/>
      <c r="AR639" s="330" t="str">
        <f>IF(ISBLANK(tabItens[[#This Row],[CÓDIGO]]),"",IFERROR(VLOOKUP(tabItens[[#This Row],[CÓDIGO]],Consumo!$C$2:$AC$862,26,FALSE),0))</f>
        <v>09.2023</v>
      </c>
      <c r="AS639" s="331">
        <f>SUMIF(Consumo!$C$3:$C$862,tabItens[[#This Row],[CÓDIGO]],Consumo!$N$3:$N$862) + SUMIF(Consumo!$C$3:$C$862,tabItens[[#This Row],[CÓDIGO]],Consumo!$O$3:$O$862) + SUMIF(Consumo!$C$3:$C$862,tabItens[[#This Row],[CÓDIGO]],Consumo!$P$3:$P$862) + SUMIF(Consumo!$C$3:$C$862,tabItens[[#This Row],[CÓDIGO]],Consumo!$Q$3:$Q$862)</f>
        <v>2662</v>
      </c>
      <c r="AT639" s="331">
        <f>SUMIF(Consumo!$C$3:$C$862,tabItens[[#This Row],[CÓDIGO]],Consumo!$Z$3:$Z$862)</f>
        <v>8367</v>
      </c>
      <c r="AU639" s="332">
        <f>SUMIF(Consumo!$C$3:$C$862,tabItens[[#This Row],[CÓDIGO]],Consumo!$AA$3:$AA$862)</f>
        <v>1388</v>
      </c>
      <c r="AV639" s="333">
        <f>SUMIF(Consumo!$C$3:$C$862,tabItens[[#This Row],[CÓDIGO]],Consumo!$Y$3:$Y$862)</f>
        <v>696.66666666666663</v>
      </c>
      <c r="AW639" s="306">
        <f>tabItens[[#This Row],[QTDE ATUAL]] + tabItens[[#This Row],[RC QTDE]] + tabItens[[#This Row],[AF SALDO]] + tabItens[[#This Row],[Recentes]]</f>
        <v>32475</v>
      </c>
      <c r="AX639" s="334">
        <v>1704</v>
      </c>
      <c r="AY639" s="334">
        <v>4</v>
      </c>
      <c r="AZ639" s="334">
        <f>IF(ISBLANK(tabItens[[#This Row],[CÓDIGO]]),"",tabItens[[#This Row],[PontoMês]] * (AZ$2+tabItens[[#This Row],[PontoQtM]]))</f>
        <v>6816</v>
      </c>
      <c r="BA639" s="333">
        <f>tabItens[[#This Row],[PontoPed]] - tabItens[[#This Row],[Saldo]] + (1/10)</f>
        <v>-25658.9</v>
      </c>
      <c r="BB639" s="333">
        <f xml:space="preserve"> tabItens[[#This Row],[PontoMês]] * BB$2 - tabItens[[#This Row],[QTDE ATUAL]] - (1/10)</f>
        <v>-30771.1</v>
      </c>
      <c r="BC639" s="335">
        <f>IF( tabItens[[#This Row],[PontoPed]]&gt;0, IF(tabItens[[#This Row],[PontoPed]]&lt;1, 1, IF( tabItens[[#This Row],[Saldo]]&gt;tabItens[[#This Row],[PontoPed]], 0, (tabItens[[#This Row],[PontoPed]]-tabItens[[#This Row],[Saldo]])/tabItens[[#This Row],[PontoPed]] ) ), 0 )</f>
        <v>0</v>
      </c>
      <c r="BD639" s="336">
        <f>ROUNDDOWN(IF( OR( AND(tabItens[[#This Row],[PontoPed]]&lt;tabItens[[#This Row],[Saldo]],tabItens[[#This Row],[Saldo]]&gt;0), tabItens[[#This Row],[PontoPed]]=0), 99, IF(AND(tabItens[[#This Row],[Saldo]]=0,tabItens[[#This Row],[PontoPed]]&gt;0), 0, (1-tabItens[[#This Row],[PctAb]])*10 ) ),0)</f>
        <v>99</v>
      </c>
      <c r="BE639" s="337">
        <f>MAX(ROUNDDOWN( IF(tabItens[[#This Row],[Abaixo]] &gt; 0,   tabItens[[#This Row],[Abaixo]] + (tabItens[[#This Row],[PontoMês]] * IF( OR( ISBLANK(tabItens[[#This Row],[ATA Nº/ANO]]), tabItens[[#This Row],[ATA Nº/ANO]] = ""),BE$2,BE$1)),0),0),0)</f>
        <v>0</v>
      </c>
      <c r="BF63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9" s="338">
        <f>SUMIF(Consumo!$C$3:$C$862,tabItens[[#This Row],[CÓDIGO]],Consumo!$E$3:$E$862)</f>
        <v>43</v>
      </c>
      <c r="BH639" s="339">
        <f>IF(AND(tabItens[[#This Row],[Pend]] &gt; 0,tabItens[[#This Row],[Consumo]] &lt;&gt; 0), tabItens[[#This Row],[Pend]] / tabItens[[#This Row],[Consumo]], 0 )</f>
        <v>5.1392374805784629E-3</v>
      </c>
      <c r="BI639" s="338"/>
      <c r="BJ639" s="338"/>
      <c r="BK639" s="340" t="s">
        <v>2086</v>
      </c>
    </row>
    <row r="640" spans="1:63" hidden="1" x14ac:dyDescent="0.3">
      <c r="A640" s="301">
        <v>138454</v>
      </c>
      <c r="B640" s="302" t="s">
        <v>1966</v>
      </c>
      <c r="C640" s="303" t="s">
        <v>31</v>
      </c>
      <c r="D640" s="304">
        <v>3.37</v>
      </c>
      <c r="E640" s="305"/>
      <c r="F640" s="305"/>
      <c r="G640" s="305" t="s">
        <v>889</v>
      </c>
      <c r="H640" s="306">
        <v>10549</v>
      </c>
      <c r="I640" s="307">
        <v>103003</v>
      </c>
      <c r="J640" s="308">
        <v>3.37</v>
      </c>
      <c r="K640" s="309">
        <v>11173</v>
      </c>
      <c r="L640" s="310">
        <f>IF(tabItens[[#This Row],[Média]] &gt; 0, tabItens[[#This Row],[QTDE ATUAL]] / tabItens[[#This Row],[Média]],999.9)</f>
        <v>8.0557464681176025</v>
      </c>
      <c r="M640" s="311">
        <v>0</v>
      </c>
      <c r="N640" s="312">
        <f>tabItens[[#This Row],[VALOR UNIT.]] * tabItens[[#This Row],[LC]]</f>
        <v>0</v>
      </c>
      <c r="O640" s="313"/>
      <c r="P640" s="314"/>
      <c r="Q640" s="315"/>
      <c r="R640" s="312"/>
      <c r="S640" s="316"/>
      <c r="T640" s="317">
        <f>ROUNDDOWN(IFERROR(tabItens[[#This Row],[ATA DT.VALID.]] - $D$1,0) / 30,0)</f>
        <v>-1474</v>
      </c>
      <c r="U640" s="302" t="s">
        <v>941</v>
      </c>
      <c r="V640" s="318">
        <v>1</v>
      </c>
      <c r="W640" s="319" t="s">
        <v>2074</v>
      </c>
      <c r="X640" s="320">
        <v>45</v>
      </c>
      <c r="Y640" s="321">
        <v>11</v>
      </c>
      <c r="Z640" s="322"/>
      <c r="AA640" s="323"/>
      <c r="AB640" s="324"/>
      <c r="AC640" s="324"/>
      <c r="AD640" s="323"/>
      <c r="AE640" s="324"/>
      <c r="AF640" s="317"/>
      <c r="AG640" s="325" t="s">
        <v>2072</v>
      </c>
      <c r="AH640" s="326"/>
      <c r="AI640" s="317">
        <v>15332</v>
      </c>
      <c r="AJ640" s="326">
        <v>44214</v>
      </c>
      <c r="AK640" s="326">
        <v>43720</v>
      </c>
      <c r="AL640" s="326">
        <v>44110</v>
      </c>
      <c r="AM640" s="316"/>
      <c r="AN640" s="305"/>
      <c r="AO640" s="327" t="str">
        <f>_xlfn.IFNA(IF(VLOOKUP(tabItens[[#This Row],[CÓDIGO]],tabExcluirDoEstoque[#Data],1,FALSE),"sim",""),"")</f>
        <v/>
      </c>
      <c r="AP640" s="328" t="str">
        <f ca="1">IF(OR(ISBLANK(tabItens[[#This Row],[ATA DT.VALID.]]),tabItens[[#This Row],[ATA DT.VALID.]]="",tabItens[[#This Row],[ATA DT.VALID.]]=" "),"",IF(TYPE(tabItens[[#This Row],[ATA DT.VALID.]])=1,ROUNDUP((tabItens[[#This Row],[ATA DT.VALID.]]-TODAY())/7,0),""))</f>
        <v/>
      </c>
      <c r="AQ640" s="329"/>
      <c r="AR640" s="330" t="str">
        <f>IF(ISBLANK(tabItens[[#This Row],[CÓDIGO]]),"",IFERROR(VLOOKUP(tabItens[[#This Row],[CÓDIGO]],Consumo!$C$2:$AC$862,26,FALSE),0))</f>
        <v>09.2023</v>
      </c>
      <c r="AS640" s="331">
        <f>SUMIF(Consumo!$C$3:$C$862,tabItens[[#This Row],[CÓDIGO]],Consumo!$N$3:$N$862) + SUMIF(Consumo!$C$3:$C$862,tabItens[[#This Row],[CÓDIGO]],Consumo!$O$3:$O$862) + SUMIF(Consumo!$C$3:$C$862,tabItens[[#This Row],[CÓDIGO]],Consumo!$P$3:$P$862) + SUMIF(Consumo!$C$3:$C$862,tabItens[[#This Row],[CÓDIGO]],Consumo!$Q$3:$Q$862)</f>
        <v>1202</v>
      </c>
      <c r="AT640" s="331">
        <f>SUMIF(Consumo!$C$3:$C$862,tabItens[[#This Row],[CÓDIGO]],Consumo!$Z$3:$Z$862)</f>
        <v>16218</v>
      </c>
      <c r="AU640" s="332">
        <f>SUMIF(Consumo!$C$3:$C$862,tabItens[[#This Row],[CÓDIGO]],Consumo!$AA$3:$AA$862)</f>
        <v>5618</v>
      </c>
      <c r="AV640" s="333">
        <f>SUMIF(Consumo!$C$3:$C$862,tabItens[[#This Row],[CÓDIGO]],Consumo!$Y$3:$Y$862)</f>
        <v>1309.5</v>
      </c>
      <c r="AW640" s="306">
        <f>tabItens[[#This Row],[QTDE ATUAL]] + tabItens[[#This Row],[RC QTDE]] + tabItens[[#This Row],[AF SALDO]] + tabItens[[#This Row],[Recentes]]</f>
        <v>10549</v>
      </c>
      <c r="AX640" s="334">
        <v>8683</v>
      </c>
      <c r="AY640" s="334">
        <v>4</v>
      </c>
      <c r="AZ640" s="334">
        <f>IF(ISBLANK(tabItens[[#This Row],[CÓDIGO]]),"",tabItens[[#This Row],[PontoMês]] * (AZ$2+tabItens[[#This Row],[PontoQtM]]))</f>
        <v>34732</v>
      </c>
      <c r="BA640" s="333">
        <f>tabItens[[#This Row],[PontoPed]] - tabItens[[#This Row],[Saldo]] + (1/10)</f>
        <v>24183.1</v>
      </c>
      <c r="BB640" s="333">
        <f xml:space="preserve"> tabItens[[#This Row],[PontoMês]] * BB$2 - tabItens[[#This Row],[QTDE ATUAL]] - (1/10)</f>
        <v>-1866.1</v>
      </c>
      <c r="BC640" s="335">
        <f>IF( tabItens[[#This Row],[PontoPed]]&gt;0, IF(tabItens[[#This Row],[PontoPed]]&lt;1, 1, IF( tabItens[[#This Row],[Saldo]]&gt;tabItens[[#This Row],[PontoPed]], 0, (tabItens[[#This Row],[PontoPed]]-tabItens[[#This Row],[Saldo]])/tabItens[[#This Row],[PontoPed]] ) ), 0 )</f>
        <v>0.69627432914891163</v>
      </c>
      <c r="BD640" s="336">
        <f>ROUNDDOWN(IF( OR( AND(tabItens[[#This Row],[PontoPed]]&lt;tabItens[[#This Row],[Saldo]],tabItens[[#This Row],[Saldo]]&gt;0), tabItens[[#This Row],[PontoPed]]=0), 99, IF(AND(tabItens[[#This Row],[Saldo]]=0,tabItens[[#This Row],[PontoPed]]&gt;0), 0, (1-tabItens[[#This Row],[PctAb]])*10 ) ),0)</f>
        <v>3</v>
      </c>
      <c r="BE640" s="337">
        <f>MAX(ROUNDDOWN( IF(tabItens[[#This Row],[Abaixo]] &gt; 0,   tabItens[[#This Row],[Abaixo]] + (tabItens[[#This Row],[PontoMês]] * IF( OR( ISBLANK(tabItens[[#This Row],[ATA Nº/ANO]]), tabItens[[#This Row],[ATA Nº/ANO]] = ""),BE$2,BE$1)),0),0),0)</f>
        <v>76281</v>
      </c>
      <c r="BF64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76281</v>
      </c>
      <c r="BG640" s="338">
        <f>SUMIF(Consumo!$C$3:$C$862,tabItens[[#This Row],[CÓDIGO]],Consumo!$E$3:$E$862)</f>
        <v>3744</v>
      </c>
      <c r="BH640" s="339">
        <f>IF(AND(tabItens[[#This Row],[Pend]] &gt; 0,tabItens[[#This Row],[Consumo]] &lt;&gt; 0), tabItens[[#This Row],[Pend]] / tabItens[[#This Row],[Consumo]], 0 )</f>
        <v>0.23085460599334073</v>
      </c>
      <c r="BI640" s="338"/>
      <c r="BJ640" s="338"/>
      <c r="BK640" s="340" t="s">
        <v>2086</v>
      </c>
    </row>
    <row r="641" spans="1:63" hidden="1" x14ac:dyDescent="0.3">
      <c r="A641" s="301">
        <v>138456</v>
      </c>
      <c r="B641" s="302" t="s">
        <v>1967</v>
      </c>
      <c r="C641" s="303" t="s">
        <v>31</v>
      </c>
      <c r="D641" s="304">
        <v>5.92</v>
      </c>
      <c r="E641" s="305"/>
      <c r="F641" s="305"/>
      <c r="G641" s="305" t="s">
        <v>889</v>
      </c>
      <c r="H641" s="306">
        <v>5646</v>
      </c>
      <c r="I641" s="307">
        <v>103003</v>
      </c>
      <c r="J641" s="308">
        <v>5.92</v>
      </c>
      <c r="K641" s="309">
        <v>37861</v>
      </c>
      <c r="L641" s="310">
        <f>IF(tabItens[[#This Row],[Média]] &gt; 0, tabItens[[#This Row],[QTDE ATUAL]] / tabItens[[#This Row],[Média]],999.9)</f>
        <v>2.4478647301105569</v>
      </c>
      <c r="M641" s="311">
        <v>0</v>
      </c>
      <c r="N641" s="312">
        <f>tabItens[[#This Row],[VALOR UNIT.]] * tabItens[[#This Row],[LC]]</f>
        <v>0</v>
      </c>
      <c r="O641" s="313"/>
      <c r="P641" s="314"/>
      <c r="Q641" s="315"/>
      <c r="R641" s="312"/>
      <c r="S641" s="316"/>
      <c r="T641" s="317">
        <f>ROUNDDOWN(IFERROR(tabItens[[#This Row],[ATA DT.VALID.]] - $D$1,0) / 30,0)</f>
        <v>-1474</v>
      </c>
      <c r="U641" s="302" t="s">
        <v>941</v>
      </c>
      <c r="V641" s="318">
        <v>1</v>
      </c>
      <c r="W641" s="319" t="s">
        <v>2074</v>
      </c>
      <c r="X641" s="320">
        <v>45</v>
      </c>
      <c r="Y641" s="321">
        <v>11</v>
      </c>
      <c r="Z641" s="322">
        <v>6982</v>
      </c>
      <c r="AA641" s="323">
        <v>2023</v>
      </c>
      <c r="AB641" s="324">
        <v>13500</v>
      </c>
      <c r="AC641" s="324"/>
      <c r="AD641" s="323"/>
      <c r="AE641" s="324"/>
      <c r="AF641" s="317"/>
      <c r="AG641" s="325" t="s">
        <v>2072</v>
      </c>
      <c r="AH641" s="326"/>
      <c r="AI641" s="317">
        <v>23002</v>
      </c>
      <c r="AJ641" s="326">
        <v>44942</v>
      </c>
      <c r="AK641" s="326">
        <v>43720</v>
      </c>
      <c r="AL641" s="326">
        <v>44910</v>
      </c>
      <c r="AM641" s="316"/>
      <c r="AN641" s="305"/>
      <c r="AO641" s="327" t="str">
        <f>_xlfn.IFNA(IF(VLOOKUP(tabItens[[#This Row],[CÓDIGO]],tabExcluirDoEstoque[#Data],1,FALSE),"sim",""),"")</f>
        <v/>
      </c>
      <c r="AP641" s="328" t="str">
        <f ca="1">IF(OR(ISBLANK(tabItens[[#This Row],[ATA DT.VALID.]]),tabItens[[#This Row],[ATA DT.VALID.]]="",tabItens[[#This Row],[ATA DT.VALID.]]=" "),"",IF(TYPE(tabItens[[#This Row],[ATA DT.VALID.]])=1,ROUNDUP((tabItens[[#This Row],[ATA DT.VALID.]]-TODAY())/7,0),""))</f>
        <v/>
      </c>
      <c r="AQ641" s="329"/>
      <c r="AR641" s="330" t="str">
        <f>IF(ISBLANK(tabItens[[#This Row],[CÓDIGO]]),"",IFERROR(VLOOKUP(tabItens[[#This Row],[CÓDIGO]],Consumo!$C$2:$AC$862,26,FALSE),0))</f>
        <v>09.2023</v>
      </c>
      <c r="AS641" s="331">
        <f>SUMIF(Consumo!$C$3:$C$862,tabItens[[#This Row],[CÓDIGO]],Consumo!$N$3:$N$862) + SUMIF(Consumo!$C$3:$C$862,tabItens[[#This Row],[CÓDIGO]],Consumo!$O$3:$O$862) + SUMIF(Consumo!$C$3:$C$862,tabItens[[#This Row],[CÓDIGO]],Consumo!$P$3:$P$862) + SUMIF(Consumo!$C$3:$C$862,tabItens[[#This Row],[CÓDIGO]],Consumo!$Q$3:$Q$862)</f>
        <v>1568</v>
      </c>
      <c r="AT641" s="331">
        <f>SUMIF(Consumo!$C$3:$C$862,tabItens[[#This Row],[CÓDIGO]],Consumo!$Z$3:$Z$862)</f>
        <v>40110</v>
      </c>
      <c r="AU641" s="332">
        <f>SUMIF(Consumo!$C$3:$C$862,tabItens[[#This Row],[CÓDIGO]],Consumo!$AA$3:$AA$862)</f>
        <v>34890</v>
      </c>
      <c r="AV641" s="333">
        <f>SUMIF(Consumo!$C$3:$C$862,tabItens[[#This Row],[CÓDIGO]],Consumo!$Y$3:$Y$862)</f>
        <v>2306.5</v>
      </c>
      <c r="AW641" s="306">
        <f>tabItens[[#This Row],[QTDE ATUAL]] + tabItens[[#This Row],[RC QTDE]] + tabItens[[#This Row],[AF SALDO]] + tabItens[[#This Row],[Recentes]]</f>
        <v>19146</v>
      </c>
      <c r="AX641" s="334">
        <v>13692</v>
      </c>
      <c r="AY641" s="334">
        <v>4</v>
      </c>
      <c r="AZ641" s="334">
        <f>IF(ISBLANK(tabItens[[#This Row],[CÓDIGO]]),"",tabItens[[#This Row],[PontoMês]] * (AZ$2+tabItens[[#This Row],[PontoQtM]]))</f>
        <v>54768</v>
      </c>
      <c r="BA641" s="333">
        <f>tabItens[[#This Row],[PontoPed]] - tabItens[[#This Row],[Saldo]] + (1/10)</f>
        <v>35622.1</v>
      </c>
      <c r="BB641" s="333">
        <f xml:space="preserve"> tabItens[[#This Row],[PontoMês]] * BB$2 - tabItens[[#This Row],[QTDE ATUAL]] - (1/10)</f>
        <v>8045.9</v>
      </c>
      <c r="BC641" s="335">
        <f>IF( tabItens[[#This Row],[PontoPed]]&gt;0, IF(tabItens[[#This Row],[PontoPed]]&lt;1, 1, IF( tabItens[[#This Row],[Saldo]]&gt;tabItens[[#This Row],[PontoPed]], 0, (tabItens[[#This Row],[PontoPed]]-tabItens[[#This Row],[Saldo]])/tabItens[[#This Row],[PontoPed]] ) ), 0 )</f>
        <v>0.65041630148992113</v>
      </c>
      <c r="BD641" s="336">
        <f>ROUNDDOWN(IF( OR( AND(tabItens[[#This Row],[PontoPed]]&lt;tabItens[[#This Row],[Saldo]],tabItens[[#This Row],[Saldo]]&gt;0), tabItens[[#This Row],[PontoPed]]=0), 99, IF(AND(tabItens[[#This Row],[Saldo]]=0,tabItens[[#This Row],[PontoPed]]&gt;0), 0, (1-tabItens[[#This Row],[PctAb]])*10 ) ),0)</f>
        <v>3</v>
      </c>
      <c r="BE641" s="337">
        <f>MAX(ROUNDDOWN( IF(tabItens[[#This Row],[Abaixo]] &gt; 0,   tabItens[[#This Row],[Abaixo]] + (tabItens[[#This Row],[PontoMês]] * IF( OR( ISBLANK(tabItens[[#This Row],[ATA Nº/ANO]]), tabItens[[#This Row],[ATA Nº/ANO]] = ""),BE$2,BE$1)),0),0),0)</f>
        <v>117774</v>
      </c>
      <c r="BF64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117774</v>
      </c>
      <c r="BG641" s="338">
        <f>SUMIF(Consumo!$C$3:$C$862,tabItens[[#This Row],[CÓDIGO]],Consumo!$E$3:$E$862)</f>
        <v>34</v>
      </c>
      <c r="BH641" s="339">
        <f>IF(AND(tabItens[[#This Row],[Pend]] &gt; 0,tabItens[[#This Row],[Consumo]] &lt;&gt; 0), tabItens[[#This Row],[Pend]] / tabItens[[#This Row],[Consumo]], 0 )</f>
        <v>8.4766891049613562E-4</v>
      </c>
      <c r="BI641" s="338"/>
      <c r="BJ641" s="338"/>
      <c r="BK641" s="340" t="s">
        <v>2086</v>
      </c>
    </row>
    <row r="642" spans="1:63" hidden="1" x14ac:dyDescent="0.3">
      <c r="A642" s="301">
        <v>138457</v>
      </c>
      <c r="B642" s="302" t="s">
        <v>1968</v>
      </c>
      <c r="C642" s="303" t="s">
        <v>31</v>
      </c>
      <c r="D642" s="304">
        <v>0</v>
      </c>
      <c r="E642" s="305"/>
      <c r="F642" s="305"/>
      <c r="G642" s="305" t="s">
        <v>889</v>
      </c>
      <c r="H642" s="306">
        <v>1488</v>
      </c>
      <c r="I642" s="307">
        <v>103003</v>
      </c>
      <c r="J642" s="308">
        <v>0</v>
      </c>
      <c r="K642" s="309">
        <v>192</v>
      </c>
      <c r="L642" s="310">
        <f>IF(tabItens[[#This Row],[Média]] &gt; 0, tabItens[[#This Row],[QTDE ATUAL]] / tabItens[[#This Row],[Média]],999.9)</f>
        <v>63.771428571428572</v>
      </c>
      <c r="M642" s="311">
        <v>0</v>
      </c>
      <c r="N642" s="312">
        <f>tabItens[[#This Row],[VALOR UNIT.]] * tabItens[[#This Row],[LC]]</f>
        <v>0</v>
      </c>
      <c r="O642" s="313"/>
      <c r="P642" s="314"/>
      <c r="Q642" s="315"/>
      <c r="R642" s="312"/>
      <c r="S642" s="316"/>
      <c r="T642" s="317">
        <f>ROUNDDOWN(IFERROR(tabItens[[#This Row],[ATA DT.VALID.]] - $D$1,0) / 30,0)</f>
        <v>-1474</v>
      </c>
      <c r="U642" s="302" t="s">
        <v>941</v>
      </c>
      <c r="V642" s="318">
        <v>1</v>
      </c>
      <c r="W642" s="319" t="s">
        <v>2074</v>
      </c>
      <c r="X642" s="320">
        <v>45</v>
      </c>
      <c r="Y642" s="321">
        <v>11</v>
      </c>
      <c r="Z642" s="322"/>
      <c r="AA642" s="323"/>
      <c r="AB642" s="324"/>
      <c r="AC642" s="324"/>
      <c r="AD642" s="323"/>
      <c r="AE642" s="324"/>
      <c r="AF642" s="317"/>
      <c r="AG642" s="325" t="s">
        <v>2072</v>
      </c>
      <c r="AH642" s="326"/>
      <c r="AI642" s="317">
        <v>924</v>
      </c>
      <c r="AJ642" s="326" t="s">
        <v>889</v>
      </c>
      <c r="AK642" s="326">
        <v>43720</v>
      </c>
      <c r="AL642" s="326" t="s">
        <v>889</v>
      </c>
      <c r="AM642" s="316"/>
      <c r="AN642" s="305"/>
      <c r="AO642" s="327" t="str">
        <f>_xlfn.IFNA(IF(VLOOKUP(tabItens[[#This Row],[CÓDIGO]],tabExcluirDoEstoque[#Data],1,FALSE),"sim",""),"")</f>
        <v/>
      </c>
      <c r="AP642" s="328" t="str">
        <f ca="1">IF(OR(ISBLANK(tabItens[[#This Row],[ATA DT.VALID.]]),tabItens[[#This Row],[ATA DT.VALID.]]="",tabItens[[#This Row],[ATA DT.VALID.]]=" "),"",IF(TYPE(tabItens[[#This Row],[ATA DT.VALID.]])=1,ROUNDUP((tabItens[[#This Row],[ATA DT.VALID.]]-TODAY())/7,0),""))</f>
        <v/>
      </c>
      <c r="AQ642" s="329"/>
      <c r="AR642" s="330" t="str">
        <f>IF(ISBLANK(tabItens[[#This Row],[CÓDIGO]]),"",IFERROR(VLOOKUP(tabItens[[#This Row],[CÓDIGO]],Consumo!$C$2:$AC$862,26,FALSE),0))</f>
        <v>09.2023</v>
      </c>
      <c r="AS642" s="331">
        <f>SUMIF(Consumo!$C$3:$C$862,tabItens[[#This Row],[CÓDIGO]],Consumo!$N$3:$N$862) + SUMIF(Consumo!$C$3:$C$862,tabItens[[#This Row],[CÓDIGO]],Consumo!$O$3:$O$862) + SUMIF(Consumo!$C$3:$C$862,tabItens[[#This Row],[CÓDIGO]],Consumo!$P$3:$P$862) + SUMIF(Consumo!$C$3:$C$862,tabItens[[#This Row],[CÓDIGO]],Consumo!$Q$3:$Q$862)</f>
        <v>120</v>
      </c>
      <c r="AT642" s="331">
        <f>SUMIF(Consumo!$C$3:$C$862,tabItens[[#This Row],[CÓDIGO]],Consumo!$Z$3:$Z$862)</f>
        <v>286</v>
      </c>
      <c r="AU642" s="332">
        <f>SUMIF(Consumo!$C$3:$C$862,tabItens[[#This Row],[CÓDIGO]],Consumo!$AA$3:$AA$862)</f>
        <v>56</v>
      </c>
      <c r="AV642" s="333">
        <f>SUMIF(Consumo!$C$3:$C$862,tabItens[[#This Row],[CÓDIGO]],Consumo!$Y$3:$Y$862)</f>
        <v>23.333333333333332</v>
      </c>
      <c r="AW642" s="306">
        <f>tabItens[[#This Row],[QTDE ATUAL]] + tabItens[[#This Row],[RC QTDE]] + tabItens[[#This Row],[AF SALDO]] + tabItens[[#This Row],[Recentes]]</f>
        <v>1488</v>
      </c>
      <c r="AX642" s="334">
        <v>0</v>
      </c>
      <c r="AY642" s="334">
        <v>4</v>
      </c>
      <c r="AZ642" s="334">
        <f>IF(ISBLANK(tabItens[[#This Row],[CÓDIGO]]),"",tabItens[[#This Row],[PontoMês]] * (AZ$2+tabItens[[#This Row],[PontoQtM]]))</f>
        <v>0</v>
      </c>
      <c r="BA642" s="333">
        <f>tabItens[[#This Row],[PontoPed]] - tabItens[[#This Row],[Saldo]] + (1/10)</f>
        <v>-1487.9</v>
      </c>
      <c r="BB642" s="333">
        <f xml:space="preserve"> tabItens[[#This Row],[PontoMês]] * BB$2 - tabItens[[#This Row],[QTDE ATUAL]] - (1/10)</f>
        <v>-1488.1</v>
      </c>
      <c r="BC642" s="335">
        <f>IF( tabItens[[#This Row],[PontoPed]]&gt;0, IF(tabItens[[#This Row],[PontoPed]]&lt;1, 1, IF( tabItens[[#This Row],[Saldo]]&gt;tabItens[[#This Row],[PontoPed]], 0, (tabItens[[#This Row],[PontoPed]]-tabItens[[#This Row],[Saldo]])/tabItens[[#This Row],[PontoPed]] ) ), 0 )</f>
        <v>0</v>
      </c>
      <c r="BD642" s="336">
        <f>ROUNDDOWN(IF( OR( AND(tabItens[[#This Row],[PontoPed]]&lt;tabItens[[#This Row],[Saldo]],tabItens[[#This Row],[Saldo]]&gt;0), tabItens[[#This Row],[PontoPed]]=0), 99, IF(AND(tabItens[[#This Row],[Saldo]]=0,tabItens[[#This Row],[PontoPed]]&gt;0), 0, (1-tabItens[[#This Row],[PctAb]])*10 ) ),0)</f>
        <v>99</v>
      </c>
      <c r="BE642" s="337">
        <f>MAX(ROUNDDOWN( IF(tabItens[[#This Row],[Abaixo]] &gt; 0,   tabItens[[#This Row],[Abaixo]] + (tabItens[[#This Row],[PontoMês]] * IF( OR( ISBLANK(tabItens[[#This Row],[ATA Nº/ANO]]), tabItens[[#This Row],[ATA Nº/ANO]] = ""),BE$2,BE$1)),0),0),0)</f>
        <v>0</v>
      </c>
      <c r="BF64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2" s="338">
        <f>SUMIF(Consumo!$C$3:$C$862,tabItens[[#This Row],[CÓDIGO]],Consumo!$E$3:$E$862)</f>
        <v>1</v>
      </c>
      <c r="BH642" s="339">
        <f>IF(AND(tabItens[[#This Row],[Pend]] &gt; 0,tabItens[[#This Row],[Consumo]] &lt;&gt; 0), tabItens[[#This Row],[Pend]] / tabItens[[#This Row],[Consumo]], 0 )</f>
        <v>3.4965034965034965E-3</v>
      </c>
      <c r="BI642" s="338"/>
      <c r="BJ642" s="338"/>
      <c r="BK642" s="340" t="s">
        <v>2086</v>
      </c>
    </row>
    <row r="643" spans="1:63" hidden="1" x14ac:dyDescent="0.3">
      <c r="A643" s="301">
        <v>138458</v>
      </c>
      <c r="B643" s="302" t="s">
        <v>1969</v>
      </c>
      <c r="C643" s="303" t="s">
        <v>31</v>
      </c>
      <c r="D643" s="304">
        <v>0</v>
      </c>
      <c r="E643" s="305"/>
      <c r="F643" s="305"/>
      <c r="G643" s="305" t="s">
        <v>889</v>
      </c>
      <c r="H643" s="306">
        <v>7093</v>
      </c>
      <c r="I643" s="307">
        <v>103003</v>
      </c>
      <c r="J643" s="308">
        <v>0</v>
      </c>
      <c r="K643" s="309">
        <v>4601</v>
      </c>
      <c r="L643" s="310">
        <f>IF(tabItens[[#This Row],[Média]] &gt; 0, tabItens[[#This Row],[QTDE ATUAL]] / tabItens[[#This Row],[Média]],999.9)</f>
        <v>11.39437751004016</v>
      </c>
      <c r="M643" s="311">
        <v>0</v>
      </c>
      <c r="N643" s="312">
        <f>tabItens[[#This Row],[VALOR UNIT.]] * tabItens[[#This Row],[LC]]</f>
        <v>0</v>
      </c>
      <c r="O643" s="313"/>
      <c r="P643" s="314"/>
      <c r="Q643" s="315"/>
      <c r="R643" s="312"/>
      <c r="S643" s="316"/>
      <c r="T643" s="317">
        <f>ROUNDDOWN(IFERROR(tabItens[[#This Row],[ATA DT.VALID.]] - $D$1,0) / 30,0)</f>
        <v>-1474</v>
      </c>
      <c r="U643" s="302" t="s">
        <v>941</v>
      </c>
      <c r="V643" s="318">
        <v>1</v>
      </c>
      <c r="W643" s="319" t="s">
        <v>2074</v>
      </c>
      <c r="X643" s="320">
        <v>45</v>
      </c>
      <c r="Y643" s="321">
        <v>11</v>
      </c>
      <c r="Z643" s="322"/>
      <c r="AA643" s="323"/>
      <c r="AB643" s="324"/>
      <c r="AC643" s="324"/>
      <c r="AD643" s="323"/>
      <c r="AE643" s="324"/>
      <c r="AF643" s="317"/>
      <c r="AG643" s="325" t="s">
        <v>2072</v>
      </c>
      <c r="AH643" s="326"/>
      <c r="AI643" s="317">
        <v>24676</v>
      </c>
      <c r="AJ643" s="326" t="s">
        <v>889</v>
      </c>
      <c r="AK643" s="326">
        <v>43720</v>
      </c>
      <c r="AL643" s="326" t="s">
        <v>889</v>
      </c>
      <c r="AM643" s="316"/>
      <c r="AN643" s="305"/>
      <c r="AO643" s="327" t="str">
        <f>_xlfn.IFNA(IF(VLOOKUP(tabItens[[#This Row],[CÓDIGO]],tabExcluirDoEstoque[#Data],1,FALSE),"sim",""),"")</f>
        <v/>
      </c>
      <c r="AP643" s="328" t="str">
        <f ca="1">IF(OR(ISBLANK(tabItens[[#This Row],[ATA DT.VALID.]]),tabItens[[#This Row],[ATA DT.VALID.]]="",tabItens[[#This Row],[ATA DT.VALID.]]=" "),"",IF(TYPE(tabItens[[#This Row],[ATA DT.VALID.]])=1,ROUNDUP((tabItens[[#This Row],[ATA DT.VALID.]]-TODAY())/7,0),""))</f>
        <v/>
      </c>
      <c r="AQ643" s="329"/>
      <c r="AR643" s="330" t="str">
        <f>IF(ISBLANK(tabItens[[#This Row],[CÓDIGO]]),"",IFERROR(VLOOKUP(tabItens[[#This Row],[CÓDIGO]],Consumo!$C$2:$AC$862,26,FALSE),0))</f>
        <v>09.2023</v>
      </c>
      <c r="AS643" s="331">
        <f>SUMIF(Consumo!$C$3:$C$862,tabItens[[#This Row],[CÓDIGO]],Consumo!$N$3:$N$862) + SUMIF(Consumo!$C$3:$C$862,tabItens[[#This Row],[CÓDIGO]],Consumo!$O$3:$O$862) + SUMIF(Consumo!$C$3:$C$862,tabItens[[#This Row],[CÓDIGO]],Consumo!$P$3:$P$862) + SUMIF(Consumo!$C$3:$C$862,tabItens[[#This Row],[CÓDIGO]],Consumo!$Q$3:$Q$862)</f>
        <v>2579</v>
      </c>
      <c r="AT643" s="331">
        <f>SUMIF(Consumo!$C$3:$C$862,tabItens[[#This Row],[CÓDIGO]],Consumo!$Z$3:$Z$862)</f>
        <v>7470</v>
      </c>
      <c r="AU643" s="332">
        <f>SUMIF(Consumo!$C$3:$C$862,tabItens[[#This Row],[CÓDIGO]],Consumo!$AA$3:$AA$862)</f>
        <v>954</v>
      </c>
      <c r="AV643" s="333">
        <f>SUMIF(Consumo!$C$3:$C$862,tabItens[[#This Row],[CÓDIGO]],Consumo!$Y$3:$Y$862)</f>
        <v>622.5</v>
      </c>
      <c r="AW643" s="306">
        <f>tabItens[[#This Row],[QTDE ATUAL]] + tabItens[[#This Row],[RC QTDE]] + tabItens[[#This Row],[AF SALDO]] + tabItens[[#This Row],[Recentes]]</f>
        <v>7093</v>
      </c>
      <c r="AX643" s="334">
        <v>0</v>
      </c>
      <c r="AY643" s="334">
        <v>4</v>
      </c>
      <c r="AZ643" s="334">
        <f>IF(ISBLANK(tabItens[[#This Row],[CÓDIGO]]),"",tabItens[[#This Row],[PontoMês]] * (AZ$2+tabItens[[#This Row],[PontoQtM]]))</f>
        <v>0</v>
      </c>
      <c r="BA643" s="333">
        <f>tabItens[[#This Row],[PontoPed]] - tabItens[[#This Row],[Saldo]] + (1/10)</f>
        <v>-7092.9</v>
      </c>
      <c r="BB643" s="333">
        <f xml:space="preserve"> tabItens[[#This Row],[PontoMês]] * BB$2 - tabItens[[#This Row],[QTDE ATUAL]] - (1/10)</f>
        <v>-7093.1</v>
      </c>
      <c r="BC643" s="335">
        <f>IF( tabItens[[#This Row],[PontoPed]]&gt;0, IF(tabItens[[#This Row],[PontoPed]]&lt;1, 1, IF( tabItens[[#This Row],[Saldo]]&gt;tabItens[[#This Row],[PontoPed]], 0, (tabItens[[#This Row],[PontoPed]]-tabItens[[#This Row],[Saldo]])/tabItens[[#This Row],[PontoPed]] ) ), 0 )</f>
        <v>0</v>
      </c>
      <c r="BD643" s="336">
        <f>ROUNDDOWN(IF( OR( AND(tabItens[[#This Row],[PontoPed]]&lt;tabItens[[#This Row],[Saldo]],tabItens[[#This Row],[Saldo]]&gt;0), tabItens[[#This Row],[PontoPed]]=0), 99, IF(AND(tabItens[[#This Row],[Saldo]]=0,tabItens[[#This Row],[PontoPed]]&gt;0), 0, (1-tabItens[[#This Row],[PctAb]])*10 ) ),0)</f>
        <v>99</v>
      </c>
      <c r="BE643" s="337">
        <f>MAX(ROUNDDOWN( IF(tabItens[[#This Row],[Abaixo]] &gt; 0,   tabItens[[#This Row],[Abaixo]] + (tabItens[[#This Row],[PontoMês]] * IF( OR( ISBLANK(tabItens[[#This Row],[ATA Nº/ANO]]), tabItens[[#This Row],[ATA Nº/ANO]] = ""),BE$2,BE$1)),0),0),0)</f>
        <v>0</v>
      </c>
      <c r="BF64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3" s="338">
        <f>SUMIF(Consumo!$C$3:$C$862,tabItens[[#This Row],[CÓDIGO]],Consumo!$E$3:$E$862)</f>
        <v>10</v>
      </c>
      <c r="BH643" s="339">
        <f>IF(AND(tabItens[[#This Row],[Pend]] &gt; 0,tabItens[[#This Row],[Consumo]] &lt;&gt; 0), tabItens[[#This Row],[Pend]] / tabItens[[#This Row],[Consumo]], 0 )</f>
        <v>1.3386880856760374E-3</v>
      </c>
      <c r="BI643" s="338"/>
      <c r="BJ643" s="338"/>
      <c r="BK643" s="340" t="s">
        <v>2086</v>
      </c>
    </row>
    <row r="644" spans="1:63" hidden="1" x14ac:dyDescent="0.3">
      <c r="A644" s="301">
        <v>11264</v>
      </c>
      <c r="B644" s="302" t="s">
        <v>934</v>
      </c>
      <c r="C644" s="303" t="s">
        <v>263</v>
      </c>
      <c r="D644" s="304">
        <v>13.92</v>
      </c>
      <c r="E644" s="305"/>
      <c r="F644" s="305"/>
      <c r="G644" s="305" t="s">
        <v>889</v>
      </c>
      <c r="H644" s="306">
        <v>135</v>
      </c>
      <c r="I644" s="307">
        <v>103003</v>
      </c>
      <c r="J644" s="308">
        <v>13.92</v>
      </c>
      <c r="K644" s="309">
        <v>241</v>
      </c>
      <c r="L644" s="310">
        <f>IF(tabItens[[#This Row],[Média]] &gt; 0, tabItens[[#This Row],[QTDE ATUAL]] / tabItens[[#This Row],[Média]],999.9)</f>
        <v>4.1968911917098453</v>
      </c>
      <c r="M644" s="311">
        <v>0</v>
      </c>
      <c r="N644" s="312">
        <f>tabItens[[#This Row],[VALOR UNIT.]] * tabItens[[#This Row],[LC]]</f>
        <v>0</v>
      </c>
      <c r="O644" s="313"/>
      <c r="P644" s="314"/>
      <c r="Q644" s="315"/>
      <c r="R644" s="312"/>
      <c r="S644" s="316"/>
      <c r="T644" s="317">
        <f>ROUNDDOWN(IFERROR(tabItens[[#This Row],[ATA DT.VALID.]] - $D$1,0) / 30,0)</f>
        <v>-1474</v>
      </c>
      <c r="U644" s="302" t="s">
        <v>931</v>
      </c>
      <c r="V644" s="318">
        <v>1</v>
      </c>
      <c r="W644" s="319" t="s">
        <v>2073</v>
      </c>
      <c r="X644" s="320">
        <v>45</v>
      </c>
      <c r="Y644" s="321">
        <v>12</v>
      </c>
      <c r="Z644" s="322"/>
      <c r="AA644" s="323"/>
      <c r="AB644" s="324"/>
      <c r="AC644" s="324"/>
      <c r="AD644" s="323"/>
      <c r="AE644" s="324"/>
      <c r="AF644" s="317"/>
      <c r="AG644" s="325" t="s">
        <v>2072</v>
      </c>
      <c r="AH644" s="326"/>
      <c r="AI644" s="317">
        <v>120</v>
      </c>
      <c r="AJ644" s="326">
        <v>45013</v>
      </c>
      <c r="AK644" s="326" t="s">
        <v>889</v>
      </c>
      <c r="AL644" s="326">
        <v>44998</v>
      </c>
      <c r="AM644" s="316"/>
      <c r="AN644" s="305"/>
      <c r="AO644" s="327" t="str">
        <f>_xlfn.IFNA(IF(VLOOKUP(tabItens[[#This Row],[CÓDIGO]],tabExcluirDoEstoque[#Data],1,FALSE),"sim",""),"")</f>
        <v/>
      </c>
      <c r="AP644" s="328" t="str">
        <f ca="1">IF(OR(ISBLANK(tabItens[[#This Row],[ATA DT.VALID.]]),tabItens[[#This Row],[ATA DT.VALID.]]="",tabItens[[#This Row],[ATA DT.VALID.]]=" "),"",IF(TYPE(tabItens[[#This Row],[ATA DT.VALID.]])=1,ROUNDUP((tabItens[[#This Row],[ATA DT.VALID.]]-TODAY())/7,0),""))</f>
        <v/>
      </c>
      <c r="AQ644" s="329"/>
      <c r="AR644" s="330" t="str">
        <f>IF(ISBLANK(tabItens[[#This Row],[CÓDIGO]]),"",IFERROR(VLOOKUP(tabItens[[#This Row],[CÓDIGO]],Consumo!$C$2:$AC$862,26,FALSE),0))</f>
        <v>09.2023</v>
      </c>
      <c r="AS644" s="331">
        <f>SUMIF(Consumo!$C$3:$C$862,tabItens[[#This Row],[CÓDIGO]],Consumo!$N$3:$N$862) + SUMIF(Consumo!$C$3:$C$862,tabItens[[#This Row],[CÓDIGO]],Consumo!$O$3:$O$862) + SUMIF(Consumo!$C$3:$C$862,tabItens[[#This Row],[CÓDIGO]],Consumo!$P$3:$P$862) + SUMIF(Consumo!$C$3:$C$862,tabItens[[#This Row],[CÓDIGO]],Consumo!$Q$3:$Q$862)</f>
        <v>154</v>
      </c>
      <c r="AT644" s="331">
        <f>SUMIF(Consumo!$C$3:$C$862,tabItens[[#This Row],[CÓDIGO]],Consumo!$Z$3:$Z$862)</f>
        <v>386</v>
      </c>
      <c r="AU644" s="332">
        <f>SUMIF(Consumo!$C$3:$C$862,tabItens[[#This Row],[CÓDIGO]],Consumo!$AA$3:$AA$862)</f>
        <v>48</v>
      </c>
      <c r="AV644" s="333">
        <f>SUMIF(Consumo!$C$3:$C$862,tabItens[[#This Row],[CÓDIGO]],Consumo!$Y$3:$Y$862)</f>
        <v>32.166666666666664</v>
      </c>
      <c r="AW644" s="306">
        <f>tabItens[[#This Row],[QTDE ATUAL]] + tabItens[[#This Row],[RC QTDE]] + tabItens[[#This Row],[AF SALDO]] + tabItens[[#This Row],[Recentes]]</f>
        <v>135</v>
      </c>
      <c r="AX644" s="334">
        <v>36</v>
      </c>
      <c r="AY644" s="334">
        <v>4</v>
      </c>
      <c r="AZ644" s="334">
        <f>IF(ISBLANK(tabItens[[#This Row],[CÓDIGO]]),"",tabItens[[#This Row],[PontoMês]] * (AZ$2+tabItens[[#This Row],[PontoQtM]]))</f>
        <v>144</v>
      </c>
      <c r="BA644" s="333">
        <f>tabItens[[#This Row],[PontoPed]] - tabItens[[#This Row],[Saldo]] + (1/10)</f>
        <v>9.1</v>
      </c>
      <c r="BB644" s="333">
        <f xml:space="preserve"> tabItens[[#This Row],[PontoMês]] * BB$2 - tabItens[[#This Row],[QTDE ATUAL]] - (1/10)</f>
        <v>-99.1</v>
      </c>
      <c r="BC644" s="335">
        <f>IF( tabItens[[#This Row],[PontoPed]]&gt;0, IF(tabItens[[#This Row],[PontoPed]]&lt;1, 1, IF( tabItens[[#This Row],[Saldo]]&gt;tabItens[[#This Row],[PontoPed]], 0, (tabItens[[#This Row],[PontoPed]]-tabItens[[#This Row],[Saldo]])/tabItens[[#This Row],[PontoPed]] ) ), 0 )</f>
        <v>6.25E-2</v>
      </c>
      <c r="BD644" s="336">
        <f>ROUNDDOWN(IF( OR( AND(tabItens[[#This Row],[PontoPed]]&lt;tabItens[[#This Row],[Saldo]],tabItens[[#This Row],[Saldo]]&gt;0), tabItens[[#This Row],[PontoPed]]=0), 99, IF(AND(tabItens[[#This Row],[Saldo]]=0,tabItens[[#This Row],[PontoPed]]&gt;0), 0, (1-tabItens[[#This Row],[PctAb]])*10 ) ),0)</f>
        <v>9</v>
      </c>
      <c r="BE644" s="337">
        <f>MAX(ROUNDDOWN( IF(tabItens[[#This Row],[Abaixo]] &gt; 0,   tabItens[[#This Row],[Abaixo]] + (tabItens[[#This Row],[PontoMês]] * IF( OR( ISBLANK(tabItens[[#This Row],[ATA Nº/ANO]]), tabItens[[#This Row],[ATA Nº/ANO]] = ""),BE$2,BE$1)),0),0),0)</f>
        <v>225</v>
      </c>
      <c r="BF64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v>
      </c>
      <c r="BG644" s="338">
        <f>SUMIF(Consumo!$C$3:$C$862,tabItens[[#This Row],[CÓDIGO]],Consumo!$E$3:$E$862)</f>
        <v>25</v>
      </c>
      <c r="BH644" s="339">
        <f>IF(AND(tabItens[[#This Row],[Pend]] &gt; 0,tabItens[[#This Row],[Consumo]] &lt;&gt; 0), tabItens[[#This Row],[Pend]] / tabItens[[#This Row],[Consumo]], 0 )</f>
        <v>6.4766839378238336E-2</v>
      </c>
      <c r="BI644" s="338"/>
      <c r="BJ644" s="338"/>
      <c r="BK644" s="340" t="s">
        <v>2086</v>
      </c>
    </row>
    <row r="645" spans="1:63" hidden="1" x14ac:dyDescent="0.3">
      <c r="A645" s="301">
        <v>17135</v>
      </c>
      <c r="B645" s="302" t="s">
        <v>1125</v>
      </c>
      <c r="C645" s="303" t="s">
        <v>263</v>
      </c>
      <c r="D645" s="304">
        <v>0.17</v>
      </c>
      <c r="E645" s="305"/>
      <c r="F645" s="305"/>
      <c r="G645" s="305" t="s">
        <v>889</v>
      </c>
      <c r="H645" s="306">
        <v>825</v>
      </c>
      <c r="I645" s="307">
        <v>103003</v>
      </c>
      <c r="J645" s="308">
        <v>0.17</v>
      </c>
      <c r="K645" s="309">
        <v>5991</v>
      </c>
      <c r="L645" s="310">
        <f>IF(tabItens[[#This Row],[Média]] &gt; 0, tabItens[[#This Row],[QTDE ATUAL]] / tabItens[[#This Row],[Média]],999.9)</f>
        <v>1.4871563767462821</v>
      </c>
      <c r="M645" s="311">
        <v>0</v>
      </c>
      <c r="N645" s="312">
        <f>tabItens[[#This Row],[VALOR UNIT.]] * tabItens[[#This Row],[LC]]</f>
        <v>0</v>
      </c>
      <c r="O645" s="313"/>
      <c r="P645" s="314"/>
      <c r="Q645" s="315"/>
      <c r="R645" s="312"/>
      <c r="S645" s="316"/>
      <c r="T645" s="317">
        <f>ROUNDDOWN(IFERROR(tabItens[[#This Row],[ATA DT.VALID.]] - $D$1,0) / 30,0)</f>
        <v>-1474</v>
      </c>
      <c r="U645" s="302" t="s">
        <v>931</v>
      </c>
      <c r="V645" s="318">
        <v>1</v>
      </c>
      <c r="W645" s="319" t="s">
        <v>2073</v>
      </c>
      <c r="X645" s="320">
        <v>45</v>
      </c>
      <c r="Y645" s="321">
        <v>12</v>
      </c>
      <c r="Z645" s="322">
        <v>6978</v>
      </c>
      <c r="AA645" s="323">
        <v>2023</v>
      </c>
      <c r="AB645" s="324">
        <v>1200</v>
      </c>
      <c r="AC645" s="324"/>
      <c r="AD645" s="323"/>
      <c r="AE645" s="324"/>
      <c r="AF645" s="317"/>
      <c r="AG645" s="325" t="s">
        <v>2072</v>
      </c>
      <c r="AH645" s="326"/>
      <c r="AI645" s="317">
        <v>2646</v>
      </c>
      <c r="AJ645" s="326">
        <v>45020</v>
      </c>
      <c r="AK645" s="326" t="s">
        <v>889</v>
      </c>
      <c r="AL645" s="326">
        <v>44998</v>
      </c>
      <c r="AM645" s="316"/>
      <c r="AN645" s="305"/>
      <c r="AO645" s="327" t="str">
        <f>_xlfn.IFNA(IF(VLOOKUP(tabItens[[#This Row],[CÓDIGO]],tabExcluirDoEstoque[#Data],1,FALSE),"sim",""),"")</f>
        <v/>
      </c>
      <c r="AP645" s="328" t="str">
        <f ca="1">IF(OR(ISBLANK(tabItens[[#This Row],[ATA DT.VALID.]]),tabItens[[#This Row],[ATA DT.VALID.]]="",tabItens[[#This Row],[ATA DT.VALID.]]=" "),"",IF(TYPE(tabItens[[#This Row],[ATA DT.VALID.]])=1,ROUNDUP((tabItens[[#This Row],[ATA DT.VALID.]]-TODAY())/7,0),""))</f>
        <v/>
      </c>
      <c r="AQ645" s="329"/>
      <c r="AR645" s="330" t="str">
        <f>IF(ISBLANK(tabItens[[#This Row],[CÓDIGO]]),"",IFERROR(VLOOKUP(tabItens[[#This Row],[CÓDIGO]],Consumo!$C$2:$AC$862,26,FALSE),0))</f>
        <v>09.2023</v>
      </c>
      <c r="AS645" s="331">
        <f>SUMIF(Consumo!$C$3:$C$862,tabItens[[#This Row],[CÓDIGO]],Consumo!$N$3:$N$862) + SUMIF(Consumo!$C$3:$C$862,tabItens[[#This Row],[CÓDIGO]],Consumo!$O$3:$O$862) + SUMIF(Consumo!$C$3:$C$862,tabItens[[#This Row],[CÓDIGO]],Consumo!$P$3:$P$862) + SUMIF(Consumo!$C$3:$C$862,tabItens[[#This Row],[CÓDIGO]],Consumo!$Q$3:$Q$862)</f>
        <v>1326</v>
      </c>
      <c r="AT645" s="331">
        <f>SUMIF(Consumo!$C$3:$C$862,tabItens[[#This Row],[CÓDIGO]],Consumo!$Z$3:$Z$862)</f>
        <v>7864</v>
      </c>
      <c r="AU645" s="332">
        <f>SUMIF(Consumo!$C$3:$C$862,tabItens[[#This Row],[CÓDIGO]],Consumo!$AA$3:$AA$862)</f>
        <v>3802</v>
      </c>
      <c r="AV645" s="333">
        <f>SUMIF(Consumo!$C$3:$C$862,tabItens[[#This Row],[CÓDIGO]],Consumo!$Y$3:$Y$862)</f>
        <v>554.75</v>
      </c>
      <c r="AW645" s="306">
        <f>tabItens[[#This Row],[QTDE ATUAL]] + tabItens[[#This Row],[RC QTDE]] + tabItens[[#This Row],[AF SALDO]] + tabItens[[#This Row],[Recentes]]</f>
        <v>2025</v>
      </c>
      <c r="AX645" s="334">
        <v>610</v>
      </c>
      <c r="AY645" s="334">
        <v>4</v>
      </c>
      <c r="AZ645" s="334">
        <f>IF(ISBLANK(tabItens[[#This Row],[CÓDIGO]]),"",tabItens[[#This Row],[PontoMês]] * (AZ$2+tabItens[[#This Row],[PontoQtM]]))</f>
        <v>2440</v>
      </c>
      <c r="BA645" s="333">
        <f>tabItens[[#This Row],[PontoPed]] - tabItens[[#This Row],[Saldo]] + (1/10)</f>
        <v>415.1</v>
      </c>
      <c r="BB645" s="333">
        <f xml:space="preserve"> tabItens[[#This Row],[PontoMês]] * BB$2 - tabItens[[#This Row],[QTDE ATUAL]] - (1/10)</f>
        <v>-215.1</v>
      </c>
      <c r="BC645" s="335">
        <f>IF( tabItens[[#This Row],[PontoPed]]&gt;0, IF(tabItens[[#This Row],[PontoPed]]&lt;1, 1, IF( tabItens[[#This Row],[Saldo]]&gt;tabItens[[#This Row],[PontoPed]], 0, (tabItens[[#This Row],[PontoPed]]-tabItens[[#This Row],[Saldo]])/tabItens[[#This Row],[PontoPed]] ) ), 0 )</f>
        <v>0.17008196721311475</v>
      </c>
      <c r="BD645" s="336">
        <f>ROUNDDOWN(IF( OR( AND(tabItens[[#This Row],[PontoPed]]&lt;tabItens[[#This Row],[Saldo]],tabItens[[#This Row],[Saldo]]&gt;0), tabItens[[#This Row],[PontoPed]]=0), 99, IF(AND(tabItens[[#This Row],[Saldo]]=0,tabItens[[#This Row],[PontoPed]]&gt;0), 0, (1-tabItens[[#This Row],[PctAb]])*10 ) ),0)</f>
        <v>8</v>
      </c>
      <c r="BE645" s="337">
        <f>MAX(ROUNDDOWN( IF(tabItens[[#This Row],[Abaixo]] &gt; 0,   tabItens[[#This Row],[Abaixo]] + (tabItens[[#This Row],[PontoMês]] * IF( OR( ISBLANK(tabItens[[#This Row],[ATA Nº/ANO]]), tabItens[[#This Row],[ATA Nº/ANO]] = ""),BE$2,BE$1)),0),0),0)</f>
        <v>4075</v>
      </c>
      <c r="BF64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4075</v>
      </c>
      <c r="BG645" s="338">
        <f>SUMIF(Consumo!$C$3:$C$862,tabItens[[#This Row],[CÓDIGO]],Consumo!$E$3:$E$862)</f>
        <v>132</v>
      </c>
      <c r="BH645" s="339">
        <f>IF(AND(tabItens[[#This Row],[Pend]] &gt; 0,tabItens[[#This Row],[Consumo]] &lt;&gt; 0), tabItens[[#This Row],[Pend]] / tabItens[[#This Row],[Consumo]], 0 )</f>
        <v>1.6785350966429299E-2</v>
      </c>
      <c r="BI645" s="338"/>
      <c r="BJ645" s="338"/>
      <c r="BK645" s="340" t="s">
        <v>2086</v>
      </c>
    </row>
    <row r="646" spans="1:63" hidden="1" x14ac:dyDescent="0.3">
      <c r="A646" s="301">
        <v>29952</v>
      </c>
      <c r="B646" s="302" t="s">
        <v>1239</v>
      </c>
      <c r="C646" s="303" t="s">
        <v>263</v>
      </c>
      <c r="D646" s="304">
        <v>3.83</v>
      </c>
      <c r="E646" s="305"/>
      <c r="F646" s="305"/>
      <c r="G646" s="305" t="s">
        <v>889</v>
      </c>
      <c r="H646" s="306">
        <v>1256</v>
      </c>
      <c r="I646" s="307">
        <v>103003</v>
      </c>
      <c r="J646" s="308">
        <v>3.83</v>
      </c>
      <c r="K646" s="309">
        <v>3570</v>
      </c>
      <c r="L646" s="310">
        <f>IF(tabItens[[#This Row],[Média]] &gt; 0, tabItens[[#This Row],[QTDE ATUAL]] / tabItens[[#This Row],[Média]],999.9)</f>
        <v>3.348589202399467</v>
      </c>
      <c r="M646" s="311">
        <v>0</v>
      </c>
      <c r="N646" s="312">
        <f>tabItens[[#This Row],[VALOR UNIT.]] * tabItens[[#This Row],[LC]]</f>
        <v>0</v>
      </c>
      <c r="O646" s="313"/>
      <c r="P646" s="314"/>
      <c r="Q646" s="315"/>
      <c r="R646" s="312"/>
      <c r="S646" s="316"/>
      <c r="T646" s="317">
        <f>ROUNDDOWN(IFERROR(tabItens[[#This Row],[ATA DT.VALID.]] - $D$1,0) / 30,0)</f>
        <v>-1474</v>
      </c>
      <c r="U646" s="302" t="s">
        <v>931</v>
      </c>
      <c r="V646" s="318">
        <v>1</v>
      </c>
      <c r="W646" s="319" t="s">
        <v>2073</v>
      </c>
      <c r="X646" s="320">
        <v>45</v>
      </c>
      <c r="Y646" s="321">
        <v>12</v>
      </c>
      <c r="Z646" s="322"/>
      <c r="AA646" s="323"/>
      <c r="AB646" s="324"/>
      <c r="AC646" s="324"/>
      <c r="AD646" s="323"/>
      <c r="AE646" s="324"/>
      <c r="AF646" s="317"/>
      <c r="AG646" s="325" t="s">
        <v>2072</v>
      </c>
      <c r="AH646" s="326"/>
      <c r="AI646" s="317">
        <v>1608</v>
      </c>
      <c r="AJ646" s="326">
        <v>45036</v>
      </c>
      <c r="AK646" s="326" t="s">
        <v>889</v>
      </c>
      <c r="AL646" s="326">
        <v>44998</v>
      </c>
      <c r="AM646" s="316"/>
      <c r="AN646" s="305"/>
      <c r="AO646" s="327" t="str">
        <f>_xlfn.IFNA(IF(VLOOKUP(tabItens[[#This Row],[CÓDIGO]],tabExcluirDoEstoque[#Data],1,FALSE),"sim",""),"")</f>
        <v/>
      </c>
      <c r="AP646" s="328" t="str">
        <f ca="1">IF(OR(ISBLANK(tabItens[[#This Row],[ATA DT.VALID.]]),tabItens[[#This Row],[ATA DT.VALID.]]="",tabItens[[#This Row],[ATA DT.VALID.]]=" "),"",IF(TYPE(tabItens[[#This Row],[ATA DT.VALID.]])=1,ROUNDUP((tabItens[[#This Row],[ATA DT.VALID.]]-TODAY())/7,0),""))</f>
        <v/>
      </c>
      <c r="AQ646" s="329"/>
      <c r="AR646" s="330" t="str">
        <f>IF(ISBLANK(tabItens[[#This Row],[CÓDIGO]]),"",IFERROR(VLOOKUP(tabItens[[#This Row],[CÓDIGO]],Consumo!$C$2:$AC$862,26,FALSE),0))</f>
        <v>09.2023</v>
      </c>
      <c r="AS646" s="331">
        <f>SUMIF(Consumo!$C$3:$C$862,tabItens[[#This Row],[CÓDIGO]],Consumo!$N$3:$N$862) + SUMIF(Consumo!$C$3:$C$862,tabItens[[#This Row],[CÓDIGO]],Consumo!$O$3:$O$862) + SUMIF(Consumo!$C$3:$C$862,tabItens[[#This Row],[CÓDIGO]],Consumo!$P$3:$P$862) + SUMIF(Consumo!$C$3:$C$862,tabItens[[#This Row],[CÓDIGO]],Consumo!$Q$3:$Q$862)</f>
        <v>1167</v>
      </c>
      <c r="AT646" s="331">
        <f>SUMIF(Consumo!$C$3:$C$862,tabItens[[#This Row],[CÓDIGO]],Consumo!$Z$3:$Z$862)</f>
        <v>5056</v>
      </c>
      <c r="AU646" s="332">
        <f>SUMIF(Consumo!$C$3:$C$862,tabItens[[#This Row],[CÓDIGO]],Consumo!$AA$3:$AA$862)</f>
        <v>1902</v>
      </c>
      <c r="AV646" s="333">
        <f>SUMIF(Consumo!$C$3:$C$862,tabItens[[#This Row],[CÓDIGO]],Consumo!$Y$3:$Y$862)</f>
        <v>375.08333333333331</v>
      </c>
      <c r="AW646" s="306">
        <f>tabItens[[#This Row],[QTDE ATUAL]] + tabItens[[#This Row],[RC QTDE]] + tabItens[[#This Row],[AF SALDO]] + tabItens[[#This Row],[Recentes]]</f>
        <v>1256</v>
      </c>
      <c r="AX646" s="334">
        <v>450</v>
      </c>
      <c r="AY646" s="334">
        <v>4</v>
      </c>
      <c r="AZ646" s="334">
        <f>IF(ISBLANK(tabItens[[#This Row],[CÓDIGO]]),"",tabItens[[#This Row],[PontoMês]] * (AZ$2+tabItens[[#This Row],[PontoQtM]]))</f>
        <v>1800</v>
      </c>
      <c r="BA646" s="333">
        <f>tabItens[[#This Row],[PontoPed]] - tabItens[[#This Row],[Saldo]] + (1/10)</f>
        <v>544.1</v>
      </c>
      <c r="BB646" s="333">
        <f xml:space="preserve"> tabItens[[#This Row],[PontoMês]] * BB$2 - tabItens[[#This Row],[QTDE ATUAL]] - (1/10)</f>
        <v>-806.1</v>
      </c>
      <c r="BC646" s="335">
        <f>IF( tabItens[[#This Row],[PontoPed]]&gt;0, IF(tabItens[[#This Row],[PontoPed]]&lt;1, 1, IF( tabItens[[#This Row],[Saldo]]&gt;tabItens[[#This Row],[PontoPed]], 0, (tabItens[[#This Row],[PontoPed]]-tabItens[[#This Row],[Saldo]])/tabItens[[#This Row],[PontoPed]] ) ), 0 )</f>
        <v>0.30222222222222223</v>
      </c>
      <c r="BD646" s="336">
        <f>ROUNDDOWN(IF( OR( AND(tabItens[[#This Row],[PontoPed]]&lt;tabItens[[#This Row],[Saldo]],tabItens[[#This Row],[Saldo]]&gt;0), tabItens[[#This Row],[PontoPed]]=0), 99, IF(AND(tabItens[[#This Row],[Saldo]]=0,tabItens[[#This Row],[PontoPed]]&gt;0), 0, (1-tabItens[[#This Row],[PctAb]])*10 ) ),0)</f>
        <v>6</v>
      </c>
      <c r="BE646" s="337">
        <f>MAX(ROUNDDOWN( IF(tabItens[[#This Row],[Abaixo]] &gt; 0,   tabItens[[#This Row],[Abaixo]] + (tabItens[[#This Row],[PontoMês]] * IF( OR( ISBLANK(tabItens[[#This Row],[ATA Nº/ANO]]), tabItens[[#This Row],[ATA Nº/ANO]] = ""),BE$2,BE$1)),0),0),0)</f>
        <v>3244</v>
      </c>
      <c r="BF64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3244</v>
      </c>
      <c r="BG646" s="338">
        <f>SUMIF(Consumo!$C$3:$C$862,tabItens[[#This Row],[CÓDIGO]],Consumo!$E$3:$E$862)</f>
        <v>234</v>
      </c>
      <c r="BH646" s="339">
        <f>IF(AND(tabItens[[#This Row],[Pend]] &gt; 0,tabItens[[#This Row],[Consumo]] &lt;&gt; 0), tabItens[[#This Row],[Pend]] / tabItens[[#This Row],[Consumo]], 0 )</f>
        <v>4.628164556962025E-2</v>
      </c>
      <c r="BI646" s="338"/>
      <c r="BJ646" s="338"/>
      <c r="BK646" s="340" t="s">
        <v>2086</v>
      </c>
    </row>
    <row r="647" spans="1:63" hidden="1" x14ac:dyDescent="0.3">
      <c r="A647" s="301">
        <v>54682</v>
      </c>
      <c r="B647" s="302" t="s">
        <v>1327</v>
      </c>
      <c r="C647" s="303" t="s">
        <v>260</v>
      </c>
      <c r="D647" s="304">
        <v>6.88</v>
      </c>
      <c r="E647" s="305"/>
      <c r="F647" s="305"/>
      <c r="G647" s="305" t="s">
        <v>889</v>
      </c>
      <c r="H647" s="306">
        <v>0</v>
      </c>
      <c r="I647" s="307">
        <v>103003</v>
      </c>
      <c r="J647" s="308">
        <v>6.88</v>
      </c>
      <c r="K647" s="309">
        <v>4237</v>
      </c>
      <c r="L647" s="310">
        <f>IF(tabItens[[#This Row],[Média]] &gt; 0, tabItens[[#This Row],[QTDE ATUAL]] / tabItens[[#This Row],[Média]],999.9)</f>
        <v>0</v>
      </c>
      <c r="M647" s="311">
        <v>0</v>
      </c>
      <c r="N647" s="312">
        <f>tabItens[[#This Row],[VALOR UNIT.]] * tabItens[[#This Row],[LC]]</f>
        <v>0</v>
      </c>
      <c r="O647" s="313"/>
      <c r="P647" s="314"/>
      <c r="Q647" s="315"/>
      <c r="R647" s="312"/>
      <c r="S647" s="316"/>
      <c r="T647" s="317">
        <f>ROUNDDOWN(IFERROR(tabItens[[#This Row],[ATA DT.VALID.]] - $D$1,0) / 30,0)</f>
        <v>-1474</v>
      </c>
      <c r="U647" s="302" t="s">
        <v>931</v>
      </c>
      <c r="V647" s="318">
        <v>1</v>
      </c>
      <c r="W647" s="319" t="s">
        <v>2073</v>
      </c>
      <c r="X647" s="320">
        <v>45</v>
      </c>
      <c r="Y647" s="321">
        <v>12</v>
      </c>
      <c r="Z647" s="322">
        <v>7338</v>
      </c>
      <c r="AA647" s="323">
        <v>2023</v>
      </c>
      <c r="AB647" s="324">
        <v>1836</v>
      </c>
      <c r="AC647" s="324"/>
      <c r="AD647" s="323"/>
      <c r="AE647" s="324"/>
      <c r="AF647" s="317"/>
      <c r="AG647" s="325" t="s">
        <v>2072</v>
      </c>
      <c r="AH647" s="326"/>
      <c r="AI647" s="317">
        <v>2106</v>
      </c>
      <c r="AJ647" s="326">
        <v>44924</v>
      </c>
      <c r="AK647" s="326" t="s">
        <v>889</v>
      </c>
      <c r="AL647" s="326">
        <v>44910</v>
      </c>
      <c r="AM647" s="316"/>
      <c r="AN647" s="305"/>
      <c r="AO647" s="327" t="str">
        <f>_xlfn.IFNA(IF(VLOOKUP(tabItens[[#This Row],[CÓDIGO]],tabExcluirDoEstoque[#Data],1,FALSE),"sim",""),"")</f>
        <v/>
      </c>
      <c r="AP647" s="328" t="str">
        <f ca="1">IF(OR(ISBLANK(tabItens[[#This Row],[ATA DT.VALID.]]),tabItens[[#This Row],[ATA DT.VALID.]]="",tabItens[[#This Row],[ATA DT.VALID.]]=" "),"",IF(TYPE(tabItens[[#This Row],[ATA DT.VALID.]])=1,ROUNDUP((tabItens[[#This Row],[ATA DT.VALID.]]-TODAY())/7,0),""))</f>
        <v/>
      </c>
      <c r="AQ647" s="329"/>
      <c r="AR647" s="330" t="str">
        <f>IF(ISBLANK(tabItens[[#This Row],[CÓDIGO]]),"",IFERROR(VLOOKUP(tabItens[[#This Row],[CÓDIGO]],Consumo!$C$2:$AC$862,26,FALSE),0))</f>
        <v>04.2023</v>
      </c>
      <c r="AS647" s="331">
        <f>SUMIF(Consumo!$C$3:$C$862,tabItens[[#This Row],[CÓDIGO]],Consumo!$N$3:$N$862) + SUMIF(Consumo!$C$3:$C$862,tabItens[[#This Row],[CÓDIGO]],Consumo!$O$3:$O$862) + SUMIF(Consumo!$C$3:$C$862,tabItens[[#This Row],[CÓDIGO]],Consumo!$P$3:$P$862) + SUMIF(Consumo!$C$3:$C$862,tabItens[[#This Row],[CÓDIGO]],Consumo!$Q$3:$Q$862)</f>
        <v>0</v>
      </c>
      <c r="AT647" s="331">
        <f>SUMIF(Consumo!$C$3:$C$862,tabItens[[#This Row],[CÓDIGO]],Consumo!$Z$3:$Z$862)</f>
        <v>4469</v>
      </c>
      <c r="AU647" s="332">
        <f>SUMIF(Consumo!$C$3:$C$862,tabItens[[#This Row],[CÓDIGO]],Consumo!$AA$3:$AA$862)</f>
        <v>3731</v>
      </c>
      <c r="AV647" s="333">
        <f>SUMIF(Consumo!$C$3:$C$862,tabItens[[#This Row],[CÓDIGO]],Consumo!$Y$3:$Y$862)</f>
        <v>262.41666666666669</v>
      </c>
      <c r="AW647" s="306">
        <f>tabItens[[#This Row],[QTDE ATUAL]] + tabItens[[#This Row],[RC QTDE]] + tabItens[[#This Row],[AF SALDO]] + tabItens[[#This Row],[Recentes]]</f>
        <v>1836</v>
      </c>
      <c r="AX647" s="334">
        <v>394</v>
      </c>
      <c r="AY647" s="334">
        <v>4</v>
      </c>
      <c r="AZ647" s="334">
        <f>IF(ISBLANK(tabItens[[#This Row],[CÓDIGO]]),"",tabItens[[#This Row],[PontoMês]] * (AZ$2+tabItens[[#This Row],[PontoQtM]]))</f>
        <v>1576</v>
      </c>
      <c r="BA647" s="333">
        <f>tabItens[[#This Row],[PontoPed]] - tabItens[[#This Row],[Saldo]] + (1/10)</f>
        <v>-259.89999999999998</v>
      </c>
      <c r="BB647" s="333">
        <f xml:space="preserve"> tabItens[[#This Row],[PontoMês]] * BB$2 - tabItens[[#This Row],[QTDE ATUAL]] - (1/10)</f>
        <v>393.9</v>
      </c>
      <c r="BC647" s="335">
        <f>IF( tabItens[[#This Row],[PontoPed]]&gt;0, IF(tabItens[[#This Row],[PontoPed]]&lt;1, 1, IF( tabItens[[#This Row],[Saldo]]&gt;tabItens[[#This Row],[PontoPed]], 0, (tabItens[[#This Row],[PontoPed]]-tabItens[[#This Row],[Saldo]])/tabItens[[#This Row],[PontoPed]] ) ), 0 )</f>
        <v>0</v>
      </c>
      <c r="BD647" s="336">
        <f>ROUNDDOWN(IF( OR( AND(tabItens[[#This Row],[PontoPed]]&lt;tabItens[[#This Row],[Saldo]],tabItens[[#This Row],[Saldo]]&gt;0), tabItens[[#This Row],[PontoPed]]=0), 99, IF(AND(tabItens[[#This Row],[Saldo]]=0,tabItens[[#This Row],[PontoPed]]&gt;0), 0, (1-tabItens[[#This Row],[PctAb]])*10 ) ),0)</f>
        <v>99</v>
      </c>
      <c r="BE647" s="337">
        <f>MAX(ROUNDDOWN( IF(tabItens[[#This Row],[Abaixo]] &gt; 0,   tabItens[[#This Row],[Abaixo]] + (tabItens[[#This Row],[PontoMês]] * IF( OR( ISBLANK(tabItens[[#This Row],[ATA Nº/ANO]]), tabItens[[#This Row],[ATA Nº/ANO]] = ""),BE$2,BE$1)),0),0),0)</f>
        <v>0</v>
      </c>
      <c r="BF64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7" s="338">
        <f>SUMIF(Consumo!$C$3:$C$862,tabItens[[#This Row],[CÓDIGO]],Consumo!$E$3:$E$862)</f>
        <v>154</v>
      </c>
      <c r="BH647" s="339">
        <f>IF(AND(tabItens[[#This Row],[Pend]] &gt; 0,tabItens[[#This Row],[Consumo]] &lt;&gt; 0), tabItens[[#This Row],[Pend]] / tabItens[[#This Row],[Consumo]], 0 )</f>
        <v>3.4459610651152384E-2</v>
      </c>
      <c r="BI647" s="338"/>
      <c r="BJ647" s="338"/>
      <c r="BK647" s="340" t="s">
        <v>2086</v>
      </c>
    </row>
    <row r="648" spans="1:63" hidden="1" x14ac:dyDescent="0.3">
      <c r="A648" s="301">
        <v>138471</v>
      </c>
      <c r="B648" s="302" t="s">
        <v>1978</v>
      </c>
      <c r="C648" s="303" t="s">
        <v>31</v>
      </c>
      <c r="D648" s="304">
        <v>3.84</v>
      </c>
      <c r="E648" s="305"/>
      <c r="F648" s="305"/>
      <c r="G648" s="305" t="s">
        <v>889</v>
      </c>
      <c r="H648" s="306">
        <v>4448</v>
      </c>
      <c r="I648" s="307">
        <v>103003</v>
      </c>
      <c r="J648" s="308">
        <v>3.84</v>
      </c>
      <c r="K648" s="309">
        <v>8087</v>
      </c>
      <c r="L648" s="310">
        <f>IF(tabItens[[#This Row],[Média]] &gt; 0, tabItens[[#This Row],[QTDE ATUAL]] / tabItens[[#This Row],[Média]],999.9)</f>
        <v>5.8494246575342466</v>
      </c>
      <c r="M648" s="311">
        <v>0</v>
      </c>
      <c r="N648" s="312">
        <f>tabItens[[#This Row],[VALOR UNIT.]] * tabItens[[#This Row],[LC]]</f>
        <v>0</v>
      </c>
      <c r="O648" s="313"/>
      <c r="P648" s="314"/>
      <c r="Q648" s="315"/>
      <c r="R648" s="312"/>
      <c r="S648" s="316"/>
      <c r="T648" s="317">
        <f>ROUNDDOWN(IFERROR(tabItens[[#This Row],[ATA DT.VALID.]] - $D$1,0) / 30,0)</f>
        <v>-1474</v>
      </c>
      <c r="U648" s="302" t="s">
        <v>931</v>
      </c>
      <c r="V648" s="318">
        <v>1</v>
      </c>
      <c r="W648" s="319" t="s">
        <v>2073</v>
      </c>
      <c r="X648" s="320">
        <v>45</v>
      </c>
      <c r="Y648" s="321">
        <v>12</v>
      </c>
      <c r="Z648" s="322">
        <v>8971</v>
      </c>
      <c r="AA648" s="323">
        <v>2023</v>
      </c>
      <c r="AB648" s="324">
        <v>3100</v>
      </c>
      <c r="AC648" s="324"/>
      <c r="AD648" s="323"/>
      <c r="AE648" s="324"/>
      <c r="AF648" s="317"/>
      <c r="AG648" s="325" t="s">
        <v>2072</v>
      </c>
      <c r="AH648" s="326"/>
      <c r="AI648" s="317">
        <v>8090</v>
      </c>
      <c r="AJ648" s="326">
        <v>44985</v>
      </c>
      <c r="AK648" s="326">
        <v>43720</v>
      </c>
      <c r="AL648" s="326">
        <v>44959</v>
      </c>
      <c r="AM648" s="316"/>
      <c r="AN648" s="305"/>
      <c r="AO648" s="327" t="str">
        <f>_xlfn.IFNA(IF(VLOOKUP(tabItens[[#This Row],[CÓDIGO]],tabExcluirDoEstoque[#Data],1,FALSE),"sim",""),"")</f>
        <v/>
      </c>
      <c r="AP648" s="328" t="str">
        <f ca="1">IF(OR(ISBLANK(tabItens[[#This Row],[ATA DT.VALID.]]),tabItens[[#This Row],[ATA DT.VALID.]]="",tabItens[[#This Row],[ATA DT.VALID.]]=" "),"",IF(TYPE(tabItens[[#This Row],[ATA DT.VALID.]])=1,ROUNDUP((tabItens[[#This Row],[ATA DT.VALID.]]-TODAY())/7,0),""))</f>
        <v/>
      </c>
      <c r="AQ648" s="329"/>
      <c r="AR648" s="330" t="str">
        <f>IF(ISBLANK(tabItens[[#This Row],[CÓDIGO]]),"",IFERROR(VLOOKUP(tabItens[[#This Row],[CÓDIGO]],Consumo!$C$2:$AC$862,26,FALSE),0))</f>
        <v>09.2023</v>
      </c>
      <c r="AS648" s="331">
        <f>SUMIF(Consumo!$C$3:$C$862,tabItens[[#This Row],[CÓDIGO]],Consumo!$N$3:$N$862) + SUMIF(Consumo!$C$3:$C$862,tabItens[[#This Row],[CÓDIGO]],Consumo!$O$3:$O$862) + SUMIF(Consumo!$C$3:$C$862,tabItens[[#This Row],[CÓDIGO]],Consumo!$P$3:$P$862) + SUMIF(Consumo!$C$3:$C$862,tabItens[[#This Row],[CÓDIGO]],Consumo!$Q$3:$Q$862)</f>
        <v>2317</v>
      </c>
      <c r="AT648" s="331">
        <f>SUMIF(Consumo!$C$3:$C$862,tabItens[[#This Row],[CÓDIGO]],Consumo!$Z$3:$Z$862)</f>
        <v>10634</v>
      </c>
      <c r="AU648" s="332">
        <f>SUMIF(Consumo!$C$3:$C$862,tabItens[[#This Row],[CÓDIGO]],Consumo!$AA$3:$AA$862)</f>
        <v>4848</v>
      </c>
      <c r="AV648" s="333">
        <f>SUMIF(Consumo!$C$3:$C$862,tabItens[[#This Row],[CÓDIGO]],Consumo!$Y$3:$Y$862)</f>
        <v>760.41666666666663</v>
      </c>
      <c r="AW648" s="306">
        <f>tabItens[[#This Row],[QTDE ATUAL]] + tabItens[[#This Row],[RC QTDE]] + tabItens[[#This Row],[AF SALDO]] + tabItens[[#This Row],[Recentes]]</f>
        <v>7548</v>
      </c>
      <c r="AX648" s="334">
        <v>1585</v>
      </c>
      <c r="AY648" s="334">
        <v>4</v>
      </c>
      <c r="AZ648" s="334">
        <f>IF(ISBLANK(tabItens[[#This Row],[CÓDIGO]]),"",tabItens[[#This Row],[PontoMês]] * (AZ$2+tabItens[[#This Row],[PontoQtM]]))</f>
        <v>6340</v>
      </c>
      <c r="BA648" s="333">
        <f>tabItens[[#This Row],[PontoPed]] - tabItens[[#This Row],[Saldo]] + (1/10)</f>
        <v>-1207.9000000000001</v>
      </c>
      <c r="BB648" s="333">
        <f xml:space="preserve"> tabItens[[#This Row],[PontoMês]] * BB$2 - tabItens[[#This Row],[QTDE ATUAL]] - (1/10)</f>
        <v>-2863.1</v>
      </c>
      <c r="BC648" s="335">
        <f>IF( tabItens[[#This Row],[PontoPed]]&gt;0, IF(tabItens[[#This Row],[PontoPed]]&lt;1, 1, IF( tabItens[[#This Row],[Saldo]]&gt;tabItens[[#This Row],[PontoPed]], 0, (tabItens[[#This Row],[PontoPed]]-tabItens[[#This Row],[Saldo]])/tabItens[[#This Row],[PontoPed]] ) ), 0 )</f>
        <v>0</v>
      </c>
      <c r="BD648" s="336">
        <f>ROUNDDOWN(IF( OR( AND(tabItens[[#This Row],[PontoPed]]&lt;tabItens[[#This Row],[Saldo]],tabItens[[#This Row],[Saldo]]&gt;0), tabItens[[#This Row],[PontoPed]]=0), 99, IF(AND(tabItens[[#This Row],[Saldo]]=0,tabItens[[#This Row],[PontoPed]]&gt;0), 0, (1-tabItens[[#This Row],[PctAb]])*10 ) ),0)</f>
        <v>99</v>
      </c>
      <c r="BE648" s="337">
        <f>MAX(ROUNDDOWN( IF(tabItens[[#This Row],[Abaixo]] &gt; 0,   tabItens[[#This Row],[Abaixo]] + (tabItens[[#This Row],[PontoMês]] * IF( OR( ISBLANK(tabItens[[#This Row],[ATA Nº/ANO]]), tabItens[[#This Row],[ATA Nº/ANO]] = ""),BE$2,BE$1)),0),0),0)</f>
        <v>0</v>
      </c>
      <c r="BF64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8" s="338">
        <f>SUMIF(Consumo!$C$3:$C$862,tabItens[[#This Row],[CÓDIGO]],Consumo!$E$3:$E$862)</f>
        <v>144</v>
      </c>
      <c r="BH648" s="339">
        <f>IF(AND(tabItens[[#This Row],[Pend]] &gt; 0,tabItens[[#This Row],[Consumo]] &lt;&gt; 0), tabItens[[#This Row],[Pend]] / tabItens[[#This Row],[Consumo]], 0 )</f>
        <v>1.354147075418469E-2</v>
      </c>
      <c r="BI648" s="338"/>
      <c r="BJ648" s="338"/>
      <c r="BK648" s="340" t="s">
        <v>2086</v>
      </c>
    </row>
    <row r="649" spans="1:63" hidden="1" x14ac:dyDescent="0.3">
      <c r="A649" s="301">
        <v>15530</v>
      </c>
      <c r="B649" s="302" t="s">
        <v>1100</v>
      </c>
      <c r="C649" s="303" t="s">
        <v>380</v>
      </c>
      <c r="D649" s="304">
        <v>7.0000000000000007E-2</v>
      </c>
      <c r="E649" s="305"/>
      <c r="F649" s="305"/>
      <c r="G649" s="305" t="s">
        <v>889</v>
      </c>
      <c r="H649" s="306">
        <v>22838</v>
      </c>
      <c r="I649" s="307">
        <v>103003</v>
      </c>
      <c r="J649" s="308">
        <v>7.0000000000000007E-2</v>
      </c>
      <c r="K649" s="309">
        <v>15300</v>
      </c>
      <c r="L649" s="310">
        <f>IF(tabItens[[#This Row],[Média]] &gt; 0, tabItens[[#This Row],[QTDE ATUAL]] / tabItens[[#This Row],[Média]],999.9)</f>
        <v>11.040850858109742</v>
      </c>
      <c r="M649" s="311">
        <v>0</v>
      </c>
      <c r="N649" s="312">
        <f>tabItens[[#This Row],[VALOR UNIT.]] * tabItens[[#This Row],[LC]]</f>
        <v>0</v>
      </c>
      <c r="O649" s="313"/>
      <c r="P649" s="314"/>
      <c r="Q649" s="315"/>
      <c r="R649" s="312"/>
      <c r="S649" s="316"/>
      <c r="T649" s="317">
        <f>ROUNDDOWN(IFERROR(tabItens[[#This Row],[ATA DT.VALID.]] - $D$1,0) / 30,0)</f>
        <v>-1474</v>
      </c>
      <c r="U649" s="302" t="s">
        <v>1101</v>
      </c>
      <c r="V649" s="318">
        <v>1</v>
      </c>
      <c r="W649" s="319" t="s">
        <v>2073</v>
      </c>
      <c r="X649" s="320">
        <v>45</v>
      </c>
      <c r="Y649" s="321">
        <v>13</v>
      </c>
      <c r="Z649" s="322"/>
      <c r="AA649" s="323"/>
      <c r="AB649" s="324"/>
      <c r="AC649" s="324"/>
      <c r="AD649" s="323"/>
      <c r="AE649" s="324"/>
      <c r="AF649" s="317"/>
      <c r="AG649" s="325" t="s">
        <v>2072</v>
      </c>
      <c r="AH649" s="326"/>
      <c r="AI649" s="317">
        <v>8258</v>
      </c>
      <c r="AJ649" s="326">
        <v>44204</v>
      </c>
      <c r="AK649" s="326" t="s">
        <v>889</v>
      </c>
      <c r="AL649" s="326">
        <v>44169</v>
      </c>
      <c r="AM649" s="316"/>
      <c r="AN649" s="305"/>
      <c r="AO649" s="327" t="str">
        <f>_xlfn.IFNA(IF(VLOOKUP(tabItens[[#This Row],[CÓDIGO]],tabExcluirDoEstoque[#Data],1,FALSE),"sim",""),"")</f>
        <v/>
      </c>
      <c r="AP649" s="328" t="str">
        <f ca="1">IF(OR(ISBLANK(tabItens[[#This Row],[ATA DT.VALID.]]),tabItens[[#This Row],[ATA DT.VALID.]]="",tabItens[[#This Row],[ATA DT.VALID.]]=" "),"",IF(TYPE(tabItens[[#This Row],[ATA DT.VALID.]])=1,ROUNDUP((tabItens[[#This Row],[ATA DT.VALID.]]-TODAY())/7,0),""))</f>
        <v/>
      </c>
      <c r="AQ649" s="329"/>
      <c r="AR649" s="330" t="str">
        <f>IF(ISBLANK(tabItens[[#This Row],[CÓDIGO]]),"",IFERROR(VLOOKUP(tabItens[[#This Row],[CÓDIGO]],Consumo!$C$2:$AC$862,26,FALSE),0))</f>
        <v>09.2023</v>
      </c>
      <c r="AS649" s="331">
        <f>SUMIF(Consumo!$C$3:$C$862,tabItens[[#This Row],[CÓDIGO]],Consumo!$N$3:$N$862) + SUMIF(Consumo!$C$3:$C$862,tabItens[[#This Row],[CÓDIGO]],Consumo!$O$3:$O$862) + SUMIF(Consumo!$C$3:$C$862,tabItens[[#This Row],[CÓDIGO]],Consumo!$P$3:$P$862) + SUMIF(Consumo!$C$3:$C$862,tabItens[[#This Row],[CÓDIGO]],Consumo!$Q$3:$Q$862)</f>
        <v>8392</v>
      </c>
      <c r="AT649" s="331">
        <f>SUMIF(Consumo!$C$3:$C$862,tabItens[[#This Row],[CÓDIGO]],Consumo!$Z$3:$Z$862)</f>
        <v>24822</v>
      </c>
      <c r="AU649" s="332">
        <f>SUMIF(Consumo!$C$3:$C$862,tabItens[[#This Row],[CÓDIGO]],Consumo!$AA$3:$AA$862)</f>
        <v>3150</v>
      </c>
      <c r="AV649" s="333">
        <f>SUMIF(Consumo!$C$3:$C$862,tabItens[[#This Row],[CÓDIGO]],Consumo!$Y$3:$Y$862)</f>
        <v>2068.5</v>
      </c>
      <c r="AW649" s="306">
        <f>tabItens[[#This Row],[QTDE ATUAL]] + tabItens[[#This Row],[RC QTDE]] + tabItens[[#This Row],[AF SALDO]] + tabItens[[#This Row],[Recentes]]</f>
        <v>22838</v>
      </c>
      <c r="AX649" s="334">
        <v>649</v>
      </c>
      <c r="AY649" s="334">
        <v>4</v>
      </c>
      <c r="AZ649" s="334">
        <f>IF(ISBLANK(tabItens[[#This Row],[CÓDIGO]]),"",tabItens[[#This Row],[PontoMês]] * (AZ$2+tabItens[[#This Row],[PontoQtM]]))</f>
        <v>2596</v>
      </c>
      <c r="BA649" s="333">
        <f>tabItens[[#This Row],[PontoPed]] - tabItens[[#This Row],[Saldo]] + (1/10)</f>
        <v>-20241.900000000001</v>
      </c>
      <c r="BB649" s="333">
        <f xml:space="preserve"> tabItens[[#This Row],[PontoMês]] * BB$2 - tabItens[[#This Row],[QTDE ATUAL]] - (1/10)</f>
        <v>-22189.1</v>
      </c>
      <c r="BC649" s="335">
        <f>IF( tabItens[[#This Row],[PontoPed]]&gt;0, IF(tabItens[[#This Row],[PontoPed]]&lt;1, 1, IF( tabItens[[#This Row],[Saldo]]&gt;tabItens[[#This Row],[PontoPed]], 0, (tabItens[[#This Row],[PontoPed]]-tabItens[[#This Row],[Saldo]])/tabItens[[#This Row],[PontoPed]] ) ), 0 )</f>
        <v>0</v>
      </c>
      <c r="BD649" s="336">
        <f>ROUNDDOWN(IF( OR( AND(tabItens[[#This Row],[PontoPed]]&lt;tabItens[[#This Row],[Saldo]],tabItens[[#This Row],[Saldo]]&gt;0), tabItens[[#This Row],[PontoPed]]=0), 99, IF(AND(tabItens[[#This Row],[Saldo]]=0,tabItens[[#This Row],[PontoPed]]&gt;0), 0, (1-tabItens[[#This Row],[PctAb]])*10 ) ),0)</f>
        <v>99</v>
      </c>
      <c r="BE649" s="337">
        <f>MAX(ROUNDDOWN( IF(tabItens[[#This Row],[Abaixo]] &gt; 0,   tabItens[[#This Row],[Abaixo]] + (tabItens[[#This Row],[PontoMês]] * IF( OR( ISBLANK(tabItens[[#This Row],[ATA Nº/ANO]]), tabItens[[#This Row],[ATA Nº/ANO]] = ""),BE$2,BE$1)),0),0),0)</f>
        <v>0</v>
      </c>
      <c r="BF64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9" s="338">
        <f>SUMIF(Consumo!$C$3:$C$862,tabItens[[#This Row],[CÓDIGO]],Consumo!$E$3:$E$862)</f>
        <v>50</v>
      </c>
      <c r="BH649" s="339">
        <f>IF(AND(tabItens[[#This Row],[Pend]] &gt; 0,tabItens[[#This Row],[Consumo]] &lt;&gt; 0), tabItens[[#This Row],[Pend]] / tabItens[[#This Row],[Consumo]], 0 )</f>
        <v>2.0143421158649584E-3</v>
      </c>
      <c r="BI649" s="338"/>
      <c r="BJ649" s="338"/>
      <c r="BK649" s="340" t="s">
        <v>2086</v>
      </c>
    </row>
    <row r="650" spans="1:63" hidden="1" x14ac:dyDescent="0.3">
      <c r="A650" s="301">
        <v>132290</v>
      </c>
      <c r="B650" s="302" t="s">
        <v>1825</v>
      </c>
      <c r="C650" s="303" t="s">
        <v>260</v>
      </c>
      <c r="D650" s="304">
        <v>0.6</v>
      </c>
      <c r="E650" s="305"/>
      <c r="F650" s="305"/>
      <c r="G650" s="305" t="s">
        <v>889</v>
      </c>
      <c r="H650" s="306">
        <v>2474</v>
      </c>
      <c r="I650" s="307">
        <v>103003</v>
      </c>
      <c r="J650" s="308">
        <v>0.6</v>
      </c>
      <c r="K650" s="309">
        <v>6084</v>
      </c>
      <c r="L650" s="310">
        <f>IF(tabItens[[#This Row],[Média]] &gt; 0, tabItens[[#This Row],[QTDE ATUAL]] / tabItens[[#This Row],[Média]],999.9)</f>
        <v>4.4403230631169608</v>
      </c>
      <c r="M650" s="311">
        <v>0</v>
      </c>
      <c r="N650" s="312">
        <f>tabItens[[#This Row],[VALOR UNIT.]] * tabItens[[#This Row],[LC]]</f>
        <v>0</v>
      </c>
      <c r="O650" s="313"/>
      <c r="P650" s="314"/>
      <c r="Q650" s="315"/>
      <c r="R650" s="312"/>
      <c r="S650" s="316"/>
      <c r="T650" s="317">
        <f>ROUNDDOWN(IFERROR(tabItens[[#This Row],[ATA DT.VALID.]] - $D$1,0) / 30,0)</f>
        <v>-1474</v>
      </c>
      <c r="U650" s="302" t="s">
        <v>917</v>
      </c>
      <c r="V650" s="318">
        <v>1</v>
      </c>
      <c r="W650" s="319" t="s">
        <v>2074</v>
      </c>
      <c r="X650" s="320">
        <v>45</v>
      </c>
      <c r="Y650" s="321">
        <v>14</v>
      </c>
      <c r="Z650" s="322"/>
      <c r="AA650" s="323"/>
      <c r="AB650" s="324"/>
      <c r="AC650" s="324"/>
      <c r="AD650" s="323"/>
      <c r="AE650" s="324"/>
      <c r="AF650" s="317"/>
      <c r="AG650" s="325" t="s">
        <v>2072</v>
      </c>
      <c r="AH650" s="326"/>
      <c r="AI650" s="317">
        <v>2646</v>
      </c>
      <c r="AJ650" s="326">
        <v>44967</v>
      </c>
      <c r="AK650" s="326">
        <v>42685</v>
      </c>
      <c r="AL650" s="326">
        <v>44959</v>
      </c>
      <c r="AM650" s="316"/>
      <c r="AN650" s="305"/>
      <c r="AO650" s="327" t="str">
        <f>_xlfn.IFNA(IF(VLOOKUP(tabItens[[#This Row],[CÓDIGO]],tabExcluirDoEstoque[#Data],1,FALSE),"sim",""),"")</f>
        <v/>
      </c>
      <c r="AP650" s="328" t="str">
        <f ca="1">IF(OR(ISBLANK(tabItens[[#This Row],[ATA DT.VALID.]]),tabItens[[#This Row],[ATA DT.VALID.]]="",tabItens[[#This Row],[ATA DT.VALID.]]=" "),"",IF(TYPE(tabItens[[#This Row],[ATA DT.VALID.]])=1,ROUNDUP((tabItens[[#This Row],[ATA DT.VALID.]]-TODAY())/7,0),""))</f>
        <v/>
      </c>
      <c r="AQ650" s="329"/>
      <c r="AR650" s="330" t="str">
        <f>IF(ISBLANK(tabItens[[#This Row],[CÓDIGO]]),"",IFERROR(VLOOKUP(tabItens[[#This Row],[CÓDIGO]],Consumo!$C$2:$AC$862,26,FALSE),0))</f>
        <v>09.2023</v>
      </c>
      <c r="AS650" s="331">
        <f>SUMIF(Consumo!$C$3:$C$862,tabItens[[#This Row],[CÓDIGO]],Consumo!$N$3:$N$862) + SUMIF(Consumo!$C$3:$C$862,tabItens[[#This Row],[CÓDIGO]],Consumo!$O$3:$O$862) + SUMIF(Consumo!$C$3:$C$862,tabItens[[#This Row],[CÓDIGO]],Consumo!$P$3:$P$862) + SUMIF(Consumo!$C$3:$C$862,tabItens[[#This Row],[CÓDIGO]],Consumo!$Q$3:$Q$862)</f>
        <v>1541</v>
      </c>
      <c r="AT650" s="331">
        <f>SUMIF(Consumo!$C$3:$C$862,tabItens[[#This Row],[CÓDIGO]],Consumo!$Z$3:$Z$862)</f>
        <v>7940</v>
      </c>
      <c r="AU650" s="332">
        <f>SUMIF(Consumo!$C$3:$C$862,tabItens[[#This Row],[CÓDIGO]],Consumo!$AA$3:$AA$862)</f>
        <v>3921</v>
      </c>
      <c r="AV650" s="333">
        <f>SUMIF(Consumo!$C$3:$C$862,tabItens[[#This Row],[CÓDIGO]],Consumo!$Y$3:$Y$862)</f>
        <v>557.16666666666663</v>
      </c>
      <c r="AW650" s="306">
        <f>tabItens[[#This Row],[QTDE ATUAL]] + tabItens[[#This Row],[RC QTDE]] + tabItens[[#This Row],[AF SALDO]] + tabItens[[#This Row],[Recentes]]</f>
        <v>2474</v>
      </c>
      <c r="AX650" s="334">
        <v>571</v>
      </c>
      <c r="AY650" s="334">
        <v>4</v>
      </c>
      <c r="AZ650" s="334">
        <f>IF(ISBLANK(tabItens[[#This Row],[CÓDIGO]]),"",tabItens[[#This Row],[PontoMês]] * (AZ$2+tabItens[[#This Row],[PontoQtM]]))</f>
        <v>2284</v>
      </c>
      <c r="BA650" s="333">
        <f>tabItens[[#This Row],[PontoPed]] - tabItens[[#This Row],[Saldo]] + (1/10)</f>
        <v>-189.9</v>
      </c>
      <c r="BB650" s="333">
        <f xml:space="preserve"> tabItens[[#This Row],[PontoMês]] * BB$2 - tabItens[[#This Row],[QTDE ATUAL]] - (1/10)</f>
        <v>-1903.1</v>
      </c>
      <c r="BC650" s="335">
        <f>IF( tabItens[[#This Row],[PontoPed]]&gt;0, IF(tabItens[[#This Row],[PontoPed]]&lt;1, 1, IF( tabItens[[#This Row],[Saldo]]&gt;tabItens[[#This Row],[PontoPed]], 0, (tabItens[[#This Row],[PontoPed]]-tabItens[[#This Row],[Saldo]])/tabItens[[#This Row],[PontoPed]] ) ), 0 )</f>
        <v>0</v>
      </c>
      <c r="BD650" s="336">
        <f>ROUNDDOWN(IF( OR( AND(tabItens[[#This Row],[PontoPed]]&lt;tabItens[[#This Row],[Saldo]],tabItens[[#This Row],[Saldo]]&gt;0), tabItens[[#This Row],[PontoPed]]=0), 99, IF(AND(tabItens[[#This Row],[Saldo]]=0,tabItens[[#This Row],[PontoPed]]&gt;0), 0, (1-tabItens[[#This Row],[PctAb]])*10 ) ),0)</f>
        <v>99</v>
      </c>
      <c r="BE650" s="337">
        <f>MAX(ROUNDDOWN( IF(tabItens[[#This Row],[Abaixo]] &gt; 0,   tabItens[[#This Row],[Abaixo]] + (tabItens[[#This Row],[PontoMês]] * IF( OR( ISBLANK(tabItens[[#This Row],[ATA Nº/ANO]]), tabItens[[#This Row],[ATA Nº/ANO]] = ""),BE$2,BE$1)),0),0),0)</f>
        <v>0</v>
      </c>
      <c r="BF65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0" s="338">
        <f>SUMIF(Consumo!$C$3:$C$862,tabItens[[#This Row],[CÓDIGO]],Consumo!$E$3:$E$862)</f>
        <v>2</v>
      </c>
      <c r="BH650" s="339">
        <f>IF(AND(tabItens[[#This Row],[Pend]] &gt; 0,tabItens[[#This Row],[Consumo]] &lt;&gt; 0), tabItens[[#This Row],[Pend]] / tabItens[[#This Row],[Consumo]], 0 )</f>
        <v>2.5188916876574307E-4</v>
      </c>
      <c r="BI650" s="338"/>
      <c r="BJ650" s="338"/>
      <c r="BK650" s="340" t="s">
        <v>2086</v>
      </c>
    </row>
    <row r="651" spans="1:63" hidden="1" x14ac:dyDescent="0.3">
      <c r="A651" s="301">
        <v>132394</v>
      </c>
      <c r="B651" s="302" t="s">
        <v>1832</v>
      </c>
      <c r="C651" s="303" t="s">
        <v>260</v>
      </c>
      <c r="D651" s="304">
        <v>0.53</v>
      </c>
      <c r="E651" s="305"/>
      <c r="F651" s="305"/>
      <c r="G651" s="305" t="s">
        <v>889</v>
      </c>
      <c r="H651" s="306">
        <v>2790</v>
      </c>
      <c r="I651" s="307">
        <v>103003</v>
      </c>
      <c r="J651" s="308">
        <v>0.53</v>
      </c>
      <c r="K651" s="309">
        <v>6071</v>
      </c>
      <c r="L651" s="310">
        <f>IF(tabItens[[#This Row],[Média]] &gt; 0, tabItens[[#This Row],[QTDE ATUAL]] / tabItens[[#This Row],[Média]],999.9)</f>
        <v>5.0202429149797574</v>
      </c>
      <c r="M651" s="311">
        <v>0</v>
      </c>
      <c r="N651" s="312">
        <f>tabItens[[#This Row],[VALOR UNIT.]] * tabItens[[#This Row],[LC]]</f>
        <v>0</v>
      </c>
      <c r="O651" s="313"/>
      <c r="P651" s="314"/>
      <c r="Q651" s="315"/>
      <c r="R651" s="312"/>
      <c r="S651" s="316"/>
      <c r="T651" s="317">
        <f>ROUNDDOWN(IFERROR(tabItens[[#This Row],[ATA DT.VALID.]] - $D$1,0) / 30,0)</f>
        <v>-1474</v>
      </c>
      <c r="U651" s="302" t="s">
        <v>917</v>
      </c>
      <c r="V651" s="318">
        <v>1</v>
      </c>
      <c r="W651" s="319" t="s">
        <v>2074</v>
      </c>
      <c r="X651" s="320">
        <v>45</v>
      </c>
      <c r="Y651" s="321">
        <v>14</v>
      </c>
      <c r="Z651" s="322"/>
      <c r="AA651" s="323"/>
      <c r="AB651" s="324"/>
      <c r="AC651" s="324"/>
      <c r="AD651" s="323"/>
      <c r="AE651" s="324"/>
      <c r="AF651" s="317"/>
      <c r="AG651" s="325" t="s">
        <v>2072</v>
      </c>
      <c r="AH651" s="326"/>
      <c r="AI651" s="317">
        <v>2638</v>
      </c>
      <c r="AJ651" s="326">
        <v>44967</v>
      </c>
      <c r="AK651" s="326">
        <v>42765</v>
      </c>
      <c r="AL651" s="326">
        <v>44959</v>
      </c>
      <c r="AM651" s="316"/>
      <c r="AN651" s="305"/>
      <c r="AO651" s="327" t="str">
        <f>_xlfn.IFNA(IF(VLOOKUP(tabItens[[#This Row],[CÓDIGO]],tabExcluirDoEstoque[#Data],1,FALSE),"sim",""),"")</f>
        <v/>
      </c>
      <c r="AP651" s="328" t="str">
        <f ca="1">IF(OR(ISBLANK(tabItens[[#This Row],[ATA DT.VALID.]]),tabItens[[#This Row],[ATA DT.VALID.]]="",tabItens[[#This Row],[ATA DT.VALID.]]=" "),"",IF(TYPE(tabItens[[#This Row],[ATA DT.VALID.]])=1,ROUNDUP((tabItens[[#This Row],[ATA DT.VALID.]]-TODAY())/7,0),""))</f>
        <v/>
      </c>
      <c r="AQ651" s="329"/>
      <c r="AR651" s="330" t="str">
        <f>IF(ISBLANK(tabItens[[#This Row],[CÓDIGO]]),"",IFERROR(VLOOKUP(tabItens[[#This Row],[CÓDIGO]],Consumo!$C$2:$AC$862,26,FALSE),0))</f>
        <v>09.2023</v>
      </c>
      <c r="AS651" s="331">
        <f>SUMIF(Consumo!$C$3:$C$862,tabItens[[#This Row],[CÓDIGO]],Consumo!$N$3:$N$862) + SUMIF(Consumo!$C$3:$C$862,tabItens[[#This Row],[CÓDIGO]],Consumo!$O$3:$O$862) + SUMIF(Consumo!$C$3:$C$862,tabItens[[#This Row],[CÓDIGO]],Consumo!$P$3:$P$862) + SUMIF(Consumo!$C$3:$C$862,tabItens[[#This Row],[CÓDIGO]],Consumo!$Q$3:$Q$862)</f>
        <v>1546</v>
      </c>
      <c r="AT651" s="331">
        <f>SUMIF(Consumo!$C$3:$C$862,tabItens[[#This Row],[CÓDIGO]],Consumo!$Z$3:$Z$862)</f>
        <v>7914</v>
      </c>
      <c r="AU651" s="332">
        <f>SUMIF(Consumo!$C$3:$C$862,tabItens[[#This Row],[CÓDIGO]],Consumo!$AA$3:$AA$862)</f>
        <v>3897</v>
      </c>
      <c r="AV651" s="333">
        <f>SUMIF(Consumo!$C$3:$C$862,tabItens[[#This Row],[CÓDIGO]],Consumo!$Y$3:$Y$862)</f>
        <v>555.75</v>
      </c>
      <c r="AW651" s="306">
        <f>tabItens[[#This Row],[QTDE ATUAL]] + tabItens[[#This Row],[RC QTDE]] + tabItens[[#This Row],[AF SALDO]] + tabItens[[#This Row],[Recentes]]</f>
        <v>2790</v>
      </c>
      <c r="AX651" s="334">
        <v>582</v>
      </c>
      <c r="AY651" s="334">
        <v>4</v>
      </c>
      <c r="AZ651" s="334">
        <f>IF(ISBLANK(tabItens[[#This Row],[CÓDIGO]]),"",tabItens[[#This Row],[PontoMês]] * (AZ$2+tabItens[[#This Row],[PontoQtM]]))</f>
        <v>2328</v>
      </c>
      <c r="BA651" s="333">
        <f>tabItens[[#This Row],[PontoPed]] - tabItens[[#This Row],[Saldo]] + (1/10)</f>
        <v>-461.9</v>
      </c>
      <c r="BB651" s="333">
        <f xml:space="preserve"> tabItens[[#This Row],[PontoMês]] * BB$2 - tabItens[[#This Row],[QTDE ATUAL]] - (1/10)</f>
        <v>-2208.1</v>
      </c>
      <c r="BC651" s="335">
        <f>IF( tabItens[[#This Row],[PontoPed]]&gt;0, IF(tabItens[[#This Row],[PontoPed]]&lt;1, 1, IF( tabItens[[#This Row],[Saldo]]&gt;tabItens[[#This Row],[PontoPed]], 0, (tabItens[[#This Row],[PontoPed]]-tabItens[[#This Row],[Saldo]])/tabItens[[#This Row],[PontoPed]] ) ), 0 )</f>
        <v>0</v>
      </c>
      <c r="BD651" s="336">
        <f>ROUNDDOWN(IF( OR( AND(tabItens[[#This Row],[PontoPed]]&lt;tabItens[[#This Row],[Saldo]],tabItens[[#This Row],[Saldo]]&gt;0), tabItens[[#This Row],[PontoPed]]=0), 99, IF(AND(tabItens[[#This Row],[Saldo]]=0,tabItens[[#This Row],[PontoPed]]&gt;0), 0, (1-tabItens[[#This Row],[PctAb]])*10 ) ),0)</f>
        <v>99</v>
      </c>
      <c r="BE651" s="337">
        <f>MAX(ROUNDDOWN( IF(tabItens[[#This Row],[Abaixo]] &gt; 0,   tabItens[[#This Row],[Abaixo]] + (tabItens[[#This Row],[PontoMês]] * IF( OR( ISBLANK(tabItens[[#This Row],[ATA Nº/ANO]]), tabItens[[#This Row],[ATA Nº/ANO]] = ""),BE$2,BE$1)),0),0),0)</f>
        <v>0</v>
      </c>
      <c r="BF65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1" s="338">
        <f>SUMIF(Consumo!$C$3:$C$862,tabItens[[#This Row],[CÓDIGO]],Consumo!$E$3:$E$862)</f>
        <v>2</v>
      </c>
      <c r="BH651" s="339">
        <f>IF(AND(tabItens[[#This Row],[Pend]] &gt; 0,tabItens[[#This Row],[Consumo]] &lt;&gt; 0), tabItens[[#This Row],[Pend]] / tabItens[[#This Row],[Consumo]], 0 )</f>
        <v>2.5271670457417233E-4</v>
      </c>
      <c r="BI651" s="338"/>
      <c r="BJ651" s="338"/>
      <c r="BK651" s="340" t="s">
        <v>2086</v>
      </c>
    </row>
    <row r="652" spans="1:63" hidden="1" x14ac:dyDescent="0.3">
      <c r="A652" s="301">
        <v>132395</v>
      </c>
      <c r="B652" s="302" t="s">
        <v>1833</v>
      </c>
      <c r="C652" s="303" t="s">
        <v>260</v>
      </c>
      <c r="D652" s="304">
        <v>0.56000000000000005</v>
      </c>
      <c r="E652" s="305"/>
      <c r="F652" s="305"/>
      <c r="G652" s="305" t="s">
        <v>889</v>
      </c>
      <c r="H652" s="306">
        <v>2592</v>
      </c>
      <c r="I652" s="307">
        <v>103003</v>
      </c>
      <c r="J652" s="308">
        <v>0.56000000000000005</v>
      </c>
      <c r="K652" s="309">
        <v>6128</v>
      </c>
      <c r="L652" s="310">
        <f>IF(tabItens[[#This Row],[Média]] &gt; 0, tabItens[[#This Row],[QTDE ATUAL]] / tabItens[[#This Row],[Média]],999.9)</f>
        <v>4.6086827678174549</v>
      </c>
      <c r="M652" s="311">
        <v>0</v>
      </c>
      <c r="N652" s="312">
        <f>tabItens[[#This Row],[VALOR UNIT.]] * tabItens[[#This Row],[LC]]</f>
        <v>0</v>
      </c>
      <c r="O652" s="313"/>
      <c r="P652" s="314"/>
      <c r="Q652" s="315"/>
      <c r="R652" s="312"/>
      <c r="S652" s="316"/>
      <c r="T652" s="317">
        <f>ROUNDDOWN(IFERROR(tabItens[[#This Row],[ATA DT.VALID.]] - $D$1,0) / 30,0)</f>
        <v>-1474</v>
      </c>
      <c r="U652" s="302" t="s">
        <v>917</v>
      </c>
      <c r="V652" s="318">
        <v>1</v>
      </c>
      <c r="W652" s="319" t="s">
        <v>2074</v>
      </c>
      <c r="X652" s="320">
        <v>45</v>
      </c>
      <c r="Y652" s="321">
        <v>14</v>
      </c>
      <c r="Z652" s="322"/>
      <c r="AA652" s="323"/>
      <c r="AB652" s="324"/>
      <c r="AC652" s="324"/>
      <c r="AD652" s="323"/>
      <c r="AE652" s="324"/>
      <c r="AF652" s="317"/>
      <c r="AG652" s="325" t="s">
        <v>2072</v>
      </c>
      <c r="AH652" s="326"/>
      <c r="AI652" s="317">
        <v>2668</v>
      </c>
      <c r="AJ652" s="326">
        <v>44967</v>
      </c>
      <c r="AK652" s="326">
        <v>42765</v>
      </c>
      <c r="AL652" s="326">
        <v>44959</v>
      </c>
      <c r="AM652" s="316"/>
      <c r="AN652" s="305"/>
      <c r="AO652" s="327" t="str">
        <f>_xlfn.IFNA(IF(VLOOKUP(tabItens[[#This Row],[CÓDIGO]],tabExcluirDoEstoque[#Data],1,FALSE),"sim",""),"")</f>
        <v/>
      </c>
      <c r="AP652" s="328" t="str">
        <f ca="1">IF(OR(ISBLANK(tabItens[[#This Row],[ATA DT.VALID.]]),tabItens[[#This Row],[ATA DT.VALID.]]="",tabItens[[#This Row],[ATA DT.VALID.]]=" "),"",IF(TYPE(tabItens[[#This Row],[ATA DT.VALID.]])=1,ROUNDUP((tabItens[[#This Row],[ATA DT.VALID.]]-TODAY())/7,0),""))</f>
        <v/>
      </c>
      <c r="AQ652" s="329"/>
      <c r="AR652" s="330" t="str">
        <f>IF(ISBLANK(tabItens[[#This Row],[CÓDIGO]]),"",IFERROR(VLOOKUP(tabItens[[#This Row],[CÓDIGO]],Consumo!$C$2:$AC$862,26,FALSE),0))</f>
        <v>09.2023</v>
      </c>
      <c r="AS652" s="331">
        <f>SUMIF(Consumo!$C$3:$C$862,tabItens[[#This Row],[CÓDIGO]],Consumo!$N$3:$N$862) + SUMIF(Consumo!$C$3:$C$862,tabItens[[#This Row],[CÓDIGO]],Consumo!$O$3:$O$862) + SUMIF(Consumo!$C$3:$C$862,tabItens[[#This Row],[CÓDIGO]],Consumo!$P$3:$P$862) + SUMIF(Consumo!$C$3:$C$862,tabItens[[#This Row],[CÓDIGO]],Consumo!$Q$3:$Q$862)</f>
        <v>1580</v>
      </c>
      <c r="AT652" s="331">
        <f>SUMIF(Consumo!$C$3:$C$862,tabItens[[#This Row],[CÓDIGO]],Consumo!$Z$3:$Z$862)</f>
        <v>8003</v>
      </c>
      <c r="AU652" s="332">
        <f>SUMIF(Consumo!$C$3:$C$862,tabItens[[#This Row],[CÓDIGO]],Consumo!$AA$3:$AA$862)</f>
        <v>3929</v>
      </c>
      <c r="AV652" s="333">
        <f>SUMIF(Consumo!$C$3:$C$862,tabItens[[#This Row],[CÓDIGO]],Consumo!$Y$3:$Y$862)</f>
        <v>562.41666666666663</v>
      </c>
      <c r="AW652" s="306">
        <f>tabItens[[#This Row],[QTDE ATUAL]] + tabItens[[#This Row],[RC QTDE]] + tabItens[[#This Row],[AF SALDO]] + tabItens[[#This Row],[Recentes]]</f>
        <v>2592</v>
      </c>
      <c r="AX652" s="334">
        <v>579</v>
      </c>
      <c r="AY652" s="334">
        <v>4</v>
      </c>
      <c r="AZ652" s="334">
        <f>IF(ISBLANK(tabItens[[#This Row],[CÓDIGO]]),"",tabItens[[#This Row],[PontoMês]] * (AZ$2+tabItens[[#This Row],[PontoQtM]]))</f>
        <v>2316</v>
      </c>
      <c r="BA652" s="333">
        <f>tabItens[[#This Row],[PontoPed]] - tabItens[[#This Row],[Saldo]] + (1/10)</f>
        <v>-275.89999999999998</v>
      </c>
      <c r="BB652" s="333">
        <f xml:space="preserve"> tabItens[[#This Row],[PontoMês]] * BB$2 - tabItens[[#This Row],[QTDE ATUAL]] - (1/10)</f>
        <v>-2013.1</v>
      </c>
      <c r="BC652" s="335">
        <f>IF( tabItens[[#This Row],[PontoPed]]&gt;0, IF(tabItens[[#This Row],[PontoPed]]&lt;1, 1, IF( tabItens[[#This Row],[Saldo]]&gt;tabItens[[#This Row],[PontoPed]], 0, (tabItens[[#This Row],[PontoPed]]-tabItens[[#This Row],[Saldo]])/tabItens[[#This Row],[PontoPed]] ) ), 0 )</f>
        <v>0</v>
      </c>
      <c r="BD652" s="336">
        <f>ROUNDDOWN(IF( OR( AND(tabItens[[#This Row],[PontoPed]]&lt;tabItens[[#This Row],[Saldo]],tabItens[[#This Row],[Saldo]]&gt;0), tabItens[[#This Row],[PontoPed]]=0), 99, IF(AND(tabItens[[#This Row],[Saldo]]=0,tabItens[[#This Row],[PontoPed]]&gt;0), 0, (1-tabItens[[#This Row],[PctAb]])*10 ) ),0)</f>
        <v>99</v>
      </c>
      <c r="BE652" s="337">
        <f>MAX(ROUNDDOWN( IF(tabItens[[#This Row],[Abaixo]] &gt; 0,   tabItens[[#This Row],[Abaixo]] + (tabItens[[#This Row],[PontoMês]] * IF( OR( ISBLANK(tabItens[[#This Row],[ATA Nº/ANO]]), tabItens[[#This Row],[ATA Nº/ANO]] = ""),BE$2,BE$1)),0),0),0)</f>
        <v>0</v>
      </c>
      <c r="BF65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2" s="338">
        <f>SUMIF(Consumo!$C$3:$C$862,tabItens[[#This Row],[CÓDIGO]],Consumo!$E$3:$E$862)</f>
        <v>2</v>
      </c>
      <c r="BH652" s="339">
        <f>IF(AND(tabItens[[#This Row],[Pend]] &gt; 0,tabItens[[#This Row],[Consumo]] &lt;&gt; 0), tabItens[[#This Row],[Pend]] / tabItens[[#This Row],[Consumo]], 0 )</f>
        <v>2.4990628514307136E-4</v>
      </c>
      <c r="BI652" s="338"/>
      <c r="BJ652" s="338"/>
      <c r="BK652" s="340" t="s">
        <v>2086</v>
      </c>
    </row>
    <row r="653" spans="1:63" hidden="1" x14ac:dyDescent="0.3">
      <c r="A653" s="301">
        <v>132650</v>
      </c>
      <c r="B653" s="302" t="s">
        <v>1843</v>
      </c>
      <c r="C653" s="303" t="s">
        <v>31</v>
      </c>
      <c r="D653" s="304">
        <v>19</v>
      </c>
      <c r="E653" s="305"/>
      <c r="F653" s="305"/>
      <c r="G653" s="305" t="s">
        <v>889</v>
      </c>
      <c r="H653" s="306">
        <v>0</v>
      </c>
      <c r="I653" s="307">
        <v>103003</v>
      </c>
      <c r="J653" s="308">
        <v>19</v>
      </c>
      <c r="K653" s="309">
        <v>1223</v>
      </c>
      <c r="L653" s="310">
        <f>IF(tabItens[[#This Row],[Média]] &gt; 0, tabItens[[#This Row],[QTDE ATUAL]] / tabItens[[#This Row],[Média]],999.9)</f>
        <v>0</v>
      </c>
      <c r="M653" s="311">
        <v>0</v>
      </c>
      <c r="N653" s="312">
        <f>tabItens[[#This Row],[VALOR UNIT.]] * tabItens[[#This Row],[LC]]</f>
        <v>0</v>
      </c>
      <c r="O653" s="313"/>
      <c r="P653" s="314"/>
      <c r="Q653" s="315"/>
      <c r="R653" s="312"/>
      <c r="S653" s="316"/>
      <c r="T653" s="317">
        <f>ROUNDDOWN(IFERROR(tabItens[[#This Row],[ATA DT.VALID.]] - $D$1,0) / 30,0)</f>
        <v>-1474</v>
      </c>
      <c r="U653" s="302" t="s">
        <v>917</v>
      </c>
      <c r="V653" s="318">
        <v>1</v>
      </c>
      <c r="W653" s="319" t="s">
        <v>2074</v>
      </c>
      <c r="X653" s="320">
        <v>45</v>
      </c>
      <c r="Y653" s="321">
        <v>14</v>
      </c>
      <c r="Z653" s="322">
        <v>6979</v>
      </c>
      <c r="AA653" s="323">
        <v>2023</v>
      </c>
      <c r="AB653" s="324">
        <v>1000</v>
      </c>
      <c r="AC653" s="324"/>
      <c r="AD653" s="323"/>
      <c r="AE653" s="324"/>
      <c r="AF653" s="317"/>
      <c r="AG653" s="325" t="s">
        <v>2072</v>
      </c>
      <c r="AH653" s="326"/>
      <c r="AI653" s="317">
        <v>448</v>
      </c>
      <c r="AJ653" s="326">
        <v>44375</v>
      </c>
      <c r="AK653" s="326">
        <v>42860</v>
      </c>
      <c r="AL653" s="326">
        <v>45049</v>
      </c>
      <c r="AM653" s="316"/>
      <c r="AN653" s="305"/>
      <c r="AO653" s="327" t="str">
        <f>_xlfn.IFNA(IF(VLOOKUP(tabItens[[#This Row],[CÓDIGO]],tabExcluirDoEstoque[#Data],1,FALSE),"sim",""),"")</f>
        <v/>
      </c>
      <c r="AP653" s="328" t="str">
        <f ca="1">IF(OR(ISBLANK(tabItens[[#This Row],[ATA DT.VALID.]]),tabItens[[#This Row],[ATA DT.VALID.]]="",tabItens[[#This Row],[ATA DT.VALID.]]=" "),"",IF(TYPE(tabItens[[#This Row],[ATA DT.VALID.]])=1,ROUNDUP((tabItens[[#This Row],[ATA DT.VALID.]]-TODAY())/7,0),""))</f>
        <v/>
      </c>
      <c r="AQ653" s="329"/>
      <c r="AR653" s="330" t="str">
        <f>IF(ISBLANK(tabItens[[#This Row],[CÓDIGO]]),"",IFERROR(VLOOKUP(tabItens[[#This Row],[CÓDIGO]],Consumo!$C$2:$AC$862,26,FALSE),0))</f>
        <v>06.2023</v>
      </c>
      <c r="AS653" s="331">
        <f>SUMIF(Consumo!$C$3:$C$862,tabItens[[#This Row],[CÓDIGO]],Consumo!$N$3:$N$862) + SUMIF(Consumo!$C$3:$C$862,tabItens[[#This Row],[CÓDIGO]],Consumo!$O$3:$O$862) + SUMIF(Consumo!$C$3:$C$862,tabItens[[#This Row],[CÓDIGO]],Consumo!$P$3:$P$862) + SUMIF(Consumo!$C$3:$C$862,tabItens[[#This Row],[CÓDIGO]],Consumo!$Q$3:$Q$862)</f>
        <v>73</v>
      </c>
      <c r="AT653" s="331">
        <f>SUMIF(Consumo!$C$3:$C$862,tabItens[[#This Row],[CÓDIGO]],Consumo!$Z$3:$Z$862)</f>
        <v>1697</v>
      </c>
      <c r="AU653" s="332">
        <f>SUMIF(Consumo!$C$3:$C$862,tabItens[[#This Row],[CÓDIGO]],Consumo!$AA$3:$AA$862)</f>
        <v>543</v>
      </c>
      <c r="AV653" s="333">
        <f>SUMIF(Consumo!$C$3:$C$862,tabItens[[#This Row],[CÓDIGO]],Consumo!$Y$3:$Y$862)</f>
        <v>134.5</v>
      </c>
      <c r="AW653" s="306">
        <f>tabItens[[#This Row],[QTDE ATUAL]] + tabItens[[#This Row],[RC QTDE]] + tabItens[[#This Row],[AF SALDO]] + tabItens[[#This Row],[Recentes]]</f>
        <v>1000</v>
      </c>
      <c r="AX653" s="334">
        <v>736</v>
      </c>
      <c r="AY653" s="334">
        <v>4</v>
      </c>
      <c r="AZ653" s="334">
        <f>IF(ISBLANK(tabItens[[#This Row],[CÓDIGO]]),"",tabItens[[#This Row],[PontoMês]] * (AZ$2+tabItens[[#This Row],[PontoQtM]]))</f>
        <v>2944</v>
      </c>
      <c r="BA653" s="333">
        <f>tabItens[[#This Row],[PontoPed]] - tabItens[[#This Row],[Saldo]] + (1/10)</f>
        <v>1944.1</v>
      </c>
      <c r="BB653" s="333">
        <f xml:space="preserve"> tabItens[[#This Row],[PontoMês]] * BB$2 - tabItens[[#This Row],[QTDE ATUAL]] - (1/10)</f>
        <v>735.9</v>
      </c>
      <c r="BC653" s="335">
        <f>IF( tabItens[[#This Row],[PontoPed]]&gt;0, IF(tabItens[[#This Row],[PontoPed]]&lt;1, 1, IF( tabItens[[#This Row],[Saldo]]&gt;tabItens[[#This Row],[PontoPed]], 0, (tabItens[[#This Row],[PontoPed]]-tabItens[[#This Row],[Saldo]])/tabItens[[#This Row],[PontoPed]] ) ), 0 )</f>
        <v>0.66032608695652173</v>
      </c>
      <c r="BD653" s="336">
        <f>ROUNDDOWN(IF( OR( AND(tabItens[[#This Row],[PontoPed]]&lt;tabItens[[#This Row],[Saldo]],tabItens[[#This Row],[Saldo]]&gt;0), tabItens[[#This Row],[PontoPed]]=0), 99, IF(AND(tabItens[[#This Row],[Saldo]]=0,tabItens[[#This Row],[PontoPed]]&gt;0), 0, (1-tabItens[[#This Row],[PctAb]])*10 ) ),0)</f>
        <v>3</v>
      </c>
      <c r="BE653" s="337">
        <f>MAX(ROUNDDOWN( IF(tabItens[[#This Row],[Abaixo]] &gt; 0,   tabItens[[#This Row],[Abaixo]] + (tabItens[[#This Row],[PontoMês]] * IF( OR( ISBLANK(tabItens[[#This Row],[ATA Nº/ANO]]), tabItens[[#This Row],[ATA Nº/ANO]] = ""),BE$2,BE$1)),0),0),0)</f>
        <v>6360</v>
      </c>
      <c r="BF65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6360</v>
      </c>
      <c r="BG653" s="338">
        <f>SUMIF(Consumo!$C$3:$C$862,tabItens[[#This Row],[CÓDIGO]],Consumo!$E$3:$E$862)</f>
        <v>356</v>
      </c>
      <c r="BH653" s="339">
        <f>IF(AND(tabItens[[#This Row],[Pend]] &gt; 0,tabItens[[#This Row],[Consumo]] &lt;&gt; 0), tabItens[[#This Row],[Pend]] / tabItens[[#This Row],[Consumo]], 0 )</f>
        <v>0.20978196817913966</v>
      </c>
      <c r="BI653" s="338"/>
      <c r="BJ653" s="338"/>
      <c r="BK653" s="340" t="s">
        <v>2086</v>
      </c>
    </row>
    <row r="654" spans="1:63" hidden="1" x14ac:dyDescent="0.3">
      <c r="A654" s="301">
        <v>136408</v>
      </c>
      <c r="B654" s="302" t="s">
        <v>1925</v>
      </c>
      <c r="C654" s="303" t="s">
        <v>31</v>
      </c>
      <c r="D654" s="304">
        <v>1.47</v>
      </c>
      <c r="E654" s="305"/>
      <c r="F654" s="305"/>
      <c r="G654" s="305" t="s">
        <v>889</v>
      </c>
      <c r="H654" s="306">
        <v>0</v>
      </c>
      <c r="I654" s="307">
        <v>103003</v>
      </c>
      <c r="J654" s="308">
        <v>1.47</v>
      </c>
      <c r="K654" s="309">
        <v>24866</v>
      </c>
      <c r="L654" s="310">
        <f>IF(tabItens[[#This Row],[Média]] &gt; 0, tabItens[[#This Row],[QTDE ATUAL]] / tabItens[[#This Row],[Média]],999.9)</f>
        <v>0</v>
      </c>
      <c r="M654" s="311">
        <v>0</v>
      </c>
      <c r="N654" s="312">
        <f>tabItens[[#This Row],[VALOR UNIT.]] * tabItens[[#This Row],[LC]]</f>
        <v>0</v>
      </c>
      <c r="O654" s="313"/>
      <c r="P654" s="314"/>
      <c r="Q654" s="315"/>
      <c r="R654" s="312"/>
      <c r="S654" s="316"/>
      <c r="T654" s="317">
        <f>ROUNDDOWN(IFERROR(tabItens[[#This Row],[ATA DT.VALID.]] - $D$1,0) / 30,0)</f>
        <v>-1474</v>
      </c>
      <c r="U654" s="302" t="s">
        <v>917</v>
      </c>
      <c r="V654" s="318">
        <v>1</v>
      </c>
      <c r="W654" s="319" t="s">
        <v>2074</v>
      </c>
      <c r="X654" s="320">
        <v>45</v>
      </c>
      <c r="Y654" s="321">
        <v>14</v>
      </c>
      <c r="Z654" s="322">
        <v>6982</v>
      </c>
      <c r="AA654" s="323">
        <v>2023</v>
      </c>
      <c r="AB654" s="324">
        <v>11700</v>
      </c>
      <c r="AC654" s="324"/>
      <c r="AD654" s="323"/>
      <c r="AE654" s="324"/>
      <c r="AF654" s="317"/>
      <c r="AG654" s="325" t="s">
        <v>2072</v>
      </c>
      <c r="AH654" s="326"/>
      <c r="AI654" s="317">
        <v>11520</v>
      </c>
      <c r="AJ654" s="326">
        <v>44924</v>
      </c>
      <c r="AK654" s="326">
        <v>43500</v>
      </c>
      <c r="AL654" s="326">
        <v>44910</v>
      </c>
      <c r="AM654" s="316"/>
      <c r="AN654" s="305"/>
      <c r="AO654" s="327" t="str">
        <f>_xlfn.IFNA(IF(VLOOKUP(tabItens[[#This Row],[CÓDIGO]],tabExcluirDoEstoque[#Data],1,FALSE),"sim",""),"")</f>
        <v/>
      </c>
      <c r="AP654" s="328" t="str">
        <f ca="1">IF(OR(ISBLANK(tabItens[[#This Row],[ATA DT.VALID.]]),tabItens[[#This Row],[ATA DT.VALID.]]="",tabItens[[#This Row],[ATA DT.VALID.]]=" "),"",IF(TYPE(tabItens[[#This Row],[ATA DT.VALID.]])=1,ROUNDUP((tabItens[[#This Row],[ATA DT.VALID.]]-TODAY())/7,0),""))</f>
        <v/>
      </c>
      <c r="AQ654" s="329"/>
      <c r="AR654" s="330" t="str">
        <f>IF(ISBLANK(tabItens[[#This Row],[CÓDIGO]]),"",IFERROR(VLOOKUP(tabItens[[#This Row],[CÓDIGO]],Consumo!$C$2:$AC$862,26,FALSE),0))</f>
        <v>07.2023</v>
      </c>
      <c r="AS654" s="331">
        <f>SUMIF(Consumo!$C$3:$C$862,tabItens[[#This Row],[CÓDIGO]],Consumo!$N$3:$N$862) + SUMIF(Consumo!$C$3:$C$862,tabItens[[#This Row],[CÓDIGO]],Consumo!$O$3:$O$862) + SUMIF(Consumo!$C$3:$C$862,tabItens[[#This Row],[CÓDIGO]],Consumo!$P$3:$P$862) + SUMIF(Consumo!$C$3:$C$862,tabItens[[#This Row],[CÓDIGO]],Consumo!$Q$3:$Q$862)</f>
        <v>504</v>
      </c>
      <c r="AT654" s="331">
        <f>SUMIF(Consumo!$C$3:$C$862,tabItens[[#This Row],[CÓDIGO]],Consumo!$Z$3:$Z$862)</f>
        <v>26604</v>
      </c>
      <c r="AU654" s="332">
        <f>SUMIF(Consumo!$C$3:$C$862,tabItens[[#This Row],[CÓDIGO]],Consumo!$AA$3:$AA$862)</f>
        <v>20690</v>
      </c>
      <c r="AV654" s="333">
        <f>SUMIF(Consumo!$C$3:$C$862,tabItens[[#This Row],[CÓDIGO]],Consumo!$Y$3:$Y$862)</f>
        <v>1614</v>
      </c>
      <c r="AW654" s="306">
        <f>tabItens[[#This Row],[QTDE ATUAL]] + tabItens[[#This Row],[RC QTDE]] + tabItens[[#This Row],[AF SALDO]] + tabItens[[#This Row],[Recentes]]</f>
        <v>11700</v>
      </c>
      <c r="AX654" s="334">
        <v>3036</v>
      </c>
      <c r="AY654" s="334">
        <v>4</v>
      </c>
      <c r="AZ654" s="334">
        <f>IF(ISBLANK(tabItens[[#This Row],[CÓDIGO]]),"",tabItens[[#This Row],[PontoMês]] * (AZ$2+tabItens[[#This Row],[PontoQtM]]))</f>
        <v>12144</v>
      </c>
      <c r="BA654" s="333">
        <f>tabItens[[#This Row],[PontoPed]] - tabItens[[#This Row],[Saldo]] + (1/10)</f>
        <v>444.1</v>
      </c>
      <c r="BB654" s="333">
        <f xml:space="preserve"> tabItens[[#This Row],[PontoMês]] * BB$2 - tabItens[[#This Row],[QTDE ATUAL]] - (1/10)</f>
        <v>3035.9</v>
      </c>
      <c r="BC654" s="335">
        <f>IF( tabItens[[#This Row],[PontoPed]]&gt;0, IF(tabItens[[#This Row],[PontoPed]]&lt;1, 1, IF( tabItens[[#This Row],[Saldo]]&gt;tabItens[[#This Row],[PontoPed]], 0, (tabItens[[#This Row],[PontoPed]]-tabItens[[#This Row],[Saldo]])/tabItens[[#This Row],[PontoPed]] ) ), 0 )</f>
        <v>3.6561264822134384E-2</v>
      </c>
      <c r="BD654" s="336">
        <f>ROUNDDOWN(IF( OR( AND(tabItens[[#This Row],[PontoPed]]&lt;tabItens[[#This Row],[Saldo]],tabItens[[#This Row],[Saldo]]&gt;0), tabItens[[#This Row],[PontoPed]]=0), 99, IF(AND(tabItens[[#This Row],[Saldo]]=0,tabItens[[#This Row],[PontoPed]]&gt;0), 0, (1-tabItens[[#This Row],[PctAb]])*10 ) ),0)</f>
        <v>9</v>
      </c>
      <c r="BE654" s="337">
        <f>MAX(ROUNDDOWN( IF(tabItens[[#This Row],[Abaixo]] &gt; 0,   tabItens[[#This Row],[Abaixo]] + (tabItens[[#This Row],[PontoMês]] * IF( OR( ISBLANK(tabItens[[#This Row],[ATA Nº/ANO]]), tabItens[[#This Row],[ATA Nº/ANO]] = ""),BE$2,BE$1)),0),0),0)</f>
        <v>18660</v>
      </c>
      <c r="BF65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18660</v>
      </c>
      <c r="BG654" s="338">
        <f>SUMIF(Consumo!$C$3:$C$862,tabItens[[#This Row],[CÓDIGO]],Consumo!$E$3:$E$862)</f>
        <v>1047</v>
      </c>
      <c r="BH654" s="339">
        <f>IF(AND(tabItens[[#This Row],[Pend]] &gt; 0,tabItens[[#This Row],[Consumo]] &lt;&gt; 0), tabItens[[#This Row],[Pend]] / tabItens[[#This Row],[Consumo]], 0 )</f>
        <v>3.9354984212900318E-2</v>
      </c>
      <c r="BI654" s="338"/>
      <c r="BJ654" s="338"/>
      <c r="BK654" s="340" t="s">
        <v>2086</v>
      </c>
    </row>
    <row r="655" spans="1:63" hidden="1" x14ac:dyDescent="0.3">
      <c r="A655" s="301">
        <v>132299</v>
      </c>
      <c r="B655" s="302" t="s">
        <v>1828</v>
      </c>
      <c r="C655" s="303" t="s">
        <v>269</v>
      </c>
      <c r="D655" s="304">
        <v>7.96</v>
      </c>
      <c r="E655" s="305"/>
      <c r="F655" s="305"/>
      <c r="G655" s="305" t="s">
        <v>889</v>
      </c>
      <c r="H655" s="306">
        <v>2283</v>
      </c>
      <c r="I655" s="307">
        <v>103003</v>
      </c>
      <c r="J655" s="308">
        <v>7.96</v>
      </c>
      <c r="K655" s="309">
        <v>3403</v>
      </c>
      <c r="L655" s="310">
        <f>IF(tabItens[[#This Row],[Média]] &gt; 0, tabItens[[#This Row],[QTDE ATUAL]] / tabItens[[#This Row],[Média]],999.9)</f>
        <v>8.9266862170087968</v>
      </c>
      <c r="M655" s="311">
        <v>0</v>
      </c>
      <c r="N655" s="312">
        <f>tabItens[[#This Row],[VALOR UNIT.]] * tabItens[[#This Row],[LC]]</f>
        <v>0</v>
      </c>
      <c r="O655" s="313"/>
      <c r="P655" s="314"/>
      <c r="Q655" s="315"/>
      <c r="R655" s="312"/>
      <c r="S655" s="316"/>
      <c r="T655" s="317">
        <f>ROUNDDOWN(IFERROR(tabItens[[#This Row],[ATA DT.VALID.]] - $D$1,0) / 30,0)</f>
        <v>-1474</v>
      </c>
      <c r="U655" s="302" t="s">
        <v>1829</v>
      </c>
      <c r="V655" s="318">
        <v>1</v>
      </c>
      <c r="W655" s="319" t="s">
        <v>2074</v>
      </c>
      <c r="X655" s="320">
        <v>45</v>
      </c>
      <c r="Y655" s="321">
        <v>16</v>
      </c>
      <c r="Z655" s="322"/>
      <c r="AA655" s="323"/>
      <c r="AB655" s="324"/>
      <c r="AC655" s="324"/>
      <c r="AD655" s="323"/>
      <c r="AE655" s="324"/>
      <c r="AF655" s="317"/>
      <c r="AG655" s="325" t="s">
        <v>2072</v>
      </c>
      <c r="AH655" s="326"/>
      <c r="AI655" s="317">
        <v>1396</v>
      </c>
      <c r="AJ655" s="326">
        <v>45020</v>
      </c>
      <c r="AK655" s="326">
        <v>42685</v>
      </c>
      <c r="AL655" s="326">
        <v>44998</v>
      </c>
      <c r="AM655" s="316"/>
      <c r="AN655" s="305"/>
      <c r="AO655" s="327" t="str">
        <f>_xlfn.IFNA(IF(VLOOKUP(tabItens[[#This Row],[CÓDIGO]],tabExcluirDoEstoque[#Data],1,FALSE),"sim",""),"")</f>
        <v/>
      </c>
      <c r="AP655" s="328" t="str">
        <f ca="1">IF(OR(ISBLANK(tabItens[[#This Row],[ATA DT.VALID.]]),tabItens[[#This Row],[ATA DT.VALID.]]="",tabItens[[#This Row],[ATA DT.VALID.]]=" "),"",IF(TYPE(tabItens[[#This Row],[ATA DT.VALID.]])=1,ROUNDUP((tabItens[[#This Row],[ATA DT.VALID.]]-TODAY())/7,0),""))</f>
        <v/>
      </c>
      <c r="AQ655" s="329"/>
      <c r="AR655" s="330" t="str">
        <f>IF(ISBLANK(tabItens[[#This Row],[CÓDIGO]]),"",IFERROR(VLOOKUP(tabItens[[#This Row],[CÓDIGO]],Consumo!$C$2:$AC$862,26,FALSE),0))</f>
        <v>09.2023</v>
      </c>
      <c r="AS655" s="331">
        <f>SUMIF(Consumo!$C$3:$C$862,tabItens[[#This Row],[CÓDIGO]],Consumo!$N$3:$N$862) + SUMIF(Consumo!$C$3:$C$862,tabItens[[#This Row],[CÓDIGO]],Consumo!$O$3:$O$862) + SUMIF(Consumo!$C$3:$C$862,tabItens[[#This Row],[CÓDIGO]],Consumo!$P$3:$P$862) + SUMIF(Consumo!$C$3:$C$862,tabItens[[#This Row],[CÓDIGO]],Consumo!$Q$3:$Q$862)</f>
        <v>529</v>
      </c>
      <c r="AT655" s="331">
        <f>SUMIF(Consumo!$C$3:$C$862,tabItens[[#This Row],[CÓDIGO]],Consumo!$Z$3:$Z$862)</f>
        <v>3972</v>
      </c>
      <c r="AU655" s="332">
        <f>SUMIF(Consumo!$C$3:$C$862,tabItens[[#This Row],[CÓDIGO]],Consumo!$AA$3:$AA$862)</f>
        <v>2639</v>
      </c>
      <c r="AV655" s="333">
        <f>SUMIF(Consumo!$C$3:$C$862,tabItens[[#This Row],[CÓDIGO]],Consumo!$Y$3:$Y$862)</f>
        <v>255.75</v>
      </c>
      <c r="AW655" s="306">
        <f>tabItens[[#This Row],[QTDE ATUAL]] + tabItens[[#This Row],[RC QTDE]] + tabItens[[#This Row],[AF SALDO]] + tabItens[[#This Row],[Recentes]]</f>
        <v>2283</v>
      </c>
      <c r="AX655" s="334">
        <v>14</v>
      </c>
      <c r="AY655" s="334">
        <v>4</v>
      </c>
      <c r="AZ655" s="334">
        <f>IF(ISBLANK(tabItens[[#This Row],[CÓDIGO]]),"",tabItens[[#This Row],[PontoMês]] * (AZ$2+tabItens[[#This Row],[PontoQtM]]))</f>
        <v>56</v>
      </c>
      <c r="BA655" s="333">
        <f>tabItens[[#This Row],[PontoPed]] - tabItens[[#This Row],[Saldo]] + (1/10)</f>
        <v>-2226.9</v>
      </c>
      <c r="BB655" s="333">
        <f xml:space="preserve"> tabItens[[#This Row],[PontoMês]] * BB$2 - tabItens[[#This Row],[QTDE ATUAL]] - (1/10)</f>
        <v>-2269.1</v>
      </c>
      <c r="BC655" s="335">
        <f>IF( tabItens[[#This Row],[PontoPed]]&gt;0, IF(tabItens[[#This Row],[PontoPed]]&lt;1, 1, IF( tabItens[[#This Row],[Saldo]]&gt;tabItens[[#This Row],[PontoPed]], 0, (tabItens[[#This Row],[PontoPed]]-tabItens[[#This Row],[Saldo]])/tabItens[[#This Row],[PontoPed]] ) ), 0 )</f>
        <v>0</v>
      </c>
      <c r="BD655" s="336">
        <f>ROUNDDOWN(IF( OR( AND(tabItens[[#This Row],[PontoPed]]&lt;tabItens[[#This Row],[Saldo]],tabItens[[#This Row],[Saldo]]&gt;0), tabItens[[#This Row],[PontoPed]]=0), 99, IF(AND(tabItens[[#This Row],[Saldo]]=0,tabItens[[#This Row],[PontoPed]]&gt;0), 0, (1-tabItens[[#This Row],[PctAb]])*10 ) ),0)</f>
        <v>99</v>
      </c>
      <c r="BE655" s="337">
        <f>MAX(ROUNDDOWN( IF(tabItens[[#This Row],[Abaixo]] &gt; 0,   tabItens[[#This Row],[Abaixo]] + (tabItens[[#This Row],[PontoMês]] * IF( OR( ISBLANK(tabItens[[#This Row],[ATA Nº/ANO]]), tabItens[[#This Row],[ATA Nº/ANO]] = ""),BE$2,BE$1)),0),0),0)</f>
        <v>0</v>
      </c>
      <c r="BF65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5" s="338">
        <f>SUMIF(Consumo!$C$3:$C$862,tabItens[[#This Row],[CÓDIGO]],Consumo!$E$3:$E$862)</f>
        <v>4</v>
      </c>
      <c r="BH655" s="339">
        <f>IF(AND(tabItens[[#This Row],[Pend]] &gt; 0,tabItens[[#This Row],[Consumo]] &lt;&gt; 0), tabItens[[#This Row],[Pend]] / tabItens[[#This Row],[Consumo]], 0 )</f>
        <v>1.0070493454179255E-3</v>
      </c>
      <c r="BI655" s="338"/>
      <c r="BJ655" s="338"/>
      <c r="BK655" s="340" t="s">
        <v>2086</v>
      </c>
    </row>
    <row r="656" spans="1:63" hidden="1" x14ac:dyDescent="0.3">
      <c r="A656" s="301">
        <v>132300</v>
      </c>
      <c r="B656" s="302" t="s">
        <v>1830</v>
      </c>
      <c r="C656" s="303" t="s">
        <v>269</v>
      </c>
      <c r="D656" s="304">
        <v>10.37</v>
      </c>
      <c r="E656" s="305"/>
      <c r="F656" s="305"/>
      <c r="G656" s="305" t="s">
        <v>889</v>
      </c>
      <c r="H656" s="306">
        <v>3287</v>
      </c>
      <c r="I656" s="307">
        <v>103003</v>
      </c>
      <c r="J656" s="308">
        <v>10.37</v>
      </c>
      <c r="K656" s="309">
        <v>11385</v>
      </c>
      <c r="L656" s="310">
        <f>IF(tabItens[[#This Row],[Média]] &gt; 0, tabItens[[#This Row],[QTDE ATUAL]] / tabItens[[#This Row],[Média]],999.9)</f>
        <v>4.3661722382112016</v>
      </c>
      <c r="M656" s="311">
        <v>0</v>
      </c>
      <c r="N656" s="312">
        <f>tabItens[[#This Row],[VALOR UNIT.]] * tabItens[[#This Row],[LC]]</f>
        <v>0</v>
      </c>
      <c r="O656" s="313"/>
      <c r="P656" s="314"/>
      <c r="Q656" s="315"/>
      <c r="R656" s="312"/>
      <c r="S656" s="316"/>
      <c r="T656" s="317">
        <f>ROUNDDOWN(IFERROR(tabItens[[#This Row],[ATA DT.VALID.]] - $D$1,0) / 30,0)</f>
        <v>-1474</v>
      </c>
      <c r="U656" s="302" t="s">
        <v>1829</v>
      </c>
      <c r="V656" s="318">
        <v>1</v>
      </c>
      <c r="W656" s="319" t="s">
        <v>2074</v>
      </c>
      <c r="X656" s="320">
        <v>45</v>
      </c>
      <c r="Y656" s="321">
        <v>16</v>
      </c>
      <c r="Z656" s="322">
        <v>6209</v>
      </c>
      <c r="AA656" s="323">
        <v>2023</v>
      </c>
      <c r="AB656" s="324">
        <v>1000</v>
      </c>
      <c r="AC656" s="324"/>
      <c r="AD656" s="323"/>
      <c r="AE656" s="324"/>
      <c r="AF656" s="317"/>
      <c r="AG656" s="325" t="s">
        <v>2072</v>
      </c>
      <c r="AH656" s="326"/>
      <c r="AI656" s="317">
        <v>4394</v>
      </c>
      <c r="AJ656" s="326">
        <v>44956</v>
      </c>
      <c r="AK656" s="326">
        <v>42685</v>
      </c>
      <c r="AL656" s="326">
        <v>44910</v>
      </c>
      <c r="AM656" s="316"/>
      <c r="AN656" s="305"/>
      <c r="AO656" s="327" t="str">
        <f>_xlfn.IFNA(IF(VLOOKUP(tabItens[[#This Row],[CÓDIGO]],tabExcluirDoEstoque[#Data],1,FALSE),"sim",""),"")</f>
        <v/>
      </c>
      <c r="AP656" s="328" t="str">
        <f ca="1">IF(OR(ISBLANK(tabItens[[#This Row],[ATA DT.VALID.]]),tabItens[[#This Row],[ATA DT.VALID.]]="",tabItens[[#This Row],[ATA DT.VALID.]]=" "),"",IF(TYPE(tabItens[[#This Row],[ATA DT.VALID.]])=1,ROUNDUP((tabItens[[#This Row],[ATA DT.VALID.]]-TODAY())/7,0),""))</f>
        <v/>
      </c>
      <c r="AQ656" s="329"/>
      <c r="AR656" s="330" t="str">
        <f>IF(ISBLANK(tabItens[[#This Row],[CÓDIGO]]),"",IFERROR(VLOOKUP(tabItens[[#This Row],[CÓDIGO]],Consumo!$C$2:$AC$862,26,FALSE),0))</f>
        <v>09.2023</v>
      </c>
      <c r="AS656" s="331">
        <f>SUMIF(Consumo!$C$3:$C$862,tabItens[[#This Row],[CÓDIGO]],Consumo!$N$3:$N$862) + SUMIF(Consumo!$C$3:$C$862,tabItens[[#This Row],[CÓDIGO]],Consumo!$O$3:$O$862) + SUMIF(Consumo!$C$3:$C$862,tabItens[[#This Row],[CÓDIGO]],Consumo!$P$3:$P$862) + SUMIF(Consumo!$C$3:$C$862,tabItens[[#This Row],[CÓDIGO]],Consumo!$Q$3:$Q$862)</f>
        <v>1135</v>
      </c>
      <c r="AT656" s="331">
        <f>SUMIF(Consumo!$C$3:$C$862,tabItens[[#This Row],[CÓDIGO]],Consumo!$Z$3:$Z$862)</f>
        <v>12525</v>
      </c>
      <c r="AU656" s="332">
        <f>SUMIF(Consumo!$C$3:$C$862,tabItens[[#This Row],[CÓDIGO]],Consumo!$AA$3:$AA$862)</f>
        <v>9919</v>
      </c>
      <c r="AV656" s="333">
        <f>SUMIF(Consumo!$C$3:$C$862,tabItens[[#This Row],[CÓDIGO]],Consumo!$Y$3:$Y$862)</f>
        <v>752.83333333333337</v>
      </c>
      <c r="AW656" s="306">
        <f>tabItens[[#This Row],[QTDE ATUAL]] + tabItens[[#This Row],[RC QTDE]] + tabItens[[#This Row],[AF SALDO]] + tabItens[[#This Row],[Recentes]]</f>
        <v>4287</v>
      </c>
      <c r="AX656" s="334">
        <v>697</v>
      </c>
      <c r="AY656" s="334">
        <v>4</v>
      </c>
      <c r="AZ656" s="334">
        <f>IF(ISBLANK(tabItens[[#This Row],[CÓDIGO]]),"",tabItens[[#This Row],[PontoMês]] * (AZ$2+tabItens[[#This Row],[PontoQtM]]))</f>
        <v>2788</v>
      </c>
      <c r="BA656" s="333">
        <f>tabItens[[#This Row],[PontoPed]] - tabItens[[#This Row],[Saldo]] + (1/10)</f>
        <v>-1498.9</v>
      </c>
      <c r="BB656" s="333">
        <f xml:space="preserve"> tabItens[[#This Row],[PontoMês]] * BB$2 - tabItens[[#This Row],[QTDE ATUAL]] - (1/10)</f>
        <v>-2590.1</v>
      </c>
      <c r="BC656" s="335">
        <f>IF( tabItens[[#This Row],[PontoPed]]&gt;0, IF(tabItens[[#This Row],[PontoPed]]&lt;1, 1, IF( tabItens[[#This Row],[Saldo]]&gt;tabItens[[#This Row],[PontoPed]], 0, (tabItens[[#This Row],[PontoPed]]-tabItens[[#This Row],[Saldo]])/tabItens[[#This Row],[PontoPed]] ) ), 0 )</f>
        <v>0</v>
      </c>
      <c r="BD656" s="336">
        <f>ROUNDDOWN(IF( OR( AND(tabItens[[#This Row],[PontoPed]]&lt;tabItens[[#This Row],[Saldo]],tabItens[[#This Row],[Saldo]]&gt;0), tabItens[[#This Row],[PontoPed]]=0), 99, IF(AND(tabItens[[#This Row],[Saldo]]=0,tabItens[[#This Row],[PontoPed]]&gt;0), 0, (1-tabItens[[#This Row],[PctAb]])*10 ) ),0)</f>
        <v>99</v>
      </c>
      <c r="BE656" s="337">
        <f>MAX(ROUNDDOWN( IF(tabItens[[#This Row],[Abaixo]] &gt; 0,   tabItens[[#This Row],[Abaixo]] + (tabItens[[#This Row],[PontoMês]] * IF( OR( ISBLANK(tabItens[[#This Row],[ATA Nº/ANO]]), tabItens[[#This Row],[ATA Nº/ANO]] = ""),BE$2,BE$1)),0),0),0)</f>
        <v>0</v>
      </c>
      <c r="BF65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6" s="338">
        <f>SUMIF(Consumo!$C$3:$C$862,tabItens[[#This Row],[CÓDIGO]],Consumo!$E$3:$E$862)</f>
        <v>10</v>
      </c>
      <c r="BH656" s="339">
        <f>IF(AND(tabItens[[#This Row],[Pend]] &gt; 0,tabItens[[#This Row],[Consumo]] &lt;&gt; 0), tabItens[[#This Row],[Pend]] / tabItens[[#This Row],[Consumo]], 0 )</f>
        <v>7.9840319361277441E-4</v>
      </c>
      <c r="BI656" s="338"/>
      <c r="BJ656" s="338"/>
      <c r="BK656" s="340" t="s">
        <v>2086</v>
      </c>
    </row>
    <row r="657" spans="1:63" hidden="1" x14ac:dyDescent="0.3">
      <c r="A657" s="301">
        <v>133788</v>
      </c>
      <c r="B657" s="302" t="s">
        <v>1859</v>
      </c>
      <c r="C657" s="303" t="s">
        <v>31</v>
      </c>
      <c r="D657" s="304">
        <v>1.3</v>
      </c>
      <c r="E657" s="305"/>
      <c r="F657" s="305"/>
      <c r="G657" s="305" t="s">
        <v>889</v>
      </c>
      <c r="H657" s="306">
        <v>385</v>
      </c>
      <c r="I657" s="307">
        <v>103003</v>
      </c>
      <c r="J657" s="308">
        <v>1.3</v>
      </c>
      <c r="K657" s="309">
        <v>1518</v>
      </c>
      <c r="L657" s="310">
        <f>IF(tabItens[[#This Row],[Média]] &gt; 0, tabItens[[#This Row],[QTDE ATUAL]] / tabItens[[#This Row],[Média]],999.9)</f>
        <v>2.8785046728971961</v>
      </c>
      <c r="M657" s="311">
        <v>0</v>
      </c>
      <c r="N657" s="312">
        <f>tabItens[[#This Row],[VALOR UNIT.]] * tabItens[[#This Row],[LC]]</f>
        <v>0</v>
      </c>
      <c r="O657" s="313"/>
      <c r="P657" s="314"/>
      <c r="Q657" s="315"/>
      <c r="R657" s="312"/>
      <c r="S657" s="316"/>
      <c r="T657" s="317">
        <f>ROUNDDOWN(IFERROR(tabItens[[#This Row],[ATA DT.VALID.]] - $D$1,0) / 30,0)</f>
        <v>-1474</v>
      </c>
      <c r="U657" s="302" t="s">
        <v>1829</v>
      </c>
      <c r="V657" s="318">
        <v>1</v>
      </c>
      <c r="W657" s="319" t="s">
        <v>2074</v>
      </c>
      <c r="X657" s="320">
        <v>45</v>
      </c>
      <c r="Y657" s="321">
        <v>16</v>
      </c>
      <c r="Z657" s="322">
        <v>11430</v>
      </c>
      <c r="AA657" s="323">
        <v>2023</v>
      </c>
      <c r="AB657" s="324">
        <v>17710</v>
      </c>
      <c r="AC657" s="324"/>
      <c r="AD657" s="323"/>
      <c r="AE657" s="324"/>
      <c r="AF657" s="317"/>
      <c r="AG657" s="325" t="s">
        <v>2072</v>
      </c>
      <c r="AH657" s="326"/>
      <c r="AI657" s="317">
        <v>3454</v>
      </c>
      <c r="AJ657" s="326" t="s">
        <v>889</v>
      </c>
      <c r="AK657" s="326">
        <v>43038</v>
      </c>
      <c r="AL657" s="326">
        <v>44896</v>
      </c>
      <c r="AM657" s="316"/>
      <c r="AN657" s="305"/>
      <c r="AO657" s="327" t="str">
        <f>_xlfn.IFNA(IF(VLOOKUP(tabItens[[#This Row],[CÓDIGO]],tabExcluirDoEstoque[#Data],1,FALSE),"sim",""),"")</f>
        <v/>
      </c>
      <c r="AP657" s="328" t="str">
        <f ca="1">IF(OR(ISBLANK(tabItens[[#This Row],[ATA DT.VALID.]]),tabItens[[#This Row],[ATA DT.VALID.]]="",tabItens[[#This Row],[ATA DT.VALID.]]=" "),"",IF(TYPE(tabItens[[#This Row],[ATA DT.VALID.]])=1,ROUNDUP((tabItens[[#This Row],[ATA DT.VALID.]]-TODAY())/7,0),""))</f>
        <v/>
      </c>
      <c r="AQ657" s="329"/>
      <c r="AR657" s="330" t="str">
        <f>IF(ISBLANK(tabItens[[#This Row],[CÓDIGO]]),"",IFERROR(VLOOKUP(tabItens[[#This Row],[CÓDIGO]],Consumo!$C$2:$AC$862,26,FALSE),0))</f>
        <v>09.2023</v>
      </c>
      <c r="AS657" s="331">
        <f>SUMIF(Consumo!$C$3:$C$862,tabItens[[#This Row],[CÓDIGO]],Consumo!$N$3:$N$862) + SUMIF(Consumo!$C$3:$C$862,tabItens[[#This Row],[CÓDIGO]],Consumo!$O$3:$O$862) + SUMIF(Consumo!$C$3:$C$862,tabItens[[#This Row],[CÓDIGO]],Consumo!$P$3:$P$862) + SUMIF(Consumo!$C$3:$C$862,tabItens[[#This Row],[CÓDIGO]],Consumo!$Q$3:$Q$862)</f>
        <v>385</v>
      </c>
      <c r="AT657" s="331">
        <f>SUMIF(Consumo!$C$3:$C$862,tabItens[[#This Row],[CÓDIGO]],Consumo!$Z$3:$Z$862)</f>
        <v>1792</v>
      </c>
      <c r="AU657" s="332">
        <f>SUMIF(Consumo!$C$3:$C$862,tabItens[[#This Row],[CÓDIGO]],Consumo!$AA$3:$AA$862)</f>
        <v>718</v>
      </c>
      <c r="AV657" s="333">
        <f>SUMIF(Consumo!$C$3:$C$862,tabItens[[#This Row],[CÓDIGO]],Consumo!$Y$3:$Y$862)</f>
        <v>133.75</v>
      </c>
      <c r="AW657" s="306">
        <f>tabItens[[#This Row],[QTDE ATUAL]] + tabItens[[#This Row],[RC QTDE]] + tabItens[[#This Row],[AF SALDO]] + tabItens[[#This Row],[Recentes]]</f>
        <v>18095</v>
      </c>
      <c r="AX657" s="334">
        <v>113</v>
      </c>
      <c r="AY657" s="334">
        <v>4</v>
      </c>
      <c r="AZ657" s="334">
        <f>IF(ISBLANK(tabItens[[#This Row],[CÓDIGO]]),"",tabItens[[#This Row],[PontoMês]] * (AZ$2+tabItens[[#This Row],[PontoQtM]]))</f>
        <v>452</v>
      </c>
      <c r="BA657" s="333">
        <f>tabItens[[#This Row],[PontoPed]] - tabItens[[#This Row],[Saldo]] + (1/10)</f>
        <v>-17642.900000000001</v>
      </c>
      <c r="BB657" s="333">
        <f xml:space="preserve"> tabItens[[#This Row],[PontoMês]] * BB$2 - tabItens[[#This Row],[QTDE ATUAL]] - (1/10)</f>
        <v>-272.10000000000002</v>
      </c>
      <c r="BC657" s="335">
        <f>IF( tabItens[[#This Row],[PontoPed]]&gt;0, IF(tabItens[[#This Row],[PontoPed]]&lt;1, 1, IF( tabItens[[#This Row],[Saldo]]&gt;tabItens[[#This Row],[PontoPed]], 0, (tabItens[[#This Row],[PontoPed]]-tabItens[[#This Row],[Saldo]])/tabItens[[#This Row],[PontoPed]] ) ), 0 )</f>
        <v>0</v>
      </c>
      <c r="BD657" s="336">
        <f>ROUNDDOWN(IF( OR( AND(tabItens[[#This Row],[PontoPed]]&lt;tabItens[[#This Row],[Saldo]],tabItens[[#This Row],[Saldo]]&gt;0), tabItens[[#This Row],[PontoPed]]=0), 99, IF(AND(tabItens[[#This Row],[Saldo]]=0,tabItens[[#This Row],[PontoPed]]&gt;0), 0, (1-tabItens[[#This Row],[PctAb]])*10 ) ),0)</f>
        <v>99</v>
      </c>
      <c r="BE657" s="337">
        <f>MAX(ROUNDDOWN( IF(tabItens[[#This Row],[Abaixo]] &gt; 0,   tabItens[[#This Row],[Abaixo]] + (tabItens[[#This Row],[PontoMês]] * IF( OR( ISBLANK(tabItens[[#This Row],[ATA Nº/ANO]]), tabItens[[#This Row],[ATA Nº/ANO]] = ""),BE$2,BE$1)),0),0),0)</f>
        <v>0</v>
      </c>
      <c r="BF65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7" s="338">
        <f>SUMIF(Consumo!$C$3:$C$862,tabItens[[#This Row],[CÓDIGO]],Consumo!$E$3:$E$862)</f>
        <v>0</v>
      </c>
      <c r="BH657" s="339">
        <f>IF(AND(tabItens[[#This Row],[Pend]] &gt; 0,tabItens[[#This Row],[Consumo]] &lt;&gt; 0), tabItens[[#This Row],[Pend]] / tabItens[[#This Row],[Consumo]], 0 )</f>
        <v>0</v>
      </c>
      <c r="BI657" s="338"/>
      <c r="BJ657" s="338"/>
      <c r="BK657" s="340" t="s">
        <v>2086</v>
      </c>
    </row>
    <row r="658" spans="1:63" hidden="1" x14ac:dyDescent="0.3">
      <c r="A658" s="301">
        <v>133790</v>
      </c>
      <c r="B658" s="302" t="s">
        <v>1860</v>
      </c>
      <c r="C658" s="303" t="s">
        <v>31</v>
      </c>
      <c r="D658" s="304">
        <v>1.27</v>
      </c>
      <c r="E658" s="305"/>
      <c r="F658" s="305"/>
      <c r="G658" s="305" t="s">
        <v>889</v>
      </c>
      <c r="H658" s="306">
        <v>1493</v>
      </c>
      <c r="I658" s="307">
        <v>103003</v>
      </c>
      <c r="J658" s="308">
        <v>1.27</v>
      </c>
      <c r="K658" s="309">
        <v>935</v>
      </c>
      <c r="L658" s="310">
        <f>IF(tabItens[[#This Row],[Média]] &gt; 0, tabItens[[#This Row],[QTDE ATUAL]] / tabItens[[#This Row],[Média]],999.9)</f>
        <v>14.905158069883527</v>
      </c>
      <c r="M658" s="311">
        <v>0</v>
      </c>
      <c r="N658" s="312">
        <f>tabItens[[#This Row],[VALOR UNIT.]] * tabItens[[#This Row],[LC]]</f>
        <v>0</v>
      </c>
      <c r="O658" s="313"/>
      <c r="P658" s="314"/>
      <c r="Q658" s="315"/>
      <c r="R658" s="312"/>
      <c r="S658" s="316"/>
      <c r="T658" s="317">
        <f>ROUNDDOWN(IFERROR(tabItens[[#This Row],[ATA DT.VALID.]] - $D$1,0) / 30,0)</f>
        <v>-1474</v>
      </c>
      <c r="U658" s="302" t="s">
        <v>1829</v>
      </c>
      <c r="V658" s="318">
        <v>1</v>
      </c>
      <c r="W658" s="319" t="s">
        <v>2074</v>
      </c>
      <c r="X658" s="320">
        <v>45</v>
      </c>
      <c r="Y658" s="321">
        <v>16</v>
      </c>
      <c r="Z658" s="322">
        <v>11430</v>
      </c>
      <c r="AA658" s="323">
        <v>2023</v>
      </c>
      <c r="AB658" s="324">
        <v>16409</v>
      </c>
      <c r="AC658" s="324"/>
      <c r="AD658" s="323"/>
      <c r="AE658" s="324"/>
      <c r="AF658" s="317"/>
      <c r="AG658" s="325" t="s">
        <v>2072</v>
      </c>
      <c r="AH658" s="326"/>
      <c r="AI658" s="317">
        <v>3060</v>
      </c>
      <c r="AJ658" s="326" t="s">
        <v>889</v>
      </c>
      <c r="AK658" s="326">
        <v>43038</v>
      </c>
      <c r="AL658" s="326">
        <v>44896</v>
      </c>
      <c r="AM658" s="316"/>
      <c r="AN658" s="305"/>
      <c r="AO658" s="327" t="str">
        <f>_xlfn.IFNA(IF(VLOOKUP(tabItens[[#This Row],[CÓDIGO]],tabExcluirDoEstoque[#Data],1,FALSE),"sim",""),"")</f>
        <v/>
      </c>
      <c r="AP658" s="328" t="str">
        <f ca="1">IF(OR(ISBLANK(tabItens[[#This Row],[ATA DT.VALID.]]),tabItens[[#This Row],[ATA DT.VALID.]]="",tabItens[[#This Row],[ATA DT.VALID.]]=" "),"",IF(TYPE(tabItens[[#This Row],[ATA DT.VALID.]])=1,ROUNDUP((tabItens[[#This Row],[ATA DT.VALID.]]-TODAY())/7,0),""))</f>
        <v/>
      </c>
      <c r="AQ658" s="329"/>
      <c r="AR658" s="330" t="str">
        <f>IF(ISBLANK(tabItens[[#This Row],[CÓDIGO]]),"",IFERROR(VLOOKUP(tabItens[[#This Row],[CÓDIGO]],Consumo!$C$2:$AC$862,26,FALSE),0))</f>
        <v>09.2023</v>
      </c>
      <c r="AS658" s="331">
        <f>SUMIF(Consumo!$C$3:$C$862,tabItens[[#This Row],[CÓDIGO]],Consumo!$N$3:$N$862) + SUMIF(Consumo!$C$3:$C$862,tabItens[[#This Row],[CÓDIGO]],Consumo!$O$3:$O$862) + SUMIF(Consumo!$C$3:$C$862,tabItens[[#This Row],[CÓDIGO]],Consumo!$P$3:$P$862) + SUMIF(Consumo!$C$3:$C$862,tabItens[[#This Row],[CÓDIGO]],Consumo!$Q$3:$Q$862)</f>
        <v>395</v>
      </c>
      <c r="AT658" s="331">
        <f>SUMIF(Consumo!$C$3:$C$862,tabItens[[#This Row],[CÓDIGO]],Consumo!$Z$3:$Z$862)</f>
        <v>1209</v>
      </c>
      <c r="AU658" s="332">
        <f>SUMIF(Consumo!$C$3:$C$862,tabItens[[#This Row],[CÓDIGO]],Consumo!$AA$3:$AA$862)</f>
        <v>245</v>
      </c>
      <c r="AV658" s="333">
        <f>SUMIF(Consumo!$C$3:$C$862,tabItens[[#This Row],[CÓDIGO]],Consumo!$Y$3:$Y$862)</f>
        <v>100.16666666666667</v>
      </c>
      <c r="AW658" s="306">
        <f>tabItens[[#This Row],[QTDE ATUAL]] + tabItens[[#This Row],[RC QTDE]] + tabItens[[#This Row],[AF SALDO]] + tabItens[[#This Row],[Recentes]]</f>
        <v>17902</v>
      </c>
      <c r="AX658" s="334">
        <v>113</v>
      </c>
      <c r="AY658" s="334">
        <v>4</v>
      </c>
      <c r="AZ658" s="334">
        <f>IF(ISBLANK(tabItens[[#This Row],[CÓDIGO]]),"",tabItens[[#This Row],[PontoMês]] * (AZ$2+tabItens[[#This Row],[PontoQtM]]))</f>
        <v>452</v>
      </c>
      <c r="BA658" s="333">
        <f>tabItens[[#This Row],[PontoPed]] - tabItens[[#This Row],[Saldo]] + (1/10)</f>
        <v>-17449.900000000001</v>
      </c>
      <c r="BB658" s="333">
        <f xml:space="preserve"> tabItens[[#This Row],[PontoMês]] * BB$2 - tabItens[[#This Row],[QTDE ATUAL]] - (1/10)</f>
        <v>-1380.1</v>
      </c>
      <c r="BC658" s="335">
        <f>IF( tabItens[[#This Row],[PontoPed]]&gt;0, IF(tabItens[[#This Row],[PontoPed]]&lt;1, 1, IF( tabItens[[#This Row],[Saldo]]&gt;tabItens[[#This Row],[PontoPed]], 0, (tabItens[[#This Row],[PontoPed]]-tabItens[[#This Row],[Saldo]])/tabItens[[#This Row],[PontoPed]] ) ), 0 )</f>
        <v>0</v>
      </c>
      <c r="BD658" s="336">
        <f>ROUNDDOWN(IF( OR( AND(tabItens[[#This Row],[PontoPed]]&lt;tabItens[[#This Row],[Saldo]],tabItens[[#This Row],[Saldo]]&gt;0), tabItens[[#This Row],[PontoPed]]=0), 99, IF(AND(tabItens[[#This Row],[Saldo]]=0,tabItens[[#This Row],[PontoPed]]&gt;0), 0, (1-tabItens[[#This Row],[PctAb]])*10 ) ),0)</f>
        <v>99</v>
      </c>
      <c r="BE658" s="337">
        <f>MAX(ROUNDDOWN( IF(tabItens[[#This Row],[Abaixo]] &gt; 0,   tabItens[[#This Row],[Abaixo]] + (tabItens[[#This Row],[PontoMês]] * IF( OR( ISBLANK(tabItens[[#This Row],[ATA Nº/ANO]]), tabItens[[#This Row],[ATA Nº/ANO]] = ""),BE$2,BE$1)),0),0),0)</f>
        <v>0</v>
      </c>
      <c r="BF65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8" s="338">
        <f>SUMIF(Consumo!$C$3:$C$862,tabItens[[#This Row],[CÓDIGO]],Consumo!$E$3:$E$862)</f>
        <v>0</v>
      </c>
      <c r="BH658" s="339">
        <f>IF(AND(tabItens[[#This Row],[Pend]] &gt; 0,tabItens[[#This Row],[Consumo]] &lt;&gt; 0), tabItens[[#This Row],[Pend]] / tabItens[[#This Row],[Consumo]], 0 )</f>
        <v>0</v>
      </c>
      <c r="BI658" s="338"/>
      <c r="BJ658" s="338"/>
      <c r="BK658" s="340" t="s">
        <v>2086</v>
      </c>
    </row>
    <row r="659" spans="1:63" hidden="1" x14ac:dyDescent="0.3">
      <c r="A659" s="301">
        <v>133791</v>
      </c>
      <c r="B659" s="302" t="s">
        <v>1861</v>
      </c>
      <c r="C659" s="303" t="s">
        <v>31</v>
      </c>
      <c r="D659" s="304">
        <v>1.95</v>
      </c>
      <c r="E659" s="305"/>
      <c r="F659" s="305"/>
      <c r="G659" s="305" t="s">
        <v>889</v>
      </c>
      <c r="H659" s="306">
        <v>1529</v>
      </c>
      <c r="I659" s="307">
        <v>103003</v>
      </c>
      <c r="J659" s="308">
        <v>1.95</v>
      </c>
      <c r="K659" s="309">
        <v>550</v>
      </c>
      <c r="L659" s="310">
        <f>IF(tabItens[[#This Row],[Média]] &gt; 0, tabItens[[#This Row],[QTDE ATUAL]] / tabItens[[#This Row],[Média]],999.9)</f>
        <v>25.412742382271468</v>
      </c>
      <c r="M659" s="311">
        <v>0</v>
      </c>
      <c r="N659" s="312">
        <f>tabItens[[#This Row],[VALOR UNIT.]] * tabItens[[#This Row],[LC]]</f>
        <v>0</v>
      </c>
      <c r="O659" s="313"/>
      <c r="P659" s="314"/>
      <c r="Q659" s="315"/>
      <c r="R659" s="312"/>
      <c r="S659" s="316"/>
      <c r="T659" s="317">
        <f>ROUNDDOWN(IFERROR(tabItens[[#This Row],[ATA DT.VALID.]] - $D$1,0) / 30,0)</f>
        <v>-1474</v>
      </c>
      <c r="U659" s="302" t="s">
        <v>1829</v>
      </c>
      <c r="V659" s="318">
        <v>1</v>
      </c>
      <c r="W659" s="319" t="s">
        <v>2074</v>
      </c>
      <c r="X659" s="320">
        <v>45</v>
      </c>
      <c r="Y659" s="321">
        <v>16</v>
      </c>
      <c r="Z659" s="322">
        <v>11430</v>
      </c>
      <c r="AA659" s="323">
        <v>2023</v>
      </c>
      <c r="AB659" s="324">
        <v>22886</v>
      </c>
      <c r="AC659" s="324"/>
      <c r="AD659" s="323"/>
      <c r="AE659" s="324"/>
      <c r="AF659" s="317"/>
      <c r="AG659" s="325" t="s">
        <v>2072</v>
      </c>
      <c r="AH659" s="326"/>
      <c r="AI659" s="317">
        <v>3552</v>
      </c>
      <c r="AJ659" s="326" t="s">
        <v>889</v>
      </c>
      <c r="AK659" s="326">
        <v>43038</v>
      </c>
      <c r="AL659" s="326">
        <v>44938</v>
      </c>
      <c r="AM659" s="316"/>
      <c r="AN659" s="305"/>
      <c r="AO659" s="327" t="str">
        <f>_xlfn.IFNA(IF(VLOOKUP(tabItens[[#This Row],[CÓDIGO]],tabExcluirDoEstoque[#Data],1,FALSE),"sim",""),"")</f>
        <v/>
      </c>
      <c r="AP659" s="328" t="str">
        <f ca="1">IF(OR(ISBLANK(tabItens[[#This Row],[ATA DT.VALID.]]),tabItens[[#This Row],[ATA DT.VALID.]]="",tabItens[[#This Row],[ATA DT.VALID.]]=" "),"",IF(TYPE(tabItens[[#This Row],[ATA DT.VALID.]])=1,ROUNDUP((tabItens[[#This Row],[ATA DT.VALID.]]-TODAY())/7,0),""))</f>
        <v/>
      </c>
      <c r="AQ659" s="329"/>
      <c r="AR659" s="330" t="str">
        <f>IF(ISBLANK(tabItens[[#This Row],[CÓDIGO]]),"",IFERROR(VLOOKUP(tabItens[[#This Row],[CÓDIGO]],Consumo!$C$2:$AC$862,26,FALSE),0))</f>
        <v>09.2023</v>
      </c>
      <c r="AS659" s="331">
        <f>SUMIF(Consumo!$C$3:$C$862,tabItens[[#This Row],[CÓDIGO]],Consumo!$N$3:$N$862) + SUMIF(Consumo!$C$3:$C$862,tabItens[[#This Row],[CÓDIGO]],Consumo!$O$3:$O$862) + SUMIF(Consumo!$C$3:$C$862,tabItens[[#This Row],[CÓDIGO]],Consumo!$P$3:$P$862) + SUMIF(Consumo!$C$3:$C$862,tabItens[[#This Row],[CÓDIGO]],Consumo!$Q$3:$Q$862)</f>
        <v>204</v>
      </c>
      <c r="AT659" s="331">
        <f>SUMIF(Consumo!$C$3:$C$862,tabItens[[#This Row],[CÓDIGO]],Consumo!$Z$3:$Z$862)</f>
        <v>733</v>
      </c>
      <c r="AU659" s="332">
        <f>SUMIF(Consumo!$C$3:$C$862,tabItens[[#This Row],[CÓDIGO]],Consumo!$AA$3:$AA$862)</f>
        <v>162</v>
      </c>
      <c r="AV659" s="333">
        <f>SUMIF(Consumo!$C$3:$C$862,tabItens[[#This Row],[CÓDIGO]],Consumo!$Y$3:$Y$862)</f>
        <v>60.166666666666664</v>
      </c>
      <c r="AW659" s="306">
        <f>tabItens[[#This Row],[QTDE ATUAL]] + tabItens[[#This Row],[RC QTDE]] + tabItens[[#This Row],[AF SALDO]] + tabItens[[#This Row],[Recentes]]</f>
        <v>24415</v>
      </c>
      <c r="AX659" s="334">
        <v>102</v>
      </c>
      <c r="AY659" s="334">
        <v>4</v>
      </c>
      <c r="AZ659" s="334">
        <f>IF(ISBLANK(tabItens[[#This Row],[CÓDIGO]]),"",tabItens[[#This Row],[PontoMês]] * (AZ$2+tabItens[[#This Row],[PontoQtM]]))</f>
        <v>408</v>
      </c>
      <c r="BA659" s="333">
        <f>tabItens[[#This Row],[PontoPed]] - tabItens[[#This Row],[Saldo]] + (1/10)</f>
        <v>-24006.9</v>
      </c>
      <c r="BB659" s="333">
        <f xml:space="preserve"> tabItens[[#This Row],[PontoMês]] * BB$2 - tabItens[[#This Row],[QTDE ATUAL]] - (1/10)</f>
        <v>-1427.1</v>
      </c>
      <c r="BC659" s="335">
        <f>IF( tabItens[[#This Row],[PontoPed]]&gt;0, IF(tabItens[[#This Row],[PontoPed]]&lt;1, 1, IF( tabItens[[#This Row],[Saldo]]&gt;tabItens[[#This Row],[PontoPed]], 0, (tabItens[[#This Row],[PontoPed]]-tabItens[[#This Row],[Saldo]])/tabItens[[#This Row],[PontoPed]] ) ), 0 )</f>
        <v>0</v>
      </c>
      <c r="BD659" s="336">
        <f>ROUNDDOWN(IF( OR( AND(tabItens[[#This Row],[PontoPed]]&lt;tabItens[[#This Row],[Saldo]],tabItens[[#This Row],[Saldo]]&gt;0), tabItens[[#This Row],[PontoPed]]=0), 99, IF(AND(tabItens[[#This Row],[Saldo]]=0,tabItens[[#This Row],[PontoPed]]&gt;0), 0, (1-tabItens[[#This Row],[PctAb]])*10 ) ),0)</f>
        <v>99</v>
      </c>
      <c r="BE659" s="337">
        <f>MAX(ROUNDDOWN( IF(tabItens[[#This Row],[Abaixo]] &gt; 0,   tabItens[[#This Row],[Abaixo]] + (tabItens[[#This Row],[PontoMês]] * IF( OR( ISBLANK(tabItens[[#This Row],[ATA Nº/ANO]]), tabItens[[#This Row],[ATA Nº/ANO]] = ""),BE$2,BE$1)),0),0),0)</f>
        <v>0</v>
      </c>
      <c r="BF65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9" s="338">
        <f>SUMIF(Consumo!$C$3:$C$862,tabItens[[#This Row],[CÓDIGO]],Consumo!$E$3:$E$862)</f>
        <v>0</v>
      </c>
      <c r="BH659" s="339">
        <f>IF(AND(tabItens[[#This Row],[Pend]] &gt; 0,tabItens[[#This Row],[Consumo]] &lt;&gt; 0), tabItens[[#This Row],[Pend]] / tabItens[[#This Row],[Consumo]], 0 )</f>
        <v>0</v>
      </c>
      <c r="BI659" s="338"/>
      <c r="BJ659" s="338"/>
      <c r="BK659" s="340" t="s">
        <v>2086</v>
      </c>
    </row>
    <row r="660" spans="1:63" hidden="1" x14ac:dyDescent="0.3">
      <c r="A660" s="301">
        <v>138462</v>
      </c>
      <c r="B660" s="302" t="s">
        <v>1974</v>
      </c>
      <c r="C660" s="303" t="s">
        <v>1973</v>
      </c>
      <c r="D660" s="304">
        <v>2.95</v>
      </c>
      <c r="E660" s="305"/>
      <c r="F660" s="305"/>
      <c r="G660" s="305" t="s">
        <v>889</v>
      </c>
      <c r="H660" s="306">
        <v>7640</v>
      </c>
      <c r="I660" s="307">
        <v>103003</v>
      </c>
      <c r="J660" s="308">
        <v>2.95</v>
      </c>
      <c r="K660" s="309">
        <v>8479</v>
      </c>
      <c r="L660" s="310">
        <f>IF(tabItens[[#This Row],[Média]] &gt; 0, tabItens[[#This Row],[QTDE ATUAL]] / tabItens[[#This Row],[Média]],999.9)</f>
        <v>10.936418943099129</v>
      </c>
      <c r="M660" s="311">
        <v>0</v>
      </c>
      <c r="N660" s="312">
        <f>tabItens[[#This Row],[VALOR UNIT.]] * tabItens[[#This Row],[LC]]</f>
        <v>0</v>
      </c>
      <c r="O660" s="313"/>
      <c r="P660" s="314"/>
      <c r="Q660" s="315"/>
      <c r="R660" s="312"/>
      <c r="S660" s="316"/>
      <c r="T660" s="317">
        <f>ROUNDDOWN(IFERROR(tabItens[[#This Row],[ATA DT.VALID.]] - $D$1,0) / 30,0)</f>
        <v>-1474</v>
      </c>
      <c r="U660" s="302" t="s">
        <v>1829</v>
      </c>
      <c r="V660" s="318">
        <v>1</v>
      </c>
      <c r="W660" s="319" t="s">
        <v>2074</v>
      </c>
      <c r="X660" s="320">
        <v>45</v>
      </c>
      <c r="Y660" s="321">
        <v>16</v>
      </c>
      <c r="Z660" s="322"/>
      <c r="AA660" s="323"/>
      <c r="AB660" s="324"/>
      <c r="AC660" s="324"/>
      <c r="AD660" s="323"/>
      <c r="AE660" s="324"/>
      <c r="AF660" s="317"/>
      <c r="AG660" s="325" t="s">
        <v>2072</v>
      </c>
      <c r="AH660" s="326"/>
      <c r="AI660" s="317">
        <v>3376</v>
      </c>
      <c r="AJ660" s="326">
        <v>44991</v>
      </c>
      <c r="AK660" s="326">
        <v>43720</v>
      </c>
      <c r="AL660" s="326">
        <v>44910</v>
      </c>
      <c r="AM660" s="316"/>
      <c r="AN660" s="305"/>
      <c r="AO660" s="327" t="str">
        <f>_xlfn.IFNA(IF(VLOOKUP(tabItens[[#This Row],[CÓDIGO]],tabExcluirDoEstoque[#Data],1,FALSE),"sim",""),"")</f>
        <v/>
      </c>
      <c r="AP660" s="328" t="str">
        <f ca="1">IF(OR(ISBLANK(tabItens[[#This Row],[ATA DT.VALID.]]),tabItens[[#This Row],[ATA DT.VALID.]]="",tabItens[[#This Row],[ATA DT.VALID.]]=" "),"",IF(TYPE(tabItens[[#This Row],[ATA DT.VALID.]])=1,ROUNDUP((tabItens[[#This Row],[ATA DT.VALID.]]-TODAY())/7,0),""))</f>
        <v/>
      </c>
      <c r="AQ660" s="329"/>
      <c r="AR660" s="330" t="str">
        <f>IF(ISBLANK(tabItens[[#This Row],[CÓDIGO]]),"",IFERROR(VLOOKUP(tabItens[[#This Row],[CÓDIGO]],Consumo!$C$2:$AC$862,26,FALSE),0))</f>
        <v>09.2023</v>
      </c>
      <c r="AS660" s="331">
        <f>SUMIF(Consumo!$C$3:$C$862,tabItens[[#This Row],[CÓDIGO]],Consumo!$N$3:$N$862) + SUMIF(Consumo!$C$3:$C$862,tabItens[[#This Row],[CÓDIGO]],Consumo!$O$3:$O$862) + SUMIF(Consumo!$C$3:$C$862,tabItens[[#This Row],[CÓDIGO]],Consumo!$P$3:$P$862) + SUMIF(Consumo!$C$3:$C$862,tabItens[[#This Row],[CÓDIGO]],Consumo!$Q$3:$Q$862)</f>
        <v>1896</v>
      </c>
      <c r="AT660" s="331">
        <f>SUMIF(Consumo!$C$3:$C$862,tabItens[[#This Row],[CÓDIGO]],Consumo!$Z$3:$Z$862)</f>
        <v>10257</v>
      </c>
      <c r="AU660" s="332">
        <f>SUMIF(Consumo!$C$3:$C$862,tabItens[[#This Row],[CÓDIGO]],Consumo!$AA$3:$AA$862)</f>
        <v>5715</v>
      </c>
      <c r="AV660" s="333">
        <f>SUMIF(Consumo!$C$3:$C$862,tabItens[[#This Row],[CÓDIGO]],Consumo!$Y$3:$Y$862)</f>
        <v>698.58333333333337</v>
      </c>
      <c r="AW660" s="306">
        <f>tabItens[[#This Row],[QTDE ATUAL]] + tabItens[[#This Row],[RC QTDE]] + tabItens[[#This Row],[AF SALDO]] + tabItens[[#This Row],[Recentes]]</f>
        <v>7640</v>
      </c>
      <c r="AX660" s="334">
        <v>1946</v>
      </c>
      <c r="AY660" s="334">
        <v>4</v>
      </c>
      <c r="AZ660" s="334">
        <f>IF(ISBLANK(tabItens[[#This Row],[CÓDIGO]]),"",tabItens[[#This Row],[PontoMês]] * (AZ$2+tabItens[[#This Row],[PontoQtM]]))</f>
        <v>7784</v>
      </c>
      <c r="BA660" s="333">
        <f>tabItens[[#This Row],[PontoPed]] - tabItens[[#This Row],[Saldo]] + (1/10)</f>
        <v>144.1</v>
      </c>
      <c r="BB660" s="333">
        <f xml:space="preserve"> tabItens[[#This Row],[PontoMês]] * BB$2 - tabItens[[#This Row],[QTDE ATUAL]] - (1/10)</f>
        <v>-5694.1</v>
      </c>
      <c r="BC660" s="335">
        <f>IF( tabItens[[#This Row],[PontoPed]]&gt;0, IF(tabItens[[#This Row],[PontoPed]]&lt;1, 1, IF( tabItens[[#This Row],[Saldo]]&gt;tabItens[[#This Row],[PontoPed]], 0, (tabItens[[#This Row],[PontoPed]]-tabItens[[#This Row],[Saldo]])/tabItens[[#This Row],[PontoPed]] ) ), 0 )</f>
        <v>1.8499486125385406E-2</v>
      </c>
      <c r="BD660" s="336">
        <f>ROUNDDOWN(IF( OR( AND(tabItens[[#This Row],[PontoPed]]&lt;tabItens[[#This Row],[Saldo]],tabItens[[#This Row],[Saldo]]&gt;0), tabItens[[#This Row],[PontoPed]]=0), 99, IF(AND(tabItens[[#This Row],[Saldo]]=0,tabItens[[#This Row],[PontoPed]]&gt;0), 0, (1-tabItens[[#This Row],[PctAb]])*10 ) ),0)</f>
        <v>9</v>
      </c>
      <c r="BE660" s="337">
        <f>MAX(ROUNDDOWN( IF(tabItens[[#This Row],[Abaixo]] &gt; 0,   tabItens[[#This Row],[Abaixo]] + (tabItens[[#This Row],[PontoMês]] * IF( OR( ISBLANK(tabItens[[#This Row],[ATA Nº/ANO]]), tabItens[[#This Row],[ATA Nº/ANO]] = ""),BE$2,BE$1)),0),0),0)</f>
        <v>11820</v>
      </c>
      <c r="BF66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11820</v>
      </c>
      <c r="BG660" s="338">
        <f>SUMIF(Consumo!$C$3:$C$862,tabItens[[#This Row],[CÓDIGO]],Consumo!$E$3:$E$862)</f>
        <v>130</v>
      </c>
      <c r="BH660" s="339">
        <f>IF(AND(tabItens[[#This Row],[Pend]] &gt; 0,tabItens[[#This Row],[Consumo]] &lt;&gt; 0), tabItens[[#This Row],[Pend]] / tabItens[[#This Row],[Consumo]], 0 )</f>
        <v>1.2674271229404309E-2</v>
      </c>
      <c r="BI660" s="338"/>
      <c r="BJ660" s="338"/>
      <c r="BK660" s="340" t="s">
        <v>2086</v>
      </c>
    </row>
    <row r="661" spans="1:63" hidden="1" x14ac:dyDescent="0.3">
      <c r="A661" s="301">
        <v>140933</v>
      </c>
      <c r="B661" s="302" t="s">
        <v>2030</v>
      </c>
      <c r="C661" s="303" t="s">
        <v>263</v>
      </c>
      <c r="D661" s="304">
        <v>4.08</v>
      </c>
      <c r="E661" s="305"/>
      <c r="F661" s="305"/>
      <c r="G661" s="305" t="s">
        <v>889</v>
      </c>
      <c r="H661" s="306">
        <v>567</v>
      </c>
      <c r="I661" s="307">
        <v>103003</v>
      </c>
      <c r="J661" s="308">
        <v>4.08</v>
      </c>
      <c r="K661" s="309">
        <v>312</v>
      </c>
      <c r="L661" s="310">
        <f>IF(tabItens[[#This Row],[Média]] &gt; 0, tabItens[[#This Row],[QTDE ATUAL]] / tabItens[[#This Row],[Média]],999.9)</f>
        <v>24.923076923076923</v>
      </c>
      <c r="M661" s="311">
        <v>0</v>
      </c>
      <c r="N661" s="312">
        <f>tabItens[[#This Row],[VALOR UNIT.]] * tabItens[[#This Row],[LC]]</f>
        <v>0</v>
      </c>
      <c r="O661" s="313"/>
      <c r="P661" s="314"/>
      <c r="Q661" s="315"/>
      <c r="R661" s="312"/>
      <c r="S661" s="316"/>
      <c r="T661" s="317">
        <f>ROUNDDOWN(IFERROR(tabItens[[#This Row],[ATA DT.VALID.]] - $D$1,0) / 30,0)</f>
        <v>-1474</v>
      </c>
      <c r="U661" s="302" t="s">
        <v>1829</v>
      </c>
      <c r="V661" s="318">
        <v>1</v>
      </c>
      <c r="W661" s="319" t="s">
        <v>2074</v>
      </c>
      <c r="X661" s="320">
        <v>45</v>
      </c>
      <c r="Y661" s="321">
        <v>16</v>
      </c>
      <c r="Z661" s="322"/>
      <c r="AA661" s="323"/>
      <c r="AB661" s="324"/>
      <c r="AC661" s="324"/>
      <c r="AD661" s="323"/>
      <c r="AE661" s="324"/>
      <c r="AF661" s="317"/>
      <c r="AG661" s="325" t="s">
        <v>2072</v>
      </c>
      <c r="AH661" s="326"/>
      <c r="AI661" s="317">
        <v>104</v>
      </c>
      <c r="AJ661" s="326">
        <v>45014</v>
      </c>
      <c r="AK661" s="326">
        <v>44294</v>
      </c>
      <c r="AL661" s="326">
        <v>45140</v>
      </c>
      <c r="AM661" s="316"/>
      <c r="AN661" s="305"/>
      <c r="AO661" s="327" t="str">
        <f>_xlfn.IFNA(IF(VLOOKUP(tabItens[[#This Row],[CÓDIGO]],tabExcluirDoEstoque[#Data],1,FALSE),"sim",""),"")</f>
        <v/>
      </c>
      <c r="AP661" s="328" t="str">
        <f ca="1">IF(OR(ISBLANK(tabItens[[#This Row],[ATA DT.VALID.]]),tabItens[[#This Row],[ATA DT.VALID.]]="",tabItens[[#This Row],[ATA DT.VALID.]]=" "),"",IF(TYPE(tabItens[[#This Row],[ATA DT.VALID.]])=1,ROUNDUP((tabItens[[#This Row],[ATA DT.VALID.]]-TODAY())/7,0),""))</f>
        <v/>
      </c>
      <c r="AQ661" s="329"/>
      <c r="AR661" s="330" t="str">
        <f>IF(ISBLANK(tabItens[[#This Row],[CÓDIGO]]),"",IFERROR(VLOOKUP(tabItens[[#This Row],[CÓDIGO]],Consumo!$C$2:$AC$862,26,FALSE),0))</f>
        <v>09.2023</v>
      </c>
      <c r="AS661" s="331">
        <f>SUMIF(Consumo!$C$3:$C$862,tabItens[[#This Row],[CÓDIGO]],Consumo!$N$3:$N$862) + SUMIF(Consumo!$C$3:$C$862,tabItens[[#This Row],[CÓDIGO]],Consumo!$O$3:$O$862) + SUMIF(Consumo!$C$3:$C$862,tabItens[[#This Row],[CÓDIGO]],Consumo!$P$3:$P$862) + SUMIF(Consumo!$C$3:$C$862,tabItens[[#This Row],[CÓDIGO]],Consumo!$Q$3:$Q$862)</f>
        <v>275</v>
      </c>
      <c r="AT661" s="331">
        <f>SUMIF(Consumo!$C$3:$C$862,tabItens[[#This Row],[CÓDIGO]],Consumo!$Z$3:$Z$862)</f>
        <v>312</v>
      </c>
      <c r="AU661" s="332">
        <f>SUMIF(Consumo!$C$3:$C$862,tabItens[[#This Row],[CÓDIGO]],Consumo!$AA$3:$AA$862)</f>
        <v>164</v>
      </c>
      <c r="AV661" s="333">
        <f>SUMIF(Consumo!$C$3:$C$862,tabItens[[#This Row],[CÓDIGO]],Consumo!$Y$3:$Y$862)</f>
        <v>22.75</v>
      </c>
      <c r="AW661" s="306">
        <f>tabItens[[#This Row],[QTDE ATUAL]] + tabItens[[#This Row],[RC QTDE]] + tabItens[[#This Row],[AF SALDO]] + tabItens[[#This Row],[Recentes]]</f>
        <v>567</v>
      </c>
      <c r="AX661" s="334">
        <v>0</v>
      </c>
      <c r="AY661" s="334">
        <v>0</v>
      </c>
      <c r="AZ661" s="334">
        <f>IF(ISBLANK(tabItens[[#This Row],[CÓDIGO]]),"",tabItens[[#This Row],[PontoMês]] * (AZ$2+tabItens[[#This Row],[PontoQtM]]))</f>
        <v>0</v>
      </c>
      <c r="BA661" s="333">
        <f>tabItens[[#This Row],[PontoPed]] - tabItens[[#This Row],[Saldo]] + (1/10)</f>
        <v>-566.9</v>
      </c>
      <c r="BB661" s="333">
        <f xml:space="preserve"> tabItens[[#This Row],[PontoMês]] * BB$2 - tabItens[[#This Row],[QTDE ATUAL]] - (1/10)</f>
        <v>-567.1</v>
      </c>
      <c r="BC661" s="335">
        <f>IF( tabItens[[#This Row],[PontoPed]]&gt;0, IF(tabItens[[#This Row],[PontoPed]]&lt;1, 1, IF( tabItens[[#This Row],[Saldo]]&gt;tabItens[[#This Row],[PontoPed]], 0, (tabItens[[#This Row],[PontoPed]]-tabItens[[#This Row],[Saldo]])/tabItens[[#This Row],[PontoPed]] ) ), 0 )</f>
        <v>0</v>
      </c>
      <c r="BD661" s="336">
        <f>ROUNDDOWN(IF( OR( AND(tabItens[[#This Row],[PontoPed]]&lt;tabItens[[#This Row],[Saldo]],tabItens[[#This Row],[Saldo]]&gt;0), tabItens[[#This Row],[PontoPed]]=0), 99, IF(AND(tabItens[[#This Row],[Saldo]]=0,tabItens[[#This Row],[PontoPed]]&gt;0), 0, (1-tabItens[[#This Row],[PctAb]])*10 ) ),0)</f>
        <v>99</v>
      </c>
      <c r="BE661" s="337">
        <f>MAX(ROUNDDOWN( IF(tabItens[[#This Row],[Abaixo]] &gt; 0,   tabItens[[#This Row],[Abaixo]] + (tabItens[[#This Row],[PontoMês]] * IF( OR( ISBLANK(tabItens[[#This Row],[ATA Nº/ANO]]), tabItens[[#This Row],[ATA Nº/ANO]] = ""),BE$2,BE$1)),0),0),0)</f>
        <v>0</v>
      </c>
      <c r="BF66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1" s="338">
        <f>SUMIF(Consumo!$C$3:$C$862,tabItens[[#This Row],[CÓDIGO]],Consumo!$E$3:$E$862)</f>
        <v>0</v>
      </c>
      <c r="BH661" s="339">
        <f>IF(AND(tabItens[[#This Row],[Pend]] &gt; 0,tabItens[[#This Row],[Consumo]] &lt;&gt; 0), tabItens[[#This Row],[Pend]] / tabItens[[#This Row],[Consumo]], 0 )</f>
        <v>0</v>
      </c>
      <c r="BI661" s="338"/>
      <c r="BJ661" s="338"/>
      <c r="BK661" s="340" t="s">
        <v>2086</v>
      </c>
    </row>
    <row r="662" spans="1:63" hidden="1" x14ac:dyDescent="0.3">
      <c r="A662" s="301">
        <v>13539</v>
      </c>
      <c r="B662" s="302" t="s">
        <v>1036</v>
      </c>
      <c r="C662" s="303" t="s">
        <v>263</v>
      </c>
      <c r="D662" s="304">
        <v>5.12</v>
      </c>
      <c r="E662" s="305"/>
      <c r="F662" s="305"/>
      <c r="G662" s="305" t="s">
        <v>889</v>
      </c>
      <c r="H662" s="306">
        <v>0</v>
      </c>
      <c r="I662" s="307">
        <v>103003</v>
      </c>
      <c r="J662" s="308">
        <v>5.12</v>
      </c>
      <c r="K662" s="309">
        <v>2858</v>
      </c>
      <c r="L662" s="310">
        <f>IF(tabItens[[#This Row],[Média]] &gt; 0, tabItens[[#This Row],[QTDE ATUAL]] / tabItens[[#This Row],[Média]],999.9)</f>
        <v>0</v>
      </c>
      <c r="M662" s="311">
        <v>0</v>
      </c>
      <c r="N662" s="312">
        <f>tabItens[[#This Row],[VALOR UNIT.]] * tabItens[[#This Row],[LC]]</f>
        <v>0</v>
      </c>
      <c r="O662" s="313"/>
      <c r="P662" s="314"/>
      <c r="Q662" s="315"/>
      <c r="R662" s="312"/>
      <c r="S662" s="316"/>
      <c r="T662" s="317">
        <f>ROUNDDOWN(IFERROR(tabItens[[#This Row],[ATA DT.VALID.]] - $D$1,0) / 30,0)</f>
        <v>-1474</v>
      </c>
      <c r="U662" s="302" t="s">
        <v>1037</v>
      </c>
      <c r="V662" s="318">
        <v>1</v>
      </c>
      <c r="W662" s="319" t="s">
        <v>2074</v>
      </c>
      <c r="X662" s="320">
        <v>45</v>
      </c>
      <c r="Y662" s="321">
        <v>17</v>
      </c>
      <c r="Z662" s="322">
        <v>6978</v>
      </c>
      <c r="AA662" s="323">
        <v>2023</v>
      </c>
      <c r="AB662" s="324">
        <v>400</v>
      </c>
      <c r="AC662" s="324"/>
      <c r="AD662" s="323"/>
      <c r="AE662" s="324"/>
      <c r="AF662" s="317"/>
      <c r="AG662" s="325" t="s">
        <v>2072</v>
      </c>
      <c r="AH662" s="326"/>
      <c r="AI662" s="317">
        <v>1512</v>
      </c>
      <c r="AJ662" s="326">
        <v>44966</v>
      </c>
      <c r="AK662" s="326" t="s">
        <v>889</v>
      </c>
      <c r="AL662" s="326">
        <v>45114</v>
      </c>
      <c r="AM662" s="316"/>
      <c r="AN662" s="305"/>
      <c r="AO662" s="327" t="str">
        <f>_xlfn.IFNA(IF(VLOOKUP(tabItens[[#This Row],[CÓDIGO]],tabExcluirDoEstoque[#Data],1,FALSE),"sim",""),"")</f>
        <v/>
      </c>
      <c r="AP662" s="328" t="str">
        <f ca="1">IF(OR(ISBLANK(tabItens[[#This Row],[ATA DT.VALID.]]),tabItens[[#This Row],[ATA DT.VALID.]]="",tabItens[[#This Row],[ATA DT.VALID.]]=" "),"",IF(TYPE(tabItens[[#This Row],[ATA DT.VALID.]])=1,ROUNDUP((tabItens[[#This Row],[ATA DT.VALID.]]-TODAY())/7,0),""))</f>
        <v/>
      </c>
      <c r="AQ662" s="329"/>
      <c r="AR662" s="330" t="str">
        <f>IF(ISBLANK(tabItens[[#This Row],[CÓDIGO]]),"",IFERROR(VLOOKUP(tabItens[[#This Row],[CÓDIGO]],Consumo!$C$2:$AC$862,26,FALSE),0))</f>
        <v>09.2023</v>
      </c>
      <c r="AS662" s="331">
        <f>SUMIF(Consumo!$C$3:$C$862,tabItens[[#This Row],[CÓDIGO]],Consumo!$N$3:$N$862) + SUMIF(Consumo!$C$3:$C$862,tabItens[[#This Row],[CÓDIGO]],Consumo!$O$3:$O$862) + SUMIF(Consumo!$C$3:$C$862,tabItens[[#This Row],[CÓDIGO]],Consumo!$P$3:$P$862) + SUMIF(Consumo!$C$3:$C$862,tabItens[[#This Row],[CÓDIGO]],Consumo!$Q$3:$Q$862)</f>
        <v>1715</v>
      </c>
      <c r="AT662" s="331">
        <f>SUMIF(Consumo!$C$3:$C$862,tabItens[[#This Row],[CÓDIGO]],Consumo!$Z$3:$Z$862)</f>
        <v>4578</v>
      </c>
      <c r="AU662" s="332">
        <f>SUMIF(Consumo!$C$3:$C$862,tabItens[[#This Row],[CÓDIGO]],Consumo!$AA$3:$AA$862)</f>
        <v>661</v>
      </c>
      <c r="AV662" s="333">
        <f>SUMIF(Consumo!$C$3:$C$862,tabItens[[#This Row],[CÓDIGO]],Consumo!$Y$3:$Y$862)</f>
        <v>381.5</v>
      </c>
      <c r="AW662" s="306">
        <f>tabItens[[#This Row],[QTDE ATUAL]] + tabItens[[#This Row],[RC QTDE]] + tabItens[[#This Row],[AF SALDO]] + tabItens[[#This Row],[Recentes]]</f>
        <v>400</v>
      </c>
      <c r="AX662" s="334">
        <v>257</v>
      </c>
      <c r="AY662" s="334">
        <v>4</v>
      </c>
      <c r="AZ662" s="334">
        <f>IF(ISBLANK(tabItens[[#This Row],[CÓDIGO]]),"",tabItens[[#This Row],[PontoMês]] * (AZ$2+tabItens[[#This Row],[PontoQtM]]))</f>
        <v>1028</v>
      </c>
      <c r="BA662" s="333">
        <f>tabItens[[#This Row],[PontoPed]] - tabItens[[#This Row],[Saldo]] + (1/10)</f>
        <v>628.1</v>
      </c>
      <c r="BB662" s="333">
        <f xml:space="preserve"> tabItens[[#This Row],[PontoMês]] * BB$2 - tabItens[[#This Row],[QTDE ATUAL]] - (1/10)</f>
        <v>256.89999999999998</v>
      </c>
      <c r="BC662" s="335">
        <f>IF( tabItens[[#This Row],[PontoPed]]&gt;0, IF(tabItens[[#This Row],[PontoPed]]&lt;1, 1, IF( tabItens[[#This Row],[Saldo]]&gt;tabItens[[#This Row],[PontoPed]], 0, (tabItens[[#This Row],[PontoPed]]-tabItens[[#This Row],[Saldo]])/tabItens[[#This Row],[PontoPed]] ) ), 0 )</f>
        <v>0.6108949416342413</v>
      </c>
      <c r="BD662" s="336">
        <f>ROUNDDOWN(IF( OR( AND(tabItens[[#This Row],[PontoPed]]&lt;tabItens[[#This Row],[Saldo]],tabItens[[#This Row],[Saldo]]&gt;0), tabItens[[#This Row],[PontoPed]]=0), 99, IF(AND(tabItens[[#This Row],[Saldo]]=0,tabItens[[#This Row],[PontoPed]]&gt;0), 0, (1-tabItens[[#This Row],[PctAb]])*10 ) ),0)</f>
        <v>3</v>
      </c>
      <c r="BE662" s="337">
        <f>MAX(ROUNDDOWN( IF(tabItens[[#This Row],[Abaixo]] &gt; 0,   tabItens[[#This Row],[Abaixo]] + (tabItens[[#This Row],[PontoMês]] * IF( OR( ISBLANK(tabItens[[#This Row],[ATA Nº/ANO]]), tabItens[[#This Row],[ATA Nº/ANO]] = ""),BE$2,BE$1)),0),0),0)</f>
        <v>2170</v>
      </c>
      <c r="BF66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2170</v>
      </c>
      <c r="BG662" s="338">
        <f>SUMIF(Consumo!$C$3:$C$862,tabItens[[#This Row],[CÓDIGO]],Consumo!$E$3:$E$862)</f>
        <v>45</v>
      </c>
      <c r="BH662" s="339">
        <f>IF(AND(tabItens[[#This Row],[Pend]] &gt; 0,tabItens[[#This Row],[Consumo]] &lt;&gt; 0), tabItens[[#This Row],[Pend]] / tabItens[[#This Row],[Consumo]], 0 )</f>
        <v>9.8296199213630409E-3</v>
      </c>
      <c r="BI662" s="338"/>
      <c r="BJ662" s="338"/>
      <c r="BK662" s="340" t="s">
        <v>2086</v>
      </c>
    </row>
    <row r="663" spans="1:63" hidden="1" x14ac:dyDescent="0.3">
      <c r="A663" s="301">
        <v>16512</v>
      </c>
      <c r="B663" s="302" t="s">
        <v>1117</v>
      </c>
      <c r="C663" s="303" t="s">
        <v>269</v>
      </c>
      <c r="D663" s="304">
        <v>3.49</v>
      </c>
      <c r="E663" s="305"/>
      <c r="F663" s="305"/>
      <c r="G663" s="305" t="s">
        <v>889</v>
      </c>
      <c r="H663" s="306">
        <v>0</v>
      </c>
      <c r="I663" s="307">
        <v>103003</v>
      </c>
      <c r="J663" s="308">
        <v>3.49</v>
      </c>
      <c r="K663" s="309">
        <v>1063</v>
      </c>
      <c r="L663" s="310">
        <f>IF(tabItens[[#This Row],[Média]] &gt; 0, tabItens[[#This Row],[QTDE ATUAL]] / tabItens[[#This Row],[Média]],999.9)</f>
        <v>0</v>
      </c>
      <c r="M663" s="311">
        <v>0</v>
      </c>
      <c r="N663" s="312">
        <f>tabItens[[#This Row],[VALOR UNIT.]] * tabItens[[#This Row],[LC]]</f>
        <v>0</v>
      </c>
      <c r="O663" s="313"/>
      <c r="P663" s="314"/>
      <c r="Q663" s="315"/>
      <c r="R663" s="312"/>
      <c r="S663" s="316"/>
      <c r="T663" s="317">
        <f>ROUNDDOWN(IFERROR(tabItens[[#This Row],[ATA DT.VALID.]] - $D$1,0) / 30,0)</f>
        <v>-1474</v>
      </c>
      <c r="U663" s="302" t="s">
        <v>1037</v>
      </c>
      <c r="V663" s="318">
        <v>1</v>
      </c>
      <c r="W663" s="319" t="s">
        <v>2074</v>
      </c>
      <c r="X663" s="320">
        <v>45</v>
      </c>
      <c r="Y663" s="321">
        <v>17</v>
      </c>
      <c r="Z663" s="322">
        <v>6978</v>
      </c>
      <c r="AA663" s="323">
        <v>2023</v>
      </c>
      <c r="AB663" s="324">
        <v>1100</v>
      </c>
      <c r="AC663" s="324"/>
      <c r="AD663" s="323"/>
      <c r="AE663" s="324"/>
      <c r="AF663" s="317"/>
      <c r="AG663" s="325" t="s">
        <v>2072</v>
      </c>
      <c r="AH663" s="326"/>
      <c r="AI663" s="317">
        <v>362</v>
      </c>
      <c r="AJ663" s="326">
        <v>44942</v>
      </c>
      <c r="AK663" s="326" t="s">
        <v>889</v>
      </c>
      <c r="AL663" s="326">
        <v>44910</v>
      </c>
      <c r="AM663" s="316"/>
      <c r="AN663" s="305"/>
      <c r="AO663" s="327" t="str">
        <f>_xlfn.IFNA(IF(VLOOKUP(tabItens[[#This Row],[CÓDIGO]],tabExcluirDoEstoque[#Data],1,FALSE),"sim",""),"")</f>
        <v/>
      </c>
      <c r="AP663" s="328" t="str">
        <f ca="1">IF(OR(ISBLANK(tabItens[[#This Row],[ATA DT.VALID.]]),tabItens[[#This Row],[ATA DT.VALID.]]="",tabItens[[#This Row],[ATA DT.VALID.]]=" "),"",IF(TYPE(tabItens[[#This Row],[ATA DT.VALID.]])=1,ROUNDUP((tabItens[[#This Row],[ATA DT.VALID.]]-TODAY())/7,0),""))</f>
        <v/>
      </c>
      <c r="AQ663" s="329"/>
      <c r="AR663" s="330" t="str">
        <f>IF(ISBLANK(tabItens[[#This Row],[CÓDIGO]]),"",IFERROR(VLOOKUP(tabItens[[#This Row],[CÓDIGO]],Consumo!$C$2:$AC$862,26,FALSE),0))</f>
        <v>07.2023</v>
      </c>
      <c r="AS663" s="331">
        <f>SUMIF(Consumo!$C$3:$C$862,tabItens[[#This Row],[CÓDIGO]],Consumo!$N$3:$N$862) + SUMIF(Consumo!$C$3:$C$862,tabItens[[#This Row],[CÓDIGO]],Consumo!$O$3:$O$862) + SUMIF(Consumo!$C$3:$C$862,tabItens[[#This Row],[CÓDIGO]],Consumo!$P$3:$P$862) + SUMIF(Consumo!$C$3:$C$862,tabItens[[#This Row],[CÓDIGO]],Consumo!$Q$3:$Q$862)</f>
        <v>49</v>
      </c>
      <c r="AT663" s="331">
        <f>SUMIF(Consumo!$C$3:$C$862,tabItens[[#This Row],[CÓDIGO]],Consumo!$Z$3:$Z$862)</f>
        <v>1464</v>
      </c>
      <c r="AU663" s="332">
        <f>SUMIF(Consumo!$C$3:$C$862,tabItens[[#This Row],[CÓDIGO]],Consumo!$AA$3:$AA$862)</f>
        <v>474</v>
      </c>
      <c r="AV663" s="333">
        <f>SUMIF(Consumo!$C$3:$C$862,tabItens[[#This Row],[CÓDIGO]],Consumo!$Y$3:$Y$862)</f>
        <v>119.5</v>
      </c>
      <c r="AW663" s="306">
        <f>tabItens[[#This Row],[QTDE ATUAL]] + tabItens[[#This Row],[RC QTDE]] + tabItens[[#This Row],[AF SALDO]] + tabItens[[#This Row],[Recentes]]</f>
        <v>1100</v>
      </c>
      <c r="AX663" s="334">
        <v>179</v>
      </c>
      <c r="AY663" s="334">
        <v>4</v>
      </c>
      <c r="AZ663" s="334">
        <f>IF(ISBLANK(tabItens[[#This Row],[CÓDIGO]]),"",tabItens[[#This Row],[PontoMês]] * (AZ$2+tabItens[[#This Row],[PontoQtM]]))</f>
        <v>716</v>
      </c>
      <c r="BA663" s="333">
        <f>tabItens[[#This Row],[PontoPed]] - tabItens[[#This Row],[Saldo]] + (1/10)</f>
        <v>-383.9</v>
      </c>
      <c r="BB663" s="333">
        <f xml:space="preserve"> tabItens[[#This Row],[PontoMês]] * BB$2 - tabItens[[#This Row],[QTDE ATUAL]] - (1/10)</f>
        <v>178.9</v>
      </c>
      <c r="BC663" s="335">
        <f>IF( tabItens[[#This Row],[PontoPed]]&gt;0, IF(tabItens[[#This Row],[PontoPed]]&lt;1, 1, IF( tabItens[[#This Row],[Saldo]]&gt;tabItens[[#This Row],[PontoPed]], 0, (tabItens[[#This Row],[PontoPed]]-tabItens[[#This Row],[Saldo]])/tabItens[[#This Row],[PontoPed]] ) ), 0 )</f>
        <v>0</v>
      </c>
      <c r="BD663" s="336">
        <f>ROUNDDOWN(IF( OR( AND(tabItens[[#This Row],[PontoPed]]&lt;tabItens[[#This Row],[Saldo]],tabItens[[#This Row],[Saldo]]&gt;0), tabItens[[#This Row],[PontoPed]]=0), 99, IF(AND(tabItens[[#This Row],[Saldo]]=0,tabItens[[#This Row],[PontoPed]]&gt;0), 0, (1-tabItens[[#This Row],[PctAb]])*10 ) ),0)</f>
        <v>99</v>
      </c>
      <c r="BE663" s="337">
        <f>MAX(ROUNDDOWN( IF(tabItens[[#This Row],[Abaixo]] &gt; 0,   tabItens[[#This Row],[Abaixo]] + (tabItens[[#This Row],[PontoMês]] * IF( OR( ISBLANK(tabItens[[#This Row],[ATA Nº/ANO]]), tabItens[[#This Row],[ATA Nº/ANO]] = ""),BE$2,BE$1)),0),0),0)</f>
        <v>0</v>
      </c>
      <c r="BF66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3" s="338">
        <f>SUMIF(Consumo!$C$3:$C$862,tabItens[[#This Row],[CÓDIGO]],Consumo!$E$3:$E$862)</f>
        <v>377</v>
      </c>
      <c r="BH663" s="339">
        <f>IF(AND(tabItens[[#This Row],[Pend]] &gt; 0,tabItens[[#This Row],[Consumo]] &lt;&gt; 0), tabItens[[#This Row],[Pend]] / tabItens[[#This Row],[Consumo]], 0 )</f>
        <v>0.25751366120218577</v>
      </c>
      <c r="BI663" s="338"/>
      <c r="BJ663" s="338"/>
      <c r="BK663" s="340" t="s">
        <v>2086</v>
      </c>
    </row>
    <row r="664" spans="1:63" hidden="1" x14ac:dyDescent="0.3">
      <c r="A664" s="301">
        <v>91250</v>
      </c>
      <c r="B664" s="302" t="s">
        <v>1530</v>
      </c>
      <c r="C664" s="303" t="s">
        <v>272</v>
      </c>
      <c r="D664" s="304">
        <v>0.64</v>
      </c>
      <c r="E664" s="305"/>
      <c r="F664" s="305"/>
      <c r="G664" s="305" t="s">
        <v>889</v>
      </c>
      <c r="H664" s="306">
        <v>665</v>
      </c>
      <c r="I664" s="307">
        <v>103003</v>
      </c>
      <c r="J664" s="308">
        <v>0.64</v>
      </c>
      <c r="K664" s="309">
        <v>42</v>
      </c>
      <c r="L664" s="310">
        <f>IF(tabItens[[#This Row],[Média]] &gt; 0, tabItens[[#This Row],[QTDE ATUAL]] / tabItens[[#This Row],[Média]],999.9)</f>
        <v>210</v>
      </c>
      <c r="M664" s="311">
        <v>0</v>
      </c>
      <c r="N664" s="312">
        <f>tabItens[[#This Row],[VALOR UNIT.]] * tabItens[[#This Row],[LC]]</f>
        <v>0</v>
      </c>
      <c r="O664" s="313"/>
      <c r="P664" s="314"/>
      <c r="Q664" s="315"/>
      <c r="R664" s="312"/>
      <c r="S664" s="316"/>
      <c r="T664" s="317">
        <f>ROUNDDOWN(IFERROR(tabItens[[#This Row],[ATA DT.VALID.]] - $D$1,0) / 30,0)</f>
        <v>-1474</v>
      </c>
      <c r="U664" s="302" t="s">
        <v>1037</v>
      </c>
      <c r="V664" s="318">
        <v>1</v>
      </c>
      <c r="W664" s="319" t="s">
        <v>2074</v>
      </c>
      <c r="X664" s="320">
        <v>45</v>
      </c>
      <c r="Y664" s="321">
        <v>17</v>
      </c>
      <c r="Z664" s="322"/>
      <c r="AA664" s="323"/>
      <c r="AB664" s="324"/>
      <c r="AC664" s="324"/>
      <c r="AD664" s="323"/>
      <c r="AE664" s="324"/>
      <c r="AF664" s="317"/>
      <c r="AG664" s="325" t="s">
        <v>2072</v>
      </c>
      <c r="AH664" s="326"/>
      <c r="AI664" s="317">
        <v>14</v>
      </c>
      <c r="AJ664" s="326">
        <v>44160</v>
      </c>
      <c r="AK664" s="326">
        <v>38820</v>
      </c>
      <c r="AL664" s="326">
        <v>44110</v>
      </c>
      <c r="AM664" s="316"/>
      <c r="AN664" s="305"/>
      <c r="AO664" s="327" t="str">
        <f>_xlfn.IFNA(IF(VLOOKUP(tabItens[[#This Row],[CÓDIGO]],tabExcluirDoEstoque[#Data],1,FALSE),"sim",""),"")</f>
        <v/>
      </c>
      <c r="AP664" s="328" t="str">
        <f ca="1">IF(OR(ISBLANK(tabItens[[#This Row],[ATA DT.VALID.]]),tabItens[[#This Row],[ATA DT.VALID.]]="",tabItens[[#This Row],[ATA DT.VALID.]]=" "),"",IF(TYPE(tabItens[[#This Row],[ATA DT.VALID.]])=1,ROUNDUP((tabItens[[#This Row],[ATA DT.VALID.]]-TODAY())/7,0),""))</f>
        <v/>
      </c>
      <c r="AQ664" s="329"/>
      <c r="AR664" s="330" t="str">
        <f>IF(ISBLANK(tabItens[[#This Row],[CÓDIGO]]),"",IFERROR(VLOOKUP(tabItens[[#This Row],[CÓDIGO]],Consumo!$C$2:$AC$862,26,FALSE),0))</f>
        <v>08.2023</v>
      </c>
      <c r="AS664" s="331">
        <f>SUMIF(Consumo!$C$3:$C$862,tabItens[[#This Row],[CÓDIGO]],Consumo!$N$3:$N$862) + SUMIF(Consumo!$C$3:$C$862,tabItens[[#This Row],[CÓDIGO]],Consumo!$O$3:$O$862) + SUMIF(Consumo!$C$3:$C$862,tabItens[[#This Row],[CÓDIGO]],Consumo!$P$3:$P$862) + SUMIF(Consumo!$C$3:$C$862,tabItens[[#This Row],[CÓDIGO]],Consumo!$Q$3:$Q$862)</f>
        <v>1</v>
      </c>
      <c r="AT664" s="331">
        <f>SUMIF(Consumo!$C$3:$C$862,tabItens[[#This Row],[CÓDIGO]],Consumo!$Z$3:$Z$862)</f>
        <v>42</v>
      </c>
      <c r="AU664" s="332">
        <f>SUMIF(Consumo!$C$3:$C$862,tabItens[[#This Row],[CÓDIGO]],Consumo!$AA$3:$AA$862)</f>
        <v>20</v>
      </c>
      <c r="AV664" s="333">
        <f>SUMIF(Consumo!$C$3:$C$862,tabItens[[#This Row],[CÓDIGO]],Consumo!$Y$3:$Y$862)</f>
        <v>3.1666666666666665</v>
      </c>
      <c r="AW664" s="306">
        <f>tabItens[[#This Row],[QTDE ATUAL]] + tabItens[[#This Row],[RC QTDE]] + tabItens[[#This Row],[AF SALDO]] + tabItens[[#This Row],[Recentes]]</f>
        <v>665</v>
      </c>
      <c r="AX664" s="334">
        <v>64</v>
      </c>
      <c r="AY664" s="334">
        <v>4</v>
      </c>
      <c r="AZ664" s="334">
        <f>IF(ISBLANK(tabItens[[#This Row],[CÓDIGO]]),"",tabItens[[#This Row],[PontoMês]] * (AZ$2+tabItens[[#This Row],[PontoQtM]]))</f>
        <v>256</v>
      </c>
      <c r="BA664" s="333">
        <f>tabItens[[#This Row],[PontoPed]] - tabItens[[#This Row],[Saldo]] + (1/10)</f>
        <v>-408.9</v>
      </c>
      <c r="BB664" s="333">
        <f xml:space="preserve"> tabItens[[#This Row],[PontoMês]] * BB$2 - tabItens[[#This Row],[QTDE ATUAL]] - (1/10)</f>
        <v>-601.1</v>
      </c>
      <c r="BC664" s="335">
        <f>IF( tabItens[[#This Row],[PontoPed]]&gt;0, IF(tabItens[[#This Row],[PontoPed]]&lt;1, 1, IF( tabItens[[#This Row],[Saldo]]&gt;tabItens[[#This Row],[PontoPed]], 0, (tabItens[[#This Row],[PontoPed]]-tabItens[[#This Row],[Saldo]])/tabItens[[#This Row],[PontoPed]] ) ), 0 )</f>
        <v>0</v>
      </c>
      <c r="BD664" s="336">
        <f>ROUNDDOWN(IF( OR( AND(tabItens[[#This Row],[PontoPed]]&lt;tabItens[[#This Row],[Saldo]],tabItens[[#This Row],[Saldo]]&gt;0), tabItens[[#This Row],[PontoPed]]=0), 99, IF(AND(tabItens[[#This Row],[Saldo]]=0,tabItens[[#This Row],[PontoPed]]&gt;0), 0, (1-tabItens[[#This Row],[PctAb]])*10 ) ),0)</f>
        <v>99</v>
      </c>
      <c r="BE664" s="337">
        <f>MAX(ROUNDDOWN( IF(tabItens[[#This Row],[Abaixo]] &gt; 0,   tabItens[[#This Row],[Abaixo]] + (tabItens[[#This Row],[PontoMês]] * IF( OR( ISBLANK(tabItens[[#This Row],[ATA Nº/ANO]]), tabItens[[#This Row],[ATA Nº/ANO]] = ""),BE$2,BE$1)),0),0),0)</f>
        <v>0</v>
      </c>
      <c r="BF66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4" s="338">
        <f>SUMIF(Consumo!$C$3:$C$862,tabItens[[#This Row],[CÓDIGO]],Consumo!$E$3:$E$862)</f>
        <v>0</v>
      </c>
      <c r="BH664" s="339">
        <f>IF(AND(tabItens[[#This Row],[Pend]] &gt; 0,tabItens[[#This Row],[Consumo]] &lt;&gt; 0), tabItens[[#This Row],[Pend]] / tabItens[[#This Row],[Consumo]], 0 )</f>
        <v>0</v>
      </c>
      <c r="BI664" s="338"/>
      <c r="BJ664" s="338"/>
      <c r="BK664" s="340" t="s">
        <v>2086</v>
      </c>
    </row>
    <row r="665" spans="1:63" hidden="1" x14ac:dyDescent="0.3">
      <c r="A665" s="301">
        <v>78641</v>
      </c>
      <c r="B665" s="302" t="s">
        <v>1455</v>
      </c>
      <c r="C665" s="303" t="s">
        <v>653</v>
      </c>
      <c r="D665" s="304">
        <v>7.4</v>
      </c>
      <c r="E665" s="305"/>
      <c r="F665" s="305"/>
      <c r="G665" s="305" t="s">
        <v>889</v>
      </c>
      <c r="H665" s="306">
        <v>0</v>
      </c>
      <c r="I665" s="307">
        <v>103003</v>
      </c>
      <c r="J665" s="308">
        <v>7.4</v>
      </c>
      <c r="K665" s="309">
        <v>3236</v>
      </c>
      <c r="L665" s="310">
        <f>IF(tabItens[[#This Row],[Média]] &gt; 0, tabItens[[#This Row],[QTDE ATUAL]] / tabItens[[#This Row],[Média]],999.9)</f>
        <v>0</v>
      </c>
      <c r="M665" s="311">
        <v>0</v>
      </c>
      <c r="N665" s="312">
        <f>tabItens[[#This Row],[VALOR UNIT.]] * tabItens[[#This Row],[LC]]</f>
        <v>0</v>
      </c>
      <c r="O665" s="313"/>
      <c r="P665" s="314"/>
      <c r="Q665" s="315"/>
      <c r="R665" s="312"/>
      <c r="S665" s="316"/>
      <c r="T665" s="317">
        <f>ROUNDDOWN(IFERROR(tabItens[[#This Row],[ATA DT.VALID.]] - $D$1,0) / 30,0)</f>
        <v>-1474</v>
      </c>
      <c r="U665" s="302" t="s">
        <v>1456</v>
      </c>
      <c r="V665" s="318">
        <v>1</v>
      </c>
      <c r="W665" s="319" t="s">
        <v>2074</v>
      </c>
      <c r="X665" s="320">
        <v>45</v>
      </c>
      <c r="Y665" s="321">
        <v>30</v>
      </c>
      <c r="Z665" s="322">
        <v>6978</v>
      </c>
      <c r="AA665" s="323">
        <v>2023</v>
      </c>
      <c r="AB665" s="324">
        <v>1100</v>
      </c>
      <c r="AC665" s="324"/>
      <c r="AD665" s="323"/>
      <c r="AE665" s="324"/>
      <c r="AF665" s="317"/>
      <c r="AG665" s="325" t="s">
        <v>2072</v>
      </c>
      <c r="AH665" s="326"/>
      <c r="AI665" s="317">
        <v>1560</v>
      </c>
      <c r="AJ665" s="326">
        <v>44463</v>
      </c>
      <c r="AK665" s="326">
        <v>38104</v>
      </c>
      <c r="AL665" s="326">
        <v>45044</v>
      </c>
      <c r="AM665" s="316"/>
      <c r="AN665" s="305"/>
      <c r="AO665" s="327" t="str">
        <f>_xlfn.IFNA(IF(VLOOKUP(tabItens[[#This Row],[CÓDIGO]],tabExcluirDoEstoque[#Data],1,FALSE),"sim",""),"")</f>
        <v/>
      </c>
      <c r="AP665" s="328" t="str">
        <f ca="1">IF(OR(ISBLANK(tabItens[[#This Row],[ATA DT.VALID.]]),tabItens[[#This Row],[ATA DT.VALID.]]="",tabItens[[#This Row],[ATA DT.VALID.]]=" "),"",IF(TYPE(tabItens[[#This Row],[ATA DT.VALID.]])=1,ROUNDUP((tabItens[[#This Row],[ATA DT.VALID.]]-TODAY())/7,0),""))</f>
        <v/>
      </c>
      <c r="AQ665" s="329"/>
      <c r="AR665" s="330" t="str">
        <f>IF(ISBLANK(tabItens[[#This Row],[CÓDIGO]]),"",IFERROR(VLOOKUP(tabItens[[#This Row],[CÓDIGO]],Consumo!$C$2:$AC$862,26,FALSE),0))</f>
        <v>09.2023</v>
      </c>
      <c r="AS665" s="331">
        <f>SUMIF(Consumo!$C$3:$C$862,tabItens[[#This Row],[CÓDIGO]],Consumo!$N$3:$N$862) + SUMIF(Consumo!$C$3:$C$862,tabItens[[#This Row],[CÓDIGO]],Consumo!$O$3:$O$862) + SUMIF(Consumo!$C$3:$C$862,tabItens[[#This Row],[CÓDIGO]],Consumo!$P$3:$P$862) + SUMIF(Consumo!$C$3:$C$862,tabItens[[#This Row],[CÓDIGO]],Consumo!$Q$3:$Q$862)</f>
        <v>1201</v>
      </c>
      <c r="AT665" s="331">
        <f>SUMIF(Consumo!$C$3:$C$862,tabItens[[#This Row],[CÓDIGO]],Consumo!$Z$3:$Z$862)</f>
        <v>4694</v>
      </c>
      <c r="AU665" s="332">
        <f>SUMIF(Consumo!$C$3:$C$862,tabItens[[#This Row],[CÓDIGO]],Consumo!$AA$3:$AA$862)</f>
        <v>1431</v>
      </c>
      <c r="AV665" s="333">
        <f>SUMIF(Consumo!$C$3:$C$862,tabItens[[#This Row],[CÓDIGO]],Consumo!$Y$3:$Y$862)</f>
        <v>361.25</v>
      </c>
      <c r="AW665" s="306">
        <f>tabItens[[#This Row],[QTDE ATUAL]] + tabItens[[#This Row],[RC QTDE]] + tabItens[[#This Row],[AF SALDO]] + tabItens[[#This Row],[Recentes]]</f>
        <v>1100</v>
      </c>
      <c r="AX665" s="334">
        <v>528</v>
      </c>
      <c r="AY665" s="334">
        <v>4</v>
      </c>
      <c r="AZ665" s="334">
        <f>IF(ISBLANK(tabItens[[#This Row],[CÓDIGO]]),"",tabItens[[#This Row],[PontoMês]] * (AZ$2+tabItens[[#This Row],[PontoQtM]]))</f>
        <v>2112</v>
      </c>
      <c r="BA665" s="333">
        <f>tabItens[[#This Row],[PontoPed]] - tabItens[[#This Row],[Saldo]] + (1/10)</f>
        <v>1012.1</v>
      </c>
      <c r="BB665" s="333">
        <f xml:space="preserve"> tabItens[[#This Row],[PontoMês]] * BB$2 - tabItens[[#This Row],[QTDE ATUAL]] - (1/10)</f>
        <v>527.9</v>
      </c>
      <c r="BC665" s="335">
        <f>IF( tabItens[[#This Row],[PontoPed]]&gt;0, IF(tabItens[[#This Row],[PontoPed]]&lt;1, 1, IF( tabItens[[#This Row],[Saldo]]&gt;tabItens[[#This Row],[PontoPed]], 0, (tabItens[[#This Row],[PontoPed]]-tabItens[[#This Row],[Saldo]])/tabItens[[#This Row],[PontoPed]] ) ), 0 )</f>
        <v>0.47916666666666669</v>
      </c>
      <c r="BD665" s="336">
        <f>ROUNDDOWN(IF( OR( AND(tabItens[[#This Row],[PontoPed]]&lt;tabItens[[#This Row],[Saldo]],tabItens[[#This Row],[Saldo]]&gt;0), tabItens[[#This Row],[PontoPed]]=0), 99, IF(AND(tabItens[[#This Row],[Saldo]]=0,tabItens[[#This Row],[PontoPed]]&gt;0), 0, (1-tabItens[[#This Row],[PctAb]])*10 ) ),0)</f>
        <v>5</v>
      </c>
      <c r="BE665" s="337">
        <f>MAX(ROUNDDOWN( IF(tabItens[[#This Row],[Abaixo]] &gt; 0,   tabItens[[#This Row],[Abaixo]] + (tabItens[[#This Row],[PontoMês]] * IF( OR( ISBLANK(tabItens[[#This Row],[ATA Nº/ANO]]), tabItens[[#This Row],[ATA Nº/ANO]] = ""),BE$2,BE$1)),0),0),0)</f>
        <v>4180</v>
      </c>
      <c r="BF66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4180</v>
      </c>
      <c r="BG665" s="338">
        <f>SUMIF(Consumo!$C$3:$C$862,tabItens[[#This Row],[CÓDIGO]],Consumo!$E$3:$E$862)</f>
        <v>16</v>
      </c>
      <c r="BH665" s="339">
        <f>IF(AND(tabItens[[#This Row],[Pend]] &gt; 0,tabItens[[#This Row],[Consumo]] &lt;&gt; 0), tabItens[[#This Row],[Pend]] / tabItens[[#This Row],[Consumo]], 0 )</f>
        <v>3.4086067319982955E-3</v>
      </c>
      <c r="BI665" s="338"/>
      <c r="BJ665" s="338"/>
      <c r="BK665" s="340" t="s">
        <v>2086</v>
      </c>
    </row>
    <row r="666" spans="1:63" hidden="1" x14ac:dyDescent="0.3">
      <c r="A666" s="301">
        <v>78642</v>
      </c>
      <c r="B666" s="302" t="s">
        <v>1457</v>
      </c>
      <c r="C666" s="303" t="s">
        <v>653</v>
      </c>
      <c r="D666" s="304">
        <v>2.64</v>
      </c>
      <c r="E666" s="305"/>
      <c r="F666" s="305"/>
      <c r="G666" s="305" t="s">
        <v>889</v>
      </c>
      <c r="H666" s="306">
        <v>128</v>
      </c>
      <c r="I666" s="307">
        <v>103003</v>
      </c>
      <c r="J666" s="308">
        <v>2.64</v>
      </c>
      <c r="K666" s="309">
        <v>3064</v>
      </c>
      <c r="L666" s="310">
        <f>IF(tabItens[[#This Row],[Média]] &gt; 0, tabItens[[#This Row],[QTDE ATUAL]] / tabItens[[#This Row],[Média]],999.9)</f>
        <v>0.37472554281532083</v>
      </c>
      <c r="M666" s="311">
        <v>0</v>
      </c>
      <c r="N666" s="312">
        <f>tabItens[[#This Row],[VALOR UNIT.]] * tabItens[[#This Row],[LC]]</f>
        <v>0</v>
      </c>
      <c r="O666" s="313"/>
      <c r="P666" s="314"/>
      <c r="Q666" s="315"/>
      <c r="R666" s="312"/>
      <c r="S666" s="316"/>
      <c r="T666" s="317">
        <f>ROUNDDOWN(IFERROR(tabItens[[#This Row],[ATA DT.VALID.]] - $D$1,0) / 30,0)</f>
        <v>-1474</v>
      </c>
      <c r="U666" s="302" t="s">
        <v>1456</v>
      </c>
      <c r="V666" s="318">
        <v>1</v>
      </c>
      <c r="W666" s="319" t="s">
        <v>2074</v>
      </c>
      <c r="X666" s="320">
        <v>45</v>
      </c>
      <c r="Y666" s="321">
        <v>30</v>
      </c>
      <c r="Z666" s="322">
        <v>6978</v>
      </c>
      <c r="AA666" s="323">
        <v>2023</v>
      </c>
      <c r="AB666" s="324">
        <v>600</v>
      </c>
      <c r="AC666" s="324"/>
      <c r="AD666" s="323"/>
      <c r="AE666" s="324"/>
      <c r="AF666" s="317"/>
      <c r="AG666" s="325" t="s">
        <v>2072</v>
      </c>
      <c r="AH666" s="326"/>
      <c r="AI666" s="317">
        <v>1486</v>
      </c>
      <c r="AJ666" s="326">
        <v>44463</v>
      </c>
      <c r="AK666" s="326">
        <v>38104</v>
      </c>
      <c r="AL666" s="326">
        <v>44363</v>
      </c>
      <c r="AM666" s="316"/>
      <c r="AN666" s="305"/>
      <c r="AO666" s="327" t="str">
        <f>_xlfn.IFNA(IF(VLOOKUP(tabItens[[#This Row],[CÓDIGO]],tabExcluirDoEstoque[#Data],1,FALSE),"sim",""),"")</f>
        <v/>
      </c>
      <c r="AP666" s="328" t="str">
        <f ca="1">IF(OR(ISBLANK(tabItens[[#This Row],[ATA DT.VALID.]]),tabItens[[#This Row],[ATA DT.VALID.]]="",tabItens[[#This Row],[ATA DT.VALID.]]=" "),"",IF(TYPE(tabItens[[#This Row],[ATA DT.VALID.]])=1,ROUNDUP((tabItens[[#This Row],[ATA DT.VALID.]]-TODAY())/7,0),""))</f>
        <v/>
      </c>
      <c r="AQ666" s="329"/>
      <c r="AR666" s="330" t="str">
        <f>IF(ISBLANK(tabItens[[#This Row],[CÓDIGO]]),"",IFERROR(VLOOKUP(tabItens[[#This Row],[CÓDIGO]],Consumo!$C$2:$AC$862,26,FALSE),0))</f>
        <v>09.2023</v>
      </c>
      <c r="AS666" s="331">
        <f>SUMIF(Consumo!$C$3:$C$862,tabItens[[#This Row],[CÓDIGO]],Consumo!$N$3:$N$862) + SUMIF(Consumo!$C$3:$C$862,tabItens[[#This Row],[CÓDIGO]],Consumo!$O$3:$O$862) + SUMIF(Consumo!$C$3:$C$862,tabItens[[#This Row],[CÓDIGO]],Consumo!$P$3:$P$862) + SUMIF(Consumo!$C$3:$C$862,tabItens[[#This Row],[CÓDIGO]],Consumo!$Q$3:$Q$862)</f>
        <v>1204</v>
      </c>
      <c r="AT666" s="331">
        <f>SUMIF(Consumo!$C$3:$C$862,tabItens[[#This Row],[CÓDIGO]],Consumo!$Z$3:$Z$862)</f>
        <v>4460</v>
      </c>
      <c r="AU666" s="332">
        <f>SUMIF(Consumo!$C$3:$C$862,tabItens[[#This Row],[CÓDIGO]],Consumo!$AA$3:$AA$862)</f>
        <v>1401</v>
      </c>
      <c r="AV666" s="333">
        <f>SUMIF(Consumo!$C$3:$C$862,tabItens[[#This Row],[CÓDIGO]],Consumo!$Y$3:$Y$862)</f>
        <v>341.58333333333331</v>
      </c>
      <c r="AW666" s="306">
        <f>tabItens[[#This Row],[QTDE ATUAL]] + tabItens[[#This Row],[RC QTDE]] + tabItens[[#This Row],[AF SALDO]] + tabItens[[#This Row],[Recentes]]</f>
        <v>728</v>
      </c>
      <c r="AX666" s="334">
        <v>509</v>
      </c>
      <c r="AY666" s="334">
        <v>4</v>
      </c>
      <c r="AZ666" s="334">
        <f>IF(ISBLANK(tabItens[[#This Row],[CÓDIGO]]),"",tabItens[[#This Row],[PontoMês]] * (AZ$2+tabItens[[#This Row],[PontoQtM]]))</f>
        <v>2036</v>
      </c>
      <c r="BA666" s="333">
        <f>tabItens[[#This Row],[PontoPed]] - tabItens[[#This Row],[Saldo]] + (1/10)</f>
        <v>1308.0999999999999</v>
      </c>
      <c r="BB666" s="333">
        <f xml:space="preserve"> tabItens[[#This Row],[PontoMês]] * BB$2 - tabItens[[#This Row],[QTDE ATUAL]] - (1/10)</f>
        <v>380.9</v>
      </c>
      <c r="BC666" s="335">
        <f>IF( tabItens[[#This Row],[PontoPed]]&gt;0, IF(tabItens[[#This Row],[PontoPed]]&lt;1, 1, IF( tabItens[[#This Row],[Saldo]]&gt;tabItens[[#This Row],[PontoPed]], 0, (tabItens[[#This Row],[PontoPed]]-tabItens[[#This Row],[Saldo]])/tabItens[[#This Row],[PontoPed]] ) ), 0 )</f>
        <v>0.64243614931237725</v>
      </c>
      <c r="BD666" s="336">
        <f>ROUNDDOWN(IF( OR( AND(tabItens[[#This Row],[PontoPed]]&lt;tabItens[[#This Row],[Saldo]],tabItens[[#This Row],[Saldo]]&gt;0), tabItens[[#This Row],[PontoPed]]=0), 99, IF(AND(tabItens[[#This Row],[Saldo]]=0,tabItens[[#This Row],[PontoPed]]&gt;0), 0, (1-tabItens[[#This Row],[PctAb]])*10 ) ),0)</f>
        <v>3</v>
      </c>
      <c r="BE666" s="337">
        <f>MAX(ROUNDDOWN( IF(tabItens[[#This Row],[Abaixo]] &gt; 0,   tabItens[[#This Row],[Abaixo]] + (tabItens[[#This Row],[PontoMês]] * IF( OR( ISBLANK(tabItens[[#This Row],[ATA Nº/ANO]]), tabItens[[#This Row],[ATA Nº/ANO]] = ""),BE$2,BE$1)),0),0),0)</f>
        <v>4362</v>
      </c>
      <c r="BF66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4362</v>
      </c>
      <c r="BG666" s="338">
        <f>SUMIF(Consumo!$C$3:$C$862,tabItens[[#This Row],[CÓDIGO]],Consumo!$E$3:$E$862)</f>
        <v>2</v>
      </c>
      <c r="BH666" s="339">
        <f>IF(AND(tabItens[[#This Row],[Pend]] &gt; 0,tabItens[[#This Row],[Consumo]] &lt;&gt; 0), tabItens[[#This Row],[Pend]] / tabItens[[#This Row],[Consumo]], 0 )</f>
        <v>4.4843049327354261E-4</v>
      </c>
      <c r="BI666" s="338"/>
      <c r="BJ666" s="338"/>
      <c r="BK666" s="340" t="s">
        <v>2086</v>
      </c>
    </row>
    <row r="667" spans="1:63" hidden="1" x14ac:dyDescent="0.3">
      <c r="A667" s="301">
        <v>78643</v>
      </c>
      <c r="B667" s="302" t="s">
        <v>1458</v>
      </c>
      <c r="C667" s="303" t="s">
        <v>653</v>
      </c>
      <c r="D667" s="304">
        <v>7.4</v>
      </c>
      <c r="E667" s="305"/>
      <c r="F667" s="305"/>
      <c r="G667" s="305" t="s">
        <v>889</v>
      </c>
      <c r="H667" s="306">
        <v>0</v>
      </c>
      <c r="I667" s="307">
        <v>103003</v>
      </c>
      <c r="J667" s="308">
        <v>7.4</v>
      </c>
      <c r="K667" s="309">
        <v>3444</v>
      </c>
      <c r="L667" s="310">
        <f>IF(tabItens[[#This Row],[Média]] &gt; 0, tabItens[[#This Row],[QTDE ATUAL]] / tabItens[[#This Row],[Média]],999.9)</f>
        <v>0</v>
      </c>
      <c r="M667" s="311">
        <v>0</v>
      </c>
      <c r="N667" s="312">
        <f>tabItens[[#This Row],[VALOR UNIT.]] * tabItens[[#This Row],[LC]]</f>
        <v>0</v>
      </c>
      <c r="O667" s="313"/>
      <c r="P667" s="314"/>
      <c r="Q667" s="315"/>
      <c r="R667" s="312"/>
      <c r="S667" s="316"/>
      <c r="T667" s="317">
        <f>ROUNDDOWN(IFERROR(tabItens[[#This Row],[ATA DT.VALID.]] - $D$1,0) / 30,0)</f>
        <v>-1474</v>
      </c>
      <c r="U667" s="302" t="s">
        <v>1456</v>
      </c>
      <c r="V667" s="318">
        <v>1</v>
      </c>
      <c r="W667" s="319" t="s">
        <v>2074</v>
      </c>
      <c r="X667" s="320">
        <v>45</v>
      </c>
      <c r="Y667" s="321">
        <v>30</v>
      </c>
      <c r="Z667" s="322">
        <v>6978</v>
      </c>
      <c r="AA667" s="323">
        <v>2023</v>
      </c>
      <c r="AB667" s="324">
        <v>1200</v>
      </c>
      <c r="AC667" s="324"/>
      <c r="AD667" s="323"/>
      <c r="AE667" s="324"/>
      <c r="AF667" s="317"/>
      <c r="AG667" s="325" t="s">
        <v>2072</v>
      </c>
      <c r="AH667" s="326"/>
      <c r="AI667" s="317">
        <v>1690</v>
      </c>
      <c r="AJ667" s="326">
        <v>44928</v>
      </c>
      <c r="AK667" s="326">
        <v>38104</v>
      </c>
      <c r="AL667" s="326">
        <v>45044</v>
      </c>
      <c r="AM667" s="316"/>
      <c r="AN667" s="305"/>
      <c r="AO667" s="327" t="str">
        <f>_xlfn.IFNA(IF(VLOOKUP(tabItens[[#This Row],[CÓDIGO]],tabExcluirDoEstoque[#Data],1,FALSE),"sim",""),"")</f>
        <v/>
      </c>
      <c r="AP667" s="328" t="str">
        <f ca="1">IF(OR(ISBLANK(tabItens[[#This Row],[ATA DT.VALID.]]),tabItens[[#This Row],[ATA DT.VALID.]]="",tabItens[[#This Row],[ATA DT.VALID.]]=" "),"",IF(TYPE(tabItens[[#This Row],[ATA DT.VALID.]])=1,ROUNDUP((tabItens[[#This Row],[ATA DT.VALID.]]-TODAY())/7,0),""))</f>
        <v/>
      </c>
      <c r="AQ667" s="329"/>
      <c r="AR667" s="330" t="str">
        <f>IF(ISBLANK(tabItens[[#This Row],[CÓDIGO]]),"",IFERROR(VLOOKUP(tabItens[[#This Row],[CÓDIGO]],Consumo!$C$2:$AC$862,26,FALSE),0))</f>
        <v>09.2023</v>
      </c>
      <c r="AS667" s="331">
        <f>SUMIF(Consumo!$C$3:$C$862,tabItens[[#This Row],[CÓDIGO]],Consumo!$N$3:$N$862) + SUMIF(Consumo!$C$3:$C$862,tabItens[[#This Row],[CÓDIGO]],Consumo!$O$3:$O$862) + SUMIF(Consumo!$C$3:$C$862,tabItens[[#This Row],[CÓDIGO]],Consumo!$P$3:$P$862) + SUMIF(Consumo!$C$3:$C$862,tabItens[[#This Row],[CÓDIGO]],Consumo!$Q$3:$Q$862)</f>
        <v>1393</v>
      </c>
      <c r="AT667" s="331">
        <f>SUMIF(Consumo!$C$3:$C$862,tabItens[[#This Row],[CÓDIGO]],Consumo!$Z$3:$Z$862)</f>
        <v>5074</v>
      </c>
      <c r="AU667" s="332">
        <f>SUMIF(Consumo!$C$3:$C$862,tabItens[[#This Row],[CÓDIGO]],Consumo!$AA$3:$AA$862)</f>
        <v>1486</v>
      </c>
      <c r="AV667" s="333">
        <f>SUMIF(Consumo!$C$3:$C$862,tabItens[[#This Row],[CÓDIGO]],Consumo!$Y$3:$Y$862)</f>
        <v>392.91666666666669</v>
      </c>
      <c r="AW667" s="306">
        <f>tabItens[[#This Row],[QTDE ATUAL]] + tabItens[[#This Row],[RC QTDE]] + tabItens[[#This Row],[AF SALDO]] + tabItens[[#This Row],[Recentes]]</f>
        <v>1200</v>
      </c>
      <c r="AX667" s="334">
        <v>562</v>
      </c>
      <c r="AY667" s="334">
        <v>4</v>
      </c>
      <c r="AZ667" s="334">
        <f>IF(ISBLANK(tabItens[[#This Row],[CÓDIGO]]),"",tabItens[[#This Row],[PontoMês]] * (AZ$2+tabItens[[#This Row],[PontoQtM]]))</f>
        <v>2248</v>
      </c>
      <c r="BA667" s="333">
        <f>tabItens[[#This Row],[PontoPed]] - tabItens[[#This Row],[Saldo]] + (1/10)</f>
        <v>1048.0999999999999</v>
      </c>
      <c r="BB667" s="333">
        <f xml:space="preserve"> tabItens[[#This Row],[PontoMês]] * BB$2 - tabItens[[#This Row],[QTDE ATUAL]] - (1/10)</f>
        <v>561.9</v>
      </c>
      <c r="BC667" s="335">
        <f>IF( tabItens[[#This Row],[PontoPed]]&gt;0, IF(tabItens[[#This Row],[PontoPed]]&lt;1, 1, IF( tabItens[[#This Row],[Saldo]]&gt;tabItens[[#This Row],[PontoPed]], 0, (tabItens[[#This Row],[PontoPed]]-tabItens[[#This Row],[Saldo]])/tabItens[[#This Row],[PontoPed]] ) ), 0 )</f>
        <v>0.46619217081850534</v>
      </c>
      <c r="BD667" s="336">
        <f>ROUNDDOWN(IF( OR( AND(tabItens[[#This Row],[PontoPed]]&lt;tabItens[[#This Row],[Saldo]],tabItens[[#This Row],[Saldo]]&gt;0), tabItens[[#This Row],[PontoPed]]=0), 99, IF(AND(tabItens[[#This Row],[Saldo]]=0,tabItens[[#This Row],[PontoPed]]&gt;0), 0, (1-tabItens[[#This Row],[PctAb]])*10 ) ),0)</f>
        <v>5</v>
      </c>
      <c r="BE667" s="337">
        <f>MAX(ROUNDDOWN( IF(tabItens[[#This Row],[Abaixo]] &gt; 0,   tabItens[[#This Row],[Abaixo]] + (tabItens[[#This Row],[PontoMês]] * IF( OR( ISBLANK(tabItens[[#This Row],[ATA Nº/ANO]]), tabItens[[#This Row],[ATA Nº/ANO]] = ""),BE$2,BE$1)),0),0),0)</f>
        <v>4420</v>
      </c>
      <c r="BF66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4420</v>
      </c>
      <c r="BG667" s="338">
        <f>SUMIF(Consumo!$C$3:$C$862,tabItens[[#This Row],[CÓDIGO]],Consumo!$E$3:$E$862)</f>
        <v>2</v>
      </c>
      <c r="BH667" s="339">
        <f>IF(AND(tabItens[[#This Row],[Pend]] &gt; 0,tabItens[[#This Row],[Consumo]] &lt;&gt; 0), tabItens[[#This Row],[Pend]] / tabItens[[#This Row],[Consumo]], 0 )</f>
        <v>3.9416633819471815E-4</v>
      </c>
      <c r="BI667" s="338"/>
      <c r="BJ667" s="338"/>
      <c r="BK667" s="340" t="s">
        <v>2086</v>
      </c>
    </row>
    <row r="668" spans="1:63" hidden="1" x14ac:dyDescent="0.3">
      <c r="A668" s="301">
        <v>78646</v>
      </c>
      <c r="B668" s="302" t="s">
        <v>1459</v>
      </c>
      <c r="C668" s="303" t="s">
        <v>653</v>
      </c>
      <c r="D668" s="304">
        <v>3.37</v>
      </c>
      <c r="E668" s="305"/>
      <c r="F668" s="305"/>
      <c r="G668" s="305" t="s">
        <v>889</v>
      </c>
      <c r="H668" s="306">
        <v>309</v>
      </c>
      <c r="I668" s="307">
        <v>103003</v>
      </c>
      <c r="J668" s="308">
        <v>3.37</v>
      </c>
      <c r="K668" s="309">
        <v>3842</v>
      </c>
      <c r="L668" s="310">
        <f>IF(tabItens[[#This Row],[Média]] &gt; 0, tabItens[[#This Row],[QTDE ATUAL]] / tabItens[[#This Row],[Média]],999.9)</f>
        <v>0.71211830228538497</v>
      </c>
      <c r="M668" s="311">
        <v>0</v>
      </c>
      <c r="N668" s="312">
        <f>tabItens[[#This Row],[VALOR UNIT.]] * tabItens[[#This Row],[LC]]</f>
        <v>0</v>
      </c>
      <c r="O668" s="313"/>
      <c r="P668" s="314"/>
      <c r="Q668" s="315"/>
      <c r="R668" s="312"/>
      <c r="S668" s="316"/>
      <c r="T668" s="317">
        <f>ROUNDDOWN(IFERROR(tabItens[[#This Row],[ATA DT.VALID.]] - $D$1,0) / 30,0)</f>
        <v>-1474</v>
      </c>
      <c r="U668" s="302" t="s">
        <v>1456</v>
      </c>
      <c r="V668" s="318">
        <v>1</v>
      </c>
      <c r="W668" s="319" t="s">
        <v>2074</v>
      </c>
      <c r="X668" s="320">
        <v>45</v>
      </c>
      <c r="Y668" s="321">
        <v>30</v>
      </c>
      <c r="Z668" s="322">
        <v>6978</v>
      </c>
      <c r="AA668" s="323">
        <v>2023</v>
      </c>
      <c r="AB668" s="324">
        <v>900</v>
      </c>
      <c r="AC668" s="324"/>
      <c r="AD668" s="323"/>
      <c r="AE668" s="324"/>
      <c r="AF668" s="317"/>
      <c r="AG668" s="325" t="s">
        <v>2072</v>
      </c>
      <c r="AH668" s="326"/>
      <c r="AI668" s="317">
        <v>1840</v>
      </c>
      <c r="AJ668" s="326">
        <v>44928</v>
      </c>
      <c r="AK668" s="326">
        <v>38104</v>
      </c>
      <c r="AL668" s="326">
        <v>44910</v>
      </c>
      <c r="AM668" s="316"/>
      <c r="AN668" s="305"/>
      <c r="AO668" s="327" t="str">
        <f>_xlfn.IFNA(IF(VLOOKUP(tabItens[[#This Row],[CÓDIGO]],tabExcluirDoEstoque[#Data],1,FALSE),"sim",""),"")</f>
        <v/>
      </c>
      <c r="AP668" s="328" t="str">
        <f ca="1">IF(OR(ISBLANK(tabItens[[#This Row],[ATA DT.VALID.]]),tabItens[[#This Row],[ATA DT.VALID.]]="",tabItens[[#This Row],[ATA DT.VALID.]]=" "),"",IF(TYPE(tabItens[[#This Row],[ATA DT.VALID.]])=1,ROUNDUP((tabItens[[#This Row],[ATA DT.VALID.]]-TODAY())/7,0),""))</f>
        <v/>
      </c>
      <c r="AQ668" s="329"/>
      <c r="AR668" s="330" t="str">
        <f>IF(ISBLANK(tabItens[[#This Row],[CÓDIGO]]),"",IFERROR(VLOOKUP(tabItens[[#This Row],[CÓDIGO]],Consumo!$C$2:$AC$862,26,FALSE),0))</f>
        <v>09.2023</v>
      </c>
      <c r="AS668" s="331">
        <f>SUMIF(Consumo!$C$3:$C$862,tabItens[[#This Row],[CÓDIGO]],Consumo!$N$3:$N$862) + SUMIF(Consumo!$C$3:$C$862,tabItens[[#This Row],[CÓDIGO]],Consumo!$O$3:$O$862) + SUMIF(Consumo!$C$3:$C$862,tabItens[[#This Row],[CÓDIGO]],Consumo!$P$3:$P$862) + SUMIF(Consumo!$C$3:$C$862,tabItens[[#This Row],[CÓDIGO]],Consumo!$Q$3:$Q$862)</f>
        <v>1649</v>
      </c>
      <c r="AT668" s="331">
        <f>SUMIF(Consumo!$C$3:$C$862,tabItens[[#This Row],[CÓDIGO]],Consumo!$Z$3:$Z$862)</f>
        <v>5537</v>
      </c>
      <c r="AU668" s="332">
        <f>SUMIF(Consumo!$C$3:$C$862,tabItens[[#This Row],[CÓDIGO]],Consumo!$AA$3:$AA$862)</f>
        <v>1514</v>
      </c>
      <c r="AV668" s="333">
        <f>SUMIF(Consumo!$C$3:$C$862,tabItens[[#This Row],[CÓDIGO]],Consumo!$Y$3:$Y$862)</f>
        <v>433.91666666666669</v>
      </c>
      <c r="AW668" s="306">
        <f>tabItens[[#This Row],[QTDE ATUAL]] + tabItens[[#This Row],[RC QTDE]] + tabItens[[#This Row],[AF SALDO]] + tabItens[[#This Row],[Recentes]]</f>
        <v>1209</v>
      </c>
      <c r="AX668" s="334">
        <v>576</v>
      </c>
      <c r="AY668" s="334">
        <v>4</v>
      </c>
      <c r="AZ668" s="334">
        <f>IF(ISBLANK(tabItens[[#This Row],[CÓDIGO]]),"",tabItens[[#This Row],[PontoMês]] * (AZ$2+tabItens[[#This Row],[PontoQtM]]))</f>
        <v>2304</v>
      </c>
      <c r="BA668" s="333">
        <f>tabItens[[#This Row],[PontoPed]] - tabItens[[#This Row],[Saldo]] + (1/10)</f>
        <v>1095.0999999999999</v>
      </c>
      <c r="BB668" s="333">
        <f xml:space="preserve"> tabItens[[#This Row],[PontoMês]] * BB$2 - tabItens[[#This Row],[QTDE ATUAL]] - (1/10)</f>
        <v>266.89999999999998</v>
      </c>
      <c r="BC668" s="335">
        <f>IF( tabItens[[#This Row],[PontoPed]]&gt;0, IF(tabItens[[#This Row],[PontoPed]]&lt;1, 1, IF( tabItens[[#This Row],[Saldo]]&gt;tabItens[[#This Row],[PontoPed]], 0, (tabItens[[#This Row],[PontoPed]]-tabItens[[#This Row],[Saldo]])/tabItens[[#This Row],[PontoPed]] ) ), 0 )</f>
        <v>0.47526041666666669</v>
      </c>
      <c r="BD668" s="336">
        <f>ROUNDDOWN(IF( OR( AND(tabItens[[#This Row],[PontoPed]]&lt;tabItens[[#This Row],[Saldo]],tabItens[[#This Row],[Saldo]]&gt;0), tabItens[[#This Row],[PontoPed]]=0), 99, IF(AND(tabItens[[#This Row],[Saldo]]=0,tabItens[[#This Row],[PontoPed]]&gt;0), 0, (1-tabItens[[#This Row],[PctAb]])*10 ) ),0)</f>
        <v>5</v>
      </c>
      <c r="BE668" s="337">
        <f>MAX(ROUNDDOWN( IF(tabItens[[#This Row],[Abaixo]] &gt; 0,   tabItens[[#This Row],[Abaixo]] + (tabItens[[#This Row],[PontoMês]] * IF( OR( ISBLANK(tabItens[[#This Row],[ATA Nº/ANO]]), tabItens[[#This Row],[ATA Nº/ANO]] = ""),BE$2,BE$1)),0),0),0)</f>
        <v>4551</v>
      </c>
      <c r="BF66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4551</v>
      </c>
      <c r="BG668" s="338">
        <f>SUMIF(Consumo!$C$3:$C$862,tabItens[[#This Row],[CÓDIGO]],Consumo!$E$3:$E$862)</f>
        <v>15</v>
      </c>
      <c r="BH668" s="339">
        <f>IF(AND(tabItens[[#This Row],[Pend]] &gt; 0,tabItens[[#This Row],[Consumo]] &lt;&gt; 0), tabItens[[#This Row],[Pend]] / tabItens[[#This Row],[Consumo]], 0 )</f>
        <v>2.7090482210583348E-3</v>
      </c>
      <c r="BI668" s="338"/>
      <c r="BJ668" s="338"/>
      <c r="BK668" s="340" t="s">
        <v>2086</v>
      </c>
    </row>
    <row r="669" spans="1:63" hidden="1" x14ac:dyDescent="0.3">
      <c r="A669" s="301">
        <v>80872</v>
      </c>
      <c r="B669" s="302" t="s">
        <v>1468</v>
      </c>
      <c r="C669" s="303" t="s">
        <v>653</v>
      </c>
      <c r="D669" s="304">
        <v>7.4</v>
      </c>
      <c r="E669" s="305"/>
      <c r="F669" s="305"/>
      <c r="G669" s="305" t="s">
        <v>889</v>
      </c>
      <c r="H669" s="306">
        <v>0</v>
      </c>
      <c r="I669" s="307">
        <v>103003</v>
      </c>
      <c r="J669" s="308">
        <v>7.4</v>
      </c>
      <c r="K669" s="309">
        <v>3239</v>
      </c>
      <c r="L669" s="310">
        <f>IF(tabItens[[#This Row],[Média]] &gt; 0, tabItens[[#This Row],[QTDE ATUAL]] / tabItens[[#This Row],[Média]],999.9)</f>
        <v>0</v>
      </c>
      <c r="M669" s="311">
        <v>0</v>
      </c>
      <c r="N669" s="312">
        <f>tabItens[[#This Row],[VALOR UNIT.]] * tabItens[[#This Row],[LC]]</f>
        <v>0</v>
      </c>
      <c r="O669" s="313"/>
      <c r="P669" s="314"/>
      <c r="Q669" s="315"/>
      <c r="R669" s="312"/>
      <c r="S669" s="316"/>
      <c r="T669" s="317">
        <f>ROUNDDOWN(IFERROR(tabItens[[#This Row],[ATA DT.VALID.]] - $D$1,0) / 30,0)</f>
        <v>-1474</v>
      </c>
      <c r="U669" s="302" t="s">
        <v>1456</v>
      </c>
      <c r="V669" s="318">
        <v>1</v>
      </c>
      <c r="W669" s="319" t="s">
        <v>2074</v>
      </c>
      <c r="X669" s="320">
        <v>45</v>
      </c>
      <c r="Y669" s="321">
        <v>30</v>
      </c>
      <c r="Z669" s="322">
        <v>6978</v>
      </c>
      <c r="AA669" s="323">
        <v>2023</v>
      </c>
      <c r="AB669" s="324">
        <v>2300</v>
      </c>
      <c r="AC669" s="324"/>
      <c r="AD669" s="323"/>
      <c r="AE669" s="324"/>
      <c r="AF669" s="317"/>
      <c r="AG669" s="325" t="s">
        <v>2072</v>
      </c>
      <c r="AH669" s="326"/>
      <c r="AI669" s="317">
        <v>1302</v>
      </c>
      <c r="AJ669" s="326">
        <v>44463</v>
      </c>
      <c r="AK669" s="326">
        <v>38196</v>
      </c>
      <c r="AL669" s="326">
        <v>45044</v>
      </c>
      <c r="AM669" s="316"/>
      <c r="AN669" s="305"/>
      <c r="AO669" s="327" t="str">
        <f>_xlfn.IFNA(IF(VLOOKUP(tabItens[[#This Row],[CÓDIGO]],tabExcluirDoEstoque[#Data],1,FALSE),"sim",""),"")</f>
        <v/>
      </c>
      <c r="AP669" s="328" t="str">
        <f ca="1">IF(OR(ISBLANK(tabItens[[#This Row],[ATA DT.VALID.]]),tabItens[[#This Row],[ATA DT.VALID.]]="",tabItens[[#This Row],[ATA DT.VALID.]]=" "),"",IF(TYPE(tabItens[[#This Row],[ATA DT.VALID.]])=1,ROUNDUP((tabItens[[#This Row],[ATA DT.VALID.]]-TODAY())/7,0),""))</f>
        <v/>
      </c>
      <c r="AQ669" s="329"/>
      <c r="AR669" s="330" t="str">
        <f>IF(ISBLANK(tabItens[[#This Row],[CÓDIGO]]),"",IFERROR(VLOOKUP(tabItens[[#This Row],[CÓDIGO]],Consumo!$C$2:$AC$862,26,FALSE),0))</f>
        <v>07.2023</v>
      </c>
      <c r="AS669" s="331">
        <f>SUMIF(Consumo!$C$3:$C$862,tabItens[[#This Row],[CÓDIGO]],Consumo!$N$3:$N$862) + SUMIF(Consumo!$C$3:$C$862,tabItens[[#This Row],[CÓDIGO]],Consumo!$O$3:$O$862) + SUMIF(Consumo!$C$3:$C$862,tabItens[[#This Row],[CÓDIGO]],Consumo!$P$3:$P$862) + SUMIF(Consumo!$C$3:$C$862,tabItens[[#This Row],[CÓDIGO]],Consumo!$Q$3:$Q$862)</f>
        <v>306</v>
      </c>
      <c r="AT669" s="331">
        <f>SUMIF(Consumo!$C$3:$C$862,tabItens[[#This Row],[CÓDIGO]],Consumo!$Z$3:$Z$862)</f>
        <v>4237</v>
      </c>
      <c r="AU669" s="332">
        <f>SUMIF(Consumo!$C$3:$C$862,tabItens[[#This Row],[CÓDIGO]],Consumo!$AA$3:$AA$862)</f>
        <v>1474</v>
      </c>
      <c r="AV669" s="333">
        <f>SUMIF(Consumo!$C$3:$C$862,tabItens[[#This Row],[CÓDIGO]],Consumo!$Y$3:$Y$862)</f>
        <v>322.5</v>
      </c>
      <c r="AW669" s="306">
        <f>tabItens[[#This Row],[QTDE ATUAL]] + tabItens[[#This Row],[RC QTDE]] + tabItens[[#This Row],[AF SALDO]] + tabItens[[#This Row],[Recentes]]</f>
        <v>2300</v>
      </c>
      <c r="AX669" s="334">
        <v>542</v>
      </c>
      <c r="AY669" s="334">
        <v>4</v>
      </c>
      <c r="AZ669" s="334">
        <f>IF(ISBLANK(tabItens[[#This Row],[CÓDIGO]]),"",tabItens[[#This Row],[PontoMês]] * (AZ$2+tabItens[[#This Row],[PontoQtM]]))</f>
        <v>2168</v>
      </c>
      <c r="BA669" s="333">
        <f>tabItens[[#This Row],[PontoPed]] - tabItens[[#This Row],[Saldo]] + (1/10)</f>
        <v>-131.9</v>
      </c>
      <c r="BB669" s="333">
        <f xml:space="preserve"> tabItens[[#This Row],[PontoMês]] * BB$2 - tabItens[[#This Row],[QTDE ATUAL]] - (1/10)</f>
        <v>541.9</v>
      </c>
      <c r="BC669" s="335">
        <f>IF( tabItens[[#This Row],[PontoPed]]&gt;0, IF(tabItens[[#This Row],[PontoPed]]&lt;1, 1, IF( tabItens[[#This Row],[Saldo]]&gt;tabItens[[#This Row],[PontoPed]], 0, (tabItens[[#This Row],[PontoPed]]-tabItens[[#This Row],[Saldo]])/tabItens[[#This Row],[PontoPed]] ) ), 0 )</f>
        <v>0</v>
      </c>
      <c r="BD669" s="336">
        <f>ROUNDDOWN(IF( OR( AND(tabItens[[#This Row],[PontoPed]]&lt;tabItens[[#This Row],[Saldo]],tabItens[[#This Row],[Saldo]]&gt;0), tabItens[[#This Row],[PontoPed]]=0), 99, IF(AND(tabItens[[#This Row],[Saldo]]=0,tabItens[[#This Row],[PontoPed]]&gt;0), 0, (1-tabItens[[#This Row],[PctAb]])*10 ) ),0)</f>
        <v>99</v>
      </c>
      <c r="BE669" s="337">
        <f>MAX(ROUNDDOWN( IF(tabItens[[#This Row],[Abaixo]] &gt; 0,   tabItens[[#This Row],[Abaixo]] + (tabItens[[#This Row],[PontoMês]] * IF( OR( ISBLANK(tabItens[[#This Row],[ATA Nº/ANO]]), tabItens[[#This Row],[ATA Nº/ANO]] = ""),BE$2,BE$1)),0),0),0)</f>
        <v>0</v>
      </c>
      <c r="BF66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9" s="338">
        <f>SUMIF(Consumo!$C$3:$C$862,tabItens[[#This Row],[CÓDIGO]],Consumo!$E$3:$E$862)</f>
        <v>332</v>
      </c>
      <c r="BH669" s="339">
        <f>IF(AND(tabItens[[#This Row],[Pend]] &gt; 0,tabItens[[#This Row],[Consumo]] &lt;&gt; 0), tabItens[[#This Row],[Pend]] / tabItens[[#This Row],[Consumo]], 0 )</f>
        <v>7.8357328298324286E-2</v>
      </c>
      <c r="BI669" s="338"/>
      <c r="BJ669" s="338"/>
      <c r="BK669" s="340" t="s">
        <v>2086</v>
      </c>
    </row>
    <row r="670" spans="1:63" hidden="1" x14ac:dyDescent="0.3">
      <c r="A670" s="301">
        <v>80874</v>
      </c>
      <c r="B670" s="302" t="s">
        <v>1469</v>
      </c>
      <c r="C670" s="303" t="s">
        <v>653</v>
      </c>
      <c r="D670" s="304">
        <v>3.37</v>
      </c>
      <c r="E670" s="305"/>
      <c r="F670" s="305"/>
      <c r="G670" s="305" t="s">
        <v>889</v>
      </c>
      <c r="H670" s="306">
        <v>360</v>
      </c>
      <c r="I670" s="307">
        <v>103003</v>
      </c>
      <c r="J670" s="308">
        <v>3.37</v>
      </c>
      <c r="K670" s="309">
        <v>3600</v>
      </c>
      <c r="L670" s="310">
        <f>IF(tabItens[[#This Row],[Média]] &gt; 0, tabItens[[#This Row],[QTDE ATUAL]] / tabItens[[#This Row],[Média]],999.9)</f>
        <v>0.85612366230677761</v>
      </c>
      <c r="M670" s="311">
        <v>0</v>
      </c>
      <c r="N670" s="312">
        <f>tabItens[[#This Row],[VALOR UNIT.]] * tabItens[[#This Row],[LC]]</f>
        <v>0</v>
      </c>
      <c r="O670" s="313"/>
      <c r="P670" s="314"/>
      <c r="Q670" s="315"/>
      <c r="R670" s="312"/>
      <c r="S670" s="316"/>
      <c r="T670" s="317">
        <f>ROUNDDOWN(IFERROR(tabItens[[#This Row],[ATA DT.VALID.]] - $D$1,0) / 30,0)</f>
        <v>-1474</v>
      </c>
      <c r="U670" s="302" t="s">
        <v>1456</v>
      </c>
      <c r="V670" s="318">
        <v>1</v>
      </c>
      <c r="W670" s="319" t="s">
        <v>2074</v>
      </c>
      <c r="X670" s="320">
        <v>45</v>
      </c>
      <c r="Y670" s="321">
        <v>30</v>
      </c>
      <c r="Z670" s="322">
        <v>6978</v>
      </c>
      <c r="AA670" s="323">
        <v>2023</v>
      </c>
      <c r="AB670" s="324">
        <v>700</v>
      </c>
      <c r="AC670" s="324"/>
      <c r="AD670" s="323"/>
      <c r="AE670" s="324"/>
      <c r="AF670" s="317"/>
      <c r="AG670" s="325" t="s">
        <v>2072</v>
      </c>
      <c r="AH670" s="326"/>
      <c r="AI670" s="317">
        <v>1798</v>
      </c>
      <c r="AJ670" s="326">
        <v>44928</v>
      </c>
      <c r="AK670" s="326">
        <v>38196</v>
      </c>
      <c r="AL670" s="326">
        <v>44910</v>
      </c>
      <c r="AM670" s="316"/>
      <c r="AN670" s="305"/>
      <c r="AO670" s="327" t="str">
        <f>_xlfn.IFNA(IF(VLOOKUP(tabItens[[#This Row],[CÓDIGO]],tabExcluirDoEstoque[#Data],1,FALSE),"sim",""),"")</f>
        <v/>
      </c>
      <c r="AP670" s="328" t="str">
        <f ca="1">IF(OR(ISBLANK(tabItens[[#This Row],[ATA DT.VALID.]]),tabItens[[#This Row],[ATA DT.VALID.]]="",tabItens[[#This Row],[ATA DT.VALID.]]=" "),"",IF(TYPE(tabItens[[#This Row],[ATA DT.VALID.]])=1,ROUNDUP((tabItens[[#This Row],[ATA DT.VALID.]]-TODAY())/7,0),""))</f>
        <v/>
      </c>
      <c r="AQ670" s="329"/>
      <c r="AR670" s="330" t="str">
        <f>IF(ISBLANK(tabItens[[#This Row],[CÓDIGO]]),"",IFERROR(VLOOKUP(tabItens[[#This Row],[CÓDIGO]],Consumo!$C$2:$AC$862,26,FALSE),0))</f>
        <v>09.2023</v>
      </c>
      <c r="AS670" s="331">
        <f>SUMIF(Consumo!$C$3:$C$862,tabItens[[#This Row],[CÓDIGO]],Consumo!$N$3:$N$862) + SUMIF(Consumo!$C$3:$C$862,tabItens[[#This Row],[CÓDIGO]],Consumo!$O$3:$O$862) + SUMIF(Consumo!$C$3:$C$862,tabItens[[#This Row],[CÓDIGO]],Consumo!$P$3:$P$862) + SUMIF(Consumo!$C$3:$C$862,tabItens[[#This Row],[CÓDIGO]],Consumo!$Q$3:$Q$862)</f>
        <v>1517</v>
      </c>
      <c r="AT670" s="331">
        <f>SUMIF(Consumo!$C$3:$C$862,tabItens[[#This Row],[CÓDIGO]],Consumo!$Z$3:$Z$862)</f>
        <v>5398</v>
      </c>
      <c r="AU670" s="332">
        <f>SUMIF(Consumo!$C$3:$C$862,tabItens[[#This Row],[CÓDIGO]],Consumo!$AA$3:$AA$862)</f>
        <v>1513</v>
      </c>
      <c r="AV670" s="333">
        <f>SUMIF(Consumo!$C$3:$C$862,tabItens[[#This Row],[CÓDIGO]],Consumo!$Y$3:$Y$862)</f>
        <v>420.5</v>
      </c>
      <c r="AW670" s="306">
        <f>tabItens[[#This Row],[QTDE ATUAL]] + tabItens[[#This Row],[RC QTDE]] + tabItens[[#This Row],[AF SALDO]] + tabItens[[#This Row],[Recentes]]</f>
        <v>1060</v>
      </c>
      <c r="AX670" s="334">
        <v>558</v>
      </c>
      <c r="AY670" s="334">
        <v>4</v>
      </c>
      <c r="AZ670" s="334">
        <f>IF(ISBLANK(tabItens[[#This Row],[CÓDIGO]]),"",tabItens[[#This Row],[PontoMês]] * (AZ$2+tabItens[[#This Row],[PontoQtM]]))</f>
        <v>2232</v>
      </c>
      <c r="BA670" s="333">
        <f>tabItens[[#This Row],[PontoPed]] - tabItens[[#This Row],[Saldo]] + (1/10)</f>
        <v>1172.0999999999999</v>
      </c>
      <c r="BB670" s="333">
        <f xml:space="preserve"> tabItens[[#This Row],[PontoMês]] * BB$2 - tabItens[[#This Row],[QTDE ATUAL]] - (1/10)</f>
        <v>197.9</v>
      </c>
      <c r="BC670" s="335">
        <f>IF( tabItens[[#This Row],[PontoPed]]&gt;0, IF(tabItens[[#This Row],[PontoPed]]&lt;1, 1, IF( tabItens[[#This Row],[Saldo]]&gt;tabItens[[#This Row],[PontoPed]], 0, (tabItens[[#This Row],[PontoPed]]-tabItens[[#This Row],[Saldo]])/tabItens[[#This Row],[PontoPed]] ) ), 0 )</f>
        <v>0.52508960573476704</v>
      </c>
      <c r="BD670" s="336">
        <f>ROUNDDOWN(IF( OR( AND(tabItens[[#This Row],[PontoPed]]&lt;tabItens[[#This Row],[Saldo]],tabItens[[#This Row],[Saldo]]&gt;0), tabItens[[#This Row],[PontoPed]]=0), 99, IF(AND(tabItens[[#This Row],[Saldo]]=0,tabItens[[#This Row],[PontoPed]]&gt;0), 0, (1-tabItens[[#This Row],[PctAb]])*10 ) ),0)</f>
        <v>4</v>
      </c>
      <c r="BE670" s="337">
        <f>MAX(ROUNDDOWN( IF(tabItens[[#This Row],[Abaixo]] &gt; 0,   tabItens[[#This Row],[Abaixo]] + (tabItens[[#This Row],[PontoMês]] * IF( OR( ISBLANK(tabItens[[#This Row],[ATA Nº/ANO]]), tabItens[[#This Row],[ATA Nº/ANO]] = ""),BE$2,BE$1)),0),0),0)</f>
        <v>4520</v>
      </c>
      <c r="BF67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4520</v>
      </c>
      <c r="BG670" s="338">
        <f>SUMIF(Consumo!$C$3:$C$862,tabItens[[#This Row],[CÓDIGO]],Consumo!$E$3:$E$862)</f>
        <v>2</v>
      </c>
      <c r="BH670" s="339">
        <f>IF(AND(tabItens[[#This Row],[Pend]] &gt; 0,tabItens[[#This Row],[Consumo]] &lt;&gt; 0), tabItens[[#This Row],[Pend]] / tabItens[[#This Row],[Consumo]], 0 )</f>
        <v>3.7050759540570581E-4</v>
      </c>
      <c r="BI670" s="338"/>
      <c r="BJ670" s="338"/>
      <c r="BK670" s="340" t="s">
        <v>2086</v>
      </c>
    </row>
    <row r="671" spans="1:63" hidden="1" x14ac:dyDescent="0.3">
      <c r="A671" s="301">
        <v>106697</v>
      </c>
      <c r="B671" s="302" t="s">
        <v>1641</v>
      </c>
      <c r="C671" s="303" t="s">
        <v>335</v>
      </c>
      <c r="D671" s="304">
        <v>3.39</v>
      </c>
      <c r="E671" s="305"/>
      <c r="F671" s="305"/>
      <c r="G671" s="305" t="s">
        <v>889</v>
      </c>
      <c r="H671" s="306">
        <v>850</v>
      </c>
      <c r="I671" s="307">
        <v>103003</v>
      </c>
      <c r="J671" s="308">
        <v>3.39</v>
      </c>
      <c r="K671" s="309">
        <v>3489</v>
      </c>
      <c r="L671" s="310">
        <f>IF(tabItens[[#This Row],[Média]] &gt; 0, tabItens[[#This Row],[QTDE ATUAL]] / tabItens[[#This Row],[Média]],999.9)</f>
        <v>2.1325527911352706</v>
      </c>
      <c r="M671" s="311">
        <v>0</v>
      </c>
      <c r="N671" s="312">
        <f>tabItens[[#This Row],[VALOR UNIT.]] * tabItens[[#This Row],[LC]]</f>
        <v>0</v>
      </c>
      <c r="O671" s="313"/>
      <c r="P671" s="314"/>
      <c r="Q671" s="315"/>
      <c r="R671" s="312"/>
      <c r="S671" s="316"/>
      <c r="T671" s="317">
        <f>ROUNDDOWN(IFERROR(tabItens[[#This Row],[ATA DT.VALID.]] - $D$1,0) / 30,0)</f>
        <v>-1474</v>
      </c>
      <c r="U671" s="302" t="s">
        <v>1456</v>
      </c>
      <c r="V671" s="318">
        <v>1</v>
      </c>
      <c r="W671" s="319" t="s">
        <v>2074</v>
      </c>
      <c r="X671" s="320">
        <v>45</v>
      </c>
      <c r="Y671" s="321">
        <v>30</v>
      </c>
      <c r="Z671" s="322">
        <v>6979</v>
      </c>
      <c r="AA671" s="323">
        <v>2023</v>
      </c>
      <c r="AB671" s="324">
        <v>300</v>
      </c>
      <c r="AC671" s="324"/>
      <c r="AD671" s="323"/>
      <c r="AE671" s="324"/>
      <c r="AF671" s="317"/>
      <c r="AG671" s="325" t="s">
        <v>2072</v>
      </c>
      <c r="AH671" s="326"/>
      <c r="AI671" s="317">
        <v>1712</v>
      </c>
      <c r="AJ671" s="326">
        <v>44928</v>
      </c>
      <c r="AK671" s="326">
        <v>39598</v>
      </c>
      <c r="AL671" s="326">
        <v>44910</v>
      </c>
      <c r="AM671" s="316"/>
      <c r="AN671" s="305"/>
      <c r="AO671" s="327" t="str">
        <f>_xlfn.IFNA(IF(VLOOKUP(tabItens[[#This Row],[CÓDIGO]],tabExcluirDoEstoque[#Data],1,FALSE),"sim",""),"")</f>
        <v/>
      </c>
      <c r="AP671" s="328" t="str">
        <f ca="1">IF(OR(ISBLANK(tabItens[[#This Row],[ATA DT.VALID.]]),tabItens[[#This Row],[ATA DT.VALID.]]="",tabItens[[#This Row],[ATA DT.VALID.]]=" "),"",IF(TYPE(tabItens[[#This Row],[ATA DT.VALID.]])=1,ROUNDUP((tabItens[[#This Row],[ATA DT.VALID.]]-TODAY())/7,0),""))</f>
        <v/>
      </c>
      <c r="AQ671" s="329"/>
      <c r="AR671" s="330" t="str">
        <f>IF(ISBLANK(tabItens[[#This Row],[CÓDIGO]]),"",IFERROR(VLOOKUP(tabItens[[#This Row],[CÓDIGO]],Consumo!$C$2:$AC$862,26,FALSE),0))</f>
        <v>09.2023</v>
      </c>
      <c r="AS671" s="331">
        <f>SUMIF(Consumo!$C$3:$C$862,tabItens[[#This Row],[CÓDIGO]],Consumo!$N$3:$N$862) + SUMIF(Consumo!$C$3:$C$862,tabItens[[#This Row],[CÓDIGO]],Consumo!$O$3:$O$862) + SUMIF(Consumo!$C$3:$C$862,tabItens[[#This Row],[CÓDIGO]],Consumo!$P$3:$P$862) + SUMIF(Consumo!$C$3:$C$862,tabItens[[#This Row],[CÓDIGO]],Consumo!$Q$3:$Q$862)</f>
        <v>1444</v>
      </c>
      <c r="AT671" s="331">
        <f>SUMIF(Consumo!$C$3:$C$862,tabItens[[#This Row],[CÓDIGO]],Consumo!$Z$3:$Z$862)</f>
        <v>5136</v>
      </c>
      <c r="AU671" s="332">
        <f>SUMIF(Consumo!$C$3:$C$862,tabItens[[#This Row],[CÓDIGO]],Consumo!$AA$3:$AA$862)</f>
        <v>1483</v>
      </c>
      <c r="AV671" s="333">
        <f>SUMIF(Consumo!$C$3:$C$862,tabItens[[#This Row],[CÓDIGO]],Consumo!$Y$3:$Y$862)</f>
        <v>398.58333333333331</v>
      </c>
      <c r="AW671" s="306">
        <f>tabItens[[#This Row],[QTDE ATUAL]] + tabItens[[#This Row],[RC QTDE]] + tabItens[[#This Row],[AF SALDO]] + tabItens[[#This Row],[Recentes]]</f>
        <v>1150</v>
      </c>
      <c r="AX671" s="334">
        <v>544</v>
      </c>
      <c r="AY671" s="334">
        <v>4</v>
      </c>
      <c r="AZ671" s="334">
        <f>IF(ISBLANK(tabItens[[#This Row],[CÓDIGO]]),"",tabItens[[#This Row],[PontoMês]] * (AZ$2+tabItens[[#This Row],[PontoQtM]]))</f>
        <v>2176</v>
      </c>
      <c r="BA671" s="333">
        <f>tabItens[[#This Row],[PontoPed]] - tabItens[[#This Row],[Saldo]] + (1/10)</f>
        <v>1026.0999999999999</v>
      </c>
      <c r="BB671" s="333">
        <f xml:space="preserve"> tabItens[[#This Row],[PontoMês]] * BB$2 - tabItens[[#This Row],[QTDE ATUAL]] - (1/10)</f>
        <v>-306.10000000000002</v>
      </c>
      <c r="BC671" s="335">
        <f>IF( tabItens[[#This Row],[PontoPed]]&gt;0, IF(tabItens[[#This Row],[PontoPed]]&lt;1, 1, IF( tabItens[[#This Row],[Saldo]]&gt;tabItens[[#This Row],[PontoPed]], 0, (tabItens[[#This Row],[PontoPed]]-tabItens[[#This Row],[Saldo]])/tabItens[[#This Row],[PontoPed]] ) ), 0 )</f>
        <v>0.47150735294117646</v>
      </c>
      <c r="BD671" s="336">
        <f>ROUNDDOWN(IF( OR( AND(tabItens[[#This Row],[PontoPed]]&lt;tabItens[[#This Row],[Saldo]],tabItens[[#This Row],[Saldo]]&gt;0), tabItens[[#This Row],[PontoPed]]=0), 99, IF(AND(tabItens[[#This Row],[Saldo]]=0,tabItens[[#This Row],[PontoPed]]&gt;0), 0, (1-tabItens[[#This Row],[PctAb]])*10 ) ),0)</f>
        <v>5</v>
      </c>
      <c r="BE671" s="337">
        <f>MAX(ROUNDDOWN( IF(tabItens[[#This Row],[Abaixo]] &gt; 0,   tabItens[[#This Row],[Abaixo]] + (tabItens[[#This Row],[PontoMês]] * IF( OR( ISBLANK(tabItens[[#This Row],[ATA Nº/ANO]]), tabItens[[#This Row],[ATA Nº/ANO]] = ""),BE$2,BE$1)),0),0),0)</f>
        <v>4290</v>
      </c>
      <c r="BF67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4290</v>
      </c>
      <c r="BG671" s="338">
        <f>SUMIF(Consumo!$C$3:$C$862,tabItens[[#This Row],[CÓDIGO]],Consumo!$E$3:$E$862)</f>
        <v>2</v>
      </c>
      <c r="BH671" s="339">
        <f>IF(AND(tabItens[[#This Row],[Pend]] &gt; 0,tabItens[[#This Row],[Consumo]] &lt;&gt; 0), tabItens[[#This Row],[Pend]] / tabItens[[#This Row],[Consumo]], 0 )</f>
        <v>3.8940809968847351E-4</v>
      </c>
      <c r="BI671" s="338"/>
      <c r="BJ671" s="338"/>
      <c r="BK671" s="340" t="s">
        <v>2086</v>
      </c>
    </row>
    <row r="672" spans="1:63" hidden="1" x14ac:dyDescent="0.3">
      <c r="A672" s="301">
        <v>135701</v>
      </c>
      <c r="B672" s="302" t="s">
        <v>1919</v>
      </c>
      <c r="C672" s="303" t="s">
        <v>31</v>
      </c>
      <c r="D672" s="304">
        <v>3.32</v>
      </c>
      <c r="E672" s="305"/>
      <c r="F672" s="305"/>
      <c r="G672" s="305" t="s">
        <v>889</v>
      </c>
      <c r="H672" s="306">
        <v>2006</v>
      </c>
      <c r="I672" s="307">
        <v>103003</v>
      </c>
      <c r="J672" s="308">
        <v>3.32</v>
      </c>
      <c r="K672" s="309">
        <v>122</v>
      </c>
      <c r="L672" s="310">
        <f>IF(tabItens[[#This Row],[Média]] &gt; 0, tabItens[[#This Row],[QTDE ATUAL]] / tabItens[[#This Row],[Média]],999.9)</f>
        <v>122.19289340101523</v>
      </c>
      <c r="M672" s="311">
        <v>0</v>
      </c>
      <c r="N672" s="312">
        <f>tabItens[[#This Row],[VALOR UNIT.]] * tabItens[[#This Row],[LC]]</f>
        <v>0</v>
      </c>
      <c r="O672" s="313"/>
      <c r="P672" s="314"/>
      <c r="Q672" s="315"/>
      <c r="R672" s="312"/>
      <c r="S672" s="316"/>
      <c r="T672" s="317">
        <f>ROUNDDOWN(IFERROR(tabItens[[#This Row],[ATA DT.VALID.]] - $D$1,0) / 30,0)</f>
        <v>-1474</v>
      </c>
      <c r="U672" s="302" t="s">
        <v>1920</v>
      </c>
      <c r="V672" s="318">
        <v>1</v>
      </c>
      <c r="W672" s="319"/>
      <c r="X672" s="320">
        <v>46</v>
      </c>
      <c r="Y672" s="321">
        <v>2</v>
      </c>
      <c r="Z672" s="322"/>
      <c r="AA672" s="323"/>
      <c r="AB672" s="324"/>
      <c r="AC672" s="324"/>
      <c r="AD672" s="323"/>
      <c r="AE672" s="324"/>
      <c r="AF672" s="317"/>
      <c r="AG672" s="325" t="s">
        <v>2072</v>
      </c>
      <c r="AH672" s="326"/>
      <c r="AI672" s="317">
        <v>68</v>
      </c>
      <c r="AJ672" s="326" t="s">
        <v>889</v>
      </c>
      <c r="AK672" s="326">
        <v>43333</v>
      </c>
      <c r="AL672" s="326">
        <v>44525</v>
      </c>
      <c r="AM672" s="316"/>
      <c r="AN672" s="305"/>
      <c r="AO672" s="327" t="str">
        <f>_xlfn.IFNA(IF(VLOOKUP(tabItens[[#This Row],[CÓDIGO]],tabExcluirDoEstoque[#Data],1,FALSE),"sim",""),"")</f>
        <v/>
      </c>
      <c r="AP672" s="328" t="str">
        <f ca="1">IF(OR(ISBLANK(tabItens[[#This Row],[ATA DT.VALID.]]),tabItens[[#This Row],[ATA DT.VALID.]]="",tabItens[[#This Row],[ATA DT.VALID.]]=" "),"",IF(TYPE(tabItens[[#This Row],[ATA DT.VALID.]])=1,ROUNDUP((tabItens[[#This Row],[ATA DT.VALID.]]-TODAY())/7,0),""))</f>
        <v/>
      </c>
      <c r="AQ672" s="329"/>
      <c r="AR672" s="330" t="str">
        <f>IF(ISBLANK(tabItens[[#This Row],[CÓDIGO]]),"",IFERROR(VLOOKUP(tabItens[[#This Row],[CÓDIGO]],Consumo!$C$2:$AC$862,26,FALSE),0))</f>
        <v>09.2023</v>
      </c>
      <c r="AS672" s="331">
        <f>SUMIF(Consumo!$C$3:$C$862,tabItens[[#This Row],[CÓDIGO]],Consumo!$N$3:$N$862) + SUMIF(Consumo!$C$3:$C$862,tabItens[[#This Row],[CÓDIGO]],Consumo!$O$3:$O$862) + SUMIF(Consumo!$C$3:$C$862,tabItens[[#This Row],[CÓDIGO]],Consumo!$P$3:$P$862) + SUMIF(Consumo!$C$3:$C$862,tabItens[[#This Row],[CÓDIGO]],Consumo!$Q$3:$Q$862)</f>
        <v>66</v>
      </c>
      <c r="AT672" s="331">
        <f>SUMIF(Consumo!$C$3:$C$862,tabItens[[#This Row],[CÓDIGO]],Consumo!$Z$3:$Z$862)</f>
        <v>201</v>
      </c>
      <c r="AU672" s="332">
        <f>SUMIF(Consumo!$C$3:$C$862,tabItens[[#This Row],[CÓDIGO]],Consumo!$AA$3:$AA$862)</f>
        <v>32</v>
      </c>
      <c r="AV672" s="333">
        <f>SUMIF(Consumo!$C$3:$C$862,tabItens[[#This Row],[CÓDIGO]],Consumo!$Y$3:$Y$862)</f>
        <v>16.416666666666668</v>
      </c>
      <c r="AW672" s="306">
        <f>tabItens[[#This Row],[QTDE ATUAL]] + tabItens[[#This Row],[RC QTDE]] + tabItens[[#This Row],[AF SALDO]] + tabItens[[#This Row],[Recentes]]</f>
        <v>2006</v>
      </c>
      <c r="AX672" s="334">
        <v>127</v>
      </c>
      <c r="AY672" s="334">
        <v>4</v>
      </c>
      <c r="AZ672" s="334">
        <f>IF(ISBLANK(tabItens[[#This Row],[CÓDIGO]]),"",tabItens[[#This Row],[PontoMês]] * (AZ$2+tabItens[[#This Row],[PontoQtM]]))</f>
        <v>508</v>
      </c>
      <c r="BA672" s="333">
        <f>tabItens[[#This Row],[PontoPed]] - tabItens[[#This Row],[Saldo]] + (1/10)</f>
        <v>-1497.9</v>
      </c>
      <c r="BB672" s="333">
        <f xml:space="preserve"> tabItens[[#This Row],[PontoMês]] * BB$2 - tabItens[[#This Row],[QTDE ATUAL]] - (1/10)</f>
        <v>-1879.1</v>
      </c>
      <c r="BC672" s="335">
        <f>IF( tabItens[[#This Row],[PontoPed]]&gt;0, IF(tabItens[[#This Row],[PontoPed]]&lt;1, 1, IF( tabItens[[#This Row],[Saldo]]&gt;tabItens[[#This Row],[PontoPed]], 0, (tabItens[[#This Row],[PontoPed]]-tabItens[[#This Row],[Saldo]])/tabItens[[#This Row],[PontoPed]] ) ), 0 )</f>
        <v>0</v>
      </c>
      <c r="BD672" s="336">
        <f>ROUNDDOWN(IF( OR( AND(tabItens[[#This Row],[PontoPed]]&lt;tabItens[[#This Row],[Saldo]],tabItens[[#This Row],[Saldo]]&gt;0), tabItens[[#This Row],[PontoPed]]=0), 99, IF(AND(tabItens[[#This Row],[Saldo]]=0,tabItens[[#This Row],[PontoPed]]&gt;0), 0, (1-tabItens[[#This Row],[PctAb]])*10 ) ),0)</f>
        <v>99</v>
      </c>
      <c r="BE672" s="337">
        <f>MAX(ROUNDDOWN( IF(tabItens[[#This Row],[Abaixo]] &gt; 0,   tabItens[[#This Row],[Abaixo]] + (tabItens[[#This Row],[PontoMês]] * IF( OR( ISBLANK(tabItens[[#This Row],[ATA Nº/ANO]]), tabItens[[#This Row],[ATA Nº/ANO]] = ""),BE$2,BE$1)),0),0),0)</f>
        <v>0</v>
      </c>
      <c r="BF67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2" s="338">
        <f>SUMIF(Consumo!$C$3:$C$862,tabItens[[#This Row],[CÓDIGO]],Consumo!$E$3:$E$862)</f>
        <v>0</v>
      </c>
      <c r="BH672" s="339">
        <f>IF(AND(tabItens[[#This Row],[Pend]] &gt; 0,tabItens[[#This Row],[Consumo]] &lt;&gt; 0), tabItens[[#This Row],[Pend]] / tabItens[[#This Row],[Consumo]], 0 )</f>
        <v>0</v>
      </c>
      <c r="BI672" s="338"/>
      <c r="BJ672" s="338"/>
      <c r="BK672" s="340" t="s">
        <v>2086</v>
      </c>
    </row>
    <row r="673" spans="1:63" hidden="1" x14ac:dyDescent="0.3">
      <c r="A673" s="301">
        <v>135303</v>
      </c>
      <c r="B673" s="302" t="s">
        <v>1915</v>
      </c>
      <c r="C673" s="303" t="s">
        <v>263</v>
      </c>
      <c r="D673" s="304">
        <v>56</v>
      </c>
      <c r="E673" s="305"/>
      <c r="F673" s="305"/>
      <c r="G673" s="305" t="s">
        <v>889</v>
      </c>
      <c r="H673" s="306">
        <v>106</v>
      </c>
      <c r="I673" s="307">
        <v>103003</v>
      </c>
      <c r="J673" s="308">
        <v>56</v>
      </c>
      <c r="K673" s="309">
        <v>34</v>
      </c>
      <c r="L673" s="310">
        <f>IF(tabItens[[#This Row],[Média]] &gt; 0, tabItens[[#This Row],[QTDE ATUAL]] / tabItens[[#This Row],[Média]],999.9)</f>
        <v>29.581395348837209</v>
      </c>
      <c r="M673" s="311">
        <v>0</v>
      </c>
      <c r="N673" s="312">
        <f>tabItens[[#This Row],[VALOR UNIT.]] * tabItens[[#This Row],[LC]]</f>
        <v>0</v>
      </c>
      <c r="O673" s="313"/>
      <c r="P673" s="314"/>
      <c r="Q673" s="315"/>
      <c r="R673" s="312"/>
      <c r="S673" s="316"/>
      <c r="T673" s="317">
        <f>ROUNDDOWN(IFERROR(tabItens[[#This Row],[ATA DT.VALID.]] - $D$1,0) / 30,0)</f>
        <v>-1474</v>
      </c>
      <c r="U673" s="302" t="s">
        <v>1916</v>
      </c>
      <c r="V673" s="318">
        <v>1</v>
      </c>
      <c r="W673" s="319" t="s">
        <v>2073</v>
      </c>
      <c r="X673" s="320">
        <v>49</v>
      </c>
      <c r="Y673" s="321">
        <v>7</v>
      </c>
      <c r="Z673" s="322"/>
      <c r="AA673" s="323"/>
      <c r="AB673" s="324"/>
      <c r="AC673" s="324"/>
      <c r="AD673" s="323"/>
      <c r="AE673" s="324"/>
      <c r="AF673" s="317"/>
      <c r="AG673" s="325" t="s">
        <v>2072</v>
      </c>
      <c r="AH673" s="326"/>
      <c r="AI673" s="317">
        <v>16</v>
      </c>
      <c r="AJ673" s="326">
        <v>43866</v>
      </c>
      <c r="AK673" s="326">
        <v>43277</v>
      </c>
      <c r="AL673" s="326">
        <v>43826</v>
      </c>
      <c r="AM673" s="316"/>
      <c r="AN673" s="305"/>
      <c r="AO673" s="327" t="str">
        <f>_xlfn.IFNA(IF(VLOOKUP(tabItens[[#This Row],[CÓDIGO]],tabExcluirDoEstoque[#Data],1,FALSE),"sim",""),"")</f>
        <v/>
      </c>
      <c r="AP673" s="328" t="str">
        <f ca="1">IF(OR(ISBLANK(tabItens[[#This Row],[ATA DT.VALID.]]),tabItens[[#This Row],[ATA DT.VALID.]]="",tabItens[[#This Row],[ATA DT.VALID.]]=" "),"",IF(TYPE(tabItens[[#This Row],[ATA DT.VALID.]])=1,ROUNDUP((tabItens[[#This Row],[ATA DT.VALID.]]-TODAY())/7,0),""))</f>
        <v/>
      </c>
      <c r="AQ673" s="329"/>
      <c r="AR673" s="330" t="str">
        <f>IF(ISBLANK(tabItens[[#This Row],[CÓDIGO]]),"",IFERROR(VLOOKUP(tabItens[[#This Row],[CÓDIGO]],Consumo!$C$2:$AC$862,26,FALSE),0))</f>
        <v>07.2023</v>
      </c>
      <c r="AS673" s="331">
        <f>SUMIF(Consumo!$C$3:$C$862,tabItens[[#This Row],[CÓDIGO]],Consumo!$N$3:$N$862) + SUMIF(Consumo!$C$3:$C$862,tabItens[[#This Row],[CÓDIGO]],Consumo!$O$3:$O$862) + SUMIF(Consumo!$C$3:$C$862,tabItens[[#This Row],[CÓDIGO]],Consumo!$P$3:$P$862) + SUMIF(Consumo!$C$3:$C$862,tabItens[[#This Row],[CÓDIGO]],Consumo!$Q$3:$Q$862)</f>
        <v>7</v>
      </c>
      <c r="AT673" s="331">
        <f>SUMIF(Consumo!$C$3:$C$862,tabItens[[#This Row],[CÓDIGO]],Consumo!$Z$3:$Z$862)</f>
        <v>43</v>
      </c>
      <c r="AU673" s="332">
        <f>SUMIF(Consumo!$C$3:$C$862,tabItens[[#This Row],[CÓDIGO]],Consumo!$AA$3:$AA$862)</f>
        <v>8</v>
      </c>
      <c r="AV673" s="333">
        <f>SUMIF(Consumo!$C$3:$C$862,tabItens[[#This Row],[CÓDIGO]],Consumo!$Y$3:$Y$862)</f>
        <v>3.5833333333333335</v>
      </c>
      <c r="AW673" s="306">
        <f>tabItens[[#This Row],[QTDE ATUAL]] + tabItens[[#This Row],[RC QTDE]] + tabItens[[#This Row],[AF SALDO]] + tabItens[[#This Row],[Recentes]]</f>
        <v>106</v>
      </c>
      <c r="AX673" s="334">
        <v>4</v>
      </c>
      <c r="AY673" s="334">
        <v>4</v>
      </c>
      <c r="AZ673" s="334">
        <f>IF(ISBLANK(tabItens[[#This Row],[CÓDIGO]]),"",tabItens[[#This Row],[PontoMês]] * (AZ$2+tabItens[[#This Row],[PontoQtM]]))</f>
        <v>16</v>
      </c>
      <c r="BA673" s="333">
        <f>tabItens[[#This Row],[PontoPed]] - tabItens[[#This Row],[Saldo]] + (1/10)</f>
        <v>-89.9</v>
      </c>
      <c r="BB673" s="333">
        <f xml:space="preserve"> tabItens[[#This Row],[PontoMês]] * BB$2 - tabItens[[#This Row],[QTDE ATUAL]] - (1/10)</f>
        <v>-102.1</v>
      </c>
      <c r="BC673" s="335">
        <f>IF( tabItens[[#This Row],[PontoPed]]&gt;0, IF(tabItens[[#This Row],[PontoPed]]&lt;1, 1, IF( tabItens[[#This Row],[Saldo]]&gt;tabItens[[#This Row],[PontoPed]], 0, (tabItens[[#This Row],[PontoPed]]-tabItens[[#This Row],[Saldo]])/tabItens[[#This Row],[PontoPed]] ) ), 0 )</f>
        <v>0</v>
      </c>
      <c r="BD673" s="336">
        <f>ROUNDDOWN(IF( OR( AND(tabItens[[#This Row],[PontoPed]]&lt;tabItens[[#This Row],[Saldo]],tabItens[[#This Row],[Saldo]]&gt;0), tabItens[[#This Row],[PontoPed]]=0), 99, IF(AND(tabItens[[#This Row],[Saldo]]=0,tabItens[[#This Row],[PontoPed]]&gt;0), 0, (1-tabItens[[#This Row],[PctAb]])*10 ) ),0)</f>
        <v>99</v>
      </c>
      <c r="BE673" s="337">
        <f>MAX(ROUNDDOWN( IF(tabItens[[#This Row],[Abaixo]] &gt; 0,   tabItens[[#This Row],[Abaixo]] + (tabItens[[#This Row],[PontoMês]] * IF( OR( ISBLANK(tabItens[[#This Row],[ATA Nº/ANO]]), tabItens[[#This Row],[ATA Nº/ANO]] = ""),BE$2,BE$1)),0),0),0)</f>
        <v>0</v>
      </c>
      <c r="BF67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3" s="338">
        <f>SUMIF(Consumo!$C$3:$C$862,tabItens[[#This Row],[CÓDIGO]],Consumo!$E$3:$E$862)</f>
        <v>0</v>
      </c>
      <c r="BH673" s="339">
        <f>IF(AND(tabItens[[#This Row],[Pend]] &gt; 0,tabItens[[#This Row],[Consumo]] &lt;&gt; 0), tabItens[[#This Row],[Pend]] / tabItens[[#This Row],[Consumo]], 0 )</f>
        <v>0</v>
      </c>
      <c r="BI673" s="338"/>
      <c r="BJ673" s="338"/>
      <c r="BK673" s="340" t="s">
        <v>2086</v>
      </c>
    </row>
    <row r="674" spans="1:63" hidden="1" x14ac:dyDescent="0.3">
      <c r="A674" s="301">
        <v>106129</v>
      </c>
      <c r="B674" s="302" t="s">
        <v>1631</v>
      </c>
      <c r="C674" s="303" t="s">
        <v>263</v>
      </c>
      <c r="D674" s="304">
        <v>92.9</v>
      </c>
      <c r="E674" s="305"/>
      <c r="F674" s="305"/>
      <c r="G674" s="305" t="s">
        <v>889</v>
      </c>
      <c r="H674" s="306">
        <v>1</v>
      </c>
      <c r="I674" s="307">
        <v>103003</v>
      </c>
      <c r="J674" s="308">
        <v>92.9</v>
      </c>
      <c r="K674" s="309">
        <v>15</v>
      </c>
      <c r="L674" s="310">
        <f>IF(tabItens[[#This Row],[Média]] &gt; 0, tabItens[[#This Row],[QTDE ATUAL]] / tabItens[[#This Row],[Média]],999.9)</f>
        <v>0.8571428571428571</v>
      </c>
      <c r="M674" s="311">
        <v>0</v>
      </c>
      <c r="N674" s="312">
        <f>tabItens[[#This Row],[VALOR UNIT.]] * tabItens[[#This Row],[LC]]</f>
        <v>0</v>
      </c>
      <c r="O674" s="313"/>
      <c r="P674" s="314"/>
      <c r="Q674" s="315"/>
      <c r="R674" s="312"/>
      <c r="S674" s="316"/>
      <c r="T674" s="317">
        <f>ROUNDDOWN(IFERROR(tabItens[[#This Row],[ATA DT.VALID.]] - $D$1,0) / 30,0)</f>
        <v>-1474</v>
      </c>
      <c r="U674" s="302" t="s">
        <v>1632</v>
      </c>
      <c r="V674" s="318">
        <v>1</v>
      </c>
      <c r="W674" s="319" t="s">
        <v>2077</v>
      </c>
      <c r="X674" s="320">
        <v>50</v>
      </c>
      <c r="Y674" s="321">
        <v>2</v>
      </c>
      <c r="Z674" s="322">
        <v>2391</v>
      </c>
      <c r="AA674" s="323">
        <v>2023</v>
      </c>
      <c r="AB674" s="324">
        <v>5</v>
      </c>
      <c r="AC674" s="324"/>
      <c r="AD674" s="323"/>
      <c r="AE674" s="324"/>
      <c r="AF674" s="317"/>
      <c r="AG674" s="325" t="s">
        <v>2072</v>
      </c>
      <c r="AH674" s="326"/>
      <c r="AI674" s="317">
        <v>6</v>
      </c>
      <c r="AJ674" s="326">
        <v>44186</v>
      </c>
      <c r="AK674" s="326">
        <v>39562</v>
      </c>
      <c r="AL674" s="326">
        <v>44176</v>
      </c>
      <c r="AM674" s="316"/>
      <c r="AN674" s="305"/>
      <c r="AO674" s="327" t="str">
        <f>_xlfn.IFNA(IF(VLOOKUP(tabItens[[#This Row],[CÓDIGO]],tabExcluirDoEstoque[#Data],1,FALSE),"sim",""),"")</f>
        <v/>
      </c>
      <c r="AP674" s="328" t="str">
        <f ca="1">IF(OR(ISBLANK(tabItens[[#This Row],[ATA DT.VALID.]]),tabItens[[#This Row],[ATA DT.VALID.]]="",tabItens[[#This Row],[ATA DT.VALID.]]=" "),"",IF(TYPE(tabItens[[#This Row],[ATA DT.VALID.]])=1,ROUNDUP((tabItens[[#This Row],[ATA DT.VALID.]]-TODAY())/7,0),""))</f>
        <v/>
      </c>
      <c r="AQ674" s="329"/>
      <c r="AR674" s="330" t="str">
        <f>IF(ISBLANK(tabItens[[#This Row],[CÓDIGO]]),"",IFERROR(VLOOKUP(tabItens[[#This Row],[CÓDIGO]],Consumo!$C$2:$AC$862,26,FALSE),0))</f>
        <v>04.2023</v>
      </c>
      <c r="AS674" s="331">
        <f>SUMIF(Consumo!$C$3:$C$862,tabItens[[#This Row],[CÓDIGO]],Consumo!$N$3:$N$862) + SUMIF(Consumo!$C$3:$C$862,tabItens[[#This Row],[CÓDIGO]],Consumo!$O$3:$O$862) + SUMIF(Consumo!$C$3:$C$862,tabItens[[#This Row],[CÓDIGO]],Consumo!$P$3:$P$862) + SUMIF(Consumo!$C$3:$C$862,tabItens[[#This Row],[CÓDIGO]],Consumo!$Q$3:$Q$862)</f>
        <v>0</v>
      </c>
      <c r="AT674" s="331">
        <f>SUMIF(Consumo!$C$3:$C$862,tabItens[[#This Row],[CÓDIGO]],Consumo!$Z$3:$Z$862)</f>
        <v>15</v>
      </c>
      <c r="AU674" s="332">
        <f>SUMIF(Consumo!$C$3:$C$862,tabItens[[#This Row],[CÓDIGO]],Consumo!$AA$3:$AA$862)</f>
        <v>6</v>
      </c>
      <c r="AV674" s="333">
        <f>SUMIF(Consumo!$C$3:$C$862,tabItens[[#This Row],[CÓDIGO]],Consumo!$Y$3:$Y$862)</f>
        <v>1.1666666666666667</v>
      </c>
      <c r="AW674" s="306">
        <f>tabItens[[#This Row],[QTDE ATUAL]] + tabItens[[#This Row],[RC QTDE]] + tabItens[[#This Row],[AF SALDO]] + tabItens[[#This Row],[Recentes]]</f>
        <v>6</v>
      </c>
      <c r="AX674" s="334">
        <v>1</v>
      </c>
      <c r="AY674" s="334">
        <v>4</v>
      </c>
      <c r="AZ674" s="334">
        <f>IF(ISBLANK(tabItens[[#This Row],[CÓDIGO]]),"",tabItens[[#This Row],[PontoMês]] * (AZ$2+tabItens[[#This Row],[PontoQtM]]))</f>
        <v>4</v>
      </c>
      <c r="BA674" s="333">
        <f>tabItens[[#This Row],[PontoPed]] - tabItens[[#This Row],[Saldo]] + (1/10)</f>
        <v>-1.9</v>
      </c>
      <c r="BB674" s="333">
        <f xml:space="preserve"> tabItens[[#This Row],[PontoMês]] * BB$2 - tabItens[[#This Row],[QTDE ATUAL]] - (1/10)</f>
        <v>-0.1</v>
      </c>
      <c r="BC674" s="335">
        <f>IF( tabItens[[#This Row],[PontoPed]]&gt;0, IF(tabItens[[#This Row],[PontoPed]]&lt;1, 1, IF( tabItens[[#This Row],[Saldo]]&gt;tabItens[[#This Row],[PontoPed]], 0, (tabItens[[#This Row],[PontoPed]]-tabItens[[#This Row],[Saldo]])/tabItens[[#This Row],[PontoPed]] ) ), 0 )</f>
        <v>0</v>
      </c>
      <c r="BD674" s="336">
        <f>ROUNDDOWN(IF( OR( AND(tabItens[[#This Row],[PontoPed]]&lt;tabItens[[#This Row],[Saldo]],tabItens[[#This Row],[Saldo]]&gt;0), tabItens[[#This Row],[PontoPed]]=0), 99, IF(AND(tabItens[[#This Row],[Saldo]]=0,tabItens[[#This Row],[PontoPed]]&gt;0), 0, (1-tabItens[[#This Row],[PctAb]])*10 ) ),0)</f>
        <v>99</v>
      </c>
      <c r="BE674" s="337">
        <f>MAX(ROUNDDOWN( IF(tabItens[[#This Row],[Abaixo]] &gt; 0,   tabItens[[#This Row],[Abaixo]] + (tabItens[[#This Row],[PontoMês]] * IF( OR( ISBLANK(tabItens[[#This Row],[ATA Nº/ANO]]), tabItens[[#This Row],[ATA Nº/ANO]] = ""),BE$2,BE$1)),0),0),0)</f>
        <v>0</v>
      </c>
      <c r="BF67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4" s="338">
        <f>SUMIF(Consumo!$C$3:$C$862,tabItens[[#This Row],[CÓDIGO]],Consumo!$E$3:$E$862)</f>
        <v>0</v>
      </c>
      <c r="BH674" s="339">
        <f>IF(AND(tabItens[[#This Row],[Pend]] &gt; 0,tabItens[[#This Row],[Consumo]] &lt;&gt; 0), tabItens[[#This Row],[Pend]] / tabItens[[#This Row],[Consumo]], 0 )</f>
        <v>0</v>
      </c>
      <c r="BI674" s="338"/>
      <c r="BJ674" s="338"/>
      <c r="BK674" s="340" t="s">
        <v>2086</v>
      </c>
    </row>
    <row r="675" spans="1:63" hidden="1" x14ac:dyDescent="0.3">
      <c r="A675" s="301">
        <v>106130</v>
      </c>
      <c r="B675" s="302" t="s">
        <v>1633</v>
      </c>
      <c r="C675" s="303" t="s">
        <v>263</v>
      </c>
      <c r="D675" s="304">
        <v>49</v>
      </c>
      <c r="E675" s="305"/>
      <c r="F675" s="305"/>
      <c r="G675" s="305" t="s">
        <v>889</v>
      </c>
      <c r="H675" s="306">
        <v>2</v>
      </c>
      <c r="I675" s="307">
        <v>103003</v>
      </c>
      <c r="J675" s="308">
        <v>49</v>
      </c>
      <c r="K675" s="309">
        <v>12</v>
      </c>
      <c r="L675" s="310">
        <f>IF(tabItens[[#This Row],[Média]] &gt; 0, tabItens[[#This Row],[QTDE ATUAL]] / tabItens[[#This Row],[Média]],999.9)</f>
        <v>2.4</v>
      </c>
      <c r="M675" s="311">
        <v>0</v>
      </c>
      <c r="N675" s="312">
        <f>tabItens[[#This Row],[VALOR UNIT.]] * tabItens[[#This Row],[LC]]</f>
        <v>0</v>
      </c>
      <c r="O675" s="313"/>
      <c r="P675" s="314"/>
      <c r="Q675" s="315"/>
      <c r="R675" s="312"/>
      <c r="S675" s="316"/>
      <c r="T675" s="317">
        <f>ROUNDDOWN(IFERROR(tabItens[[#This Row],[ATA DT.VALID.]] - $D$1,0) / 30,0)</f>
        <v>-1474</v>
      </c>
      <c r="U675" s="302" t="s">
        <v>1632</v>
      </c>
      <c r="V675" s="318">
        <v>1</v>
      </c>
      <c r="W675" s="319" t="s">
        <v>2077</v>
      </c>
      <c r="X675" s="320">
        <v>50</v>
      </c>
      <c r="Y675" s="321">
        <v>2</v>
      </c>
      <c r="Z675" s="322">
        <v>2959</v>
      </c>
      <c r="AA675" s="323">
        <v>2023</v>
      </c>
      <c r="AB675" s="324">
        <v>6</v>
      </c>
      <c r="AC675" s="324"/>
      <c r="AD675" s="323"/>
      <c r="AE675" s="324"/>
      <c r="AF675" s="317"/>
      <c r="AG675" s="325" t="s">
        <v>2072</v>
      </c>
      <c r="AH675" s="326"/>
      <c r="AI675" s="317">
        <v>4</v>
      </c>
      <c r="AJ675" s="326">
        <v>43434</v>
      </c>
      <c r="AK675" s="326">
        <v>39562</v>
      </c>
      <c r="AL675" s="326">
        <v>43411</v>
      </c>
      <c r="AM675" s="316"/>
      <c r="AN675" s="305"/>
      <c r="AO675" s="327" t="str">
        <f>_xlfn.IFNA(IF(VLOOKUP(tabItens[[#This Row],[CÓDIGO]],tabExcluirDoEstoque[#Data],1,FALSE),"sim",""),"")</f>
        <v/>
      </c>
      <c r="AP675" s="328" t="str">
        <f ca="1">IF(OR(ISBLANK(tabItens[[#This Row],[ATA DT.VALID.]]),tabItens[[#This Row],[ATA DT.VALID.]]="",tabItens[[#This Row],[ATA DT.VALID.]]=" "),"",IF(TYPE(tabItens[[#This Row],[ATA DT.VALID.]])=1,ROUNDUP((tabItens[[#This Row],[ATA DT.VALID.]]-TODAY())/7,0),""))</f>
        <v/>
      </c>
      <c r="AQ675" s="329"/>
      <c r="AR675" s="330" t="str">
        <f>IF(ISBLANK(tabItens[[#This Row],[CÓDIGO]]),"",IFERROR(VLOOKUP(tabItens[[#This Row],[CÓDIGO]],Consumo!$C$2:$AC$862,26,FALSE),0))</f>
        <v>04.2023</v>
      </c>
      <c r="AS675" s="331">
        <f>SUMIF(Consumo!$C$3:$C$862,tabItens[[#This Row],[CÓDIGO]],Consumo!$N$3:$N$862) + SUMIF(Consumo!$C$3:$C$862,tabItens[[#This Row],[CÓDIGO]],Consumo!$O$3:$O$862) + SUMIF(Consumo!$C$3:$C$862,tabItens[[#This Row],[CÓDIGO]],Consumo!$P$3:$P$862) + SUMIF(Consumo!$C$3:$C$862,tabItens[[#This Row],[CÓDIGO]],Consumo!$Q$3:$Q$862)</f>
        <v>0</v>
      </c>
      <c r="AT675" s="331">
        <f>SUMIF(Consumo!$C$3:$C$862,tabItens[[#This Row],[CÓDIGO]],Consumo!$Z$3:$Z$862)</f>
        <v>12</v>
      </c>
      <c r="AU675" s="332">
        <f>SUMIF(Consumo!$C$3:$C$862,tabItens[[#This Row],[CÓDIGO]],Consumo!$AA$3:$AA$862)</f>
        <v>6</v>
      </c>
      <c r="AV675" s="333">
        <f>SUMIF(Consumo!$C$3:$C$862,tabItens[[#This Row],[CÓDIGO]],Consumo!$Y$3:$Y$862)</f>
        <v>0.83333333333333337</v>
      </c>
      <c r="AW675" s="306">
        <f>tabItens[[#This Row],[QTDE ATUAL]] + tabItens[[#This Row],[RC QTDE]] + tabItens[[#This Row],[AF SALDO]] + tabItens[[#This Row],[Recentes]]</f>
        <v>8</v>
      </c>
      <c r="AX675" s="334">
        <v>1</v>
      </c>
      <c r="AY675" s="334">
        <v>4</v>
      </c>
      <c r="AZ675" s="334">
        <f>IF(ISBLANK(tabItens[[#This Row],[CÓDIGO]]),"",tabItens[[#This Row],[PontoMês]] * (AZ$2+tabItens[[#This Row],[PontoQtM]]))</f>
        <v>4</v>
      </c>
      <c r="BA675" s="333">
        <f>tabItens[[#This Row],[PontoPed]] - tabItens[[#This Row],[Saldo]] + (1/10)</f>
        <v>-3.9</v>
      </c>
      <c r="BB675" s="333">
        <f xml:space="preserve"> tabItens[[#This Row],[PontoMês]] * BB$2 - tabItens[[#This Row],[QTDE ATUAL]] - (1/10)</f>
        <v>-1.1000000000000001</v>
      </c>
      <c r="BC675" s="335">
        <f>IF( tabItens[[#This Row],[PontoPed]]&gt;0, IF(tabItens[[#This Row],[PontoPed]]&lt;1, 1, IF( tabItens[[#This Row],[Saldo]]&gt;tabItens[[#This Row],[PontoPed]], 0, (tabItens[[#This Row],[PontoPed]]-tabItens[[#This Row],[Saldo]])/tabItens[[#This Row],[PontoPed]] ) ), 0 )</f>
        <v>0</v>
      </c>
      <c r="BD675" s="336">
        <f>ROUNDDOWN(IF( OR( AND(tabItens[[#This Row],[PontoPed]]&lt;tabItens[[#This Row],[Saldo]],tabItens[[#This Row],[Saldo]]&gt;0), tabItens[[#This Row],[PontoPed]]=0), 99, IF(AND(tabItens[[#This Row],[Saldo]]=0,tabItens[[#This Row],[PontoPed]]&gt;0), 0, (1-tabItens[[#This Row],[PctAb]])*10 ) ),0)</f>
        <v>99</v>
      </c>
      <c r="BE675" s="337">
        <f>MAX(ROUNDDOWN( IF(tabItens[[#This Row],[Abaixo]] &gt; 0,   tabItens[[#This Row],[Abaixo]] + (tabItens[[#This Row],[PontoMês]] * IF( OR( ISBLANK(tabItens[[#This Row],[ATA Nº/ANO]]), tabItens[[#This Row],[ATA Nº/ANO]] = ""),BE$2,BE$1)),0),0),0)</f>
        <v>0</v>
      </c>
      <c r="BF67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5" s="338">
        <f>SUMIF(Consumo!$C$3:$C$862,tabItens[[#This Row],[CÓDIGO]],Consumo!$E$3:$E$862)</f>
        <v>0</v>
      </c>
      <c r="BH675" s="339">
        <f>IF(AND(tabItens[[#This Row],[Pend]] &gt; 0,tabItens[[#This Row],[Consumo]] &lt;&gt; 0), tabItens[[#This Row],[Pend]] / tabItens[[#This Row],[Consumo]], 0 )</f>
        <v>0</v>
      </c>
      <c r="BI675" s="338"/>
      <c r="BJ675" s="338"/>
      <c r="BK675" s="340" t="s">
        <v>2086</v>
      </c>
    </row>
    <row r="676" spans="1:63" hidden="1" x14ac:dyDescent="0.3">
      <c r="A676" s="301">
        <v>106131</v>
      </c>
      <c r="B676" s="302" t="s">
        <v>1634</v>
      </c>
      <c r="C676" s="303" t="s">
        <v>263</v>
      </c>
      <c r="D676" s="304">
        <v>49</v>
      </c>
      <c r="E676" s="305"/>
      <c r="F676" s="305"/>
      <c r="G676" s="305" t="s">
        <v>889</v>
      </c>
      <c r="H676" s="306">
        <v>1</v>
      </c>
      <c r="I676" s="307">
        <v>103003</v>
      </c>
      <c r="J676" s="308">
        <v>49</v>
      </c>
      <c r="K676" s="309">
        <v>15</v>
      </c>
      <c r="L676" s="310">
        <f>IF(tabItens[[#This Row],[Média]] &gt; 0, tabItens[[#This Row],[QTDE ATUAL]] / tabItens[[#This Row],[Média]],999.9)</f>
        <v>0.8571428571428571</v>
      </c>
      <c r="M676" s="311">
        <v>0</v>
      </c>
      <c r="N676" s="312">
        <f>tabItens[[#This Row],[VALOR UNIT.]] * tabItens[[#This Row],[LC]]</f>
        <v>0</v>
      </c>
      <c r="O676" s="313"/>
      <c r="P676" s="314"/>
      <c r="Q676" s="315"/>
      <c r="R676" s="312"/>
      <c r="S676" s="316"/>
      <c r="T676" s="317">
        <f>ROUNDDOWN(IFERROR(tabItens[[#This Row],[ATA DT.VALID.]] - $D$1,0) / 30,0)</f>
        <v>-1474</v>
      </c>
      <c r="U676" s="302" t="s">
        <v>1632</v>
      </c>
      <c r="V676" s="318">
        <v>1</v>
      </c>
      <c r="W676" s="319" t="s">
        <v>2077</v>
      </c>
      <c r="X676" s="320">
        <v>50</v>
      </c>
      <c r="Y676" s="321">
        <v>2</v>
      </c>
      <c r="Z676" s="322">
        <v>2959</v>
      </c>
      <c r="AA676" s="323">
        <v>2023</v>
      </c>
      <c r="AB676" s="324">
        <v>10</v>
      </c>
      <c r="AC676" s="324"/>
      <c r="AD676" s="323"/>
      <c r="AE676" s="324"/>
      <c r="AF676" s="317"/>
      <c r="AG676" s="325" t="s">
        <v>2072</v>
      </c>
      <c r="AH676" s="326"/>
      <c r="AI676" s="317">
        <v>6</v>
      </c>
      <c r="AJ676" s="326">
        <v>43434</v>
      </c>
      <c r="AK676" s="326">
        <v>39562</v>
      </c>
      <c r="AL676" s="326">
        <v>43411</v>
      </c>
      <c r="AM676" s="316"/>
      <c r="AN676" s="305"/>
      <c r="AO676" s="327" t="str">
        <f>_xlfn.IFNA(IF(VLOOKUP(tabItens[[#This Row],[CÓDIGO]],tabExcluirDoEstoque[#Data],1,FALSE),"sim",""),"")</f>
        <v/>
      </c>
      <c r="AP676" s="328" t="str">
        <f ca="1">IF(OR(ISBLANK(tabItens[[#This Row],[ATA DT.VALID.]]),tabItens[[#This Row],[ATA DT.VALID.]]="",tabItens[[#This Row],[ATA DT.VALID.]]=" "),"",IF(TYPE(tabItens[[#This Row],[ATA DT.VALID.]])=1,ROUNDUP((tabItens[[#This Row],[ATA DT.VALID.]]-TODAY())/7,0),""))</f>
        <v/>
      </c>
      <c r="AQ676" s="329"/>
      <c r="AR676" s="330" t="str">
        <f>IF(ISBLANK(tabItens[[#This Row],[CÓDIGO]]),"",IFERROR(VLOOKUP(tabItens[[#This Row],[CÓDIGO]],Consumo!$C$2:$AC$862,26,FALSE),0))</f>
        <v>04.2023</v>
      </c>
      <c r="AS676" s="331">
        <f>SUMIF(Consumo!$C$3:$C$862,tabItens[[#This Row],[CÓDIGO]],Consumo!$N$3:$N$862) + SUMIF(Consumo!$C$3:$C$862,tabItens[[#This Row],[CÓDIGO]],Consumo!$O$3:$O$862) + SUMIF(Consumo!$C$3:$C$862,tabItens[[#This Row],[CÓDIGO]],Consumo!$P$3:$P$862) + SUMIF(Consumo!$C$3:$C$862,tabItens[[#This Row],[CÓDIGO]],Consumo!$Q$3:$Q$862)</f>
        <v>0</v>
      </c>
      <c r="AT676" s="331">
        <f>SUMIF(Consumo!$C$3:$C$862,tabItens[[#This Row],[CÓDIGO]],Consumo!$Z$3:$Z$862)</f>
        <v>15</v>
      </c>
      <c r="AU676" s="332">
        <f>SUMIF(Consumo!$C$3:$C$862,tabItens[[#This Row],[CÓDIGO]],Consumo!$AA$3:$AA$862)</f>
        <v>6</v>
      </c>
      <c r="AV676" s="333">
        <f>SUMIF(Consumo!$C$3:$C$862,tabItens[[#This Row],[CÓDIGO]],Consumo!$Y$3:$Y$862)</f>
        <v>1.1666666666666667</v>
      </c>
      <c r="AW676" s="306">
        <f>tabItens[[#This Row],[QTDE ATUAL]] + tabItens[[#This Row],[RC QTDE]] + tabItens[[#This Row],[AF SALDO]] + tabItens[[#This Row],[Recentes]]</f>
        <v>11</v>
      </c>
      <c r="AX676" s="334">
        <v>1</v>
      </c>
      <c r="AY676" s="334">
        <v>4</v>
      </c>
      <c r="AZ676" s="334">
        <f>IF(ISBLANK(tabItens[[#This Row],[CÓDIGO]]),"",tabItens[[#This Row],[PontoMês]] * (AZ$2+tabItens[[#This Row],[PontoQtM]]))</f>
        <v>4</v>
      </c>
      <c r="BA676" s="333">
        <f>tabItens[[#This Row],[PontoPed]] - tabItens[[#This Row],[Saldo]] + (1/10)</f>
        <v>-6.9</v>
      </c>
      <c r="BB676" s="333">
        <f xml:space="preserve"> tabItens[[#This Row],[PontoMês]] * BB$2 - tabItens[[#This Row],[QTDE ATUAL]] - (1/10)</f>
        <v>-0.1</v>
      </c>
      <c r="BC676" s="335">
        <f>IF( tabItens[[#This Row],[PontoPed]]&gt;0, IF(tabItens[[#This Row],[PontoPed]]&lt;1, 1, IF( tabItens[[#This Row],[Saldo]]&gt;tabItens[[#This Row],[PontoPed]], 0, (tabItens[[#This Row],[PontoPed]]-tabItens[[#This Row],[Saldo]])/tabItens[[#This Row],[PontoPed]] ) ), 0 )</f>
        <v>0</v>
      </c>
      <c r="BD676" s="336">
        <f>ROUNDDOWN(IF( OR( AND(tabItens[[#This Row],[PontoPed]]&lt;tabItens[[#This Row],[Saldo]],tabItens[[#This Row],[Saldo]]&gt;0), tabItens[[#This Row],[PontoPed]]=0), 99, IF(AND(tabItens[[#This Row],[Saldo]]=0,tabItens[[#This Row],[PontoPed]]&gt;0), 0, (1-tabItens[[#This Row],[PctAb]])*10 ) ),0)</f>
        <v>99</v>
      </c>
      <c r="BE676" s="337">
        <f>MAX(ROUNDDOWN( IF(tabItens[[#This Row],[Abaixo]] &gt; 0,   tabItens[[#This Row],[Abaixo]] + (tabItens[[#This Row],[PontoMês]] * IF( OR( ISBLANK(tabItens[[#This Row],[ATA Nº/ANO]]), tabItens[[#This Row],[ATA Nº/ANO]] = ""),BE$2,BE$1)),0),0),0)</f>
        <v>0</v>
      </c>
      <c r="BF67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6" s="338">
        <f>SUMIF(Consumo!$C$3:$C$862,tabItens[[#This Row],[CÓDIGO]],Consumo!$E$3:$E$862)</f>
        <v>0</v>
      </c>
      <c r="BH676" s="339">
        <f>IF(AND(tabItens[[#This Row],[Pend]] &gt; 0,tabItens[[#This Row],[Consumo]] &lt;&gt; 0), tabItens[[#This Row],[Pend]] / tabItens[[#This Row],[Consumo]], 0 )</f>
        <v>0</v>
      </c>
      <c r="BI676" s="338"/>
      <c r="BJ676" s="338"/>
      <c r="BK676" s="340" t="s">
        <v>2086</v>
      </c>
    </row>
    <row r="677" spans="1:63" hidden="1" x14ac:dyDescent="0.3">
      <c r="A677" s="301">
        <v>107790</v>
      </c>
      <c r="B677" s="302" t="s">
        <v>1654</v>
      </c>
      <c r="C677" s="303" t="s">
        <v>263</v>
      </c>
      <c r="D677" s="304">
        <v>17.28</v>
      </c>
      <c r="E677" s="305"/>
      <c r="F677" s="305"/>
      <c r="G677" s="305" t="s">
        <v>889</v>
      </c>
      <c r="H677" s="306">
        <v>141</v>
      </c>
      <c r="I677" s="307">
        <v>103003</v>
      </c>
      <c r="J677" s="308">
        <v>17.28</v>
      </c>
      <c r="K677" s="309">
        <v>133</v>
      </c>
      <c r="L677" s="310">
        <f>IF(tabItens[[#This Row],[Média]] &gt; 0, tabItens[[#This Row],[QTDE ATUAL]] / tabItens[[#This Row],[Média]],999.9)</f>
        <v>12.260869565217391</v>
      </c>
      <c r="M677" s="311">
        <v>0</v>
      </c>
      <c r="N677" s="312">
        <f>tabItens[[#This Row],[VALOR UNIT.]] * tabItens[[#This Row],[LC]]</f>
        <v>0</v>
      </c>
      <c r="O677" s="313"/>
      <c r="P677" s="314"/>
      <c r="Q677" s="315"/>
      <c r="R677" s="312"/>
      <c r="S677" s="316"/>
      <c r="T677" s="317">
        <f>ROUNDDOWN(IFERROR(tabItens[[#This Row],[ATA DT.VALID.]] - $D$1,0) / 30,0)</f>
        <v>-1474</v>
      </c>
      <c r="U677" s="302" t="s">
        <v>1655</v>
      </c>
      <c r="V677" s="318">
        <v>1</v>
      </c>
      <c r="W677" s="319" t="s">
        <v>2077</v>
      </c>
      <c r="X677" s="320">
        <v>50</v>
      </c>
      <c r="Y677" s="321">
        <v>3</v>
      </c>
      <c r="Z677" s="322">
        <v>2412</v>
      </c>
      <c r="AA677" s="323">
        <v>2023</v>
      </c>
      <c r="AB677" s="324">
        <v>100</v>
      </c>
      <c r="AC677" s="324"/>
      <c r="AD677" s="323"/>
      <c r="AE677" s="324"/>
      <c r="AF677" s="317"/>
      <c r="AG677" s="325" t="s">
        <v>2072</v>
      </c>
      <c r="AH677" s="326"/>
      <c r="AI677" s="317">
        <v>46</v>
      </c>
      <c r="AJ677" s="326">
        <v>44634</v>
      </c>
      <c r="AK677" s="326">
        <v>39700</v>
      </c>
      <c r="AL677" s="326">
        <v>44616</v>
      </c>
      <c r="AM677" s="316"/>
      <c r="AN677" s="305"/>
      <c r="AO677" s="327" t="str">
        <f>_xlfn.IFNA(IF(VLOOKUP(tabItens[[#This Row],[CÓDIGO]],tabExcluirDoEstoque[#Data],1,FALSE),"sim",""),"")</f>
        <v/>
      </c>
      <c r="AP677" s="328" t="str">
        <f ca="1">IF(OR(ISBLANK(tabItens[[#This Row],[ATA DT.VALID.]]),tabItens[[#This Row],[ATA DT.VALID.]]="",tabItens[[#This Row],[ATA DT.VALID.]]=" "),"",IF(TYPE(tabItens[[#This Row],[ATA DT.VALID.]])=1,ROUNDUP((tabItens[[#This Row],[ATA DT.VALID.]]-TODAY())/7,0),""))</f>
        <v/>
      </c>
      <c r="AQ677" s="329"/>
      <c r="AR677" s="330" t="str">
        <f>IF(ISBLANK(tabItens[[#This Row],[CÓDIGO]]),"",IFERROR(VLOOKUP(tabItens[[#This Row],[CÓDIGO]],Consumo!$C$2:$AC$862,26,FALSE),0))</f>
        <v>04.2023</v>
      </c>
      <c r="AS677" s="331">
        <f>SUMIF(Consumo!$C$3:$C$862,tabItens[[#This Row],[CÓDIGO]],Consumo!$N$3:$N$862) + SUMIF(Consumo!$C$3:$C$862,tabItens[[#This Row],[CÓDIGO]],Consumo!$O$3:$O$862) + SUMIF(Consumo!$C$3:$C$862,tabItens[[#This Row],[CÓDIGO]],Consumo!$P$3:$P$862) + SUMIF(Consumo!$C$3:$C$862,tabItens[[#This Row],[CÓDIGO]],Consumo!$Q$3:$Q$862)</f>
        <v>0</v>
      </c>
      <c r="AT677" s="331">
        <f>SUMIF(Consumo!$C$3:$C$862,tabItens[[#This Row],[CÓDIGO]],Consumo!$Z$3:$Z$862)</f>
        <v>138</v>
      </c>
      <c r="AU677" s="332">
        <f>SUMIF(Consumo!$C$3:$C$862,tabItens[[#This Row],[CÓDIGO]],Consumo!$AA$3:$AA$862)</f>
        <v>38</v>
      </c>
      <c r="AV677" s="333">
        <f>SUMIF(Consumo!$C$3:$C$862,tabItens[[#This Row],[CÓDIGO]],Consumo!$Y$3:$Y$862)</f>
        <v>11.5</v>
      </c>
      <c r="AW677" s="306">
        <f>tabItens[[#This Row],[QTDE ATUAL]] + tabItens[[#This Row],[RC QTDE]] + tabItens[[#This Row],[AF SALDO]] + tabItens[[#This Row],[Recentes]]</f>
        <v>241</v>
      </c>
      <c r="AX677" s="334">
        <v>22</v>
      </c>
      <c r="AY677" s="334">
        <v>4</v>
      </c>
      <c r="AZ677" s="334">
        <f>IF(ISBLANK(tabItens[[#This Row],[CÓDIGO]]),"",tabItens[[#This Row],[PontoMês]] * (AZ$2+tabItens[[#This Row],[PontoQtM]]))</f>
        <v>88</v>
      </c>
      <c r="BA677" s="333">
        <f>tabItens[[#This Row],[PontoPed]] - tabItens[[#This Row],[Saldo]] + (1/10)</f>
        <v>-152.9</v>
      </c>
      <c r="BB677" s="333">
        <f xml:space="preserve"> tabItens[[#This Row],[PontoMês]] * BB$2 - tabItens[[#This Row],[QTDE ATUAL]] - (1/10)</f>
        <v>-119.1</v>
      </c>
      <c r="BC677" s="335">
        <f>IF( tabItens[[#This Row],[PontoPed]]&gt;0, IF(tabItens[[#This Row],[PontoPed]]&lt;1, 1, IF( tabItens[[#This Row],[Saldo]]&gt;tabItens[[#This Row],[PontoPed]], 0, (tabItens[[#This Row],[PontoPed]]-tabItens[[#This Row],[Saldo]])/tabItens[[#This Row],[PontoPed]] ) ), 0 )</f>
        <v>0</v>
      </c>
      <c r="BD677" s="336">
        <f>ROUNDDOWN(IF( OR( AND(tabItens[[#This Row],[PontoPed]]&lt;tabItens[[#This Row],[Saldo]],tabItens[[#This Row],[Saldo]]&gt;0), tabItens[[#This Row],[PontoPed]]=0), 99, IF(AND(tabItens[[#This Row],[Saldo]]=0,tabItens[[#This Row],[PontoPed]]&gt;0), 0, (1-tabItens[[#This Row],[PctAb]])*10 ) ),0)</f>
        <v>99</v>
      </c>
      <c r="BE677" s="337">
        <f>MAX(ROUNDDOWN( IF(tabItens[[#This Row],[Abaixo]] &gt; 0,   tabItens[[#This Row],[Abaixo]] + (tabItens[[#This Row],[PontoMês]] * IF( OR( ISBLANK(tabItens[[#This Row],[ATA Nº/ANO]]), tabItens[[#This Row],[ATA Nº/ANO]] = ""),BE$2,BE$1)),0),0),0)</f>
        <v>0</v>
      </c>
      <c r="BF67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7" s="338">
        <f>SUMIF(Consumo!$C$3:$C$862,tabItens[[#This Row],[CÓDIGO]],Consumo!$E$3:$E$862)</f>
        <v>0</v>
      </c>
      <c r="BH677" s="339">
        <f>IF(AND(tabItens[[#This Row],[Pend]] &gt; 0,tabItens[[#This Row],[Consumo]] &lt;&gt; 0), tabItens[[#This Row],[Pend]] / tabItens[[#This Row],[Consumo]], 0 )</f>
        <v>0</v>
      </c>
      <c r="BI677" s="338"/>
      <c r="BJ677" s="338"/>
      <c r="BK677" s="340" t="s">
        <v>2086</v>
      </c>
    </row>
    <row r="678" spans="1:63" hidden="1" x14ac:dyDescent="0.3">
      <c r="A678" s="301">
        <v>23016</v>
      </c>
      <c r="B678" s="302" t="s">
        <v>1176</v>
      </c>
      <c r="C678" s="303" t="s">
        <v>287</v>
      </c>
      <c r="D678" s="304">
        <v>79.489999999999995</v>
      </c>
      <c r="E678" s="305"/>
      <c r="F678" s="305"/>
      <c r="G678" s="305" t="s">
        <v>889</v>
      </c>
      <c r="H678" s="306">
        <v>50</v>
      </c>
      <c r="I678" s="307">
        <v>103003</v>
      </c>
      <c r="J678" s="308">
        <v>79.489999999999995</v>
      </c>
      <c r="K678" s="309">
        <v>47</v>
      </c>
      <c r="L678" s="310">
        <f>IF(tabItens[[#This Row],[Média]] &gt; 0, tabItens[[#This Row],[QTDE ATUAL]] / tabItens[[#This Row],[Média]],999.9)</f>
        <v>13.953488372093023</v>
      </c>
      <c r="M678" s="311">
        <v>0</v>
      </c>
      <c r="N678" s="312">
        <f>tabItens[[#This Row],[VALOR UNIT.]] * tabItens[[#This Row],[LC]]</f>
        <v>0</v>
      </c>
      <c r="O678" s="313"/>
      <c r="P678" s="314"/>
      <c r="Q678" s="315"/>
      <c r="R678" s="312"/>
      <c r="S678" s="316"/>
      <c r="T678" s="317">
        <f>ROUNDDOWN(IFERROR(tabItens[[#This Row],[ATA DT.VALID.]] - $D$1,0) / 30,0)</f>
        <v>-1474</v>
      </c>
      <c r="U678" s="302" t="s">
        <v>963</v>
      </c>
      <c r="V678" s="318">
        <v>1</v>
      </c>
      <c r="W678" s="319" t="s">
        <v>2071</v>
      </c>
      <c r="X678" s="320">
        <v>51</v>
      </c>
      <c r="Y678" s="321">
        <v>3</v>
      </c>
      <c r="Z678" s="322"/>
      <c r="AA678" s="323"/>
      <c r="AB678" s="324"/>
      <c r="AC678" s="324">
        <v>11594</v>
      </c>
      <c r="AD678" s="323">
        <v>2023</v>
      </c>
      <c r="AE678" s="324">
        <v>50</v>
      </c>
      <c r="AF678" s="317">
        <v>100</v>
      </c>
      <c r="AG678" s="325" t="s">
        <v>2056</v>
      </c>
      <c r="AH678" s="326">
        <v>45217</v>
      </c>
      <c r="AI678" s="317">
        <v>16</v>
      </c>
      <c r="AJ678" s="326">
        <v>45217</v>
      </c>
      <c r="AK678" s="326" t="s">
        <v>889</v>
      </c>
      <c r="AL678" s="326">
        <v>45181</v>
      </c>
      <c r="AM678" s="316"/>
      <c r="AN678" s="305"/>
      <c r="AO678" s="327" t="str">
        <f>_xlfn.IFNA(IF(VLOOKUP(tabItens[[#This Row],[CÓDIGO]],tabExcluirDoEstoque[#Data],1,FALSE),"sim",""),"")</f>
        <v/>
      </c>
      <c r="AP678" s="328" t="str">
        <f ca="1">IF(OR(ISBLANK(tabItens[[#This Row],[ATA DT.VALID.]]),tabItens[[#This Row],[ATA DT.VALID.]]="",tabItens[[#This Row],[ATA DT.VALID.]]=" "),"",IF(TYPE(tabItens[[#This Row],[ATA DT.VALID.]])=1,ROUNDUP((tabItens[[#This Row],[ATA DT.VALID.]]-TODAY())/7,0),""))</f>
        <v/>
      </c>
      <c r="AQ678" s="329"/>
      <c r="AR678" s="330" t="str">
        <f>IF(ISBLANK(tabItens[[#This Row],[CÓDIGO]]),"",IFERROR(VLOOKUP(tabItens[[#This Row],[CÓDIGO]],Consumo!$C$2:$AC$862,26,FALSE),0))</f>
        <v>08.2023</v>
      </c>
      <c r="AS678" s="331">
        <f>SUMIF(Consumo!$C$3:$C$862,tabItens[[#This Row],[CÓDIGO]],Consumo!$N$3:$N$862) + SUMIF(Consumo!$C$3:$C$862,tabItens[[#This Row],[CÓDIGO]],Consumo!$O$3:$O$862) + SUMIF(Consumo!$C$3:$C$862,tabItens[[#This Row],[CÓDIGO]],Consumo!$P$3:$P$862) + SUMIF(Consumo!$C$3:$C$862,tabItens[[#This Row],[CÓDIGO]],Consumo!$Q$3:$Q$862)</f>
        <v>22</v>
      </c>
      <c r="AT678" s="331">
        <f>SUMIF(Consumo!$C$3:$C$862,tabItens[[#This Row],[CÓDIGO]],Consumo!$Z$3:$Z$862)</f>
        <v>47</v>
      </c>
      <c r="AU678" s="332">
        <f>SUMIF(Consumo!$C$3:$C$862,tabItens[[#This Row],[CÓDIGO]],Consumo!$AA$3:$AA$862)</f>
        <v>22</v>
      </c>
      <c r="AV678" s="333">
        <f>SUMIF(Consumo!$C$3:$C$862,tabItens[[#This Row],[CÓDIGO]],Consumo!$Y$3:$Y$862)</f>
        <v>3.5833333333333335</v>
      </c>
      <c r="AW678" s="306">
        <f>tabItens[[#This Row],[QTDE ATUAL]] + tabItens[[#This Row],[RC QTDE]] + tabItens[[#This Row],[AF SALDO]] + tabItens[[#This Row],[Recentes]]</f>
        <v>100</v>
      </c>
      <c r="AX678" s="334">
        <v>0</v>
      </c>
      <c r="AY678" s="334">
        <v>0</v>
      </c>
      <c r="AZ678" s="334">
        <f>IF(ISBLANK(tabItens[[#This Row],[CÓDIGO]]),"",tabItens[[#This Row],[PontoMês]] * (AZ$2+tabItens[[#This Row],[PontoQtM]]))</f>
        <v>0</v>
      </c>
      <c r="BA678" s="333">
        <f>tabItens[[#This Row],[PontoPed]] - tabItens[[#This Row],[Saldo]] + (1/10)</f>
        <v>-99.9</v>
      </c>
      <c r="BB678" s="333">
        <f xml:space="preserve"> tabItens[[#This Row],[PontoMês]] * BB$2 - tabItens[[#This Row],[QTDE ATUAL]] - (1/10)</f>
        <v>-50.1</v>
      </c>
      <c r="BC678" s="335">
        <f>IF( tabItens[[#This Row],[PontoPed]]&gt;0, IF(tabItens[[#This Row],[PontoPed]]&lt;1, 1, IF( tabItens[[#This Row],[Saldo]]&gt;tabItens[[#This Row],[PontoPed]], 0, (tabItens[[#This Row],[PontoPed]]-tabItens[[#This Row],[Saldo]])/tabItens[[#This Row],[PontoPed]] ) ), 0 )</f>
        <v>0</v>
      </c>
      <c r="BD678" s="336">
        <f>ROUNDDOWN(IF( OR( AND(tabItens[[#This Row],[PontoPed]]&lt;tabItens[[#This Row],[Saldo]],tabItens[[#This Row],[Saldo]]&gt;0), tabItens[[#This Row],[PontoPed]]=0), 99, IF(AND(tabItens[[#This Row],[Saldo]]=0,tabItens[[#This Row],[PontoPed]]&gt;0), 0, (1-tabItens[[#This Row],[PctAb]])*10 ) ),0)</f>
        <v>99</v>
      </c>
      <c r="BE678" s="337">
        <f>MAX(ROUNDDOWN( IF(tabItens[[#This Row],[Abaixo]] &gt; 0,   tabItens[[#This Row],[Abaixo]] + (tabItens[[#This Row],[PontoMês]] * IF( OR( ISBLANK(tabItens[[#This Row],[ATA Nº/ANO]]), tabItens[[#This Row],[ATA Nº/ANO]] = ""),BE$2,BE$1)),0),0),0)</f>
        <v>0</v>
      </c>
      <c r="BF67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8" s="338">
        <f>SUMIF(Consumo!$C$3:$C$862,tabItens[[#This Row],[CÓDIGO]],Consumo!$E$3:$E$862)</f>
        <v>0</v>
      </c>
      <c r="BH678" s="339">
        <f>IF(AND(tabItens[[#This Row],[Pend]] &gt; 0,tabItens[[#This Row],[Consumo]] &lt;&gt; 0), tabItens[[#This Row],[Pend]] / tabItens[[#This Row],[Consumo]], 0 )</f>
        <v>0</v>
      </c>
      <c r="BI678" s="338"/>
      <c r="BJ678" s="338"/>
      <c r="BK678" s="340" t="s">
        <v>2086</v>
      </c>
    </row>
    <row r="679" spans="1:63" hidden="1" x14ac:dyDescent="0.3">
      <c r="A679" s="301">
        <v>130632</v>
      </c>
      <c r="B679" s="302" t="s">
        <v>1808</v>
      </c>
      <c r="C679" s="303" t="s">
        <v>31</v>
      </c>
      <c r="D679" s="304">
        <v>38.33</v>
      </c>
      <c r="E679" s="305"/>
      <c r="F679" s="305"/>
      <c r="G679" s="305" t="s">
        <v>889</v>
      </c>
      <c r="H679" s="306">
        <v>0</v>
      </c>
      <c r="I679" s="307">
        <v>103003</v>
      </c>
      <c r="J679" s="308">
        <v>38.33</v>
      </c>
      <c r="K679" s="309">
        <v>23</v>
      </c>
      <c r="L679" s="310">
        <f>IF(tabItens[[#This Row],[Média]] &gt; 0, tabItens[[#This Row],[QTDE ATUAL]] / tabItens[[#This Row],[Média]],999.9)</f>
        <v>0</v>
      </c>
      <c r="M679" s="311">
        <v>0</v>
      </c>
      <c r="N679" s="312">
        <f>tabItens[[#This Row],[VALOR UNIT.]] * tabItens[[#This Row],[LC]]</f>
        <v>0</v>
      </c>
      <c r="O679" s="313"/>
      <c r="P679" s="314"/>
      <c r="Q679" s="315"/>
      <c r="R679" s="312"/>
      <c r="S679" s="316"/>
      <c r="T679" s="317">
        <f>ROUNDDOWN(IFERROR(tabItens[[#This Row],[ATA DT.VALID.]] - $D$1,0) / 30,0)</f>
        <v>-1474</v>
      </c>
      <c r="U679" s="302" t="s">
        <v>963</v>
      </c>
      <c r="V679" s="318">
        <v>1</v>
      </c>
      <c r="W679" s="319" t="s">
        <v>2071</v>
      </c>
      <c r="X679" s="320">
        <v>51</v>
      </c>
      <c r="Y679" s="321">
        <v>3</v>
      </c>
      <c r="Z679" s="322"/>
      <c r="AA679" s="323"/>
      <c r="AB679" s="324"/>
      <c r="AC679" s="324"/>
      <c r="AD679" s="323"/>
      <c r="AE679" s="324"/>
      <c r="AF679" s="317"/>
      <c r="AG679" s="325" t="s">
        <v>2072</v>
      </c>
      <c r="AH679" s="326"/>
      <c r="AI679" s="317">
        <v>8</v>
      </c>
      <c r="AJ679" s="326">
        <v>44785</v>
      </c>
      <c r="AK679" s="326">
        <v>42207</v>
      </c>
      <c r="AL679" s="326">
        <v>44755</v>
      </c>
      <c r="AM679" s="316"/>
      <c r="AN679" s="305"/>
      <c r="AO679" s="327" t="str">
        <f>_xlfn.IFNA(IF(VLOOKUP(tabItens[[#This Row],[CÓDIGO]],tabExcluirDoEstoque[#Data],1,FALSE),"sim",""),"")</f>
        <v/>
      </c>
      <c r="AP679" s="328" t="str">
        <f ca="1">IF(OR(ISBLANK(tabItens[[#This Row],[ATA DT.VALID.]]),tabItens[[#This Row],[ATA DT.VALID.]]="",tabItens[[#This Row],[ATA DT.VALID.]]=" "),"",IF(TYPE(tabItens[[#This Row],[ATA DT.VALID.]])=1,ROUNDUP((tabItens[[#This Row],[ATA DT.VALID.]]-TODAY())/7,0),""))</f>
        <v/>
      </c>
      <c r="AQ679" s="329"/>
      <c r="AR679" s="330" t="str">
        <f>IF(ISBLANK(tabItens[[#This Row],[CÓDIGO]]),"",IFERROR(VLOOKUP(tabItens[[#This Row],[CÓDIGO]],Consumo!$C$2:$AC$862,26,FALSE),0))</f>
        <v>06.2023</v>
      </c>
      <c r="AS679" s="331">
        <f>SUMIF(Consumo!$C$3:$C$862,tabItens[[#This Row],[CÓDIGO]],Consumo!$N$3:$N$862) + SUMIF(Consumo!$C$3:$C$862,tabItens[[#This Row],[CÓDIGO]],Consumo!$O$3:$O$862) + SUMIF(Consumo!$C$3:$C$862,tabItens[[#This Row],[CÓDIGO]],Consumo!$P$3:$P$862) + SUMIF(Consumo!$C$3:$C$862,tabItens[[#This Row],[CÓDIGO]],Consumo!$Q$3:$Q$862)</f>
        <v>15</v>
      </c>
      <c r="AT679" s="331">
        <f>SUMIF(Consumo!$C$3:$C$862,tabItens[[#This Row],[CÓDIGO]],Consumo!$Z$3:$Z$862)</f>
        <v>23</v>
      </c>
      <c r="AU679" s="332">
        <f>SUMIF(Consumo!$C$3:$C$862,tabItens[[#This Row],[CÓDIGO]],Consumo!$AA$3:$AA$862)</f>
        <v>15</v>
      </c>
      <c r="AV679" s="333">
        <f>SUMIF(Consumo!$C$3:$C$862,tabItens[[#This Row],[CÓDIGO]],Consumo!$Y$3:$Y$862)</f>
        <v>1.5</v>
      </c>
      <c r="AW679" s="306">
        <f>tabItens[[#This Row],[QTDE ATUAL]] + tabItens[[#This Row],[RC QTDE]] + tabItens[[#This Row],[AF SALDO]] + tabItens[[#This Row],[Recentes]]</f>
        <v>0</v>
      </c>
      <c r="AX679" s="334">
        <v>2</v>
      </c>
      <c r="AY679" s="334">
        <v>4</v>
      </c>
      <c r="AZ679" s="334">
        <f>IF(ISBLANK(tabItens[[#This Row],[CÓDIGO]]),"",tabItens[[#This Row],[PontoMês]] * (AZ$2+tabItens[[#This Row],[PontoQtM]]))</f>
        <v>8</v>
      </c>
      <c r="BA679" s="333">
        <f>tabItens[[#This Row],[PontoPed]] - tabItens[[#This Row],[Saldo]] + (1/10)</f>
        <v>8.1</v>
      </c>
      <c r="BB679" s="333">
        <f xml:space="preserve"> tabItens[[#This Row],[PontoMês]] * BB$2 - tabItens[[#This Row],[QTDE ATUAL]] - (1/10)</f>
        <v>1.9</v>
      </c>
      <c r="BC679" s="335">
        <f>IF( tabItens[[#This Row],[PontoPed]]&gt;0, IF(tabItens[[#This Row],[PontoPed]]&lt;1, 1, IF( tabItens[[#This Row],[Saldo]]&gt;tabItens[[#This Row],[PontoPed]], 0, (tabItens[[#This Row],[PontoPed]]-tabItens[[#This Row],[Saldo]])/tabItens[[#This Row],[PontoPed]] ) ), 0 )</f>
        <v>1</v>
      </c>
      <c r="BD679" s="336">
        <f>ROUNDDOWN(IF( OR( AND(tabItens[[#This Row],[PontoPed]]&lt;tabItens[[#This Row],[Saldo]],tabItens[[#This Row],[Saldo]]&gt;0), tabItens[[#This Row],[PontoPed]]=0), 99, IF(AND(tabItens[[#This Row],[Saldo]]=0,tabItens[[#This Row],[PontoPed]]&gt;0), 0, (1-tabItens[[#This Row],[PctAb]])*10 ) ),0)</f>
        <v>0</v>
      </c>
      <c r="BE679" s="337">
        <f>MAX(ROUNDDOWN( IF(tabItens[[#This Row],[Abaixo]] &gt; 0,   tabItens[[#This Row],[Abaixo]] + (tabItens[[#This Row],[PontoMês]] * IF( OR( ISBLANK(tabItens[[#This Row],[ATA Nº/ANO]]), tabItens[[#This Row],[ATA Nº/ANO]] = ""),BE$2,BE$1)),0),0),0)</f>
        <v>20</v>
      </c>
      <c r="BF67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679" s="338">
        <f>SUMIF(Consumo!$C$3:$C$862,tabItens[[#This Row],[CÓDIGO]],Consumo!$E$3:$E$862)</f>
        <v>0</v>
      </c>
      <c r="BH679" s="339">
        <f>IF(AND(tabItens[[#This Row],[Pend]] &gt; 0,tabItens[[#This Row],[Consumo]] &lt;&gt; 0), tabItens[[#This Row],[Pend]] / tabItens[[#This Row],[Consumo]], 0 )</f>
        <v>0</v>
      </c>
      <c r="BI679" s="338"/>
      <c r="BJ679" s="338"/>
      <c r="BK679" s="340" t="s">
        <v>2086</v>
      </c>
    </row>
    <row r="680" spans="1:63" hidden="1" x14ac:dyDescent="0.3">
      <c r="A680" s="301">
        <v>13197</v>
      </c>
      <c r="B680" s="302" t="s">
        <v>1027</v>
      </c>
      <c r="C680" s="303" t="s">
        <v>263</v>
      </c>
      <c r="D680" s="304">
        <v>0.28999999999999998</v>
      </c>
      <c r="E680" s="305"/>
      <c r="F680" s="305"/>
      <c r="G680" s="305" t="s">
        <v>889</v>
      </c>
      <c r="H680" s="306">
        <v>269</v>
      </c>
      <c r="I680" s="307">
        <v>103003</v>
      </c>
      <c r="J680" s="308">
        <v>0.28999999999999998</v>
      </c>
      <c r="K680" s="309">
        <v>103</v>
      </c>
      <c r="L680" s="310">
        <f>IF(tabItens[[#This Row],[Média]] &gt; 0, tabItens[[#This Row],[QTDE ATUAL]] / tabItens[[#This Row],[Média]],999.9)</f>
        <v>33.625</v>
      </c>
      <c r="M680" s="311">
        <v>0</v>
      </c>
      <c r="N680" s="312">
        <f>tabItens[[#This Row],[VALOR UNIT.]] * tabItens[[#This Row],[LC]]</f>
        <v>0</v>
      </c>
      <c r="O680" s="313"/>
      <c r="P680" s="314"/>
      <c r="Q680" s="315"/>
      <c r="R680" s="312"/>
      <c r="S680" s="316"/>
      <c r="T680" s="317">
        <f>ROUNDDOWN(IFERROR(tabItens[[#This Row],[ATA DT.VALID.]] - $D$1,0) / 30,0)</f>
        <v>-1474</v>
      </c>
      <c r="U680" s="302" t="s">
        <v>1028</v>
      </c>
      <c r="V680" s="318">
        <v>1</v>
      </c>
      <c r="W680" s="319" t="s">
        <v>2071</v>
      </c>
      <c r="X680" s="320">
        <v>51</v>
      </c>
      <c r="Y680" s="321">
        <v>8</v>
      </c>
      <c r="Z680" s="322"/>
      <c r="AA680" s="323"/>
      <c r="AB680" s="324"/>
      <c r="AC680" s="324"/>
      <c r="AD680" s="323"/>
      <c r="AE680" s="324"/>
      <c r="AF680" s="317"/>
      <c r="AG680" s="325" t="s">
        <v>2072</v>
      </c>
      <c r="AH680" s="326"/>
      <c r="AI680" s="317">
        <v>34</v>
      </c>
      <c r="AJ680" s="326">
        <v>41550</v>
      </c>
      <c r="AK680" s="326" t="s">
        <v>889</v>
      </c>
      <c r="AL680" s="326">
        <v>42501</v>
      </c>
      <c r="AM680" s="316"/>
      <c r="AN680" s="305"/>
      <c r="AO680" s="327" t="str">
        <f>_xlfn.IFNA(IF(VLOOKUP(tabItens[[#This Row],[CÓDIGO]],tabExcluirDoEstoque[#Data],1,FALSE),"sim",""),"")</f>
        <v/>
      </c>
      <c r="AP680" s="328" t="str">
        <f ca="1">IF(OR(ISBLANK(tabItens[[#This Row],[ATA DT.VALID.]]),tabItens[[#This Row],[ATA DT.VALID.]]="",tabItens[[#This Row],[ATA DT.VALID.]]=" "),"",IF(TYPE(tabItens[[#This Row],[ATA DT.VALID.]])=1,ROUNDUP((tabItens[[#This Row],[ATA DT.VALID.]]-TODAY())/7,0),""))</f>
        <v/>
      </c>
      <c r="AQ680" s="329"/>
      <c r="AR680" s="330" t="str">
        <f>IF(ISBLANK(tabItens[[#This Row],[CÓDIGO]]),"",IFERROR(VLOOKUP(tabItens[[#This Row],[CÓDIGO]],Consumo!$C$2:$AC$862,26,FALSE),0))</f>
        <v>04.2023</v>
      </c>
      <c r="AS680" s="331">
        <f>SUMIF(Consumo!$C$3:$C$862,tabItens[[#This Row],[CÓDIGO]],Consumo!$N$3:$N$862) + SUMIF(Consumo!$C$3:$C$862,tabItens[[#This Row],[CÓDIGO]],Consumo!$O$3:$O$862) + SUMIF(Consumo!$C$3:$C$862,tabItens[[#This Row],[CÓDIGO]],Consumo!$P$3:$P$862) + SUMIF(Consumo!$C$3:$C$862,tabItens[[#This Row],[CÓDIGO]],Consumo!$Q$3:$Q$862)</f>
        <v>0</v>
      </c>
      <c r="AT680" s="331">
        <f>SUMIF(Consumo!$C$3:$C$862,tabItens[[#This Row],[CÓDIGO]],Consumo!$Z$3:$Z$862)</f>
        <v>103</v>
      </c>
      <c r="AU680" s="332">
        <f>SUMIF(Consumo!$C$3:$C$862,tabItens[[#This Row],[CÓDIGO]],Consumo!$AA$3:$AA$862)</f>
        <v>55</v>
      </c>
      <c r="AV680" s="333">
        <f>SUMIF(Consumo!$C$3:$C$862,tabItens[[#This Row],[CÓDIGO]],Consumo!$Y$3:$Y$862)</f>
        <v>8</v>
      </c>
      <c r="AW680" s="306">
        <f>tabItens[[#This Row],[QTDE ATUAL]] + tabItens[[#This Row],[RC QTDE]] + tabItens[[#This Row],[AF SALDO]] + tabItens[[#This Row],[Recentes]]</f>
        <v>269</v>
      </c>
      <c r="AX680" s="334">
        <v>14</v>
      </c>
      <c r="AY680" s="334">
        <v>4</v>
      </c>
      <c r="AZ680" s="334">
        <f>IF(ISBLANK(tabItens[[#This Row],[CÓDIGO]]),"",tabItens[[#This Row],[PontoMês]] * (AZ$2+tabItens[[#This Row],[PontoQtM]]))</f>
        <v>56</v>
      </c>
      <c r="BA680" s="333">
        <f>tabItens[[#This Row],[PontoPed]] - tabItens[[#This Row],[Saldo]] + (1/10)</f>
        <v>-212.9</v>
      </c>
      <c r="BB680" s="333">
        <f xml:space="preserve"> tabItens[[#This Row],[PontoMês]] * BB$2 - tabItens[[#This Row],[QTDE ATUAL]] - (1/10)</f>
        <v>-255.1</v>
      </c>
      <c r="BC680" s="335">
        <f>IF( tabItens[[#This Row],[PontoPed]]&gt;0, IF(tabItens[[#This Row],[PontoPed]]&lt;1, 1, IF( tabItens[[#This Row],[Saldo]]&gt;tabItens[[#This Row],[PontoPed]], 0, (tabItens[[#This Row],[PontoPed]]-tabItens[[#This Row],[Saldo]])/tabItens[[#This Row],[PontoPed]] ) ), 0 )</f>
        <v>0</v>
      </c>
      <c r="BD680" s="336">
        <f>ROUNDDOWN(IF( OR( AND(tabItens[[#This Row],[PontoPed]]&lt;tabItens[[#This Row],[Saldo]],tabItens[[#This Row],[Saldo]]&gt;0), tabItens[[#This Row],[PontoPed]]=0), 99, IF(AND(tabItens[[#This Row],[Saldo]]=0,tabItens[[#This Row],[PontoPed]]&gt;0), 0, (1-tabItens[[#This Row],[PctAb]])*10 ) ),0)</f>
        <v>99</v>
      </c>
      <c r="BE680" s="337">
        <f>MAX(ROUNDDOWN( IF(tabItens[[#This Row],[Abaixo]] &gt; 0,   tabItens[[#This Row],[Abaixo]] + (tabItens[[#This Row],[PontoMês]] * IF( OR( ISBLANK(tabItens[[#This Row],[ATA Nº/ANO]]), tabItens[[#This Row],[ATA Nº/ANO]] = ""),BE$2,BE$1)),0),0),0)</f>
        <v>0</v>
      </c>
      <c r="BF68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0" s="338">
        <f>SUMIF(Consumo!$C$3:$C$862,tabItens[[#This Row],[CÓDIGO]],Consumo!$E$3:$E$862)</f>
        <v>0</v>
      </c>
      <c r="BH680" s="339">
        <f>IF(AND(tabItens[[#This Row],[Pend]] &gt; 0,tabItens[[#This Row],[Consumo]] &lt;&gt; 0), tabItens[[#This Row],[Pend]] / tabItens[[#This Row],[Consumo]], 0 )</f>
        <v>0</v>
      </c>
      <c r="BI680" s="338"/>
      <c r="BJ680" s="338"/>
      <c r="BK680" s="340" t="s">
        <v>2086</v>
      </c>
    </row>
    <row r="681" spans="1:63" hidden="1" x14ac:dyDescent="0.3">
      <c r="A681" s="301">
        <v>23607</v>
      </c>
      <c r="B681" s="302" t="s">
        <v>1178</v>
      </c>
      <c r="C681" s="303" t="s">
        <v>263</v>
      </c>
      <c r="D681" s="304">
        <v>1.28</v>
      </c>
      <c r="E681" s="305"/>
      <c r="F681" s="305"/>
      <c r="G681" s="305" t="s">
        <v>889</v>
      </c>
      <c r="H681" s="306">
        <v>575</v>
      </c>
      <c r="I681" s="307">
        <v>103003</v>
      </c>
      <c r="J681" s="308">
        <v>1.28</v>
      </c>
      <c r="K681" s="309">
        <v>50</v>
      </c>
      <c r="L681" s="310">
        <f>IF(tabItens[[#This Row],[Média]] &gt; 0, tabItens[[#This Row],[QTDE ATUAL]] / tabItens[[#This Row],[Média]],999.9)</f>
        <v>209.09090909090909</v>
      </c>
      <c r="M681" s="311">
        <v>0</v>
      </c>
      <c r="N681" s="312">
        <f>tabItens[[#This Row],[VALOR UNIT.]] * tabItens[[#This Row],[LC]]</f>
        <v>0</v>
      </c>
      <c r="O681" s="313"/>
      <c r="P681" s="314"/>
      <c r="Q681" s="315"/>
      <c r="R681" s="312"/>
      <c r="S681" s="316"/>
      <c r="T681" s="317">
        <f>ROUNDDOWN(IFERROR(tabItens[[#This Row],[ATA DT.VALID.]] - $D$1,0) / 30,0)</f>
        <v>-1474</v>
      </c>
      <c r="U681" s="302" t="s">
        <v>1005</v>
      </c>
      <c r="V681" s="318">
        <v>1</v>
      </c>
      <c r="W681" s="319" t="s">
        <v>2079</v>
      </c>
      <c r="X681" s="320">
        <v>51</v>
      </c>
      <c r="Y681" s="321">
        <v>11</v>
      </c>
      <c r="Z681" s="322"/>
      <c r="AA681" s="323"/>
      <c r="AB681" s="324"/>
      <c r="AC681" s="324"/>
      <c r="AD681" s="323"/>
      <c r="AE681" s="324"/>
      <c r="AF681" s="317"/>
      <c r="AG681" s="325" t="s">
        <v>2072</v>
      </c>
      <c r="AH681" s="326"/>
      <c r="AI681" s="317">
        <v>18</v>
      </c>
      <c r="AJ681" s="326">
        <v>43775</v>
      </c>
      <c r="AK681" s="326" t="s">
        <v>889</v>
      </c>
      <c r="AL681" s="326">
        <v>43977</v>
      </c>
      <c r="AM681" s="316"/>
      <c r="AN681" s="305"/>
      <c r="AO681" s="327" t="str">
        <f>_xlfn.IFNA(IF(VLOOKUP(tabItens[[#This Row],[CÓDIGO]],tabExcluirDoEstoque[#Data],1,FALSE),"sim",""),"")</f>
        <v/>
      </c>
      <c r="AP681" s="328" t="str">
        <f ca="1">IF(OR(ISBLANK(tabItens[[#This Row],[ATA DT.VALID.]]),tabItens[[#This Row],[ATA DT.VALID.]]="",tabItens[[#This Row],[ATA DT.VALID.]]=" "),"",IF(TYPE(tabItens[[#This Row],[ATA DT.VALID.]])=1,ROUNDUP((tabItens[[#This Row],[ATA DT.VALID.]]-TODAY())/7,0),""))</f>
        <v/>
      </c>
      <c r="AQ681" s="329"/>
      <c r="AR681" s="330" t="str">
        <f>IF(ISBLANK(tabItens[[#This Row],[CÓDIGO]]),"",IFERROR(VLOOKUP(tabItens[[#This Row],[CÓDIGO]],Consumo!$C$2:$AC$862,26,FALSE),0))</f>
        <v>07.2023</v>
      </c>
      <c r="AS681" s="331">
        <f>SUMIF(Consumo!$C$3:$C$862,tabItens[[#This Row],[CÓDIGO]],Consumo!$N$3:$N$862) + SUMIF(Consumo!$C$3:$C$862,tabItens[[#This Row],[CÓDIGO]],Consumo!$O$3:$O$862) + SUMIF(Consumo!$C$3:$C$862,tabItens[[#This Row],[CÓDIGO]],Consumo!$P$3:$P$862) + SUMIF(Consumo!$C$3:$C$862,tabItens[[#This Row],[CÓDIGO]],Consumo!$Q$3:$Q$862)</f>
        <v>50</v>
      </c>
      <c r="AT681" s="331">
        <f>SUMIF(Consumo!$C$3:$C$862,tabItens[[#This Row],[CÓDIGO]],Consumo!$Z$3:$Z$862)</f>
        <v>50</v>
      </c>
      <c r="AU681" s="332">
        <f>SUMIF(Consumo!$C$3:$C$862,tabItens[[#This Row],[CÓDIGO]],Consumo!$AA$3:$AA$862)</f>
        <v>50</v>
      </c>
      <c r="AV681" s="333">
        <f>SUMIF(Consumo!$C$3:$C$862,tabItens[[#This Row],[CÓDIGO]],Consumo!$Y$3:$Y$862)</f>
        <v>2.75</v>
      </c>
      <c r="AW681" s="306">
        <f>tabItens[[#This Row],[QTDE ATUAL]] + tabItens[[#This Row],[RC QTDE]] + tabItens[[#This Row],[AF SALDO]] + tabItens[[#This Row],[Recentes]]</f>
        <v>575</v>
      </c>
      <c r="AX681" s="334">
        <v>17</v>
      </c>
      <c r="AY681" s="334">
        <v>4</v>
      </c>
      <c r="AZ681" s="334">
        <f>IF(ISBLANK(tabItens[[#This Row],[CÓDIGO]]),"",tabItens[[#This Row],[PontoMês]] * (AZ$2+tabItens[[#This Row],[PontoQtM]]))</f>
        <v>68</v>
      </c>
      <c r="BA681" s="333">
        <f>tabItens[[#This Row],[PontoPed]] - tabItens[[#This Row],[Saldo]] + (1/10)</f>
        <v>-506.9</v>
      </c>
      <c r="BB681" s="333">
        <f xml:space="preserve"> tabItens[[#This Row],[PontoMês]] * BB$2 - tabItens[[#This Row],[QTDE ATUAL]] - (1/10)</f>
        <v>-558.1</v>
      </c>
      <c r="BC681" s="335">
        <f>IF( tabItens[[#This Row],[PontoPed]]&gt;0, IF(tabItens[[#This Row],[PontoPed]]&lt;1, 1, IF( tabItens[[#This Row],[Saldo]]&gt;tabItens[[#This Row],[PontoPed]], 0, (tabItens[[#This Row],[PontoPed]]-tabItens[[#This Row],[Saldo]])/tabItens[[#This Row],[PontoPed]] ) ), 0 )</f>
        <v>0</v>
      </c>
      <c r="BD681" s="336">
        <f>ROUNDDOWN(IF( OR( AND(tabItens[[#This Row],[PontoPed]]&lt;tabItens[[#This Row],[Saldo]],tabItens[[#This Row],[Saldo]]&gt;0), tabItens[[#This Row],[PontoPed]]=0), 99, IF(AND(tabItens[[#This Row],[Saldo]]=0,tabItens[[#This Row],[PontoPed]]&gt;0), 0, (1-tabItens[[#This Row],[PctAb]])*10 ) ),0)</f>
        <v>99</v>
      </c>
      <c r="BE681" s="337">
        <f>MAX(ROUNDDOWN( IF(tabItens[[#This Row],[Abaixo]] &gt; 0,   tabItens[[#This Row],[Abaixo]] + (tabItens[[#This Row],[PontoMês]] * IF( OR( ISBLANK(tabItens[[#This Row],[ATA Nº/ANO]]), tabItens[[#This Row],[ATA Nº/ANO]] = ""),BE$2,BE$1)),0),0),0)</f>
        <v>0</v>
      </c>
      <c r="BF68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1" s="338">
        <f>SUMIF(Consumo!$C$3:$C$862,tabItens[[#This Row],[CÓDIGO]],Consumo!$E$3:$E$862)</f>
        <v>0</v>
      </c>
      <c r="BH681" s="339">
        <f>IF(AND(tabItens[[#This Row],[Pend]] &gt; 0,tabItens[[#This Row],[Consumo]] &lt;&gt; 0), tabItens[[#This Row],[Pend]] / tabItens[[#This Row],[Consumo]], 0 )</f>
        <v>0</v>
      </c>
      <c r="BI681" s="338"/>
      <c r="BJ681" s="338"/>
      <c r="BK681" s="340" t="s">
        <v>2086</v>
      </c>
    </row>
    <row r="682" spans="1:63" hidden="1" x14ac:dyDescent="0.3">
      <c r="A682" s="301">
        <v>14056</v>
      </c>
      <c r="B682" s="302" t="s">
        <v>1055</v>
      </c>
      <c r="C682" s="303" t="s">
        <v>263</v>
      </c>
      <c r="D682" s="304">
        <v>2.98</v>
      </c>
      <c r="E682" s="305"/>
      <c r="F682" s="305"/>
      <c r="G682" s="305" t="s">
        <v>889</v>
      </c>
      <c r="H682" s="306">
        <v>72</v>
      </c>
      <c r="I682" s="307">
        <v>103003</v>
      </c>
      <c r="J682" s="308">
        <v>2.98</v>
      </c>
      <c r="K682" s="309">
        <v>58</v>
      </c>
      <c r="L682" s="310">
        <f>IF(tabItens[[#This Row],[Média]] &gt; 0, tabItens[[#This Row],[QTDE ATUAL]] / tabItens[[#This Row],[Média]],999.9)</f>
        <v>22.153846153846153</v>
      </c>
      <c r="M682" s="311">
        <v>0</v>
      </c>
      <c r="N682" s="312">
        <f>tabItens[[#This Row],[VALOR UNIT.]] * tabItens[[#This Row],[LC]]</f>
        <v>0</v>
      </c>
      <c r="O682" s="313"/>
      <c r="P682" s="314"/>
      <c r="Q682" s="315"/>
      <c r="R682" s="312"/>
      <c r="S682" s="316"/>
      <c r="T682" s="317">
        <f>ROUNDDOWN(IFERROR(tabItens[[#This Row],[ATA DT.VALID.]] - $D$1,0) / 30,0)</f>
        <v>-1474</v>
      </c>
      <c r="U682" s="302" t="s">
        <v>1021</v>
      </c>
      <c r="V682" s="318">
        <v>1</v>
      </c>
      <c r="W682" s="319" t="s">
        <v>2073</v>
      </c>
      <c r="X682" s="320">
        <v>51</v>
      </c>
      <c r="Y682" s="321">
        <v>12</v>
      </c>
      <c r="Z682" s="322"/>
      <c r="AA682" s="323"/>
      <c r="AB682" s="324"/>
      <c r="AC682" s="324"/>
      <c r="AD682" s="323"/>
      <c r="AE682" s="324"/>
      <c r="AF682" s="317"/>
      <c r="AG682" s="325" t="s">
        <v>2072</v>
      </c>
      <c r="AH682" s="326"/>
      <c r="AI682" s="317">
        <v>20</v>
      </c>
      <c r="AJ682" s="326">
        <v>43668</v>
      </c>
      <c r="AK682" s="326" t="s">
        <v>889</v>
      </c>
      <c r="AL682" s="326">
        <v>43524</v>
      </c>
      <c r="AM682" s="316"/>
      <c r="AN682" s="305"/>
      <c r="AO682" s="327" t="str">
        <f>_xlfn.IFNA(IF(VLOOKUP(tabItens[[#This Row],[CÓDIGO]],tabExcluirDoEstoque[#Data],1,FALSE),"sim",""),"")</f>
        <v/>
      </c>
      <c r="AP682" s="328" t="str">
        <f ca="1">IF(OR(ISBLANK(tabItens[[#This Row],[ATA DT.VALID.]]),tabItens[[#This Row],[ATA DT.VALID.]]="",tabItens[[#This Row],[ATA DT.VALID.]]=" "),"",IF(TYPE(tabItens[[#This Row],[ATA DT.VALID.]])=1,ROUNDUP((tabItens[[#This Row],[ATA DT.VALID.]]-TODAY())/7,0),""))</f>
        <v/>
      </c>
      <c r="AQ682" s="329"/>
      <c r="AR682" s="330" t="str">
        <f>IF(ISBLANK(tabItens[[#This Row],[CÓDIGO]]),"",IFERROR(VLOOKUP(tabItens[[#This Row],[CÓDIGO]],Consumo!$C$2:$AC$862,26,FALSE),0))</f>
        <v>08.2023</v>
      </c>
      <c r="AS682" s="331">
        <f>SUMIF(Consumo!$C$3:$C$862,tabItens[[#This Row],[CÓDIGO]],Consumo!$N$3:$N$862) + SUMIF(Consumo!$C$3:$C$862,tabItens[[#This Row],[CÓDIGO]],Consumo!$O$3:$O$862) + SUMIF(Consumo!$C$3:$C$862,tabItens[[#This Row],[CÓDIGO]],Consumo!$P$3:$P$862) + SUMIF(Consumo!$C$3:$C$862,tabItens[[#This Row],[CÓDIGO]],Consumo!$Q$3:$Q$862)</f>
        <v>53</v>
      </c>
      <c r="AT682" s="331">
        <f>SUMIF(Consumo!$C$3:$C$862,tabItens[[#This Row],[CÓDIGO]],Consumo!$Z$3:$Z$862)</f>
        <v>57</v>
      </c>
      <c r="AU682" s="332">
        <f>SUMIF(Consumo!$C$3:$C$862,tabItens[[#This Row],[CÓDIGO]],Consumo!$AA$3:$AA$862)</f>
        <v>51</v>
      </c>
      <c r="AV682" s="333">
        <f>SUMIF(Consumo!$C$3:$C$862,tabItens[[#This Row],[CÓDIGO]],Consumo!$Y$3:$Y$862)</f>
        <v>3.25</v>
      </c>
      <c r="AW682" s="306">
        <f>tabItens[[#This Row],[QTDE ATUAL]] + tabItens[[#This Row],[RC QTDE]] + tabItens[[#This Row],[AF SALDO]] + tabItens[[#This Row],[Recentes]]</f>
        <v>72</v>
      </c>
      <c r="AX682" s="334">
        <v>1</v>
      </c>
      <c r="AY682" s="334">
        <v>4</v>
      </c>
      <c r="AZ682" s="334">
        <f>IF(ISBLANK(tabItens[[#This Row],[CÓDIGO]]),"",tabItens[[#This Row],[PontoMês]] * (AZ$2+tabItens[[#This Row],[PontoQtM]]))</f>
        <v>4</v>
      </c>
      <c r="BA682" s="333">
        <f>tabItens[[#This Row],[PontoPed]] - tabItens[[#This Row],[Saldo]] + (1/10)</f>
        <v>-67.900000000000006</v>
      </c>
      <c r="BB682" s="333">
        <f xml:space="preserve"> tabItens[[#This Row],[PontoMês]] * BB$2 - tabItens[[#This Row],[QTDE ATUAL]] - (1/10)</f>
        <v>-71.099999999999994</v>
      </c>
      <c r="BC682" s="335">
        <f>IF( tabItens[[#This Row],[PontoPed]]&gt;0, IF(tabItens[[#This Row],[PontoPed]]&lt;1, 1, IF( tabItens[[#This Row],[Saldo]]&gt;tabItens[[#This Row],[PontoPed]], 0, (tabItens[[#This Row],[PontoPed]]-tabItens[[#This Row],[Saldo]])/tabItens[[#This Row],[PontoPed]] ) ), 0 )</f>
        <v>0</v>
      </c>
      <c r="BD682" s="336">
        <f>ROUNDDOWN(IF( OR( AND(tabItens[[#This Row],[PontoPed]]&lt;tabItens[[#This Row],[Saldo]],tabItens[[#This Row],[Saldo]]&gt;0), tabItens[[#This Row],[PontoPed]]=0), 99, IF(AND(tabItens[[#This Row],[Saldo]]=0,tabItens[[#This Row],[PontoPed]]&gt;0), 0, (1-tabItens[[#This Row],[PctAb]])*10 ) ),0)</f>
        <v>99</v>
      </c>
      <c r="BE682" s="337">
        <f>MAX(ROUNDDOWN( IF(tabItens[[#This Row],[Abaixo]] &gt; 0,   tabItens[[#This Row],[Abaixo]] + (tabItens[[#This Row],[PontoMês]] * IF( OR( ISBLANK(tabItens[[#This Row],[ATA Nº/ANO]]), tabItens[[#This Row],[ATA Nº/ANO]] = ""),BE$2,BE$1)),0),0),0)</f>
        <v>0</v>
      </c>
      <c r="BF68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2" s="338">
        <f>SUMIF(Consumo!$C$3:$C$862,tabItens[[#This Row],[CÓDIGO]],Consumo!$E$3:$E$862)</f>
        <v>0</v>
      </c>
      <c r="BH682" s="339">
        <f>IF(AND(tabItens[[#This Row],[Pend]] &gt; 0,tabItens[[#This Row],[Consumo]] &lt;&gt; 0), tabItens[[#This Row],[Pend]] / tabItens[[#This Row],[Consumo]], 0 )</f>
        <v>0</v>
      </c>
      <c r="BI682" s="338"/>
      <c r="BJ682" s="338"/>
      <c r="BK682" s="340" t="s">
        <v>2086</v>
      </c>
    </row>
    <row r="683" spans="1:63" hidden="1" x14ac:dyDescent="0.3">
      <c r="A683" s="301">
        <v>87247</v>
      </c>
      <c r="B683" s="302" t="s">
        <v>1495</v>
      </c>
      <c r="C683" s="303" t="s">
        <v>263</v>
      </c>
      <c r="D683" s="304">
        <v>2.7</v>
      </c>
      <c r="E683" s="305"/>
      <c r="F683" s="305"/>
      <c r="G683" s="305" t="s">
        <v>889</v>
      </c>
      <c r="H683" s="306">
        <v>347</v>
      </c>
      <c r="I683" s="307">
        <v>103003</v>
      </c>
      <c r="J683" s="308">
        <v>2.7</v>
      </c>
      <c r="K683" s="309">
        <v>39</v>
      </c>
      <c r="L683" s="310">
        <f>IF(tabItens[[#This Row],[Média]] &gt; 0, tabItens[[#This Row],[QTDE ATUAL]] / tabItens[[#This Row],[Média]],999.9)</f>
        <v>122.47058823529412</v>
      </c>
      <c r="M683" s="311">
        <v>0</v>
      </c>
      <c r="N683" s="312">
        <f>tabItens[[#This Row],[VALOR UNIT.]] * tabItens[[#This Row],[LC]]</f>
        <v>0</v>
      </c>
      <c r="O683" s="313"/>
      <c r="P683" s="314"/>
      <c r="Q683" s="315"/>
      <c r="R683" s="312"/>
      <c r="S683" s="316"/>
      <c r="T683" s="317">
        <f>ROUNDDOWN(IFERROR(tabItens[[#This Row],[ATA DT.VALID.]] - $D$1,0) / 30,0)</f>
        <v>-1474</v>
      </c>
      <c r="U683" s="302" t="s">
        <v>1021</v>
      </c>
      <c r="V683" s="318">
        <v>1</v>
      </c>
      <c r="W683" s="319" t="s">
        <v>2073</v>
      </c>
      <c r="X683" s="320">
        <v>51</v>
      </c>
      <c r="Y683" s="321">
        <v>12</v>
      </c>
      <c r="Z683" s="322"/>
      <c r="AA683" s="323"/>
      <c r="AB683" s="324"/>
      <c r="AC683" s="324"/>
      <c r="AD683" s="323"/>
      <c r="AE683" s="324"/>
      <c r="AF683" s="317"/>
      <c r="AG683" s="325" t="s">
        <v>2072</v>
      </c>
      <c r="AH683" s="326"/>
      <c r="AI683" s="317">
        <v>14</v>
      </c>
      <c r="AJ683" s="326">
        <v>43991</v>
      </c>
      <c r="AK683" s="326">
        <v>38581</v>
      </c>
      <c r="AL683" s="326">
        <v>44592</v>
      </c>
      <c r="AM683" s="316"/>
      <c r="AN683" s="305"/>
      <c r="AO683" s="327" t="str">
        <f>_xlfn.IFNA(IF(VLOOKUP(tabItens[[#This Row],[CÓDIGO]],tabExcluirDoEstoque[#Data],1,FALSE),"sim",""),"")</f>
        <v/>
      </c>
      <c r="AP683" s="328" t="str">
        <f ca="1">IF(OR(ISBLANK(tabItens[[#This Row],[ATA DT.VALID.]]),tabItens[[#This Row],[ATA DT.VALID.]]="",tabItens[[#This Row],[ATA DT.VALID.]]=" "),"",IF(TYPE(tabItens[[#This Row],[ATA DT.VALID.]])=1,ROUNDUP((tabItens[[#This Row],[ATA DT.VALID.]]-TODAY())/7,0),""))</f>
        <v/>
      </c>
      <c r="AQ683" s="329"/>
      <c r="AR683" s="330" t="str">
        <f>IF(ISBLANK(tabItens[[#This Row],[CÓDIGO]]),"",IFERROR(VLOOKUP(tabItens[[#This Row],[CÓDIGO]],Consumo!$C$2:$AC$862,26,FALSE),0))</f>
        <v>06.2023</v>
      </c>
      <c r="AS683" s="331">
        <f>SUMIF(Consumo!$C$3:$C$862,tabItens[[#This Row],[CÓDIGO]],Consumo!$N$3:$N$862) + SUMIF(Consumo!$C$3:$C$862,tabItens[[#This Row],[CÓDIGO]],Consumo!$O$3:$O$862) + SUMIF(Consumo!$C$3:$C$862,tabItens[[#This Row],[CÓDIGO]],Consumo!$P$3:$P$862) + SUMIF(Consumo!$C$3:$C$862,tabItens[[#This Row],[CÓDIGO]],Consumo!$Q$3:$Q$862)</f>
        <v>2</v>
      </c>
      <c r="AT683" s="331">
        <f>SUMIF(Consumo!$C$3:$C$862,tabItens[[#This Row],[CÓDIGO]],Consumo!$Z$3:$Z$862)</f>
        <v>39</v>
      </c>
      <c r="AU683" s="332">
        <f>SUMIF(Consumo!$C$3:$C$862,tabItens[[#This Row],[CÓDIGO]],Consumo!$AA$3:$AA$862)</f>
        <v>20</v>
      </c>
      <c r="AV683" s="333">
        <f>SUMIF(Consumo!$C$3:$C$862,tabItens[[#This Row],[CÓDIGO]],Consumo!$Y$3:$Y$862)</f>
        <v>2.8333333333333335</v>
      </c>
      <c r="AW683" s="306">
        <f>tabItens[[#This Row],[QTDE ATUAL]] + tabItens[[#This Row],[RC QTDE]] + tabItens[[#This Row],[AF SALDO]] + tabItens[[#This Row],[Recentes]]</f>
        <v>347</v>
      </c>
      <c r="AX683" s="334">
        <v>11</v>
      </c>
      <c r="AY683" s="334">
        <v>4</v>
      </c>
      <c r="AZ683" s="334">
        <f>IF(ISBLANK(tabItens[[#This Row],[CÓDIGO]]),"",tabItens[[#This Row],[PontoMês]] * (AZ$2+tabItens[[#This Row],[PontoQtM]]))</f>
        <v>44</v>
      </c>
      <c r="BA683" s="333">
        <f>tabItens[[#This Row],[PontoPed]] - tabItens[[#This Row],[Saldo]] + (1/10)</f>
        <v>-302.89999999999998</v>
      </c>
      <c r="BB683" s="333">
        <f xml:space="preserve"> tabItens[[#This Row],[PontoMês]] * BB$2 - tabItens[[#This Row],[QTDE ATUAL]] - (1/10)</f>
        <v>-336.1</v>
      </c>
      <c r="BC683" s="335">
        <f>IF( tabItens[[#This Row],[PontoPed]]&gt;0, IF(tabItens[[#This Row],[PontoPed]]&lt;1, 1, IF( tabItens[[#This Row],[Saldo]]&gt;tabItens[[#This Row],[PontoPed]], 0, (tabItens[[#This Row],[PontoPed]]-tabItens[[#This Row],[Saldo]])/tabItens[[#This Row],[PontoPed]] ) ), 0 )</f>
        <v>0</v>
      </c>
      <c r="BD683" s="336">
        <f>ROUNDDOWN(IF( OR( AND(tabItens[[#This Row],[PontoPed]]&lt;tabItens[[#This Row],[Saldo]],tabItens[[#This Row],[Saldo]]&gt;0), tabItens[[#This Row],[PontoPed]]=0), 99, IF(AND(tabItens[[#This Row],[Saldo]]=0,tabItens[[#This Row],[PontoPed]]&gt;0), 0, (1-tabItens[[#This Row],[PctAb]])*10 ) ),0)</f>
        <v>99</v>
      </c>
      <c r="BE683" s="337">
        <f>MAX(ROUNDDOWN( IF(tabItens[[#This Row],[Abaixo]] &gt; 0,   tabItens[[#This Row],[Abaixo]] + (tabItens[[#This Row],[PontoMês]] * IF( OR( ISBLANK(tabItens[[#This Row],[ATA Nº/ANO]]), tabItens[[#This Row],[ATA Nº/ANO]] = ""),BE$2,BE$1)),0),0),0)</f>
        <v>0</v>
      </c>
      <c r="BF68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3" s="338">
        <f>SUMIF(Consumo!$C$3:$C$862,tabItens[[#This Row],[CÓDIGO]],Consumo!$E$3:$E$862)</f>
        <v>0</v>
      </c>
      <c r="BH683" s="339">
        <f>IF(AND(tabItens[[#This Row],[Pend]] &gt; 0,tabItens[[#This Row],[Consumo]] &lt;&gt; 0), tabItens[[#This Row],[Pend]] / tabItens[[#This Row],[Consumo]], 0 )</f>
        <v>0</v>
      </c>
      <c r="BI683" s="338"/>
      <c r="BJ683" s="338"/>
      <c r="BK683" s="340" t="s">
        <v>2086</v>
      </c>
    </row>
    <row r="684" spans="1:63" hidden="1" x14ac:dyDescent="0.3">
      <c r="A684" s="301">
        <v>88876</v>
      </c>
      <c r="B684" s="302" t="s">
        <v>1523</v>
      </c>
      <c r="C684" s="303" t="s">
        <v>263</v>
      </c>
      <c r="D684" s="304">
        <v>12.35</v>
      </c>
      <c r="E684" s="305"/>
      <c r="F684" s="305"/>
      <c r="G684" s="305" t="s">
        <v>889</v>
      </c>
      <c r="H684" s="306">
        <v>692</v>
      </c>
      <c r="I684" s="307">
        <v>103003</v>
      </c>
      <c r="J684" s="308">
        <v>12.35</v>
      </c>
      <c r="K684" s="309">
        <v>200</v>
      </c>
      <c r="L684" s="310">
        <f>IF(tabItens[[#This Row],[Média]] &gt; 0, tabItens[[#This Row],[QTDE ATUAL]] / tabItens[[#This Row],[Média]],999.9)</f>
        <v>62.909090909090907</v>
      </c>
      <c r="M684" s="311">
        <v>0</v>
      </c>
      <c r="N684" s="312">
        <f>tabItens[[#This Row],[VALOR UNIT.]] * tabItens[[#This Row],[LC]]</f>
        <v>0</v>
      </c>
      <c r="O684" s="313"/>
      <c r="P684" s="314"/>
      <c r="Q684" s="315"/>
      <c r="R684" s="312"/>
      <c r="S684" s="316"/>
      <c r="T684" s="317">
        <f>ROUNDDOWN(IFERROR(tabItens[[#This Row],[ATA DT.VALID.]] - $D$1,0) / 30,0)</f>
        <v>-1474</v>
      </c>
      <c r="U684" s="302" t="s">
        <v>1212</v>
      </c>
      <c r="V684" s="318">
        <v>1</v>
      </c>
      <c r="W684" s="319" t="s">
        <v>2071</v>
      </c>
      <c r="X684" s="320">
        <v>51</v>
      </c>
      <c r="Y684" s="321">
        <v>26</v>
      </c>
      <c r="Z684" s="322"/>
      <c r="AA684" s="323"/>
      <c r="AB684" s="324"/>
      <c r="AC684" s="324"/>
      <c r="AD684" s="323"/>
      <c r="AE684" s="324"/>
      <c r="AF684" s="317"/>
      <c r="AG684" s="325" t="s">
        <v>2072</v>
      </c>
      <c r="AH684" s="326"/>
      <c r="AI684" s="317">
        <v>66</v>
      </c>
      <c r="AJ684" s="326">
        <v>44553</v>
      </c>
      <c r="AK684" s="326">
        <v>38664</v>
      </c>
      <c r="AL684" s="326">
        <v>44929</v>
      </c>
      <c r="AM684" s="316"/>
      <c r="AN684" s="305"/>
      <c r="AO684" s="327" t="str">
        <f>_xlfn.IFNA(IF(VLOOKUP(tabItens[[#This Row],[CÓDIGO]],tabExcluirDoEstoque[#Data],1,FALSE),"sim",""),"")</f>
        <v/>
      </c>
      <c r="AP684" s="328" t="str">
        <f ca="1">IF(OR(ISBLANK(tabItens[[#This Row],[ATA DT.VALID.]]),tabItens[[#This Row],[ATA DT.VALID.]]="",tabItens[[#This Row],[ATA DT.VALID.]]=" "),"",IF(TYPE(tabItens[[#This Row],[ATA DT.VALID.]])=1,ROUNDUP((tabItens[[#This Row],[ATA DT.VALID.]]-TODAY())/7,0),""))</f>
        <v/>
      </c>
      <c r="AQ684" s="329"/>
      <c r="AR684" s="330" t="str">
        <f>IF(ISBLANK(tabItens[[#This Row],[CÓDIGO]]),"",IFERROR(VLOOKUP(tabItens[[#This Row],[CÓDIGO]],Consumo!$C$2:$AC$862,26,FALSE),0))</f>
        <v>04.2023</v>
      </c>
      <c r="AS684" s="331">
        <f>SUMIF(Consumo!$C$3:$C$862,tabItens[[#This Row],[CÓDIGO]],Consumo!$N$3:$N$862) + SUMIF(Consumo!$C$3:$C$862,tabItens[[#This Row],[CÓDIGO]],Consumo!$O$3:$O$862) + SUMIF(Consumo!$C$3:$C$862,tabItens[[#This Row],[CÓDIGO]],Consumo!$P$3:$P$862) + SUMIF(Consumo!$C$3:$C$862,tabItens[[#This Row],[CÓDIGO]],Consumo!$Q$3:$Q$862)</f>
        <v>0</v>
      </c>
      <c r="AT684" s="331">
        <f>SUMIF(Consumo!$C$3:$C$862,tabItens[[#This Row],[CÓDIGO]],Consumo!$Z$3:$Z$862)</f>
        <v>200</v>
      </c>
      <c r="AU684" s="332">
        <f>SUMIF(Consumo!$C$3:$C$862,tabItens[[#This Row],[CÓDIGO]],Consumo!$AA$3:$AA$862)</f>
        <v>200</v>
      </c>
      <c r="AV684" s="333">
        <f>SUMIF(Consumo!$C$3:$C$862,tabItens[[#This Row],[CÓDIGO]],Consumo!$Y$3:$Y$862)</f>
        <v>11</v>
      </c>
      <c r="AW684" s="306">
        <f>tabItens[[#This Row],[QTDE ATUAL]] + tabItens[[#This Row],[RC QTDE]] + tabItens[[#This Row],[AF SALDO]] + tabItens[[#This Row],[Recentes]]</f>
        <v>692</v>
      </c>
      <c r="AX684" s="334">
        <v>17</v>
      </c>
      <c r="AY684" s="334">
        <v>4</v>
      </c>
      <c r="AZ684" s="334">
        <f>IF(ISBLANK(tabItens[[#This Row],[CÓDIGO]]),"",tabItens[[#This Row],[PontoMês]] * (AZ$2+tabItens[[#This Row],[PontoQtM]]))</f>
        <v>68</v>
      </c>
      <c r="BA684" s="333">
        <f>tabItens[[#This Row],[PontoPed]] - tabItens[[#This Row],[Saldo]] + (1/10)</f>
        <v>-623.9</v>
      </c>
      <c r="BB684" s="333">
        <f xml:space="preserve"> tabItens[[#This Row],[PontoMês]] * BB$2 - tabItens[[#This Row],[QTDE ATUAL]] - (1/10)</f>
        <v>-675.1</v>
      </c>
      <c r="BC684" s="335">
        <f>IF( tabItens[[#This Row],[PontoPed]]&gt;0, IF(tabItens[[#This Row],[PontoPed]]&lt;1, 1, IF( tabItens[[#This Row],[Saldo]]&gt;tabItens[[#This Row],[PontoPed]], 0, (tabItens[[#This Row],[PontoPed]]-tabItens[[#This Row],[Saldo]])/tabItens[[#This Row],[PontoPed]] ) ), 0 )</f>
        <v>0</v>
      </c>
      <c r="BD684" s="336">
        <f>ROUNDDOWN(IF( OR( AND(tabItens[[#This Row],[PontoPed]]&lt;tabItens[[#This Row],[Saldo]],tabItens[[#This Row],[Saldo]]&gt;0), tabItens[[#This Row],[PontoPed]]=0), 99, IF(AND(tabItens[[#This Row],[Saldo]]=0,tabItens[[#This Row],[PontoPed]]&gt;0), 0, (1-tabItens[[#This Row],[PctAb]])*10 ) ),0)</f>
        <v>99</v>
      </c>
      <c r="BE684" s="337">
        <f>MAX(ROUNDDOWN( IF(tabItens[[#This Row],[Abaixo]] &gt; 0,   tabItens[[#This Row],[Abaixo]] + (tabItens[[#This Row],[PontoMês]] * IF( OR( ISBLANK(tabItens[[#This Row],[ATA Nº/ANO]]), tabItens[[#This Row],[ATA Nº/ANO]] = ""),BE$2,BE$1)),0),0),0)</f>
        <v>0</v>
      </c>
      <c r="BF68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4" s="338">
        <f>SUMIF(Consumo!$C$3:$C$862,tabItens[[#This Row],[CÓDIGO]],Consumo!$E$3:$E$862)</f>
        <v>0</v>
      </c>
      <c r="BH684" s="339">
        <f>IF(AND(tabItens[[#This Row],[Pend]] &gt; 0,tabItens[[#This Row],[Consumo]] &lt;&gt; 0), tabItens[[#This Row],[Pend]] / tabItens[[#This Row],[Consumo]], 0 )</f>
        <v>0</v>
      </c>
      <c r="BI684" s="338"/>
      <c r="BJ684" s="338"/>
      <c r="BK684" s="340" t="s">
        <v>2086</v>
      </c>
    </row>
    <row r="685" spans="1:63" hidden="1" x14ac:dyDescent="0.3">
      <c r="A685" s="301">
        <v>78303</v>
      </c>
      <c r="B685" s="302" t="s">
        <v>1445</v>
      </c>
      <c r="C685" s="303" t="s">
        <v>263</v>
      </c>
      <c r="D685" s="304">
        <v>274</v>
      </c>
      <c r="E685" s="305"/>
      <c r="F685" s="305"/>
      <c r="G685" s="305" t="s">
        <v>889</v>
      </c>
      <c r="H685" s="306">
        <v>17</v>
      </c>
      <c r="I685" s="307">
        <v>103003</v>
      </c>
      <c r="J685" s="308">
        <v>274</v>
      </c>
      <c r="K685" s="309">
        <v>9</v>
      </c>
      <c r="L685" s="310">
        <f>IF(tabItens[[#This Row],[Média]] &gt; 0, tabItens[[#This Row],[QTDE ATUAL]] / tabItens[[#This Row],[Média]],999.9)</f>
        <v>22.666666666666668</v>
      </c>
      <c r="M685" s="311">
        <v>0</v>
      </c>
      <c r="N685" s="312">
        <f>tabItens[[#This Row],[VALOR UNIT.]] * tabItens[[#This Row],[LC]]</f>
        <v>0</v>
      </c>
      <c r="O685" s="313"/>
      <c r="P685" s="314"/>
      <c r="Q685" s="315"/>
      <c r="R685" s="312"/>
      <c r="S685" s="316"/>
      <c r="T685" s="317">
        <f>ROUNDDOWN(IFERROR(tabItens[[#This Row],[ATA DT.VALID.]] - $D$1,0) / 30,0)</f>
        <v>-1474</v>
      </c>
      <c r="U685" s="302" t="s">
        <v>1446</v>
      </c>
      <c r="V685" s="318">
        <v>1</v>
      </c>
      <c r="W685" s="319" t="s">
        <v>2071</v>
      </c>
      <c r="X685" s="320">
        <v>51</v>
      </c>
      <c r="Y685" s="321">
        <v>36</v>
      </c>
      <c r="Z685" s="322"/>
      <c r="AA685" s="323"/>
      <c r="AB685" s="324"/>
      <c r="AC685" s="324"/>
      <c r="AD685" s="323"/>
      <c r="AE685" s="324"/>
      <c r="AF685" s="317"/>
      <c r="AG685" s="325" t="s">
        <v>2072</v>
      </c>
      <c r="AH685" s="326"/>
      <c r="AI685" s="317">
        <v>4</v>
      </c>
      <c r="AJ685" s="326">
        <v>45153</v>
      </c>
      <c r="AK685" s="326">
        <v>38085</v>
      </c>
      <c r="AL685" s="326">
        <v>45131</v>
      </c>
      <c r="AM685" s="316"/>
      <c r="AN685" s="305"/>
      <c r="AO685" s="327" t="str">
        <f>_xlfn.IFNA(IF(VLOOKUP(tabItens[[#This Row],[CÓDIGO]],tabExcluirDoEstoque[#Data],1,FALSE),"sim",""),"")</f>
        <v/>
      </c>
      <c r="AP685" s="328" t="str">
        <f ca="1">IF(OR(ISBLANK(tabItens[[#This Row],[ATA DT.VALID.]]),tabItens[[#This Row],[ATA DT.VALID.]]="",tabItens[[#This Row],[ATA DT.VALID.]]=" "),"",IF(TYPE(tabItens[[#This Row],[ATA DT.VALID.]])=1,ROUNDUP((tabItens[[#This Row],[ATA DT.VALID.]]-TODAY())/7,0),""))</f>
        <v/>
      </c>
      <c r="AQ685" s="329"/>
      <c r="AR685" s="330" t="str">
        <f>IF(ISBLANK(tabItens[[#This Row],[CÓDIGO]]),"",IFERROR(VLOOKUP(tabItens[[#This Row],[CÓDIGO]],Consumo!$C$2:$AC$862,26,FALSE),0))</f>
        <v>09.2023</v>
      </c>
      <c r="AS685" s="331">
        <f>SUMIF(Consumo!$C$3:$C$862,tabItens[[#This Row],[CÓDIGO]],Consumo!$N$3:$N$862) + SUMIF(Consumo!$C$3:$C$862,tabItens[[#This Row],[CÓDIGO]],Consumo!$O$3:$O$862) + SUMIF(Consumo!$C$3:$C$862,tabItens[[#This Row],[CÓDIGO]],Consumo!$P$3:$P$862) + SUMIF(Consumo!$C$3:$C$862,tabItens[[#This Row],[CÓDIGO]],Consumo!$Q$3:$Q$862)</f>
        <v>3</v>
      </c>
      <c r="AT685" s="331">
        <f>SUMIF(Consumo!$C$3:$C$862,tabItens[[#This Row],[CÓDIGO]],Consumo!$Z$3:$Z$862)</f>
        <v>9</v>
      </c>
      <c r="AU685" s="332">
        <f>SUMIF(Consumo!$C$3:$C$862,tabItens[[#This Row],[CÓDIGO]],Consumo!$AA$3:$AA$862)</f>
        <v>3</v>
      </c>
      <c r="AV685" s="333">
        <f>SUMIF(Consumo!$C$3:$C$862,tabItens[[#This Row],[CÓDIGO]],Consumo!$Y$3:$Y$862)</f>
        <v>0.75</v>
      </c>
      <c r="AW685" s="306">
        <f>tabItens[[#This Row],[QTDE ATUAL]] + tabItens[[#This Row],[RC QTDE]] + tabItens[[#This Row],[AF SALDO]] + tabItens[[#This Row],[Recentes]]</f>
        <v>17</v>
      </c>
      <c r="AX685" s="334">
        <v>0</v>
      </c>
      <c r="AY685" s="334">
        <v>4</v>
      </c>
      <c r="AZ685" s="334">
        <f>IF(ISBLANK(tabItens[[#This Row],[CÓDIGO]]),"",tabItens[[#This Row],[PontoMês]] * (AZ$2+tabItens[[#This Row],[PontoQtM]]))</f>
        <v>0</v>
      </c>
      <c r="BA685" s="333">
        <f>tabItens[[#This Row],[PontoPed]] - tabItens[[#This Row],[Saldo]] + (1/10)</f>
        <v>-16.899999999999999</v>
      </c>
      <c r="BB685" s="333">
        <f xml:space="preserve"> tabItens[[#This Row],[PontoMês]] * BB$2 - tabItens[[#This Row],[QTDE ATUAL]] - (1/10)</f>
        <v>-17.100000000000001</v>
      </c>
      <c r="BC685" s="335">
        <f>IF( tabItens[[#This Row],[PontoPed]]&gt;0, IF(tabItens[[#This Row],[PontoPed]]&lt;1, 1, IF( tabItens[[#This Row],[Saldo]]&gt;tabItens[[#This Row],[PontoPed]], 0, (tabItens[[#This Row],[PontoPed]]-tabItens[[#This Row],[Saldo]])/tabItens[[#This Row],[PontoPed]] ) ), 0 )</f>
        <v>0</v>
      </c>
      <c r="BD685" s="336">
        <f>ROUNDDOWN(IF( OR( AND(tabItens[[#This Row],[PontoPed]]&lt;tabItens[[#This Row],[Saldo]],tabItens[[#This Row],[Saldo]]&gt;0), tabItens[[#This Row],[PontoPed]]=0), 99, IF(AND(tabItens[[#This Row],[Saldo]]=0,tabItens[[#This Row],[PontoPed]]&gt;0), 0, (1-tabItens[[#This Row],[PctAb]])*10 ) ),0)</f>
        <v>99</v>
      </c>
      <c r="BE685" s="337">
        <f>MAX(ROUNDDOWN( IF(tabItens[[#This Row],[Abaixo]] &gt; 0,   tabItens[[#This Row],[Abaixo]] + (tabItens[[#This Row],[PontoMês]] * IF( OR( ISBLANK(tabItens[[#This Row],[ATA Nº/ANO]]), tabItens[[#This Row],[ATA Nº/ANO]] = ""),BE$2,BE$1)),0),0),0)</f>
        <v>0</v>
      </c>
      <c r="BF68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5" s="338">
        <f>SUMIF(Consumo!$C$3:$C$862,tabItens[[#This Row],[CÓDIGO]],Consumo!$E$3:$E$862)</f>
        <v>0</v>
      </c>
      <c r="BH685" s="339">
        <f>IF(AND(tabItens[[#This Row],[Pend]] &gt; 0,tabItens[[#This Row],[Consumo]] &lt;&gt; 0), tabItens[[#This Row],[Pend]] / tabItens[[#This Row],[Consumo]], 0 )</f>
        <v>0</v>
      </c>
      <c r="BI685" s="338"/>
      <c r="BJ685" s="338"/>
      <c r="BK685" s="340" t="s">
        <v>2086</v>
      </c>
    </row>
    <row r="686" spans="1:63" hidden="1" x14ac:dyDescent="0.3">
      <c r="A686" s="301">
        <v>144153</v>
      </c>
      <c r="B686" s="302" t="s">
        <v>2050</v>
      </c>
      <c r="C686" s="303" t="s">
        <v>31</v>
      </c>
      <c r="D686" s="304">
        <v>31.45</v>
      </c>
      <c r="E686" s="305"/>
      <c r="F686" s="305"/>
      <c r="G686" s="305" t="s">
        <v>889</v>
      </c>
      <c r="H686" s="306">
        <v>373</v>
      </c>
      <c r="I686" s="307">
        <v>103003</v>
      </c>
      <c r="J686" s="308">
        <v>31.45</v>
      </c>
      <c r="K686" s="309">
        <v>598</v>
      </c>
      <c r="L686" s="310">
        <f>IF(tabItens[[#This Row],[Média]] &gt; 0, tabItens[[#This Row],[QTDE ATUAL]] / tabItens[[#This Row],[Média]],999.9)</f>
        <v>5.6301886792452827</v>
      </c>
      <c r="M686" s="311">
        <v>0</v>
      </c>
      <c r="N686" s="312">
        <f>tabItens[[#This Row],[VALOR UNIT.]] * tabItens[[#This Row],[LC]]</f>
        <v>0</v>
      </c>
      <c r="O686" s="313"/>
      <c r="P686" s="314"/>
      <c r="Q686" s="315"/>
      <c r="R686" s="312"/>
      <c r="S686" s="316"/>
      <c r="T686" s="317">
        <f>ROUNDDOWN(IFERROR(tabItens[[#This Row],[ATA DT.VALID.]] - $D$1,0) / 30,0)</f>
        <v>-1474</v>
      </c>
      <c r="U686" s="302" t="s">
        <v>1446</v>
      </c>
      <c r="V686" s="318">
        <v>1</v>
      </c>
      <c r="W686" s="319" t="s">
        <v>2071</v>
      </c>
      <c r="X686" s="320">
        <v>51</v>
      </c>
      <c r="Y686" s="321">
        <v>36</v>
      </c>
      <c r="Z686" s="322"/>
      <c r="AA686" s="323"/>
      <c r="AB686" s="324"/>
      <c r="AC686" s="324"/>
      <c r="AD686" s="323"/>
      <c r="AE686" s="324"/>
      <c r="AF686" s="317"/>
      <c r="AG686" s="325" t="s">
        <v>2072</v>
      </c>
      <c r="AH686" s="326"/>
      <c r="AI686" s="317">
        <v>270</v>
      </c>
      <c r="AJ686" s="326">
        <v>44844</v>
      </c>
      <c r="AK686" s="326">
        <v>44700</v>
      </c>
      <c r="AL686" s="326">
        <v>45145</v>
      </c>
      <c r="AM686" s="316"/>
      <c r="AN686" s="305"/>
      <c r="AO686" s="327" t="str">
        <f>_xlfn.IFNA(IF(VLOOKUP(tabItens[[#This Row],[CÓDIGO]],tabExcluirDoEstoque[#Data],1,FALSE),"sim",""),"")</f>
        <v/>
      </c>
      <c r="AP686" s="328" t="str">
        <f ca="1">IF(OR(ISBLANK(tabItens[[#This Row],[ATA DT.VALID.]]),tabItens[[#This Row],[ATA DT.VALID.]]="",tabItens[[#This Row],[ATA DT.VALID.]]=" "),"",IF(TYPE(tabItens[[#This Row],[ATA DT.VALID.]])=1,ROUNDUP((tabItens[[#This Row],[ATA DT.VALID.]]-TODAY())/7,0),""))</f>
        <v/>
      </c>
      <c r="AQ686" s="329"/>
      <c r="AR686" s="330" t="str">
        <f>IF(ISBLANK(tabItens[[#This Row],[CÓDIGO]]),"",IFERROR(VLOOKUP(tabItens[[#This Row],[CÓDIGO]],Consumo!$C$2:$AC$862,26,FALSE),0))</f>
        <v>09.2023</v>
      </c>
      <c r="AS686" s="331">
        <f>SUMIF(Consumo!$C$3:$C$862,tabItens[[#This Row],[CÓDIGO]],Consumo!$N$3:$N$862) + SUMIF(Consumo!$C$3:$C$862,tabItens[[#This Row],[CÓDIGO]],Consumo!$O$3:$O$862) + SUMIF(Consumo!$C$3:$C$862,tabItens[[#This Row],[CÓDIGO]],Consumo!$P$3:$P$862) + SUMIF(Consumo!$C$3:$C$862,tabItens[[#This Row],[CÓDIGO]],Consumo!$Q$3:$Q$862)</f>
        <v>288</v>
      </c>
      <c r="AT686" s="331">
        <f>SUMIF(Consumo!$C$3:$C$862,tabItens[[#This Row],[CÓDIGO]],Consumo!$Z$3:$Z$862)</f>
        <v>808</v>
      </c>
      <c r="AU686" s="332">
        <f>SUMIF(Consumo!$C$3:$C$862,tabItens[[#This Row],[CÓDIGO]],Consumo!$AA$3:$AA$862)</f>
        <v>173</v>
      </c>
      <c r="AV686" s="333">
        <f>SUMIF(Consumo!$C$3:$C$862,tabItens[[#This Row],[CÓDIGO]],Consumo!$Y$3:$Y$862)</f>
        <v>66.25</v>
      </c>
      <c r="AW686" s="306">
        <f>tabItens[[#This Row],[QTDE ATUAL]] + tabItens[[#This Row],[RC QTDE]] + tabItens[[#This Row],[AF SALDO]] + tabItens[[#This Row],[Recentes]]</f>
        <v>373</v>
      </c>
      <c r="AX686" s="334">
        <v>0</v>
      </c>
      <c r="AY686" s="334">
        <v>0</v>
      </c>
      <c r="AZ686" s="334">
        <f>IF(ISBLANK(tabItens[[#This Row],[CÓDIGO]]),"",tabItens[[#This Row],[PontoMês]] * (AZ$2+tabItens[[#This Row],[PontoQtM]]))</f>
        <v>0</v>
      </c>
      <c r="BA686" s="333">
        <f>tabItens[[#This Row],[PontoPed]] - tabItens[[#This Row],[Saldo]] + (1/10)</f>
        <v>-372.9</v>
      </c>
      <c r="BB686" s="333">
        <f xml:space="preserve"> tabItens[[#This Row],[PontoMês]] * BB$2 - tabItens[[#This Row],[QTDE ATUAL]] - (1/10)</f>
        <v>-373.1</v>
      </c>
      <c r="BC686" s="335">
        <f>IF( tabItens[[#This Row],[PontoPed]]&gt;0, IF(tabItens[[#This Row],[PontoPed]]&lt;1, 1, IF( tabItens[[#This Row],[Saldo]]&gt;tabItens[[#This Row],[PontoPed]], 0, (tabItens[[#This Row],[PontoPed]]-tabItens[[#This Row],[Saldo]])/tabItens[[#This Row],[PontoPed]] ) ), 0 )</f>
        <v>0</v>
      </c>
      <c r="BD686" s="336">
        <f>ROUNDDOWN(IF( OR( AND(tabItens[[#This Row],[PontoPed]]&lt;tabItens[[#This Row],[Saldo]],tabItens[[#This Row],[Saldo]]&gt;0), tabItens[[#This Row],[PontoPed]]=0), 99, IF(AND(tabItens[[#This Row],[Saldo]]=0,tabItens[[#This Row],[PontoPed]]&gt;0), 0, (1-tabItens[[#This Row],[PctAb]])*10 ) ),0)</f>
        <v>99</v>
      </c>
      <c r="BE686" s="337">
        <f>MAX(ROUNDDOWN( IF(tabItens[[#This Row],[Abaixo]] &gt; 0,   tabItens[[#This Row],[Abaixo]] + (tabItens[[#This Row],[PontoMês]] * IF( OR( ISBLANK(tabItens[[#This Row],[ATA Nº/ANO]]), tabItens[[#This Row],[ATA Nº/ANO]] = ""),BE$2,BE$1)),0),0),0)</f>
        <v>0</v>
      </c>
      <c r="BF68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6" s="338">
        <f>SUMIF(Consumo!$C$3:$C$862,tabItens[[#This Row],[CÓDIGO]],Consumo!$E$3:$E$862)</f>
        <v>10</v>
      </c>
      <c r="BH686" s="339">
        <f>IF(AND(tabItens[[#This Row],[Pend]] &gt; 0,tabItens[[#This Row],[Consumo]] &lt;&gt; 0), tabItens[[#This Row],[Pend]] / tabItens[[#This Row],[Consumo]], 0 )</f>
        <v>1.2376237623762377E-2</v>
      </c>
      <c r="BI686" s="338"/>
      <c r="BJ686" s="338"/>
      <c r="BK686" s="340" t="s">
        <v>2086</v>
      </c>
    </row>
    <row r="687" spans="1:63" hidden="1" x14ac:dyDescent="0.3">
      <c r="A687" s="301">
        <v>105294</v>
      </c>
      <c r="B687" s="302" t="s">
        <v>1625</v>
      </c>
      <c r="C687" s="303" t="s">
        <v>263</v>
      </c>
      <c r="D687" s="304">
        <v>12.69</v>
      </c>
      <c r="E687" s="305"/>
      <c r="F687" s="305"/>
      <c r="G687" s="305" t="s">
        <v>889</v>
      </c>
      <c r="H687" s="306">
        <v>75</v>
      </c>
      <c r="I687" s="307">
        <v>103003</v>
      </c>
      <c r="J687" s="308">
        <v>12.69</v>
      </c>
      <c r="K687" s="309">
        <v>185</v>
      </c>
      <c r="L687" s="310">
        <f>IF(tabItens[[#This Row],[Média]] &gt; 0, tabItens[[#This Row],[QTDE ATUAL]] / tabItens[[#This Row],[Média]],999.9)</f>
        <v>4.8128342245989302</v>
      </c>
      <c r="M687" s="311">
        <v>0</v>
      </c>
      <c r="N687" s="312">
        <f>tabItens[[#This Row],[VALOR UNIT.]] * tabItens[[#This Row],[LC]]</f>
        <v>0</v>
      </c>
      <c r="O687" s="313"/>
      <c r="P687" s="314"/>
      <c r="Q687" s="315"/>
      <c r="R687" s="312"/>
      <c r="S687" s="316"/>
      <c r="T687" s="317">
        <f>ROUNDDOWN(IFERROR(tabItens[[#This Row],[ATA DT.VALID.]] - $D$1,0) / 30,0)</f>
        <v>-1474</v>
      </c>
      <c r="U687" s="302" t="s">
        <v>1598</v>
      </c>
      <c r="V687" s="318">
        <v>1</v>
      </c>
      <c r="W687" s="319" t="s">
        <v>2071</v>
      </c>
      <c r="X687" s="320">
        <v>51</v>
      </c>
      <c r="Y687" s="321">
        <v>42</v>
      </c>
      <c r="Z687" s="322"/>
      <c r="AA687" s="323"/>
      <c r="AB687" s="324"/>
      <c r="AC687" s="324"/>
      <c r="AD687" s="323"/>
      <c r="AE687" s="324"/>
      <c r="AF687" s="317"/>
      <c r="AG687" s="325" t="s">
        <v>2072</v>
      </c>
      <c r="AH687" s="326"/>
      <c r="AI687" s="317">
        <v>62</v>
      </c>
      <c r="AJ687" s="326">
        <v>44946</v>
      </c>
      <c r="AK687" s="326">
        <v>39506</v>
      </c>
      <c r="AL687" s="326">
        <v>44939</v>
      </c>
      <c r="AM687" s="316"/>
      <c r="AN687" s="305"/>
      <c r="AO687" s="327" t="str">
        <f>_xlfn.IFNA(IF(VLOOKUP(tabItens[[#This Row],[CÓDIGO]],tabExcluirDoEstoque[#Data],1,FALSE),"sim",""),"")</f>
        <v/>
      </c>
      <c r="AP687" s="328" t="str">
        <f ca="1">IF(OR(ISBLANK(tabItens[[#This Row],[ATA DT.VALID.]]),tabItens[[#This Row],[ATA DT.VALID.]]="",tabItens[[#This Row],[ATA DT.VALID.]]=" "),"",IF(TYPE(tabItens[[#This Row],[ATA DT.VALID.]])=1,ROUNDUP((tabItens[[#This Row],[ATA DT.VALID.]]-TODAY())/7,0),""))</f>
        <v/>
      </c>
      <c r="AQ687" s="329"/>
      <c r="AR687" s="330" t="str">
        <f>IF(ISBLANK(tabItens[[#This Row],[CÓDIGO]]),"",IFERROR(VLOOKUP(tabItens[[#This Row],[CÓDIGO]],Consumo!$C$2:$AC$862,26,FALSE),0))</f>
        <v>09.2023</v>
      </c>
      <c r="AS687" s="331">
        <f>SUMIF(Consumo!$C$3:$C$862,tabItens[[#This Row],[CÓDIGO]],Consumo!$N$3:$N$862) + SUMIF(Consumo!$C$3:$C$862,tabItens[[#This Row],[CÓDIGO]],Consumo!$O$3:$O$862) + SUMIF(Consumo!$C$3:$C$862,tabItens[[#This Row],[CÓDIGO]],Consumo!$P$3:$P$862) + SUMIF(Consumo!$C$3:$C$862,tabItens[[#This Row],[CÓDIGO]],Consumo!$Q$3:$Q$862)</f>
        <v>100</v>
      </c>
      <c r="AT687" s="331">
        <f>SUMIF(Consumo!$C$3:$C$862,tabItens[[#This Row],[CÓDIGO]],Consumo!$Z$3:$Z$862)</f>
        <v>187</v>
      </c>
      <c r="AU687" s="332">
        <f>SUMIF(Consumo!$C$3:$C$862,tabItens[[#This Row],[CÓDIGO]],Consumo!$AA$3:$AA$862)</f>
        <v>50</v>
      </c>
      <c r="AV687" s="333">
        <f>SUMIF(Consumo!$C$3:$C$862,tabItens[[#This Row],[CÓDIGO]],Consumo!$Y$3:$Y$862)</f>
        <v>15.583333333333334</v>
      </c>
      <c r="AW687" s="306">
        <f>tabItens[[#This Row],[QTDE ATUAL]] + tabItens[[#This Row],[RC QTDE]] + tabItens[[#This Row],[AF SALDO]] + tabItens[[#This Row],[Recentes]]</f>
        <v>75</v>
      </c>
      <c r="AX687" s="334">
        <v>6</v>
      </c>
      <c r="AY687" s="334">
        <v>4</v>
      </c>
      <c r="AZ687" s="334">
        <f>IF(ISBLANK(tabItens[[#This Row],[CÓDIGO]]),"",tabItens[[#This Row],[PontoMês]] * (AZ$2+tabItens[[#This Row],[PontoQtM]]))</f>
        <v>24</v>
      </c>
      <c r="BA687" s="333">
        <f>tabItens[[#This Row],[PontoPed]] - tabItens[[#This Row],[Saldo]] + (1/10)</f>
        <v>-50.9</v>
      </c>
      <c r="BB687" s="333">
        <f xml:space="preserve"> tabItens[[#This Row],[PontoMês]] * BB$2 - tabItens[[#This Row],[QTDE ATUAL]] - (1/10)</f>
        <v>-69.099999999999994</v>
      </c>
      <c r="BC687" s="335">
        <f>IF( tabItens[[#This Row],[PontoPed]]&gt;0, IF(tabItens[[#This Row],[PontoPed]]&lt;1, 1, IF( tabItens[[#This Row],[Saldo]]&gt;tabItens[[#This Row],[PontoPed]], 0, (tabItens[[#This Row],[PontoPed]]-tabItens[[#This Row],[Saldo]])/tabItens[[#This Row],[PontoPed]] ) ), 0 )</f>
        <v>0</v>
      </c>
      <c r="BD687" s="336">
        <f>ROUNDDOWN(IF( OR( AND(tabItens[[#This Row],[PontoPed]]&lt;tabItens[[#This Row],[Saldo]],tabItens[[#This Row],[Saldo]]&gt;0), tabItens[[#This Row],[PontoPed]]=0), 99, IF(AND(tabItens[[#This Row],[Saldo]]=0,tabItens[[#This Row],[PontoPed]]&gt;0), 0, (1-tabItens[[#This Row],[PctAb]])*10 ) ),0)</f>
        <v>99</v>
      </c>
      <c r="BE687" s="337">
        <f>MAX(ROUNDDOWN( IF(tabItens[[#This Row],[Abaixo]] &gt; 0,   tabItens[[#This Row],[Abaixo]] + (tabItens[[#This Row],[PontoMês]] * IF( OR( ISBLANK(tabItens[[#This Row],[ATA Nº/ANO]]), tabItens[[#This Row],[ATA Nº/ANO]] = ""),BE$2,BE$1)),0),0),0)</f>
        <v>0</v>
      </c>
      <c r="BF68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7" s="338">
        <f>SUMIF(Consumo!$C$3:$C$862,tabItens[[#This Row],[CÓDIGO]],Consumo!$E$3:$E$862)</f>
        <v>2</v>
      </c>
      <c r="BH687" s="339">
        <f>IF(AND(tabItens[[#This Row],[Pend]] &gt; 0,tabItens[[#This Row],[Consumo]] &lt;&gt; 0), tabItens[[#This Row],[Pend]] / tabItens[[#This Row],[Consumo]], 0 )</f>
        <v>1.06951871657754E-2</v>
      </c>
      <c r="BI687" s="338"/>
      <c r="BJ687" s="338"/>
      <c r="BK687" s="340" t="s">
        <v>2086</v>
      </c>
    </row>
    <row r="688" spans="1:63" hidden="1" x14ac:dyDescent="0.3">
      <c r="A688" s="301">
        <v>106909</v>
      </c>
      <c r="B688" s="302" t="s">
        <v>1642</v>
      </c>
      <c r="C688" s="303" t="s">
        <v>263</v>
      </c>
      <c r="D688" s="304">
        <v>105.38</v>
      </c>
      <c r="E688" s="305"/>
      <c r="F688" s="305"/>
      <c r="G688" s="305" t="s">
        <v>889</v>
      </c>
      <c r="H688" s="306">
        <v>1</v>
      </c>
      <c r="I688" s="307">
        <v>103003</v>
      </c>
      <c r="J688" s="308">
        <v>105.38</v>
      </c>
      <c r="K688" s="309"/>
      <c r="L688" s="310">
        <f>IF(tabItens[[#This Row],[Média]] &gt; 0, tabItens[[#This Row],[QTDE ATUAL]] / tabItens[[#This Row],[Média]],999.9)</f>
        <v>999.9</v>
      </c>
      <c r="M688" s="311">
        <v>0</v>
      </c>
      <c r="N688" s="312">
        <f>tabItens[[#This Row],[VALOR UNIT.]] * tabItens[[#This Row],[LC]]</f>
        <v>0</v>
      </c>
      <c r="O688" s="313"/>
      <c r="P688" s="314"/>
      <c r="Q688" s="315"/>
      <c r="R688" s="312"/>
      <c r="S688" s="316"/>
      <c r="T688" s="317">
        <f>ROUNDDOWN(IFERROR(tabItens[[#This Row],[ATA DT.VALID.]] - $D$1,0) / 30,0)</f>
        <v>-1474</v>
      </c>
      <c r="U688" s="302" t="s">
        <v>1492</v>
      </c>
      <c r="V688" s="318">
        <v>1</v>
      </c>
      <c r="W688" s="319" t="s">
        <v>2081</v>
      </c>
      <c r="X688" s="320">
        <v>54</v>
      </c>
      <c r="Y688" s="321">
        <v>4</v>
      </c>
      <c r="Z688" s="322">
        <v>2813</v>
      </c>
      <c r="AA688" s="323">
        <v>2023</v>
      </c>
      <c r="AB688" s="324">
        <v>2</v>
      </c>
      <c r="AC688" s="324"/>
      <c r="AD688" s="323"/>
      <c r="AE688" s="324"/>
      <c r="AF688" s="317"/>
      <c r="AG688" s="325" t="s">
        <v>2072</v>
      </c>
      <c r="AH688" s="326"/>
      <c r="AI688" s="317">
        <v>0</v>
      </c>
      <c r="AJ688" s="326">
        <v>43703</v>
      </c>
      <c r="AK688" s="326">
        <v>39624</v>
      </c>
      <c r="AL688" s="326">
        <v>43677</v>
      </c>
      <c r="AM688" s="316"/>
      <c r="AN688" s="305"/>
      <c r="AO688" s="327" t="str">
        <f>_xlfn.IFNA(IF(VLOOKUP(tabItens[[#This Row],[CÓDIGO]],tabExcluirDoEstoque[#Data],1,FALSE),"sim",""),"")</f>
        <v/>
      </c>
      <c r="AP688" s="328" t="str">
        <f ca="1">IF(OR(ISBLANK(tabItens[[#This Row],[ATA DT.VALID.]]),tabItens[[#This Row],[ATA DT.VALID.]]="",tabItens[[#This Row],[ATA DT.VALID.]]=" "),"",IF(TYPE(tabItens[[#This Row],[ATA DT.VALID.]])=1,ROUNDUP((tabItens[[#This Row],[ATA DT.VALID.]]-TODAY())/7,0),""))</f>
        <v/>
      </c>
      <c r="AQ688" s="329"/>
      <c r="AR688" s="330">
        <f>IF(ISBLANK(tabItens[[#This Row],[CÓDIGO]]),"",IFERROR(VLOOKUP(tabItens[[#This Row],[CÓDIGO]],Consumo!$C$2:$AC$862,26,FALSE),0))</f>
        <v>0</v>
      </c>
      <c r="AS688" s="331">
        <f>SUMIF(Consumo!$C$3:$C$862,tabItens[[#This Row],[CÓDIGO]],Consumo!$N$3:$N$862) + SUMIF(Consumo!$C$3:$C$862,tabItens[[#This Row],[CÓDIGO]],Consumo!$O$3:$O$862) + SUMIF(Consumo!$C$3:$C$862,tabItens[[#This Row],[CÓDIGO]],Consumo!$P$3:$P$862) + SUMIF(Consumo!$C$3:$C$862,tabItens[[#This Row],[CÓDIGO]],Consumo!$Q$3:$Q$862)</f>
        <v>0</v>
      </c>
      <c r="AT688" s="331">
        <f>SUMIF(Consumo!$C$3:$C$862,tabItens[[#This Row],[CÓDIGO]],Consumo!$Z$3:$Z$862)</f>
        <v>0</v>
      </c>
      <c r="AU688" s="332">
        <f>SUMIF(Consumo!$C$3:$C$862,tabItens[[#This Row],[CÓDIGO]],Consumo!$AA$3:$AA$862)</f>
        <v>0</v>
      </c>
      <c r="AV688" s="333">
        <f>SUMIF(Consumo!$C$3:$C$862,tabItens[[#This Row],[CÓDIGO]],Consumo!$Y$3:$Y$862)</f>
        <v>0</v>
      </c>
      <c r="AW688" s="306">
        <f>tabItens[[#This Row],[QTDE ATUAL]] + tabItens[[#This Row],[RC QTDE]] + tabItens[[#This Row],[AF SALDO]] + tabItens[[#This Row],[Recentes]]</f>
        <v>3</v>
      </c>
      <c r="AX688" s="334">
        <v>0</v>
      </c>
      <c r="AY688" s="334">
        <v>4</v>
      </c>
      <c r="AZ688" s="334">
        <f>IF(ISBLANK(tabItens[[#This Row],[CÓDIGO]]),"",tabItens[[#This Row],[PontoMês]] * (AZ$2+tabItens[[#This Row],[PontoQtM]]))</f>
        <v>0</v>
      </c>
      <c r="BA688" s="333">
        <f>tabItens[[#This Row],[PontoPed]] - tabItens[[#This Row],[Saldo]] + (1/10)</f>
        <v>-2.9</v>
      </c>
      <c r="BB688" s="333">
        <f xml:space="preserve"> tabItens[[#This Row],[PontoMês]] * BB$2 - tabItens[[#This Row],[QTDE ATUAL]] - (1/10)</f>
        <v>-1.1000000000000001</v>
      </c>
      <c r="BC688" s="335">
        <f>IF( tabItens[[#This Row],[PontoPed]]&gt;0, IF(tabItens[[#This Row],[PontoPed]]&lt;1, 1, IF( tabItens[[#This Row],[Saldo]]&gt;tabItens[[#This Row],[PontoPed]], 0, (tabItens[[#This Row],[PontoPed]]-tabItens[[#This Row],[Saldo]])/tabItens[[#This Row],[PontoPed]] ) ), 0 )</f>
        <v>0</v>
      </c>
      <c r="BD688" s="336">
        <f>ROUNDDOWN(IF( OR( AND(tabItens[[#This Row],[PontoPed]]&lt;tabItens[[#This Row],[Saldo]],tabItens[[#This Row],[Saldo]]&gt;0), tabItens[[#This Row],[PontoPed]]=0), 99, IF(AND(tabItens[[#This Row],[Saldo]]=0,tabItens[[#This Row],[PontoPed]]&gt;0), 0, (1-tabItens[[#This Row],[PctAb]])*10 ) ),0)</f>
        <v>99</v>
      </c>
      <c r="BE688" s="337">
        <f>MAX(ROUNDDOWN( IF(tabItens[[#This Row],[Abaixo]] &gt; 0,   tabItens[[#This Row],[Abaixo]] + (tabItens[[#This Row],[PontoMês]] * IF( OR( ISBLANK(tabItens[[#This Row],[ATA Nº/ANO]]), tabItens[[#This Row],[ATA Nº/ANO]] = ""),BE$2,BE$1)),0),0),0)</f>
        <v>0</v>
      </c>
      <c r="BF68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8" s="338">
        <f>SUMIF(Consumo!$C$3:$C$862,tabItens[[#This Row],[CÓDIGO]],Consumo!$E$3:$E$862)</f>
        <v>0</v>
      </c>
      <c r="BH688" s="339">
        <f>IF(AND(tabItens[[#This Row],[Pend]] &gt; 0,tabItens[[#This Row],[Consumo]] &lt;&gt; 0), tabItens[[#This Row],[Pend]] / tabItens[[#This Row],[Consumo]], 0 )</f>
        <v>0</v>
      </c>
      <c r="BI688" s="338"/>
      <c r="BJ688" s="338"/>
      <c r="BK688" s="340" t="s">
        <v>2086</v>
      </c>
    </row>
    <row r="689" spans="1:63" hidden="1" x14ac:dyDescent="0.3">
      <c r="A689" s="301">
        <v>106910</v>
      </c>
      <c r="B689" s="302" t="s">
        <v>1643</v>
      </c>
      <c r="C689" s="303" t="s">
        <v>263</v>
      </c>
      <c r="D689" s="304">
        <v>105.38</v>
      </c>
      <c r="E689" s="305"/>
      <c r="F689" s="305"/>
      <c r="G689" s="305" t="s">
        <v>889</v>
      </c>
      <c r="H689" s="306">
        <v>7</v>
      </c>
      <c r="I689" s="307">
        <v>103003</v>
      </c>
      <c r="J689" s="308">
        <v>105.38</v>
      </c>
      <c r="K689" s="309">
        <v>4</v>
      </c>
      <c r="L689" s="310">
        <f>IF(tabItens[[#This Row],[Média]] &gt; 0, tabItens[[#This Row],[QTDE ATUAL]] / tabItens[[#This Row],[Média]],999.9)</f>
        <v>42</v>
      </c>
      <c r="M689" s="311">
        <v>0</v>
      </c>
      <c r="N689" s="312">
        <f>tabItens[[#This Row],[VALOR UNIT.]] * tabItens[[#This Row],[LC]]</f>
        <v>0</v>
      </c>
      <c r="O689" s="313"/>
      <c r="P689" s="314"/>
      <c r="Q689" s="315"/>
      <c r="R689" s="312"/>
      <c r="S689" s="316"/>
      <c r="T689" s="317">
        <f>ROUNDDOWN(IFERROR(tabItens[[#This Row],[ATA DT.VALID.]] - $D$1,0) / 30,0)</f>
        <v>-1474</v>
      </c>
      <c r="U689" s="302" t="s">
        <v>1492</v>
      </c>
      <c r="V689" s="318">
        <v>1</v>
      </c>
      <c r="W689" s="319" t="s">
        <v>2081</v>
      </c>
      <c r="X689" s="320">
        <v>54</v>
      </c>
      <c r="Y689" s="321">
        <v>4</v>
      </c>
      <c r="Z689" s="322"/>
      <c r="AA689" s="323"/>
      <c r="AB689" s="324"/>
      <c r="AC689" s="324"/>
      <c r="AD689" s="323"/>
      <c r="AE689" s="324"/>
      <c r="AF689" s="317"/>
      <c r="AG689" s="325" t="s">
        <v>2072</v>
      </c>
      <c r="AH689" s="326"/>
      <c r="AI689" s="317">
        <v>0</v>
      </c>
      <c r="AJ689" s="326">
        <v>43703</v>
      </c>
      <c r="AK689" s="326">
        <v>39624</v>
      </c>
      <c r="AL689" s="326">
        <v>43677</v>
      </c>
      <c r="AM689" s="316"/>
      <c r="AN689" s="305"/>
      <c r="AO689" s="327" t="str">
        <f>_xlfn.IFNA(IF(VLOOKUP(tabItens[[#This Row],[CÓDIGO]],tabExcluirDoEstoque[#Data],1,FALSE),"sim",""),"")</f>
        <v/>
      </c>
      <c r="AP689" s="328" t="str">
        <f ca="1">IF(OR(ISBLANK(tabItens[[#This Row],[ATA DT.VALID.]]),tabItens[[#This Row],[ATA DT.VALID.]]="",tabItens[[#This Row],[ATA DT.VALID.]]=" "),"",IF(TYPE(tabItens[[#This Row],[ATA DT.VALID.]])=1,ROUNDUP((tabItens[[#This Row],[ATA DT.VALID.]]-TODAY())/7,0),""))</f>
        <v/>
      </c>
      <c r="AQ689" s="329"/>
      <c r="AR689" s="330" t="str">
        <f>IF(ISBLANK(tabItens[[#This Row],[CÓDIGO]]),"",IFERROR(VLOOKUP(tabItens[[#This Row],[CÓDIGO]],Consumo!$C$2:$AC$862,26,FALSE),0))</f>
        <v>07.2023</v>
      </c>
      <c r="AS689" s="331">
        <f>SUMIF(Consumo!$C$3:$C$862,tabItens[[#This Row],[CÓDIGO]],Consumo!$N$3:$N$862) + SUMIF(Consumo!$C$3:$C$862,tabItens[[#This Row],[CÓDIGO]],Consumo!$O$3:$O$862) + SUMIF(Consumo!$C$3:$C$862,tabItens[[#This Row],[CÓDIGO]],Consumo!$P$3:$P$862) + SUMIF(Consumo!$C$3:$C$862,tabItens[[#This Row],[CÓDIGO]],Consumo!$Q$3:$Q$862)</f>
        <v>2</v>
      </c>
      <c r="AT689" s="331">
        <f>SUMIF(Consumo!$C$3:$C$862,tabItens[[#This Row],[CÓDIGO]],Consumo!$Z$3:$Z$862)</f>
        <v>4</v>
      </c>
      <c r="AU689" s="332">
        <f>SUMIF(Consumo!$C$3:$C$862,tabItens[[#This Row],[CÓDIGO]],Consumo!$AA$3:$AA$862)</f>
        <v>2</v>
      </c>
      <c r="AV689" s="333">
        <f>SUMIF(Consumo!$C$3:$C$862,tabItens[[#This Row],[CÓDIGO]],Consumo!$Y$3:$Y$862)</f>
        <v>0.16666666666666666</v>
      </c>
      <c r="AW689" s="306">
        <f>tabItens[[#This Row],[QTDE ATUAL]] + tabItens[[#This Row],[RC QTDE]] + tabItens[[#This Row],[AF SALDO]] + tabItens[[#This Row],[Recentes]]</f>
        <v>7</v>
      </c>
      <c r="AX689" s="334">
        <v>0</v>
      </c>
      <c r="AY689" s="334">
        <v>4</v>
      </c>
      <c r="AZ689" s="334">
        <f>IF(ISBLANK(tabItens[[#This Row],[CÓDIGO]]),"",tabItens[[#This Row],[PontoMês]] * (AZ$2+tabItens[[#This Row],[PontoQtM]]))</f>
        <v>0</v>
      </c>
      <c r="BA689" s="333">
        <f>tabItens[[#This Row],[PontoPed]] - tabItens[[#This Row],[Saldo]] + (1/10)</f>
        <v>-6.9</v>
      </c>
      <c r="BB689" s="333">
        <f xml:space="preserve"> tabItens[[#This Row],[PontoMês]] * BB$2 - tabItens[[#This Row],[QTDE ATUAL]] - (1/10)</f>
        <v>-7.1</v>
      </c>
      <c r="BC689" s="335">
        <f>IF( tabItens[[#This Row],[PontoPed]]&gt;0, IF(tabItens[[#This Row],[PontoPed]]&lt;1, 1, IF( tabItens[[#This Row],[Saldo]]&gt;tabItens[[#This Row],[PontoPed]], 0, (tabItens[[#This Row],[PontoPed]]-tabItens[[#This Row],[Saldo]])/tabItens[[#This Row],[PontoPed]] ) ), 0 )</f>
        <v>0</v>
      </c>
      <c r="BD689" s="336">
        <f>ROUNDDOWN(IF( OR( AND(tabItens[[#This Row],[PontoPed]]&lt;tabItens[[#This Row],[Saldo]],tabItens[[#This Row],[Saldo]]&gt;0), tabItens[[#This Row],[PontoPed]]=0), 99, IF(AND(tabItens[[#This Row],[Saldo]]=0,tabItens[[#This Row],[PontoPed]]&gt;0), 0, (1-tabItens[[#This Row],[PctAb]])*10 ) ),0)</f>
        <v>99</v>
      </c>
      <c r="BE689" s="337">
        <f>MAX(ROUNDDOWN( IF(tabItens[[#This Row],[Abaixo]] &gt; 0,   tabItens[[#This Row],[Abaixo]] + (tabItens[[#This Row],[PontoMês]] * IF( OR( ISBLANK(tabItens[[#This Row],[ATA Nº/ANO]]), tabItens[[#This Row],[ATA Nº/ANO]] = ""),BE$2,BE$1)),0),0),0)</f>
        <v>0</v>
      </c>
      <c r="BF68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9" s="338">
        <f>SUMIF(Consumo!$C$3:$C$862,tabItens[[#This Row],[CÓDIGO]],Consumo!$E$3:$E$862)</f>
        <v>0</v>
      </c>
      <c r="BH689" s="339">
        <f>IF(AND(tabItens[[#This Row],[Pend]] &gt; 0,tabItens[[#This Row],[Consumo]] &lt;&gt; 0), tabItens[[#This Row],[Pend]] / tabItens[[#This Row],[Consumo]], 0 )</f>
        <v>0</v>
      </c>
      <c r="BI689" s="338"/>
      <c r="BJ689" s="338"/>
      <c r="BK689" s="340" t="s">
        <v>2086</v>
      </c>
    </row>
    <row r="690" spans="1:63" hidden="1" x14ac:dyDescent="0.3">
      <c r="A690" s="301">
        <v>106911</v>
      </c>
      <c r="B690" s="302" t="s">
        <v>1644</v>
      </c>
      <c r="C690" s="303" t="s">
        <v>263</v>
      </c>
      <c r="D690" s="304">
        <v>105.39</v>
      </c>
      <c r="E690" s="305"/>
      <c r="F690" s="305"/>
      <c r="G690" s="305" t="s">
        <v>889</v>
      </c>
      <c r="H690" s="306">
        <v>6</v>
      </c>
      <c r="I690" s="307">
        <v>103003</v>
      </c>
      <c r="J690" s="308">
        <v>105.39</v>
      </c>
      <c r="K690" s="309">
        <v>2</v>
      </c>
      <c r="L690" s="310">
        <f>IF(tabItens[[#This Row],[Média]] &gt; 0, tabItens[[#This Row],[QTDE ATUAL]] / tabItens[[#This Row],[Média]],999.9)</f>
        <v>72</v>
      </c>
      <c r="M690" s="311">
        <v>0</v>
      </c>
      <c r="N690" s="312">
        <f>tabItens[[#This Row],[VALOR UNIT.]] * tabItens[[#This Row],[LC]]</f>
        <v>0</v>
      </c>
      <c r="O690" s="313"/>
      <c r="P690" s="314"/>
      <c r="Q690" s="315"/>
      <c r="R690" s="312"/>
      <c r="S690" s="316"/>
      <c r="T690" s="317">
        <f>ROUNDDOWN(IFERROR(tabItens[[#This Row],[ATA DT.VALID.]] - $D$1,0) / 30,0)</f>
        <v>-1474</v>
      </c>
      <c r="U690" s="302" t="s">
        <v>1492</v>
      </c>
      <c r="V690" s="318">
        <v>1</v>
      </c>
      <c r="W690" s="319" t="s">
        <v>2081</v>
      </c>
      <c r="X690" s="320">
        <v>54</v>
      </c>
      <c r="Y690" s="321">
        <v>4</v>
      </c>
      <c r="Z690" s="322"/>
      <c r="AA690" s="323"/>
      <c r="AB690" s="324"/>
      <c r="AC690" s="324"/>
      <c r="AD690" s="323"/>
      <c r="AE690" s="324"/>
      <c r="AF690" s="317"/>
      <c r="AG690" s="325" t="s">
        <v>2072</v>
      </c>
      <c r="AH690" s="326"/>
      <c r="AI690" s="317">
        <v>0</v>
      </c>
      <c r="AJ690" s="326">
        <v>43703</v>
      </c>
      <c r="AK690" s="326">
        <v>39624</v>
      </c>
      <c r="AL690" s="326">
        <v>43677</v>
      </c>
      <c r="AM690" s="316"/>
      <c r="AN690" s="305"/>
      <c r="AO690" s="327" t="str">
        <f>_xlfn.IFNA(IF(VLOOKUP(tabItens[[#This Row],[CÓDIGO]],tabExcluirDoEstoque[#Data],1,FALSE),"sim",""),"")</f>
        <v/>
      </c>
      <c r="AP690" s="328" t="str">
        <f ca="1">IF(OR(ISBLANK(tabItens[[#This Row],[ATA DT.VALID.]]),tabItens[[#This Row],[ATA DT.VALID.]]="",tabItens[[#This Row],[ATA DT.VALID.]]=" "),"",IF(TYPE(tabItens[[#This Row],[ATA DT.VALID.]])=1,ROUNDUP((tabItens[[#This Row],[ATA DT.VALID.]]-TODAY())/7,0),""))</f>
        <v/>
      </c>
      <c r="AQ690" s="329"/>
      <c r="AR690" s="330" t="str">
        <f>IF(ISBLANK(tabItens[[#This Row],[CÓDIGO]]),"",IFERROR(VLOOKUP(tabItens[[#This Row],[CÓDIGO]],Consumo!$C$2:$AC$862,26,FALSE),0))</f>
        <v>10.2022</v>
      </c>
      <c r="AS690" s="331">
        <f>SUMIF(Consumo!$C$3:$C$862,tabItens[[#This Row],[CÓDIGO]],Consumo!$N$3:$N$862) + SUMIF(Consumo!$C$3:$C$862,tabItens[[#This Row],[CÓDIGO]],Consumo!$O$3:$O$862) + SUMIF(Consumo!$C$3:$C$862,tabItens[[#This Row],[CÓDIGO]],Consumo!$P$3:$P$862) + SUMIF(Consumo!$C$3:$C$862,tabItens[[#This Row],[CÓDIGO]],Consumo!$Q$3:$Q$862)</f>
        <v>0</v>
      </c>
      <c r="AT690" s="331">
        <f>SUMIF(Consumo!$C$3:$C$862,tabItens[[#This Row],[CÓDIGO]],Consumo!$Z$3:$Z$862)</f>
        <v>2</v>
      </c>
      <c r="AU690" s="332">
        <f>SUMIF(Consumo!$C$3:$C$862,tabItens[[#This Row],[CÓDIGO]],Consumo!$AA$3:$AA$862)</f>
        <v>2</v>
      </c>
      <c r="AV690" s="333">
        <f>SUMIF(Consumo!$C$3:$C$862,tabItens[[#This Row],[CÓDIGO]],Consumo!$Y$3:$Y$862)</f>
        <v>8.3333333333333329E-2</v>
      </c>
      <c r="AW690" s="306">
        <f>tabItens[[#This Row],[QTDE ATUAL]] + tabItens[[#This Row],[RC QTDE]] + tabItens[[#This Row],[AF SALDO]] + tabItens[[#This Row],[Recentes]]</f>
        <v>6</v>
      </c>
      <c r="AX690" s="334">
        <v>0</v>
      </c>
      <c r="AY690" s="334">
        <v>4</v>
      </c>
      <c r="AZ690" s="334">
        <f>IF(ISBLANK(tabItens[[#This Row],[CÓDIGO]]),"",tabItens[[#This Row],[PontoMês]] * (AZ$2+tabItens[[#This Row],[PontoQtM]]))</f>
        <v>0</v>
      </c>
      <c r="BA690" s="333">
        <f>tabItens[[#This Row],[PontoPed]] - tabItens[[#This Row],[Saldo]] + (1/10)</f>
        <v>-5.9</v>
      </c>
      <c r="BB690" s="333">
        <f xml:space="preserve"> tabItens[[#This Row],[PontoMês]] * BB$2 - tabItens[[#This Row],[QTDE ATUAL]] - (1/10)</f>
        <v>-6.1</v>
      </c>
      <c r="BC690" s="335">
        <f>IF( tabItens[[#This Row],[PontoPed]]&gt;0, IF(tabItens[[#This Row],[PontoPed]]&lt;1, 1, IF( tabItens[[#This Row],[Saldo]]&gt;tabItens[[#This Row],[PontoPed]], 0, (tabItens[[#This Row],[PontoPed]]-tabItens[[#This Row],[Saldo]])/tabItens[[#This Row],[PontoPed]] ) ), 0 )</f>
        <v>0</v>
      </c>
      <c r="BD690" s="336">
        <f>ROUNDDOWN(IF( OR( AND(tabItens[[#This Row],[PontoPed]]&lt;tabItens[[#This Row],[Saldo]],tabItens[[#This Row],[Saldo]]&gt;0), tabItens[[#This Row],[PontoPed]]=0), 99, IF(AND(tabItens[[#This Row],[Saldo]]=0,tabItens[[#This Row],[PontoPed]]&gt;0), 0, (1-tabItens[[#This Row],[PctAb]])*10 ) ),0)</f>
        <v>99</v>
      </c>
      <c r="BE690" s="337">
        <f>MAX(ROUNDDOWN( IF(tabItens[[#This Row],[Abaixo]] &gt; 0,   tabItens[[#This Row],[Abaixo]] + (tabItens[[#This Row],[PontoMês]] * IF( OR( ISBLANK(tabItens[[#This Row],[ATA Nº/ANO]]), tabItens[[#This Row],[ATA Nº/ANO]] = ""),BE$2,BE$1)),0),0),0)</f>
        <v>0</v>
      </c>
      <c r="BF69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0" s="338">
        <f>SUMIF(Consumo!$C$3:$C$862,tabItens[[#This Row],[CÓDIGO]],Consumo!$E$3:$E$862)</f>
        <v>0</v>
      </c>
      <c r="BH690" s="339">
        <f>IF(AND(tabItens[[#This Row],[Pend]] &gt; 0,tabItens[[#This Row],[Consumo]] &lt;&gt; 0), tabItens[[#This Row],[Pend]] / tabItens[[#This Row],[Consumo]], 0 )</f>
        <v>0</v>
      </c>
      <c r="BI690" s="338"/>
      <c r="BJ690" s="338"/>
      <c r="BK690" s="340" t="s">
        <v>2086</v>
      </c>
    </row>
    <row r="691" spans="1:63" hidden="1" x14ac:dyDescent="0.3">
      <c r="A691" s="301">
        <v>106913</v>
      </c>
      <c r="B691" s="302" t="s">
        <v>1645</v>
      </c>
      <c r="C691" s="303" t="s">
        <v>263</v>
      </c>
      <c r="D691" s="304">
        <v>105.39</v>
      </c>
      <c r="E691" s="305"/>
      <c r="F691" s="305"/>
      <c r="G691" s="305" t="s">
        <v>889</v>
      </c>
      <c r="H691" s="306">
        <v>0</v>
      </c>
      <c r="I691" s="307">
        <v>103003</v>
      </c>
      <c r="J691" s="308">
        <v>105.39</v>
      </c>
      <c r="K691" s="309">
        <v>1</v>
      </c>
      <c r="L691" s="310">
        <f>IF(tabItens[[#This Row],[Média]] &gt; 0, tabItens[[#This Row],[QTDE ATUAL]] / tabItens[[#This Row],[Média]],999.9)</f>
        <v>0</v>
      </c>
      <c r="M691" s="311">
        <v>0</v>
      </c>
      <c r="N691" s="312">
        <f>tabItens[[#This Row],[VALOR UNIT.]] * tabItens[[#This Row],[LC]]</f>
        <v>0</v>
      </c>
      <c r="O691" s="313"/>
      <c r="P691" s="314"/>
      <c r="Q691" s="315"/>
      <c r="R691" s="312"/>
      <c r="S691" s="316"/>
      <c r="T691" s="317">
        <f>ROUNDDOWN(IFERROR(tabItens[[#This Row],[ATA DT.VALID.]] - $D$1,0) / 30,0)</f>
        <v>-1474</v>
      </c>
      <c r="U691" s="302" t="s">
        <v>1492</v>
      </c>
      <c r="V691" s="318">
        <v>1</v>
      </c>
      <c r="W691" s="319" t="s">
        <v>2081</v>
      </c>
      <c r="X691" s="320">
        <v>54</v>
      </c>
      <c r="Y691" s="321">
        <v>4</v>
      </c>
      <c r="Z691" s="322">
        <v>2813</v>
      </c>
      <c r="AA691" s="323">
        <v>2023</v>
      </c>
      <c r="AB691" s="324">
        <v>2</v>
      </c>
      <c r="AC691" s="324"/>
      <c r="AD691" s="323"/>
      <c r="AE691" s="324"/>
      <c r="AF691" s="317"/>
      <c r="AG691" s="325" t="s">
        <v>2072</v>
      </c>
      <c r="AH691" s="326"/>
      <c r="AI691" s="317">
        <v>0</v>
      </c>
      <c r="AJ691" s="326">
        <v>43703</v>
      </c>
      <c r="AK691" s="326">
        <v>39624</v>
      </c>
      <c r="AL691" s="326">
        <v>43677</v>
      </c>
      <c r="AM691" s="316"/>
      <c r="AN691" s="305"/>
      <c r="AO691" s="327" t="str">
        <f>_xlfn.IFNA(IF(VLOOKUP(tabItens[[#This Row],[CÓDIGO]],tabExcluirDoEstoque[#Data],1,FALSE),"sim",""),"")</f>
        <v/>
      </c>
      <c r="AP691" s="328" t="str">
        <f ca="1">IF(OR(ISBLANK(tabItens[[#This Row],[ATA DT.VALID.]]),tabItens[[#This Row],[ATA DT.VALID.]]="",tabItens[[#This Row],[ATA DT.VALID.]]=" "),"",IF(TYPE(tabItens[[#This Row],[ATA DT.VALID.]])=1,ROUNDUP((tabItens[[#This Row],[ATA DT.VALID.]]-TODAY())/7,0),""))</f>
        <v/>
      </c>
      <c r="AQ691" s="329"/>
      <c r="AR691" s="330" t="str">
        <f>IF(ISBLANK(tabItens[[#This Row],[CÓDIGO]]),"",IFERROR(VLOOKUP(tabItens[[#This Row],[CÓDIGO]],Consumo!$C$2:$AC$862,26,FALSE),0))</f>
        <v>09.2023</v>
      </c>
      <c r="AS691" s="331">
        <f>SUMIF(Consumo!$C$3:$C$862,tabItens[[#This Row],[CÓDIGO]],Consumo!$N$3:$N$862) + SUMIF(Consumo!$C$3:$C$862,tabItens[[#This Row],[CÓDIGO]],Consumo!$O$3:$O$862) + SUMIF(Consumo!$C$3:$C$862,tabItens[[#This Row],[CÓDIGO]],Consumo!$P$3:$P$862) + SUMIF(Consumo!$C$3:$C$862,tabItens[[#This Row],[CÓDIGO]],Consumo!$Q$3:$Q$862)</f>
        <v>1</v>
      </c>
      <c r="AT691" s="331">
        <f>SUMIF(Consumo!$C$3:$C$862,tabItens[[#This Row],[CÓDIGO]],Consumo!$Z$3:$Z$862)</f>
        <v>2</v>
      </c>
      <c r="AU691" s="332">
        <f>SUMIF(Consumo!$C$3:$C$862,tabItens[[#This Row],[CÓDIGO]],Consumo!$AA$3:$AA$862)</f>
        <v>1</v>
      </c>
      <c r="AV691" s="333">
        <f>SUMIF(Consumo!$C$3:$C$862,tabItens[[#This Row],[CÓDIGO]],Consumo!$Y$3:$Y$862)</f>
        <v>8.3333333333333329E-2</v>
      </c>
      <c r="AW691" s="306">
        <f>tabItens[[#This Row],[QTDE ATUAL]] + tabItens[[#This Row],[RC QTDE]] + tabItens[[#This Row],[AF SALDO]] + tabItens[[#This Row],[Recentes]]</f>
        <v>2</v>
      </c>
      <c r="AX691" s="334">
        <v>0</v>
      </c>
      <c r="AY691" s="334">
        <v>4</v>
      </c>
      <c r="AZ691" s="334">
        <f>IF(ISBLANK(tabItens[[#This Row],[CÓDIGO]]),"",tabItens[[#This Row],[PontoMês]] * (AZ$2+tabItens[[#This Row],[PontoQtM]]))</f>
        <v>0</v>
      </c>
      <c r="BA691" s="333">
        <f>tabItens[[#This Row],[PontoPed]] - tabItens[[#This Row],[Saldo]] + (1/10)</f>
        <v>-1.9</v>
      </c>
      <c r="BB691" s="333">
        <f xml:space="preserve"> tabItens[[#This Row],[PontoMês]] * BB$2 - tabItens[[#This Row],[QTDE ATUAL]] - (1/10)</f>
        <v>-0.1</v>
      </c>
      <c r="BC691" s="335">
        <f>IF( tabItens[[#This Row],[PontoPed]]&gt;0, IF(tabItens[[#This Row],[PontoPed]]&lt;1, 1, IF( tabItens[[#This Row],[Saldo]]&gt;tabItens[[#This Row],[PontoPed]], 0, (tabItens[[#This Row],[PontoPed]]-tabItens[[#This Row],[Saldo]])/tabItens[[#This Row],[PontoPed]] ) ), 0 )</f>
        <v>0</v>
      </c>
      <c r="BD691" s="336">
        <f>ROUNDDOWN(IF( OR( AND(tabItens[[#This Row],[PontoPed]]&lt;tabItens[[#This Row],[Saldo]],tabItens[[#This Row],[Saldo]]&gt;0), tabItens[[#This Row],[PontoPed]]=0), 99, IF(AND(tabItens[[#This Row],[Saldo]]=0,tabItens[[#This Row],[PontoPed]]&gt;0), 0, (1-tabItens[[#This Row],[PctAb]])*10 ) ),0)</f>
        <v>99</v>
      </c>
      <c r="BE691" s="337">
        <f>MAX(ROUNDDOWN( IF(tabItens[[#This Row],[Abaixo]] &gt; 0,   tabItens[[#This Row],[Abaixo]] + (tabItens[[#This Row],[PontoMês]] * IF( OR( ISBLANK(tabItens[[#This Row],[ATA Nº/ANO]]), tabItens[[#This Row],[ATA Nº/ANO]] = ""),BE$2,BE$1)),0),0),0)</f>
        <v>0</v>
      </c>
      <c r="BF69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1" s="338">
        <f>SUMIF(Consumo!$C$3:$C$862,tabItens[[#This Row],[CÓDIGO]],Consumo!$E$3:$E$862)</f>
        <v>1</v>
      </c>
      <c r="BH691" s="339">
        <f>IF(AND(tabItens[[#This Row],[Pend]] &gt; 0,tabItens[[#This Row],[Consumo]] &lt;&gt; 0), tabItens[[#This Row],[Pend]] / tabItens[[#This Row],[Consumo]], 0 )</f>
        <v>0.5</v>
      </c>
      <c r="BI691" s="338"/>
      <c r="BJ691" s="338"/>
      <c r="BK691" s="340" t="s">
        <v>2086</v>
      </c>
    </row>
    <row r="692" spans="1:63" hidden="1" x14ac:dyDescent="0.3">
      <c r="A692" s="301">
        <v>132799</v>
      </c>
      <c r="B692" s="302" t="s">
        <v>1847</v>
      </c>
      <c r="C692" s="303" t="s">
        <v>31</v>
      </c>
      <c r="D692" s="304">
        <v>78.819999999999993</v>
      </c>
      <c r="E692" s="305"/>
      <c r="F692" s="305"/>
      <c r="G692" s="305" t="s">
        <v>889</v>
      </c>
      <c r="H692" s="306">
        <v>6</v>
      </c>
      <c r="I692" s="307">
        <v>103003</v>
      </c>
      <c r="J692" s="308">
        <v>78.819999999999993</v>
      </c>
      <c r="K692" s="309"/>
      <c r="L692" s="310">
        <f>IF(tabItens[[#This Row],[Média]] &gt; 0, tabItens[[#This Row],[QTDE ATUAL]] / tabItens[[#This Row],[Média]],999.9)</f>
        <v>999.9</v>
      </c>
      <c r="M692" s="311">
        <v>0</v>
      </c>
      <c r="N692" s="312">
        <f>tabItens[[#This Row],[VALOR UNIT.]] * tabItens[[#This Row],[LC]]</f>
        <v>0</v>
      </c>
      <c r="O692" s="313"/>
      <c r="P692" s="314"/>
      <c r="Q692" s="315"/>
      <c r="R692" s="312"/>
      <c r="S692" s="316"/>
      <c r="T692" s="317">
        <f>ROUNDDOWN(IFERROR(tabItens[[#This Row],[ATA DT.VALID.]] - $D$1,0) / 30,0)</f>
        <v>-1474</v>
      </c>
      <c r="U692" s="302" t="s">
        <v>1492</v>
      </c>
      <c r="V692" s="318">
        <v>1</v>
      </c>
      <c r="W692" s="319" t="s">
        <v>2081</v>
      </c>
      <c r="X692" s="320">
        <v>54</v>
      </c>
      <c r="Y692" s="321">
        <v>4</v>
      </c>
      <c r="Z692" s="322">
        <v>2813</v>
      </c>
      <c r="AA692" s="323">
        <v>2023</v>
      </c>
      <c r="AB692" s="324">
        <v>4</v>
      </c>
      <c r="AC692" s="324"/>
      <c r="AD692" s="323"/>
      <c r="AE692" s="324"/>
      <c r="AF692" s="317"/>
      <c r="AG692" s="325" t="s">
        <v>2072</v>
      </c>
      <c r="AH692" s="326"/>
      <c r="AI692" s="317">
        <v>0</v>
      </c>
      <c r="AJ692" s="326">
        <v>43819</v>
      </c>
      <c r="AK692" s="326">
        <v>42905</v>
      </c>
      <c r="AL692" s="326">
        <v>43780</v>
      </c>
      <c r="AM692" s="316"/>
      <c r="AN692" s="305"/>
      <c r="AO692" s="327" t="str">
        <f>_xlfn.IFNA(IF(VLOOKUP(tabItens[[#This Row],[CÓDIGO]],tabExcluirDoEstoque[#Data],1,FALSE),"sim",""),"")</f>
        <v/>
      </c>
      <c r="AP692" s="328" t="str">
        <f ca="1">IF(OR(ISBLANK(tabItens[[#This Row],[ATA DT.VALID.]]),tabItens[[#This Row],[ATA DT.VALID.]]="",tabItens[[#This Row],[ATA DT.VALID.]]=" "),"",IF(TYPE(tabItens[[#This Row],[ATA DT.VALID.]])=1,ROUNDUP((tabItens[[#This Row],[ATA DT.VALID.]]-TODAY())/7,0),""))</f>
        <v/>
      </c>
      <c r="AQ692" s="329"/>
      <c r="AR692" s="330">
        <f>IF(ISBLANK(tabItens[[#This Row],[CÓDIGO]]),"",IFERROR(VLOOKUP(tabItens[[#This Row],[CÓDIGO]],Consumo!$C$2:$AC$862,26,FALSE),0))</f>
        <v>0</v>
      </c>
      <c r="AS692" s="331">
        <f>SUMIF(Consumo!$C$3:$C$862,tabItens[[#This Row],[CÓDIGO]],Consumo!$N$3:$N$862) + SUMIF(Consumo!$C$3:$C$862,tabItens[[#This Row],[CÓDIGO]],Consumo!$O$3:$O$862) + SUMIF(Consumo!$C$3:$C$862,tabItens[[#This Row],[CÓDIGO]],Consumo!$P$3:$P$862) + SUMIF(Consumo!$C$3:$C$862,tabItens[[#This Row],[CÓDIGO]],Consumo!$Q$3:$Q$862)</f>
        <v>0</v>
      </c>
      <c r="AT692" s="331">
        <f>SUMIF(Consumo!$C$3:$C$862,tabItens[[#This Row],[CÓDIGO]],Consumo!$Z$3:$Z$862)</f>
        <v>0</v>
      </c>
      <c r="AU692" s="332">
        <f>SUMIF(Consumo!$C$3:$C$862,tabItens[[#This Row],[CÓDIGO]],Consumo!$AA$3:$AA$862)</f>
        <v>0</v>
      </c>
      <c r="AV692" s="333">
        <f>SUMIF(Consumo!$C$3:$C$862,tabItens[[#This Row],[CÓDIGO]],Consumo!$Y$3:$Y$862)</f>
        <v>0</v>
      </c>
      <c r="AW692" s="306">
        <f>tabItens[[#This Row],[QTDE ATUAL]] + tabItens[[#This Row],[RC QTDE]] + tabItens[[#This Row],[AF SALDO]] + tabItens[[#This Row],[Recentes]]</f>
        <v>10</v>
      </c>
      <c r="AX692" s="334">
        <v>0</v>
      </c>
      <c r="AY692" s="334">
        <v>4</v>
      </c>
      <c r="AZ692" s="334">
        <f>IF(ISBLANK(tabItens[[#This Row],[CÓDIGO]]),"",tabItens[[#This Row],[PontoMês]] * (AZ$2+tabItens[[#This Row],[PontoQtM]]))</f>
        <v>0</v>
      </c>
      <c r="BA692" s="333">
        <f>tabItens[[#This Row],[PontoPed]] - tabItens[[#This Row],[Saldo]] + (1/10)</f>
        <v>-9.9</v>
      </c>
      <c r="BB692" s="333">
        <f xml:space="preserve"> tabItens[[#This Row],[PontoMês]] * BB$2 - tabItens[[#This Row],[QTDE ATUAL]] - (1/10)</f>
        <v>-6.1</v>
      </c>
      <c r="BC692" s="335">
        <f>IF( tabItens[[#This Row],[PontoPed]]&gt;0, IF(tabItens[[#This Row],[PontoPed]]&lt;1, 1, IF( tabItens[[#This Row],[Saldo]]&gt;tabItens[[#This Row],[PontoPed]], 0, (tabItens[[#This Row],[PontoPed]]-tabItens[[#This Row],[Saldo]])/tabItens[[#This Row],[PontoPed]] ) ), 0 )</f>
        <v>0</v>
      </c>
      <c r="BD692" s="336">
        <f>ROUNDDOWN(IF( OR( AND(tabItens[[#This Row],[PontoPed]]&lt;tabItens[[#This Row],[Saldo]],tabItens[[#This Row],[Saldo]]&gt;0), tabItens[[#This Row],[PontoPed]]=0), 99, IF(AND(tabItens[[#This Row],[Saldo]]=0,tabItens[[#This Row],[PontoPed]]&gt;0), 0, (1-tabItens[[#This Row],[PctAb]])*10 ) ),0)</f>
        <v>99</v>
      </c>
      <c r="BE692" s="337">
        <f>MAX(ROUNDDOWN( IF(tabItens[[#This Row],[Abaixo]] &gt; 0,   tabItens[[#This Row],[Abaixo]] + (tabItens[[#This Row],[PontoMês]] * IF( OR( ISBLANK(tabItens[[#This Row],[ATA Nº/ANO]]), tabItens[[#This Row],[ATA Nº/ANO]] = ""),BE$2,BE$1)),0),0),0)</f>
        <v>0</v>
      </c>
      <c r="BF69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2" s="338">
        <f>SUMIF(Consumo!$C$3:$C$862,tabItens[[#This Row],[CÓDIGO]],Consumo!$E$3:$E$862)</f>
        <v>0</v>
      </c>
      <c r="BH692" s="339">
        <f>IF(AND(tabItens[[#This Row],[Pend]] &gt; 0,tabItens[[#This Row],[Consumo]] &lt;&gt; 0), tabItens[[#This Row],[Pend]] / tabItens[[#This Row],[Consumo]], 0 )</f>
        <v>0</v>
      </c>
      <c r="BI692" s="338"/>
      <c r="BJ692" s="338"/>
      <c r="BK692" s="340" t="s">
        <v>2086</v>
      </c>
    </row>
    <row r="693" spans="1:63" hidden="1" x14ac:dyDescent="0.3">
      <c r="A693" s="301">
        <v>136818</v>
      </c>
      <c r="B693" s="302" t="s">
        <v>1934</v>
      </c>
      <c r="C693" s="303" t="s">
        <v>31</v>
      </c>
      <c r="D693" s="304">
        <v>5.45</v>
      </c>
      <c r="E693" s="305"/>
      <c r="F693" s="305"/>
      <c r="G693" s="305" t="s">
        <v>889</v>
      </c>
      <c r="H693" s="306">
        <v>1161</v>
      </c>
      <c r="I693" s="307">
        <v>103003</v>
      </c>
      <c r="J693" s="308">
        <v>5.45</v>
      </c>
      <c r="K693" s="309">
        <v>21</v>
      </c>
      <c r="L693" s="310">
        <f>IF(tabItens[[#This Row],[Média]] &gt; 0, tabItens[[#This Row],[QTDE ATUAL]] / tabItens[[#This Row],[Média]],999.9)</f>
        <v>1071.6923076923078</v>
      </c>
      <c r="M693" s="311">
        <v>0</v>
      </c>
      <c r="N693" s="312">
        <f>tabItens[[#This Row],[VALOR UNIT.]] * tabItens[[#This Row],[LC]]</f>
        <v>0</v>
      </c>
      <c r="O693" s="313"/>
      <c r="P693" s="314"/>
      <c r="Q693" s="315"/>
      <c r="R693" s="312"/>
      <c r="S693" s="316"/>
      <c r="T693" s="317">
        <f>ROUNDDOWN(IFERROR(tabItens[[#This Row],[ATA DT.VALID.]] - $D$1,0) / 30,0)</f>
        <v>-1474</v>
      </c>
      <c r="U693" s="302" t="s">
        <v>1492</v>
      </c>
      <c r="V693" s="318">
        <v>1</v>
      </c>
      <c r="W693" s="319" t="s">
        <v>2081</v>
      </c>
      <c r="X693" s="320">
        <v>54</v>
      </c>
      <c r="Y693" s="321">
        <v>4</v>
      </c>
      <c r="Z693" s="322"/>
      <c r="AA693" s="323"/>
      <c r="AB693" s="324"/>
      <c r="AC693" s="324"/>
      <c r="AD693" s="323"/>
      <c r="AE693" s="324"/>
      <c r="AF693" s="317"/>
      <c r="AG693" s="325" t="s">
        <v>2072</v>
      </c>
      <c r="AH693" s="326"/>
      <c r="AI693" s="317">
        <v>8</v>
      </c>
      <c r="AJ693" s="326">
        <v>44517</v>
      </c>
      <c r="AK693" s="326">
        <v>43572</v>
      </c>
      <c r="AL693" s="326">
        <v>44803</v>
      </c>
      <c r="AM693" s="316"/>
      <c r="AN693" s="305"/>
      <c r="AO693" s="327" t="str">
        <f>_xlfn.IFNA(IF(VLOOKUP(tabItens[[#This Row],[CÓDIGO]],tabExcluirDoEstoque[#Data],1,FALSE),"sim",""),"")</f>
        <v/>
      </c>
      <c r="AP693" s="328" t="str">
        <f ca="1">IF(OR(ISBLANK(tabItens[[#This Row],[ATA DT.VALID.]]),tabItens[[#This Row],[ATA DT.VALID.]]="",tabItens[[#This Row],[ATA DT.VALID.]]=" "),"",IF(TYPE(tabItens[[#This Row],[ATA DT.VALID.]])=1,ROUNDUP((tabItens[[#This Row],[ATA DT.VALID.]]-TODAY())/7,0),""))</f>
        <v/>
      </c>
      <c r="AQ693" s="329"/>
      <c r="AR693" s="330" t="str">
        <f>IF(ISBLANK(tabItens[[#This Row],[CÓDIGO]]),"",IFERROR(VLOOKUP(tabItens[[#This Row],[CÓDIGO]],Consumo!$C$2:$AC$862,26,FALSE),0))</f>
        <v>03.2023</v>
      </c>
      <c r="AS693" s="331">
        <f>SUMIF(Consumo!$C$3:$C$862,tabItens[[#This Row],[CÓDIGO]],Consumo!$N$3:$N$862) + SUMIF(Consumo!$C$3:$C$862,tabItens[[#This Row],[CÓDIGO]],Consumo!$O$3:$O$862) + SUMIF(Consumo!$C$3:$C$862,tabItens[[#This Row],[CÓDIGO]],Consumo!$P$3:$P$862) + SUMIF(Consumo!$C$3:$C$862,tabItens[[#This Row],[CÓDIGO]],Consumo!$Q$3:$Q$862)</f>
        <v>0</v>
      </c>
      <c r="AT693" s="331">
        <f>SUMIF(Consumo!$C$3:$C$862,tabItens[[#This Row],[CÓDIGO]],Consumo!$Z$3:$Z$862)</f>
        <v>21</v>
      </c>
      <c r="AU693" s="332">
        <f>SUMIF(Consumo!$C$3:$C$862,tabItens[[#This Row],[CÓDIGO]],Consumo!$AA$3:$AA$862)</f>
        <v>21</v>
      </c>
      <c r="AV693" s="333">
        <f>SUMIF(Consumo!$C$3:$C$862,tabItens[[#This Row],[CÓDIGO]],Consumo!$Y$3:$Y$862)</f>
        <v>1.0833333333333333</v>
      </c>
      <c r="AW693" s="306">
        <f>tabItens[[#This Row],[QTDE ATUAL]] + tabItens[[#This Row],[RC QTDE]] + tabItens[[#This Row],[AF SALDO]] + tabItens[[#This Row],[Recentes]]</f>
        <v>1161</v>
      </c>
      <c r="AX693" s="334">
        <v>0</v>
      </c>
      <c r="AY693" s="334">
        <v>4</v>
      </c>
      <c r="AZ693" s="334">
        <f>IF(ISBLANK(tabItens[[#This Row],[CÓDIGO]]),"",tabItens[[#This Row],[PontoMês]] * (AZ$2+tabItens[[#This Row],[PontoQtM]]))</f>
        <v>0</v>
      </c>
      <c r="BA693" s="333">
        <f>tabItens[[#This Row],[PontoPed]] - tabItens[[#This Row],[Saldo]] + (1/10)</f>
        <v>-1160.9000000000001</v>
      </c>
      <c r="BB693" s="333">
        <f xml:space="preserve"> tabItens[[#This Row],[PontoMês]] * BB$2 - tabItens[[#This Row],[QTDE ATUAL]] - (1/10)</f>
        <v>-1161.0999999999999</v>
      </c>
      <c r="BC693" s="335">
        <f>IF( tabItens[[#This Row],[PontoPed]]&gt;0, IF(tabItens[[#This Row],[PontoPed]]&lt;1, 1, IF( tabItens[[#This Row],[Saldo]]&gt;tabItens[[#This Row],[PontoPed]], 0, (tabItens[[#This Row],[PontoPed]]-tabItens[[#This Row],[Saldo]])/tabItens[[#This Row],[PontoPed]] ) ), 0 )</f>
        <v>0</v>
      </c>
      <c r="BD693" s="336">
        <f>ROUNDDOWN(IF( OR( AND(tabItens[[#This Row],[PontoPed]]&lt;tabItens[[#This Row],[Saldo]],tabItens[[#This Row],[Saldo]]&gt;0), tabItens[[#This Row],[PontoPed]]=0), 99, IF(AND(tabItens[[#This Row],[Saldo]]=0,tabItens[[#This Row],[PontoPed]]&gt;0), 0, (1-tabItens[[#This Row],[PctAb]])*10 ) ),0)</f>
        <v>99</v>
      </c>
      <c r="BE693" s="337">
        <f>MAX(ROUNDDOWN( IF(tabItens[[#This Row],[Abaixo]] &gt; 0,   tabItens[[#This Row],[Abaixo]] + (tabItens[[#This Row],[PontoMês]] * IF( OR( ISBLANK(tabItens[[#This Row],[ATA Nº/ANO]]), tabItens[[#This Row],[ATA Nº/ANO]] = ""),BE$2,BE$1)),0),0),0)</f>
        <v>0</v>
      </c>
      <c r="BF69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3" s="338">
        <f>SUMIF(Consumo!$C$3:$C$862,tabItens[[#This Row],[CÓDIGO]],Consumo!$E$3:$E$862)</f>
        <v>0</v>
      </c>
      <c r="BH693" s="339">
        <f>IF(AND(tabItens[[#This Row],[Pend]] &gt; 0,tabItens[[#This Row],[Consumo]] &lt;&gt; 0), tabItens[[#This Row],[Pend]] / tabItens[[#This Row],[Consumo]], 0 )</f>
        <v>0</v>
      </c>
      <c r="BI693" s="338"/>
      <c r="BJ693" s="338"/>
      <c r="BK693" s="340" t="s">
        <v>2086</v>
      </c>
    </row>
    <row r="694" spans="1:63" hidden="1" x14ac:dyDescent="0.3">
      <c r="A694" s="301">
        <v>136819</v>
      </c>
      <c r="B694" s="302" t="s">
        <v>1935</v>
      </c>
      <c r="C694" s="303" t="s">
        <v>436</v>
      </c>
      <c r="D694" s="304">
        <v>12.33</v>
      </c>
      <c r="E694" s="305"/>
      <c r="F694" s="305"/>
      <c r="G694" s="305" t="s">
        <v>889</v>
      </c>
      <c r="H694" s="306">
        <v>239</v>
      </c>
      <c r="I694" s="307">
        <v>103003</v>
      </c>
      <c r="J694" s="308">
        <v>12.33</v>
      </c>
      <c r="K694" s="309">
        <v>16</v>
      </c>
      <c r="L694" s="310">
        <f>IF(tabItens[[#This Row],[Média]] &gt; 0, tabItens[[#This Row],[QTDE ATUAL]] / tabItens[[#This Row],[Média]],999.9)</f>
        <v>143.4</v>
      </c>
      <c r="M694" s="311">
        <v>0</v>
      </c>
      <c r="N694" s="312">
        <f>tabItens[[#This Row],[VALOR UNIT.]] * tabItens[[#This Row],[LC]]</f>
        <v>0</v>
      </c>
      <c r="O694" s="313"/>
      <c r="P694" s="314"/>
      <c r="Q694" s="315"/>
      <c r="R694" s="312"/>
      <c r="S694" s="316"/>
      <c r="T694" s="317">
        <f>ROUNDDOWN(IFERROR(tabItens[[#This Row],[ATA DT.VALID.]] - $D$1,0) / 30,0)</f>
        <v>-1474</v>
      </c>
      <c r="U694" s="302" t="s">
        <v>1492</v>
      </c>
      <c r="V694" s="318">
        <v>1</v>
      </c>
      <c r="W694" s="319" t="s">
        <v>2081</v>
      </c>
      <c r="X694" s="320">
        <v>54</v>
      </c>
      <c r="Y694" s="321">
        <v>4</v>
      </c>
      <c r="Z694" s="322"/>
      <c r="AA694" s="323"/>
      <c r="AB694" s="324"/>
      <c r="AC694" s="324"/>
      <c r="AD694" s="323"/>
      <c r="AE694" s="324"/>
      <c r="AF694" s="317"/>
      <c r="AG694" s="325" t="s">
        <v>2072</v>
      </c>
      <c r="AH694" s="326"/>
      <c r="AI694" s="317">
        <v>6</v>
      </c>
      <c r="AJ694" s="326">
        <v>44431</v>
      </c>
      <c r="AK694" s="326">
        <v>43572</v>
      </c>
      <c r="AL694" s="326">
        <v>45142</v>
      </c>
      <c r="AM694" s="316"/>
      <c r="AN694" s="305"/>
      <c r="AO694" s="327" t="str">
        <f>_xlfn.IFNA(IF(VLOOKUP(tabItens[[#This Row],[CÓDIGO]],tabExcluirDoEstoque[#Data],1,FALSE),"sim",""),"")</f>
        <v/>
      </c>
      <c r="AP694" s="328" t="str">
        <f ca="1">IF(OR(ISBLANK(tabItens[[#This Row],[ATA DT.VALID.]]),tabItens[[#This Row],[ATA DT.VALID.]]="",tabItens[[#This Row],[ATA DT.VALID.]]=" "),"",IF(TYPE(tabItens[[#This Row],[ATA DT.VALID.]])=1,ROUNDUP((tabItens[[#This Row],[ATA DT.VALID.]]-TODAY())/7,0),""))</f>
        <v/>
      </c>
      <c r="AQ694" s="329"/>
      <c r="AR694" s="330" t="str">
        <f>IF(ISBLANK(tabItens[[#This Row],[CÓDIGO]]),"",IFERROR(VLOOKUP(tabItens[[#This Row],[CÓDIGO]],Consumo!$C$2:$AC$862,26,FALSE),0))</f>
        <v>09.2023</v>
      </c>
      <c r="AS694" s="331">
        <f>SUMIF(Consumo!$C$3:$C$862,tabItens[[#This Row],[CÓDIGO]],Consumo!$N$3:$N$862) + SUMIF(Consumo!$C$3:$C$862,tabItens[[#This Row],[CÓDIGO]],Consumo!$O$3:$O$862) + SUMIF(Consumo!$C$3:$C$862,tabItens[[#This Row],[CÓDIGO]],Consumo!$P$3:$P$862) + SUMIF(Consumo!$C$3:$C$862,tabItens[[#This Row],[CÓDIGO]],Consumo!$Q$3:$Q$862)</f>
        <v>7</v>
      </c>
      <c r="AT694" s="331">
        <f>SUMIF(Consumo!$C$3:$C$862,tabItens[[#This Row],[CÓDIGO]],Consumo!$Z$3:$Z$862)</f>
        <v>20</v>
      </c>
      <c r="AU694" s="332">
        <f>SUMIF(Consumo!$C$3:$C$862,tabItens[[#This Row],[CÓDIGO]],Consumo!$AA$3:$AA$862)</f>
        <v>4</v>
      </c>
      <c r="AV694" s="333">
        <f>SUMIF(Consumo!$C$3:$C$862,tabItens[[#This Row],[CÓDIGO]],Consumo!$Y$3:$Y$862)</f>
        <v>1.6666666666666667</v>
      </c>
      <c r="AW694" s="306">
        <f>tabItens[[#This Row],[QTDE ATUAL]] + tabItens[[#This Row],[RC QTDE]] + tabItens[[#This Row],[AF SALDO]] + tabItens[[#This Row],[Recentes]]</f>
        <v>239</v>
      </c>
      <c r="AX694" s="334">
        <v>0</v>
      </c>
      <c r="AY694" s="334">
        <v>4</v>
      </c>
      <c r="AZ694" s="334">
        <f>IF(ISBLANK(tabItens[[#This Row],[CÓDIGO]]),"",tabItens[[#This Row],[PontoMês]] * (AZ$2+tabItens[[#This Row],[PontoQtM]]))</f>
        <v>0</v>
      </c>
      <c r="BA694" s="333">
        <f>tabItens[[#This Row],[PontoPed]] - tabItens[[#This Row],[Saldo]] + (1/10)</f>
        <v>-238.9</v>
      </c>
      <c r="BB694" s="333">
        <f xml:space="preserve"> tabItens[[#This Row],[PontoMês]] * BB$2 - tabItens[[#This Row],[QTDE ATUAL]] - (1/10)</f>
        <v>-239.1</v>
      </c>
      <c r="BC694" s="335">
        <f>IF( tabItens[[#This Row],[PontoPed]]&gt;0, IF(tabItens[[#This Row],[PontoPed]]&lt;1, 1, IF( tabItens[[#This Row],[Saldo]]&gt;tabItens[[#This Row],[PontoPed]], 0, (tabItens[[#This Row],[PontoPed]]-tabItens[[#This Row],[Saldo]])/tabItens[[#This Row],[PontoPed]] ) ), 0 )</f>
        <v>0</v>
      </c>
      <c r="BD694" s="336">
        <f>ROUNDDOWN(IF( OR( AND(tabItens[[#This Row],[PontoPed]]&lt;tabItens[[#This Row],[Saldo]],tabItens[[#This Row],[Saldo]]&gt;0), tabItens[[#This Row],[PontoPed]]=0), 99, IF(AND(tabItens[[#This Row],[Saldo]]=0,tabItens[[#This Row],[PontoPed]]&gt;0), 0, (1-tabItens[[#This Row],[PctAb]])*10 ) ),0)</f>
        <v>99</v>
      </c>
      <c r="BE694" s="337">
        <f>MAX(ROUNDDOWN( IF(tabItens[[#This Row],[Abaixo]] &gt; 0,   tabItens[[#This Row],[Abaixo]] + (tabItens[[#This Row],[PontoMês]] * IF( OR( ISBLANK(tabItens[[#This Row],[ATA Nº/ANO]]), tabItens[[#This Row],[ATA Nº/ANO]] = ""),BE$2,BE$1)),0),0),0)</f>
        <v>0</v>
      </c>
      <c r="BF69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4" s="338">
        <f>SUMIF(Consumo!$C$3:$C$862,tabItens[[#This Row],[CÓDIGO]],Consumo!$E$3:$E$862)</f>
        <v>0</v>
      </c>
      <c r="BH694" s="339">
        <f>IF(AND(tabItens[[#This Row],[Pend]] &gt; 0,tabItens[[#This Row],[Consumo]] &lt;&gt; 0), tabItens[[#This Row],[Pend]] / tabItens[[#This Row],[Consumo]], 0 )</f>
        <v>0</v>
      </c>
      <c r="BI694" s="338"/>
      <c r="BJ694" s="338"/>
      <c r="BK694" s="340" t="s">
        <v>2086</v>
      </c>
    </row>
    <row r="695" spans="1:63" hidden="1" x14ac:dyDescent="0.3">
      <c r="A695" s="301">
        <v>136823</v>
      </c>
      <c r="B695" s="302" t="s">
        <v>1936</v>
      </c>
      <c r="C695" s="303" t="s">
        <v>436</v>
      </c>
      <c r="D695" s="304">
        <v>131</v>
      </c>
      <c r="E695" s="305"/>
      <c r="F695" s="305"/>
      <c r="G695" s="305" t="s">
        <v>889</v>
      </c>
      <c r="H695" s="306">
        <v>51</v>
      </c>
      <c r="I695" s="307">
        <v>103003</v>
      </c>
      <c r="J695" s="308">
        <v>131</v>
      </c>
      <c r="K695" s="309">
        <v>2</v>
      </c>
      <c r="L695" s="310">
        <f>IF(tabItens[[#This Row],[Média]] &gt; 0, tabItens[[#This Row],[QTDE ATUAL]] / tabItens[[#This Row],[Média]],999.9)</f>
        <v>999.9</v>
      </c>
      <c r="M695" s="311">
        <v>0</v>
      </c>
      <c r="N695" s="312">
        <f>tabItens[[#This Row],[VALOR UNIT.]] * tabItens[[#This Row],[LC]]</f>
        <v>0</v>
      </c>
      <c r="O695" s="313"/>
      <c r="P695" s="314"/>
      <c r="Q695" s="315"/>
      <c r="R695" s="312"/>
      <c r="S695" s="316"/>
      <c r="T695" s="317">
        <f>ROUNDDOWN(IFERROR(tabItens[[#This Row],[ATA DT.VALID.]] - $D$1,0) / 30,0)</f>
        <v>-1474</v>
      </c>
      <c r="U695" s="302" t="s">
        <v>1492</v>
      </c>
      <c r="V695" s="318">
        <v>1</v>
      </c>
      <c r="W695" s="319" t="s">
        <v>2081</v>
      </c>
      <c r="X695" s="320">
        <v>54</v>
      </c>
      <c r="Y695" s="321">
        <v>4</v>
      </c>
      <c r="Z695" s="322"/>
      <c r="AA695" s="323"/>
      <c r="AB695" s="324"/>
      <c r="AC695" s="324"/>
      <c r="AD695" s="323"/>
      <c r="AE695" s="324"/>
      <c r="AF695" s="317"/>
      <c r="AG695" s="325" t="s">
        <v>2072</v>
      </c>
      <c r="AH695" s="326"/>
      <c r="AI695" s="317">
        <v>0</v>
      </c>
      <c r="AJ695" s="326">
        <v>43837</v>
      </c>
      <c r="AK695" s="326">
        <v>43572</v>
      </c>
      <c r="AL695" s="326">
        <v>45198</v>
      </c>
      <c r="AM695" s="316"/>
      <c r="AN695" s="305"/>
      <c r="AO695" s="327" t="str">
        <f>_xlfn.IFNA(IF(VLOOKUP(tabItens[[#This Row],[CÓDIGO]],tabExcluirDoEstoque[#Data],1,FALSE),"sim",""),"")</f>
        <v/>
      </c>
      <c r="AP695" s="328" t="str">
        <f ca="1">IF(OR(ISBLANK(tabItens[[#This Row],[ATA DT.VALID.]]),tabItens[[#This Row],[ATA DT.VALID.]]="",tabItens[[#This Row],[ATA DT.VALID.]]=" "),"",IF(TYPE(tabItens[[#This Row],[ATA DT.VALID.]])=1,ROUNDUP((tabItens[[#This Row],[ATA DT.VALID.]]-TODAY())/7,0),""))</f>
        <v/>
      </c>
      <c r="AQ695" s="329"/>
      <c r="AR695" s="330" t="str">
        <f>IF(ISBLANK(tabItens[[#This Row],[CÓDIGO]]),"",IFERROR(VLOOKUP(tabItens[[#This Row],[CÓDIGO]],Consumo!$C$2:$AC$862,26,FALSE),0))</f>
        <v>01.2023</v>
      </c>
      <c r="AS695" s="331">
        <f>SUMIF(Consumo!$C$3:$C$862,tabItens[[#This Row],[CÓDIGO]],Consumo!$N$3:$N$862) + SUMIF(Consumo!$C$3:$C$862,tabItens[[#This Row],[CÓDIGO]],Consumo!$O$3:$O$862) + SUMIF(Consumo!$C$3:$C$862,tabItens[[#This Row],[CÓDIGO]],Consumo!$P$3:$P$862) + SUMIF(Consumo!$C$3:$C$862,tabItens[[#This Row],[CÓDIGO]],Consumo!$Q$3:$Q$862)</f>
        <v>0</v>
      </c>
      <c r="AT695" s="331">
        <f>SUMIF(Consumo!$C$3:$C$862,tabItens[[#This Row],[CÓDIGO]],Consumo!$Z$3:$Z$862)</f>
        <v>2</v>
      </c>
      <c r="AU695" s="332">
        <f>SUMIF(Consumo!$C$3:$C$862,tabItens[[#This Row],[CÓDIGO]],Consumo!$AA$3:$AA$862)</f>
        <v>1</v>
      </c>
      <c r="AV695" s="333">
        <f>SUMIF(Consumo!$C$3:$C$862,tabItens[[#This Row],[CÓDIGO]],Consumo!$Y$3:$Y$862)</f>
        <v>0</v>
      </c>
      <c r="AW695" s="306">
        <f>tabItens[[#This Row],[QTDE ATUAL]] + tabItens[[#This Row],[RC QTDE]] + tabItens[[#This Row],[AF SALDO]] + tabItens[[#This Row],[Recentes]]</f>
        <v>51</v>
      </c>
      <c r="AX695" s="334">
        <v>0</v>
      </c>
      <c r="AY695" s="334">
        <v>4</v>
      </c>
      <c r="AZ695" s="334">
        <f>IF(ISBLANK(tabItens[[#This Row],[CÓDIGO]]),"",tabItens[[#This Row],[PontoMês]] * (AZ$2+tabItens[[#This Row],[PontoQtM]]))</f>
        <v>0</v>
      </c>
      <c r="BA695" s="333">
        <f>tabItens[[#This Row],[PontoPed]] - tabItens[[#This Row],[Saldo]] + (1/10)</f>
        <v>-50.9</v>
      </c>
      <c r="BB695" s="333">
        <f xml:space="preserve"> tabItens[[#This Row],[PontoMês]] * BB$2 - tabItens[[#This Row],[QTDE ATUAL]] - (1/10)</f>
        <v>-51.1</v>
      </c>
      <c r="BC695" s="335">
        <f>IF( tabItens[[#This Row],[PontoPed]]&gt;0, IF(tabItens[[#This Row],[PontoPed]]&lt;1, 1, IF( tabItens[[#This Row],[Saldo]]&gt;tabItens[[#This Row],[PontoPed]], 0, (tabItens[[#This Row],[PontoPed]]-tabItens[[#This Row],[Saldo]])/tabItens[[#This Row],[PontoPed]] ) ), 0 )</f>
        <v>0</v>
      </c>
      <c r="BD695" s="336">
        <f>ROUNDDOWN(IF( OR( AND(tabItens[[#This Row],[PontoPed]]&lt;tabItens[[#This Row],[Saldo]],tabItens[[#This Row],[Saldo]]&gt;0), tabItens[[#This Row],[PontoPed]]=0), 99, IF(AND(tabItens[[#This Row],[Saldo]]=0,tabItens[[#This Row],[PontoPed]]&gt;0), 0, (1-tabItens[[#This Row],[PctAb]])*10 ) ),0)</f>
        <v>99</v>
      </c>
      <c r="BE695" s="337">
        <f>MAX(ROUNDDOWN( IF(tabItens[[#This Row],[Abaixo]] &gt; 0,   tabItens[[#This Row],[Abaixo]] + (tabItens[[#This Row],[PontoMês]] * IF( OR( ISBLANK(tabItens[[#This Row],[ATA Nº/ANO]]), tabItens[[#This Row],[ATA Nº/ANO]] = ""),BE$2,BE$1)),0),0),0)</f>
        <v>0</v>
      </c>
      <c r="BF69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5" s="338">
        <f>SUMIF(Consumo!$C$3:$C$862,tabItens[[#This Row],[CÓDIGO]],Consumo!$E$3:$E$862)</f>
        <v>0</v>
      </c>
      <c r="BH695" s="339">
        <f>IF(AND(tabItens[[#This Row],[Pend]] &gt; 0,tabItens[[#This Row],[Consumo]] &lt;&gt; 0), tabItens[[#This Row],[Pend]] / tabItens[[#This Row],[Consumo]], 0 )</f>
        <v>0</v>
      </c>
      <c r="BI695" s="338"/>
      <c r="BJ695" s="338"/>
      <c r="BK695" s="340" t="s">
        <v>2086</v>
      </c>
    </row>
    <row r="696" spans="1:63" hidden="1" x14ac:dyDescent="0.3">
      <c r="A696" s="301">
        <v>136824</v>
      </c>
      <c r="B696" s="302" t="s">
        <v>1937</v>
      </c>
      <c r="C696" s="303" t="s">
        <v>436</v>
      </c>
      <c r="D696" s="304">
        <v>131</v>
      </c>
      <c r="E696" s="305"/>
      <c r="F696" s="305"/>
      <c r="G696" s="305" t="s">
        <v>889</v>
      </c>
      <c r="H696" s="306">
        <v>11</v>
      </c>
      <c r="I696" s="307">
        <v>103003</v>
      </c>
      <c r="J696" s="308">
        <v>131</v>
      </c>
      <c r="K696" s="309">
        <v>5</v>
      </c>
      <c r="L696" s="310">
        <f>IF(tabItens[[#This Row],[Média]] &gt; 0, tabItens[[#This Row],[QTDE ATUAL]] / tabItens[[#This Row],[Média]],999.9)</f>
        <v>26.4</v>
      </c>
      <c r="M696" s="311">
        <v>0</v>
      </c>
      <c r="N696" s="312">
        <f>tabItens[[#This Row],[VALOR UNIT.]] * tabItens[[#This Row],[LC]]</f>
        <v>0</v>
      </c>
      <c r="O696" s="313"/>
      <c r="P696" s="314"/>
      <c r="Q696" s="315"/>
      <c r="R696" s="312"/>
      <c r="S696" s="316"/>
      <c r="T696" s="317">
        <f>ROUNDDOWN(IFERROR(tabItens[[#This Row],[ATA DT.VALID.]] - $D$1,0) / 30,0)</f>
        <v>-1474</v>
      </c>
      <c r="U696" s="302" t="s">
        <v>1492</v>
      </c>
      <c r="V696" s="318">
        <v>1</v>
      </c>
      <c r="W696" s="319" t="s">
        <v>2081</v>
      </c>
      <c r="X696" s="320">
        <v>54</v>
      </c>
      <c r="Y696" s="321">
        <v>4</v>
      </c>
      <c r="Z696" s="322"/>
      <c r="AA696" s="323"/>
      <c r="AB696" s="324"/>
      <c r="AC696" s="324"/>
      <c r="AD696" s="323"/>
      <c r="AE696" s="324"/>
      <c r="AF696" s="317"/>
      <c r="AG696" s="325" t="s">
        <v>2072</v>
      </c>
      <c r="AH696" s="326"/>
      <c r="AI696" s="317">
        <v>2</v>
      </c>
      <c r="AJ696" s="326">
        <v>45181</v>
      </c>
      <c r="AK696" s="326">
        <v>43572</v>
      </c>
      <c r="AL696" s="326">
        <v>45198</v>
      </c>
      <c r="AM696" s="316"/>
      <c r="AN696" s="305"/>
      <c r="AO696" s="327" t="str">
        <f>_xlfn.IFNA(IF(VLOOKUP(tabItens[[#This Row],[CÓDIGO]],tabExcluirDoEstoque[#Data],1,FALSE),"sim",""),"")</f>
        <v/>
      </c>
      <c r="AP696" s="328" t="str">
        <f ca="1">IF(OR(ISBLANK(tabItens[[#This Row],[ATA DT.VALID.]]),tabItens[[#This Row],[ATA DT.VALID.]]="",tabItens[[#This Row],[ATA DT.VALID.]]=" "),"",IF(TYPE(tabItens[[#This Row],[ATA DT.VALID.]])=1,ROUNDUP((tabItens[[#This Row],[ATA DT.VALID.]]-TODAY())/7,0),""))</f>
        <v/>
      </c>
      <c r="AQ696" s="329"/>
      <c r="AR696" s="330" t="str">
        <f>IF(ISBLANK(tabItens[[#This Row],[CÓDIGO]]),"",IFERROR(VLOOKUP(tabItens[[#This Row],[CÓDIGO]],Consumo!$C$2:$AC$862,26,FALSE),0))</f>
        <v>05.2023</v>
      </c>
      <c r="AS696" s="331">
        <f>SUMIF(Consumo!$C$3:$C$862,tabItens[[#This Row],[CÓDIGO]],Consumo!$N$3:$N$862) + SUMIF(Consumo!$C$3:$C$862,tabItens[[#This Row],[CÓDIGO]],Consumo!$O$3:$O$862) + SUMIF(Consumo!$C$3:$C$862,tabItens[[#This Row],[CÓDIGO]],Consumo!$P$3:$P$862) + SUMIF(Consumo!$C$3:$C$862,tabItens[[#This Row],[CÓDIGO]],Consumo!$Q$3:$Q$862)</f>
        <v>0</v>
      </c>
      <c r="AT696" s="331">
        <f>SUMIF(Consumo!$C$3:$C$862,tabItens[[#This Row],[CÓDIGO]],Consumo!$Z$3:$Z$862)</f>
        <v>5</v>
      </c>
      <c r="AU696" s="332">
        <f>SUMIF(Consumo!$C$3:$C$862,tabItens[[#This Row],[CÓDIGO]],Consumo!$AA$3:$AA$862)</f>
        <v>1</v>
      </c>
      <c r="AV696" s="333">
        <f>SUMIF(Consumo!$C$3:$C$862,tabItens[[#This Row],[CÓDIGO]],Consumo!$Y$3:$Y$862)</f>
        <v>0.41666666666666669</v>
      </c>
      <c r="AW696" s="306">
        <f>tabItens[[#This Row],[QTDE ATUAL]] + tabItens[[#This Row],[RC QTDE]] + tabItens[[#This Row],[AF SALDO]] + tabItens[[#This Row],[Recentes]]</f>
        <v>11</v>
      </c>
      <c r="AX696" s="334">
        <v>0</v>
      </c>
      <c r="AY696" s="334">
        <v>4</v>
      </c>
      <c r="AZ696" s="334">
        <f>IF(ISBLANK(tabItens[[#This Row],[CÓDIGO]]),"",tabItens[[#This Row],[PontoMês]] * (AZ$2+tabItens[[#This Row],[PontoQtM]]))</f>
        <v>0</v>
      </c>
      <c r="BA696" s="333">
        <f>tabItens[[#This Row],[PontoPed]] - tabItens[[#This Row],[Saldo]] + (1/10)</f>
        <v>-10.9</v>
      </c>
      <c r="BB696" s="333">
        <f xml:space="preserve"> tabItens[[#This Row],[PontoMês]] * BB$2 - tabItens[[#This Row],[QTDE ATUAL]] - (1/10)</f>
        <v>-11.1</v>
      </c>
      <c r="BC696" s="335">
        <f>IF( tabItens[[#This Row],[PontoPed]]&gt;0, IF(tabItens[[#This Row],[PontoPed]]&lt;1, 1, IF( tabItens[[#This Row],[Saldo]]&gt;tabItens[[#This Row],[PontoPed]], 0, (tabItens[[#This Row],[PontoPed]]-tabItens[[#This Row],[Saldo]])/tabItens[[#This Row],[PontoPed]] ) ), 0 )</f>
        <v>0</v>
      </c>
      <c r="BD696" s="336">
        <f>ROUNDDOWN(IF( OR( AND(tabItens[[#This Row],[PontoPed]]&lt;tabItens[[#This Row],[Saldo]],tabItens[[#This Row],[Saldo]]&gt;0), tabItens[[#This Row],[PontoPed]]=0), 99, IF(AND(tabItens[[#This Row],[Saldo]]=0,tabItens[[#This Row],[PontoPed]]&gt;0), 0, (1-tabItens[[#This Row],[PctAb]])*10 ) ),0)</f>
        <v>99</v>
      </c>
      <c r="BE696" s="337">
        <f>MAX(ROUNDDOWN( IF(tabItens[[#This Row],[Abaixo]] &gt; 0,   tabItens[[#This Row],[Abaixo]] + (tabItens[[#This Row],[PontoMês]] * IF( OR( ISBLANK(tabItens[[#This Row],[ATA Nº/ANO]]), tabItens[[#This Row],[ATA Nº/ANO]] = ""),BE$2,BE$1)),0),0),0)</f>
        <v>0</v>
      </c>
      <c r="BF69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6" s="338">
        <f>SUMIF(Consumo!$C$3:$C$862,tabItens[[#This Row],[CÓDIGO]],Consumo!$E$3:$E$862)</f>
        <v>0</v>
      </c>
      <c r="BH696" s="339">
        <f>IF(AND(tabItens[[#This Row],[Pend]] &gt; 0,tabItens[[#This Row],[Consumo]] &lt;&gt; 0), tabItens[[#This Row],[Pend]] / tabItens[[#This Row],[Consumo]], 0 )</f>
        <v>0</v>
      </c>
      <c r="BI696" s="338"/>
      <c r="BJ696" s="338"/>
      <c r="BK696" s="340" t="s">
        <v>2086</v>
      </c>
    </row>
    <row r="697" spans="1:63" hidden="1" x14ac:dyDescent="0.3">
      <c r="A697" s="301">
        <v>136825</v>
      </c>
      <c r="B697" s="302" t="s">
        <v>1938</v>
      </c>
      <c r="C697" s="303" t="s">
        <v>436</v>
      </c>
      <c r="D697" s="304">
        <v>131</v>
      </c>
      <c r="E697" s="305"/>
      <c r="F697" s="305"/>
      <c r="G697" s="305" t="s">
        <v>889</v>
      </c>
      <c r="H697" s="306">
        <v>2</v>
      </c>
      <c r="I697" s="307">
        <v>103003</v>
      </c>
      <c r="J697" s="308">
        <v>131</v>
      </c>
      <c r="K697" s="309">
        <v>4</v>
      </c>
      <c r="L697" s="310">
        <f>IF(tabItens[[#This Row],[Média]] &gt; 0, tabItens[[#This Row],[QTDE ATUAL]] / tabItens[[#This Row],[Média]],999.9)</f>
        <v>4.8</v>
      </c>
      <c r="M697" s="311">
        <v>0</v>
      </c>
      <c r="N697" s="312">
        <f>tabItens[[#This Row],[VALOR UNIT.]] * tabItens[[#This Row],[LC]]</f>
        <v>0</v>
      </c>
      <c r="O697" s="313"/>
      <c r="P697" s="314"/>
      <c r="Q697" s="315"/>
      <c r="R697" s="312"/>
      <c r="S697" s="316"/>
      <c r="T697" s="317">
        <f>ROUNDDOWN(IFERROR(tabItens[[#This Row],[ATA DT.VALID.]] - $D$1,0) / 30,0)</f>
        <v>-1474</v>
      </c>
      <c r="U697" s="302" t="s">
        <v>1492</v>
      </c>
      <c r="V697" s="318">
        <v>1</v>
      </c>
      <c r="W697" s="319" t="s">
        <v>2081</v>
      </c>
      <c r="X697" s="320">
        <v>54</v>
      </c>
      <c r="Y697" s="321">
        <v>4</v>
      </c>
      <c r="Z697" s="322"/>
      <c r="AA697" s="323"/>
      <c r="AB697" s="324"/>
      <c r="AC697" s="324"/>
      <c r="AD697" s="323"/>
      <c r="AE697" s="324"/>
      <c r="AF697" s="317"/>
      <c r="AG697" s="325" t="s">
        <v>2072</v>
      </c>
      <c r="AH697" s="326"/>
      <c r="AI697" s="317">
        <v>2</v>
      </c>
      <c r="AJ697" s="326">
        <v>45181</v>
      </c>
      <c r="AK697" s="326">
        <v>43572</v>
      </c>
      <c r="AL697" s="326">
        <v>45198</v>
      </c>
      <c r="AM697" s="316"/>
      <c r="AN697" s="305"/>
      <c r="AO697" s="327" t="str">
        <f>_xlfn.IFNA(IF(VLOOKUP(tabItens[[#This Row],[CÓDIGO]],tabExcluirDoEstoque[#Data],1,FALSE),"sim",""),"")</f>
        <v/>
      </c>
      <c r="AP697" s="328" t="str">
        <f ca="1">IF(OR(ISBLANK(tabItens[[#This Row],[ATA DT.VALID.]]),tabItens[[#This Row],[ATA DT.VALID.]]="",tabItens[[#This Row],[ATA DT.VALID.]]=" "),"",IF(TYPE(tabItens[[#This Row],[ATA DT.VALID.]])=1,ROUNDUP((tabItens[[#This Row],[ATA DT.VALID.]]-TODAY())/7,0),""))</f>
        <v/>
      </c>
      <c r="AQ697" s="329"/>
      <c r="AR697" s="330" t="str">
        <f>IF(ISBLANK(tabItens[[#This Row],[CÓDIGO]]),"",IFERROR(VLOOKUP(tabItens[[#This Row],[CÓDIGO]],Consumo!$C$2:$AC$862,26,FALSE),0))</f>
        <v>09.2023</v>
      </c>
      <c r="AS697" s="331">
        <f>SUMIF(Consumo!$C$3:$C$862,tabItens[[#This Row],[CÓDIGO]],Consumo!$N$3:$N$862) + SUMIF(Consumo!$C$3:$C$862,tabItens[[#This Row],[CÓDIGO]],Consumo!$O$3:$O$862) + SUMIF(Consumo!$C$3:$C$862,tabItens[[#This Row],[CÓDIGO]],Consumo!$P$3:$P$862) + SUMIF(Consumo!$C$3:$C$862,tabItens[[#This Row],[CÓDIGO]],Consumo!$Q$3:$Q$862)</f>
        <v>1</v>
      </c>
      <c r="AT697" s="331">
        <f>SUMIF(Consumo!$C$3:$C$862,tabItens[[#This Row],[CÓDIGO]],Consumo!$Z$3:$Z$862)</f>
        <v>5</v>
      </c>
      <c r="AU697" s="332">
        <f>SUMIF(Consumo!$C$3:$C$862,tabItens[[#This Row],[CÓDIGO]],Consumo!$AA$3:$AA$862)</f>
        <v>1</v>
      </c>
      <c r="AV697" s="333">
        <f>SUMIF(Consumo!$C$3:$C$862,tabItens[[#This Row],[CÓDIGO]],Consumo!$Y$3:$Y$862)</f>
        <v>0.41666666666666669</v>
      </c>
      <c r="AW697" s="306">
        <f>tabItens[[#This Row],[QTDE ATUAL]] + tabItens[[#This Row],[RC QTDE]] + tabItens[[#This Row],[AF SALDO]] + tabItens[[#This Row],[Recentes]]</f>
        <v>2</v>
      </c>
      <c r="AX697" s="334">
        <v>0</v>
      </c>
      <c r="AY697" s="334">
        <v>4</v>
      </c>
      <c r="AZ697" s="334">
        <f>IF(ISBLANK(tabItens[[#This Row],[CÓDIGO]]),"",tabItens[[#This Row],[PontoMês]] * (AZ$2+tabItens[[#This Row],[PontoQtM]]))</f>
        <v>0</v>
      </c>
      <c r="BA697" s="333">
        <f>tabItens[[#This Row],[PontoPed]] - tabItens[[#This Row],[Saldo]] + (1/10)</f>
        <v>-1.9</v>
      </c>
      <c r="BB697" s="333">
        <f xml:space="preserve"> tabItens[[#This Row],[PontoMês]] * BB$2 - tabItens[[#This Row],[QTDE ATUAL]] - (1/10)</f>
        <v>-2.1</v>
      </c>
      <c r="BC697" s="335">
        <f>IF( tabItens[[#This Row],[PontoPed]]&gt;0, IF(tabItens[[#This Row],[PontoPed]]&lt;1, 1, IF( tabItens[[#This Row],[Saldo]]&gt;tabItens[[#This Row],[PontoPed]], 0, (tabItens[[#This Row],[PontoPed]]-tabItens[[#This Row],[Saldo]])/tabItens[[#This Row],[PontoPed]] ) ), 0 )</f>
        <v>0</v>
      </c>
      <c r="BD697" s="336">
        <f>ROUNDDOWN(IF( OR( AND(tabItens[[#This Row],[PontoPed]]&lt;tabItens[[#This Row],[Saldo]],tabItens[[#This Row],[Saldo]]&gt;0), tabItens[[#This Row],[PontoPed]]=0), 99, IF(AND(tabItens[[#This Row],[Saldo]]=0,tabItens[[#This Row],[PontoPed]]&gt;0), 0, (1-tabItens[[#This Row],[PctAb]])*10 ) ),0)</f>
        <v>99</v>
      </c>
      <c r="BE697" s="337">
        <f>MAX(ROUNDDOWN( IF(tabItens[[#This Row],[Abaixo]] &gt; 0,   tabItens[[#This Row],[Abaixo]] + (tabItens[[#This Row],[PontoMês]] * IF( OR( ISBLANK(tabItens[[#This Row],[ATA Nº/ANO]]), tabItens[[#This Row],[ATA Nº/ANO]] = ""),BE$2,BE$1)),0),0),0)</f>
        <v>0</v>
      </c>
      <c r="BF69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7" s="338">
        <f>SUMIF(Consumo!$C$3:$C$862,tabItens[[#This Row],[CÓDIGO]],Consumo!$E$3:$E$862)</f>
        <v>1</v>
      </c>
      <c r="BH697" s="339">
        <f>IF(AND(tabItens[[#This Row],[Pend]] &gt; 0,tabItens[[#This Row],[Consumo]] &lt;&gt; 0), tabItens[[#This Row],[Pend]] / tabItens[[#This Row],[Consumo]], 0 )</f>
        <v>0.2</v>
      </c>
      <c r="BI697" s="338"/>
      <c r="BJ697" s="338"/>
      <c r="BK697" s="340" t="s">
        <v>2086</v>
      </c>
    </row>
    <row r="698" spans="1:63" hidden="1" x14ac:dyDescent="0.3">
      <c r="A698" s="301">
        <v>136826</v>
      </c>
      <c r="B698" s="302" t="s">
        <v>1939</v>
      </c>
      <c r="C698" s="303" t="s">
        <v>436</v>
      </c>
      <c r="D698" s="304">
        <v>131</v>
      </c>
      <c r="E698" s="305"/>
      <c r="F698" s="305"/>
      <c r="G698" s="305" t="s">
        <v>889</v>
      </c>
      <c r="H698" s="306">
        <v>15</v>
      </c>
      <c r="I698" s="307">
        <v>103003</v>
      </c>
      <c r="J698" s="308">
        <v>131</v>
      </c>
      <c r="K698" s="309">
        <v>8</v>
      </c>
      <c r="L698" s="310">
        <f>IF(tabItens[[#This Row],[Média]] &gt; 0, tabItens[[#This Row],[QTDE ATUAL]] / tabItens[[#This Row],[Média]],999.9)</f>
        <v>22.5</v>
      </c>
      <c r="M698" s="311">
        <v>0</v>
      </c>
      <c r="N698" s="312">
        <f>tabItens[[#This Row],[VALOR UNIT.]] * tabItens[[#This Row],[LC]]</f>
        <v>0</v>
      </c>
      <c r="O698" s="313"/>
      <c r="P698" s="314"/>
      <c r="Q698" s="315"/>
      <c r="R698" s="312"/>
      <c r="S698" s="316"/>
      <c r="T698" s="317">
        <f>ROUNDDOWN(IFERROR(tabItens[[#This Row],[ATA DT.VALID.]] - $D$1,0) / 30,0)</f>
        <v>-1474</v>
      </c>
      <c r="U698" s="302" t="s">
        <v>1492</v>
      </c>
      <c r="V698" s="318">
        <v>1</v>
      </c>
      <c r="W698" s="319" t="s">
        <v>2081</v>
      </c>
      <c r="X698" s="320">
        <v>54</v>
      </c>
      <c r="Y698" s="321">
        <v>4</v>
      </c>
      <c r="Z698" s="322"/>
      <c r="AA698" s="323"/>
      <c r="AB698" s="324"/>
      <c r="AC698" s="324"/>
      <c r="AD698" s="323"/>
      <c r="AE698" s="324"/>
      <c r="AF698" s="317"/>
      <c r="AG698" s="325" t="s">
        <v>2072</v>
      </c>
      <c r="AH698" s="326"/>
      <c r="AI698" s="317">
        <v>2</v>
      </c>
      <c r="AJ698" s="326">
        <v>45181</v>
      </c>
      <c r="AK698" s="326">
        <v>43572</v>
      </c>
      <c r="AL698" s="326">
        <v>45198</v>
      </c>
      <c r="AM698" s="316"/>
      <c r="AN698" s="305"/>
      <c r="AO698" s="327" t="str">
        <f>_xlfn.IFNA(IF(VLOOKUP(tabItens[[#This Row],[CÓDIGO]],tabExcluirDoEstoque[#Data],1,FALSE),"sim",""),"")</f>
        <v/>
      </c>
      <c r="AP698" s="328" t="str">
        <f ca="1">IF(OR(ISBLANK(tabItens[[#This Row],[ATA DT.VALID.]]),tabItens[[#This Row],[ATA DT.VALID.]]="",tabItens[[#This Row],[ATA DT.VALID.]]=" "),"",IF(TYPE(tabItens[[#This Row],[ATA DT.VALID.]])=1,ROUNDUP((tabItens[[#This Row],[ATA DT.VALID.]]-TODAY())/7,0),""))</f>
        <v/>
      </c>
      <c r="AQ698" s="329"/>
      <c r="AR698" s="330" t="str">
        <f>IF(ISBLANK(tabItens[[#This Row],[CÓDIGO]]),"",IFERROR(VLOOKUP(tabItens[[#This Row],[CÓDIGO]],Consumo!$C$2:$AC$862,26,FALSE),0))</f>
        <v>09.2023</v>
      </c>
      <c r="AS698" s="331">
        <f>SUMIF(Consumo!$C$3:$C$862,tabItens[[#This Row],[CÓDIGO]],Consumo!$N$3:$N$862) + SUMIF(Consumo!$C$3:$C$862,tabItens[[#This Row],[CÓDIGO]],Consumo!$O$3:$O$862) + SUMIF(Consumo!$C$3:$C$862,tabItens[[#This Row],[CÓDIGO]],Consumo!$P$3:$P$862) + SUMIF(Consumo!$C$3:$C$862,tabItens[[#This Row],[CÓDIGO]],Consumo!$Q$3:$Q$862)</f>
        <v>2</v>
      </c>
      <c r="AT698" s="331">
        <f>SUMIF(Consumo!$C$3:$C$862,tabItens[[#This Row],[CÓDIGO]],Consumo!$Z$3:$Z$862)</f>
        <v>8</v>
      </c>
      <c r="AU698" s="332">
        <f>SUMIF(Consumo!$C$3:$C$862,tabItens[[#This Row],[CÓDIGO]],Consumo!$AA$3:$AA$862)</f>
        <v>2</v>
      </c>
      <c r="AV698" s="333">
        <f>SUMIF(Consumo!$C$3:$C$862,tabItens[[#This Row],[CÓDIGO]],Consumo!$Y$3:$Y$862)</f>
        <v>0.66666666666666663</v>
      </c>
      <c r="AW698" s="306">
        <f>tabItens[[#This Row],[QTDE ATUAL]] + tabItens[[#This Row],[RC QTDE]] + tabItens[[#This Row],[AF SALDO]] + tabItens[[#This Row],[Recentes]]</f>
        <v>15</v>
      </c>
      <c r="AX698" s="334">
        <v>0</v>
      </c>
      <c r="AY698" s="334">
        <v>4</v>
      </c>
      <c r="AZ698" s="334">
        <f>IF(ISBLANK(tabItens[[#This Row],[CÓDIGO]]),"",tabItens[[#This Row],[PontoMês]] * (AZ$2+tabItens[[#This Row],[PontoQtM]]))</f>
        <v>0</v>
      </c>
      <c r="BA698" s="333">
        <f>tabItens[[#This Row],[PontoPed]] - tabItens[[#This Row],[Saldo]] + (1/10)</f>
        <v>-14.9</v>
      </c>
      <c r="BB698" s="333">
        <f xml:space="preserve"> tabItens[[#This Row],[PontoMês]] * BB$2 - tabItens[[#This Row],[QTDE ATUAL]] - (1/10)</f>
        <v>-15.1</v>
      </c>
      <c r="BC698" s="335">
        <f>IF( tabItens[[#This Row],[PontoPed]]&gt;0, IF(tabItens[[#This Row],[PontoPed]]&lt;1, 1, IF( tabItens[[#This Row],[Saldo]]&gt;tabItens[[#This Row],[PontoPed]], 0, (tabItens[[#This Row],[PontoPed]]-tabItens[[#This Row],[Saldo]])/tabItens[[#This Row],[PontoPed]] ) ), 0 )</f>
        <v>0</v>
      </c>
      <c r="BD698" s="336">
        <f>ROUNDDOWN(IF( OR( AND(tabItens[[#This Row],[PontoPed]]&lt;tabItens[[#This Row],[Saldo]],tabItens[[#This Row],[Saldo]]&gt;0), tabItens[[#This Row],[PontoPed]]=0), 99, IF(AND(tabItens[[#This Row],[Saldo]]=0,tabItens[[#This Row],[PontoPed]]&gt;0), 0, (1-tabItens[[#This Row],[PctAb]])*10 ) ),0)</f>
        <v>99</v>
      </c>
      <c r="BE698" s="337">
        <f>MAX(ROUNDDOWN( IF(tabItens[[#This Row],[Abaixo]] &gt; 0,   tabItens[[#This Row],[Abaixo]] + (tabItens[[#This Row],[PontoMês]] * IF( OR( ISBLANK(tabItens[[#This Row],[ATA Nº/ANO]]), tabItens[[#This Row],[ATA Nº/ANO]] = ""),BE$2,BE$1)),0),0),0)</f>
        <v>0</v>
      </c>
      <c r="BF69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8" s="338">
        <f>SUMIF(Consumo!$C$3:$C$862,tabItens[[#This Row],[CÓDIGO]],Consumo!$E$3:$E$862)</f>
        <v>0</v>
      </c>
      <c r="BH698" s="339">
        <f>IF(AND(tabItens[[#This Row],[Pend]] &gt; 0,tabItens[[#This Row],[Consumo]] &lt;&gt; 0), tabItens[[#This Row],[Pend]] / tabItens[[#This Row],[Consumo]], 0 )</f>
        <v>0</v>
      </c>
      <c r="BI698" s="338"/>
      <c r="BJ698" s="338"/>
      <c r="BK698" s="340" t="s">
        <v>2086</v>
      </c>
    </row>
    <row r="699" spans="1:63" hidden="1" x14ac:dyDescent="0.3">
      <c r="A699" s="301">
        <v>136829</v>
      </c>
      <c r="B699" s="302" t="s">
        <v>1940</v>
      </c>
      <c r="C699" s="303" t="s">
        <v>436</v>
      </c>
      <c r="D699" s="304">
        <v>115.93</v>
      </c>
      <c r="E699" s="305"/>
      <c r="F699" s="305"/>
      <c r="G699" s="305" t="s">
        <v>889</v>
      </c>
      <c r="H699" s="306">
        <v>5</v>
      </c>
      <c r="I699" s="307">
        <v>103003</v>
      </c>
      <c r="J699" s="308">
        <v>115.93</v>
      </c>
      <c r="K699" s="309"/>
      <c r="L699" s="310">
        <f>IF(tabItens[[#This Row],[Média]] &gt; 0, tabItens[[#This Row],[QTDE ATUAL]] / tabItens[[#This Row],[Média]],999.9)</f>
        <v>999.9</v>
      </c>
      <c r="M699" s="311">
        <v>0</v>
      </c>
      <c r="N699" s="312">
        <f>tabItens[[#This Row],[VALOR UNIT.]] * tabItens[[#This Row],[LC]]</f>
        <v>0</v>
      </c>
      <c r="O699" s="313"/>
      <c r="P699" s="314"/>
      <c r="Q699" s="315"/>
      <c r="R699" s="312"/>
      <c r="S699" s="316"/>
      <c r="T699" s="317">
        <f>ROUNDDOWN(IFERROR(tabItens[[#This Row],[ATA DT.VALID.]] - $D$1,0) / 30,0)</f>
        <v>-1474</v>
      </c>
      <c r="U699" s="302" t="s">
        <v>1492</v>
      </c>
      <c r="V699" s="318">
        <v>1</v>
      </c>
      <c r="W699" s="319" t="s">
        <v>2081</v>
      </c>
      <c r="X699" s="320">
        <v>54</v>
      </c>
      <c r="Y699" s="321">
        <v>4</v>
      </c>
      <c r="Z699" s="322"/>
      <c r="AA699" s="323"/>
      <c r="AB699" s="324"/>
      <c r="AC699" s="324"/>
      <c r="AD699" s="323"/>
      <c r="AE699" s="324"/>
      <c r="AF699" s="317"/>
      <c r="AG699" s="325" t="s">
        <v>2072</v>
      </c>
      <c r="AH699" s="326"/>
      <c r="AI699" s="317">
        <v>0</v>
      </c>
      <c r="AJ699" s="326">
        <v>43837</v>
      </c>
      <c r="AK699" s="326">
        <v>43572</v>
      </c>
      <c r="AL699" s="326">
        <v>45142</v>
      </c>
      <c r="AM699" s="316"/>
      <c r="AN699" s="305"/>
      <c r="AO699" s="327" t="str">
        <f>_xlfn.IFNA(IF(VLOOKUP(tabItens[[#This Row],[CÓDIGO]],tabExcluirDoEstoque[#Data],1,FALSE),"sim",""),"")</f>
        <v/>
      </c>
      <c r="AP699" s="328" t="str">
        <f ca="1">IF(OR(ISBLANK(tabItens[[#This Row],[ATA DT.VALID.]]),tabItens[[#This Row],[ATA DT.VALID.]]="",tabItens[[#This Row],[ATA DT.VALID.]]=" "),"",IF(TYPE(tabItens[[#This Row],[ATA DT.VALID.]])=1,ROUNDUP((tabItens[[#This Row],[ATA DT.VALID.]]-TODAY())/7,0),""))</f>
        <v/>
      </c>
      <c r="AQ699" s="329"/>
      <c r="AR699" s="330">
        <f>IF(ISBLANK(tabItens[[#This Row],[CÓDIGO]]),"",IFERROR(VLOOKUP(tabItens[[#This Row],[CÓDIGO]],Consumo!$C$2:$AC$862,26,FALSE),0))</f>
        <v>0</v>
      </c>
      <c r="AS699" s="331">
        <f>SUMIF(Consumo!$C$3:$C$862,tabItens[[#This Row],[CÓDIGO]],Consumo!$N$3:$N$862) + SUMIF(Consumo!$C$3:$C$862,tabItens[[#This Row],[CÓDIGO]],Consumo!$O$3:$O$862) + SUMIF(Consumo!$C$3:$C$862,tabItens[[#This Row],[CÓDIGO]],Consumo!$P$3:$P$862) + SUMIF(Consumo!$C$3:$C$862,tabItens[[#This Row],[CÓDIGO]],Consumo!$Q$3:$Q$862)</f>
        <v>0</v>
      </c>
      <c r="AT699" s="331">
        <f>SUMIF(Consumo!$C$3:$C$862,tabItens[[#This Row],[CÓDIGO]],Consumo!$Z$3:$Z$862)</f>
        <v>0</v>
      </c>
      <c r="AU699" s="332">
        <f>SUMIF(Consumo!$C$3:$C$862,tabItens[[#This Row],[CÓDIGO]],Consumo!$AA$3:$AA$862)</f>
        <v>0</v>
      </c>
      <c r="AV699" s="333">
        <f>SUMIF(Consumo!$C$3:$C$862,tabItens[[#This Row],[CÓDIGO]],Consumo!$Y$3:$Y$862)</f>
        <v>0</v>
      </c>
      <c r="AW699" s="306">
        <f>tabItens[[#This Row],[QTDE ATUAL]] + tabItens[[#This Row],[RC QTDE]] + tabItens[[#This Row],[AF SALDO]] + tabItens[[#This Row],[Recentes]]</f>
        <v>5</v>
      </c>
      <c r="AX699" s="334">
        <v>0</v>
      </c>
      <c r="AY699" s="334">
        <v>4</v>
      </c>
      <c r="AZ699" s="334">
        <f>IF(ISBLANK(tabItens[[#This Row],[CÓDIGO]]),"",tabItens[[#This Row],[PontoMês]] * (AZ$2+tabItens[[#This Row],[PontoQtM]]))</f>
        <v>0</v>
      </c>
      <c r="BA699" s="333">
        <f>tabItens[[#This Row],[PontoPed]] - tabItens[[#This Row],[Saldo]] + (1/10)</f>
        <v>-4.9000000000000004</v>
      </c>
      <c r="BB699" s="333">
        <f xml:space="preserve"> tabItens[[#This Row],[PontoMês]] * BB$2 - tabItens[[#This Row],[QTDE ATUAL]] - (1/10)</f>
        <v>-5.0999999999999996</v>
      </c>
      <c r="BC699" s="335">
        <f>IF( tabItens[[#This Row],[PontoPed]]&gt;0, IF(tabItens[[#This Row],[PontoPed]]&lt;1, 1, IF( tabItens[[#This Row],[Saldo]]&gt;tabItens[[#This Row],[PontoPed]], 0, (tabItens[[#This Row],[PontoPed]]-tabItens[[#This Row],[Saldo]])/tabItens[[#This Row],[PontoPed]] ) ), 0 )</f>
        <v>0</v>
      </c>
      <c r="BD699" s="336">
        <f>ROUNDDOWN(IF( OR( AND(tabItens[[#This Row],[PontoPed]]&lt;tabItens[[#This Row],[Saldo]],tabItens[[#This Row],[Saldo]]&gt;0), tabItens[[#This Row],[PontoPed]]=0), 99, IF(AND(tabItens[[#This Row],[Saldo]]=0,tabItens[[#This Row],[PontoPed]]&gt;0), 0, (1-tabItens[[#This Row],[PctAb]])*10 ) ),0)</f>
        <v>99</v>
      </c>
      <c r="BE699" s="337">
        <f>MAX(ROUNDDOWN( IF(tabItens[[#This Row],[Abaixo]] &gt; 0,   tabItens[[#This Row],[Abaixo]] + (tabItens[[#This Row],[PontoMês]] * IF( OR( ISBLANK(tabItens[[#This Row],[ATA Nº/ANO]]), tabItens[[#This Row],[ATA Nº/ANO]] = ""),BE$2,BE$1)),0),0),0)</f>
        <v>0</v>
      </c>
      <c r="BF69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9" s="338">
        <f>SUMIF(Consumo!$C$3:$C$862,tabItens[[#This Row],[CÓDIGO]],Consumo!$E$3:$E$862)</f>
        <v>0</v>
      </c>
      <c r="BH699" s="339">
        <f>IF(AND(tabItens[[#This Row],[Pend]] &gt; 0,tabItens[[#This Row],[Consumo]] &lt;&gt; 0), tabItens[[#This Row],[Pend]] / tabItens[[#This Row],[Consumo]], 0 )</f>
        <v>0</v>
      </c>
      <c r="BI699" s="338"/>
      <c r="BJ699" s="338"/>
      <c r="BK699" s="340" t="s">
        <v>2086</v>
      </c>
    </row>
    <row r="700" spans="1:63" hidden="1" x14ac:dyDescent="0.3">
      <c r="A700" s="301">
        <v>136853</v>
      </c>
      <c r="B700" s="302" t="s">
        <v>1941</v>
      </c>
      <c r="C700" s="303" t="s">
        <v>436</v>
      </c>
      <c r="D700" s="304">
        <v>1.76</v>
      </c>
      <c r="E700" s="305"/>
      <c r="F700" s="305"/>
      <c r="G700" s="305" t="s">
        <v>889</v>
      </c>
      <c r="H700" s="306">
        <v>55</v>
      </c>
      <c r="I700" s="307">
        <v>103003</v>
      </c>
      <c r="J700" s="308">
        <v>1.76</v>
      </c>
      <c r="K700" s="309">
        <v>21</v>
      </c>
      <c r="L700" s="310">
        <f>IF(tabItens[[#This Row],[Média]] &gt; 0, tabItens[[#This Row],[QTDE ATUAL]] / tabItens[[#This Row],[Média]],999.9)</f>
        <v>31.428571428571427</v>
      </c>
      <c r="M700" s="311">
        <v>0</v>
      </c>
      <c r="N700" s="312">
        <f>tabItens[[#This Row],[VALOR UNIT.]] * tabItens[[#This Row],[LC]]</f>
        <v>0</v>
      </c>
      <c r="O700" s="313"/>
      <c r="P700" s="314"/>
      <c r="Q700" s="315"/>
      <c r="R700" s="312"/>
      <c r="S700" s="316"/>
      <c r="T700" s="317">
        <f>ROUNDDOWN(IFERROR(tabItens[[#This Row],[ATA DT.VALID.]] - $D$1,0) / 30,0)</f>
        <v>-1474</v>
      </c>
      <c r="U700" s="302" t="s">
        <v>1492</v>
      </c>
      <c r="V700" s="318">
        <v>1</v>
      </c>
      <c r="W700" s="319" t="s">
        <v>2081</v>
      </c>
      <c r="X700" s="320">
        <v>54</v>
      </c>
      <c r="Y700" s="321">
        <v>4</v>
      </c>
      <c r="Z700" s="322"/>
      <c r="AA700" s="323"/>
      <c r="AB700" s="324"/>
      <c r="AC700" s="324"/>
      <c r="AD700" s="323"/>
      <c r="AE700" s="324"/>
      <c r="AF700" s="317"/>
      <c r="AG700" s="325" t="s">
        <v>2072</v>
      </c>
      <c r="AH700" s="326"/>
      <c r="AI700" s="317">
        <v>8</v>
      </c>
      <c r="AJ700" s="326">
        <v>43802</v>
      </c>
      <c r="AK700" s="326">
        <v>43578</v>
      </c>
      <c r="AL700" s="326">
        <v>43780</v>
      </c>
      <c r="AM700" s="316"/>
      <c r="AN700" s="305"/>
      <c r="AO700" s="327" t="str">
        <f>_xlfn.IFNA(IF(VLOOKUP(tabItens[[#This Row],[CÓDIGO]],tabExcluirDoEstoque[#Data],1,FALSE),"sim",""),"")</f>
        <v/>
      </c>
      <c r="AP700" s="328" t="str">
        <f ca="1">IF(OR(ISBLANK(tabItens[[#This Row],[ATA DT.VALID.]]),tabItens[[#This Row],[ATA DT.VALID.]]="",tabItens[[#This Row],[ATA DT.VALID.]]=" "),"",IF(TYPE(tabItens[[#This Row],[ATA DT.VALID.]])=1,ROUNDUP((tabItens[[#This Row],[ATA DT.VALID.]]-TODAY())/7,0),""))</f>
        <v/>
      </c>
      <c r="AQ700" s="329"/>
      <c r="AR700" s="330" t="str">
        <f>IF(ISBLANK(tabItens[[#This Row],[CÓDIGO]]),"",IFERROR(VLOOKUP(tabItens[[#This Row],[CÓDIGO]],Consumo!$C$2:$AC$862,26,FALSE),0))</f>
        <v>05.2023</v>
      </c>
      <c r="AS700" s="331">
        <f>SUMIF(Consumo!$C$3:$C$862,tabItens[[#This Row],[CÓDIGO]],Consumo!$N$3:$N$862) + SUMIF(Consumo!$C$3:$C$862,tabItens[[#This Row],[CÓDIGO]],Consumo!$O$3:$O$862) + SUMIF(Consumo!$C$3:$C$862,tabItens[[#This Row],[CÓDIGO]],Consumo!$P$3:$P$862) + SUMIF(Consumo!$C$3:$C$862,tabItens[[#This Row],[CÓDIGO]],Consumo!$Q$3:$Q$862)</f>
        <v>0</v>
      </c>
      <c r="AT700" s="331">
        <f>SUMIF(Consumo!$C$3:$C$862,tabItens[[#This Row],[CÓDIGO]],Consumo!$Z$3:$Z$862)</f>
        <v>21</v>
      </c>
      <c r="AU700" s="332">
        <f>SUMIF(Consumo!$C$3:$C$862,tabItens[[#This Row],[CÓDIGO]],Consumo!$AA$3:$AA$862)</f>
        <v>6</v>
      </c>
      <c r="AV700" s="333">
        <f>SUMIF(Consumo!$C$3:$C$862,tabItens[[#This Row],[CÓDIGO]],Consumo!$Y$3:$Y$862)</f>
        <v>1.75</v>
      </c>
      <c r="AW700" s="306">
        <f>tabItens[[#This Row],[QTDE ATUAL]] + tabItens[[#This Row],[RC QTDE]] + tabItens[[#This Row],[AF SALDO]] + tabItens[[#This Row],[Recentes]]</f>
        <v>55</v>
      </c>
      <c r="AX700" s="334">
        <v>0</v>
      </c>
      <c r="AY700" s="334">
        <v>4</v>
      </c>
      <c r="AZ700" s="334">
        <f>IF(ISBLANK(tabItens[[#This Row],[CÓDIGO]]),"",tabItens[[#This Row],[PontoMês]] * (AZ$2+tabItens[[#This Row],[PontoQtM]]))</f>
        <v>0</v>
      </c>
      <c r="BA700" s="333">
        <f>tabItens[[#This Row],[PontoPed]] - tabItens[[#This Row],[Saldo]] + (1/10)</f>
        <v>-54.9</v>
      </c>
      <c r="BB700" s="333">
        <f xml:space="preserve"> tabItens[[#This Row],[PontoMês]] * BB$2 - tabItens[[#This Row],[QTDE ATUAL]] - (1/10)</f>
        <v>-55.1</v>
      </c>
      <c r="BC700" s="335">
        <f>IF( tabItens[[#This Row],[PontoPed]]&gt;0, IF(tabItens[[#This Row],[PontoPed]]&lt;1, 1, IF( tabItens[[#This Row],[Saldo]]&gt;tabItens[[#This Row],[PontoPed]], 0, (tabItens[[#This Row],[PontoPed]]-tabItens[[#This Row],[Saldo]])/tabItens[[#This Row],[PontoPed]] ) ), 0 )</f>
        <v>0</v>
      </c>
      <c r="BD700" s="336">
        <f>ROUNDDOWN(IF( OR( AND(tabItens[[#This Row],[PontoPed]]&lt;tabItens[[#This Row],[Saldo]],tabItens[[#This Row],[Saldo]]&gt;0), tabItens[[#This Row],[PontoPed]]=0), 99, IF(AND(tabItens[[#This Row],[Saldo]]=0,tabItens[[#This Row],[PontoPed]]&gt;0), 0, (1-tabItens[[#This Row],[PctAb]])*10 ) ),0)</f>
        <v>99</v>
      </c>
      <c r="BE700" s="337">
        <f>MAX(ROUNDDOWN( IF(tabItens[[#This Row],[Abaixo]] &gt; 0,   tabItens[[#This Row],[Abaixo]] + (tabItens[[#This Row],[PontoMês]] * IF( OR( ISBLANK(tabItens[[#This Row],[ATA Nº/ANO]]), tabItens[[#This Row],[ATA Nº/ANO]] = ""),BE$2,BE$1)),0),0),0)</f>
        <v>0</v>
      </c>
      <c r="BF70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0" s="338">
        <f>SUMIF(Consumo!$C$3:$C$862,tabItens[[#This Row],[CÓDIGO]],Consumo!$E$3:$E$862)</f>
        <v>0</v>
      </c>
      <c r="BH700" s="339">
        <f>IF(AND(tabItens[[#This Row],[Pend]] &gt; 0,tabItens[[#This Row],[Consumo]] &lt;&gt; 0), tabItens[[#This Row],[Pend]] / tabItens[[#This Row],[Consumo]], 0 )</f>
        <v>0</v>
      </c>
      <c r="BI700" s="338"/>
      <c r="BJ700" s="338"/>
      <c r="BK700" s="340" t="s">
        <v>2086</v>
      </c>
    </row>
    <row r="701" spans="1:63" hidden="1" x14ac:dyDescent="0.3">
      <c r="A701" s="301">
        <v>136854</v>
      </c>
      <c r="B701" s="302" t="s">
        <v>1942</v>
      </c>
      <c r="C701" s="303" t="s">
        <v>31</v>
      </c>
      <c r="D701" s="304">
        <v>3.5</v>
      </c>
      <c r="E701" s="305"/>
      <c r="F701" s="305"/>
      <c r="G701" s="305" t="s">
        <v>889</v>
      </c>
      <c r="H701" s="306">
        <v>66</v>
      </c>
      <c r="I701" s="307">
        <v>103003</v>
      </c>
      <c r="J701" s="308">
        <v>3.5</v>
      </c>
      <c r="K701" s="309">
        <v>4</v>
      </c>
      <c r="L701" s="310">
        <f>IF(tabItens[[#This Row],[Média]] &gt; 0, tabItens[[#This Row],[QTDE ATUAL]] / tabItens[[#This Row],[Média]],999.9)</f>
        <v>396</v>
      </c>
      <c r="M701" s="311">
        <v>0</v>
      </c>
      <c r="N701" s="312">
        <f>tabItens[[#This Row],[VALOR UNIT.]] * tabItens[[#This Row],[LC]]</f>
        <v>0</v>
      </c>
      <c r="O701" s="313"/>
      <c r="P701" s="314"/>
      <c r="Q701" s="315"/>
      <c r="R701" s="312"/>
      <c r="S701" s="316"/>
      <c r="T701" s="317">
        <f>ROUNDDOWN(IFERROR(tabItens[[#This Row],[ATA DT.VALID.]] - $D$1,0) / 30,0)</f>
        <v>-1474</v>
      </c>
      <c r="U701" s="302" t="s">
        <v>1492</v>
      </c>
      <c r="V701" s="318">
        <v>1</v>
      </c>
      <c r="W701" s="319" t="s">
        <v>2081</v>
      </c>
      <c r="X701" s="320">
        <v>54</v>
      </c>
      <c r="Y701" s="321">
        <v>4</v>
      </c>
      <c r="Z701" s="322"/>
      <c r="AA701" s="323"/>
      <c r="AB701" s="324"/>
      <c r="AC701" s="324"/>
      <c r="AD701" s="323"/>
      <c r="AE701" s="324"/>
      <c r="AF701" s="317"/>
      <c r="AG701" s="325" t="s">
        <v>2072</v>
      </c>
      <c r="AH701" s="326"/>
      <c r="AI701" s="317">
        <v>2</v>
      </c>
      <c r="AJ701" s="326">
        <v>45203</v>
      </c>
      <c r="AK701" s="326">
        <v>43578</v>
      </c>
      <c r="AL701" s="326">
        <v>45142</v>
      </c>
      <c r="AM701" s="316"/>
      <c r="AN701" s="305"/>
      <c r="AO701" s="327" t="str">
        <f>_xlfn.IFNA(IF(VLOOKUP(tabItens[[#This Row],[CÓDIGO]],tabExcluirDoEstoque[#Data],1,FALSE),"sim",""),"")</f>
        <v/>
      </c>
      <c r="AP701" s="328" t="str">
        <f ca="1">IF(OR(ISBLANK(tabItens[[#This Row],[ATA DT.VALID.]]),tabItens[[#This Row],[ATA DT.VALID.]]="",tabItens[[#This Row],[ATA DT.VALID.]]=" "),"",IF(TYPE(tabItens[[#This Row],[ATA DT.VALID.]])=1,ROUNDUP((tabItens[[#This Row],[ATA DT.VALID.]]-TODAY())/7,0),""))</f>
        <v/>
      </c>
      <c r="AQ701" s="329"/>
      <c r="AR701" s="330" t="str">
        <f>IF(ISBLANK(tabItens[[#This Row],[CÓDIGO]]),"",IFERROR(VLOOKUP(tabItens[[#This Row],[CÓDIGO]],Consumo!$C$2:$AC$862,26,FALSE),0))</f>
        <v>01.2023</v>
      </c>
      <c r="AS701" s="331">
        <f>SUMIF(Consumo!$C$3:$C$862,tabItens[[#This Row],[CÓDIGO]],Consumo!$N$3:$N$862) + SUMIF(Consumo!$C$3:$C$862,tabItens[[#This Row],[CÓDIGO]],Consumo!$O$3:$O$862) + SUMIF(Consumo!$C$3:$C$862,tabItens[[#This Row],[CÓDIGO]],Consumo!$P$3:$P$862) + SUMIF(Consumo!$C$3:$C$862,tabItens[[#This Row],[CÓDIGO]],Consumo!$Q$3:$Q$862)</f>
        <v>0</v>
      </c>
      <c r="AT701" s="331">
        <f>SUMIF(Consumo!$C$3:$C$862,tabItens[[#This Row],[CÓDIGO]],Consumo!$Z$3:$Z$862)</f>
        <v>4</v>
      </c>
      <c r="AU701" s="332">
        <f>SUMIF(Consumo!$C$3:$C$862,tabItens[[#This Row],[CÓDIGO]],Consumo!$AA$3:$AA$862)</f>
        <v>2</v>
      </c>
      <c r="AV701" s="333">
        <f>SUMIF(Consumo!$C$3:$C$862,tabItens[[#This Row],[CÓDIGO]],Consumo!$Y$3:$Y$862)</f>
        <v>0.16666666666666666</v>
      </c>
      <c r="AW701" s="306">
        <f>tabItens[[#This Row],[QTDE ATUAL]] + tabItens[[#This Row],[RC QTDE]] + tabItens[[#This Row],[AF SALDO]] + tabItens[[#This Row],[Recentes]]</f>
        <v>66</v>
      </c>
      <c r="AX701" s="334">
        <v>0</v>
      </c>
      <c r="AY701" s="334">
        <v>4</v>
      </c>
      <c r="AZ701" s="334">
        <f>IF(ISBLANK(tabItens[[#This Row],[CÓDIGO]]),"",tabItens[[#This Row],[PontoMês]] * (AZ$2+tabItens[[#This Row],[PontoQtM]]))</f>
        <v>0</v>
      </c>
      <c r="BA701" s="333">
        <f>tabItens[[#This Row],[PontoPed]] - tabItens[[#This Row],[Saldo]] + (1/10)</f>
        <v>-65.900000000000006</v>
      </c>
      <c r="BB701" s="333">
        <f xml:space="preserve"> tabItens[[#This Row],[PontoMês]] * BB$2 - tabItens[[#This Row],[QTDE ATUAL]] - (1/10)</f>
        <v>-66.099999999999994</v>
      </c>
      <c r="BC701" s="335">
        <f>IF( tabItens[[#This Row],[PontoPed]]&gt;0, IF(tabItens[[#This Row],[PontoPed]]&lt;1, 1, IF( tabItens[[#This Row],[Saldo]]&gt;tabItens[[#This Row],[PontoPed]], 0, (tabItens[[#This Row],[PontoPed]]-tabItens[[#This Row],[Saldo]])/tabItens[[#This Row],[PontoPed]] ) ), 0 )</f>
        <v>0</v>
      </c>
      <c r="BD701" s="336">
        <f>ROUNDDOWN(IF( OR( AND(tabItens[[#This Row],[PontoPed]]&lt;tabItens[[#This Row],[Saldo]],tabItens[[#This Row],[Saldo]]&gt;0), tabItens[[#This Row],[PontoPed]]=0), 99, IF(AND(tabItens[[#This Row],[Saldo]]=0,tabItens[[#This Row],[PontoPed]]&gt;0), 0, (1-tabItens[[#This Row],[PctAb]])*10 ) ),0)</f>
        <v>99</v>
      </c>
      <c r="BE701" s="337">
        <f>MAX(ROUNDDOWN( IF(tabItens[[#This Row],[Abaixo]] &gt; 0,   tabItens[[#This Row],[Abaixo]] + (tabItens[[#This Row],[PontoMês]] * IF( OR( ISBLANK(tabItens[[#This Row],[ATA Nº/ANO]]), tabItens[[#This Row],[ATA Nº/ANO]] = ""),BE$2,BE$1)),0),0),0)</f>
        <v>0</v>
      </c>
      <c r="BF70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1" s="338">
        <f>SUMIF(Consumo!$C$3:$C$862,tabItens[[#This Row],[CÓDIGO]],Consumo!$E$3:$E$862)</f>
        <v>0</v>
      </c>
      <c r="BH701" s="339">
        <f>IF(AND(tabItens[[#This Row],[Pend]] &gt; 0,tabItens[[#This Row],[Consumo]] &lt;&gt; 0), tabItens[[#This Row],[Pend]] / tabItens[[#This Row],[Consumo]], 0 )</f>
        <v>0</v>
      </c>
      <c r="BI701" s="338"/>
      <c r="BJ701" s="338"/>
      <c r="BK701" s="340" t="s">
        <v>2086</v>
      </c>
    </row>
    <row r="702" spans="1:63" hidden="1" x14ac:dyDescent="0.3">
      <c r="A702" s="301">
        <v>136855</v>
      </c>
      <c r="B702" s="302" t="s">
        <v>1943</v>
      </c>
      <c r="C702" s="303" t="s">
        <v>436</v>
      </c>
      <c r="D702" s="304">
        <v>6.9</v>
      </c>
      <c r="E702" s="305"/>
      <c r="F702" s="305"/>
      <c r="G702" s="305" t="s">
        <v>889</v>
      </c>
      <c r="H702" s="306">
        <v>80</v>
      </c>
      <c r="I702" s="307">
        <v>103003</v>
      </c>
      <c r="J702" s="308">
        <v>6.9</v>
      </c>
      <c r="K702" s="309">
        <v>3</v>
      </c>
      <c r="L702" s="310">
        <f>IF(tabItens[[#This Row],[Média]] &gt; 0, tabItens[[#This Row],[QTDE ATUAL]] / tabItens[[#This Row],[Média]],999.9)</f>
        <v>960</v>
      </c>
      <c r="M702" s="311">
        <v>0</v>
      </c>
      <c r="N702" s="312">
        <f>tabItens[[#This Row],[VALOR UNIT.]] * tabItens[[#This Row],[LC]]</f>
        <v>0</v>
      </c>
      <c r="O702" s="313"/>
      <c r="P702" s="314"/>
      <c r="Q702" s="315"/>
      <c r="R702" s="312"/>
      <c r="S702" s="316"/>
      <c r="T702" s="317">
        <f>ROUNDDOWN(IFERROR(tabItens[[#This Row],[ATA DT.VALID.]] - $D$1,0) / 30,0)</f>
        <v>-1474</v>
      </c>
      <c r="U702" s="302" t="s">
        <v>1492</v>
      </c>
      <c r="V702" s="318">
        <v>1</v>
      </c>
      <c r="W702" s="319" t="s">
        <v>2081</v>
      </c>
      <c r="X702" s="320">
        <v>54</v>
      </c>
      <c r="Y702" s="321">
        <v>4</v>
      </c>
      <c r="Z702" s="322"/>
      <c r="AA702" s="323"/>
      <c r="AB702" s="324"/>
      <c r="AC702" s="324"/>
      <c r="AD702" s="323"/>
      <c r="AE702" s="324"/>
      <c r="AF702" s="317"/>
      <c r="AG702" s="325" t="s">
        <v>2072</v>
      </c>
      <c r="AH702" s="326"/>
      <c r="AI702" s="317">
        <v>0</v>
      </c>
      <c r="AJ702" s="326">
        <v>43962</v>
      </c>
      <c r="AK702" s="326">
        <v>43578</v>
      </c>
      <c r="AL702" s="326">
        <v>43929</v>
      </c>
      <c r="AM702" s="316"/>
      <c r="AN702" s="305"/>
      <c r="AO702" s="327" t="str">
        <f>_xlfn.IFNA(IF(VLOOKUP(tabItens[[#This Row],[CÓDIGO]],tabExcluirDoEstoque[#Data],1,FALSE),"sim",""),"")</f>
        <v/>
      </c>
      <c r="AP702" s="328" t="str">
        <f ca="1">IF(OR(ISBLANK(tabItens[[#This Row],[ATA DT.VALID.]]),tabItens[[#This Row],[ATA DT.VALID.]]="",tabItens[[#This Row],[ATA DT.VALID.]]=" "),"",IF(TYPE(tabItens[[#This Row],[ATA DT.VALID.]])=1,ROUNDUP((tabItens[[#This Row],[ATA DT.VALID.]]-TODAY())/7,0),""))</f>
        <v/>
      </c>
      <c r="AQ702" s="329"/>
      <c r="AR702" s="330" t="str">
        <f>IF(ISBLANK(tabItens[[#This Row],[CÓDIGO]]),"",IFERROR(VLOOKUP(tabItens[[#This Row],[CÓDIGO]],Consumo!$C$2:$AC$862,26,FALSE),0))</f>
        <v>07.2023</v>
      </c>
      <c r="AS702" s="331">
        <f>SUMIF(Consumo!$C$3:$C$862,tabItens[[#This Row],[CÓDIGO]],Consumo!$N$3:$N$862) + SUMIF(Consumo!$C$3:$C$862,tabItens[[#This Row],[CÓDIGO]],Consumo!$O$3:$O$862) + SUMIF(Consumo!$C$3:$C$862,tabItens[[#This Row],[CÓDIGO]],Consumo!$P$3:$P$862) + SUMIF(Consumo!$C$3:$C$862,tabItens[[#This Row],[CÓDIGO]],Consumo!$Q$3:$Q$862)</f>
        <v>3</v>
      </c>
      <c r="AT702" s="331">
        <f>SUMIF(Consumo!$C$3:$C$862,tabItens[[#This Row],[CÓDIGO]],Consumo!$Z$3:$Z$862)</f>
        <v>3</v>
      </c>
      <c r="AU702" s="332">
        <f>SUMIF(Consumo!$C$3:$C$862,tabItens[[#This Row],[CÓDIGO]],Consumo!$AA$3:$AA$862)</f>
        <v>3</v>
      </c>
      <c r="AV702" s="333">
        <f>SUMIF(Consumo!$C$3:$C$862,tabItens[[#This Row],[CÓDIGO]],Consumo!$Y$3:$Y$862)</f>
        <v>8.3333333333333329E-2</v>
      </c>
      <c r="AW702" s="306">
        <f>tabItens[[#This Row],[QTDE ATUAL]] + tabItens[[#This Row],[RC QTDE]] + tabItens[[#This Row],[AF SALDO]] + tabItens[[#This Row],[Recentes]]</f>
        <v>80</v>
      </c>
      <c r="AX702" s="334">
        <v>2</v>
      </c>
      <c r="AY702" s="334">
        <v>4</v>
      </c>
      <c r="AZ702" s="334">
        <f>IF(ISBLANK(tabItens[[#This Row],[CÓDIGO]]),"",tabItens[[#This Row],[PontoMês]] * (AZ$2+tabItens[[#This Row],[PontoQtM]]))</f>
        <v>8</v>
      </c>
      <c r="BA702" s="333">
        <f>tabItens[[#This Row],[PontoPed]] - tabItens[[#This Row],[Saldo]] + (1/10)</f>
        <v>-71.900000000000006</v>
      </c>
      <c r="BB702" s="333">
        <f xml:space="preserve"> tabItens[[#This Row],[PontoMês]] * BB$2 - tabItens[[#This Row],[QTDE ATUAL]] - (1/10)</f>
        <v>-78.099999999999994</v>
      </c>
      <c r="BC702" s="335">
        <f>IF( tabItens[[#This Row],[PontoPed]]&gt;0, IF(tabItens[[#This Row],[PontoPed]]&lt;1, 1, IF( tabItens[[#This Row],[Saldo]]&gt;tabItens[[#This Row],[PontoPed]], 0, (tabItens[[#This Row],[PontoPed]]-tabItens[[#This Row],[Saldo]])/tabItens[[#This Row],[PontoPed]] ) ), 0 )</f>
        <v>0</v>
      </c>
      <c r="BD702" s="336">
        <f>ROUNDDOWN(IF( OR( AND(tabItens[[#This Row],[PontoPed]]&lt;tabItens[[#This Row],[Saldo]],tabItens[[#This Row],[Saldo]]&gt;0), tabItens[[#This Row],[PontoPed]]=0), 99, IF(AND(tabItens[[#This Row],[Saldo]]=0,tabItens[[#This Row],[PontoPed]]&gt;0), 0, (1-tabItens[[#This Row],[PctAb]])*10 ) ),0)</f>
        <v>99</v>
      </c>
      <c r="BE702" s="337">
        <f>MAX(ROUNDDOWN( IF(tabItens[[#This Row],[Abaixo]] &gt; 0,   tabItens[[#This Row],[Abaixo]] + (tabItens[[#This Row],[PontoMês]] * IF( OR( ISBLANK(tabItens[[#This Row],[ATA Nº/ANO]]), tabItens[[#This Row],[ATA Nº/ANO]] = ""),BE$2,BE$1)),0),0),0)</f>
        <v>0</v>
      </c>
      <c r="BF70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2" s="338">
        <f>SUMIF(Consumo!$C$3:$C$862,tabItens[[#This Row],[CÓDIGO]],Consumo!$E$3:$E$862)</f>
        <v>0</v>
      </c>
      <c r="BH702" s="339">
        <f>IF(AND(tabItens[[#This Row],[Pend]] &gt; 0,tabItens[[#This Row],[Consumo]] &lt;&gt; 0), tabItens[[#This Row],[Pend]] / tabItens[[#This Row],[Consumo]], 0 )</f>
        <v>0</v>
      </c>
      <c r="BI702" s="338"/>
      <c r="BJ702" s="338"/>
      <c r="BK702" s="340" t="s">
        <v>2086</v>
      </c>
    </row>
    <row r="703" spans="1:63" hidden="1" x14ac:dyDescent="0.3">
      <c r="A703" s="301">
        <v>136858</v>
      </c>
      <c r="B703" s="302" t="s">
        <v>1944</v>
      </c>
      <c r="C703" s="303" t="s">
        <v>436</v>
      </c>
      <c r="D703" s="304">
        <v>8.8000000000000007</v>
      </c>
      <c r="E703" s="305"/>
      <c r="F703" s="305"/>
      <c r="G703" s="305" t="s">
        <v>889</v>
      </c>
      <c r="H703" s="306">
        <v>28</v>
      </c>
      <c r="I703" s="307">
        <v>103003</v>
      </c>
      <c r="J703" s="308">
        <v>8.8000000000000007</v>
      </c>
      <c r="K703" s="309"/>
      <c r="L703" s="310">
        <f>IF(tabItens[[#This Row],[Média]] &gt; 0, tabItens[[#This Row],[QTDE ATUAL]] / tabItens[[#This Row],[Média]],999.9)</f>
        <v>999.9</v>
      </c>
      <c r="M703" s="311">
        <v>0</v>
      </c>
      <c r="N703" s="312">
        <f>tabItens[[#This Row],[VALOR UNIT.]] * tabItens[[#This Row],[LC]]</f>
        <v>0</v>
      </c>
      <c r="O703" s="313"/>
      <c r="P703" s="314"/>
      <c r="Q703" s="315"/>
      <c r="R703" s="312"/>
      <c r="S703" s="316"/>
      <c r="T703" s="317">
        <f>ROUNDDOWN(IFERROR(tabItens[[#This Row],[ATA DT.VALID.]] - $D$1,0) / 30,0)</f>
        <v>-1474</v>
      </c>
      <c r="U703" s="302" t="s">
        <v>1492</v>
      </c>
      <c r="V703" s="318">
        <v>1</v>
      </c>
      <c r="W703" s="319" t="s">
        <v>2081</v>
      </c>
      <c r="X703" s="320">
        <v>54</v>
      </c>
      <c r="Y703" s="321">
        <v>4</v>
      </c>
      <c r="Z703" s="322"/>
      <c r="AA703" s="323"/>
      <c r="AB703" s="324"/>
      <c r="AC703" s="324"/>
      <c r="AD703" s="323"/>
      <c r="AE703" s="324"/>
      <c r="AF703" s="317"/>
      <c r="AG703" s="325" t="s">
        <v>2072</v>
      </c>
      <c r="AH703" s="326"/>
      <c r="AI703" s="317">
        <v>0</v>
      </c>
      <c r="AJ703" s="326">
        <v>43965</v>
      </c>
      <c r="AK703" s="326">
        <v>43578</v>
      </c>
      <c r="AL703" s="326">
        <v>43929</v>
      </c>
      <c r="AM703" s="316"/>
      <c r="AN703" s="305"/>
      <c r="AO703" s="327" t="str">
        <f>_xlfn.IFNA(IF(VLOOKUP(tabItens[[#This Row],[CÓDIGO]],tabExcluirDoEstoque[#Data],1,FALSE),"sim",""),"")</f>
        <v/>
      </c>
      <c r="AP703" s="328" t="str">
        <f ca="1">IF(OR(ISBLANK(tabItens[[#This Row],[ATA DT.VALID.]]),tabItens[[#This Row],[ATA DT.VALID.]]="",tabItens[[#This Row],[ATA DT.VALID.]]=" "),"",IF(TYPE(tabItens[[#This Row],[ATA DT.VALID.]])=1,ROUNDUP((tabItens[[#This Row],[ATA DT.VALID.]]-TODAY())/7,0),""))</f>
        <v/>
      </c>
      <c r="AQ703" s="329"/>
      <c r="AR703" s="330">
        <f>IF(ISBLANK(tabItens[[#This Row],[CÓDIGO]]),"",IFERROR(VLOOKUP(tabItens[[#This Row],[CÓDIGO]],Consumo!$C$2:$AC$862,26,FALSE),0))</f>
        <v>0</v>
      </c>
      <c r="AS703" s="331">
        <f>SUMIF(Consumo!$C$3:$C$862,tabItens[[#This Row],[CÓDIGO]],Consumo!$N$3:$N$862) + SUMIF(Consumo!$C$3:$C$862,tabItens[[#This Row],[CÓDIGO]],Consumo!$O$3:$O$862) + SUMIF(Consumo!$C$3:$C$862,tabItens[[#This Row],[CÓDIGO]],Consumo!$P$3:$P$862) + SUMIF(Consumo!$C$3:$C$862,tabItens[[#This Row],[CÓDIGO]],Consumo!$Q$3:$Q$862)</f>
        <v>0</v>
      </c>
      <c r="AT703" s="331">
        <f>SUMIF(Consumo!$C$3:$C$862,tabItens[[#This Row],[CÓDIGO]],Consumo!$Z$3:$Z$862)</f>
        <v>0</v>
      </c>
      <c r="AU703" s="332">
        <f>SUMIF(Consumo!$C$3:$C$862,tabItens[[#This Row],[CÓDIGO]],Consumo!$AA$3:$AA$862)</f>
        <v>0</v>
      </c>
      <c r="AV703" s="333">
        <f>SUMIF(Consumo!$C$3:$C$862,tabItens[[#This Row],[CÓDIGO]],Consumo!$Y$3:$Y$862)</f>
        <v>0</v>
      </c>
      <c r="AW703" s="306">
        <f>tabItens[[#This Row],[QTDE ATUAL]] + tabItens[[#This Row],[RC QTDE]] + tabItens[[#This Row],[AF SALDO]] + tabItens[[#This Row],[Recentes]]</f>
        <v>28</v>
      </c>
      <c r="AX703" s="334">
        <v>0</v>
      </c>
      <c r="AY703" s="334">
        <v>4</v>
      </c>
      <c r="AZ703" s="334">
        <f>IF(ISBLANK(tabItens[[#This Row],[CÓDIGO]]),"",tabItens[[#This Row],[PontoMês]] * (AZ$2+tabItens[[#This Row],[PontoQtM]]))</f>
        <v>0</v>
      </c>
      <c r="BA703" s="333">
        <f>tabItens[[#This Row],[PontoPed]] - tabItens[[#This Row],[Saldo]] + (1/10)</f>
        <v>-27.9</v>
      </c>
      <c r="BB703" s="333">
        <f xml:space="preserve"> tabItens[[#This Row],[PontoMês]] * BB$2 - tabItens[[#This Row],[QTDE ATUAL]] - (1/10)</f>
        <v>-28.1</v>
      </c>
      <c r="BC703" s="335">
        <f>IF( tabItens[[#This Row],[PontoPed]]&gt;0, IF(tabItens[[#This Row],[PontoPed]]&lt;1, 1, IF( tabItens[[#This Row],[Saldo]]&gt;tabItens[[#This Row],[PontoPed]], 0, (tabItens[[#This Row],[PontoPed]]-tabItens[[#This Row],[Saldo]])/tabItens[[#This Row],[PontoPed]] ) ), 0 )</f>
        <v>0</v>
      </c>
      <c r="BD703" s="336">
        <f>ROUNDDOWN(IF( OR( AND(tabItens[[#This Row],[PontoPed]]&lt;tabItens[[#This Row],[Saldo]],tabItens[[#This Row],[Saldo]]&gt;0), tabItens[[#This Row],[PontoPed]]=0), 99, IF(AND(tabItens[[#This Row],[Saldo]]=0,tabItens[[#This Row],[PontoPed]]&gt;0), 0, (1-tabItens[[#This Row],[PctAb]])*10 ) ),0)</f>
        <v>99</v>
      </c>
      <c r="BE703" s="337">
        <f>MAX(ROUNDDOWN( IF(tabItens[[#This Row],[Abaixo]] &gt; 0,   tabItens[[#This Row],[Abaixo]] + (tabItens[[#This Row],[PontoMês]] * IF( OR( ISBLANK(tabItens[[#This Row],[ATA Nº/ANO]]), tabItens[[#This Row],[ATA Nº/ANO]] = ""),BE$2,BE$1)),0),0),0)</f>
        <v>0</v>
      </c>
      <c r="BF70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3" s="338">
        <f>SUMIF(Consumo!$C$3:$C$862,tabItens[[#This Row],[CÓDIGO]],Consumo!$E$3:$E$862)</f>
        <v>0</v>
      </c>
      <c r="BH703" s="339">
        <f>IF(AND(tabItens[[#This Row],[Pend]] &gt; 0,tabItens[[#This Row],[Consumo]] &lt;&gt; 0), tabItens[[#This Row],[Pend]] / tabItens[[#This Row],[Consumo]], 0 )</f>
        <v>0</v>
      </c>
      <c r="BI703" s="338"/>
      <c r="BJ703" s="338"/>
      <c r="BK703" s="340" t="s">
        <v>2086</v>
      </c>
    </row>
    <row r="704" spans="1:63" hidden="1" x14ac:dyDescent="0.3">
      <c r="A704" s="301">
        <v>136859</v>
      </c>
      <c r="B704" s="302" t="s">
        <v>1945</v>
      </c>
      <c r="C704" s="303" t="s">
        <v>263</v>
      </c>
      <c r="D704" s="304">
        <v>30.66</v>
      </c>
      <c r="E704" s="305"/>
      <c r="F704" s="305"/>
      <c r="G704" s="305" t="s">
        <v>889</v>
      </c>
      <c r="H704" s="306">
        <v>44</v>
      </c>
      <c r="I704" s="307">
        <v>103003</v>
      </c>
      <c r="J704" s="308">
        <v>41.119259999999997</v>
      </c>
      <c r="K704" s="309"/>
      <c r="L704" s="310">
        <f>IF(tabItens[[#This Row],[Média]] &gt; 0, tabItens[[#This Row],[QTDE ATUAL]] / tabItens[[#This Row],[Média]],999.9)</f>
        <v>999.9</v>
      </c>
      <c r="M704" s="311">
        <v>0</v>
      </c>
      <c r="N704" s="312">
        <f>tabItens[[#This Row],[VALOR UNIT.]] * tabItens[[#This Row],[LC]]</f>
        <v>0</v>
      </c>
      <c r="O704" s="313"/>
      <c r="P704" s="314"/>
      <c r="Q704" s="315"/>
      <c r="R704" s="312"/>
      <c r="S704" s="316"/>
      <c r="T704" s="317">
        <f>ROUNDDOWN(IFERROR(tabItens[[#This Row],[ATA DT.VALID.]] - $D$1,0) / 30,0)</f>
        <v>-1474</v>
      </c>
      <c r="U704" s="302" t="s">
        <v>1492</v>
      </c>
      <c r="V704" s="318">
        <v>1</v>
      </c>
      <c r="W704" s="319" t="s">
        <v>2081</v>
      </c>
      <c r="X704" s="320">
        <v>54</v>
      </c>
      <c r="Y704" s="321">
        <v>4</v>
      </c>
      <c r="Z704" s="322"/>
      <c r="AA704" s="323"/>
      <c r="AB704" s="324"/>
      <c r="AC704" s="324"/>
      <c r="AD704" s="323"/>
      <c r="AE704" s="324"/>
      <c r="AF704" s="317"/>
      <c r="AG704" s="325" t="s">
        <v>2072</v>
      </c>
      <c r="AH704" s="326"/>
      <c r="AI704" s="317">
        <v>0</v>
      </c>
      <c r="AJ704" s="326">
        <v>43826</v>
      </c>
      <c r="AK704" s="326">
        <v>43578</v>
      </c>
      <c r="AL704" s="326">
        <v>43805</v>
      </c>
      <c r="AM704" s="316"/>
      <c r="AN704" s="305"/>
      <c r="AO704" s="327" t="str">
        <f>_xlfn.IFNA(IF(VLOOKUP(tabItens[[#This Row],[CÓDIGO]],tabExcluirDoEstoque[#Data],1,FALSE),"sim",""),"")</f>
        <v/>
      </c>
      <c r="AP704" s="328" t="str">
        <f ca="1">IF(OR(ISBLANK(tabItens[[#This Row],[ATA DT.VALID.]]),tabItens[[#This Row],[ATA DT.VALID.]]="",tabItens[[#This Row],[ATA DT.VALID.]]=" "),"",IF(TYPE(tabItens[[#This Row],[ATA DT.VALID.]])=1,ROUNDUP((tabItens[[#This Row],[ATA DT.VALID.]]-TODAY())/7,0),""))</f>
        <v/>
      </c>
      <c r="AQ704" s="329"/>
      <c r="AR704" s="330">
        <f>IF(ISBLANK(tabItens[[#This Row],[CÓDIGO]]),"",IFERROR(VLOOKUP(tabItens[[#This Row],[CÓDIGO]],Consumo!$C$2:$AC$862,26,FALSE),0))</f>
        <v>0</v>
      </c>
      <c r="AS704" s="331">
        <f>SUMIF(Consumo!$C$3:$C$862,tabItens[[#This Row],[CÓDIGO]],Consumo!$N$3:$N$862) + SUMIF(Consumo!$C$3:$C$862,tabItens[[#This Row],[CÓDIGO]],Consumo!$O$3:$O$862) + SUMIF(Consumo!$C$3:$C$862,tabItens[[#This Row],[CÓDIGO]],Consumo!$P$3:$P$862) + SUMIF(Consumo!$C$3:$C$862,tabItens[[#This Row],[CÓDIGO]],Consumo!$Q$3:$Q$862)</f>
        <v>0</v>
      </c>
      <c r="AT704" s="331">
        <f>SUMIF(Consumo!$C$3:$C$862,tabItens[[#This Row],[CÓDIGO]],Consumo!$Z$3:$Z$862)</f>
        <v>0</v>
      </c>
      <c r="AU704" s="332">
        <f>SUMIF(Consumo!$C$3:$C$862,tabItens[[#This Row],[CÓDIGO]],Consumo!$AA$3:$AA$862)</f>
        <v>0</v>
      </c>
      <c r="AV704" s="333">
        <f>SUMIF(Consumo!$C$3:$C$862,tabItens[[#This Row],[CÓDIGO]],Consumo!$Y$3:$Y$862)</f>
        <v>0</v>
      </c>
      <c r="AW704" s="306">
        <f>tabItens[[#This Row],[QTDE ATUAL]] + tabItens[[#This Row],[RC QTDE]] + tabItens[[#This Row],[AF SALDO]] + tabItens[[#This Row],[Recentes]]</f>
        <v>44</v>
      </c>
      <c r="AX704" s="334">
        <v>0</v>
      </c>
      <c r="AY704" s="334">
        <v>4</v>
      </c>
      <c r="AZ704" s="334">
        <f>IF(ISBLANK(tabItens[[#This Row],[CÓDIGO]]),"",tabItens[[#This Row],[PontoMês]] * (AZ$2+tabItens[[#This Row],[PontoQtM]]))</f>
        <v>0</v>
      </c>
      <c r="BA704" s="333">
        <f>tabItens[[#This Row],[PontoPed]] - tabItens[[#This Row],[Saldo]] + (1/10)</f>
        <v>-43.9</v>
      </c>
      <c r="BB704" s="333">
        <f xml:space="preserve"> tabItens[[#This Row],[PontoMês]] * BB$2 - tabItens[[#This Row],[QTDE ATUAL]] - (1/10)</f>
        <v>-44.1</v>
      </c>
      <c r="BC704" s="335">
        <f>IF( tabItens[[#This Row],[PontoPed]]&gt;0, IF(tabItens[[#This Row],[PontoPed]]&lt;1, 1, IF( tabItens[[#This Row],[Saldo]]&gt;tabItens[[#This Row],[PontoPed]], 0, (tabItens[[#This Row],[PontoPed]]-tabItens[[#This Row],[Saldo]])/tabItens[[#This Row],[PontoPed]] ) ), 0 )</f>
        <v>0</v>
      </c>
      <c r="BD704" s="336">
        <f>ROUNDDOWN(IF( OR( AND(tabItens[[#This Row],[PontoPed]]&lt;tabItens[[#This Row],[Saldo]],tabItens[[#This Row],[Saldo]]&gt;0), tabItens[[#This Row],[PontoPed]]=0), 99, IF(AND(tabItens[[#This Row],[Saldo]]=0,tabItens[[#This Row],[PontoPed]]&gt;0), 0, (1-tabItens[[#This Row],[PctAb]])*10 ) ),0)</f>
        <v>99</v>
      </c>
      <c r="BE704" s="337">
        <f>MAX(ROUNDDOWN( IF(tabItens[[#This Row],[Abaixo]] &gt; 0,   tabItens[[#This Row],[Abaixo]] + (tabItens[[#This Row],[PontoMês]] * IF( OR( ISBLANK(tabItens[[#This Row],[ATA Nº/ANO]]), tabItens[[#This Row],[ATA Nº/ANO]] = ""),BE$2,BE$1)),0),0),0)</f>
        <v>0</v>
      </c>
      <c r="BF70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4" s="338">
        <f>SUMIF(Consumo!$C$3:$C$862,tabItens[[#This Row],[CÓDIGO]],Consumo!$E$3:$E$862)</f>
        <v>0</v>
      </c>
      <c r="BH704" s="339">
        <f>IF(AND(tabItens[[#This Row],[Pend]] &gt; 0,tabItens[[#This Row],[Consumo]] &lt;&gt; 0), tabItens[[#This Row],[Pend]] / tabItens[[#This Row],[Consumo]], 0 )</f>
        <v>0</v>
      </c>
      <c r="BI704" s="338"/>
      <c r="BJ704" s="338"/>
      <c r="BK704" s="340" t="s">
        <v>2086</v>
      </c>
    </row>
    <row r="705" spans="1:63" hidden="1" x14ac:dyDescent="0.3">
      <c r="A705" s="301">
        <v>136860</v>
      </c>
      <c r="B705" s="302" t="s">
        <v>1946</v>
      </c>
      <c r="C705" s="303" t="s">
        <v>263</v>
      </c>
      <c r="D705" s="304">
        <v>26.14</v>
      </c>
      <c r="E705" s="305"/>
      <c r="F705" s="305"/>
      <c r="G705" s="305" t="s">
        <v>889</v>
      </c>
      <c r="H705" s="306">
        <v>9</v>
      </c>
      <c r="I705" s="307">
        <v>103003</v>
      </c>
      <c r="J705" s="308">
        <v>26.14</v>
      </c>
      <c r="K705" s="309">
        <v>2</v>
      </c>
      <c r="L705" s="310">
        <f>IF(tabItens[[#This Row],[Média]] &gt; 0, tabItens[[#This Row],[QTDE ATUAL]] / tabItens[[#This Row],[Média]],999.9)</f>
        <v>999.9</v>
      </c>
      <c r="M705" s="311">
        <v>0</v>
      </c>
      <c r="N705" s="312">
        <f>tabItens[[#This Row],[VALOR UNIT.]] * tabItens[[#This Row],[LC]]</f>
        <v>0</v>
      </c>
      <c r="O705" s="313"/>
      <c r="P705" s="314"/>
      <c r="Q705" s="315"/>
      <c r="R705" s="312"/>
      <c r="S705" s="316"/>
      <c r="T705" s="317">
        <f>ROUNDDOWN(IFERROR(tabItens[[#This Row],[ATA DT.VALID.]] - $D$1,0) / 30,0)</f>
        <v>-1474</v>
      </c>
      <c r="U705" s="302" t="s">
        <v>1492</v>
      </c>
      <c r="V705" s="318">
        <v>1</v>
      </c>
      <c r="W705" s="319" t="s">
        <v>2081</v>
      </c>
      <c r="X705" s="320">
        <v>54</v>
      </c>
      <c r="Y705" s="321">
        <v>4</v>
      </c>
      <c r="Z705" s="322"/>
      <c r="AA705" s="323"/>
      <c r="AB705" s="324"/>
      <c r="AC705" s="324"/>
      <c r="AD705" s="323"/>
      <c r="AE705" s="324"/>
      <c r="AF705" s="317"/>
      <c r="AG705" s="325" t="s">
        <v>2072</v>
      </c>
      <c r="AH705" s="326"/>
      <c r="AI705" s="317">
        <v>0</v>
      </c>
      <c r="AJ705" s="326">
        <v>43819</v>
      </c>
      <c r="AK705" s="326">
        <v>43578</v>
      </c>
      <c r="AL705" s="326">
        <v>43780</v>
      </c>
      <c r="AM705" s="316"/>
      <c r="AN705" s="305"/>
      <c r="AO705" s="327" t="str">
        <f>_xlfn.IFNA(IF(VLOOKUP(tabItens[[#This Row],[CÓDIGO]],tabExcluirDoEstoque[#Data],1,FALSE),"sim",""),"")</f>
        <v/>
      </c>
      <c r="AP705" s="328" t="str">
        <f ca="1">IF(OR(ISBLANK(tabItens[[#This Row],[ATA DT.VALID.]]),tabItens[[#This Row],[ATA DT.VALID.]]="",tabItens[[#This Row],[ATA DT.VALID.]]=" "),"",IF(TYPE(tabItens[[#This Row],[ATA DT.VALID.]])=1,ROUNDUP((tabItens[[#This Row],[ATA DT.VALID.]]-TODAY())/7,0),""))</f>
        <v/>
      </c>
      <c r="AQ705" s="329"/>
      <c r="AR705" s="330" t="str">
        <f>IF(ISBLANK(tabItens[[#This Row],[CÓDIGO]]),"",IFERROR(VLOOKUP(tabItens[[#This Row],[CÓDIGO]],Consumo!$C$2:$AC$862,26,FALSE),0))</f>
        <v>01.2023</v>
      </c>
      <c r="AS705" s="331">
        <f>SUMIF(Consumo!$C$3:$C$862,tabItens[[#This Row],[CÓDIGO]],Consumo!$N$3:$N$862) + SUMIF(Consumo!$C$3:$C$862,tabItens[[#This Row],[CÓDIGO]],Consumo!$O$3:$O$862) + SUMIF(Consumo!$C$3:$C$862,tabItens[[#This Row],[CÓDIGO]],Consumo!$P$3:$P$862) + SUMIF(Consumo!$C$3:$C$862,tabItens[[#This Row],[CÓDIGO]],Consumo!$Q$3:$Q$862)</f>
        <v>0</v>
      </c>
      <c r="AT705" s="331">
        <f>SUMIF(Consumo!$C$3:$C$862,tabItens[[#This Row],[CÓDIGO]],Consumo!$Z$3:$Z$862)</f>
        <v>2</v>
      </c>
      <c r="AU705" s="332">
        <f>SUMIF(Consumo!$C$3:$C$862,tabItens[[#This Row],[CÓDIGO]],Consumo!$AA$3:$AA$862)</f>
        <v>1</v>
      </c>
      <c r="AV705" s="333">
        <f>SUMIF(Consumo!$C$3:$C$862,tabItens[[#This Row],[CÓDIGO]],Consumo!$Y$3:$Y$862)</f>
        <v>0</v>
      </c>
      <c r="AW705" s="306">
        <f>tabItens[[#This Row],[QTDE ATUAL]] + tabItens[[#This Row],[RC QTDE]] + tabItens[[#This Row],[AF SALDO]] + tabItens[[#This Row],[Recentes]]</f>
        <v>9</v>
      </c>
      <c r="AX705" s="334">
        <v>0</v>
      </c>
      <c r="AY705" s="334">
        <v>4</v>
      </c>
      <c r="AZ705" s="334">
        <f>IF(ISBLANK(tabItens[[#This Row],[CÓDIGO]]),"",tabItens[[#This Row],[PontoMês]] * (AZ$2+tabItens[[#This Row],[PontoQtM]]))</f>
        <v>0</v>
      </c>
      <c r="BA705" s="333">
        <f>tabItens[[#This Row],[PontoPed]] - tabItens[[#This Row],[Saldo]] + (1/10)</f>
        <v>-8.9</v>
      </c>
      <c r="BB705" s="333">
        <f xml:space="preserve"> tabItens[[#This Row],[PontoMês]] * BB$2 - tabItens[[#This Row],[QTDE ATUAL]] - (1/10)</f>
        <v>-9.1</v>
      </c>
      <c r="BC705" s="335">
        <f>IF( tabItens[[#This Row],[PontoPed]]&gt;0, IF(tabItens[[#This Row],[PontoPed]]&lt;1, 1, IF( tabItens[[#This Row],[Saldo]]&gt;tabItens[[#This Row],[PontoPed]], 0, (tabItens[[#This Row],[PontoPed]]-tabItens[[#This Row],[Saldo]])/tabItens[[#This Row],[PontoPed]] ) ), 0 )</f>
        <v>0</v>
      </c>
      <c r="BD705" s="336">
        <f>ROUNDDOWN(IF( OR( AND(tabItens[[#This Row],[PontoPed]]&lt;tabItens[[#This Row],[Saldo]],tabItens[[#This Row],[Saldo]]&gt;0), tabItens[[#This Row],[PontoPed]]=0), 99, IF(AND(tabItens[[#This Row],[Saldo]]=0,tabItens[[#This Row],[PontoPed]]&gt;0), 0, (1-tabItens[[#This Row],[PctAb]])*10 ) ),0)</f>
        <v>99</v>
      </c>
      <c r="BE705" s="337">
        <f>MAX(ROUNDDOWN( IF(tabItens[[#This Row],[Abaixo]] &gt; 0,   tabItens[[#This Row],[Abaixo]] + (tabItens[[#This Row],[PontoMês]] * IF( OR( ISBLANK(tabItens[[#This Row],[ATA Nº/ANO]]), tabItens[[#This Row],[ATA Nº/ANO]] = ""),BE$2,BE$1)),0),0),0)</f>
        <v>0</v>
      </c>
      <c r="BF70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5" s="338">
        <f>SUMIF(Consumo!$C$3:$C$862,tabItens[[#This Row],[CÓDIGO]],Consumo!$E$3:$E$862)</f>
        <v>0</v>
      </c>
      <c r="BH705" s="339">
        <f>IF(AND(tabItens[[#This Row],[Pend]] &gt; 0,tabItens[[#This Row],[Consumo]] &lt;&gt; 0), tabItens[[#This Row],[Pend]] / tabItens[[#This Row],[Consumo]], 0 )</f>
        <v>0</v>
      </c>
      <c r="BI705" s="338"/>
      <c r="BJ705" s="338"/>
      <c r="BK705" s="340" t="s">
        <v>2086</v>
      </c>
    </row>
    <row r="706" spans="1:63" hidden="1" x14ac:dyDescent="0.3">
      <c r="A706" s="301">
        <v>136876</v>
      </c>
      <c r="B706" s="302" t="s">
        <v>1947</v>
      </c>
      <c r="C706" s="303" t="s">
        <v>31</v>
      </c>
      <c r="D706" s="304">
        <v>278.92</v>
      </c>
      <c r="E706" s="305"/>
      <c r="F706" s="305"/>
      <c r="G706" s="305" t="s">
        <v>889</v>
      </c>
      <c r="H706" s="306">
        <v>1</v>
      </c>
      <c r="I706" s="307">
        <v>103003</v>
      </c>
      <c r="J706" s="308">
        <v>278.92</v>
      </c>
      <c r="K706" s="309"/>
      <c r="L706" s="310">
        <f>IF(tabItens[[#This Row],[Média]] &gt; 0, tabItens[[#This Row],[QTDE ATUAL]] / tabItens[[#This Row],[Média]],999.9)</f>
        <v>999.9</v>
      </c>
      <c r="M706" s="311">
        <v>0</v>
      </c>
      <c r="N706" s="312">
        <f>tabItens[[#This Row],[VALOR UNIT.]] * tabItens[[#This Row],[LC]]</f>
        <v>0</v>
      </c>
      <c r="O706" s="313"/>
      <c r="P706" s="314"/>
      <c r="Q706" s="315"/>
      <c r="R706" s="312"/>
      <c r="S706" s="316"/>
      <c r="T706" s="317">
        <f>ROUNDDOWN(IFERROR(tabItens[[#This Row],[ATA DT.VALID.]] - $D$1,0) / 30,0)</f>
        <v>-1474</v>
      </c>
      <c r="U706" s="302" t="s">
        <v>1492</v>
      </c>
      <c r="V706" s="318">
        <v>1</v>
      </c>
      <c r="W706" s="319" t="s">
        <v>2081</v>
      </c>
      <c r="X706" s="320">
        <v>54</v>
      </c>
      <c r="Y706" s="321">
        <v>4</v>
      </c>
      <c r="Z706" s="322">
        <v>2919</v>
      </c>
      <c r="AA706" s="323">
        <v>2023</v>
      </c>
      <c r="AB706" s="324">
        <v>5</v>
      </c>
      <c r="AC706" s="324"/>
      <c r="AD706" s="323"/>
      <c r="AE706" s="324"/>
      <c r="AF706" s="317"/>
      <c r="AG706" s="325" t="s">
        <v>2072</v>
      </c>
      <c r="AH706" s="326"/>
      <c r="AI706" s="317">
        <v>0</v>
      </c>
      <c r="AJ706" s="326">
        <v>43945</v>
      </c>
      <c r="AK706" s="326">
        <v>43580</v>
      </c>
      <c r="AL706" s="326">
        <v>44594</v>
      </c>
      <c r="AM706" s="316"/>
      <c r="AN706" s="305"/>
      <c r="AO706" s="327" t="str">
        <f>_xlfn.IFNA(IF(VLOOKUP(tabItens[[#This Row],[CÓDIGO]],tabExcluirDoEstoque[#Data],1,FALSE),"sim",""),"")</f>
        <v/>
      </c>
      <c r="AP706" s="328" t="str">
        <f ca="1">IF(OR(ISBLANK(tabItens[[#This Row],[ATA DT.VALID.]]),tabItens[[#This Row],[ATA DT.VALID.]]="",tabItens[[#This Row],[ATA DT.VALID.]]=" "),"",IF(TYPE(tabItens[[#This Row],[ATA DT.VALID.]])=1,ROUNDUP((tabItens[[#This Row],[ATA DT.VALID.]]-TODAY())/7,0),""))</f>
        <v/>
      </c>
      <c r="AQ706" s="329"/>
      <c r="AR706" s="330">
        <f>IF(ISBLANK(tabItens[[#This Row],[CÓDIGO]]),"",IFERROR(VLOOKUP(tabItens[[#This Row],[CÓDIGO]],Consumo!$C$2:$AC$862,26,FALSE),0))</f>
        <v>0</v>
      </c>
      <c r="AS706" s="331">
        <f>SUMIF(Consumo!$C$3:$C$862,tabItens[[#This Row],[CÓDIGO]],Consumo!$N$3:$N$862) + SUMIF(Consumo!$C$3:$C$862,tabItens[[#This Row],[CÓDIGO]],Consumo!$O$3:$O$862) + SUMIF(Consumo!$C$3:$C$862,tabItens[[#This Row],[CÓDIGO]],Consumo!$P$3:$P$862) + SUMIF(Consumo!$C$3:$C$862,tabItens[[#This Row],[CÓDIGO]],Consumo!$Q$3:$Q$862)</f>
        <v>0</v>
      </c>
      <c r="AT706" s="331">
        <f>SUMIF(Consumo!$C$3:$C$862,tabItens[[#This Row],[CÓDIGO]],Consumo!$Z$3:$Z$862)</f>
        <v>0</v>
      </c>
      <c r="AU706" s="332">
        <f>SUMIF(Consumo!$C$3:$C$862,tabItens[[#This Row],[CÓDIGO]],Consumo!$AA$3:$AA$862)</f>
        <v>0</v>
      </c>
      <c r="AV706" s="333">
        <f>SUMIF(Consumo!$C$3:$C$862,tabItens[[#This Row],[CÓDIGO]],Consumo!$Y$3:$Y$862)</f>
        <v>0</v>
      </c>
      <c r="AW706" s="306">
        <f>tabItens[[#This Row],[QTDE ATUAL]] + tabItens[[#This Row],[RC QTDE]] + tabItens[[#This Row],[AF SALDO]] + tabItens[[#This Row],[Recentes]]</f>
        <v>6</v>
      </c>
      <c r="AX706" s="334">
        <v>0</v>
      </c>
      <c r="AY706" s="334">
        <v>4</v>
      </c>
      <c r="AZ706" s="334">
        <f>IF(ISBLANK(tabItens[[#This Row],[CÓDIGO]]),"",tabItens[[#This Row],[PontoMês]] * (AZ$2+tabItens[[#This Row],[PontoQtM]]))</f>
        <v>0</v>
      </c>
      <c r="BA706" s="333">
        <f>tabItens[[#This Row],[PontoPed]] - tabItens[[#This Row],[Saldo]] + (1/10)</f>
        <v>-5.9</v>
      </c>
      <c r="BB706" s="333">
        <f xml:space="preserve"> tabItens[[#This Row],[PontoMês]] * BB$2 - tabItens[[#This Row],[QTDE ATUAL]] - (1/10)</f>
        <v>-1.1000000000000001</v>
      </c>
      <c r="BC706" s="335">
        <f>IF( tabItens[[#This Row],[PontoPed]]&gt;0, IF(tabItens[[#This Row],[PontoPed]]&lt;1, 1, IF( tabItens[[#This Row],[Saldo]]&gt;tabItens[[#This Row],[PontoPed]], 0, (tabItens[[#This Row],[PontoPed]]-tabItens[[#This Row],[Saldo]])/tabItens[[#This Row],[PontoPed]] ) ), 0 )</f>
        <v>0</v>
      </c>
      <c r="BD706" s="336">
        <f>ROUNDDOWN(IF( OR( AND(tabItens[[#This Row],[PontoPed]]&lt;tabItens[[#This Row],[Saldo]],tabItens[[#This Row],[Saldo]]&gt;0), tabItens[[#This Row],[PontoPed]]=0), 99, IF(AND(tabItens[[#This Row],[Saldo]]=0,tabItens[[#This Row],[PontoPed]]&gt;0), 0, (1-tabItens[[#This Row],[PctAb]])*10 ) ),0)</f>
        <v>99</v>
      </c>
      <c r="BE706" s="337">
        <f>MAX(ROUNDDOWN( IF(tabItens[[#This Row],[Abaixo]] &gt; 0,   tabItens[[#This Row],[Abaixo]] + (tabItens[[#This Row],[PontoMês]] * IF( OR( ISBLANK(tabItens[[#This Row],[ATA Nº/ANO]]), tabItens[[#This Row],[ATA Nº/ANO]] = ""),BE$2,BE$1)),0),0),0)</f>
        <v>0</v>
      </c>
      <c r="BF70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6" s="338">
        <f>SUMIF(Consumo!$C$3:$C$862,tabItens[[#This Row],[CÓDIGO]],Consumo!$E$3:$E$862)</f>
        <v>0</v>
      </c>
      <c r="BH706" s="339">
        <f>IF(AND(tabItens[[#This Row],[Pend]] &gt; 0,tabItens[[#This Row],[Consumo]] &lt;&gt; 0), tabItens[[#This Row],[Pend]] / tabItens[[#This Row],[Consumo]], 0 )</f>
        <v>0</v>
      </c>
      <c r="BI706" s="338"/>
      <c r="BJ706" s="338"/>
      <c r="BK706" s="340" t="s">
        <v>2086</v>
      </c>
    </row>
    <row r="707" spans="1:63" hidden="1" x14ac:dyDescent="0.3">
      <c r="A707" s="301">
        <v>136877</v>
      </c>
      <c r="B707" s="302" t="s">
        <v>1948</v>
      </c>
      <c r="C707" s="303" t="s">
        <v>31</v>
      </c>
      <c r="D707" s="304">
        <v>9.9</v>
      </c>
      <c r="E707" s="305"/>
      <c r="F707" s="305"/>
      <c r="G707" s="305" t="s">
        <v>889</v>
      </c>
      <c r="H707" s="306">
        <v>13</v>
      </c>
      <c r="I707" s="307">
        <v>103003</v>
      </c>
      <c r="J707" s="308">
        <v>9.9</v>
      </c>
      <c r="K707" s="309"/>
      <c r="L707" s="310">
        <f>IF(tabItens[[#This Row],[Média]] &gt; 0, tabItens[[#This Row],[QTDE ATUAL]] / tabItens[[#This Row],[Média]],999.9)</f>
        <v>999.9</v>
      </c>
      <c r="M707" s="311">
        <v>0</v>
      </c>
      <c r="N707" s="312">
        <f>tabItens[[#This Row],[VALOR UNIT.]] * tabItens[[#This Row],[LC]]</f>
        <v>0</v>
      </c>
      <c r="O707" s="313"/>
      <c r="P707" s="314"/>
      <c r="Q707" s="315"/>
      <c r="R707" s="312"/>
      <c r="S707" s="316"/>
      <c r="T707" s="317">
        <f>ROUNDDOWN(IFERROR(tabItens[[#This Row],[ATA DT.VALID.]] - $D$1,0) / 30,0)</f>
        <v>-1474</v>
      </c>
      <c r="U707" s="302" t="s">
        <v>1492</v>
      </c>
      <c r="V707" s="318">
        <v>1</v>
      </c>
      <c r="W707" s="319" t="s">
        <v>2081</v>
      </c>
      <c r="X707" s="320">
        <v>54</v>
      </c>
      <c r="Y707" s="321">
        <v>4</v>
      </c>
      <c r="Z707" s="322"/>
      <c r="AA707" s="323"/>
      <c r="AB707" s="324"/>
      <c r="AC707" s="324"/>
      <c r="AD707" s="323"/>
      <c r="AE707" s="324"/>
      <c r="AF707" s="317"/>
      <c r="AG707" s="325" t="s">
        <v>2072</v>
      </c>
      <c r="AH707" s="326"/>
      <c r="AI707" s="317">
        <v>0</v>
      </c>
      <c r="AJ707" s="326">
        <v>43955</v>
      </c>
      <c r="AK707" s="326">
        <v>43580</v>
      </c>
      <c r="AL707" s="326">
        <v>43929</v>
      </c>
      <c r="AM707" s="316"/>
      <c r="AN707" s="305"/>
      <c r="AO707" s="327" t="str">
        <f>_xlfn.IFNA(IF(VLOOKUP(tabItens[[#This Row],[CÓDIGO]],tabExcluirDoEstoque[#Data],1,FALSE),"sim",""),"")</f>
        <v/>
      </c>
      <c r="AP707" s="328" t="str">
        <f ca="1">IF(OR(ISBLANK(tabItens[[#This Row],[ATA DT.VALID.]]),tabItens[[#This Row],[ATA DT.VALID.]]="",tabItens[[#This Row],[ATA DT.VALID.]]=" "),"",IF(TYPE(tabItens[[#This Row],[ATA DT.VALID.]])=1,ROUNDUP((tabItens[[#This Row],[ATA DT.VALID.]]-TODAY())/7,0),""))</f>
        <v/>
      </c>
      <c r="AQ707" s="329"/>
      <c r="AR707" s="330">
        <f>IF(ISBLANK(tabItens[[#This Row],[CÓDIGO]]),"",IFERROR(VLOOKUP(tabItens[[#This Row],[CÓDIGO]],Consumo!$C$2:$AC$862,26,FALSE),0))</f>
        <v>0</v>
      </c>
      <c r="AS707" s="331">
        <f>SUMIF(Consumo!$C$3:$C$862,tabItens[[#This Row],[CÓDIGO]],Consumo!$N$3:$N$862) + SUMIF(Consumo!$C$3:$C$862,tabItens[[#This Row],[CÓDIGO]],Consumo!$O$3:$O$862) + SUMIF(Consumo!$C$3:$C$862,tabItens[[#This Row],[CÓDIGO]],Consumo!$P$3:$P$862) + SUMIF(Consumo!$C$3:$C$862,tabItens[[#This Row],[CÓDIGO]],Consumo!$Q$3:$Q$862)</f>
        <v>0</v>
      </c>
      <c r="AT707" s="331">
        <f>SUMIF(Consumo!$C$3:$C$862,tabItens[[#This Row],[CÓDIGO]],Consumo!$Z$3:$Z$862)</f>
        <v>0</v>
      </c>
      <c r="AU707" s="332">
        <f>SUMIF(Consumo!$C$3:$C$862,tabItens[[#This Row],[CÓDIGO]],Consumo!$AA$3:$AA$862)</f>
        <v>0</v>
      </c>
      <c r="AV707" s="333">
        <f>SUMIF(Consumo!$C$3:$C$862,tabItens[[#This Row],[CÓDIGO]],Consumo!$Y$3:$Y$862)</f>
        <v>0</v>
      </c>
      <c r="AW707" s="306">
        <f>tabItens[[#This Row],[QTDE ATUAL]] + tabItens[[#This Row],[RC QTDE]] + tabItens[[#This Row],[AF SALDO]] + tabItens[[#This Row],[Recentes]]</f>
        <v>13</v>
      </c>
      <c r="AX707" s="334">
        <v>1</v>
      </c>
      <c r="AY707" s="334">
        <v>4</v>
      </c>
      <c r="AZ707" s="334">
        <f>IF(ISBLANK(tabItens[[#This Row],[CÓDIGO]]),"",tabItens[[#This Row],[PontoMês]] * (AZ$2+tabItens[[#This Row],[PontoQtM]]))</f>
        <v>4</v>
      </c>
      <c r="BA707" s="333">
        <f>tabItens[[#This Row],[PontoPed]] - tabItens[[#This Row],[Saldo]] + (1/10)</f>
        <v>-8.9</v>
      </c>
      <c r="BB707" s="333">
        <f xml:space="preserve"> tabItens[[#This Row],[PontoMês]] * BB$2 - tabItens[[#This Row],[QTDE ATUAL]] - (1/10)</f>
        <v>-12.1</v>
      </c>
      <c r="BC707" s="335">
        <f>IF( tabItens[[#This Row],[PontoPed]]&gt;0, IF(tabItens[[#This Row],[PontoPed]]&lt;1, 1, IF( tabItens[[#This Row],[Saldo]]&gt;tabItens[[#This Row],[PontoPed]], 0, (tabItens[[#This Row],[PontoPed]]-tabItens[[#This Row],[Saldo]])/tabItens[[#This Row],[PontoPed]] ) ), 0 )</f>
        <v>0</v>
      </c>
      <c r="BD707" s="336">
        <f>ROUNDDOWN(IF( OR( AND(tabItens[[#This Row],[PontoPed]]&lt;tabItens[[#This Row],[Saldo]],tabItens[[#This Row],[Saldo]]&gt;0), tabItens[[#This Row],[PontoPed]]=0), 99, IF(AND(tabItens[[#This Row],[Saldo]]=0,tabItens[[#This Row],[PontoPed]]&gt;0), 0, (1-tabItens[[#This Row],[PctAb]])*10 ) ),0)</f>
        <v>99</v>
      </c>
      <c r="BE707" s="337">
        <f>MAX(ROUNDDOWN( IF(tabItens[[#This Row],[Abaixo]] &gt; 0,   tabItens[[#This Row],[Abaixo]] + (tabItens[[#This Row],[PontoMês]] * IF( OR( ISBLANK(tabItens[[#This Row],[ATA Nº/ANO]]), tabItens[[#This Row],[ATA Nº/ANO]] = ""),BE$2,BE$1)),0),0),0)</f>
        <v>0</v>
      </c>
      <c r="BF70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7" s="338">
        <f>SUMIF(Consumo!$C$3:$C$862,tabItens[[#This Row],[CÓDIGO]],Consumo!$E$3:$E$862)</f>
        <v>0</v>
      </c>
      <c r="BH707" s="339">
        <f>IF(AND(tabItens[[#This Row],[Pend]] &gt; 0,tabItens[[#This Row],[Consumo]] &lt;&gt; 0), tabItens[[#This Row],[Pend]] / tabItens[[#This Row],[Consumo]], 0 )</f>
        <v>0</v>
      </c>
      <c r="BI707" s="338"/>
      <c r="BJ707" s="338"/>
      <c r="BK707" s="340" t="s">
        <v>2086</v>
      </c>
    </row>
    <row r="708" spans="1:63" hidden="1" x14ac:dyDescent="0.3">
      <c r="A708" s="301">
        <v>136880</v>
      </c>
      <c r="B708" s="302" t="s">
        <v>1949</v>
      </c>
      <c r="C708" s="303" t="s">
        <v>263</v>
      </c>
      <c r="D708" s="304">
        <v>18.32</v>
      </c>
      <c r="E708" s="305"/>
      <c r="F708" s="305"/>
      <c r="G708" s="305" t="s">
        <v>889</v>
      </c>
      <c r="H708" s="306">
        <v>0</v>
      </c>
      <c r="I708" s="307">
        <v>103003</v>
      </c>
      <c r="J708" s="308">
        <v>18.32</v>
      </c>
      <c r="K708" s="309">
        <v>35</v>
      </c>
      <c r="L708" s="310">
        <f>IF(tabItens[[#This Row],[Média]] &gt; 0, tabItens[[#This Row],[QTDE ATUAL]] / tabItens[[#This Row],[Média]],999.9)</f>
        <v>0</v>
      </c>
      <c r="M708" s="311">
        <v>0</v>
      </c>
      <c r="N708" s="312">
        <f>tabItens[[#This Row],[VALOR UNIT.]] * tabItens[[#This Row],[LC]]</f>
        <v>0</v>
      </c>
      <c r="O708" s="313"/>
      <c r="P708" s="314"/>
      <c r="Q708" s="315"/>
      <c r="R708" s="312"/>
      <c r="S708" s="316"/>
      <c r="T708" s="317">
        <f>ROUNDDOWN(IFERROR(tabItens[[#This Row],[ATA DT.VALID.]] - $D$1,0) / 30,0)</f>
        <v>-1474</v>
      </c>
      <c r="U708" s="302" t="s">
        <v>1492</v>
      </c>
      <c r="V708" s="318">
        <v>1</v>
      </c>
      <c r="W708" s="319" t="s">
        <v>2081</v>
      </c>
      <c r="X708" s="320">
        <v>54</v>
      </c>
      <c r="Y708" s="321">
        <v>4</v>
      </c>
      <c r="Z708" s="322">
        <v>2813</v>
      </c>
      <c r="AA708" s="323">
        <v>2023</v>
      </c>
      <c r="AB708" s="324">
        <v>30</v>
      </c>
      <c r="AC708" s="324"/>
      <c r="AD708" s="323"/>
      <c r="AE708" s="324"/>
      <c r="AF708" s="317"/>
      <c r="AG708" s="325" t="s">
        <v>2072</v>
      </c>
      <c r="AH708" s="326"/>
      <c r="AI708" s="317">
        <v>12</v>
      </c>
      <c r="AJ708" s="326">
        <v>43819</v>
      </c>
      <c r="AK708" s="326">
        <v>43580</v>
      </c>
      <c r="AL708" s="326">
        <v>45056</v>
      </c>
      <c r="AM708" s="316"/>
      <c r="AN708" s="305"/>
      <c r="AO708" s="327" t="str">
        <f>_xlfn.IFNA(IF(VLOOKUP(tabItens[[#This Row],[CÓDIGO]],tabExcluirDoEstoque[#Data],1,FALSE),"sim",""),"")</f>
        <v/>
      </c>
      <c r="AP708" s="328" t="str">
        <f ca="1">IF(OR(ISBLANK(tabItens[[#This Row],[ATA DT.VALID.]]),tabItens[[#This Row],[ATA DT.VALID.]]="",tabItens[[#This Row],[ATA DT.VALID.]]=" "),"",IF(TYPE(tabItens[[#This Row],[ATA DT.VALID.]])=1,ROUNDUP((tabItens[[#This Row],[ATA DT.VALID.]]-TODAY())/7,0),""))</f>
        <v/>
      </c>
      <c r="AQ708" s="329"/>
      <c r="AR708" s="330" t="str">
        <f>IF(ISBLANK(tabItens[[#This Row],[CÓDIGO]]),"",IFERROR(VLOOKUP(tabItens[[#This Row],[CÓDIGO]],Consumo!$C$2:$AC$862,26,FALSE),0))</f>
        <v>09.2023</v>
      </c>
      <c r="AS708" s="331">
        <f>SUMIF(Consumo!$C$3:$C$862,tabItens[[#This Row],[CÓDIGO]],Consumo!$N$3:$N$862) + SUMIF(Consumo!$C$3:$C$862,tabItens[[#This Row],[CÓDIGO]],Consumo!$O$3:$O$862) + SUMIF(Consumo!$C$3:$C$862,tabItens[[#This Row],[CÓDIGO]],Consumo!$P$3:$P$862) + SUMIF(Consumo!$C$3:$C$862,tabItens[[#This Row],[CÓDIGO]],Consumo!$Q$3:$Q$862)</f>
        <v>17</v>
      </c>
      <c r="AT708" s="331">
        <f>SUMIF(Consumo!$C$3:$C$862,tabItens[[#This Row],[CÓDIGO]],Consumo!$Z$3:$Z$862)</f>
        <v>43</v>
      </c>
      <c r="AU708" s="332">
        <f>SUMIF(Consumo!$C$3:$C$862,tabItens[[#This Row],[CÓDIGO]],Consumo!$AA$3:$AA$862)</f>
        <v>17</v>
      </c>
      <c r="AV708" s="333">
        <f>SUMIF(Consumo!$C$3:$C$862,tabItens[[#This Row],[CÓDIGO]],Consumo!$Y$3:$Y$862)</f>
        <v>3.3333333333333335</v>
      </c>
      <c r="AW708" s="306">
        <f>tabItens[[#This Row],[QTDE ATUAL]] + tabItens[[#This Row],[RC QTDE]] + tabItens[[#This Row],[AF SALDO]] + tabItens[[#This Row],[Recentes]]</f>
        <v>30</v>
      </c>
      <c r="AX708" s="334">
        <v>0</v>
      </c>
      <c r="AY708" s="334">
        <v>4</v>
      </c>
      <c r="AZ708" s="334">
        <f>IF(ISBLANK(tabItens[[#This Row],[CÓDIGO]]),"",tabItens[[#This Row],[PontoMês]] * (AZ$2+tabItens[[#This Row],[PontoQtM]]))</f>
        <v>0</v>
      </c>
      <c r="BA708" s="333">
        <f>tabItens[[#This Row],[PontoPed]] - tabItens[[#This Row],[Saldo]] + (1/10)</f>
        <v>-29.9</v>
      </c>
      <c r="BB708" s="333">
        <f xml:space="preserve"> tabItens[[#This Row],[PontoMês]] * BB$2 - tabItens[[#This Row],[QTDE ATUAL]] - (1/10)</f>
        <v>-0.1</v>
      </c>
      <c r="BC708" s="335">
        <f>IF( tabItens[[#This Row],[PontoPed]]&gt;0, IF(tabItens[[#This Row],[PontoPed]]&lt;1, 1, IF( tabItens[[#This Row],[Saldo]]&gt;tabItens[[#This Row],[PontoPed]], 0, (tabItens[[#This Row],[PontoPed]]-tabItens[[#This Row],[Saldo]])/tabItens[[#This Row],[PontoPed]] ) ), 0 )</f>
        <v>0</v>
      </c>
      <c r="BD708" s="336">
        <f>ROUNDDOWN(IF( OR( AND(tabItens[[#This Row],[PontoPed]]&lt;tabItens[[#This Row],[Saldo]],tabItens[[#This Row],[Saldo]]&gt;0), tabItens[[#This Row],[PontoPed]]=0), 99, IF(AND(tabItens[[#This Row],[Saldo]]=0,tabItens[[#This Row],[PontoPed]]&gt;0), 0, (1-tabItens[[#This Row],[PctAb]])*10 ) ),0)</f>
        <v>99</v>
      </c>
      <c r="BE708" s="337">
        <f>MAX(ROUNDDOWN( IF(tabItens[[#This Row],[Abaixo]] &gt; 0,   tabItens[[#This Row],[Abaixo]] + (tabItens[[#This Row],[PontoMês]] * IF( OR( ISBLANK(tabItens[[#This Row],[ATA Nº/ANO]]), tabItens[[#This Row],[ATA Nº/ANO]] = ""),BE$2,BE$1)),0),0),0)</f>
        <v>0</v>
      </c>
      <c r="BF70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8" s="338">
        <f>SUMIF(Consumo!$C$3:$C$862,tabItens[[#This Row],[CÓDIGO]],Consumo!$E$3:$E$862)</f>
        <v>8</v>
      </c>
      <c r="BH708" s="339">
        <f>IF(AND(tabItens[[#This Row],[Pend]] &gt; 0,tabItens[[#This Row],[Consumo]] &lt;&gt; 0), tabItens[[#This Row],[Pend]] / tabItens[[#This Row],[Consumo]], 0 )</f>
        <v>0.18604651162790697</v>
      </c>
      <c r="BI708" s="338"/>
      <c r="BJ708" s="338"/>
      <c r="BK708" s="340" t="s">
        <v>2086</v>
      </c>
    </row>
    <row r="709" spans="1:63" hidden="1" x14ac:dyDescent="0.3">
      <c r="A709" s="301">
        <v>137019</v>
      </c>
      <c r="B709" s="302" t="s">
        <v>1955</v>
      </c>
      <c r="C709" s="303" t="s">
        <v>31</v>
      </c>
      <c r="D709" s="304">
        <v>3.99</v>
      </c>
      <c r="E709" s="305"/>
      <c r="F709" s="305"/>
      <c r="G709" s="305" t="s">
        <v>889</v>
      </c>
      <c r="H709" s="306">
        <v>472</v>
      </c>
      <c r="I709" s="307">
        <v>103003</v>
      </c>
      <c r="J709" s="308">
        <v>3.99</v>
      </c>
      <c r="K709" s="309">
        <v>23</v>
      </c>
      <c r="L709" s="310">
        <f>IF(tabItens[[#This Row],[Média]] &gt; 0, tabItens[[#This Row],[QTDE ATUAL]] / tabItens[[#This Row],[Média]],999.9)</f>
        <v>138.14634146341464</v>
      </c>
      <c r="M709" s="311">
        <v>0</v>
      </c>
      <c r="N709" s="312">
        <f>tabItens[[#This Row],[VALOR UNIT.]] * tabItens[[#This Row],[LC]]</f>
        <v>0</v>
      </c>
      <c r="O709" s="313"/>
      <c r="P709" s="314"/>
      <c r="Q709" s="315"/>
      <c r="R709" s="312"/>
      <c r="S709" s="316"/>
      <c r="T709" s="317">
        <f>ROUNDDOWN(IFERROR(tabItens[[#This Row],[ATA DT.VALID.]] - $D$1,0) / 30,0)</f>
        <v>-1474</v>
      </c>
      <c r="U709" s="302" t="s">
        <v>1492</v>
      </c>
      <c r="V709" s="318">
        <v>1</v>
      </c>
      <c r="W709" s="319" t="s">
        <v>2081</v>
      </c>
      <c r="X709" s="320">
        <v>54</v>
      </c>
      <c r="Y709" s="321">
        <v>4</v>
      </c>
      <c r="Z709" s="322"/>
      <c r="AA709" s="323"/>
      <c r="AB709" s="324"/>
      <c r="AC709" s="324"/>
      <c r="AD709" s="323"/>
      <c r="AE709" s="324"/>
      <c r="AF709" s="317"/>
      <c r="AG709" s="325" t="s">
        <v>2072</v>
      </c>
      <c r="AH709" s="326"/>
      <c r="AI709" s="317">
        <v>8</v>
      </c>
      <c r="AJ709" s="326">
        <v>43802</v>
      </c>
      <c r="AK709" s="326">
        <v>43620</v>
      </c>
      <c r="AL709" s="326">
        <v>44741</v>
      </c>
      <c r="AM709" s="316"/>
      <c r="AN709" s="305"/>
      <c r="AO709" s="327" t="str">
        <f>_xlfn.IFNA(IF(VLOOKUP(tabItens[[#This Row],[CÓDIGO]],tabExcluirDoEstoque[#Data],1,FALSE),"sim",""),"")</f>
        <v/>
      </c>
      <c r="AP709" s="328" t="str">
        <f ca="1">IF(OR(ISBLANK(tabItens[[#This Row],[ATA DT.VALID.]]),tabItens[[#This Row],[ATA DT.VALID.]]="",tabItens[[#This Row],[ATA DT.VALID.]]=" "),"",IF(TYPE(tabItens[[#This Row],[ATA DT.VALID.]])=1,ROUNDUP((tabItens[[#This Row],[ATA DT.VALID.]]-TODAY())/7,0),""))</f>
        <v/>
      </c>
      <c r="AQ709" s="329"/>
      <c r="AR709" s="330" t="str">
        <f>IF(ISBLANK(tabItens[[#This Row],[CÓDIGO]]),"",IFERROR(VLOOKUP(tabItens[[#This Row],[CÓDIGO]],Consumo!$C$2:$AC$862,26,FALSE),0))</f>
        <v>09.2023</v>
      </c>
      <c r="AS709" s="331">
        <f>SUMIF(Consumo!$C$3:$C$862,tabItens[[#This Row],[CÓDIGO]],Consumo!$N$3:$N$862) + SUMIF(Consumo!$C$3:$C$862,tabItens[[#This Row],[CÓDIGO]],Consumo!$O$3:$O$862) + SUMIF(Consumo!$C$3:$C$862,tabItens[[#This Row],[CÓDIGO]],Consumo!$P$3:$P$862) + SUMIF(Consumo!$C$3:$C$862,tabItens[[#This Row],[CÓDIGO]],Consumo!$Q$3:$Q$862)</f>
        <v>23</v>
      </c>
      <c r="AT709" s="331">
        <f>SUMIF(Consumo!$C$3:$C$862,tabItens[[#This Row],[CÓDIGO]],Consumo!$Z$3:$Z$862)</f>
        <v>43</v>
      </c>
      <c r="AU709" s="332">
        <f>SUMIF(Consumo!$C$3:$C$862,tabItens[[#This Row],[CÓDIGO]],Consumo!$AA$3:$AA$862)</f>
        <v>20</v>
      </c>
      <c r="AV709" s="333">
        <f>SUMIF(Consumo!$C$3:$C$862,tabItens[[#This Row],[CÓDIGO]],Consumo!$Y$3:$Y$862)</f>
        <v>3.4166666666666665</v>
      </c>
      <c r="AW709" s="306">
        <f>tabItens[[#This Row],[QTDE ATUAL]] + tabItens[[#This Row],[RC QTDE]] + tabItens[[#This Row],[AF SALDO]] + tabItens[[#This Row],[Recentes]]</f>
        <v>472</v>
      </c>
      <c r="AX709" s="334">
        <v>0</v>
      </c>
      <c r="AY709" s="334">
        <v>4</v>
      </c>
      <c r="AZ709" s="334">
        <f>IF(ISBLANK(tabItens[[#This Row],[CÓDIGO]]),"",tabItens[[#This Row],[PontoMês]] * (AZ$2+tabItens[[#This Row],[PontoQtM]]))</f>
        <v>0</v>
      </c>
      <c r="BA709" s="333">
        <f>tabItens[[#This Row],[PontoPed]] - tabItens[[#This Row],[Saldo]] + (1/10)</f>
        <v>-471.9</v>
      </c>
      <c r="BB709" s="333">
        <f xml:space="preserve"> tabItens[[#This Row],[PontoMês]] * BB$2 - tabItens[[#This Row],[QTDE ATUAL]] - (1/10)</f>
        <v>-472.1</v>
      </c>
      <c r="BC709" s="335">
        <f>IF( tabItens[[#This Row],[PontoPed]]&gt;0, IF(tabItens[[#This Row],[PontoPed]]&lt;1, 1, IF( tabItens[[#This Row],[Saldo]]&gt;tabItens[[#This Row],[PontoPed]], 0, (tabItens[[#This Row],[PontoPed]]-tabItens[[#This Row],[Saldo]])/tabItens[[#This Row],[PontoPed]] ) ), 0 )</f>
        <v>0</v>
      </c>
      <c r="BD709" s="336">
        <f>ROUNDDOWN(IF( OR( AND(tabItens[[#This Row],[PontoPed]]&lt;tabItens[[#This Row],[Saldo]],tabItens[[#This Row],[Saldo]]&gt;0), tabItens[[#This Row],[PontoPed]]=0), 99, IF(AND(tabItens[[#This Row],[Saldo]]=0,tabItens[[#This Row],[PontoPed]]&gt;0), 0, (1-tabItens[[#This Row],[PctAb]])*10 ) ),0)</f>
        <v>99</v>
      </c>
      <c r="BE709" s="337">
        <f>MAX(ROUNDDOWN( IF(tabItens[[#This Row],[Abaixo]] &gt; 0,   tabItens[[#This Row],[Abaixo]] + (tabItens[[#This Row],[PontoMês]] * IF( OR( ISBLANK(tabItens[[#This Row],[ATA Nº/ANO]]), tabItens[[#This Row],[ATA Nº/ANO]] = ""),BE$2,BE$1)),0),0),0)</f>
        <v>0</v>
      </c>
      <c r="BF70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9" s="338">
        <f>SUMIF(Consumo!$C$3:$C$862,tabItens[[#This Row],[CÓDIGO]],Consumo!$E$3:$E$862)</f>
        <v>20</v>
      </c>
      <c r="BH709" s="339">
        <f>IF(AND(tabItens[[#This Row],[Pend]] &gt; 0,tabItens[[#This Row],[Consumo]] &lt;&gt; 0), tabItens[[#This Row],[Pend]] / tabItens[[#This Row],[Consumo]], 0 )</f>
        <v>0.46511627906976744</v>
      </c>
      <c r="BI709" s="338"/>
      <c r="BJ709" s="338"/>
      <c r="BK709" s="340" t="s">
        <v>2086</v>
      </c>
    </row>
    <row r="710" spans="1:63" hidden="1" x14ac:dyDescent="0.3">
      <c r="A710" s="301">
        <v>137053</v>
      </c>
      <c r="B710" s="302" t="s">
        <v>1956</v>
      </c>
      <c r="C710" s="303" t="s">
        <v>263</v>
      </c>
      <c r="D710" s="304">
        <v>41.65</v>
      </c>
      <c r="E710" s="305"/>
      <c r="F710" s="305"/>
      <c r="G710" s="305" t="s">
        <v>889</v>
      </c>
      <c r="H710" s="306">
        <v>16</v>
      </c>
      <c r="I710" s="307">
        <v>103003</v>
      </c>
      <c r="J710" s="308">
        <v>41.65</v>
      </c>
      <c r="K710" s="309">
        <v>1</v>
      </c>
      <c r="L710" s="310">
        <f>IF(tabItens[[#This Row],[Média]] &gt; 0, tabItens[[#This Row],[QTDE ATUAL]] / tabItens[[#This Row],[Média]],999.9)</f>
        <v>999.9</v>
      </c>
      <c r="M710" s="311">
        <v>0</v>
      </c>
      <c r="N710" s="312">
        <f>tabItens[[#This Row],[VALOR UNIT.]] * tabItens[[#This Row],[LC]]</f>
        <v>0</v>
      </c>
      <c r="O710" s="313"/>
      <c r="P710" s="314"/>
      <c r="Q710" s="315"/>
      <c r="R710" s="312"/>
      <c r="S710" s="316"/>
      <c r="T710" s="317">
        <f>ROUNDDOWN(IFERROR(tabItens[[#This Row],[ATA DT.VALID.]] - $D$1,0) / 30,0)</f>
        <v>-1474</v>
      </c>
      <c r="U710" s="302" t="s">
        <v>1492</v>
      </c>
      <c r="V710" s="318">
        <v>1</v>
      </c>
      <c r="W710" s="319" t="s">
        <v>2081</v>
      </c>
      <c r="X710" s="320">
        <v>54</v>
      </c>
      <c r="Y710" s="321">
        <v>4</v>
      </c>
      <c r="Z710" s="322"/>
      <c r="AA710" s="323"/>
      <c r="AB710" s="324"/>
      <c r="AC710" s="324"/>
      <c r="AD710" s="323"/>
      <c r="AE710" s="324"/>
      <c r="AF710" s="317"/>
      <c r="AG710" s="325" t="s">
        <v>2072</v>
      </c>
      <c r="AH710" s="326"/>
      <c r="AI710" s="317">
        <v>0</v>
      </c>
      <c r="AJ710" s="326">
        <v>43819</v>
      </c>
      <c r="AK710" s="326">
        <v>43626</v>
      </c>
      <c r="AL710" s="326">
        <v>43780</v>
      </c>
      <c r="AM710" s="316"/>
      <c r="AN710" s="305"/>
      <c r="AO710" s="327" t="str">
        <f>_xlfn.IFNA(IF(VLOOKUP(tabItens[[#This Row],[CÓDIGO]],tabExcluirDoEstoque[#Data],1,FALSE),"sim",""),"")</f>
        <v/>
      </c>
      <c r="AP710" s="328" t="str">
        <f ca="1">IF(OR(ISBLANK(tabItens[[#This Row],[ATA DT.VALID.]]),tabItens[[#This Row],[ATA DT.VALID.]]="",tabItens[[#This Row],[ATA DT.VALID.]]=" "),"",IF(TYPE(tabItens[[#This Row],[ATA DT.VALID.]])=1,ROUNDUP((tabItens[[#This Row],[ATA DT.VALID.]]-TODAY())/7,0),""))</f>
        <v/>
      </c>
      <c r="AQ710" s="329"/>
      <c r="AR710" s="330" t="str">
        <f>IF(ISBLANK(tabItens[[#This Row],[CÓDIGO]]),"",IFERROR(VLOOKUP(tabItens[[#This Row],[CÓDIGO]],Consumo!$C$2:$AC$862,26,FALSE),0))</f>
        <v>05.2023</v>
      </c>
      <c r="AS710" s="331">
        <f>SUMIF(Consumo!$C$3:$C$862,tabItens[[#This Row],[CÓDIGO]],Consumo!$N$3:$N$862) + SUMIF(Consumo!$C$3:$C$862,tabItens[[#This Row],[CÓDIGO]],Consumo!$O$3:$O$862) + SUMIF(Consumo!$C$3:$C$862,tabItens[[#This Row],[CÓDIGO]],Consumo!$P$3:$P$862) + SUMIF(Consumo!$C$3:$C$862,tabItens[[#This Row],[CÓDIGO]],Consumo!$Q$3:$Q$862)</f>
        <v>0</v>
      </c>
      <c r="AT710" s="331">
        <f>SUMIF(Consumo!$C$3:$C$862,tabItens[[#This Row],[CÓDIGO]],Consumo!$Z$3:$Z$862)</f>
        <v>1</v>
      </c>
      <c r="AU710" s="332">
        <f>SUMIF(Consumo!$C$3:$C$862,tabItens[[#This Row],[CÓDIGO]],Consumo!$AA$3:$AA$862)</f>
        <v>1</v>
      </c>
      <c r="AV710" s="333">
        <f>SUMIF(Consumo!$C$3:$C$862,tabItens[[#This Row],[CÓDIGO]],Consumo!$Y$3:$Y$862)</f>
        <v>0</v>
      </c>
      <c r="AW710" s="306">
        <f>tabItens[[#This Row],[QTDE ATUAL]] + tabItens[[#This Row],[RC QTDE]] + tabItens[[#This Row],[AF SALDO]] + tabItens[[#This Row],[Recentes]]</f>
        <v>16</v>
      </c>
      <c r="AX710" s="334">
        <v>0</v>
      </c>
      <c r="AY710" s="334">
        <v>4</v>
      </c>
      <c r="AZ710" s="334">
        <f>IF(ISBLANK(tabItens[[#This Row],[CÓDIGO]]),"",tabItens[[#This Row],[PontoMês]] * (AZ$2+tabItens[[#This Row],[PontoQtM]]))</f>
        <v>0</v>
      </c>
      <c r="BA710" s="333">
        <f>tabItens[[#This Row],[PontoPed]] - tabItens[[#This Row],[Saldo]] + (1/10)</f>
        <v>-15.9</v>
      </c>
      <c r="BB710" s="333">
        <f xml:space="preserve"> tabItens[[#This Row],[PontoMês]] * BB$2 - tabItens[[#This Row],[QTDE ATUAL]] - (1/10)</f>
        <v>-16.100000000000001</v>
      </c>
      <c r="BC710" s="335">
        <f>IF( tabItens[[#This Row],[PontoPed]]&gt;0, IF(tabItens[[#This Row],[PontoPed]]&lt;1, 1, IF( tabItens[[#This Row],[Saldo]]&gt;tabItens[[#This Row],[PontoPed]], 0, (tabItens[[#This Row],[PontoPed]]-tabItens[[#This Row],[Saldo]])/tabItens[[#This Row],[PontoPed]] ) ), 0 )</f>
        <v>0</v>
      </c>
      <c r="BD710" s="336">
        <f>ROUNDDOWN(IF( OR( AND(tabItens[[#This Row],[PontoPed]]&lt;tabItens[[#This Row],[Saldo]],tabItens[[#This Row],[Saldo]]&gt;0), tabItens[[#This Row],[PontoPed]]=0), 99, IF(AND(tabItens[[#This Row],[Saldo]]=0,tabItens[[#This Row],[PontoPed]]&gt;0), 0, (1-tabItens[[#This Row],[PctAb]])*10 ) ),0)</f>
        <v>99</v>
      </c>
      <c r="BE710" s="337">
        <f>MAX(ROUNDDOWN( IF(tabItens[[#This Row],[Abaixo]] &gt; 0,   tabItens[[#This Row],[Abaixo]] + (tabItens[[#This Row],[PontoMês]] * IF( OR( ISBLANK(tabItens[[#This Row],[ATA Nº/ANO]]), tabItens[[#This Row],[ATA Nº/ANO]] = ""),BE$2,BE$1)),0),0),0)</f>
        <v>0</v>
      </c>
      <c r="BF71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0" s="338">
        <f>SUMIF(Consumo!$C$3:$C$862,tabItens[[#This Row],[CÓDIGO]],Consumo!$E$3:$E$862)</f>
        <v>0</v>
      </c>
      <c r="BH710" s="339">
        <f>IF(AND(tabItens[[#This Row],[Pend]] &gt; 0,tabItens[[#This Row],[Consumo]] &lt;&gt; 0), tabItens[[#This Row],[Pend]] / tabItens[[#This Row],[Consumo]], 0 )</f>
        <v>0</v>
      </c>
      <c r="BI710" s="338"/>
      <c r="BJ710" s="338"/>
      <c r="BK710" s="340" t="s">
        <v>2086</v>
      </c>
    </row>
    <row r="711" spans="1:63" hidden="1" x14ac:dyDescent="0.3">
      <c r="A711" s="301">
        <v>137798</v>
      </c>
      <c r="B711" s="302" t="s">
        <v>1957</v>
      </c>
      <c r="C711" s="303" t="s">
        <v>263</v>
      </c>
      <c r="D711" s="304">
        <v>18.149999999999999</v>
      </c>
      <c r="E711" s="305"/>
      <c r="F711" s="305"/>
      <c r="G711" s="305" t="s">
        <v>889</v>
      </c>
      <c r="H711" s="306">
        <v>18</v>
      </c>
      <c r="I711" s="307">
        <v>103003</v>
      </c>
      <c r="J711" s="308">
        <v>18.149999999999999</v>
      </c>
      <c r="K711" s="309">
        <v>1</v>
      </c>
      <c r="L711" s="310">
        <f>IF(tabItens[[#This Row],[Média]] &gt; 0, tabItens[[#This Row],[QTDE ATUAL]] / tabItens[[#This Row],[Média]],999.9)</f>
        <v>999.9</v>
      </c>
      <c r="M711" s="311">
        <v>0</v>
      </c>
      <c r="N711" s="312">
        <f>tabItens[[#This Row],[VALOR UNIT.]] * tabItens[[#This Row],[LC]]</f>
        <v>0</v>
      </c>
      <c r="O711" s="313"/>
      <c r="P711" s="314"/>
      <c r="Q711" s="315"/>
      <c r="R711" s="312"/>
      <c r="S711" s="316"/>
      <c r="T711" s="317">
        <f>ROUNDDOWN(IFERROR(tabItens[[#This Row],[ATA DT.VALID.]] - $D$1,0) / 30,0)</f>
        <v>-1474</v>
      </c>
      <c r="U711" s="302" t="s">
        <v>1492</v>
      </c>
      <c r="V711" s="318">
        <v>1</v>
      </c>
      <c r="W711" s="319" t="s">
        <v>2081</v>
      </c>
      <c r="X711" s="320">
        <v>54</v>
      </c>
      <c r="Y711" s="321">
        <v>4</v>
      </c>
      <c r="Z711" s="322"/>
      <c r="AA711" s="323"/>
      <c r="AB711" s="324"/>
      <c r="AC711" s="324"/>
      <c r="AD711" s="323"/>
      <c r="AE711" s="324"/>
      <c r="AF711" s="317"/>
      <c r="AG711" s="325" t="s">
        <v>2072</v>
      </c>
      <c r="AH711" s="326"/>
      <c r="AI711" s="317">
        <v>0</v>
      </c>
      <c r="AJ711" s="326">
        <v>43949</v>
      </c>
      <c r="AK711" s="326">
        <v>43629</v>
      </c>
      <c r="AL711" s="326">
        <v>43929</v>
      </c>
      <c r="AM711" s="316"/>
      <c r="AN711" s="305"/>
      <c r="AO711" s="327" t="str">
        <f>_xlfn.IFNA(IF(VLOOKUP(tabItens[[#This Row],[CÓDIGO]],tabExcluirDoEstoque[#Data],1,FALSE),"sim",""),"")</f>
        <v/>
      </c>
      <c r="AP711" s="328" t="str">
        <f ca="1">IF(OR(ISBLANK(tabItens[[#This Row],[ATA DT.VALID.]]),tabItens[[#This Row],[ATA DT.VALID.]]="",tabItens[[#This Row],[ATA DT.VALID.]]=" "),"",IF(TYPE(tabItens[[#This Row],[ATA DT.VALID.]])=1,ROUNDUP((tabItens[[#This Row],[ATA DT.VALID.]]-TODAY())/7,0),""))</f>
        <v/>
      </c>
      <c r="AQ711" s="329"/>
      <c r="AR711" s="330" t="str">
        <f>IF(ISBLANK(tabItens[[#This Row],[CÓDIGO]]),"",IFERROR(VLOOKUP(tabItens[[#This Row],[CÓDIGO]],Consumo!$C$2:$AC$862,26,FALSE),0))</f>
        <v>06.2023</v>
      </c>
      <c r="AS711" s="331">
        <f>SUMIF(Consumo!$C$3:$C$862,tabItens[[#This Row],[CÓDIGO]],Consumo!$N$3:$N$862) + SUMIF(Consumo!$C$3:$C$862,tabItens[[#This Row],[CÓDIGO]],Consumo!$O$3:$O$862) + SUMIF(Consumo!$C$3:$C$862,tabItens[[#This Row],[CÓDIGO]],Consumo!$P$3:$P$862) + SUMIF(Consumo!$C$3:$C$862,tabItens[[#This Row],[CÓDIGO]],Consumo!$Q$3:$Q$862)</f>
        <v>1</v>
      </c>
      <c r="AT711" s="331">
        <f>SUMIF(Consumo!$C$3:$C$862,tabItens[[#This Row],[CÓDIGO]],Consumo!$Z$3:$Z$862)</f>
        <v>1</v>
      </c>
      <c r="AU711" s="332">
        <f>SUMIF(Consumo!$C$3:$C$862,tabItens[[#This Row],[CÓDIGO]],Consumo!$AA$3:$AA$862)</f>
        <v>1</v>
      </c>
      <c r="AV711" s="333">
        <f>SUMIF(Consumo!$C$3:$C$862,tabItens[[#This Row],[CÓDIGO]],Consumo!$Y$3:$Y$862)</f>
        <v>0</v>
      </c>
      <c r="AW711" s="306">
        <f>tabItens[[#This Row],[QTDE ATUAL]] + tabItens[[#This Row],[RC QTDE]] + tabItens[[#This Row],[AF SALDO]] + tabItens[[#This Row],[Recentes]]</f>
        <v>18</v>
      </c>
      <c r="AX711" s="334">
        <v>2</v>
      </c>
      <c r="AY711" s="334">
        <v>4</v>
      </c>
      <c r="AZ711" s="334">
        <f>IF(ISBLANK(tabItens[[#This Row],[CÓDIGO]]),"",tabItens[[#This Row],[PontoMês]] * (AZ$2+tabItens[[#This Row],[PontoQtM]]))</f>
        <v>8</v>
      </c>
      <c r="BA711" s="333">
        <f>tabItens[[#This Row],[PontoPed]] - tabItens[[#This Row],[Saldo]] + (1/10)</f>
        <v>-9.9</v>
      </c>
      <c r="BB711" s="333">
        <f xml:space="preserve"> tabItens[[#This Row],[PontoMês]] * BB$2 - tabItens[[#This Row],[QTDE ATUAL]] - (1/10)</f>
        <v>-16.100000000000001</v>
      </c>
      <c r="BC711" s="335">
        <f>IF( tabItens[[#This Row],[PontoPed]]&gt;0, IF(tabItens[[#This Row],[PontoPed]]&lt;1, 1, IF( tabItens[[#This Row],[Saldo]]&gt;tabItens[[#This Row],[PontoPed]], 0, (tabItens[[#This Row],[PontoPed]]-tabItens[[#This Row],[Saldo]])/tabItens[[#This Row],[PontoPed]] ) ), 0 )</f>
        <v>0</v>
      </c>
      <c r="BD711" s="336">
        <f>ROUNDDOWN(IF( OR( AND(tabItens[[#This Row],[PontoPed]]&lt;tabItens[[#This Row],[Saldo]],tabItens[[#This Row],[Saldo]]&gt;0), tabItens[[#This Row],[PontoPed]]=0), 99, IF(AND(tabItens[[#This Row],[Saldo]]=0,tabItens[[#This Row],[PontoPed]]&gt;0), 0, (1-tabItens[[#This Row],[PctAb]])*10 ) ),0)</f>
        <v>99</v>
      </c>
      <c r="BE711" s="337">
        <f>MAX(ROUNDDOWN( IF(tabItens[[#This Row],[Abaixo]] &gt; 0,   tabItens[[#This Row],[Abaixo]] + (tabItens[[#This Row],[PontoMês]] * IF( OR( ISBLANK(tabItens[[#This Row],[ATA Nº/ANO]]), tabItens[[#This Row],[ATA Nº/ANO]] = ""),BE$2,BE$1)),0),0),0)</f>
        <v>0</v>
      </c>
      <c r="BF71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1" s="338">
        <f>SUMIF(Consumo!$C$3:$C$862,tabItens[[#This Row],[CÓDIGO]],Consumo!$E$3:$E$862)</f>
        <v>0</v>
      </c>
      <c r="BH711" s="339">
        <f>IF(AND(tabItens[[#This Row],[Pend]] &gt; 0,tabItens[[#This Row],[Consumo]] &lt;&gt; 0), tabItens[[#This Row],[Pend]] / tabItens[[#This Row],[Consumo]], 0 )</f>
        <v>0</v>
      </c>
      <c r="BI711" s="338"/>
      <c r="BJ711" s="338"/>
      <c r="BK711" s="340" t="s">
        <v>2086</v>
      </c>
    </row>
    <row r="712" spans="1:63" hidden="1" x14ac:dyDescent="0.3">
      <c r="A712" s="301">
        <v>137799</v>
      </c>
      <c r="B712" s="302" t="s">
        <v>1958</v>
      </c>
      <c r="C712" s="303" t="s">
        <v>436</v>
      </c>
      <c r="D712" s="304">
        <v>15.9</v>
      </c>
      <c r="E712" s="305"/>
      <c r="F712" s="305"/>
      <c r="G712" s="305" t="s">
        <v>889</v>
      </c>
      <c r="H712" s="306">
        <v>77</v>
      </c>
      <c r="I712" s="307">
        <v>103003</v>
      </c>
      <c r="J712" s="308">
        <v>15.9</v>
      </c>
      <c r="K712" s="309"/>
      <c r="L712" s="310">
        <f>IF(tabItens[[#This Row],[Média]] &gt; 0, tabItens[[#This Row],[QTDE ATUAL]] / tabItens[[#This Row],[Média]],999.9)</f>
        <v>999.9</v>
      </c>
      <c r="M712" s="311">
        <v>0</v>
      </c>
      <c r="N712" s="312">
        <f>tabItens[[#This Row],[VALOR UNIT.]] * tabItens[[#This Row],[LC]]</f>
        <v>0</v>
      </c>
      <c r="O712" s="313"/>
      <c r="P712" s="314"/>
      <c r="Q712" s="315"/>
      <c r="R712" s="312"/>
      <c r="S712" s="316"/>
      <c r="T712" s="317">
        <f>ROUNDDOWN(IFERROR(tabItens[[#This Row],[ATA DT.VALID.]] - $D$1,0) / 30,0)</f>
        <v>-1474</v>
      </c>
      <c r="U712" s="302" t="s">
        <v>1492</v>
      </c>
      <c r="V712" s="318">
        <v>1</v>
      </c>
      <c r="W712" s="319" t="s">
        <v>2081</v>
      </c>
      <c r="X712" s="320">
        <v>54</v>
      </c>
      <c r="Y712" s="321">
        <v>4</v>
      </c>
      <c r="Z712" s="322"/>
      <c r="AA712" s="323"/>
      <c r="AB712" s="324"/>
      <c r="AC712" s="324"/>
      <c r="AD712" s="323"/>
      <c r="AE712" s="324"/>
      <c r="AF712" s="317"/>
      <c r="AG712" s="325" t="s">
        <v>2072</v>
      </c>
      <c r="AH712" s="326"/>
      <c r="AI712" s="317">
        <v>0</v>
      </c>
      <c r="AJ712" s="326">
        <v>43819</v>
      </c>
      <c r="AK712" s="326">
        <v>43629</v>
      </c>
      <c r="AL712" s="326">
        <v>44138</v>
      </c>
      <c r="AM712" s="316"/>
      <c r="AN712" s="305"/>
      <c r="AO712" s="327" t="str">
        <f>_xlfn.IFNA(IF(VLOOKUP(tabItens[[#This Row],[CÓDIGO]],tabExcluirDoEstoque[#Data],1,FALSE),"sim",""),"")</f>
        <v/>
      </c>
      <c r="AP712" s="328" t="str">
        <f ca="1">IF(OR(ISBLANK(tabItens[[#This Row],[ATA DT.VALID.]]),tabItens[[#This Row],[ATA DT.VALID.]]="",tabItens[[#This Row],[ATA DT.VALID.]]=" "),"",IF(TYPE(tabItens[[#This Row],[ATA DT.VALID.]])=1,ROUNDUP((tabItens[[#This Row],[ATA DT.VALID.]]-TODAY())/7,0),""))</f>
        <v/>
      </c>
      <c r="AQ712" s="329"/>
      <c r="AR712" s="330">
        <f>IF(ISBLANK(tabItens[[#This Row],[CÓDIGO]]),"",IFERROR(VLOOKUP(tabItens[[#This Row],[CÓDIGO]],Consumo!$C$2:$AC$862,26,FALSE),0))</f>
        <v>0</v>
      </c>
      <c r="AS712" s="331">
        <f>SUMIF(Consumo!$C$3:$C$862,tabItens[[#This Row],[CÓDIGO]],Consumo!$N$3:$N$862) + SUMIF(Consumo!$C$3:$C$862,tabItens[[#This Row],[CÓDIGO]],Consumo!$O$3:$O$862) + SUMIF(Consumo!$C$3:$C$862,tabItens[[#This Row],[CÓDIGO]],Consumo!$P$3:$P$862) + SUMIF(Consumo!$C$3:$C$862,tabItens[[#This Row],[CÓDIGO]],Consumo!$Q$3:$Q$862)</f>
        <v>0</v>
      </c>
      <c r="AT712" s="331">
        <f>SUMIF(Consumo!$C$3:$C$862,tabItens[[#This Row],[CÓDIGO]],Consumo!$Z$3:$Z$862)</f>
        <v>0</v>
      </c>
      <c r="AU712" s="332">
        <f>SUMIF(Consumo!$C$3:$C$862,tabItens[[#This Row],[CÓDIGO]],Consumo!$AA$3:$AA$862)</f>
        <v>0</v>
      </c>
      <c r="AV712" s="333">
        <f>SUMIF(Consumo!$C$3:$C$862,tabItens[[#This Row],[CÓDIGO]],Consumo!$Y$3:$Y$862)</f>
        <v>0</v>
      </c>
      <c r="AW712" s="306">
        <f>tabItens[[#This Row],[QTDE ATUAL]] + tabItens[[#This Row],[RC QTDE]] + tabItens[[#This Row],[AF SALDO]] + tabItens[[#This Row],[Recentes]]</f>
        <v>77</v>
      </c>
      <c r="AX712" s="334">
        <v>0</v>
      </c>
      <c r="AY712" s="334">
        <v>4</v>
      </c>
      <c r="AZ712" s="334">
        <f>IF(ISBLANK(tabItens[[#This Row],[CÓDIGO]]),"",tabItens[[#This Row],[PontoMês]] * (AZ$2+tabItens[[#This Row],[PontoQtM]]))</f>
        <v>0</v>
      </c>
      <c r="BA712" s="333">
        <f>tabItens[[#This Row],[PontoPed]] - tabItens[[#This Row],[Saldo]] + (1/10)</f>
        <v>-76.900000000000006</v>
      </c>
      <c r="BB712" s="333">
        <f xml:space="preserve"> tabItens[[#This Row],[PontoMês]] * BB$2 - tabItens[[#This Row],[QTDE ATUAL]] - (1/10)</f>
        <v>-77.099999999999994</v>
      </c>
      <c r="BC712" s="335">
        <f>IF( tabItens[[#This Row],[PontoPed]]&gt;0, IF(tabItens[[#This Row],[PontoPed]]&lt;1, 1, IF( tabItens[[#This Row],[Saldo]]&gt;tabItens[[#This Row],[PontoPed]], 0, (tabItens[[#This Row],[PontoPed]]-tabItens[[#This Row],[Saldo]])/tabItens[[#This Row],[PontoPed]] ) ), 0 )</f>
        <v>0</v>
      </c>
      <c r="BD712" s="336">
        <f>ROUNDDOWN(IF( OR( AND(tabItens[[#This Row],[PontoPed]]&lt;tabItens[[#This Row],[Saldo]],tabItens[[#This Row],[Saldo]]&gt;0), tabItens[[#This Row],[PontoPed]]=0), 99, IF(AND(tabItens[[#This Row],[Saldo]]=0,tabItens[[#This Row],[PontoPed]]&gt;0), 0, (1-tabItens[[#This Row],[PctAb]])*10 ) ),0)</f>
        <v>99</v>
      </c>
      <c r="BE712" s="337">
        <f>MAX(ROUNDDOWN( IF(tabItens[[#This Row],[Abaixo]] &gt; 0,   tabItens[[#This Row],[Abaixo]] + (tabItens[[#This Row],[PontoMês]] * IF( OR( ISBLANK(tabItens[[#This Row],[ATA Nº/ANO]]), tabItens[[#This Row],[ATA Nº/ANO]] = ""),BE$2,BE$1)),0),0),0)</f>
        <v>0</v>
      </c>
      <c r="BF71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2" s="338">
        <f>SUMIF(Consumo!$C$3:$C$862,tabItens[[#This Row],[CÓDIGO]],Consumo!$E$3:$E$862)</f>
        <v>0</v>
      </c>
      <c r="BH712" s="339">
        <f>IF(AND(tabItens[[#This Row],[Pend]] &gt; 0,tabItens[[#This Row],[Consumo]] &lt;&gt; 0), tabItens[[#This Row],[Pend]] / tabItens[[#This Row],[Consumo]], 0 )</f>
        <v>0</v>
      </c>
      <c r="BI712" s="338"/>
      <c r="BJ712" s="338"/>
      <c r="BK712" s="340" t="s">
        <v>2086</v>
      </c>
    </row>
    <row r="713" spans="1:63" hidden="1" x14ac:dyDescent="0.3">
      <c r="A713" s="301">
        <v>137800</v>
      </c>
      <c r="B713" s="302" t="s">
        <v>1959</v>
      </c>
      <c r="C713" s="303" t="s">
        <v>436</v>
      </c>
      <c r="D713" s="304">
        <v>12.05</v>
      </c>
      <c r="E713" s="305"/>
      <c r="F713" s="305"/>
      <c r="G713" s="305" t="s">
        <v>889</v>
      </c>
      <c r="H713" s="306">
        <v>59</v>
      </c>
      <c r="I713" s="307">
        <v>103003</v>
      </c>
      <c r="J713" s="308">
        <v>12.05</v>
      </c>
      <c r="K713" s="309"/>
      <c r="L713" s="310">
        <f>IF(tabItens[[#This Row],[Média]] &gt; 0, tabItens[[#This Row],[QTDE ATUAL]] / tabItens[[#This Row],[Média]],999.9)</f>
        <v>999.9</v>
      </c>
      <c r="M713" s="311">
        <v>0</v>
      </c>
      <c r="N713" s="312">
        <f>tabItens[[#This Row],[VALOR UNIT.]] * tabItens[[#This Row],[LC]]</f>
        <v>0</v>
      </c>
      <c r="O713" s="313"/>
      <c r="P713" s="314"/>
      <c r="Q713" s="315"/>
      <c r="R713" s="312"/>
      <c r="S713" s="316"/>
      <c r="T713" s="317">
        <f>ROUNDDOWN(IFERROR(tabItens[[#This Row],[ATA DT.VALID.]] - $D$1,0) / 30,0)</f>
        <v>-1474</v>
      </c>
      <c r="U713" s="302" t="s">
        <v>1492</v>
      </c>
      <c r="V713" s="318">
        <v>1</v>
      </c>
      <c r="W713" s="319" t="s">
        <v>2081</v>
      </c>
      <c r="X713" s="320">
        <v>54</v>
      </c>
      <c r="Y713" s="321">
        <v>4</v>
      </c>
      <c r="Z713" s="322"/>
      <c r="AA713" s="323"/>
      <c r="AB713" s="324"/>
      <c r="AC713" s="324"/>
      <c r="AD713" s="323"/>
      <c r="AE713" s="324"/>
      <c r="AF713" s="317"/>
      <c r="AG713" s="325" t="s">
        <v>2072</v>
      </c>
      <c r="AH713" s="326"/>
      <c r="AI713" s="317">
        <v>0</v>
      </c>
      <c r="AJ713" s="326">
        <v>43819</v>
      </c>
      <c r="AK713" s="326">
        <v>43629</v>
      </c>
      <c r="AL713" s="326">
        <v>43780</v>
      </c>
      <c r="AM713" s="316"/>
      <c r="AN713" s="305"/>
      <c r="AO713" s="327" t="str">
        <f>_xlfn.IFNA(IF(VLOOKUP(tabItens[[#This Row],[CÓDIGO]],tabExcluirDoEstoque[#Data],1,FALSE),"sim",""),"")</f>
        <v/>
      </c>
      <c r="AP713" s="328" t="str">
        <f ca="1">IF(OR(ISBLANK(tabItens[[#This Row],[ATA DT.VALID.]]),tabItens[[#This Row],[ATA DT.VALID.]]="",tabItens[[#This Row],[ATA DT.VALID.]]=" "),"",IF(TYPE(tabItens[[#This Row],[ATA DT.VALID.]])=1,ROUNDUP((tabItens[[#This Row],[ATA DT.VALID.]]-TODAY())/7,0),""))</f>
        <v/>
      </c>
      <c r="AQ713" s="329"/>
      <c r="AR713" s="330">
        <f>IF(ISBLANK(tabItens[[#This Row],[CÓDIGO]]),"",IFERROR(VLOOKUP(tabItens[[#This Row],[CÓDIGO]],Consumo!$C$2:$AC$862,26,FALSE),0))</f>
        <v>0</v>
      </c>
      <c r="AS713" s="331">
        <f>SUMIF(Consumo!$C$3:$C$862,tabItens[[#This Row],[CÓDIGO]],Consumo!$N$3:$N$862) + SUMIF(Consumo!$C$3:$C$862,tabItens[[#This Row],[CÓDIGO]],Consumo!$O$3:$O$862) + SUMIF(Consumo!$C$3:$C$862,tabItens[[#This Row],[CÓDIGO]],Consumo!$P$3:$P$862) + SUMIF(Consumo!$C$3:$C$862,tabItens[[#This Row],[CÓDIGO]],Consumo!$Q$3:$Q$862)</f>
        <v>0</v>
      </c>
      <c r="AT713" s="331">
        <f>SUMIF(Consumo!$C$3:$C$862,tabItens[[#This Row],[CÓDIGO]],Consumo!$Z$3:$Z$862)</f>
        <v>0</v>
      </c>
      <c r="AU713" s="332">
        <f>SUMIF(Consumo!$C$3:$C$862,tabItens[[#This Row],[CÓDIGO]],Consumo!$AA$3:$AA$862)</f>
        <v>0</v>
      </c>
      <c r="AV713" s="333">
        <f>SUMIF(Consumo!$C$3:$C$862,tabItens[[#This Row],[CÓDIGO]],Consumo!$Y$3:$Y$862)</f>
        <v>0</v>
      </c>
      <c r="AW713" s="306">
        <f>tabItens[[#This Row],[QTDE ATUAL]] + tabItens[[#This Row],[RC QTDE]] + tabItens[[#This Row],[AF SALDO]] + tabItens[[#This Row],[Recentes]]</f>
        <v>59</v>
      </c>
      <c r="AX713" s="334">
        <v>0</v>
      </c>
      <c r="AY713" s="334">
        <v>4</v>
      </c>
      <c r="AZ713" s="334">
        <f>IF(ISBLANK(tabItens[[#This Row],[CÓDIGO]]),"",tabItens[[#This Row],[PontoMês]] * (AZ$2+tabItens[[#This Row],[PontoQtM]]))</f>
        <v>0</v>
      </c>
      <c r="BA713" s="333">
        <f>tabItens[[#This Row],[PontoPed]] - tabItens[[#This Row],[Saldo]] + (1/10)</f>
        <v>-58.9</v>
      </c>
      <c r="BB713" s="333">
        <f xml:space="preserve"> tabItens[[#This Row],[PontoMês]] * BB$2 - tabItens[[#This Row],[QTDE ATUAL]] - (1/10)</f>
        <v>-59.1</v>
      </c>
      <c r="BC713" s="335">
        <f>IF( tabItens[[#This Row],[PontoPed]]&gt;0, IF(tabItens[[#This Row],[PontoPed]]&lt;1, 1, IF( tabItens[[#This Row],[Saldo]]&gt;tabItens[[#This Row],[PontoPed]], 0, (tabItens[[#This Row],[PontoPed]]-tabItens[[#This Row],[Saldo]])/tabItens[[#This Row],[PontoPed]] ) ), 0 )</f>
        <v>0</v>
      </c>
      <c r="BD713" s="336">
        <f>ROUNDDOWN(IF( OR( AND(tabItens[[#This Row],[PontoPed]]&lt;tabItens[[#This Row],[Saldo]],tabItens[[#This Row],[Saldo]]&gt;0), tabItens[[#This Row],[PontoPed]]=0), 99, IF(AND(tabItens[[#This Row],[Saldo]]=0,tabItens[[#This Row],[PontoPed]]&gt;0), 0, (1-tabItens[[#This Row],[PctAb]])*10 ) ),0)</f>
        <v>99</v>
      </c>
      <c r="BE713" s="337">
        <f>MAX(ROUNDDOWN( IF(tabItens[[#This Row],[Abaixo]] &gt; 0,   tabItens[[#This Row],[Abaixo]] + (tabItens[[#This Row],[PontoMês]] * IF( OR( ISBLANK(tabItens[[#This Row],[ATA Nº/ANO]]), tabItens[[#This Row],[ATA Nº/ANO]] = ""),BE$2,BE$1)),0),0),0)</f>
        <v>0</v>
      </c>
      <c r="BF71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3" s="338">
        <f>SUMIF(Consumo!$C$3:$C$862,tabItens[[#This Row],[CÓDIGO]],Consumo!$E$3:$E$862)</f>
        <v>0</v>
      </c>
      <c r="BH713" s="339">
        <f>IF(AND(tabItens[[#This Row],[Pend]] &gt; 0,tabItens[[#This Row],[Consumo]] &lt;&gt; 0), tabItens[[#This Row],[Pend]] / tabItens[[#This Row],[Consumo]], 0 )</f>
        <v>0</v>
      </c>
      <c r="BI713" s="338"/>
      <c r="BJ713" s="338"/>
      <c r="BK713" s="340" t="s">
        <v>2086</v>
      </c>
    </row>
    <row r="714" spans="1:63" hidden="1" x14ac:dyDescent="0.3">
      <c r="A714" s="301">
        <v>143099</v>
      </c>
      <c r="B714" s="302" t="s">
        <v>2049</v>
      </c>
      <c r="C714" s="303" t="s">
        <v>269</v>
      </c>
      <c r="D714" s="304">
        <v>37.5</v>
      </c>
      <c r="E714" s="305"/>
      <c r="F714" s="305"/>
      <c r="G714" s="305" t="s">
        <v>889</v>
      </c>
      <c r="H714" s="306">
        <v>1495</v>
      </c>
      <c r="I714" s="307">
        <v>103003</v>
      </c>
      <c r="J714" s="308">
        <v>37.5</v>
      </c>
      <c r="K714" s="309">
        <v>694</v>
      </c>
      <c r="L714" s="310">
        <f>IF(tabItens[[#This Row],[Média]] &gt; 0, tabItens[[#This Row],[QTDE ATUAL]] / tabItens[[#This Row],[Média]],999.9)</f>
        <v>16.89265536723164</v>
      </c>
      <c r="M714" s="311">
        <v>0</v>
      </c>
      <c r="N714" s="312">
        <f>tabItens[[#This Row],[VALOR UNIT.]] * tabItens[[#This Row],[LC]]</f>
        <v>0</v>
      </c>
      <c r="O714" s="313"/>
      <c r="P714" s="314"/>
      <c r="Q714" s="315"/>
      <c r="R714" s="312"/>
      <c r="S714" s="316"/>
      <c r="T714" s="317">
        <f>ROUNDDOWN(IFERROR(tabItens[[#This Row],[ATA DT.VALID.]] - $D$1,0) / 30,0)</f>
        <v>-1474</v>
      </c>
      <c r="U714" s="302" t="s">
        <v>1492</v>
      </c>
      <c r="V714" s="318">
        <v>1</v>
      </c>
      <c r="W714" s="319" t="s">
        <v>2081</v>
      </c>
      <c r="X714" s="320">
        <v>54</v>
      </c>
      <c r="Y714" s="321">
        <v>4</v>
      </c>
      <c r="Z714" s="322"/>
      <c r="AA714" s="323"/>
      <c r="AB714" s="324"/>
      <c r="AC714" s="324"/>
      <c r="AD714" s="323"/>
      <c r="AE714" s="324"/>
      <c r="AF714" s="317"/>
      <c r="AG714" s="325" t="s">
        <v>2072</v>
      </c>
      <c r="AH714" s="326"/>
      <c r="AI714" s="317">
        <v>354</v>
      </c>
      <c r="AJ714" s="326">
        <v>44540</v>
      </c>
      <c r="AK714" s="326">
        <v>44438</v>
      </c>
      <c r="AL714" s="326">
        <v>44519</v>
      </c>
      <c r="AM714" s="316"/>
      <c r="AN714" s="305"/>
      <c r="AO714" s="327" t="str">
        <f>_xlfn.IFNA(IF(VLOOKUP(tabItens[[#This Row],[CÓDIGO]],tabExcluirDoEstoque[#Data],1,FALSE),"sim",""),"")</f>
        <v/>
      </c>
      <c r="AP714" s="328" t="str">
        <f ca="1">IF(OR(ISBLANK(tabItens[[#This Row],[ATA DT.VALID.]]),tabItens[[#This Row],[ATA DT.VALID.]]="",tabItens[[#This Row],[ATA DT.VALID.]]=" "),"",IF(TYPE(tabItens[[#This Row],[ATA DT.VALID.]])=1,ROUNDUP((tabItens[[#This Row],[ATA DT.VALID.]]-TODAY())/7,0),""))</f>
        <v/>
      </c>
      <c r="AQ714" s="329"/>
      <c r="AR714" s="330" t="str">
        <f>IF(ISBLANK(tabItens[[#This Row],[CÓDIGO]]),"",IFERROR(VLOOKUP(tabItens[[#This Row],[CÓDIGO]],Consumo!$C$2:$AC$862,26,FALSE),0))</f>
        <v>09.2023</v>
      </c>
      <c r="AS714" s="331">
        <f>SUMIF(Consumo!$C$3:$C$862,tabItens[[#This Row],[CÓDIGO]],Consumo!$N$3:$N$862) + SUMIF(Consumo!$C$3:$C$862,tabItens[[#This Row],[CÓDIGO]],Consumo!$O$3:$O$862) + SUMIF(Consumo!$C$3:$C$862,tabItens[[#This Row],[CÓDIGO]],Consumo!$P$3:$P$862) + SUMIF(Consumo!$C$3:$C$862,tabItens[[#This Row],[CÓDIGO]],Consumo!$Q$3:$Q$862)</f>
        <v>381</v>
      </c>
      <c r="AT714" s="331">
        <f>SUMIF(Consumo!$C$3:$C$862,tabItens[[#This Row],[CÓDIGO]],Consumo!$Z$3:$Z$862)</f>
        <v>1062</v>
      </c>
      <c r="AU714" s="332">
        <f>SUMIF(Consumo!$C$3:$C$862,tabItens[[#This Row],[CÓDIGO]],Consumo!$AA$3:$AA$862)</f>
        <v>137</v>
      </c>
      <c r="AV714" s="333">
        <f>SUMIF(Consumo!$C$3:$C$862,tabItens[[#This Row],[CÓDIGO]],Consumo!$Y$3:$Y$862)</f>
        <v>88.5</v>
      </c>
      <c r="AW714" s="306">
        <f>tabItens[[#This Row],[QTDE ATUAL]] + tabItens[[#This Row],[RC QTDE]] + tabItens[[#This Row],[AF SALDO]] + tabItens[[#This Row],[Recentes]]</f>
        <v>1495</v>
      </c>
      <c r="AX714" s="334">
        <v>0</v>
      </c>
      <c r="AY714" s="334">
        <v>0</v>
      </c>
      <c r="AZ714" s="334">
        <f>IF(ISBLANK(tabItens[[#This Row],[CÓDIGO]]),"",tabItens[[#This Row],[PontoMês]] * (AZ$2+tabItens[[#This Row],[PontoQtM]]))</f>
        <v>0</v>
      </c>
      <c r="BA714" s="333">
        <f>tabItens[[#This Row],[PontoPed]] - tabItens[[#This Row],[Saldo]] + (1/10)</f>
        <v>-1494.9</v>
      </c>
      <c r="BB714" s="333">
        <f xml:space="preserve"> tabItens[[#This Row],[PontoMês]] * BB$2 - tabItens[[#This Row],[QTDE ATUAL]] - (1/10)</f>
        <v>-1495.1</v>
      </c>
      <c r="BC714" s="335">
        <f>IF( tabItens[[#This Row],[PontoPed]]&gt;0, IF(tabItens[[#This Row],[PontoPed]]&lt;1, 1, IF( tabItens[[#This Row],[Saldo]]&gt;tabItens[[#This Row],[PontoPed]], 0, (tabItens[[#This Row],[PontoPed]]-tabItens[[#This Row],[Saldo]])/tabItens[[#This Row],[PontoPed]] ) ), 0 )</f>
        <v>0</v>
      </c>
      <c r="BD714" s="336">
        <f>ROUNDDOWN(IF( OR( AND(tabItens[[#This Row],[PontoPed]]&lt;tabItens[[#This Row],[Saldo]],tabItens[[#This Row],[Saldo]]&gt;0), tabItens[[#This Row],[PontoPed]]=0), 99, IF(AND(tabItens[[#This Row],[Saldo]]=0,tabItens[[#This Row],[PontoPed]]&gt;0), 0, (1-tabItens[[#This Row],[PctAb]])*10 ) ),0)</f>
        <v>99</v>
      </c>
      <c r="BE714" s="337">
        <f>MAX(ROUNDDOWN( IF(tabItens[[#This Row],[Abaixo]] &gt; 0,   tabItens[[#This Row],[Abaixo]] + (tabItens[[#This Row],[PontoMês]] * IF( OR( ISBLANK(tabItens[[#This Row],[ATA Nº/ANO]]), tabItens[[#This Row],[ATA Nº/ANO]] = ""),BE$2,BE$1)),0),0),0)</f>
        <v>0</v>
      </c>
      <c r="BF71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4" s="338">
        <f>SUMIF(Consumo!$C$3:$C$862,tabItens[[#This Row],[CÓDIGO]],Consumo!$E$3:$E$862)</f>
        <v>0</v>
      </c>
      <c r="BH714" s="339">
        <f>IF(AND(tabItens[[#This Row],[Pend]] &gt; 0,tabItens[[#This Row],[Consumo]] &lt;&gt; 0), tabItens[[#This Row],[Pend]] / tabItens[[#This Row],[Consumo]], 0 )</f>
        <v>0</v>
      </c>
      <c r="BI714" s="338"/>
      <c r="BJ714" s="338"/>
      <c r="BK714" s="340" t="s">
        <v>2086</v>
      </c>
    </row>
    <row r="715" spans="1:63" hidden="1" x14ac:dyDescent="0.3">
      <c r="A715" s="301">
        <v>105113</v>
      </c>
      <c r="B715" s="302" t="s">
        <v>1617</v>
      </c>
      <c r="C715" s="303" t="s">
        <v>263</v>
      </c>
      <c r="D715" s="304">
        <v>33.869999999999997</v>
      </c>
      <c r="E715" s="305"/>
      <c r="F715" s="305"/>
      <c r="G715" s="305" t="s">
        <v>889</v>
      </c>
      <c r="H715" s="306">
        <v>5</v>
      </c>
      <c r="I715" s="307">
        <v>103003</v>
      </c>
      <c r="J715" s="308">
        <v>33.869999999999997</v>
      </c>
      <c r="K715" s="309"/>
      <c r="L715" s="310">
        <f>IF(tabItens[[#This Row],[Média]] &gt; 0, tabItens[[#This Row],[QTDE ATUAL]] / tabItens[[#This Row],[Média]],999.9)</f>
        <v>999.9</v>
      </c>
      <c r="M715" s="311">
        <v>0</v>
      </c>
      <c r="N715" s="312">
        <f>tabItens[[#This Row],[VALOR UNIT.]] * tabItens[[#This Row],[LC]]</f>
        <v>0</v>
      </c>
      <c r="O715" s="313"/>
      <c r="P715" s="314"/>
      <c r="Q715" s="315"/>
      <c r="R715" s="312"/>
      <c r="S715" s="316"/>
      <c r="T715" s="317">
        <f>ROUNDDOWN(IFERROR(tabItens[[#This Row],[ATA DT.VALID.]] - $D$1,0) / 30,0)</f>
        <v>-1474</v>
      </c>
      <c r="U715" s="302" t="s">
        <v>1561</v>
      </c>
      <c r="V715" s="318">
        <v>1</v>
      </c>
      <c r="W715" s="319" t="s">
        <v>2081</v>
      </c>
      <c r="X715" s="320">
        <v>54</v>
      </c>
      <c r="Y715" s="321">
        <v>19</v>
      </c>
      <c r="Z715" s="322"/>
      <c r="AA715" s="323"/>
      <c r="AB715" s="324"/>
      <c r="AC715" s="324"/>
      <c r="AD715" s="323"/>
      <c r="AE715" s="324"/>
      <c r="AF715" s="317"/>
      <c r="AG715" s="325" t="s">
        <v>2072</v>
      </c>
      <c r="AH715" s="326"/>
      <c r="AI715" s="317">
        <v>0</v>
      </c>
      <c r="AJ715" s="326">
        <v>42772</v>
      </c>
      <c r="AK715" s="326">
        <v>39499</v>
      </c>
      <c r="AL715" s="326">
        <v>42706</v>
      </c>
      <c r="AM715" s="316"/>
      <c r="AN715" s="305"/>
      <c r="AO715" s="327" t="str">
        <f>_xlfn.IFNA(IF(VLOOKUP(tabItens[[#This Row],[CÓDIGO]],tabExcluirDoEstoque[#Data],1,FALSE),"sim",""),"")</f>
        <v/>
      </c>
      <c r="AP715" s="328" t="str">
        <f ca="1">IF(OR(ISBLANK(tabItens[[#This Row],[ATA DT.VALID.]]),tabItens[[#This Row],[ATA DT.VALID.]]="",tabItens[[#This Row],[ATA DT.VALID.]]=" "),"",IF(TYPE(tabItens[[#This Row],[ATA DT.VALID.]])=1,ROUNDUP((tabItens[[#This Row],[ATA DT.VALID.]]-TODAY())/7,0),""))</f>
        <v/>
      </c>
      <c r="AQ715" s="329"/>
      <c r="AR715" s="330">
        <f>IF(ISBLANK(tabItens[[#This Row],[CÓDIGO]]),"",IFERROR(VLOOKUP(tabItens[[#This Row],[CÓDIGO]],Consumo!$C$2:$AC$862,26,FALSE),0))</f>
        <v>0</v>
      </c>
      <c r="AS715" s="331">
        <f>SUMIF(Consumo!$C$3:$C$862,tabItens[[#This Row],[CÓDIGO]],Consumo!$N$3:$N$862) + SUMIF(Consumo!$C$3:$C$862,tabItens[[#This Row],[CÓDIGO]],Consumo!$O$3:$O$862) + SUMIF(Consumo!$C$3:$C$862,tabItens[[#This Row],[CÓDIGO]],Consumo!$P$3:$P$862) + SUMIF(Consumo!$C$3:$C$862,tabItens[[#This Row],[CÓDIGO]],Consumo!$Q$3:$Q$862)</f>
        <v>0</v>
      </c>
      <c r="AT715" s="331">
        <f>SUMIF(Consumo!$C$3:$C$862,tabItens[[#This Row],[CÓDIGO]],Consumo!$Z$3:$Z$862)</f>
        <v>0</v>
      </c>
      <c r="AU715" s="332">
        <f>SUMIF(Consumo!$C$3:$C$862,tabItens[[#This Row],[CÓDIGO]],Consumo!$AA$3:$AA$862)</f>
        <v>0</v>
      </c>
      <c r="AV715" s="333">
        <f>SUMIF(Consumo!$C$3:$C$862,tabItens[[#This Row],[CÓDIGO]],Consumo!$Y$3:$Y$862)</f>
        <v>0</v>
      </c>
      <c r="AW715" s="306">
        <f>tabItens[[#This Row],[QTDE ATUAL]] + tabItens[[#This Row],[RC QTDE]] + tabItens[[#This Row],[AF SALDO]] + tabItens[[#This Row],[Recentes]]</f>
        <v>5</v>
      </c>
      <c r="AX715" s="334">
        <v>0</v>
      </c>
      <c r="AY715" s="334">
        <v>4</v>
      </c>
      <c r="AZ715" s="334">
        <f>IF(ISBLANK(tabItens[[#This Row],[CÓDIGO]]),"",tabItens[[#This Row],[PontoMês]] * (AZ$2+tabItens[[#This Row],[PontoQtM]]))</f>
        <v>0</v>
      </c>
      <c r="BA715" s="333">
        <f>tabItens[[#This Row],[PontoPed]] - tabItens[[#This Row],[Saldo]] + (1/10)</f>
        <v>-4.9000000000000004</v>
      </c>
      <c r="BB715" s="333">
        <f xml:space="preserve"> tabItens[[#This Row],[PontoMês]] * BB$2 - tabItens[[#This Row],[QTDE ATUAL]] - (1/10)</f>
        <v>-5.0999999999999996</v>
      </c>
      <c r="BC715" s="335">
        <f>IF( tabItens[[#This Row],[PontoPed]]&gt;0, IF(tabItens[[#This Row],[PontoPed]]&lt;1, 1, IF( tabItens[[#This Row],[Saldo]]&gt;tabItens[[#This Row],[PontoPed]], 0, (tabItens[[#This Row],[PontoPed]]-tabItens[[#This Row],[Saldo]])/tabItens[[#This Row],[PontoPed]] ) ), 0 )</f>
        <v>0</v>
      </c>
      <c r="BD715" s="336">
        <f>ROUNDDOWN(IF( OR( AND(tabItens[[#This Row],[PontoPed]]&lt;tabItens[[#This Row],[Saldo]],tabItens[[#This Row],[Saldo]]&gt;0), tabItens[[#This Row],[PontoPed]]=0), 99, IF(AND(tabItens[[#This Row],[Saldo]]=0,tabItens[[#This Row],[PontoPed]]&gt;0), 0, (1-tabItens[[#This Row],[PctAb]])*10 ) ),0)</f>
        <v>99</v>
      </c>
      <c r="BE715" s="337">
        <f>MAX(ROUNDDOWN( IF(tabItens[[#This Row],[Abaixo]] &gt; 0,   tabItens[[#This Row],[Abaixo]] + (tabItens[[#This Row],[PontoMês]] * IF( OR( ISBLANK(tabItens[[#This Row],[ATA Nº/ANO]]), tabItens[[#This Row],[ATA Nº/ANO]] = ""),BE$2,BE$1)),0),0),0)</f>
        <v>0</v>
      </c>
      <c r="BF71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5" s="338">
        <f>SUMIF(Consumo!$C$3:$C$862,tabItens[[#This Row],[CÓDIGO]],Consumo!$E$3:$E$862)</f>
        <v>0</v>
      </c>
      <c r="BH715" s="339">
        <f>IF(AND(tabItens[[#This Row],[Pend]] &gt; 0,tabItens[[#This Row],[Consumo]] &lt;&gt; 0), tabItens[[#This Row],[Pend]] / tabItens[[#This Row],[Consumo]], 0 )</f>
        <v>0</v>
      </c>
      <c r="BI715" s="338"/>
      <c r="BJ715" s="338"/>
      <c r="BK715" s="340" t="s">
        <v>2086</v>
      </c>
    </row>
    <row r="716" spans="1:63" hidden="1" x14ac:dyDescent="0.3">
      <c r="A716" s="301">
        <v>142982</v>
      </c>
      <c r="B716" s="302" t="s">
        <v>2047</v>
      </c>
      <c r="C716" s="303" t="s">
        <v>263</v>
      </c>
      <c r="D716" s="304">
        <v>233</v>
      </c>
      <c r="E716" s="305"/>
      <c r="F716" s="305"/>
      <c r="G716" s="305" t="s">
        <v>889</v>
      </c>
      <c r="H716" s="306">
        <v>0</v>
      </c>
      <c r="I716" s="307">
        <v>103003</v>
      </c>
      <c r="J716" s="308">
        <v>233</v>
      </c>
      <c r="K716" s="309">
        <v>63</v>
      </c>
      <c r="L716" s="310">
        <f>IF(tabItens[[#This Row],[Média]] &gt; 0, tabItens[[#This Row],[QTDE ATUAL]] / tabItens[[#This Row],[Média]],999.9)</f>
        <v>0</v>
      </c>
      <c r="M716" s="311">
        <v>0</v>
      </c>
      <c r="N716" s="312">
        <f>tabItens[[#This Row],[VALOR UNIT.]] * tabItens[[#This Row],[LC]]</f>
        <v>0</v>
      </c>
      <c r="O716" s="313"/>
      <c r="P716" s="314"/>
      <c r="Q716" s="315"/>
      <c r="R716" s="312"/>
      <c r="S716" s="316"/>
      <c r="T716" s="317">
        <f>ROUNDDOWN(IFERROR(tabItens[[#This Row],[ATA DT.VALID.]] - $D$1,0) / 30,0)</f>
        <v>-1474</v>
      </c>
      <c r="U716" s="302" t="s">
        <v>2048</v>
      </c>
      <c r="V716" s="318">
        <v>1</v>
      </c>
      <c r="W716" s="319"/>
      <c r="X716" s="320">
        <v>55</v>
      </c>
      <c r="Y716" s="321">
        <v>6</v>
      </c>
      <c r="Z716" s="322">
        <v>2956</v>
      </c>
      <c r="AA716" s="323">
        <v>2023</v>
      </c>
      <c r="AB716" s="324">
        <v>100</v>
      </c>
      <c r="AC716" s="324"/>
      <c r="AD716" s="323"/>
      <c r="AE716" s="324"/>
      <c r="AF716" s="317"/>
      <c r="AG716" s="325" t="s">
        <v>2072</v>
      </c>
      <c r="AH716" s="326"/>
      <c r="AI716" s="317">
        <v>24</v>
      </c>
      <c r="AJ716" s="326">
        <v>44909</v>
      </c>
      <c r="AK716" s="326">
        <v>44428</v>
      </c>
      <c r="AL716" s="326">
        <v>44845</v>
      </c>
      <c r="AM716" s="316"/>
      <c r="AN716" s="305"/>
      <c r="AO716" s="327" t="str">
        <f>_xlfn.IFNA(IF(VLOOKUP(tabItens[[#This Row],[CÓDIGO]],tabExcluirDoEstoque[#Data],1,FALSE),"sim",""),"")</f>
        <v/>
      </c>
      <c r="AP716" s="328" t="str">
        <f ca="1">IF(OR(ISBLANK(tabItens[[#This Row],[ATA DT.VALID.]]),tabItens[[#This Row],[ATA DT.VALID.]]="",tabItens[[#This Row],[ATA DT.VALID.]]=" "),"",IF(TYPE(tabItens[[#This Row],[ATA DT.VALID.]])=1,ROUNDUP((tabItens[[#This Row],[ATA DT.VALID.]]-TODAY())/7,0),""))</f>
        <v/>
      </c>
      <c r="AQ716" s="329"/>
      <c r="AR716" s="330" t="str">
        <f>IF(ISBLANK(tabItens[[#This Row],[CÓDIGO]]),"",IFERROR(VLOOKUP(tabItens[[#This Row],[CÓDIGO]],Consumo!$C$2:$AC$862,26,FALSE),0))</f>
        <v>07.2023</v>
      </c>
      <c r="AS716" s="331">
        <f>SUMIF(Consumo!$C$3:$C$862,tabItens[[#This Row],[CÓDIGO]],Consumo!$N$3:$N$862) + SUMIF(Consumo!$C$3:$C$862,tabItens[[#This Row],[CÓDIGO]],Consumo!$O$3:$O$862) + SUMIF(Consumo!$C$3:$C$862,tabItens[[#This Row],[CÓDIGO]],Consumo!$P$3:$P$862) + SUMIF(Consumo!$C$3:$C$862,tabItens[[#This Row],[CÓDIGO]],Consumo!$Q$3:$Q$862)</f>
        <v>4</v>
      </c>
      <c r="AT716" s="331">
        <f>SUMIF(Consumo!$C$3:$C$862,tabItens[[#This Row],[CÓDIGO]],Consumo!$Z$3:$Z$862)</f>
        <v>87</v>
      </c>
      <c r="AU716" s="332">
        <f>SUMIF(Consumo!$C$3:$C$862,tabItens[[#This Row],[CÓDIGO]],Consumo!$AA$3:$AA$862)</f>
        <v>16</v>
      </c>
      <c r="AV716" s="333">
        <f>SUMIF(Consumo!$C$3:$C$862,tabItens[[#This Row],[CÓDIGO]],Consumo!$Y$3:$Y$862)</f>
        <v>7.25</v>
      </c>
      <c r="AW716" s="306">
        <f>tabItens[[#This Row],[QTDE ATUAL]] + tabItens[[#This Row],[RC QTDE]] + tabItens[[#This Row],[AF SALDO]] + tabItens[[#This Row],[Recentes]]</f>
        <v>100</v>
      </c>
      <c r="AX716" s="334">
        <v>0</v>
      </c>
      <c r="AY716" s="334">
        <v>0</v>
      </c>
      <c r="AZ716" s="334">
        <f>IF(ISBLANK(tabItens[[#This Row],[CÓDIGO]]),"",tabItens[[#This Row],[PontoMês]] * (AZ$2+tabItens[[#This Row],[PontoQtM]]))</f>
        <v>0</v>
      </c>
      <c r="BA716" s="333">
        <f>tabItens[[#This Row],[PontoPed]] - tabItens[[#This Row],[Saldo]] + (1/10)</f>
        <v>-99.9</v>
      </c>
      <c r="BB716" s="333">
        <f xml:space="preserve"> tabItens[[#This Row],[PontoMês]] * BB$2 - tabItens[[#This Row],[QTDE ATUAL]] - (1/10)</f>
        <v>-0.1</v>
      </c>
      <c r="BC716" s="335">
        <f>IF( tabItens[[#This Row],[PontoPed]]&gt;0, IF(tabItens[[#This Row],[PontoPed]]&lt;1, 1, IF( tabItens[[#This Row],[Saldo]]&gt;tabItens[[#This Row],[PontoPed]], 0, (tabItens[[#This Row],[PontoPed]]-tabItens[[#This Row],[Saldo]])/tabItens[[#This Row],[PontoPed]] ) ), 0 )</f>
        <v>0</v>
      </c>
      <c r="BD716" s="336">
        <f>ROUNDDOWN(IF( OR( AND(tabItens[[#This Row],[PontoPed]]&lt;tabItens[[#This Row],[Saldo]],tabItens[[#This Row],[Saldo]]&gt;0), tabItens[[#This Row],[PontoPed]]=0), 99, IF(AND(tabItens[[#This Row],[Saldo]]=0,tabItens[[#This Row],[PontoPed]]&gt;0), 0, (1-tabItens[[#This Row],[PctAb]])*10 ) ),0)</f>
        <v>99</v>
      </c>
      <c r="BE716" s="337">
        <f>MAX(ROUNDDOWN( IF(tabItens[[#This Row],[Abaixo]] &gt; 0,   tabItens[[#This Row],[Abaixo]] + (tabItens[[#This Row],[PontoMês]] * IF( OR( ISBLANK(tabItens[[#This Row],[ATA Nº/ANO]]), tabItens[[#This Row],[ATA Nº/ANO]] = ""),BE$2,BE$1)),0),0),0)</f>
        <v>0</v>
      </c>
      <c r="BF71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6" s="338">
        <f>SUMIF(Consumo!$C$3:$C$862,tabItens[[#This Row],[CÓDIGO]],Consumo!$E$3:$E$862)</f>
        <v>16</v>
      </c>
      <c r="BH716" s="339">
        <f>IF(AND(tabItens[[#This Row],[Pend]] &gt; 0,tabItens[[#This Row],[Consumo]] &lt;&gt; 0), tabItens[[#This Row],[Pend]] / tabItens[[#This Row],[Consumo]], 0 )</f>
        <v>0.18390804597701149</v>
      </c>
      <c r="BI716" s="338"/>
      <c r="BJ716" s="338"/>
      <c r="BK716" s="340" t="s">
        <v>2086</v>
      </c>
    </row>
    <row r="717" spans="1:63" hidden="1" x14ac:dyDescent="0.3">
      <c r="A717" s="301">
        <v>45637</v>
      </c>
      <c r="B717" s="302" t="s">
        <v>1289</v>
      </c>
      <c r="C717" s="303" t="s">
        <v>263</v>
      </c>
      <c r="D717" s="304">
        <v>25.64</v>
      </c>
      <c r="E717" s="305"/>
      <c r="F717" s="305"/>
      <c r="G717" s="305" t="s">
        <v>889</v>
      </c>
      <c r="H717" s="306">
        <v>787</v>
      </c>
      <c r="I717" s="307">
        <v>103003</v>
      </c>
      <c r="J717" s="308">
        <v>11.99437</v>
      </c>
      <c r="K717" s="309"/>
      <c r="L717" s="310">
        <f>IF(tabItens[[#This Row],[Média]] &gt; 0, tabItens[[#This Row],[QTDE ATUAL]] / tabItens[[#This Row],[Média]],999.9)</f>
        <v>999.9</v>
      </c>
      <c r="M717" s="311">
        <v>0</v>
      </c>
      <c r="N717" s="312">
        <f>tabItens[[#This Row],[VALOR UNIT.]] * tabItens[[#This Row],[LC]]</f>
        <v>0</v>
      </c>
      <c r="O717" s="313"/>
      <c r="P717" s="314"/>
      <c r="Q717" s="315"/>
      <c r="R717" s="312"/>
      <c r="S717" s="316"/>
      <c r="T717" s="317">
        <f>ROUNDDOWN(IFERROR(tabItens[[#This Row],[ATA DT.VALID.]] - $D$1,0) / 30,0)</f>
        <v>-1474</v>
      </c>
      <c r="U717" s="302" t="s">
        <v>1290</v>
      </c>
      <c r="V717" s="318">
        <v>1</v>
      </c>
      <c r="W717" s="319" t="s">
        <v>2077</v>
      </c>
      <c r="X717" s="320">
        <v>55</v>
      </c>
      <c r="Y717" s="321">
        <v>9</v>
      </c>
      <c r="Z717" s="322"/>
      <c r="AA717" s="323"/>
      <c r="AB717" s="324"/>
      <c r="AC717" s="324"/>
      <c r="AD717" s="323"/>
      <c r="AE717" s="324"/>
      <c r="AF717" s="317"/>
      <c r="AG717" s="325" t="s">
        <v>2072</v>
      </c>
      <c r="AH717" s="326"/>
      <c r="AI717" s="317">
        <v>0</v>
      </c>
      <c r="AJ717" s="326">
        <v>39846</v>
      </c>
      <c r="AK717" s="326" t="s">
        <v>889</v>
      </c>
      <c r="AL717" s="326">
        <v>39798</v>
      </c>
      <c r="AM717" s="316"/>
      <c r="AN717" s="305"/>
      <c r="AO717" s="327" t="str">
        <f>_xlfn.IFNA(IF(VLOOKUP(tabItens[[#This Row],[CÓDIGO]],tabExcluirDoEstoque[#Data],1,FALSE),"sim",""),"")</f>
        <v/>
      </c>
      <c r="AP717" s="328" t="str">
        <f ca="1">IF(OR(ISBLANK(tabItens[[#This Row],[ATA DT.VALID.]]),tabItens[[#This Row],[ATA DT.VALID.]]="",tabItens[[#This Row],[ATA DT.VALID.]]=" "),"",IF(TYPE(tabItens[[#This Row],[ATA DT.VALID.]])=1,ROUNDUP((tabItens[[#This Row],[ATA DT.VALID.]]-TODAY())/7,0),""))</f>
        <v/>
      </c>
      <c r="AQ717" s="329"/>
      <c r="AR717" s="330">
        <f>IF(ISBLANK(tabItens[[#This Row],[CÓDIGO]]),"",IFERROR(VLOOKUP(tabItens[[#This Row],[CÓDIGO]],Consumo!$C$2:$AC$862,26,FALSE),0))</f>
        <v>0</v>
      </c>
      <c r="AS717" s="331">
        <f>SUMIF(Consumo!$C$3:$C$862,tabItens[[#This Row],[CÓDIGO]],Consumo!$N$3:$N$862) + SUMIF(Consumo!$C$3:$C$862,tabItens[[#This Row],[CÓDIGO]],Consumo!$O$3:$O$862) + SUMIF(Consumo!$C$3:$C$862,tabItens[[#This Row],[CÓDIGO]],Consumo!$P$3:$P$862) + SUMIF(Consumo!$C$3:$C$862,tabItens[[#This Row],[CÓDIGO]],Consumo!$Q$3:$Q$862)</f>
        <v>0</v>
      </c>
      <c r="AT717" s="331">
        <f>SUMIF(Consumo!$C$3:$C$862,tabItens[[#This Row],[CÓDIGO]],Consumo!$Z$3:$Z$862)</f>
        <v>0</v>
      </c>
      <c r="AU717" s="332">
        <f>SUMIF(Consumo!$C$3:$C$862,tabItens[[#This Row],[CÓDIGO]],Consumo!$AA$3:$AA$862)</f>
        <v>0</v>
      </c>
      <c r="AV717" s="333">
        <f>SUMIF(Consumo!$C$3:$C$862,tabItens[[#This Row],[CÓDIGO]],Consumo!$Y$3:$Y$862)</f>
        <v>0</v>
      </c>
      <c r="AW717" s="306">
        <f>tabItens[[#This Row],[QTDE ATUAL]] + tabItens[[#This Row],[RC QTDE]] + tabItens[[#This Row],[AF SALDO]] + tabItens[[#This Row],[Recentes]]</f>
        <v>787</v>
      </c>
      <c r="AX717" s="334">
        <v>2</v>
      </c>
      <c r="AY717" s="334">
        <v>4</v>
      </c>
      <c r="AZ717" s="334">
        <f>IF(ISBLANK(tabItens[[#This Row],[CÓDIGO]]),"",tabItens[[#This Row],[PontoMês]] * (AZ$2+tabItens[[#This Row],[PontoQtM]]))</f>
        <v>8</v>
      </c>
      <c r="BA717" s="333">
        <f>tabItens[[#This Row],[PontoPed]] - tabItens[[#This Row],[Saldo]] + (1/10)</f>
        <v>-778.9</v>
      </c>
      <c r="BB717" s="333">
        <f xml:space="preserve"> tabItens[[#This Row],[PontoMês]] * BB$2 - tabItens[[#This Row],[QTDE ATUAL]] - (1/10)</f>
        <v>-785.1</v>
      </c>
      <c r="BC717" s="335">
        <f>IF( tabItens[[#This Row],[PontoPed]]&gt;0, IF(tabItens[[#This Row],[PontoPed]]&lt;1, 1, IF( tabItens[[#This Row],[Saldo]]&gt;tabItens[[#This Row],[PontoPed]], 0, (tabItens[[#This Row],[PontoPed]]-tabItens[[#This Row],[Saldo]])/tabItens[[#This Row],[PontoPed]] ) ), 0 )</f>
        <v>0</v>
      </c>
      <c r="BD717" s="336">
        <f>ROUNDDOWN(IF( OR( AND(tabItens[[#This Row],[PontoPed]]&lt;tabItens[[#This Row],[Saldo]],tabItens[[#This Row],[Saldo]]&gt;0), tabItens[[#This Row],[PontoPed]]=0), 99, IF(AND(tabItens[[#This Row],[Saldo]]=0,tabItens[[#This Row],[PontoPed]]&gt;0), 0, (1-tabItens[[#This Row],[PctAb]])*10 ) ),0)</f>
        <v>99</v>
      </c>
      <c r="BE717" s="337">
        <f>MAX(ROUNDDOWN( IF(tabItens[[#This Row],[Abaixo]] &gt; 0,   tabItens[[#This Row],[Abaixo]] + (tabItens[[#This Row],[PontoMês]] * IF( OR( ISBLANK(tabItens[[#This Row],[ATA Nº/ANO]]), tabItens[[#This Row],[ATA Nº/ANO]] = ""),BE$2,BE$1)),0),0),0)</f>
        <v>0</v>
      </c>
      <c r="BF71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7" s="338">
        <f>SUMIF(Consumo!$C$3:$C$862,tabItens[[#This Row],[CÓDIGO]],Consumo!$E$3:$E$862)</f>
        <v>0</v>
      </c>
      <c r="BH717" s="339">
        <f>IF(AND(tabItens[[#This Row],[Pend]] &gt; 0,tabItens[[#This Row],[Consumo]] &lt;&gt; 0), tabItens[[#This Row],[Pend]] / tabItens[[#This Row],[Consumo]], 0 )</f>
        <v>0</v>
      </c>
      <c r="BI717" s="338"/>
      <c r="BJ717" s="338"/>
      <c r="BK717" s="340" t="s">
        <v>2086</v>
      </c>
    </row>
    <row r="718" spans="1:63" hidden="1" x14ac:dyDescent="0.3">
      <c r="A718" s="301">
        <v>72184</v>
      </c>
      <c r="B718" s="302" t="s">
        <v>1404</v>
      </c>
      <c r="C718" s="303" t="s">
        <v>263</v>
      </c>
      <c r="D718" s="304">
        <v>1.8</v>
      </c>
      <c r="E718" s="305"/>
      <c r="F718" s="305"/>
      <c r="G718" s="305" t="s">
        <v>889</v>
      </c>
      <c r="H718" s="306">
        <v>5812</v>
      </c>
      <c r="I718" s="307">
        <v>103003</v>
      </c>
      <c r="J718" s="308">
        <v>1.8</v>
      </c>
      <c r="K718" s="309">
        <v>905</v>
      </c>
      <c r="L718" s="310">
        <f>IF(tabItens[[#This Row],[Média]] &gt; 0, tabItens[[#This Row],[QTDE ATUAL]] / tabItens[[#This Row],[Média]],999.9)</f>
        <v>66.486177311725456</v>
      </c>
      <c r="M718" s="311">
        <v>0</v>
      </c>
      <c r="N718" s="312">
        <f>tabItens[[#This Row],[VALOR UNIT.]] * tabItens[[#This Row],[LC]]</f>
        <v>0</v>
      </c>
      <c r="O718" s="313"/>
      <c r="P718" s="314"/>
      <c r="Q718" s="315"/>
      <c r="R718" s="312"/>
      <c r="S718" s="316"/>
      <c r="T718" s="317">
        <f>ROUNDDOWN(IFERROR(tabItens[[#This Row],[ATA DT.VALID.]] - $D$1,0) / 30,0)</f>
        <v>-1474</v>
      </c>
      <c r="U718" s="302" t="s">
        <v>1405</v>
      </c>
      <c r="V718" s="318">
        <v>1</v>
      </c>
      <c r="W718" s="319" t="s">
        <v>2073</v>
      </c>
      <c r="X718" s="320">
        <v>55</v>
      </c>
      <c r="Y718" s="321">
        <v>16</v>
      </c>
      <c r="Z718" s="322"/>
      <c r="AA718" s="323"/>
      <c r="AB718" s="324"/>
      <c r="AC718" s="324"/>
      <c r="AD718" s="323"/>
      <c r="AE718" s="324"/>
      <c r="AF718" s="317"/>
      <c r="AG718" s="325" t="s">
        <v>2072</v>
      </c>
      <c r="AH718" s="326"/>
      <c r="AI718" s="317">
        <v>332</v>
      </c>
      <c r="AJ718" s="326">
        <v>45189</v>
      </c>
      <c r="AK718" s="326" t="s">
        <v>889</v>
      </c>
      <c r="AL718" s="326">
        <v>45167</v>
      </c>
      <c r="AM718" s="316"/>
      <c r="AN718" s="305"/>
      <c r="AO718" s="327" t="str">
        <f>_xlfn.IFNA(IF(VLOOKUP(tabItens[[#This Row],[CÓDIGO]],tabExcluirDoEstoque[#Data],1,FALSE),"sim",""),"")</f>
        <v/>
      </c>
      <c r="AP718" s="328" t="str">
        <f ca="1">IF(OR(ISBLANK(tabItens[[#This Row],[ATA DT.VALID.]]),tabItens[[#This Row],[ATA DT.VALID.]]="",tabItens[[#This Row],[ATA DT.VALID.]]=" "),"",IF(TYPE(tabItens[[#This Row],[ATA DT.VALID.]])=1,ROUNDUP((tabItens[[#This Row],[ATA DT.VALID.]]-TODAY())/7,0),""))</f>
        <v/>
      </c>
      <c r="AQ718" s="329"/>
      <c r="AR718" s="330" t="str">
        <f>IF(ISBLANK(tabItens[[#This Row],[CÓDIGO]]),"",IFERROR(VLOOKUP(tabItens[[#This Row],[CÓDIGO]],Consumo!$C$2:$AC$862,26,FALSE),0))</f>
        <v>09.2023</v>
      </c>
      <c r="AS718" s="331">
        <f>SUMIF(Consumo!$C$3:$C$862,tabItens[[#This Row],[CÓDIGO]],Consumo!$N$3:$N$862) + SUMIF(Consumo!$C$3:$C$862,tabItens[[#This Row],[CÓDIGO]],Consumo!$O$3:$O$862) + SUMIF(Consumo!$C$3:$C$862,tabItens[[#This Row],[CÓDIGO]],Consumo!$P$3:$P$862) + SUMIF(Consumo!$C$3:$C$862,tabItens[[#This Row],[CÓDIGO]],Consumo!$Q$3:$Q$862)</f>
        <v>238</v>
      </c>
      <c r="AT718" s="331">
        <f>SUMIF(Consumo!$C$3:$C$862,tabItens[[#This Row],[CÓDIGO]],Consumo!$Z$3:$Z$862)</f>
        <v>1072</v>
      </c>
      <c r="AU718" s="332">
        <f>SUMIF(Consumo!$C$3:$C$862,tabItens[[#This Row],[CÓDIGO]],Consumo!$AA$3:$AA$862)</f>
        <v>290</v>
      </c>
      <c r="AV718" s="333">
        <f>SUMIF(Consumo!$C$3:$C$862,tabItens[[#This Row],[CÓDIGO]],Consumo!$Y$3:$Y$862)</f>
        <v>87.416666666666671</v>
      </c>
      <c r="AW718" s="306">
        <f>tabItens[[#This Row],[QTDE ATUAL]] + tabItens[[#This Row],[RC QTDE]] + tabItens[[#This Row],[AF SALDO]] + tabItens[[#This Row],[Recentes]]</f>
        <v>5812</v>
      </c>
      <c r="AX718" s="334">
        <v>41</v>
      </c>
      <c r="AY718" s="334">
        <v>4</v>
      </c>
      <c r="AZ718" s="334">
        <f>IF(ISBLANK(tabItens[[#This Row],[CÓDIGO]]),"",tabItens[[#This Row],[PontoMês]] * (AZ$2+tabItens[[#This Row],[PontoQtM]]))</f>
        <v>164</v>
      </c>
      <c r="BA718" s="333">
        <f>tabItens[[#This Row],[PontoPed]] - tabItens[[#This Row],[Saldo]] + (1/10)</f>
        <v>-5647.9</v>
      </c>
      <c r="BB718" s="333">
        <f xml:space="preserve"> tabItens[[#This Row],[PontoMês]] * BB$2 - tabItens[[#This Row],[QTDE ATUAL]] - (1/10)</f>
        <v>-5771.1</v>
      </c>
      <c r="BC718" s="335">
        <f>IF( tabItens[[#This Row],[PontoPed]]&gt;0, IF(tabItens[[#This Row],[PontoPed]]&lt;1, 1, IF( tabItens[[#This Row],[Saldo]]&gt;tabItens[[#This Row],[PontoPed]], 0, (tabItens[[#This Row],[PontoPed]]-tabItens[[#This Row],[Saldo]])/tabItens[[#This Row],[PontoPed]] ) ), 0 )</f>
        <v>0</v>
      </c>
      <c r="BD718" s="336">
        <f>ROUNDDOWN(IF( OR( AND(tabItens[[#This Row],[PontoPed]]&lt;tabItens[[#This Row],[Saldo]],tabItens[[#This Row],[Saldo]]&gt;0), tabItens[[#This Row],[PontoPed]]=0), 99, IF(AND(tabItens[[#This Row],[Saldo]]=0,tabItens[[#This Row],[PontoPed]]&gt;0), 0, (1-tabItens[[#This Row],[PctAb]])*10 ) ),0)</f>
        <v>99</v>
      </c>
      <c r="BE718" s="337">
        <f>MAX(ROUNDDOWN( IF(tabItens[[#This Row],[Abaixo]] &gt; 0,   tabItens[[#This Row],[Abaixo]] + (tabItens[[#This Row],[PontoMês]] * IF( OR( ISBLANK(tabItens[[#This Row],[ATA Nº/ANO]]), tabItens[[#This Row],[ATA Nº/ANO]] = ""),BE$2,BE$1)),0),0),0)</f>
        <v>0</v>
      </c>
      <c r="BF71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8" s="338">
        <f>SUMIF(Consumo!$C$3:$C$862,tabItens[[#This Row],[CÓDIGO]],Consumo!$E$3:$E$862)</f>
        <v>74</v>
      </c>
      <c r="BH718" s="339">
        <f>IF(AND(tabItens[[#This Row],[Pend]] &gt; 0,tabItens[[#This Row],[Consumo]] &lt;&gt; 0), tabItens[[#This Row],[Pend]] / tabItens[[#This Row],[Consumo]], 0 )</f>
        <v>6.9029850746268662E-2</v>
      </c>
      <c r="BI718" s="338"/>
      <c r="BJ718" s="338"/>
      <c r="BK718" s="340" t="s">
        <v>2086</v>
      </c>
    </row>
    <row r="719" spans="1:63" hidden="1" x14ac:dyDescent="0.3">
      <c r="A719" s="301">
        <v>110889</v>
      </c>
      <c r="B719" s="302" t="s">
        <v>1675</v>
      </c>
      <c r="C719" s="303" t="s">
        <v>272</v>
      </c>
      <c r="D719" s="304">
        <v>27.99</v>
      </c>
      <c r="E719" s="305"/>
      <c r="F719" s="305"/>
      <c r="G719" s="305" t="s">
        <v>889</v>
      </c>
      <c r="H719" s="306">
        <v>80</v>
      </c>
      <c r="I719" s="307">
        <v>103003</v>
      </c>
      <c r="J719" s="308">
        <v>27.99</v>
      </c>
      <c r="K719" s="309">
        <v>220</v>
      </c>
      <c r="L719" s="310">
        <f>IF(tabItens[[#This Row],[Média]] &gt; 0, tabItens[[#This Row],[QTDE ATUAL]] / tabItens[[#This Row],[Média]],999.9)</f>
        <v>6.6206896551724137</v>
      </c>
      <c r="M719" s="311">
        <v>0</v>
      </c>
      <c r="N719" s="312">
        <f>tabItens[[#This Row],[VALOR UNIT.]] * tabItens[[#This Row],[LC]]</f>
        <v>0</v>
      </c>
      <c r="O719" s="313"/>
      <c r="P719" s="314"/>
      <c r="Q719" s="315"/>
      <c r="R719" s="312"/>
      <c r="S719" s="316"/>
      <c r="T719" s="317">
        <f>ROUNDDOWN(IFERROR(tabItens[[#This Row],[ATA DT.VALID.]] - $D$1,0) / 30,0)</f>
        <v>-1474</v>
      </c>
      <c r="U719" s="302" t="s">
        <v>1676</v>
      </c>
      <c r="V719" s="318">
        <v>1</v>
      </c>
      <c r="W719" s="319" t="s">
        <v>2077</v>
      </c>
      <c r="X719" s="320">
        <v>55</v>
      </c>
      <c r="Y719" s="321">
        <v>19</v>
      </c>
      <c r="Z719" s="322" t="s">
        <v>2080</v>
      </c>
      <c r="AA719" s="323">
        <v>2023</v>
      </c>
      <c r="AB719" s="324">
        <v>300</v>
      </c>
      <c r="AC719" s="324"/>
      <c r="AD719" s="323"/>
      <c r="AE719" s="324"/>
      <c r="AF719" s="317"/>
      <c r="AG719" s="325" t="s">
        <v>2072</v>
      </c>
      <c r="AH719" s="326"/>
      <c r="AI719" s="317">
        <v>74</v>
      </c>
      <c r="AJ719" s="326">
        <v>40288</v>
      </c>
      <c r="AK719" s="326">
        <v>39944</v>
      </c>
      <c r="AL719" s="326">
        <v>40252</v>
      </c>
      <c r="AM719" s="316"/>
      <c r="AN719" s="305"/>
      <c r="AO719" s="327" t="str">
        <f>_xlfn.IFNA(IF(VLOOKUP(tabItens[[#This Row],[CÓDIGO]],tabExcluirDoEstoque[#Data],1,FALSE),"sim",""),"")</f>
        <v/>
      </c>
      <c r="AP719" s="328" t="str">
        <f ca="1">IF(OR(ISBLANK(tabItens[[#This Row],[ATA DT.VALID.]]),tabItens[[#This Row],[ATA DT.VALID.]]="",tabItens[[#This Row],[ATA DT.VALID.]]=" "),"",IF(TYPE(tabItens[[#This Row],[ATA DT.VALID.]])=1,ROUNDUP((tabItens[[#This Row],[ATA DT.VALID.]]-TODAY())/7,0),""))</f>
        <v/>
      </c>
      <c r="AQ719" s="329"/>
      <c r="AR719" s="330" t="str">
        <f>IF(ISBLANK(tabItens[[#This Row],[CÓDIGO]]),"",IFERROR(VLOOKUP(tabItens[[#This Row],[CÓDIGO]],Consumo!$C$2:$AC$862,26,FALSE),0))</f>
        <v>11.2022</v>
      </c>
      <c r="AS719" s="331">
        <f>SUMIF(Consumo!$C$3:$C$862,tabItens[[#This Row],[CÓDIGO]],Consumo!$N$3:$N$862) + SUMIF(Consumo!$C$3:$C$862,tabItens[[#This Row],[CÓDIGO]],Consumo!$O$3:$O$862) + SUMIF(Consumo!$C$3:$C$862,tabItens[[#This Row],[CÓDIGO]],Consumo!$P$3:$P$862) + SUMIF(Consumo!$C$3:$C$862,tabItens[[#This Row],[CÓDIGO]],Consumo!$Q$3:$Q$862)</f>
        <v>0</v>
      </c>
      <c r="AT719" s="331">
        <f>SUMIF(Consumo!$C$3:$C$862,tabItens[[#This Row],[CÓDIGO]],Consumo!$Z$3:$Z$862)</f>
        <v>220</v>
      </c>
      <c r="AU719" s="332">
        <f>SUMIF(Consumo!$C$3:$C$862,tabItens[[#This Row],[CÓDIGO]],Consumo!$AA$3:$AA$862)</f>
        <v>220</v>
      </c>
      <c r="AV719" s="333">
        <f>SUMIF(Consumo!$C$3:$C$862,tabItens[[#This Row],[CÓDIGO]],Consumo!$Y$3:$Y$862)</f>
        <v>12.083333333333334</v>
      </c>
      <c r="AW719" s="306">
        <f>tabItens[[#This Row],[QTDE ATUAL]] + tabItens[[#This Row],[RC QTDE]] + tabItens[[#This Row],[AF SALDO]] + tabItens[[#This Row],[Recentes]]</f>
        <v>380</v>
      </c>
      <c r="AX719" s="334">
        <v>0</v>
      </c>
      <c r="AY719" s="334">
        <v>4</v>
      </c>
      <c r="AZ719" s="334">
        <f>IF(ISBLANK(tabItens[[#This Row],[CÓDIGO]]),"",tabItens[[#This Row],[PontoMês]] * (AZ$2+tabItens[[#This Row],[PontoQtM]]))</f>
        <v>0</v>
      </c>
      <c r="BA719" s="333">
        <f>tabItens[[#This Row],[PontoPed]] - tabItens[[#This Row],[Saldo]] + (1/10)</f>
        <v>-379.9</v>
      </c>
      <c r="BB719" s="333">
        <f xml:space="preserve"> tabItens[[#This Row],[PontoMês]] * BB$2 - tabItens[[#This Row],[QTDE ATUAL]] - (1/10)</f>
        <v>-80.099999999999994</v>
      </c>
      <c r="BC719" s="335">
        <f>IF( tabItens[[#This Row],[PontoPed]]&gt;0, IF(tabItens[[#This Row],[PontoPed]]&lt;1, 1, IF( tabItens[[#This Row],[Saldo]]&gt;tabItens[[#This Row],[PontoPed]], 0, (tabItens[[#This Row],[PontoPed]]-tabItens[[#This Row],[Saldo]])/tabItens[[#This Row],[PontoPed]] ) ), 0 )</f>
        <v>0</v>
      </c>
      <c r="BD719" s="336">
        <f>ROUNDDOWN(IF( OR( AND(tabItens[[#This Row],[PontoPed]]&lt;tabItens[[#This Row],[Saldo]],tabItens[[#This Row],[Saldo]]&gt;0), tabItens[[#This Row],[PontoPed]]=0), 99, IF(AND(tabItens[[#This Row],[Saldo]]=0,tabItens[[#This Row],[PontoPed]]&gt;0), 0, (1-tabItens[[#This Row],[PctAb]])*10 ) ),0)</f>
        <v>99</v>
      </c>
      <c r="BE719" s="337">
        <f>MAX(ROUNDDOWN( IF(tabItens[[#This Row],[Abaixo]] &gt; 0,   tabItens[[#This Row],[Abaixo]] + (tabItens[[#This Row],[PontoMês]] * IF( OR( ISBLANK(tabItens[[#This Row],[ATA Nº/ANO]]), tabItens[[#This Row],[ATA Nº/ANO]] = ""),BE$2,BE$1)),0),0),0)</f>
        <v>0</v>
      </c>
      <c r="BF71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9" s="338">
        <f>SUMIF(Consumo!$C$3:$C$862,tabItens[[#This Row],[CÓDIGO]],Consumo!$E$3:$E$862)</f>
        <v>0</v>
      </c>
      <c r="BH719" s="339">
        <f>IF(AND(tabItens[[#This Row],[Pend]] &gt; 0,tabItens[[#This Row],[Consumo]] &lt;&gt; 0), tabItens[[#This Row],[Pend]] / tabItens[[#This Row],[Consumo]], 0 )</f>
        <v>0</v>
      </c>
      <c r="BI719" s="338"/>
      <c r="BJ719" s="338"/>
      <c r="BK719" s="340" t="s">
        <v>2086</v>
      </c>
    </row>
    <row r="720" spans="1:63" hidden="1" x14ac:dyDescent="0.3">
      <c r="A720" s="301">
        <v>123370</v>
      </c>
      <c r="B720" s="302" t="s">
        <v>1759</v>
      </c>
      <c r="C720" s="303" t="s">
        <v>272</v>
      </c>
      <c r="D720" s="304">
        <v>65.45</v>
      </c>
      <c r="E720" s="305"/>
      <c r="F720" s="305"/>
      <c r="G720" s="305" t="s">
        <v>889</v>
      </c>
      <c r="H720" s="306">
        <v>49</v>
      </c>
      <c r="I720" s="307">
        <v>103003</v>
      </c>
      <c r="J720" s="308">
        <v>65.45</v>
      </c>
      <c r="K720" s="309">
        <v>120</v>
      </c>
      <c r="L720" s="310">
        <f>IF(tabItens[[#This Row],[Média]] &gt; 0, tabItens[[#This Row],[QTDE ATUAL]] / tabItens[[#This Row],[Média]],999.9)</f>
        <v>6.7586206896551726</v>
      </c>
      <c r="M720" s="311">
        <v>0</v>
      </c>
      <c r="N720" s="312">
        <f>tabItens[[#This Row],[VALOR UNIT.]] * tabItens[[#This Row],[LC]]</f>
        <v>0</v>
      </c>
      <c r="O720" s="313"/>
      <c r="P720" s="314"/>
      <c r="Q720" s="315"/>
      <c r="R720" s="312"/>
      <c r="S720" s="316"/>
      <c r="T720" s="317">
        <f>ROUNDDOWN(IFERROR(tabItens[[#This Row],[ATA DT.VALID.]] - $D$1,0) / 30,0)</f>
        <v>-1474</v>
      </c>
      <c r="U720" s="302" t="s">
        <v>1676</v>
      </c>
      <c r="V720" s="318">
        <v>1</v>
      </c>
      <c r="W720" s="319" t="s">
        <v>2077</v>
      </c>
      <c r="X720" s="320">
        <v>55</v>
      </c>
      <c r="Y720" s="321">
        <v>19</v>
      </c>
      <c r="Z720" s="322"/>
      <c r="AA720" s="323"/>
      <c r="AB720" s="324"/>
      <c r="AC720" s="324"/>
      <c r="AD720" s="323"/>
      <c r="AE720" s="324"/>
      <c r="AF720" s="317"/>
      <c r="AG720" s="325" t="s">
        <v>2072</v>
      </c>
      <c r="AH720" s="326"/>
      <c r="AI720" s="317">
        <v>0</v>
      </c>
      <c r="AJ720" s="326">
        <v>42643</v>
      </c>
      <c r="AK720" s="326">
        <v>41101</v>
      </c>
      <c r="AL720" s="326">
        <v>42577</v>
      </c>
      <c r="AM720" s="316"/>
      <c r="AN720" s="305"/>
      <c r="AO720" s="327" t="str">
        <f>_xlfn.IFNA(IF(VLOOKUP(tabItens[[#This Row],[CÓDIGO]],tabExcluirDoEstoque[#Data],1,FALSE),"sim",""),"")</f>
        <v/>
      </c>
      <c r="AP720" s="328" t="str">
        <f ca="1">IF(OR(ISBLANK(tabItens[[#This Row],[ATA DT.VALID.]]),tabItens[[#This Row],[ATA DT.VALID.]]="",tabItens[[#This Row],[ATA DT.VALID.]]=" "),"",IF(TYPE(tabItens[[#This Row],[ATA DT.VALID.]])=1,ROUNDUP((tabItens[[#This Row],[ATA DT.VALID.]]-TODAY())/7,0),""))</f>
        <v/>
      </c>
      <c r="AQ720" s="329"/>
      <c r="AR720" s="330" t="str">
        <f>IF(ISBLANK(tabItens[[#This Row],[CÓDIGO]]),"",IFERROR(VLOOKUP(tabItens[[#This Row],[CÓDIGO]],Consumo!$C$2:$AC$862,26,FALSE),0))</f>
        <v>07.2023</v>
      </c>
      <c r="AS720" s="331">
        <f>SUMIF(Consumo!$C$3:$C$862,tabItens[[#This Row],[CÓDIGO]],Consumo!$N$3:$N$862) + SUMIF(Consumo!$C$3:$C$862,tabItens[[#This Row],[CÓDIGO]],Consumo!$O$3:$O$862) + SUMIF(Consumo!$C$3:$C$862,tabItens[[#This Row],[CÓDIGO]],Consumo!$P$3:$P$862) + SUMIF(Consumo!$C$3:$C$862,tabItens[[#This Row],[CÓDIGO]],Consumo!$Q$3:$Q$862)</f>
        <v>120</v>
      </c>
      <c r="AT720" s="331">
        <f>SUMIF(Consumo!$C$3:$C$862,tabItens[[#This Row],[CÓDIGO]],Consumo!$Z$3:$Z$862)</f>
        <v>120</v>
      </c>
      <c r="AU720" s="332">
        <f>SUMIF(Consumo!$C$3:$C$862,tabItens[[#This Row],[CÓDIGO]],Consumo!$AA$3:$AA$862)</f>
        <v>100</v>
      </c>
      <c r="AV720" s="333">
        <f>SUMIF(Consumo!$C$3:$C$862,tabItens[[#This Row],[CÓDIGO]],Consumo!$Y$3:$Y$862)</f>
        <v>7.25</v>
      </c>
      <c r="AW720" s="306">
        <f>tabItens[[#This Row],[QTDE ATUAL]] + tabItens[[#This Row],[RC QTDE]] + tabItens[[#This Row],[AF SALDO]] + tabItens[[#This Row],[Recentes]]</f>
        <v>49</v>
      </c>
      <c r="AX720" s="334">
        <v>0</v>
      </c>
      <c r="AY720" s="334">
        <v>4</v>
      </c>
      <c r="AZ720" s="334">
        <f>IF(ISBLANK(tabItens[[#This Row],[CÓDIGO]]),"",tabItens[[#This Row],[PontoMês]] * (AZ$2+tabItens[[#This Row],[PontoQtM]]))</f>
        <v>0</v>
      </c>
      <c r="BA720" s="333">
        <f>tabItens[[#This Row],[PontoPed]] - tabItens[[#This Row],[Saldo]] + (1/10)</f>
        <v>-48.9</v>
      </c>
      <c r="BB720" s="333">
        <f xml:space="preserve"> tabItens[[#This Row],[PontoMês]] * BB$2 - tabItens[[#This Row],[QTDE ATUAL]] - (1/10)</f>
        <v>-49.1</v>
      </c>
      <c r="BC720" s="335">
        <f>IF( tabItens[[#This Row],[PontoPed]]&gt;0, IF(tabItens[[#This Row],[PontoPed]]&lt;1, 1, IF( tabItens[[#This Row],[Saldo]]&gt;tabItens[[#This Row],[PontoPed]], 0, (tabItens[[#This Row],[PontoPed]]-tabItens[[#This Row],[Saldo]])/tabItens[[#This Row],[PontoPed]] ) ), 0 )</f>
        <v>0</v>
      </c>
      <c r="BD720" s="336">
        <f>ROUNDDOWN(IF( OR( AND(tabItens[[#This Row],[PontoPed]]&lt;tabItens[[#This Row],[Saldo]],tabItens[[#This Row],[Saldo]]&gt;0), tabItens[[#This Row],[PontoPed]]=0), 99, IF(AND(tabItens[[#This Row],[Saldo]]=0,tabItens[[#This Row],[PontoPed]]&gt;0), 0, (1-tabItens[[#This Row],[PctAb]])*10 ) ),0)</f>
        <v>99</v>
      </c>
      <c r="BE720" s="337">
        <f>MAX(ROUNDDOWN( IF(tabItens[[#This Row],[Abaixo]] &gt; 0,   tabItens[[#This Row],[Abaixo]] + (tabItens[[#This Row],[PontoMês]] * IF( OR( ISBLANK(tabItens[[#This Row],[ATA Nº/ANO]]), tabItens[[#This Row],[ATA Nº/ANO]] = ""),BE$2,BE$1)),0),0),0)</f>
        <v>0</v>
      </c>
      <c r="BF72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0" s="338">
        <f>SUMIF(Consumo!$C$3:$C$862,tabItens[[#This Row],[CÓDIGO]],Consumo!$E$3:$E$862)</f>
        <v>0</v>
      </c>
      <c r="BH720" s="339">
        <f>IF(AND(tabItens[[#This Row],[Pend]] &gt; 0,tabItens[[#This Row],[Consumo]] &lt;&gt; 0), tabItens[[#This Row],[Pend]] / tabItens[[#This Row],[Consumo]], 0 )</f>
        <v>0</v>
      </c>
      <c r="BI720" s="338"/>
      <c r="BJ720" s="338"/>
      <c r="BK720" s="340" t="s">
        <v>2086</v>
      </c>
    </row>
    <row r="721" spans="1:63" hidden="1" x14ac:dyDescent="0.3">
      <c r="A721" s="301">
        <v>132229</v>
      </c>
      <c r="B721" s="302" t="s">
        <v>1823</v>
      </c>
      <c r="C721" s="303" t="s">
        <v>272</v>
      </c>
      <c r="D721" s="304">
        <v>0</v>
      </c>
      <c r="E721" s="305"/>
      <c r="F721" s="305"/>
      <c r="G721" s="305" t="s">
        <v>889</v>
      </c>
      <c r="H721" s="306">
        <v>960.5</v>
      </c>
      <c r="I721" s="307">
        <v>103003</v>
      </c>
      <c r="J721" s="308">
        <v>0</v>
      </c>
      <c r="K721" s="309">
        <v>226</v>
      </c>
      <c r="L721" s="310">
        <f>IF(tabItens[[#This Row],[Média]] &gt; 0, tabItens[[#This Row],[QTDE ATUAL]] / tabItens[[#This Row],[Média]],999.9)</f>
        <v>53.859813084112155</v>
      </c>
      <c r="M721" s="311">
        <v>0</v>
      </c>
      <c r="N721" s="312">
        <f>tabItens[[#This Row],[VALOR UNIT.]] * tabItens[[#This Row],[LC]]</f>
        <v>0</v>
      </c>
      <c r="O721" s="313"/>
      <c r="P721" s="314"/>
      <c r="Q721" s="315"/>
      <c r="R721" s="312"/>
      <c r="S721" s="316"/>
      <c r="T721" s="317">
        <f>ROUNDDOWN(IFERROR(tabItens[[#This Row],[ATA DT.VALID.]] - $D$1,0) / 30,0)</f>
        <v>-1474</v>
      </c>
      <c r="U721" s="302" t="s">
        <v>1676</v>
      </c>
      <c r="V721" s="318">
        <v>1</v>
      </c>
      <c r="W721" s="319" t="s">
        <v>2077</v>
      </c>
      <c r="X721" s="320">
        <v>55</v>
      </c>
      <c r="Y721" s="321">
        <v>19</v>
      </c>
      <c r="Z721" s="322"/>
      <c r="AA721" s="323"/>
      <c r="AB721" s="324"/>
      <c r="AC721" s="324"/>
      <c r="AD721" s="323"/>
      <c r="AE721" s="324"/>
      <c r="AF721" s="317"/>
      <c r="AG721" s="325" t="s">
        <v>2072</v>
      </c>
      <c r="AH721" s="326"/>
      <c r="AI721" s="317">
        <v>76</v>
      </c>
      <c r="AJ721" s="326" t="s">
        <v>889</v>
      </c>
      <c r="AK721" s="326">
        <v>42656</v>
      </c>
      <c r="AL721" s="326" t="s">
        <v>889</v>
      </c>
      <c r="AM721" s="316"/>
      <c r="AN721" s="305"/>
      <c r="AO721" s="327" t="str">
        <f>_xlfn.IFNA(IF(VLOOKUP(tabItens[[#This Row],[CÓDIGO]],tabExcluirDoEstoque[#Data],1,FALSE),"sim",""),"")</f>
        <v/>
      </c>
      <c r="AP721" s="328" t="str">
        <f ca="1">IF(OR(ISBLANK(tabItens[[#This Row],[ATA DT.VALID.]]),tabItens[[#This Row],[ATA DT.VALID.]]="",tabItens[[#This Row],[ATA DT.VALID.]]=" "),"",IF(TYPE(tabItens[[#This Row],[ATA DT.VALID.]])=1,ROUNDUP((tabItens[[#This Row],[ATA DT.VALID.]]-TODAY())/7,0),""))</f>
        <v/>
      </c>
      <c r="AQ721" s="329"/>
      <c r="AR721" s="330" t="str">
        <f>IF(ISBLANK(tabItens[[#This Row],[CÓDIGO]]),"",IFERROR(VLOOKUP(tabItens[[#This Row],[CÓDIGO]],Consumo!$C$2:$AC$862,26,FALSE),0))</f>
        <v>08.2023</v>
      </c>
      <c r="AS721" s="331">
        <f>SUMIF(Consumo!$C$3:$C$862,tabItens[[#This Row],[CÓDIGO]],Consumo!$N$3:$N$862) + SUMIF(Consumo!$C$3:$C$862,tabItens[[#This Row],[CÓDIGO]],Consumo!$O$3:$O$862) + SUMIF(Consumo!$C$3:$C$862,tabItens[[#This Row],[CÓDIGO]],Consumo!$P$3:$P$862) + SUMIF(Consumo!$C$3:$C$862,tabItens[[#This Row],[CÓDIGO]],Consumo!$Q$3:$Q$862)</f>
        <v>16</v>
      </c>
      <c r="AT721" s="331">
        <f>SUMIF(Consumo!$C$3:$C$862,tabItens[[#This Row],[CÓDIGO]],Consumo!$Z$3:$Z$862)</f>
        <v>226</v>
      </c>
      <c r="AU721" s="332">
        <f>SUMIF(Consumo!$C$3:$C$862,tabItens[[#This Row],[CÓDIGO]],Consumo!$AA$3:$AA$862)</f>
        <v>110</v>
      </c>
      <c r="AV721" s="333">
        <f>SUMIF(Consumo!$C$3:$C$862,tabItens[[#This Row],[CÓDIGO]],Consumo!$Y$3:$Y$862)</f>
        <v>17.833333333333332</v>
      </c>
      <c r="AW721" s="306">
        <f>tabItens[[#This Row],[QTDE ATUAL]] + tabItens[[#This Row],[RC QTDE]] + tabItens[[#This Row],[AF SALDO]] + tabItens[[#This Row],[Recentes]]</f>
        <v>960.5</v>
      </c>
      <c r="AX721" s="334">
        <v>10</v>
      </c>
      <c r="AY721" s="334">
        <v>4</v>
      </c>
      <c r="AZ721" s="334">
        <f>IF(ISBLANK(tabItens[[#This Row],[CÓDIGO]]),"",tabItens[[#This Row],[PontoMês]] * (AZ$2+tabItens[[#This Row],[PontoQtM]]))</f>
        <v>40</v>
      </c>
      <c r="BA721" s="333">
        <f>tabItens[[#This Row],[PontoPed]] - tabItens[[#This Row],[Saldo]] + (1/10)</f>
        <v>-920.4</v>
      </c>
      <c r="BB721" s="333">
        <f xml:space="preserve"> tabItens[[#This Row],[PontoMês]] * BB$2 - tabItens[[#This Row],[QTDE ATUAL]] - (1/10)</f>
        <v>-950.6</v>
      </c>
      <c r="BC721" s="335">
        <f>IF( tabItens[[#This Row],[PontoPed]]&gt;0, IF(tabItens[[#This Row],[PontoPed]]&lt;1, 1, IF( tabItens[[#This Row],[Saldo]]&gt;tabItens[[#This Row],[PontoPed]], 0, (tabItens[[#This Row],[PontoPed]]-tabItens[[#This Row],[Saldo]])/tabItens[[#This Row],[PontoPed]] ) ), 0 )</f>
        <v>0</v>
      </c>
      <c r="BD721" s="336">
        <f>ROUNDDOWN(IF( OR( AND(tabItens[[#This Row],[PontoPed]]&lt;tabItens[[#This Row],[Saldo]],tabItens[[#This Row],[Saldo]]&gt;0), tabItens[[#This Row],[PontoPed]]=0), 99, IF(AND(tabItens[[#This Row],[Saldo]]=0,tabItens[[#This Row],[PontoPed]]&gt;0), 0, (1-tabItens[[#This Row],[PctAb]])*10 ) ),0)</f>
        <v>99</v>
      </c>
      <c r="BE721" s="337">
        <f>MAX(ROUNDDOWN( IF(tabItens[[#This Row],[Abaixo]] &gt; 0,   tabItens[[#This Row],[Abaixo]] + (tabItens[[#This Row],[PontoMês]] * IF( OR( ISBLANK(tabItens[[#This Row],[ATA Nº/ANO]]), tabItens[[#This Row],[ATA Nº/ANO]] = ""),BE$2,BE$1)),0),0),0)</f>
        <v>0</v>
      </c>
      <c r="BF72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1" s="338">
        <f>SUMIF(Consumo!$C$3:$C$862,tabItens[[#This Row],[CÓDIGO]],Consumo!$E$3:$E$862)</f>
        <v>0</v>
      </c>
      <c r="BH721" s="339">
        <f>IF(AND(tabItens[[#This Row],[Pend]] &gt; 0,tabItens[[#This Row],[Consumo]] &lt;&gt; 0), tabItens[[#This Row],[Pend]] / tabItens[[#This Row],[Consumo]], 0 )</f>
        <v>0</v>
      </c>
      <c r="BI721" s="338"/>
      <c r="BJ721" s="338"/>
      <c r="BK721" s="340" t="s">
        <v>2086</v>
      </c>
    </row>
    <row r="722" spans="1:63" hidden="1" x14ac:dyDescent="0.3">
      <c r="A722" s="301">
        <v>140125</v>
      </c>
      <c r="B722" s="302" t="s">
        <v>2023</v>
      </c>
      <c r="C722" s="303" t="s">
        <v>272</v>
      </c>
      <c r="D722" s="304">
        <v>87.79</v>
      </c>
      <c r="E722" s="305"/>
      <c r="F722" s="305"/>
      <c r="G722" s="305" t="s">
        <v>889</v>
      </c>
      <c r="H722" s="306">
        <v>550</v>
      </c>
      <c r="I722" s="307">
        <v>103003</v>
      </c>
      <c r="J722" s="308">
        <v>87.79</v>
      </c>
      <c r="K722" s="309"/>
      <c r="L722" s="310">
        <f>IF(tabItens[[#This Row],[Média]] &gt; 0, tabItens[[#This Row],[QTDE ATUAL]] / tabItens[[#This Row],[Média]],999.9)</f>
        <v>999.9</v>
      </c>
      <c r="M722" s="311">
        <v>0</v>
      </c>
      <c r="N722" s="312">
        <f>tabItens[[#This Row],[VALOR UNIT.]] * tabItens[[#This Row],[LC]]</f>
        <v>0</v>
      </c>
      <c r="O722" s="313"/>
      <c r="P722" s="314"/>
      <c r="Q722" s="315"/>
      <c r="R722" s="312"/>
      <c r="S722" s="316"/>
      <c r="T722" s="317">
        <f>ROUNDDOWN(IFERROR(tabItens[[#This Row],[ATA DT.VALID.]] - $D$1,0) / 30,0)</f>
        <v>-1474</v>
      </c>
      <c r="U722" s="302" t="s">
        <v>1676</v>
      </c>
      <c r="V722" s="318">
        <v>1</v>
      </c>
      <c r="W722" s="319" t="s">
        <v>2077</v>
      </c>
      <c r="X722" s="320">
        <v>55</v>
      </c>
      <c r="Y722" s="321">
        <v>19</v>
      </c>
      <c r="Z722" s="322"/>
      <c r="AA722" s="323"/>
      <c r="AB722" s="324"/>
      <c r="AC722" s="324"/>
      <c r="AD722" s="323"/>
      <c r="AE722" s="324"/>
      <c r="AF722" s="317"/>
      <c r="AG722" s="325" t="s">
        <v>2072</v>
      </c>
      <c r="AH722" s="326"/>
      <c r="AI722" s="317">
        <v>0</v>
      </c>
      <c r="AJ722" s="326">
        <v>44211</v>
      </c>
      <c r="AK722" s="326">
        <v>44109</v>
      </c>
      <c r="AL722" s="326">
        <v>44167</v>
      </c>
      <c r="AM722" s="316"/>
      <c r="AN722" s="305"/>
      <c r="AO722" s="327" t="str">
        <f>_xlfn.IFNA(IF(VLOOKUP(tabItens[[#This Row],[CÓDIGO]],tabExcluirDoEstoque[#Data],1,FALSE),"sim",""),"")</f>
        <v/>
      </c>
      <c r="AP722" s="328" t="str">
        <f ca="1">IF(OR(ISBLANK(tabItens[[#This Row],[ATA DT.VALID.]]),tabItens[[#This Row],[ATA DT.VALID.]]="",tabItens[[#This Row],[ATA DT.VALID.]]=" "),"",IF(TYPE(tabItens[[#This Row],[ATA DT.VALID.]])=1,ROUNDUP((tabItens[[#This Row],[ATA DT.VALID.]]-TODAY())/7,0),""))</f>
        <v/>
      </c>
      <c r="AQ722" s="329"/>
      <c r="AR722" s="330">
        <f>IF(ISBLANK(tabItens[[#This Row],[CÓDIGO]]),"",IFERROR(VLOOKUP(tabItens[[#This Row],[CÓDIGO]],Consumo!$C$2:$AC$862,26,FALSE),0))</f>
        <v>0</v>
      </c>
      <c r="AS722" s="331">
        <f>SUMIF(Consumo!$C$3:$C$862,tabItens[[#This Row],[CÓDIGO]],Consumo!$N$3:$N$862) + SUMIF(Consumo!$C$3:$C$862,tabItens[[#This Row],[CÓDIGO]],Consumo!$O$3:$O$862) + SUMIF(Consumo!$C$3:$C$862,tabItens[[#This Row],[CÓDIGO]],Consumo!$P$3:$P$862) + SUMIF(Consumo!$C$3:$C$862,tabItens[[#This Row],[CÓDIGO]],Consumo!$Q$3:$Q$862)</f>
        <v>0</v>
      </c>
      <c r="AT722" s="331">
        <f>SUMIF(Consumo!$C$3:$C$862,tabItens[[#This Row],[CÓDIGO]],Consumo!$Z$3:$Z$862)</f>
        <v>0</v>
      </c>
      <c r="AU722" s="332">
        <f>SUMIF(Consumo!$C$3:$C$862,tabItens[[#This Row],[CÓDIGO]],Consumo!$AA$3:$AA$862)</f>
        <v>0</v>
      </c>
      <c r="AV722" s="333">
        <f>SUMIF(Consumo!$C$3:$C$862,tabItens[[#This Row],[CÓDIGO]],Consumo!$Y$3:$Y$862)</f>
        <v>0</v>
      </c>
      <c r="AW722" s="306">
        <f>tabItens[[#This Row],[QTDE ATUAL]] + tabItens[[#This Row],[RC QTDE]] + tabItens[[#This Row],[AF SALDO]] + tabItens[[#This Row],[Recentes]]</f>
        <v>550</v>
      </c>
      <c r="AX722" s="334">
        <v>0</v>
      </c>
      <c r="AY722" s="334">
        <v>4</v>
      </c>
      <c r="AZ722" s="334">
        <f>IF(ISBLANK(tabItens[[#This Row],[CÓDIGO]]),"",tabItens[[#This Row],[PontoMês]] * (AZ$2+tabItens[[#This Row],[PontoQtM]]))</f>
        <v>0</v>
      </c>
      <c r="BA722" s="333">
        <f>tabItens[[#This Row],[PontoPed]] - tabItens[[#This Row],[Saldo]] + (1/10)</f>
        <v>-549.9</v>
      </c>
      <c r="BB722" s="333">
        <f xml:space="preserve"> tabItens[[#This Row],[PontoMês]] * BB$2 - tabItens[[#This Row],[QTDE ATUAL]] - (1/10)</f>
        <v>-550.1</v>
      </c>
      <c r="BC722" s="335">
        <f>IF( tabItens[[#This Row],[PontoPed]]&gt;0, IF(tabItens[[#This Row],[PontoPed]]&lt;1, 1, IF( tabItens[[#This Row],[Saldo]]&gt;tabItens[[#This Row],[PontoPed]], 0, (tabItens[[#This Row],[PontoPed]]-tabItens[[#This Row],[Saldo]])/tabItens[[#This Row],[PontoPed]] ) ), 0 )</f>
        <v>0</v>
      </c>
      <c r="BD722" s="336">
        <f>ROUNDDOWN(IF( OR( AND(tabItens[[#This Row],[PontoPed]]&lt;tabItens[[#This Row],[Saldo]],tabItens[[#This Row],[Saldo]]&gt;0), tabItens[[#This Row],[PontoPed]]=0), 99, IF(AND(tabItens[[#This Row],[Saldo]]=0,tabItens[[#This Row],[PontoPed]]&gt;0), 0, (1-tabItens[[#This Row],[PctAb]])*10 ) ),0)</f>
        <v>99</v>
      </c>
      <c r="BE722" s="337">
        <f>MAX(ROUNDDOWN( IF(tabItens[[#This Row],[Abaixo]] &gt; 0,   tabItens[[#This Row],[Abaixo]] + (tabItens[[#This Row],[PontoMês]] * IF( OR( ISBLANK(tabItens[[#This Row],[ATA Nº/ANO]]), tabItens[[#This Row],[ATA Nº/ANO]] = ""),BE$2,BE$1)),0),0),0)</f>
        <v>0</v>
      </c>
      <c r="BF72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2" s="338">
        <f>SUMIF(Consumo!$C$3:$C$862,tabItens[[#This Row],[CÓDIGO]],Consumo!$E$3:$E$862)</f>
        <v>0</v>
      </c>
      <c r="BH722" s="339">
        <f>IF(AND(tabItens[[#This Row],[Pend]] &gt; 0,tabItens[[#This Row],[Consumo]] &lt;&gt; 0), tabItens[[#This Row],[Pend]] / tabItens[[#This Row],[Consumo]], 0 )</f>
        <v>0</v>
      </c>
      <c r="BI722" s="338"/>
      <c r="BJ722" s="338"/>
      <c r="BK722" s="340" t="s">
        <v>2086</v>
      </c>
    </row>
    <row r="723" spans="1:63" hidden="1" x14ac:dyDescent="0.3">
      <c r="A723" s="301">
        <v>140126</v>
      </c>
      <c r="B723" s="302" t="s">
        <v>2024</v>
      </c>
      <c r="C723" s="303" t="s">
        <v>272</v>
      </c>
      <c r="D723" s="304">
        <v>34.54</v>
      </c>
      <c r="E723" s="305"/>
      <c r="F723" s="305"/>
      <c r="G723" s="305" t="s">
        <v>889</v>
      </c>
      <c r="H723" s="306">
        <v>891</v>
      </c>
      <c r="I723" s="307">
        <v>103003</v>
      </c>
      <c r="J723" s="308">
        <v>34.54</v>
      </c>
      <c r="K723" s="309">
        <v>316</v>
      </c>
      <c r="L723" s="310">
        <f>IF(tabItens[[#This Row],[Média]] &gt; 0, tabItens[[#This Row],[QTDE ATUAL]] / tabItens[[#This Row],[Média]],999.9)</f>
        <v>33.835443037974684</v>
      </c>
      <c r="M723" s="311">
        <v>0</v>
      </c>
      <c r="N723" s="312">
        <f>tabItens[[#This Row],[VALOR UNIT.]] * tabItens[[#This Row],[LC]]</f>
        <v>0</v>
      </c>
      <c r="O723" s="313"/>
      <c r="P723" s="314"/>
      <c r="Q723" s="315"/>
      <c r="R723" s="312"/>
      <c r="S723" s="316"/>
      <c r="T723" s="317">
        <f>ROUNDDOWN(IFERROR(tabItens[[#This Row],[ATA DT.VALID.]] - $D$1,0) / 30,0)</f>
        <v>-1474</v>
      </c>
      <c r="U723" s="302" t="s">
        <v>1676</v>
      </c>
      <c r="V723" s="318">
        <v>1</v>
      </c>
      <c r="W723" s="319" t="s">
        <v>2077</v>
      </c>
      <c r="X723" s="320">
        <v>55</v>
      </c>
      <c r="Y723" s="321">
        <v>19</v>
      </c>
      <c r="Z723" s="322"/>
      <c r="AA723" s="323"/>
      <c r="AB723" s="324"/>
      <c r="AC723" s="324"/>
      <c r="AD723" s="323"/>
      <c r="AE723" s="324"/>
      <c r="AF723" s="317"/>
      <c r="AG723" s="325" t="s">
        <v>2072</v>
      </c>
      <c r="AH723" s="326"/>
      <c r="AI723" s="317">
        <v>106</v>
      </c>
      <c r="AJ723" s="326">
        <v>44876</v>
      </c>
      <c r="AK723" s="326">
        <v>44109</v>
      </c>
      <c r="AL723" s="326">
        <v>44923</v>
      </c>
      <c r="AM723" s="316"/>
      <c r="AN723" s="305"/>
      <c r="AO723" s="327" t="str">
        <f>_xlfn.IFNA(IF(VLOOKUP(tabItens[[#This Row],[CÓDIGO]],tabExcluirDoEstoque[#Data],1,FALSE),"sim",""),"")</f>
        <v/>
      </c>
      <c r="AP723" s="328" t="str">
        <f ca="1">IF(OR(ISBLANK(tabItens[[#This Row],[ATA DT.VALID.]]),tabItens[[#This Row],[ATA DT.VALID.]]="",tabItens[[#This Row],[ATA DT.VALID.]]=" "),"",IF(TYPE(tabItens[[#This Row],[ATA DT.VALID.]])=1,ROUNDUP((tabItens[[#This Row],[ATA DT.VALID.]]-TODAY())/7,0),""))</f>
        <v/>
      </c>
      <c r="AQ723" s="329"/>
      <c r="AR723" s="330" t="str">
        <f>IF(ISBLANK(tabItens[[#This Row],[CÓDIGO]]),"",IFERROR(VLOOKUP(tabItens[[#This Row],[CÓDIGO]],Consumo!$C$2:$AC$862,26,FALSE),0))</f>
        <v>07.2023</v>
      </c>
      <c r="AS723" s="331">
        <f>SUMIF(Consumo!$C$3:$C$862,tabItens[[#This Row],[CÓDIGO]],Consumo!$N$3:$N$862) + SUMIF(Consumo!$C$3:$C$862,tabItens[[#This Row],[CÓDIGO]],Consumo!$O$3:$O$862) + SUMIF(Consumo!$C$3:$C$862,tabItens[[#This Row],[CÓDIGO]],Consumo!$P$3:$P$862) + SUMIF(Consumo!$C$3:$C$862,tabItens[[#This Row],[CÓDIGO]],Consumo!$Q$3:$Q$862)</f>
        <v>31</v>
      </c>
      <c r="AT723" s="331">
        <f>SUMIF(Consumo!$C$3:$C$862,tabItens[[#This Row],[CÓDIGO]],Consumo!$Z$3:$Z$862)</f>
        <v>316</v>
      </c>
      <c r="AU723" s="332">
        <f>SUMIF(Consumo!$C$3:$C$862,tabItens[[#This Row],[CÓDIGO]],Consumo!$AA$3:$AA$862)</f>
        <v>110</v>
      </c>
      <c r="AV723" s="333">
        <f>SUMIF(Consumo!$C$3:$C$862,tabItens[[#This Row],[CÓDIGO]],Consumo!$Y$3:$Y$862)</f>
        <v>26.333333333333332</v>
      </c>
      <c r="AW723" s="306">
        <f>tabItens[[#This Row],[QTDE ATUAL]] + tabItens[[#This Row],[RC QTDE]] + tabItens[[#This Row],[AF SALDO]] + tabItens[[#This Row],[Recentes]]</f>
        <v>891</v>
      </c>
      <c r="AX723" s="334">
        <v>1</v>
      </c>
      <c r="AY723" s="334">
        <v>4</v>
      </c>
      <c r="AZ723" s="334">
        <f>IF(ISBLANK(tabItens[[#This Row],[CÓDIGO]]),"",tabItens[[#This Row],[PontoMês]] * (AZ$2+tabItens[[#This Row],[PontoQtM]]))</f>
        <v>4</v>
      </c>
      <c r="BA723" s="333">
        <f>tabItens[[#This Row],[PontoPed]] - tabItens[[#This Row],[Saldo]] + (1/10)</f>
        <v>-886.9</v>
      </c>
      <c r="BB723" s="333">
        <f xml:space="preserve"> tabItens[[#This Row],[PontoMês]] * BB$2 - tabItens[[#This Row],[QTDE ATUAL]] - (1/10)</f>
        <v>-890.1</v>
      </c>
      <c r="BC723" s="335">
        <f>IF( tabItens[[#This Row],[PontoPed]]&gt;0, IF(tabItens[[#This Row],[PontoPed]]&lt;1, 1, IF( tabItens[[#This Row],[Saldo]]&gt;tabItens[[#This Row],[PontoPed]], 0, (tabItens[[#This Row],[PontoPed]]-tabItens[[#This Row],[Saldo]])/tabItens[[#This Row],[PontoPed]] ) ), 0 )</f>
        <v>0</v>
      </c>
      <c r="BD723" s="336">
        <f>ROUNDDOWN(IF( OR( AND(tabItens[[#This Row],[PontoPed]]&lt;tabItens[[#This Row],[Saldo]],tabItens[[#This Row],[Saldo]]&gt;0), tabItens[[#This Row],[PontoPed]]=0), 99, IF(AND(tabItens[[#This Row],[Saldo]]=0,tabItens[[#This Row],[PontoPed]]&gt;0), 0, (1-tabItens[[#This Row],[PctAb]])*10 ) ),0)</f>
        <v>99</v>
      </c>
      <c r="BE723" s="337">
        <f>MAX(ROUNDDOWN( IF(tabItens[[#This Row],[Abaixo]] &gt; 0,   tabItens[[#This Row],[Abaixo]] + (tabItens[[#This Row],[PontoMês]] * IF( OR( ISBLANK(tabItens[[#This Row],[ATA Nº/ANO]]), tabItens[[#This Row],[ATA Nº/ANO]] = ""),BE$2,BE$1)),0),0),0)</f>
        <v>0</v>
      </c>
      <c r="BF72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3" s="338">
        <f>SUMIF(Consumo!$C$3:$C$862,tabItens[[#This Row],[CÓDIGO]],Consumo!$E$3:$E$862)</f>
        <v>0</v>
      </c>
      <c r="BH723" s="339">
        <f>IF(AND(tabItens[[#This Row],[Pend]] &gt; 0,tabItens[[#This Row],[Consumo]] &lt;&gt; 0), tabItens[[#This Row],[Pend]] / tabItens[[#This Row],[Consumo]], 0 )</f>
        <v>0</v>
      </c>
      <c r="BI723" s="338"/>
      <c r="BJ723" s="338"/>
      <c r="BK723" s="340" t="s">
        <v>2086</v>
      </c>
    </row>
    <row r="724" spans="1:63" hidden="1" x14ac:dyDescent="0.3">
      <c r="A724" s="301">
        <v>88731</v>
      </c>
      <c r="B724" s="302" t="s">
        <v>1508</v>
      </c>
      <c r="C724" s="303" t="s">
        <v>263</v>
      </c>
      <c r="D724" s="304">
        <v>15.28</v>
      </c>
      <c r="E724" s="305"/>
      <c r="F724" s="305"/>
      <c r="G724" s="305" t="s">
        <v>889</v>
      </c>
      <c r="H724" s="306">
        <v>40</v>
      </c>
      <c r="I724" s="307">
        <v>103003</v>
      </c>
      <c r="J724" s="308">
        <v>15.28</v>
      </c>
      <c r="K724" s="309">
        <v>1</v>
      </c>
      <c r="L724" s="310">
        <f>IF(tabItens[[#This Row],[Média]] &gt; 0, tabItens[[#This Row],[QTDE ATUAL]] / tabItens[[#This Row],[Média]],999.9)</f>
        <v>999.9</v>
      </c>
      <c r="M724" s="311">
        <v>0</v>
      </c>
      <c r="N724" s="312">
        <f>tabItens[[#This Row],[VALOR UNIT.]] * tabItens[[#This Row],[LC]]</f>
        <v>0</v>
      </c>
      <c r="O724" s="313"/>
      <c r="P724" s="314"/>
      <c r="Q724" s="315"/>
      <c r="R724" s="312"/>
      <c r="S724" s="316"/>
      <c r="T724" s="317">
        <f>ROUNDDOWN(IFERROR(tabItens[[#This Row],[ATA DT.VALID.]] - $D$1,0) / 30,0)</f>
        <v>-1474</v>
      </c>
      <c r="U724" s="302" t="s">
        <v>1502</v>
      </c>
      <c r="V724" s="318">
        <v>1</v>
      </c>
      <c r="W724" s="319" t="s">
        <v>2077</v>
      </c>
      <c r="X724" s="320">
        <v>55</v>
      </c>
      <c r="Y724" s="321">
        <v>26</v>
      </c>
      <c r="Z724" s="322"/>
      <c r="AA724" s="323"/>
      <c r="AB724" s="324"/>
      <c r="AC724" s="324"/>
      <c r="AD724" s="323"/>
      <c r="AE724" s="324"/>
      <c r="AF724" s="317"/>
      <c r="AG724" s="325" t="s">
        <v>2072</v>
      </c>
      <c r="AH724" s="326"/>
      <c r="AI724" s="317">
        <v>0</v>
      </c>
      <c r="AJ724" s="326">
        <v>40200</v>
      </c>
      <c r="AK724" s="326">
        <v>38656</v>
      </c>
      <c r="AL724" s="326">
        <v>41040</v>
      </c>
      <c r="AM724" s="316"/>
      <c r="AN724" s="305"/>
      <c r="AO724" s="327" t="str">
        <f>_xlfn.IFNA(IF(VLOOKUP(tabItens[[#This Row],[CÓDIGO]],tabExcluirDoEstoque[#Data],1,FALSE),"sim",""),"")</f>
        <v/>
      </c>
      <c r="AP724" s="328" t="str">
        <f ca="1">IF(OR(ISBLANK(tabItens[[#This Row],[ATA DT.VALID.]]),tabItens[[#This Row],[ATA DT.VALID.]]="",tabItens[[#This Row],[ATA DT.VALID.]]=" "),"",IF(TYPE(tabItens[[#This Row],[ATA DT.VALID.]])=1,ROUNDUP((tabItens[[#This Row],[ATA DT.VALID.]]-TODAY())/7,0),""))</f>
        <v/>
      </c>
      <c r="AQ724" s="329"/>
      <c r="AR724" s="330" t="str">
        <f>IF(ISBLANK(tabItens[[#This Row],[CÓDIGO]]),"",IFERROR(VLOOKUP(tabItens[[#This Row],[CÓDIGO]],Consumo!$C$2:$AC$862,26,FALSE),0))</f>
        <v>02.2023</v>
      </c>
      <c r="AS724" s="331">
        <f>SUMIF(Consumo!$C$3:$C$862,tabItens[[#This Row],[CÓDIGO]],Consumo!$N$3:$N$862) + SUMIF(Consumo!$C$3:$C$862,tabItens[[#This Row],[CÓDIGO]],Consumo!$O$3:$O$862) + SUMIF(Consumo!$C$3:$C$862,tabItens[[#This Row],[CÓDIGO]],Consumo!$P$3:$P$862) + SUMIF(Consumo!$C$3:$C$862,tabItens[[#This Row],[CÓDIGO]],Consumo!$Q$3:$Q$862)</f>
        <v>0</v>
      </c>
      <c r="AT724" s="331">
        <f>SUMIF(Consumo!$C$3:$C$862,tabItens[[#This Row],[CÓDIGO]],Consumo!$Z$3:$Z$862)</f>
        <v>1</v>
      </c>
      <c r="AU724" s="332">
        <f>SUMIF(Consumo!$C$3:$C$862,tabItens[[#This Row],[CÓDIGO]],Consumo!$AA$3:$AA$862)</f>
        <v>1</v>
      </c>
      <c r="AV724" s="333">
        <f>SUMIF(Consumo!$C$3:$C$862,tabItens[[#This Row],[CÓDIGO]],Consumo!$Y$3:$Y$862)</f>
        <v>0</v>
      </c>
      <c r="AW724" s="306">
        <f>tabItens[[#This Row],[QTDE ATUAL]] + tabItens[[#This Row],[RC QTDE]] + tabItens[[#This Row],[AF SALDO]] + tabItens[[#This Row],[Recentes]]</f>
        <v>40</v>
      </c>
      <c r="AX724" s="334">
        <v>0</v>
      </c>
      <c r="AY724" s="334">
        <v>4</v>
      </c>
      <c r="AZ724" s="334">
        <f>IF(ISBLANK(tabItens[[#This Row],[CÓDIGO]]),"",tabItens[[#This Row],[PontoMês]] * (AZ$2+tabItens[[#This Row],[PontoQtM]]))</f>
        <v>0</v>
      </c>
      <c r="BA724" s="333">
        <f>tabItens[[#This Row],[PontoPed]] - tabItens[[#This Row],[Saldo]] + (1/10)</f>
        <v>-39.9</v>
      </c>
      <c r="BB724" s="333">
        <f xml:space="preserve"> tabItens[[#This Row],[PontoMês]] * BB$2 - tabItens[[#This Row],[QTDE ATUAL]] - (1/10)</f>
        <v>-40.1</v>
      </c>
      <c r="BC724" s="335">
        <f>IF( tabItens[[#This Row],[PontoPed]]&gt;0, IF(tabItens[[#This Row],[PontoPed]]&lt;1, 1, IF( tabItens[[#This Row],[Saldo]]&gt;tabItens[[#This Row],[PontoPed]], 0, (tabItens[[#This Row],[PontoPed]]-tabItens[[#This Row],[Saldo]])/tabItens[[#This Row],[PontoPed]] ) ), 0 )</f>
        <v>0</v>
      </c>
      <c r="BD724" s="336">
        <f>ROUNDDOWN(IF( OR( AND(tabItens[[#This Row],[PontoPed]]&lt;tabItens[[#This Row],[Saldo]],tabItens[[#This Row],[Saldo]]&gt;0), tabItens[[#This Row],[PontoPed]]=0), 99, IF(AND(tabItens[[#This Row],[Saldo]]=0,tabItens[[#This Row],[PontoPed]]&gt;0), 0, (1-tabItens[[#This Row],[PctAb]])*10 ) ),0)</f>
        <v>99</v>
      </c>
      <c r="BE724" s="337">
        <f>MAX(ROUNDDOWN( IF(tabItens[[#This Row],[Abaixo]] &gt; 0,   tabItens[[#This Row],[Abaixo]] + (tabItens[[#This Row],[PontoMês]] * IF( OR( ISBLANK(tabItens[[#This Row],[ATA Nº/ANO]]), tabItens[[#This Row],[ATA Nº/ANO]] = ""),BE$2,BE$1)),0),0),0)</f>
        <v>0</v>
      </c>
      <c r="BF72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4" s="338">
        <f>SUMIF(Consumo!$C$3:$C$862,tabItens[[#This Row],[CÓDIGO]],Consumo!$E$3:$E$862)</f>
        <v>0</v>
      </c>
      <c r="BH724" s="339">
        <f>IF(AND(tabItens[[#This Row],[Pend]] &gt; 0,tabItens[[#This Row],[Consumo]] &lt;&gt; 0), tabItens[[#This Row],[Pend]] / tabItens[[#This Row],[Consumo]], 0 )</f>
        <v>0</v>
      </c>
      <c r="BI724" s="338"/>
      <c r="BJ724" s="338"/>
      <c r="BK724" s="340" t="s">
        <v>2086</v>
      </c>
    </row>
    <row r="725" spans="1:63" hidden="1" x14ac:dyDescent="0.3">
      <c r="A725" s="301">
        <v>93486</v>
      </c>
      <c r="B725" s="302" t="s">
        <v>1550</v>
      </c>
      <c r="C725" s="303" t="s">
        <v>263</v>
      </c>
      <c r="D725" s="304">
        <v>50.5</v>
      </c>
      <c r="E725" s="305"/>
      <c r="F725" s="305"/>
      <c r="G725" s="305" t="s">
        <v>889</v>
      </c>
      <c r="H725" s="306">
        <v>87</v>
      </c>
      <c r="I725" s="307">
        <v>103003</v>
      </c>
      <c r="J725" s="308">
        <v>50.5</v>
      </c>
      <c r="K725" s="309">
        <v>3</v>
      </c>
      <c r="L725" s="310">
        <f>IF(tabItens[[#This Row],[Média]] &gt; 0, tabItens[[#This Row],[QTDE ATUAL]] / tabItens[[#This Row],[Média]],999.9)</f>
        <v>522</v>
      </c>
      <c r="M725" s="311">
        <v>0</v>
      </c>
      <c r="N725" s="312">
        <f>tabItens[[#This Row],[VALOR UNIT.]] * tabItens[[#This Row],[LC]]</f>
        <v>0</v>
      </c>
      <c r="O725" s="313"/>
      <c r="P725" s="314"/>
      <c r="Q725" s="315"/>
      <c r="R725" s="312"/>
      <c r="S725" s="316"/>
      <c r="T725" s="317">
        <f>ROUNDDOWN(IFERROR(tabItens[[#This Row],[ATA DT.VALID.]] - $D$1,0) / 30,0)</f>
        <v>-1474</v>
      </c>
      <c r="U725" s="302" t="s">
        <v>1502</v>
      </c>
      <c r="V725" s="318">
        <v>1</v>
      </c>
      <c r="W725" s="319" t="s">
        <v>2077</v>
      </c>
      <c r="X725" s="320">
        <v>55</v>
      </c>
      <c r="Y725" s="321">
        <v>26</v>
      </c>
      <c r="Z725" s="322"/>
      <c r="AA725" s="323"/>
      <c r="AB725" s="324"/>
      <c r="AC725" s="324"/>
      <c r="AD725" s="323"/>
      <c r="AE725" s="324"/>
      <c r="AF725" s="317"/>
      <c r="AG725" s="325" t="s">
        <v>2072</v>
      </c>
      <c r="AH725" s="326"/>
      <c r="AI725" s="317">
        <v>2</v>
      </c>
      <c r="AJ725" s="326">
        <v>43641</v>
      </c>
      <c r="AK725" s="326">
        <v>38930</v>
      </c>
      <c r="AL725" s="326">
        <v>43623</v>
      </c>
      <c r="AM725" s="316"/>
      <c r="AN725" s="305"/>
      <c r="AO725" s="327" t="str">
        <f>_xlfn.IFNA(IF(VLOOKUP(tabItens[[#This Row],[CÓDIGO]],tabExcluirDoEstoque[#Data],1,FALSE),"sim",""),"")</f>
        <v/>
      </c>
      <c r="AP725" s="328" t="str">
        <f ca="1">IF(OR(ISBLANK(tabItens[[#This Row],[ATA DT.VALID.]]),tabItens[[#This Row],[ATA DT.VALID.]]="",tabItens[[#This Row],[ATA DT.VALID.]]=" "),"",IF(TYPE(tabItens[[#This Row],[ATA DT.VALID.]])=1,ROUNDUP((tabItens[[#This Row],[ATA DT.VALID.]]-TODAY())/7,0),""))</f>
        <v/>
      </c>
      <c r="AQ725" s="329"/>
      <c r="AR725" s="330" t="str">
        <f>IF(ISBLANK(tabItens[[#This Row],[CÓDIGO]]),"",IFERROR(VLOOKUP(tabItens[[#This Row],[CÓDIGO]],Consumo!$C$2:$AC$862,26,FALSE),0))</f>
        <v>04.2023</v>
      </c>
      <c r="AS725" s="331">
        <f>SUMIF(Consumo!$C$3:$C$862,tabItens[[#This Row],[CÓDIGO]],Consumo!$N$3:$N$862) + SUMIF(Consumo!$C$3:$C$862,tabItens[[#This Row],[CÓDIGO]],Consumo!$O$3:$O$862) + SUMIF(Consumo!$C$3:$C$862,tabItens[[#This Row],[CÓDIGO]],Consumo!$P$3:$P$862) + SUMIF(Consumo!$C$3:$C$862,tabItens[[#This Row],[CÓDIGO]],Consumo!$Q$3:$Q$862)</f>
        <v>0</v>
      </c>
      <c r="AT725" s="331">
        <f>SUMIF(Consumo!$C$3:$C$862,tabItens[[#This Row],[CÓDIGO]],Consumo!$Z$3:$Z$862)</f>
        <v>3</v>
      </c>
      <c r="AU725" s="332">
        <f>SUMIF(Consumo!$C$3:$C$862,tabItens[[#This Row],[CÓDIGO]],Consumo!$AA$3:$AA$862)</f>
        <v>2</v>
      </c>
      <c r="AV725" s="333">
        <f>SUMIF(Consumo!$C$3:$C$862,tabItens[[#This Row],[CÓDIGO]],Consumo!$Y$3:$Y$862)</f>
        <v>0.16666666666666666</v>
      </c>
      <c r="AW725" s="306">
        <f>tabItens[[#This Row],[QTDE ATUAL]] + tabItens[[#This Row],[RC QTDE]] + tabItens[[#This Row],[AF SALDO]] + tabItens[[#This Row],[Recentes]]</f>
        <v>87</v>
      </c>
      <c r="AX725" s="334">
        <v>1</v>
      </c>
      <c r="AY725" s="334">
        <v>4</v>
      </c>
      <c r="AZ725" s="334">
        <f>IF(ISBLANK(tabItens[[#This Row],[CÓDIGO]]),"",tabItens[[#This Row],[PontoMês]] * (AZ$2+tabItens[[#This Row],[PontoQtM]]))</f>
        <v>4</v>
      </c>
      <c r="BA725" s="333">
        <f>tabItens[[#This Row],[PontoPed]] - tabItens[[#This Row],[Saldo]] + (1/10)</f>
        <v>-82.9</v>
      </c>
      <c r="BB725" s="333">
        <f xml:space="preserve"> tabItens[[#This Row],[PontoMês]] * BB$2 - tabItens[[#This Row],[QTDE ATUAL]] - (1/10)</f>
        <v>-86.1</v>
      </c>
      <c r="BC725" s="335">
        <f>IF( tabItens[[#This Row],[PontoPed]]&gt;0, IF(tabItens[[#This Row],[PontoPed]]&lt;1, 1, IF( tabItens[[#This Row],[Saldo]]&gt;tabItens[[#This Row],[PontoPed]], 0, (tabItens[[#This Row],[PontoPed]]-tabItens[[#This Row],[Saldo]])/tabItens[[#This Row],[PontoPed]] ) ), 0 )</f>
        <v>0</v>
      </c>
      <c r="BD725" s="336">
        <f>ROUNDDOWN(IF( OR( AND(tabItens[[#This Row],[PontoPed]]&lt;tabItens[[#This Row],[Saldo]],tabItens[[#This Row],[Saldo]]&gt;0), tabItens[[#This Row],[PontoPed]]=0), 99, IF(AND(tabItens[[#This Row],[Saldo]]=0,tabItens[[#This Row],[PontoPed]]&gt;0), 0, (1-tabItens[[#This Row],[PctAb]])*10 ) ),0)</f>
        <v>99</v>
      </c>
      <c r="BE725" s="337">
        <f>MAX(ROUNDDOWN( IF(tabItens[[#This Row],[Abaixo]] &gt; 0,   tabItens[[#This Row],[Abaixo]] + (tabItens[[#This Row],[PontoMês]] * IF( OR( ISBLANK(tabItens[[#This Row],[ATA Nº/ANO]]), tabItens[[#This Row],[ATA Nº/ANO]] = ""),BE$2,BE$1)),0),0),0)</f>
        <v>0</v>
      </c>
      <c r="BF72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5" s="338">
        <f>SUMIF(Consumo!$C$3:$C$862,tabItens[[#This Row],[CÓDIGO]],Consumo!$E$3:$E$862)</f>
        <v>0</v>
      </c>
      <c r="BH725" s="339">
        <f>IF(AND(tabItens[[#This Row],[Pend]] &gt; 0,tabItens[[#This Row],[Consumo]] &lt;&gt; 0), tabItens[[#This Row],[Pend]] / tabItens[[#This Row],[Consumo]], 0 )</f>
        <v>0</v>
      </c>
      <c r="BI725" s="338"/>
      <c r="BJ725" s="338"/>
      <c r="BK725" s="340" t="s">
        <v>2086</v>
      </c>
    </row>
    <row r="726" spans="1:63" hidden="1" x14ac:dyDescent="0.3">
      <c r="A726" s="301">
        <v>93487</v>
      </c>
      <c r="B726" s="302" t="s">
        <v>1551</v>
      </c>
      <c r="C726" s="303" t="s">
        <v>263</v>
      </c>
      <c r="D726" s="304">
        <v>66.900000000000006</v>
      </c>
      <c r="E726" s="305"/>
      <c r="F726" s="305"/>
      <c r="G726" s="305" t="s">
        <v>889</v>
      </c>
      <c r="H726" s="306">
        <v>7</v>
      </c>
      <c r="I726" s="307">
        <v>103003</v>
      </c>
      <c r="J726" s="308">
        <v>66.900000000000006</v>
      </c>
      <c r="K726" s="309"/>
      <c r="L726" s="310">
        <f>IF(tabItens[[#This Row],[Média]] &gt; 0, tabItens[[#This Row],[QTDE ATUAL]] / tabItens[[#This Row],[Média]],999.9)</f>
        <v>999.9</v>
      </c>
      <c r="M726" s="311">
        <v>0</v>
      </c>
      <c r="N726" s="312">
        <f>tabItens[[#This Row],[VALOR UNIT.]] * tabItens[[#This Row],[LC]]</f>
        <v>0</v>
      </c>
      <c r="O726" s="313"/>
      <c r="P726" s="314"/>
      <c r="Q726" s="315"/>
      <c r="R726" s="312"/>
      <c r="S726" s="316"/>
      <c r="T726" s="317">
        <f>ROUNDDOWN(IFERROR(tabItens[[#This Row],[ATA DT.VALID.]] - $D$1,0) / 30,0)</f>
        <v>-1474</v>
      </c>
      <c r="U726" s="302" t="s">
        <v>1502</v>
      </c>
      <c r="V726" s="318">
        <v>1</v>
      </c>
      <c r="W726" s="319" t="s">
        <v>2077</v>
      </c>
      <c r="X726" s="320">
        <v>55</v>
      </c>
      <c r="Y726" s="321">
        <v>26</v>
      </c>
      <c r="Z726" s="322"/>
      <c r="AA726" s="323"/>
      <c r="AB726" s="324"/>
      <c r="AC726" s="324"/>
      <c r="AD726" s="323"/>
      <c r="AE726" s="324"/>
      <c r="AF726" s="317"/>
      <c r="AG726" s="325" t="s">
        <v>2072</v>
      </c>
      <c r="AH726" s="326"/>
      <c r="AI726" s="317">
        <v>0</v>
      </c>
      <c r="AJ726" s="326">
        <v>43440</v>
      </c>
      <c r="AK726" s="326">
        <v>38930</v>
      </c>
      <c r="AL726" s="326">
        <v>43411</v>
      </c>
      <c r="AM726" s="316"/>
      <c r="AN726" s="305"/>
      <c r="AO726" s="327" t="str">
        <f>_xlfn.IFNA(IF(VLOOKUP(tabItens[[#This Row],[CÓDIGO]],tabExcluirDoEstoque[#Data],1,FALSE),"sim",""),"")</f>
        <v/>
      </c>
      <c r="AP726" s="328" t="str">
        <f ca="1">IF(OR(ISBLANK(tabItens[[#This Row],[ATA DT.VALID.]]),tabItens[[#This Row],[ATA DT.VALID.]]="",tabItens[[#This Row],[ATA DT.VALID.]]=" "),"",IF(TYPE(tabItens[[#This Row],[ATA DT.VALID.]])=1,ROUNDUP((tabItens[[#This Row],[ATA DT.VALID.]]-TODAY())/7,0),""))</f>
        <v/>
      </c>
      <c r="AQ726" s="329"/>
      <c r="AR726" s="330">
        <f>IF(ISBLANK(tabItens[[#This Row],[CÓDIGO]]),"",IFERROR(VLOOKUP(tabItens[[#This Row],[CÓDIGO]],Consumo!$C$2:$AC$862,26,FALSE),0))</f>
        <v>0</v>
      </c>
      <c r="AS726" s="331">
        <f>SUMIF(Consumo!$C$3:$C$862,tabItens[[#This Row],[CÓDIGO]],Consumo!$N$3:$N$862) + SUMIF(Consumo!$C$3:$C$862,tabItens[[#This Row],[CÓDIGO]],Consumo!$O$3:$O$862) + SUMIF(Consumo!$C$3:$C$862,tabItens[[#This Row],[CÓDIGO]],Consumo!$P$3:$P$862) + SUMIF(Consumo!$C$3:$C$862,tabItens[[#This Row],[CÓDIGO]],Consumo!$Q$3:$Q$862)</f>
        <v>0</v>
      </c>
      <c r="AT726" s="331">
        <f>SUMIF(Consumo!$C$3:$C$862,tabItens[[#This Row],[CÓDIGO]],Consumo!$Z$3:$Z$862)</f>
        <v>0</v>
      </c>
      <c r="AU726" s="332">
        <f>SUMIF(Consumo!$C$3:$C$862,tabItens[[#This Row],[CÓDIGO]],Consumo!$AA$3:$AA$862)</f>
        <v>0</v>
      </c>
      <c r="AV726" s="333">
        <f>SUMIF(Consumo!$C$3:$C$862,tabItens[[#This Row],[CÓDIGO]],Consumo!$Y$3:$Y$862)</f>
        <v>0</v>
      </c>
      <c r="AW726" s="306">
        <f>tabItens[[#This Row],[QTDE ATUAL]] + tabItens[[#This Row],[RC QTDE]] + tabItens[[#This Row],[AF SALDO]] + tabItens[[#This Row],[Recentes]]</f>
        <v>7</v>
      </c>
      <c r="AX726" s="334">
        <v>1</v>
      </c>
      <c r="AY726" s="334">
        <v>4</v>
      </c>
      <c r="AZ726" s="334">
        <f>IF(ISBLANK(tabItens[[#This Row],[CÓDIGO]]),"",tabItens[[#This Row],[PontoMês]] * (AZ$2+tabItens[[#This Row],[PontoQtM]]))</f>
        <v>4</v>
      </c>
      <c r="BA726" s="333">
        <f>tabItens[[#This Row],[PontoPed]] - tabItens[[#This Row],[Saldo]] + (1/10)</f>
        <v>-2.9</v>
      </c>
      <c r="BB726" s="333">
        <f xml:space="preserve"> tabItens[[#This Row],[PontoMês]] * BB$2 - tabItens[[#This Row],[QTDE ATUAL]] - (1/10)</f>
        <v>-6.1</v>
      </c>
      <c r="BC726" s="335">
        <f>IF( tabItens[[#This Row],[PontoPed]]&gt;0, IF(tabItens[[#This Row],[PontoPed]]&lt;1, 1, IF( tabItens[[#This Row],[Saldo]]&gt;tabItens[[#This Row],[PontoPed]], 0, (tabItens[[#This Row],[PontoPed]]-tabItens[[#This Row],[Saldo]])/tabItens[[#This Row],[PontoPed]] ) ), 0 )</f>
        <v>0</v>
      </c>
      <c r="BD726" s="336">
        <f>ROUNDDOWN(IF( OR( AND(tabItens[[#This Row],[PontoPed]]&lt;tabItens[[#This Row],[Saldo]],tabItens[[#This Row],[Saldo]]&gt;0), tabItens[[#This Row],[PontoPed]]=0), 99, IF(AND(tabItens[[#This Row],[Saldo]]=0,tabItens[[#This Row],[PontoPed]]&gt;0), 0, (1-tabItens[[#This Row],[PctAb]])*10 ) ),0)</f>
        <v>99</v>
      </c>
      <c r="BE726" s="337">
        <f>MAX(ROUNDDOWN( IF(tabItens[[#This Row],[Abaixo]] &gt; 0,   tabItens[[#This Row],[Abaixo]] + (tabItens[[#This Row],[PontoMês]] * IF( OR( ISBLANK(tabItens[[#This Row],[ATA Nº/ANO]]), tabItens[[#This Row],[ATA Nº/ANO]] = ""),BE$2,BE$1)),0),0),0)</f>
        <v>0</v>
      </c>
      <c r="BF72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6" s="338">
        <f>SUMIF(Consumo!$C$3:$C$862,tabItens[[#This Row],[CÓDIGO]],Consumo!$E$3:$E$862)</f>
        <v>0</v>
      </c>
      <c r="BH726" s="339">
        <f>IF(AND(tabItens[[#This Row],[Pend]] &gt; 0,tabItens[[#This Row],[Consumo]] &lt;&gt; 0), tabItens[[#This Row],[Pend]] / tabItens[[#This Row],[Consumo]], 0 )</f>
        <v>0</v>
      </c>
      <c r="BI726" s="338"/>
      <c r="BJ726" s="338"/>
      <c r="BK726" s="340" t="s">
        <v>2086</v>
      </c>
    </row>
    <row r="727" spans="1:63" hidden="1" x14ac:dyDescent="0.3">
      <c r="A727" s="301">
        <v>93488</v>
      </c>
      <c r="B727" s="302" t="s">
        <v>1552</v>
      </c>
      <c r="C727" s="303" t="s">
        <v>263</v>
      </c>
      <c r="D727" s="304">
        <v>78.400000000000006</v>
      </c>
      <c r="E727" s="305"/>
      <c r="F727" s="305"/>
      <c r="G727" s="305" t="s">
        <v>889</v>
      </c>
      <c r="H727" s="306">
        <v>17</v>
      </c>
      <c r="I727" s="307">
        <v>103003</v>
      </c>
      <c r="J727" s="308">
        <v>78.400000000000006</v>
      </c>
      <c r="K727" s="309">
        <v>5</v>
      </c>
      <c r="L727" s="310">
        <f>IF(tabItens[[#This Row],[Média]] &gt; 0, tabItens[[#This Row],[QTDE ATUAL]] / tabItens[[#This Row],[Média]],999.9)</f>
        <v>68</v>
      </c>
      <c r="M727" s="311">
        <v>0</v>
      </c>
      <c r="N727" s="312">
        <f>tabItens[[#This Row],[VALOR UNIT.]] * tabItens[[#This Row],[LC]]</f>
        <v>0</v>
      </c>
      <c r="O727" s="313"/>
      <c r="P727" s="314"/>
      <c r="Q727" s="315"/>
      <c r="R727" s="312"/>
      <c r="S727" s="316"/>
      <c r="T727" s="317">
        <f>ROUNDDOWN(IFERROR(tabItens[[#This Row],[ATA DT.VALID.]] - $D$1,0) / 30,0)</f>
        <v>-1474</v>
      </c>
      <c r="U727" s="302" t="s">
        <v>1502</v>
      </c>
      <c r="V727" s="318">
        <v>1</v>
      </c>
      <c r="W727" s="319" t="s">
        <v>2077</v>
      </c>
      <c r="X727" s="320">
        <v>55</v>
      </c>
      <c r="Y727" s="321">
        <v>26</v>
      </c>
      <c r="Z727" s="322"/>
      <c r="AA727" s="323"/>
      <c r="AB727" s="324"/>
      <c r="AC727" s="324"/>
      <c r="AD727" s="323"/>
      <c r="AE727" s="324"/>
      <c r="AF727" s="317"/>
      <c r="AG727" s="325" t="s">
        <v>2072</v>
      </c>
      <c r="AH727" s="326"/>
      <c r="AI727" s="317">
        <v>2</v>
      </c>
      <c r="AJ727" s="326">
        <v>43424</v>
      </c>
      <c r="AK727" s="326">
        <v>38930</v>
      </c>
      <c r="AL727" s="326">
        <v>43411</v>
      </c>
      <c r="AM727" s="316"/>
      <c r="AN727" s="305"/>
      <c r="AO727" s="327" t="str">
        <f>_xlfn.IFNA(IF(VLOOKUP(tabItens[[#This Row],[CÓDIGO]],tabExcluirDoEstoque[#Data],1,FALSE),"sim",""),"")</f>
        <v/>
      </c>
      <c r="AP727" s="328" t="str">
        <f ca="1">IF(OR(ISBLANK(tabItens[[#This Row],[ATA DT.VALID.]]),tabItens[[#This Row],[ATA DT.VALID.]]="",tabItens[[#This Row],[ATA DT.VALID.]]=" "),"",IF(TYPE(tabItens[[#This Row],[ATA DT.VALID.]])=1,ROUNDUP((tabItens[[#This Row],[ATA DT.VALID.]]-TODAY())/7,0),""))</f>
        <v/>
      </c>
      <c r="AQ727" s="329"/>
      <c r="AR727" s="330" t="str">
        <f>IF(ISBLANK(tabItens[[#This Row],[CÓDIGO]]),"",IFERROR(VLOOKUP(tabItens[[#This Row],[CÓDIGO]],Consumo!$C$2:$AC$862,26,FALSE),0))</f>
        <v>04.2023</v>
      </c>
      <c r="AS727" s="331">
        <f>SUMIF(Consumo!$C$3:$C$862,tabItens[[#This Row],[CÓDIGO]],Consumo!$N$3:$N$862) + SUMIF(Consumo!$C$3:$C$862,tabItens[[#This Row],[CÓDIGO]],Consumo!$O$3:$O$862) + SUMIF(Consumo!$C$3:$C$862,tabItens[[#This Row],[CÓDIGO]],Consumo!$P$3:$P$862) + SUMIF(Consumo!$C$3:$C$862,tabItens[[#This Row],[CÓDIGO]],Consumo!$Q$3:$Q$862)</f>
        <v>0</v>
      </c>
      <c r="AT727" s="331">
        <f>SUMIF(Consumo!$C$3:$C$862,tabItens[[#This Row],[CÓDIGO]],Consumo!$Z$3:$Z$862)</f>
        <v>5</v>
      </c>
      <c r="AU727" s="332">
        <f>SUMIF(Consumo!$C$3:$C$862,tabItens[[#This Row],[CÓDIGO]],Consumo!$AA$3:$AA$862)</f>
        <v>4</v>
      </c>
      <c r="AV727" s="333">
        <f>SUMIF(Consumo!$C$3:$C$862,tabItens[[#This Row],[CÓDIGO]],Consumo!$Y$3:$Y$862)</f>
        <v>0.25</v>
      </c>
      <c r="AW727" s="306">
        <f>tabItens[[#This Row],[QTDE ATUAL]] + tabItens[[#This Row],[RC QTDE]] + tabItens[[#This Row],[AF SALDO]] + tabItens[[#This Row],[Recentes]]</f>
        <v>17</v>
      </c>
      <c r="AX727" s="334">
        <v>1</v>
      </c>
      <c r="AY727" s="334">
        <v>4</v>
      </c>
      <c r="AZ727" s="334">
        <f>IF(ISBLANK(tabItens[[#This Row],[CÓDIGO]]),"",tabItens[[#This Row],[PontoMês]] * (AZ$2+tabItens[[#This Row],[PontoQtM]]))</f>
        <v>4</v>
      </c>
      <c r="BA727" s="333">
        <f>tabItens[[#This Row],[PontoPed]] - tabItens[[#This Row],[Saldo]] + (1/10)</f>
        <v>-12.9</v>
      </c>
      <c r="BB727" s="333">
        <f xml:space="preserve"> tabItens[[#This Row],[PontoMês]] * BB$2 - tabItens[[#This Row],[QTDE ATUAL]] - (1/10)</f>
        <v>-16.100000000000001</v>
      </c>
      <c r="BC727" s="335">
        <f>IF( tabItens[[#This Row],[PontoPed]]&gt;0, IF(tabItens[[#This Row],[PontoPed]]&lt;1, 1, IF( tabItens[[#This Row],[Saldo]]&gt;tabItens[[#This Row],[PontoPed]], 0, (tabItens[[#This Row],[PontoPed]]-tabItens[[#This Row],[Saldo]])/tabItens[[#This Row],[PontoPed]] ) ), 0 )</f>
        <v>0</v>
      </c>
      <c r="BD727" s="336">
        <f>ROUNDDOWN(IF( OR( AND(tabItens[[#This Row],[PontoPed]]&lt;tabItens[[#This Row],[Saldo]],tabItens[[#This Row],[Saldo]]&gt;0), tabItens[[#This Row],[PontoPed]]=0), 99, IF(AND(tabItens[[#This Row],[Saldo]]=0,tabItens[[#This Row],[PontoPed]]&gt;0), 0, (1-tabItens[[#This Row],[PctAb]])*10 ) ),0)</f>
        <v>99</v>
      </c>
      <c r="BE727" s="337">
        <f>MAX(ROUNDDOWN( IF(tabItens[[#This Row],[Abaixo]] &gt; 0,   tabItens[[#This Row],[Abaixo]] + (tabItens[[#This Row],[PontoMês]] * IF( OR( ISBLANK(tabItens[[#This Row],[ATA Nº/ANO]]), tabItens[[#This Row],[ATA Nº/ANO]] = ""),BE$2,BE$1)),0),0),0)</f>
        <v>0</v>
      </c>
      <c r="BF72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7" s="338">
        <f>SUMIF(Consumo!$C$3:$C$862,tabItens[[#This Row],[CÓDIGO]],Consumo!$E$3:$E$862)</f>
        <v>0</v>
      </c>
      <c r="BH727" s="339">
        <f>IF(AND(tabItens[[#This Row],[Pend]] &gt; 0,tabItens[[#This Row],[Consumo]] &lt;&gt; 0), tabItens[[#This Row],[Pend]] / tabItens[[#This Row],[Consumo]], 0 )</f>
        <v>0</v>
      </c>
      <c r="BI727" s="338"/>
      <c r="BJ727" s="338"/>
      <c r="BK727" s="340" t="s">
        <v>2086</v>
      </c>
    </row>
    <row r="728" spans="1:63" hidden="1" x14ac:dyDescent="0.3">
      <c r="A728" s="301">
        <v>102822</v>
      </c>
      <c r="B728" s="302" t="s">
        <v>1596</v>
      </c>
      <c r="C728" s="303" t="s">
        <v>263</v>
      </c>
      <c r="D728" s="304">
        <v>4.0999999999999996</v>
      </c>
      <c r="E728" s="305"/>
      <c r="F728" s="305"/>
      <c r="G728" s="305" t="s">
        <v>889</v>
      </c>
      <c r="H728" s="306">
        <v>60</v>
      </c>
      <c r="I728" s="307">
        <v>103003</v>
      </c>
      <c r="J728" s="308">
        <v>4.0999999999999996</v>
      </c>
      <c r="K728" s="309">
        <v>7</v>
      </c>
      <c r="L728" s="310">
        <f>IF(tabItens[[#This Row],[Média]] &gt; 0, tabItens[[#This Row],[QTDE ATUAL]] / tabItens[[#This Row],[Média]],999.9)</f>
        <v>120</v>
      </c>
      <c r="M728" s="311">
        <v>0</v>
      </c>
      <c r="N728" s="312">
        <f>tabItens[[#This Row],[VALOR UNIT.]] * tabItens[[#This Row],[LC]]</f>
        <v>0</v>
      </c>
      <c r="O728" s="313"/>
      <c r="P728" s="314"/>
      <c r="Q728" s="315"/>
      <c r="R728" s="312"/>
      <c r="S728" s="316"/>
      <c r="T728" s="317">
        <f>ROUNDDOWN(IFERROR(tabItens[[#This Row],[ATA DT.VALID.]] - $D$1,0) / 30,0)</f>
        <v>-1474</v>
      </c>
      <c r="U728" s="302" t="s">
        <v>1502</v>
      </c>
      <c r="V728" s="318">
        <v>1</v>
      </c>
      <c r="W728" s="319" t="s">
        <v>2077</v>
      </c>
      <c r="X728" s="320">
        <v>55</v>
      </c>
      <c r="Y728" s="321">
        <v>26</v>
      </c>
      <c r="Z728" s="322"/>
      <c r="AA728" s="323"/>
      <c r="AB728" s="324"/>
      <c r="AC728" s="324"/>
      <c r="AD728" s="323"/>
      <c r="AE728" s="324"/>
      <c r="AF728" s="317"/>
      <c r="AG728" s="325" t="s">
        <v>2072</v>
      </c>
      <c r="AH728" s="326"/>
      <c r="AI728" s="317">
        <v>2</v>
      </c>
      <c r="AJ728" s="326">
        <v>40263</v>
      </c>
      <c r="AK728" s="326">
        <v>39374</v>
      </c>
      <c r="AL728" s="326">
        <v>42968</v>
      </c>
      <c r="AM728" s="316"/>
      <c r="AN728" s="305"/>
      <c r="AO728" s="327" t="str">
        <f>_xlfn.IFNA(IF(VLOOKUP(tabItens[[#This Row],[CÓDIGO]],tabExcluirDoEstoque[#Data],1,FALSE),"sim",""),"")</f>
        <v/>
      </c>
      <c r="AP728" s="328" t="str">
        <f ca="1">IF(OR(ISBLANK(tabItens[[#This Row],[ATA DT.VALID.]]),tabItens[[#This Row],[ATA DT.VALID.]]="",tabItens[[#This Row],[ATA DT.VALID.]]=" "),"",IF(TYPE(tabItens[[#This Row],[ATA DT.VALID.]])=1,ROUNDUP((tabItens[[#This Row],[ATA DT.VALID.]]-TODAY())/7,0),""))</f>
        <v/>
      </c>
      <c r="AQ728" s="329"/>
      <c r="AR728" s="330" t="str">
        <f>IF(ISBLANK(tabItens[[#This Row],[CÓDIGO]]),"",IFERROR(VLOOKUP(tabItens[[#This Row],[CÓDIGO]],Consumo!$C$2:$AC$862,26,FALSE),0))</f>
        <v>02.2023</v>
      </c>
      <c r="AS728" s="331">
        <f>SUMIF(Consumo!$C$3:$C$862,tabItens[[#This Row],[CÓDIGO]],Consumo!$N$3:$N$862) + SUMIF(Consumo!$C$3:$C$862,tabItens[[#This Row],[CÓDIGO]],Consumo!$O$3:$O$862) + SUMIF(Consumo!$C$3:$C$862,tabItens[[#This Row],[CÓDIGO]],Consumo!$P$3:$P$862) + SUMIF(Consumo!$C$3:$C$862,tabItens[[#This Row],[CÓDIGO]],Consumo!$Q$3:$Q$862)</f>
        <v>0</v>
      </c>
      <c r="AT728" s="331">
        <f>SUMIF(Consumo!$C$3:$C$862,tabItens[[#This Row],[CÓDIGO]],Consumo!$Z$3:$Z$862)</f>
        <v>7</v>
      </c>
      <c r="AU728" s="332">
        <f>SUMIF(Consumo!$C$3:$C$862,tabItens[[#This Row],[CÓDIGO]],Consumo!$AA$3:$AA$862)</f>
        <v>3</v>
      </c>
      <c r="AV728" s="333">
        <f>SUMIF(Consumo!$C$3:$C$862,tabItens[[#This Row],[CÓDIGO]],Consumo!$Y$3:$Y$862)</f>
        <v>0.5</v>
      </c>
      <c r="AW728" s="306">
        <f>tabItens[[#This Row],[QTDE ATUAL]] + tabItens[[#This Row],[RC QTDE]] + tabItens[[#This Row],[AF SALDO]] + tabItens[[#This Row],[Recentes]]</f>
        <v>60</v>
      </c>
      <c r="AX728" s="334">
        <v>1</v>
      </c>
      <c r="AY728" s="334">
        <v>4</v>
      </c>
      <c r="AZ728" s="334">
        <f>IF(ISBLANK(tabItens[[#This Row],[CÓDIGO]]),"",tabItens[[#This Row],[PontoMês]] * (AZ$2+tabItens[[#This Row],[PontoQtM]]))</f>
        <v>4</v>
      </c>
      <c r="BA728" s="333">
        <f>tabItens[[#This Row],[PontoPed]] - tabItens[[#This Row],[Saldo]] + (1/10)</f>
        <v>-55.9</v>
      </c>
      <c r="BB728" s="333">
        <f xml:space="preserve"> tabItens[[#This Row],[PontoMês]] * BB$2 - tabItens[[#This Row],[QTDE ATUAL]] - (1/10)</f>
        <v>-59.1</v>
      </c>
      <c r="BC728" s="335">
        <f>IF( tabItens[[#This Row],[PontoPed]]&gt;0, IF(tabItens[[#This Row],[PontoPed]]&lt;1, 1, IF( tabItens[[#This Row],[Saldo]]&gt;tabItens[[#This Row],[PontoPed]], 0, (tabItens[[#This Row],[PontoPed]]-tabItens[[#This Row],[Saldo]])/tabItens[[#This Row],[PontoPed]] ) ), 0 )</f>
        <v>0</v>
      </c>
      <c r="BD728" s="336">
        <f>ROUNDDOWN(IF( OR( AND(tabItens[[#This Row],[PontoPed]]&lt;tabItens[[#This Row],[Saldo]],tabItens[[#This Row],[Saldo]]&gt;0), tabItens[[#This Row],[PontoPed]]=0), 99, IF(AND(tabItens[[#This Row],[Saldo]]=0,tabItens[[#This Row],[PontoPed]]&gt;0), 0, (1-tabItens[[#This Row],[PctAb]])*10 ) ),0)</f>
        <v>99</v>
      </c>
      <c r="BE728" s="337">
        <f>MAX(ROUNDDOWN( IF(tabItens[[#This Row],[Abaixo]] &gt; 0,   tabItens[[#This Row],[Abaixo]] + (tabItens[[#This Row],[PontoMês]] * IF( OR( ISBLANK(tabItens[[#This Row],[ATA Nº/ANO]]), tabItens[[#This Row],[ATA Nº/ANO]] = ""),BE$2,BE$1)),0),0),0)</f>
        <v>0</v>
      </c>
      <c r="BF72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8" s="338">
        <f>SUMIF(Consumo!$C$3:$C$862,tabItens[[#This Row],[CÓDIGO]],Consumo!$E$3:$E$862)</f>
        <v>0</v>
      </c>
      <c r="BH728" s="339">
        <f>IF(AND(tabItens[[#This Row],[Pend]] &gt; 0,tabItens[[#This Row],[Consumo]] &lt;&gt; 0), tabItens[[#This Row],[Pend]] / tabItens[[#This Row],[Consumo]], 0 )</f>
        <v>0</v>
      </c>
      <c r="BI728" s="338"/>
      <c r="BJ728" s="338"/>
      <c r="BK728" s="340" t="s">
        <v>2086</v>
      </c>
    </row>
    <row r="729" spans="1:63" hidden="1" x14ac:dyDescent="0.3">
      <c r="A729" s="301">
        <v>37518</v>
      </c>
      <c r="B729" s="302" t="s">
        <v>1267</v>
      </c>
      <c r="C729" s="303" t="s">
        <v>263</v>
      </c>
      <c r="D729" s="304">
        <v>0.11</v>
      </c>
      <c r="E729" s="305"/>
      <c r="F729" s="305"/>
      <c r="G729" s="305" t="s">
        <v>889</v>
      </c>
      <c r="H729" s="306">
        <v>350</v>
      </c>
      <c r="I729" s="307">
        <v>103003</v>
      </c>
      <c r="J729" s="308">
        <v>0.11</v>
      </c>
      <c r="K729" s="309"/>
      <c r="L729" s="310">
        <f>IF(tabItens[[#This Row],[Média]] &gt; 0, tabItens[[#This Row],[QTDE ATUAL]] / tabItens[[#This Row],[Média]],999.9)</f>
        <v>999.9</v>
      </c>
      <c r="M729" s="311">
        <v>0</v>
      </c>
      <c r="N729" s="312">
        <f>tabItens[[#This Row],[VALOR UNIT.]] * tabItens[[#This Row],[LC]]</f>
        <v>0</v>
      </c>
      <c r="O729" s="313"/>
      <c r="P729" s="314"/>
      <c r="Q729" s="315"/>
      <c r="R729" s="312"/>
      <c r="S729" s="316"/>
      <c r="T729" s="317">
        <f>ROUNDDOWN(IFERROR(tabItens[[#This Row],[ATA DT.VALID.]] - $D$1,0) / 30,0)</f>
        <v>-1474</v>
      </c>
      <c r="U729" s="302" t="s">
        <v>1076</v>
      </c>
      <c r="V729" s="318">
        <v>1</v>
      </c>
      <c r="W729" s="319" t="s">
        <v>2077</v>
      </c>
      <c r="X729" s="320">
        <v>55</v>
      </c>
      <c r="Y729" s="321">
        <v>27</v>
      </c>
      <c r="Z729" s="322"/>
      <c r="AA729" s="323"/>
      <c r="AB729" s="324"/>
      <c r="AC729" s="324"/>
      <c r="AD729" s="323"/>
      <c r="AE729" s="324"/>
      <c r="AF729" s="317"/>
      <c r="AG729" s="325" t="s">
        <v>2072</v>
      </c>
      <c r="AH729" s="326"/>
      <c r="AI729" s="317">
        <v>0</v>
      </c>
      <c r="AJ729" s="326">
        <v>41970</v>
      </c>
      <c r="AK729" s="326" t="s">
        <v>889</v>
      </c>
      <c r="AL729" s="326">
        <v>42142</v>
      </c>
      <c r="AM729" s="316"/>
      <c r="AN729" s="305"/>
      <c r="AO729" s="327" t="str">
        <f>_xlfn.IFNA(IF(VLOOKUP(tabItens[[#This Row],[CÓDIGO]],tabExcluirDoEstoque[#Data],1,FALSE),"sim",""),"")</f>
        <v/>
      </c>
      <c r="AP729" s="328" t="str">
        <f ca="1">IF(OR(ISBLANK(tabItens[[#This Row],[ATA DT.VALID.]]),tabItens[[#This Row],[ATA DT.VALID.]]="",tabItens[[#This Row],[ATA DT.VALID.]]=" "),"",IF(TYPE(tabItens[[#This Row],[ATA DT.VALID.]])=1,ROUNDUP((tabItens[[#This Row],[ATA DT.VALID.]]-TODAY())/7,0),""))</f>
        <v/>
      </c>
      <c r="AQ729" s="329"/>
      <c r="AR729" s="330">
        <f>IF(ISBLANK(tabItens[[#This Row],[CÓDIGO]]),"",IFERROR(VLOOKUP(tabItens[[#This Row],[CÓDIGO]],Consumo!$C$2:$AC$862,26,FALSE),0))</f>
        <v>0</v>
      </c>
      <c r="AS729" s="331">
        <f>SUMIF(Consumo!$C$3:$C$862,tabItens[[#This Row],[CÓDIGO]],Consumo!$N$3:$N$862) + SUMIF(Consumo!$C$3:$C$862,tabItens[[#This Row],[CÓDIGO]],Consumo!$O$3:$O$862) + SUMIF(Consumo!$C$3:$C$862,tabItens[[#This Row],[CÓDIGO]],Consumo!$P$3:$P$862) + SUMIF(Consumo!$C$3:$C$862,tabItens[[#This Row],[CÓDIGO]],Consumo!$Q$3:$Q$862)</f>
        <v>0</v>
      </c>
      <c r="AT729" s="331">
        <f>SUMIF(Consumo!$C$3:$C$862,tabItens[[#This Row],[CÓDIGO]],Consumo!$Z$3:$Z$862)</f>
        <v>0</v>
      </c>
      <c r="AU729" s="332">
        <f>SUMIF(Consumo!$C$3:$C$862,tabItens[[#This Row],[CÓDIGO]],Consumo!$AA$3:$AA$862)</f>
        <v>0</v>
      </c>
      <c r="AV729" s="333">
        <f>SUMIF(Consumo!$C$3:$C$862,tabItens[[#This Row],[CÓDIGO]],Consumo!$Y$3:$Y$862)</f>
        <v>0</v>
      </c>
      <c r="AW729" s="306">
        <f>tabItens[[#This Row],[QTDE ATUAL]] + tabItens[[#This Row],[RC QTDE]] + tabItens[[#This Row],[AF SALDO]] + tabItens[[#This Row],[Recentes]]</f>
        <v>350</v>
      </c>
      <c r="AX729" s="334">
        <v>5</v>
      </c>
      <c r="AY729" s="334">
        <v>4</v>
      </c>
      <c r="AZ729" s="334">
        <f>IF(ISBLANK(tabItens[[#This Row],[CÓDIGO]]),"",tabItens[[#This Row],[PontoMês]] * (AZ$2+tabItens[[#This Row],[PontoQtM]]))</f>
        <v>20</v>
      </c>
      <c r="BA729" s="333">
        <f>tabItens[[#This Row],[PontoPed]] - tabItens[[#This Row],[Saldo]] + (1/10)</f>
        <v>-329.9</v>
      </c>
      <c r="BB729" s="333">
        <f xml:space="preserve"> tabItens[[#This Row],[PontoMês]] * BB$2 - tabItens[[#This Row],[QTDE ATUAL]] - (1/10)</f>
        <v>-345.1</v>
      </c>
      <c r="BC729" s="335">
        <f>IF( tabItens[[#This Row],[PontoPed]]&gt;0, IF(tabItens[[#This Row],[PontoPed]]&lt;1, 1, IF( tabItens[[#This Row],[Saldo]]&gt;tabItens[[#This Row],[PontoPed]], 0, (tabItens[[#This Row],[PontoPed]]-tabItens[[#This Row],[Saldo]])/tabItens[[#This Row],[PontoPed]] ) ), 0 )</f>
        <v>0</v>
      </c>
      <c r="BD729" s="336">
        <f>ROUNDDOWN(IF( OR( AND(tabItens[[#This Row],[PontoPed]]&lt;tabItens[[#This Row],[Saldo]],tabItens[[#This Row],[Saldo]]&gt;0), tabItens[[#This Row],[PontoPed]]=0), 99, IF(AND(tabItens[[#This Row],[Saldo]]=0,tabItens[[#This Row],[PontoPed]]&gt;0), 0, (1-tabItens[[#This Row],[PctAb]])*10 ) ),0)</f>
        <v>99</v>
      </c>
      <c r="BE729" s="337">
        <f>MAX(ROUNDDOWN( IF(tabItens[[#This Row],[Abaixo]] &gt; 0,   tabItens[[#This Row],[Abaixo]] + (tabItens[[#This Row],[PontoMês]] * IF( OR( ISBLANK(tabItens[[#This Row],[ATA Nº/ANO]]), tabItens[[#This Row],[ATA Nº/ANO]] = ""),BE$2,BE$1)),0),0),0)</f>
        <v>0</v>
      </c>
      <c r="BF72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9" s="338">
        <f>SUMIF(Consumo!$C$3:$C$862,tabItens[[#This Row],[CÓDIGO]],Consumo!$E$3:$E$862)</f>
        <v>0</v>
      </c>
      <c r="BH729" s="339">
        <f>IF(AND(tabItens[[#This Row],[Pend]] &gt; 0,tabItens[[#This Row],[Consumo]] &lt;&gt; 0), tabItens[[#This Row],[Pend]] / tabItens[[#This Row],[Consumo]], 0 )</f>
        <v>0</v>
      </c>
      <c r="BI729" s="338"/>
      <c r="BJ729" s="338"/>
      <c r="BK729" s="340" t="s">
        <v>2086</v>
      </c>
    </row>
    <row r="730" spans="1:63" hidden="1" x14ac:dyDescent="0.3">
      <c r="A730" s="301">
        <v>37519</v>
      </c>
      <c r="B730" s="302" t="s">
        <v>1268</v>
      </c>
      <c r="C730" s="303" t="s">
        <v>263</v>
      </c>
      <c r="D730" s="304">
        <v>0.25</v>
      </c>
      <c r="E730" s="305"/>
      <c r="F730" s="305"/>
      <c r="G730" s="305" t="s">
        <v>889</v>
      </c>
      <c r="H730" s="306">
        <v>2345</v>
      </c>
      <c r="I730" s="307">
        <v>103003</v>
      </c>
      <c r="J730" s="308">
        <v>0.25</v>
      </c>
      <c r="K730" s="309"/>
      <c r="L730" s="310">
        <f>IF(tabItens[[#This Row],[Média]] &gt; 0, tabItens[[#This Row],[QTDE ATUAL]] / tabItens[[#This Row],[Média]],999.9)</f>
        <v>999.9</v>
      </c>
      <c r="M730" s="311">
        <v>0</v>
      </c>
      <c r="N730" s="312">
        <f>tabItens[[#This Row],[VALOR UNIT.]] * tabItens[[#This Row],[LC]]</f>
        <v>0</v>
      </c>
      <c r="O730" s="313"/>
      <c r="P730" s="314"/>
      <c r="Q730" s="315"/>
      <c r="R730" s="312"/>
      <c r="S730" s="316"/>
      <c r="T730" s="317">
        <f>ROUNDDOWN(IFERROR(tabItens[[#This Row],[ATA DT.VALID.]] - $D$1,0) / 30,0)</f>
        <v>-1474</v>
      </c>
      <c r="U730" s="302" t="s">
        <v>1076</v>
      </c>
      <c r="V730" s="318">
        <v>1</v>
      </c>
      <c r="W730" s="319" t="s">
        <v>2077</v>
      </c>
      <c r="X730" s="320">
        <v>55</v>
      </c>
      <c r="Y730" s="321">
        <v>27</v>
      </c>
      <c r="Z730" s="322"/>
      <c r="AA730" s="323"/>
      <c r="AB730" s="324"/>
      <c r="AC730" s="324"/>
      <c r="AD730" s="323"/>
      <c r="AE730" s="324"/>
      <c r="AF730" s="317"/>
      <c r="AG730" s="325" t="s">
        <v>2072</v>
      </c>
      <c r="AH730" s="326"/>
      <c r="AI730" s="317">
        <v>0</v>
      </c>
      <c r="AJ730" s="326">
        <v>41577</v>
      </c>
      <c r="AK730" s="326" t="s">
        <v>889</v>
      </c>
      <c r="AL730" s="326">
        <v>44027</v>
      </c>
      <c r="AM730" s="316"/>
      <c r="AN730" s="305"/>
      <c r="AO730" s="327" t="str">
        <f>_xlfn.IFNA(IF(VLOOKUP(tabItens[[#This Row],[CÓDIGO]],tabExcluirDoEstoque[#Data],1,FALSE),"sim",""),"")</f>
        <v/>
      </c>
      <c r="AP730" s="328" t="str">
        <f ca="1">IF(OR(ISBLANK(tabItens[[#This Row],[ATA DT.VALID.]]),tabItens[[#This Row],[ATA DT.VALID.]]="",tabItens[[#This Row],[ATA DT.VALID.]]=" "),"",IF(TYPE(tabItens[[#This Row],[ATA DT.VALID.]])=1,ROUNDUP((tabItens[[#This Row],[ATA DT.VALID.]]-TODAY())/7,0),""))</f>
        <v/>
      </c>
      <c r="AQ730" s="329"/>
      <c r="AR730" s="330">
        <f>IF(ISBLANK(tabItens[[#This Row],[CÓDIGO]]),"",IFERROR(VLOOKUP(tabItens[[#This Row],[CÓDIGO]],Consumo!$C$2:$AC$862,26,FALSE),0))</f>
        <v>0</v>
      </c>
      <c r="AS730" s="331">
        <f>SUMIF(Consumo!$C$3:$C$862,tabItens[[#This Row],[CÓDIGO]],Consumo!$N$3:$N$862) + SUMIF(Consumo!$C$3:$C$862,tabItens[[#This Row],[CÓDIGO]],Consumo!$O$3:$O$862) + SUMIF(Consumo!$C$3:$C$862,tabItens[[#This Row],[CÓDIGO]],Consumo!$P$3:$P$862) + SUMIF(Consumo!$C$3:$C$862,tabItens[[#This Row],[CÓDIGO]],Consumo!$Q$3:$Q$862)</f>
        <v>0</v>
      </c>
      <c r="AT730" s="331">
        <f>SUMIF(Consumo!$C$3:$C$862,tabItens[[#This Row],[CÓDIGO]],Consumo!$Z$3:$Z$862)</f>
        <v>0</v>
      </c>
      <c r="AU730" s="332">
        <f>SUMIF(Consumo!$C$3:$C$862,tabItens[[#This Row],[CÓDIGO]],Consumo!$AA$3:$AA$862)</f>
        <v>0</v>
      </c>
      <c r="AV730" s="333">
        <f>SUMIF(Consumo!$C$3:$C$862,tabItens[[#This Row],[CÓDIGO]],Consumo!$Y$3:$Y$862)</f>
        <v>0</v>
      </c>
      <c r="AW730" s="306">
        <f>tabItens[[#This Row],[QTDE ATUAL]] + tabItens[[#This Row],[RC QTDE]] + tabItens[[#This Row],[AF SALDO]] + tabItens[[#This Row],[Recentes]]</f>
        <v>2345</v>
      </c>
      <c r="AX730" s="334">
        <v>0</v>
      </c>
      <c r="AY730" s="334">
        <v>4</v>
      </c>
      <c r="AZ730" s="334">
        <f>IF(ISBLANK(tabItens[[#This Row],[CÓDIGO]]),"",tabItens[[#This Row],[PontoMês]] * (AZ$2+tabItens[[#This Row],[PontoQtM]]))</f>
        <v>0</v>
      </c>
      <c r="BA730" s="333">
        <f>tabItens[[#This Row],[PontoPed]] - tabItens[[#This Row],[Saldo]] + (1/10)</f>
        <v>-2344.9</v>
      </c>
      <c r="BB730" s="333">
        <f xml:space="preserve"> tabItens[[#This Row],[PontoMês]] * BB$2 - tabItens[[#This Row],[QTDE ATUAL]] - (1/10)</f>
        <v>-2345.1</v>
      </c>
      <c r="BC730" s="335">
        <f>IF( tabItens[[#This Row],[PontoPed]]&gt;0, IF(tabItens[[#This Row],[PontoPed]]&lt;1, 1, IF( tabItens[[#This Row],[Saldo]]&gt;tabItens[[#This Row],[PontoPed]], 0, (tabItens[[#This Row],[PontoPed]]-tabItens[[#This Row],[Saldo]])/tabItens[[#This Row],[PontoPed]] ) ), 0 )</f>
        <v>0</v>
      </c>
      <c r="BD730" s="336">
        <f>ROUNDDOWN(IF( OR( AND(tabItens[[#This Row],[PontoPed]]&lt;tabItens[[#This Row],[Saldo]],tabItens[[#This Row],[Saldo]]&gt;0), tabItens[[#This Row],[PontoPed]]=0), 99, IF(AND(tabItens[[#This Row],[Saldo]]=0,tabItens[[#This Row],[PontoPed]]&gt;0), 0, (1-tabItens[[#This Row],[PctAb]])*10 ) ),0)</f>
        <v>99</v>
      </c>
      <c r="BE730" s="337">
        <f>MAX(ROUNDDOWN( IF(tabItens[[#This Row],[Abaixo]] &gt; 0,   tabItens[[#This Row],[Abaixo]] + (tabItens[[#This Row],[PontoMês]] * IF( OR( ISBLANK(tabItens[[#This Row],[ATA Nº/ANO]]), tabItens[[#This Row],[ATA Nº/ANO]] = ""),BE$2,BE$1)),0),0),0)</f>
        <v>0</v>
      </c>
      <c r="BF73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0" s="338">
        <f>SUMIF(Consumo!$C$3:$C$862,tabItens[[#This Row],[CÓDIGO]],Consumo!$E$3:$E$862)</f>
        <v>0</v>
      </c>
      <c r="BH730" s="339">
        <f>IF(AND(tabItens[[#This Row],[Pend]] &gt; 0,tabItens[[#This Row],[Consumo]] &lt;&gt; 0), tabItens[[#This Row],[Pend]] / tabItens[[#This Row],[Consumo]], 0 )</f>
        <v>0</v>
      </c>
      <c r="BI730" s="338"/>
      <c r="BJ730" s="338"/>
      <c r="BK730" s="340" t="s">
        <v>2086</v>
      </c>
    </row>
    <row r="731" spans="1:63" hidden="1" x14ac:dyDescent="0.3">
      <c r="A731" s="301">
        <v>104665</v>
      </c>
      <c r="B731" s="302" t="s">
        <v>1606</v>
      </c>
      <c r="C731" s="303" t="s">
        <v>1607</v>
      </c>
      <c r="D731" s="304">
        <v>485</v>
      </c>
      <c r="E731" s="305"/>
      <c r="F731" s="305"/>
      <c r="G731" s="305" t="s">
        <v>889</v>
      </c>
      <c r="H731" s="306">
        <v>108</v>
      </c>
      <c r="I731" s="307">
        <v>103003</v>
      </c>
      <c r="J731" s="308">
        <v>485</v>
      </c>
      <c r="K731" s="309">
        <v>13</v>
      </c>
      <c r="L731" s="310">
        <f>IF(tabItens[[#This Row],[Média]] &gt; 0, tabItens[[#This Row],[QTDE ATUAL]] / tabItens[[#This Row],[Média]],999.9)</f>
        <v>108</v>
      </c>
      <c r="M731" s="311">
        <v>0</v>
      </c>
      <c r="N731" s="312">
        <f>tabItens[[#This Row],[VALOR UNIT.]] * tabItens[[#This Row],[LC]]</f>
        <v>0</v>
      </c>
      <c r="O731" s="313"/>
      <c r="P731" s="314"/>
      <c r="Q731" s="315"/>
      <c r="R731" s="312"/>
      <c r="S731" s="316"/>
      <c r="T731" s="317">
        <f>ROUNDDOWN(IFERROR(tabItens[[#This Row],[ATA DT.VALID.]] - $D$1,0) / 30,0)</f>
        <v>-1474</v>
      </c>
      <c r="U731" s="302" t="s">
        <v>1076</v>
      </c>
      <c r="V731" s="318">
        <v>1</v>
      </c>
      <c r="W731" s="319" t="s">
        <v>2077</v>
      </c>
      <c r="X731" s="320">
        <v>55</v>
      </c>
      <c r="Y731" s="321">
        <v>27</v>
      </c>
      <c r="Z731" s="322"/>
      <c r="AA731" s="323"/>
      <c r="AB731" s="324"/>
      <c r="AC731" s="324"/>
      <c r="AD731" s="323"/>
      <c r="AE731" s="324"/>
      <c r="AF731" s="317"/>
      <c r="AG731" s="325" t="s">
        <v>2072</v>
      </c>
      <c r="AH731" s="326"/>
      <c r="AI731" s="317">
        <v>4</v>
      </c>
      <c r="AJ731" s="326">
        <v>40305</v>
      </c>
      <c r="AK731" s="326">
        <v>39472</v>
      </c>
      <c r="AL731" s="326">
        <v>44126</v>
      </c>
      <c r="AM731" s="316"/>
      <c r="AN731" s="305"/>
      <c r="AO731" s="327" t="str">
        <f>_xlfn.IFNA(IF(VLOOKUP(tabItens[[#This Row],[CÓDIGO]],tabExcluirDoEstoque[#Data],1,FALSE),"sim",""),"")</f>
        <v/>
      </c>
      <c r="AP731" s="328" t="str">
        <f ca="1">IF(OR(ISBLANK(tabItens[[#This Row],[ATA DT.VALID.]]),tabItens[[#This Row],[ATA DT.VALID.]]="",tabItens[[#This Row],[ATA DT.VALID.]]=" "),"",IF(TYPE(tabItens[[#This Row],[ATA DT.VALID.]])=1,ROUNDUP((tabItens[[#This Row],[ATA DT.VALID.]]-TODAY())/7,0),""))</f>
        <v/>
      </c>
      <c r="AQ731" s="329"/>
      <c r="AR731" s="330" t="str">
        <f>IF(ISBLANK(tabItens[[#This Row],[CÓDIGO]]),"",IFERROR(VLOOKUP(tabItens[[#This Row],[CÓDIGO]],Consumo!$C$2:$AC$862,26,FALSE),0))</f>
        <v>08.2023</v>
      </c>
      <c r="AS731" s="331">
        <f>SUMIF(Consumo!$C$3:$C$862,tabItens[[#This Row],[CÓDIGO]],Consumo!$N$3:$N$862) + SUMIF(Consumo!$C$3:$C$862,tabItens[[#This Row],[CÓDIGO]],Consumo!$O$3:$O$862) + SUMIF(Consumo!$C$3:$C$862,tabItens[[#This Row],[CÓDIGO]],Consumo!$P$3:$P$862) + SUMIF(Consumo!$C$3:$C$862,tabItens[[#This Row],[CÓDIGO]],Consumo!$Q$3:$Q$862)</f>
        <v>8</v>
      </c>
      <c r="AT731" s="331">
        <f>SUMIF(Consumo!$C$3:$C$862,tabItens[[#This Row],[CÓDIGO]],Consumo!$Z$3:$Z$862)</f>
        <v>14</v>
      </c>
      <c r="AU731" s="332">
        <f>SUMIF(Consumo!$C$3:$C$862,tabItens[[#This Row],[CÓDIGO]],Consumo!$AA$3:$AA$862)</f>
        <v>7</v>
      </c>
      <c r="AV731" s="333">
        <f>SUMIF(Consumo!$C$3:$C$862,tabItens[[#This Row],[CÓDIGO]],Consumo!$Y$3:$Y$862)</f>
        <v>1</v>
      </c>
      <c r="AW731" s="306">
        <f>tabItens[[#This Row],[QTDE ATUAL]] + tabItens[[#This Row],[RC QTDE]] + tabItens[[#This Row],[AF SALDO]] + tabItens[[#This Row],[Recentes]]</f>
        <v>108</v>
      </c>
      <c r="AX731" s="334">
        <v>1</v>
      </c>
      <c r="AY731" s="334">
        <v>4</v>
      </c>
      <c r="AZ731" s="334">
        <f>IF(ISBLANK(tabItens[[#This Row],[CÓDIGO]]),"",tabItens[[#This Row],[PontoMês]] * (AZ$2+tabItens[[#This Row],[PontoQtM]]))</f>
        <v>4</v>
      </c>
      <c r="BA731" s="333">
        <f>tabItens[[#This Row],[PontoPed]] - tabItens[[#This Row],[Saldo]] + (1/10)</f>
        <v>-103.9</v>
      </c>
      <c r="BB731" s="333">
        <f xml:space="preserve"> tabItens[[#This Row],[PontoMês]] * BB$2 - tabItens[[#This Row],[QTDE ATUAL]] - (1/10)</f>
        <v>-107.1</v>
      </c>
      <c r="BC731" s="335">
        <f>IF( tabItens[[#This Row],[PontoPed]]&gt;0, IF(tabItens[[#This Row],[PontoPed]]&lt;1, 1, IF( tabItens[[#This Row],[Saldo]]&gt;tabItens[[#This Row],[PontoPed]], 0, (tabItens[[#This Row],[PontoPed]]-tabItens[[#This Row],[Saldo]])/tabItens[[#This Row],[PontoPed]] ) ), 0 )</f>
        <v>0</v>
      </c>
      <c r="BD731" s="336">
        <f>ROUNDDOWN(IF( OR( AND(tabItens[[#This Row],[PontoPed]]&lt;tabItens[[#This Row],[Saldo]],tabItens[[#This Row],[Saldo]]&gt;0), tabItens[[#This Row],[PontoPed]]=0), 99, IF(AND(tabItens[[#This Row],[Saldo]]=0,tabItens[[#This Row],[PontoPed]]&gt;0), 0, (1-tabItens[[#This Row],[PctAb]])*10 ) ),0)</f>
        <v>99</v>
      </c>
      <c r="BE731" s="337">
        <f>MAX(ROUNDDOWN( IF(tabItens[[#This Row],[Abaixo]] &gt; 0,   tabItens[[#This Row],[Abaixo]] + (tabItens[[#This Row],[PontoMês]] * IF( OR( ISBLANK(tabItens[[#This Row],[ATA Nº/ANO]]), tabItens[[#This Row],[ATA Nº/ANO]] = ""),BE$2,BE$1)),0),0),0)</f>
        <v>0</v>
      </c>
      <c r="BF73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1" s="338">
        <f>SUMIF(Consumo!$C$3:$C$862,tabItens[[#This Row],[CÓDIGO]],Consumo!$E$3:$E$862)</f>
        <v>0</v>
      </c>
      <c r="BH731" s="339">
        <f>IF(AND(tabItens[[#This Row],[Pend]] &gt; 0,tabItens[[#This Row],[Consumo]] &lt;&gt; 0), tabItens[[#This Row],[Pend]] / tabItens[[#This Row],[Consumo]], 0 )</f>
        <v>0</v>
      </c>
      <c r="BI731" s="338"/>
      <c r="BJ731" s="338"/>
      <c r="BK731" s="340" t="s">
        <v>2086</v>
      </c>
    </row>
    <row r="732" spans="1:63" hidden="1" x14ac:dyDescent="0.3">
      <c r="A732" s="301">
        <v>113238</v>
      </c>
      <c r="B732" s="302" t="s">
        <v>1696</v>
      </c>
      <c r="C732" s="303" t="s">
        <v>1607</v>
      </c>
      <c r="D732" s="304">
        <v>1166.6600000000001</v>
      </c>
      <c r="E732" s="305"/>
      <c r="F732" s="305"/>
      <c r="G732" s="305" t="s">
        <v>889</v>
      </c>
      <c r="H732" s="306">
        <v>48</v>
      </c>
      <c r="I732" s="307">
        <v>103003</v>
      </c>
      <c r="J732" s="308">
        <v>1166.6600000000001</v>
      </c>
      <c r="K732" s="309">
        <v>14</v>
      </c>
      <c r="L732" s="310">
        <f>IF(tabItens[[#This Row],[Média]] &gt; 0, tabItens[[#This Row],[QTDE ATUAL]] / tabItens[[#This Row],[Média]],999.9)</f>
        <v>36</v>
      </c>
      <c r="M732" s="311">
        <v>0</v>
      </c>
      <c r="N732" s="312">
        <f>tabItens[[#This Row],[VALOR UNIT.]] * tabItens[[#This Row],[LC]]</f>
        <v>0</v>
      </c>
      <c r="O732" s="313"/>
      <c r="P732" s="314"/>
      <c r="Q732" s="315"/>
      <c r="R732" s="312"/>
      <c r="S732" s="316"/>
      <c r="T732" s="317">
        <f>ROUNDDOWN(IFERROR(tabItens[[#This Row],[ATA DT.VALID.]] - $D$1,0) / 30,0)</f>
        <v>-1474</v>
      </c>
      <c r="U732" s="302" t="s">
        <v>1076</v>
      </c>
      <c r="V732" s="318">
        <v>1</v>
      </c>
      <c r="W732" s="319" t="s">
        <v>2077</v>
      </c>
      <c r="X732" s="320">
        <v>55</v>
      </c>
      <c r="Y732" s="321">
        <v>27</v>
      </c>
      <c r="Z732" s="322"/>
      <c r="AA732" s="323"/>
      <c r="AB732" s="324"/>
      <c r="AC732" s="324"/>
      <c r="AD732" s="323"/>
      <c r="AE732" s="324"/>
      <c r="AF732" s="317"/>
      <c r="AG732" s="325" t="s">
        <v>2072</v>
      </c>
      <c r="AH732" s="326"/>
      <c r="AI732" s="317">
        <v>6</v>
      </c>
      <c r="AJ732" s="326">
        <v>44536</v>
      </c>
      <c r="AK732" s="326">
        <v>40113</v>
      </c>
      <c r="AL732" s="326">
        <v>44516</v>
      </c>
      <c r="AM732" s="316"/>
      <c r="AN732" s="305"/>
      <c r="AO732" s="327" t="str">
        <f>_xlfn.IFNA(IF(VLOOKUP(tabItens[[#This Row],[CÓDIGO]],tabExcluirDoEstoque[#Data],1,FALSE),"sim",""),"")</f>
        <v/>
      </c>
      <c r="AP732" s="328" t="str">
        <f ca="1">IF(OR(ISBLANK(tabItens[[#This Row],[ATA DT.VALID.]]),tabItens[[#This Row],[ATA DT.VALID.]]="",tabItens[[#This Row],[ATA DT.VALID.]]=" "),"",IF(TYPE(tabItens[[#This Row],[ATA DT.VALID.]])=1,ROUNDUP((tabItens[[#This Row],[ATA DT.VALID.]]-TODAY())/7,0),""))</f>
        <v/>
      </c>
      <c r="AQ732" s="329"/>
      <c r="AR732" s="330" t="str">
        <f>IF(ISBLANK(tabItens[[#This Row],[CÓDIGO]]),"",IFERROR(VLOOKUP(tabItens[[#This Row],[CÓDIGO]],Consumo!$C$2:$AC$862,26,FALSE),0))</f>
        <v>08.2023</v>
      </c>
      <c r="AS732" s="331">
        <f>SUMIF(Consumo!$C$3:$C$862,tabItens[[#This Row],[CÓDIGO]],Consumo!$N$3:$N$862) + SUMIF(Consumo!$C$3:$C$862,tabItens[[#This Row],[CÓDIGO]],Consumo!$O$3:$O$862) + SUMIF(Consumo!$C$3:$C$862,tabItens[[#This Row],[CÓDIGO]],Consumo!$P$3:$P$862) + SUMIF(Consumo!$C$3:$C$862,tabItens[[#This Row],[CÓDIGO]],Consumo!$Q$3:$Q$862)</f>
        <v>8</v>
      </c>
      <c r="AT732" s="331">
        <f>SUMIF(Consumo!$C$3:$C$862,tabItens[[#This Row],[CÓDIGO]],Consumo!$Z$3:$Z$862)</f>
        <v>16</v>
      </c>
      <c r="AU732" s="332">
        <f>SUMIF(Consumo!$C$3:$C$862,tabItens[[#This Row],[CÓDIGO]],Consumo!$AA$3:$AA$862)</f>
        <v>4</v>
      </c>
      <c r="AV732" s="333">
        <f>SUMIF(Consumo!$C$3:$C$862,tabItens[[#This Row],[CÓDIGO]],Consumo!$Y$3:$Y$862)</f>
        <v>1.3333333333333333</v>
      </c>
      <c r="AW732" s="306">
        <f>tabItens[[#This Row],[QTDE ATUAL]] + tabItens[[#This Row],[RC QTDE]] + tabItens[[#This Row],[AF SALDO]] + tabItens[[#This Row],[Recentes]]</f>
        <v>48</v>
      </c>
      <c r="AX732" s="334">
        <v>0</v>
      </c>
      <c r="AY732" s="334">
        <v>4</v>
      </c>
      <c r="AZ732" s="334">
        <f>IF(ISBLANK(tabItens[[#This Row],[CÓDIGO]]),"",tabItens[[#This Row],[PontoMês]] * (AZ$2+tabItens[[#This Row],[PontoQtM]]))</f>
        <v>0</v>
      </c>
      <c r="BA732" s="333">
        <f>tabItens[[#This Row],[PontoPed]] - tabItens[[#This Row],[Saldo]] + (1/10)</f>
        <v>-47.9</v>
      </c>
      <c r="BB732" s="333">
        <f xml:space="preserve"> tabItens[[#This Row],[PontoMês]] * BB$2 - tabItens[[#This Row],[QTDE ATUAL]] - (1/10)</f>
        <v>-48.1</v>
      </c>
      <c r="BC732" s="335">
        <f>IF( tabItens[[#This Row],[PontoPed]]&gt;0, IF(tabItens[[#This Row],[PontoPed]]&lt;1, 1, IF( tabItens[[#This Row],[Saldo]]&gt;tabItens[[#This Row],[PontoPed]], 0, (tabItens[[#This Row],[PontoPed]]-tabItens[[#This Row],[Saldo]])/tabItens[[#This Row],[PontoPed]] ) ), 0 )</f>
        <v>0</v>
      </c>
      <c r="BD732" s="336">
        <f>ROUNDDOWN(IF( OR( AND(tabItens[[#This Row],[PontoPed]]&lt;tabItens[[#This Row],[Saldo]],tabItens[[#This Row],[Saldo]]&gt;0), tabItens[[#This Row],[PontoPed]]=0), 99, IF(AND(tabItens[[#This Row],[Saldo]]=0,tabItens[[#This Row],[PontoPed]]&gt;0), 0, (1-tabItens[[#This Row],[PctAb]])*10 ) ),0)</f>
        <v>99</v>
      </c>
      <c r="BE732" s="337">
        <f>MAX(ROUNDDOWN( IF(tabItens[[#This Row],[Abaixo]] &gt; 0,   tabItens[[#This Row],[Abaixo]] + (tabItens[[#This Row],[PontoMês]] * IF( OR( ISBLANK(tabItens[[#This Row],[ATA Nº/ANO]]), tabItens[[#This Row],[ATA Nº/ANO]] = ""),BE$2,BE$1)),0),0),0)</f>
        <v>0</v>
      </c>
      <c r="BF73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2" s="338">
        <f>SUMIF(Consumo!$C$3:$C$862,tabItens[[#This Row],[CÓDIGO]],Consumo!$E$3:$E$862)</f>
        <v>0</v>
      </c>
      <c r="BH732" s="339">
        <f>IF(AND(tabItens[[#This Row],[Pend]] &gt; 0,tabItens[[#This Row],[Consumo]] &lt;&gt; 0), tabItens[[#This Row],[Pend]] / tabItens[[#This Row],[Consumo]], 0 )</f>
        <v>0</v>
      </c>
      <c r="BI732" s="338"/>
      <c r="BJ732" s="338"/>
      <c r="BK732" s="340" t="s">
        <v>2086</v>
      </c>
    </row>
    <row r="733" spans="1:63" hidden="1" x14ac:dyDescent="0.3">
      <c r="A733" s="301">
        <v>108398</v>
      </c>
      <c r="B733" s="302" t="s">
        <v>1659</v>
      </c>
      <c r="C733" s="303" t="s">
        <v>263</v>
      </c>
      <c r="D733" s="304">
        <v>588</v>
      </c>
      <c r="E733" s="305"/>
      <c r="F733" s="305"/>
      <c r="G733" s="305" t="s">
        <v>889</v>
      </c>
      <c r="H733" s="306">
        <v>5</v>
      </c>
      <c r="I733" s="307">
        <v>103003</v>
      </c>
      <c r="J733" s="308">
        <v>588</v>
      </c>
      <c r="K733" s="309">
        <v>4</v>
      </c>
      <c r="L733" s="310">
        <f>IF(tabItens[[#This Row],[Média]] &gt; 0, tabItens[[#This Row],[QTDE ATUAL]] / tabItens[[#This Row],[Média]],999.9)</f>
        <v>20</v>
      </c>
      <c r="M733" s="311">
        <v>0</v>
      </c>
      <c r="N733" s="312">
        <f>tabItens[[#This Row],[VALOR UNIT.]] * tabItens[[#This Row],[LC]]</f>
        <v>0</v>
      </c>
      <c r="O733" s="313"/>
      <c r="P733" s="314"/>
      <c r="Q733" s="315"/>
      <c r="R733" s="312"/>
      <c r="S733" s="316"/>
      <c r="T733" s="317">
        <f>ROUNDDOWN(IFERROR(tabItens[[#This Row],[ATA DT.VALID.]] - $D$1,0) / 30,0)</f>
        <v>-1474</v>
      </c>
      <c r="U733" s="302" t="s">
        <v>1660</v>
      </c>
      <c r="V733" s="318">
        <v>1</v>
      </c>
      <c r="W733" s="319" t="s">
        <v>2077</v>
      </c>
      <c r="X733" s="320">
        <v>55</v>
      </c>
      <c r="Y733" s="321">
        <v>30</v>
      </c>
      <c r="Z733" s="322">
        <v>10080</v>
      </c>
      <c r="AA733" s="323">
        <v>2023</v>
      </c>
      <c r="AB733" s="324">
        <v>20</v>
      </c>
      <c r="AC733" s="324"/>
      <c r="AD733" s="323"/>
      <c r="AE733" s="324"/>
      <c r="AF733" s="317"/>
      <c r="AG733" s="325" t="s">
        <v>2072</v>
      </c>
      <c r="AH733" s="326"/>
      <c r="AI733" s="317">
        <v>2</v>
      </c>
      <c r="AJ733" s="326">
        <v>42192</v>
      </c>
      <c r="AK733" s="326">
        <v>39737</v>
      </c>
      <c r="AL733" s="326">
        <v>42167</v>
      </c>
      <c r="AM733" s="316"/>
      <c r="AN733" s="305"/>
      <c r="AO733" s="327" t="str">
        <f>_xlfn.IFNA(IF(VLOOKUP(tabItens[[#This Row],[CÓDIGO]],tabExcluirDoEstoque[#Data],1,FALSE),"sim",""),"")</f>
        <v/>
      </c>
      <c r="AP733" s="328" t="str">
        <f ca="1">IF(OR(ISBLANK(tabItens[[#This Row],[ATA DT.VALID.]]),tabItens[[#This Row],[ATA DT.VALID.]]="",tabItens[[#This Row],[ATA DT.VALID.]]=" "),"",IF(TYPE(tabItens[[#This Row],[ATA DT.VALID.]])=1,ROUNDUP((tabItens[[#This Row],[ATA DT.VALID.]]-TODAY())/7,0),""))</f>
        <v/>
      </c>
      <c r="AQ733" s="329"/>
      <c r="AR733" s="330" t="str">
        <f>IF(ISBLANK(tabItens[[#This Row],[CÓDIGO]]),"",IFERROR(VLOOKUP(tabItens[[#This Row],[CÓDIGO]],Consumo!$C$2:$AC$862,26,FALSE),0))</f>
        <v>06.2023</v>
      </c>
      <c r="AS733" s="331">
        <f>SUMIF(Consumo!$C$3:$C$862,tabItens[[#This Row],[CÓDIGO]],Consumo!$N$3:$N$862) + SUMIF(Consumo!$C$3:$C$862,tabItens[[#This Row],[CÓDIGO]],Consumo!$O$3:$O$862) + SUMIF(Consumo!$C$3:$C$862,tabItens[[#This Row],[CÓDIGO]],Consumo!$P$3:$P$862) + SUMIF(Consumo!$C$3:$C$862,tabItens[[#This Row],[CÓDIGO]],Consumo!$Q$3:$Q$862)</f>
        <v>2</v>
      </c>
      <c r="AT733" s="331">
        <f>SUMIF(Consumo!$C$3:$C$862,tabItens[[#This Row],[CÓDIGO]],Consumo!$Z$3:$Z$862)</f>
        <v>4</v>
      </c>
      <c r="AU733" s="332">
        <f>SUMIF(Consumo!$C$3:$C$862,tabItens[[#This Row],[CÓDIGO]],Consumo!$AA$3:$AA$862)</f>
        <v>2</v>
      </c>
      <c r="AV733" s="333">
        <f>SUMIF(Consumo!$C$3:$C$862,tabItens[[#This Row],[CÓDIGO]],Consumo!$Y$3:$Y$862)</f>
        <v>0.25</v>
      </c>
      <c r="AW733" s="306">
        <f>tabItens[[#This Row],[QTDE ATUAL]] + tabItens[[#This Row],[RC QTDE]] + tabItens[[#This Row],[AF SALDO]] + tabItens[[#This Row],[Recentes]]</f>
        <v>25</v>
      </c>
      <c r="AX733" s="334">
        <v>1</v>
      </c>
      <c r="AY733" s="334">
        <v>4</v>
      </c>
      <c r="AZ733" s="334">
        <f>IF(ISBLANK(tabItens[[#This Row],[CÓDIGO]]),"",tabItens[[#This Row],[PontoMês]] * (AZ$2+tabItens[[#This Row],[PontoQtM]]))</f>
        <v>4</v>
      </c>
      <c r="BA733" s="333">
        <f>tabItens[[#This Row],[PontoPed]] - tabItens[[#This Row],[Saldo]] + (1/10)</f>
        <v>-20.9</v>
      </c>
      <c r="BB733" s="333">
        <f xml:space="preserve"> tabItens[[#This Row],[PontoMês]] * BB$2 - tabItens[[#This Row],[QTDE ATUAL]] - (1/10)</f>
        <v>-4.0999999999999996</v>
      </c>
      <c r="BC733" s="335">
        <f>IF( tabItens[[#This Row],[PontoPed]]&gt;0, IF(tabItens[[#This Row],[PontoPed]]&lt;1, 1, IF( tabItens[[#This Row],[Saldo]]&gt;tabItens[[#This Row],[PontoPed]], 0, (tabItens[[#This Row],[PontoPed]]-tabItens[[#This Row],[Saldo]])/tabItens[[#This Row],[PontoPed]] ) ), 0 )</f>
        <v>0</v>
      </c>
      <c r="BD733" s="336">
        <f>ROUNDDOWN(IF( OR( AND(tabItens[[#This Row],[PontoPed]]&lt;tabItens[[#This Row],[Saldo]],tabItens[[#This Row],[Saldo]]&gt;0), tabItens[[#This Row],[PontoPed]]=0), 99, IF(AND(tabItens[[#This Row],[Saldo]]=0,tabItens[[#This Row],[PontoPed]]&gt;0), 0, (1-tabItens[[#This Row],[PctAb]])*10 ) ),0)</f>
        <v>99</v>
      </c>
      <c r="BE733" s="337">
        <f>MAX(ROUNDDOWN( IF(tabItens[[#This Row],[Abaixo]] &gt; 0,   tabItens[[#This Row],[Abaixo]] + (tabItens[[#This Row],[PontoMês]] * IF( OR( ISBLANK(tabItens[[#This Row],[ATA Nº/ANO]]), tabItens[[#This Row],[ATA Nº/ANO]] = ""),BE$2,BE$1)),0),0),0)</f>
        <v>0</v>
      </c>
      <c r="BF73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3" s="338">
        <f>SUMIF(Consumo!$C$3:$C$862,tabItens[[#This Row],[CÓDIGO]],Consumo!$E$3:$E$862)</f>
        <v>0</v>
      </c>
      <c r="BH733" s="339">
        <f>IF(AND(tabItens[[#This Row],[Pend]] &gt; 0,tabItens[[#This Row],[Consumo]] &lt;&gt; 0), tabItens[[#This Row],[Pend]] / tabItens[[#This Row],[Consumo]], 0 )</f>
        <v>0</v>
      </c>
      <c r="BI733" s="338"/>
      <c r="BJ733" s="338"/>
      <c r="BK733" s="340" t="s">
        <v>2086</v>
      </c>
    </row>
    <row r="734" spans="1:63" hidden="1" x14ac:dyDescent="0.3">
      <c r="A734" s="301">
        <v>111841</v>
      </c>
      <c r="B734" s="302" t="s">
        <v>1684</v>
      </c>
      <c r="C734" s="303" t="s">
        <v>31</v>
      </c>
      <c r="D734" s="304">
        <v>379.88</v>
      </c>
      <c r="E734" s="305"/>
      <c r="F734" s="305"/>
      <c r="G734" s="305" t="s">
        <v>889</v>
      </c>
      <c r="H734" s="306">
        <v>21</v>
      </c>
      <c r="I734" s="307">
        <v>103003</v>
      </c>
      <c r="J734" s="308">
        <v>379.88</v>
      </c>
      <c r="K734" s="309">
        <v>6</v>
      </c>
      <c r="L734" s="310">
        <f>IF(tabItens[[#This Row],[Média]] &gt; 0, tabItens[[#This Row],[QTDE ATUAL]] / tabItens[[#This Row],[Média]],999.9)</f>
        <v>50.4</v>
      </c>
      <c r="M734" s="311">
        <v>0</v>
      </c>
      <c r="N734" s="312">
        <f>tabItens[[#This Row],[VALOR UNIT.]] * tabItens[[#This Row],[LC]]</f>
        <v>0</v>
      </c>
      <c r="O734" s="313"/>
      <c r="P734" s="314"/>
      <c r="Q734" s="315"/>
      <c r="R734" s="312"/>
      <c r="S734" s="316"/>
      <c r="T734" s="317">
        <f>ROUNDDOWN(IFERROR(tabItens[[#This Row],[ATA DT.VALID.]] - $D$1,0) / 30,0)</f>
        <v>-1474</v>
      </c>
      <c r="U734" s="302" t="s">
        <v>1660</v>
      </c>
      <c r="V734" s="318">
        <v>1</v>
      </c>
      <c r="W734" s="319" t="s">
        <v>2077</v>
      </c>
      <c r="X734" s="320">
        <v>55</v>
      </c>
      <c r="Y734" s="321">
        <v>30</v>
      </c>
      <c r="Z734" s="322"/>
      <c r="AA734" s="323"/>
      <c r="AB734" s="324"/>
      <c r="AC734" s="324"/>
      <c r="AD734" s="323"/>
      <c r="AE734" s="324"/>
      <c r="AF734" s="317"/>
      <c r="AG734" s="325" t="s">
        <v>2072</v>
      </c>
      <c r="AH734" s="326"/>
      <c r="AI734" s="317">
        <v>2</v>
      </c>
      <c r="AJ734" s="326">
        <v>44043</v>
      </c>
      <c r="AK734" s="326">
        <v>40015</v>
      </c>
      <c r="AL734" s="326">
        <v>44028</v>
      </c>
      <c r="AM734" s="316"/>
      <c r="AN734" s="305"/>
      <c r="AO734" s="327" t="str">
        <f>_xlfn.IFNA(IF(VLOOKUP(tabItens[[#This Row],[CÓDIGO]],tabExcluirDoEstoque[#Data],1,FALSE),"sim",""),"")</f>
        <v/>
      </c>
      <c r="AP734" s="328" t="str">
        <f ca="1">IF(OR(ISBLANK(tabItens[[#This Row],[ATA DT.VALID.]]),tabItens[[#This Row],[ATA DT.VALID.]]="",tabItens[[#This Row],[ATA DT.VALID.]]=" "),"",IF(TYPE(tabItens[[#This Row],[ATA DT.VALID.]])=1,ROUNDUP((tabItens[[#This Row],[ATA DT.VALID.]]-TODAY())/7,0),""))</f>
        <v/>
      </c>
      <c r="AQ734" s="329"/>
      <c r="AR734" s="330" t="str">
        <f>IF(ISBLANK(tabItens[[#This Row],[CÓDIGO]]),"",IFERROR(VLOOKUP(tabItens[[#This Row],[CÓDIGO]],Consumo!$C$2:$AC$862,26,FALSE),0))</f>
        <v>07.2023</v>
      </c>
      <c r="AS734" s="331">
        <f>SUMIF(Consumo!$C$3:$C$862,tabItens[[#This Row],[CÓDIGO]],Consumo!$N$3:$N$862) + SUMIF(Consumo!$C$3:$C$862,tabItens[[#This Row],[CÓDIGO]],Consumo!$O$3:$O$862) + SUMIF(Consumo!$C$3:$C$862,tabItens[[#This Row],[CÓDIGO]],Consumo!$P$3:$P$862) + SUMIF(Consumo!$C$3:$C$862,tabItens[[#This Row],[CÓDIGO]],Consumo!$Q$3:$Q$862)</f>
        <v>2</v>
      </c>
      <c r="AT734" s="331">
        <f>SUMIF(Consumo!$C$3:$C$862,tabItens[[#This Row],[CÓDIGO]],Consumo!$Z$3:$Z$862)</f>
        <v>6</v>
      </c>
      <c r="AU734" s="332">
        <f>SUMIF(Consumo!$C$3:$C$862,tabItens[[#This Row],[CÓDIGO]],Consumo!$AA$3:$AA$862)</f>
        <v>2</v>
      </c>
      <c r="AV734" s="333">
        <f>SUMIF(Consumo!$C$3:$C$862,tabItens[[#This Row],[CÓDIGO]],Consumo!$Y$3:$Y$862)</f>
        <v>0.41666666666666669</v>
      </c>
      <c r="AW734" s="306">
        <f>tabItens[[#This Row],[QTDE ATUAL]] + tabItens[[#This Row],[RC QTDE]] + tabItens[[#This Row],[AF SALDO]] + tabItens[[#This Row],[Recentes]]</f>
        <v>21</v>
      </c>
      <c r="AX734" s="334">
        <v>1</v>
      </c>
      <c r="AY734" s="334">
        <v>4</v>
      </c>
      <c r="AZ734" s="334">
        <f>IF(ISBLANK(tabItens[[#This Row],[CÓDIGO]]),"",tabItens[[#This Row],[PontoMês]] * (AZ$2+tabItens[[#This Row],[PontoQtM]]))</f>
        <v>4</v>
      </c>
      <c r="BA734" s="333">
        <f>tabItens[[#This Row],[PontoPed]] - tabItens[[#This Row],[Saldo]] + (1/10)</f>
        <v>-16.899999999999999</v>
      </c>
      <c r="BB734" s="333">
        <f xml:space="preserve"> tabItens[[#This Row],[PontoMês]] * BB$2 - tabItens[[#This Row],[QTDE ATUAL]] - (1/10)</f>
        <v>-20.100000000000001</v>
      </c>
      <c r="BC734" s="335">
        <f>IF( tabItens[[#This Row],[PontoPed]]&gt;0, IF(tabItens[[#This Row],[PontoPed]]&lt;1, 1, IF( tabItens[[#This Row],[Saldo]]&gt;tabItens[[#This Row],[PontoPed]], 0, (tabItens[[#This Row],[PontoPed]]-tabItens[[#This Row],[Saldo]])/tabItens[[#This Row],[PontoPed]] ) ), 0 )</f>
        <v>0</v>
      </c>
      <c r="BD734" s="336">
        <f>ROUNDDOWN(IF( OR( AND(tabItens[[#This Row],[PontoPed]]&lt;tabItens[[#This Row],[Saldo]],tabItens[[#This Row],[Saldo]]&gt;0), tabItens[[#This Row],[PontoPed]]=0), 99, IF(AND(tabItens[[#This Row],[Saldo]]=0,tabItens[[#This Row],[PontoPed]]&gt;0), 0, (1-tabItens[[#This Row],[PctAb]])*10 ) ),0)</f>
        <v>99</v>
      </c>
      <c r="BE734" s="337">
        <f>MAX(ROUNDDOWN( IF(tabItens[[#This Row],[Abaixo]] &gt; 0,   tabItens[[#This Row],[Abaixo]] + (tabItens[[#This Row],[PontoMês]] * IF( OR( ISBLANK(tabItens[[#This Row],[ATA Nº/ANO]]), tabItens[[#This Row],[ATA Nº/ANO]] = ""),BE$2,BE$1)),0),0),0)</f>
        <v>0</v>
      </c>
      <c r="BF73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4" s="338">
        <f>SUMIF(Consumo!$C$3:$C$862,tabItens[[#This Row],[CÓDIGO]],Consumo!$E$3:$E$862)</f>
        <v>0</v>
      </c>
      <c r="BH734" s="339">
        <f>IF(AND(tabItens[[#This Row],[Pend]] &gt; 0,tabItens[[#This Row],[Consumo]] &lt;&gt; 0), tabItens[[#This Row],[Pend]] / tabItens[[#This Row],[Consumo]], 0 )</f>
        <v>0</v>
      </c>
      <c r="BI734" s="338"/>
      <c r="BJ734" s="338"/>
      <c r="BK734" s="340" t="s">
        <v>2086</v>
      </c>
    </row>
    <row r="735" spans="1:63" hidden="1" x14ac:dyDescent="0.3">
      <c r="A735" s="301">
        <v>114773</v>
      </c>
      <c r="B735" s="302" t="s">
        <v>1707</v>
      </c>
      <c r="C735" s="303" t="s">
        <v>263</v>
      </c>
      <c r="D735" s="304">
        <v>151.62</v>
      </c>
      <c r="E735" s="305"/>
      <c r="F735" s="305"/>
      <c r="G735" s="305" t="s">
        <v>889</v>
      </c>
      <c r="H735" s="306">
        <v>11</v>
      </c>
      <c r="I735" s="307">
        <v>103003</v>
      </c>
      <c r="J735" s="308">
        <v>151.62</v>
      </c>
      <c r="K735" s="309">
        <v>10</v>
      </c>
      <c r="L735" s="310">
        <f>IF(tabItens[[#This Row],[Média]] &gt; 0, tabItens[[#This Row],[QTDE ATUAL]] / tabItens[[#This Row],[Média]],999.9)</f>
        <v>13.2</v>
      </c>
      <c r="M735" s="311">
        <v>0</v>
      </c>
      <c r="N735" s="312">
        <f>tabItens[[#This Row],[VALOR UNIT.]] * tabItens[[#This Row],[LC]]</f>
        <v>0</v>
      </c>
      <c r="O735" s="313"/>
      <c r="P735" s="314"/>
      <c r="Q735" s="315"/>
      <c r="R735" s="312"/>
      <c r="S735" s="316"/>
      <c r="T735" s="317">
        <f>ROUNDDOWN(IFERROR(tabItens[[#This Row],[ATA DT.VALID.]] - $D$1,0) / 30,0)</f>
        <v>-1474</v>
      </c>
      <c r="U735" s="302" t="s">
        <v>1660</v>
      </c>
      <c r="V735" s="318">
        <v>1</v>
      </c>
      <c r="W735" s="319" t="s">
        <v>2077</v>
      </c>
      <c r="X735" s="320">
        <v>55</v>
      </c>
      <c r="Y735" s="321">
        <v>30</v>
      </c>
      <c r="Z735" s="322">
        <v>2956</v>
      </c>
      <c r="AA735" s="323">
        <v>2023</v>
      </c>
      <c r="AB735" s="324">
        <v>5</v>
      </c>
      <c r="AC735" s="324"/>
      <c r="AD735" s="323"/>
      <c r="AE735" s="324"/>
      <c r="AF735" s="317"/>
      <c r="AG735" s="325" t="s">
        <v>2072</v>
      </c>
      <c r="AH735" s="326"/>
      <c r="AI735" s="317">
        <v>4</v>
      </c>
      <c r="AJ735" s="326">
        <v>44628</v>
      </c>
      <c r="AK735" s="326">
        <v>40275</v>
      </c>
      <c r="AL735" s="326">
        <v>44616</v>
      </c>
      <c r="AM735" s="316"/>
      <c r="AN735" s="305"/>
      <c r="AO735" s="327" t="str">
        <f>_xlfn.IFNA(IF(VLOOKUP(tabItens[[#This Row],[CÓDIGO]],tabExcluirDoEstoque[#Data],1,FALSE),"sim",""),"")</f>
        <v/>
      </c>
      <c r="AP735" s="328" t="str">
        <f ca="1">IF(OR(ISBLANK(tabItens[[#This Row],[ATA DT.VALID.]]),tabItens[[#This Row],[ATA DT.VALID.]]="",tabItens[[#This Row],[ATA DT.VALID.]]=" "),"",IF(TYPE(tabItens[[#This Row],[ATA DT.VALID.]])=1,ROUNDUP((tabItens[[#This Row],[ATA DT.VALID.]]-TODAY())/7,0),""))</f>
        <v/>
      </c>
      <c r="AQ735" s="329"/>
      <c r="AR735" s="330" t="str">
        <f>IF(ISBLANK(tabItens[[#This Row],[CÓDIGO]]),"",IFERROR(VLOOKUP(tabItens[[#This Row],[CÓDIGO]],Consumo!$C$2:$AC$862,26,FALSE),0))</f>
        <v>09.2023</v>
      </c>
      <c r="AS735" s="331">
        <f>SUMIF(Consumo!$C$3:$C$862,tabItens[[#This Row],[CÓDIGO]],Consumo!$N$3:$N$862) + SUMIF(Consumo!$C$3:$C$862,tabItens[[#This Row],[CÓDIGO]],Consumo!$O$3:$O$862) + SUMIF(Consumo!$C$3:$C$862,tabItens[[#This Row],[CÓDIGO]],Consumo!$P$3:$P$862) + SUMIF(Consumo!$C$3:$C$862,tabItens[[#This Row],[CÓDIGO]],Consumo!$Q$3:$Q$862)</f>
        <v>5</v>
      </c>
      <c r="AT735" s="331">
        <f>SUMIF(Consumo!$C$3:$C$862,tabItens[[#This Row],[CÓDIGO]],Consumo!$Z$3:$Z$862)</f>
        <v>10</v>
      </c>
      <c r="AU735" s="332">
        <f>SUMIF(Consumo!$C$3:$C$862,tabItens[[#This Row],[CÓDIGO]],Consumo!$AA$3:$AA$862)</f>
        <v>2</v>
      </c>
      <c r="AV735" s="333">
        <f>SUMIF(Consumo!$C$3:$C$862,tabItens[[#This Row],[CÓDIGO]],Consumo!$Y$3:$Y$862)</f>
        <v>0.83333333333333337</v>
      </c>
      <c r="AW735" s="306">
        <f>tabItens[[#This Row],[QTDE ATUAL]] + tabItens[[#This Row],[RC QTDE]] + tabItens[[#This Row],[AF SALDO]] + tabItens[[#This Row],[Recentes]]</f>
        <v>16</v>
      </c>
      <c r="AX735" s="334">
        <v>1</v>
      </c>
      <c r="AY735" s="334">
        <v>4</v>
      </c>
      <c r="AZ735" s="334">
        <f>IF(ISBLANK(tabItens[[#This Row],[CÓDIGO]]),"",tabItens[[#This Row],[PontoMês]] * (AZ$2+tabItens[[#This Row],[PontoQtM]]))</f>
        <v>4</v>
      </c>
      <c r="BA735" s="333">
        <f>tabItens[[#This Row],[PontoPed]] - tabItens[[#This Row],[Saldo]] + (1/10)</f>
        <v>-11.9</v>
      </c>
      <c r="BB735" s="333">
        <f xml:space="preserve"> tabItens[[#This Row],[PontoMês]] * BB$2 - tabItens[[#This Row],[QTDE ATUAL]] - (1/10)</f>
        <v>-10.1</v>
      </c>
      <c r="BC735" s="335">
        <f>IF( tabItens[[#This Row],[PontoPed]]&gt;0, IF(tabItens[[#This Row],[PontoPed]]&lt;1, 1, IF( tabItens[[#This Row],[Saldo]]&gt;tabItens[[#This Row],[PontoPed]], 0, (tabItens[[#This Row],[PontoPed]]-tabItens[[#This Row],[Saldo]])/tabItens[[#This Row],[PontoPed]] ) ), 0 )</f>
        <v>0</v>
      </c>
      <c r="BD735" s="336">
        <f>ROUNDDOWN(IF( OR( AND(tabItens[[#This Row],[PontoPed]]&lt;tabItens[[#This Row],[Saldo]],tabItens[[#This Row],[Saldo]]&gt;0), tabItens[[#This Row],[PontoPed]]=0), 99, IF(AND(tabItens[[#This Row],[Saldo]]=0,tabItens[[#This Row],[PontoPed]]&gt;0), 0, (1-tabItens[[#This Row],[PctAb]])*10 ) ),0)</f>
        <v>99</v>
      </c>
      <c r="BE735" s="337">
        <f>MAX(ROUNDDOWN( IF(tabItens[[#This Row],[Abaixo]] &gt; 0,   tabItens[[#This Row],[Abaixo]] + (tabItens[[#This Row],[PontoMês]] * IF( OR( ISBLANK(tabItens[[#This Row],[ATA Nº/ANO]]), tabItens[[#This Row],[ATA Nº/ANO]] = ""),BE$2,BE$1)),0),0),0)</f>
        <v>0</v>
      </c>
      <c r="BF73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5" s="338">
        <f>SUMIF(Consumo!$C$3:$C$862,tabItens[[#This Row],[CÓDIGO]],Consumo!$E$3:$E$862)</f>
        <v>0</v>
      </c>
      <c r="BH735" s="339">
        <f>IF(AND(tabItens[[#This Row],[Pend]] &gt; 0,tabItens[[#This Row],[Consumo]] &lt;&gt; 0), tabItens[[#This Row],[Pend]] / tabItens[[#This Row],[Consumo]], 0 )</f>
        <v>0</v>
      </c>
      <c r="BI735" s="338"/>
      <c r="BJ735" s="338"/>
      <c r="BK735" s="340" t="s">
        <v>2086</v>
      </c>
    </row>
    <row r="736" spans="1:63" hidden="1" x14ac:dyDescent="0.3">
      <c r="A736" s="301">
        <v>114771</v>
      </c>
      <c r="B736" s="302" t="s">
        <v>1705</v>
      </c>
      <c r="C736" s="303" t="s">
        <v>263</v>
      </c>
      <c r="D736" s="304">
        <v>40.35</v>
      </c>
      <c r="E736" s="305"/>
      <c r="F736" s="305"/>
      <c r="G736" s="305" t="s">
        <v>889</v>
      </c>
      <c r="H736" s="306">
        <v>105</v>
      </c>
      <c r="I736" s="307">
        <v>103003</v>
      </c>
      <c r="J736" s="308">
        <v>40.35</v>
      </c>
      <c r="K736" s="309"/>
      <c r="L736" s="310">
        <f>IF(tabItens[[#This Row],[Média]] &gt; 0, tabItens[[#This Row],[QTDE ATUAL]] / tabItens[[#This Row],[Média]],999.9)</f>
        <v>999.9</v>
      </c>
      <c r="M736" s="311">
        <v>0</v>
      </c>
      <c r="N736" s="312">
        <f>tabItens[[#This Row],[VALOR UNIT.]] * tabItens[[#This Row],[LC]]</f>
        <v>0</v>
      </c>
      <c r="O736" s="313"/>
      <c r="P736" s="314"/>
      <c r="Q736" s="315"/>
      <c r="R736" s="312"/>
      <c r="S736" s="316"/>
      <c r="T736" s="317">
        <f>ROUNDDOWN(IFERROR(tabItens[[#This Row],[ATA DT.VALID.]] - $D$1,0) / 30,0)</f>
        <v>-1474</v>
      </c>
      <c r="U736" s="302" t="s">
        <v>985</v>
      </c>
      <c r="V736" s="318">
        <v>1</v>
      </c>
      <c r="W736" s="319" t="s">
        <v>2077</v>
      </c>
      <c r="X736" s="320">
        <v>55</v>
      </c>
      <c r="Y736" s="321">
        <v>31</v>
      </c>
      <c r="Z736" s="322"/>
      <c r="AA736" s="323"/>
      <c r="AB736" s="324"/>
      <c r="AC736" s="324"/>
      <c r="AD736" s="323"/>
      <c r="AE736" s="324"/>
      <c r="AF736" s="317"/>
      <c r="AG736" s="325" t="s">
        <v>2072</v>
      </c>
      <c r="AH736" s="326"/>
      <c r="AI736" s="317">
        <v>0</v>
      </c>
      <c r="AJ736" s="326">
        <v>40581</v>
      </c>
      <c r="AK736" s="326">
        <v>40275</v>
      </c>
      <c r="AL736" s="326">
        <v>40527</v>
      </c>
      <c r="AM736" s="316"/>
      <c r="AN736" s="305"/>
      <c r="AO736" s="327" t="str">
        <f>_xlfn.IFNA(IF(VLOOKUP(tabItens[[#This Row],[CÓDIGO]],tabExcluirDoEstoque[#Data],1,FALSE),"sim",""),"")</f>
        <v/>
      </c>
      <c r="AP736" s="328" t="str">
        <f ca="1">IF(OR(ISBLANK(tabItens[[#This Row],[ATA DT.VALID.]]),tabItens[[#This Row],[ATA DT.VALID.]]="",tabItens[[#This Row],[ATA DT.VALID.]]=" "),"",IF(TYPE(tabItens[[#This Row],[ATA DT.VALID.]])=1,ROUNDUP((tabItens[[#This Row],[ATA DT.VALID.]]-TODAY())/7,0),""))</f>
        <v/>
      </c>
      <c r="AQ736" s="329"/>
      <c r="AR736" s="330">
        <f>IF(ISBLANK(tabItens[[#This Row],[CÓDIGO]]),"",IFERROR(VLOOKUP(tabItens[[#This Row],[CÓDIGO]],Consumo!$C$2:$AC$862,26,FALSE),0))</f>
        <v>0</v>
      </c>
      <c r="AS736" s="331">
        <f>SUMIF(Consumo!$C$3:$C$862,tabItens[[#This Row],[CÓDIGO]],Consumo!$N$3:$N$862) + SUMIF(Consumo!$C$3:$C$862,tabItens[[#This Row],[CÓDIGO]],Consumo!$O$3:$O$862) + SUMIF(Consumo!$C$3:$C$862,tabItens[[#This Row],[CÓDIGO]],Consumo!$P$3:$P$862) + SUMIF(Consumo!$C$3:$C$862,tabItens[[#This Row],[CÓDIGO]],Consumo!$Q$3:$Q$862)</f>
        <v>0</v>
      </c>
      <c r="AT736" s="331">
        <f>SUMIF(Consumo!$C$3:$C$862,tabItens[[#This Row],[CÓDIGO]],Consumo!$Z$3:$Z$862)</f>
        <v>0</v>
      </c>
      <c r="AU736" s="332">
        <f>SUMIF(Consumo!$C$3:$C$862,tabItens[[#This Row],[CÓDIGO]],Consumo!$AA$3:$AA$862)</f>
        <v>0</v>
      </c>
      <c r="AV736" s="333">
        <f>SUMIF(Consumo!$C$3:$C$862,tabItens[[#This Row],[CÓDIGO]],Consumo!$Y$3:$Y$862)</f>
        <v>0</v>
      </c>
      <c r="AW736" s="306">
        <f>tabItens[[#This Row],[QTDE ATUAL]] + tabItens[[#This Row],[RC QTDE]] + tabItens[[#This Row],[AF SALDO]] + tabItens[[#This Row],[Recentes]]</f>
        <v>105</v>
      </c>
      <c r="AX736" s="334">
        <v>1</v>
      </c>
      <c r="AY736" s="334">
        <v>4</v>
      </c>
      <c r="AZ736" s="334">
        <f>IF(ISBLANK(tabItens[[#This Row],[CÓDIGO]]),"",tabItens[[#This Row],[PontoMês]] * (AZ$2+tabItens[[#This Row],[PontoQtM]]))</f>
        <v>4</v>
      </c>
      <c r="BA736" s="333">
        <f>tabItens[[#This Row],[PontoPed]] - tabItens[[#This Row],[Saldo]] + (1/10)</f>
        <v>-100.9</v>
      </c>
      <c r="BB736" s="333">
        <f xml:space="preserve"> tabItens[[#This Row],[PontoMês]] * BB$2 - tabItens[[#This Row],[QTDE ATUAL]] - (1/10)</f>
        <v>-104.1</v>
      </c>
      <c r="BC736" s="335">
        <f>IF( tabItens[[#This Row],[PontoPed]]&gt;0, IF(tabItens[[#This Row],[PontoPed]]&lt;1, 1, IF( tabItens[[#This Row],[Saldo]]&gt;tabItens[[#This Row],[PontoPed]], 0, (tabItens[[#This Row],[PontoPed]]-tabItens[[#This Row],[Saldo]])/tabItens[[#This Row],[PontoPed]] ) ), 0 )</f>
        <v>0</v>
      </c>
      <c r="BD736" s="336">
        <f>ROUNDDOWN(IF( OR( AND(tabItens[[#This Row],[PontoPed]]&lt;tabItens[[#This Row],[Saldo]],tabItens[[#This Row],[Saldo]]&gt;0), tabItens[[#This Row],[PontoPed]]=0), 99, IF(AND(tabItens[[#This Row],[Saldo]]=0,tabItens[[#This Row],[PontoPed]]&gt;0), 0, (1-tabItens[[#This Row],[PctAb]])*10 ) ),0)</f>
        <v>99</v>
      </c>
      <c r="BE736" s="337">
        <f>MAX(ROUNDDOWN( IF(tabItens[[#This Row],[Abaixo]] &gt; 0,   tabItens[[#This Row],[Abaixo]] + (tabItens[[#This Row],[PontoMês]] * IF( OR( ISBLANK(tabItens[[#This Row],[ATA Nº/ANO]]), tabItens[[#This Row],[ATA Nº/ANO]] = ""),BE$2,BE$1)),0),0),0)</f>
        <v>0</v>
      </c>
      <c r="BF73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6" s="338">
        <f>SUMIF(Consumo!$C$3:$C$862,tabItens[[#This Row],[CÓDIGO]],Consumo!$E$3:$E$862)</f>
        <v>0</v>
      </c>
      <c r="BH736" s="339">
        <f>IF(AND(tabItens[[#This Row],[Pend]] &gt; 0,tabItens[[#This Row],[Consumo]] &lt;&gt; 0), tabItens[[#This Row],[Pend]] / tabItens[[#This Row],[Consumo]], 0 )</f>
        <v>0</v>
      </c>
      <c r="BI736" s="338"/>
      <c r="BJ736" s="338"/>
      <c r="BK736" s="340" t="s">
        <v>2086</v>
      </c>
    </row>
    <row r="737" spans="1:63" hidden="1" x14ac:dyDescent="0.3">
      <c r="A737" s="301">
        <v>117734</v>
      </c>
      <c r="B737" s="302" t="s">
        <v>1727</v>
      </c>
      <c r="C737" s="303" t="s">
        <v>263</v>
      </c>
      <c r="D737" s="304">
        <v>25.62</v>
      </c>
      <c r="E737" s="305"/>
      <c r="F737" s="305"/>
      <c r="G737" s="305" t="s">
        <v>889</v>
      </c>
      <c r="H737" s="306">
        <v>114</v>
      </c>
      <c r="I737" s="307">
        <v>103003</v>
      </c>
      <c r="J737" s="308">
        <v>25.62</v>
      </c>
      <c r="K737" s="309">
        <v>4</v>
      </c>
      <c r="L737" s="310">
        <f>IF(tabItens[[#This Row],[Média]] &gt; 0, tabItens[[#This Row],[QTDE ATUAL]] / tabItens[[#This Row],[Média]],999.9)</f>
        <v>684</v>
      </c>
      <c r="M737" s="311">
        <v>0</v>
      </c>
      <c r="N737" s="312">
        <f>tabItens[[#This Row],[VALOR UNIT.]] * tabItens[[#This Row],[LC]]</f>
        <v>0</v>
      </c>
      <c r="O737" s="313"/>
      <c r="P737" s="314"/>
      <c r="Q737" s="315"/>
      <c r="R737" s="312"/>
      <c r="S737" s="316"/>
      <c r="T737" s="317">
        <f>ROUNDDOWN(IFERROR(tabItens[[#This Row],[ATA DT.VALID.]] - $D$1,0) / 30,0)</f>
        <v>-1474</v>
      </c>
      <c r="U737" s="302" t="s">
        <v>985</v>
      </c>
      <c r="V737" s="318">
        <v>1</v>
      </c>
      <c r="W737" s="319" t="s">
        <v>2077</v>
      </c>
      <c r="X737" s="320">
        <v>55</v>
      </c>
      <c r="Y737" s="321">
        <v>31</v>
      </c>
      <c r="Z737" s="322"/>
      <c r="AA737" s="323"/>
      <c r="AB737" s="324"/>
      <c r="AC737" s="324"/>
      <c r="AD737" s="323"/>
      <c r="AE737" s="324"/>
      <c r="AF737" s="317"/>
      <c r="AG737" s="325" t="s">
        <v>2072</v>
      </c>
      <c r="AH737" s="326"/>
      <c r="AI737" s="317">
        <v>2</v>
      </c>
      <c r="AJ737" s="326">
        <v>43892</v>
      </c>
      <c r="AK737" s="326">
        <v>40438</v>
      </c>
      <c r="AL737" s="326">
        <v>43865</v>
      </c>
      <c r="AM737" s="316"/>
      <c r="AN737" s="305"/>
      <c r="AO737" s="327" t="str">
        <f>_xlfn.IFNA(IF(VLOOKUP(tabItens[[#This Row],[CÓDIGO]],tabExcluirDoEstoque[#Data],1,FALSE),"sim",""),"")</f>
        <v/>
      </c>
      <c r="AP737" s="328" t="str">
        <f ca="1">IF(OR(ISBLANK(tabItens[[#This Row],[ATA DT.VALID.]]),tabItens[[#This Row],[ATA DT.VALID.]]="",tabItens[[#This Row],[ATA DT.VALID.]]=" "),"",IF(TYPE(tabItens[[#This Row],[ATA DT.VALID.]])=1,ROUNDUP((tabItens[[#This Row],[ATA DT.VALID.]]-TODAY())/7,0),""))</f>
        <v/>
      </c>
      <c r="AQ737" s="329"/>
      <c r="AR737" s="330" t="str">
        <f>IF(ISBLANK(tabItens[[#This Row],[CÓDIGO]]),"",IFERROR(VLOOKUP(tabItens[[#This Row],[CÓDIGO]],Consumo!$C$2:$AC$862,26,FALSE),0))</f>
        <v>01.2023</v>
      </c>
      <c r="AS737" s="331">
        <f>SUMIF(Consumo!$C$3:$C$862,tabItens[[#This Row],[CÓDIGO]],Consumo!$N$3:$N$862) + SUMIF(Consumo!$C$3:$C$862,tabItens[[#This Row],[CÓDIGO]],Consumo!$O$3:$O$862) + SUMIF(Consumo!$C$3:$C$862,tabItens[[#This Row],[CÓDIGO]],Consumo!$P$3:$P$862) + SUMIF(Consumo!$C$3:$C$862,tabItens[[#This Row],[CÓDIGO]],Consumo!$Q$3:$Q$862)</f>
        <v>0</v>
      </c>
      <c r="AT737" s="331">
        <f>SUMIF(Consumo!$C$3:$C$862,tabItens[[#This Row],[CÓDIGO]],Consumo!$Z$3:$Z$862)</f>
        <v>4</v>
      </c>
      <c r="AU737" s="332">
        <f>SUMIF(Consumo!$C$3:$C$862,tabItens[[#This Row],[CÓDIGO]],Consumo!$AA$3:$AA$862)</f>
        <v>2</v>
      </c>
      <c r="AV737" s="333">
        <f>SUMIF(Consumo!$C$3:$C$862,tabItens[[#This Row],[CÓDIGO]],Consumo!$Y$3:$Y$862)</f>
        <v>0.16666666666666666</v>
      </c>
      <c r="AW737" s="306">
        <f>tabItens[[#This Row],[QTDE ATUAL]] + tabItens[[#This Row],[RC QTDE]] + tabItens[[#This Row],[AF SALDO]] + tabItens[[#This Row],[Recentes]]</f>
        <v>114</v>
      </c>
      <c r="AX737" s="334">
        <v>2</v>
      </c>
      <c r="AY737" s="334">
        <v>4</v>
      </c>
      <c r="AZ737" s="334">
        <f>IF(ISBLANK(tabItens[[#This Row],[CÓDIGO]]),"",tabItens[[#This Row],[PontoMês]] * (AZ$2+tabItens[[#This Row],[PontoQtM]]))</f>
        <v>8</v>
      </c>
      <c r="BA737" s="333">
        <f>tabItens[[#This Row],[PontoPed]] - tabItens[[#This Row],[Saldo]] + (1/10)</f>
        <v>-105.9</v>
      </c>
      <c r="BB737" s="333">
        <f xml:space="preserve"> tabItens[[#This Row],[PontoMês]] * BB$2 - tabItens[[#This Row],[QTDE ATUAL]] - (1/10)</f>
        <v>-112.1</v>
      </c>
      <c r="BC737" s="335">
        <f>IF( tabItens[[#This Row],[PontoPed]]&gt;0, IF(tabItens[[#This Row],[PontoPed]]&lt;1, 1, IF( tabItens[[#This Row],[Saldo]]&gt;tabItens[[#This Row],[PontoPed]], 0, (tabItens[[#This Row],[PontoPed]]-tabItens[[#This Row],[Saldo]])/tabItens[[#This Row],[PontoPed]] ) ), 0 )</f>
        <v>0</v>
      </c>
      <c r="BD737" s="336">
        <f>ROUNDDOWN(IF( OR( AND(tabItens[[#This Row],[PontoPed]]&lt;tabItens[[#This Row],[Saldo]],tabItens[[#This Row],[Saldo]]&gt;0), tabItens[[#This Row],[PontoPed]]=0), 99, IF(AND(tabItens[[#This Row],[Saldo]]=0,tabItens[[#This Row],[PontoPed]]&gt;0), 0, (1-tabItens[[#This Row],[PctAb]])*10 ) ),0)</f>
        <v>99</v>
      </c>
      <c r="BE737" s="337">
        <f>MAX(ROUNDDOWN( IF(tabItens[[#This Row],[Abaixo]] &gt; 0,   tabItens[[#This Row],[Abaixo]] + (tabItens[[#This Row],[PontoMês]] * IF( OR( ISBLANK(tabItens[[#This Row],[ATA Nº/ANO]]), tabItens[[#This Row],[ATA Nº/ANO]] = ""),BE$2,BE$1)),0),0),0)</f>
        <v>0</v>
      </c>
      <c r="BF73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7" s="338">
        <f>SUMIF(Consumo!$C$3:$C$862,tabItens[[#This Row],[CÓDIGO]],Consumo!$E$3:$E$862)</f>
        <v>0</v>
      </c>
      <c r="BH737" s="339">
        <f>IF(AND(tabItens[[#This Row],[Pend]] &gt; 0,tabItens[[#This Row],[Consumo]] &lt;&gt; 0), tabItens[[#This Row],[Pend]] / tabItens[[#This Row],[Consumo]], 0 )</f>
        <v>0</v>
      </c>
      <c r="BI737" s="338"/>
      <c r="BJ737" s="338"/>
      <c r="BK737" s="340" t="s">
        <v>2086</v>
      </c>
    </row>
    <row r="738" spans="1:63" hidden="1" x14ac:dyDescent="0.3">
      <c r="A738" s="301">
        <v>13009</v>
      </c>
      <c r="B738" s="302" t="s">
        <v>989</v>
      </c>
      <c r="C738" s="303" t="s">
        <v>272</v>
      </c>
      <c r="D738" s="304">
        <v>1.55</v>
      </c>
      <c r="E738" s="305"/>
      <c r="F738" s="305"/>
      <c r="G738" s="305" t="s">
        <v>889</v>
      </c>
      <c r="H738" s="306">
        <v>456</v>
      </c>
      <c r="I738" s="307">
        <v>103003</v>
      </c>
      <c r="J738" s="308">
        <v>1.55</v>
      </c>
      <c r="K738" s="309">
        <v>460</v>
      </c>
      <c r="L738" s="310">
        <f>IF(tabItens[[#This Row],[Média]] &gt; 0, tabItens[[#This Row],[QTDE ATUAL]] / tabItens[[#This Row],[Média]],999.9)</f>
        <v>11.793103448275863</v>
      </c>
      <c r="M738" s="311">
        <v>0</v>
      </c>
      <c r="N738" s="312">
        <f>tabItens[[#This Row],[VALOR UNIT.]] * tabItens[[#This Row],[LC]]</f>
        <v>0</v>
      </c>
      <c r="O738" s="313"/>
      <c r="P738" s="314"/>
      <c r="Q738" s="315"/>
      <c r="R738" s="312"/>
      <c r="S738" s="316"/>
      <c r="T738" s="317">
        <f>ROUNDDOWN(IFERROR(tabItens[[#This Row],[ATA DT.VALID.]] - $D$1,0) / 30,0)</f>
        <v>-1474</v>
      </c>
      <c r="U738" s="302" t="s">
        <v>990</v>
      </c>
      <c r="V738" s="318">
        <v>1</v>
      </c>
      <c r="W738" s="319" t="s">
        <v>2077</v>
      </c>
      <c r="X738" s="320">
        <v>55</v>
      </c>
      <c r="Y738" s="321">
        <v>32</v>
      </c>
      <c r="Z738" s="322"/>
      <c r="AA738" s="323"/>
      <c r="AB738" s="324"/>
      <c r="AC738" s="324"/>
      <c r="AD738" s="323"/>
      <c r="AE738" s="324"/>
      <c r="AF738" s="317"/>
      <c r="AG738" s="325" t="s">
        <v>2072</v>
      </c>
      <c r="AH738" s="326"/>
      <c r="AI738" s="317">
        <v>160</v>
      </c>
      <c r="AJ738" s="326">
        <v>43837</v>
      </c>
      <c r="AK738" s="326" t="s">
        <v>889</v>
      </c>
      <c r="AL738" s="326">
        <v>45181</v>
      </c>
      <c r="AM738" s="316"/>
      <c r="AN738" s="305"/>
      <c r="AO738" s="327" t="str">
        <f>_xlfn.IFNA(IF(VLOOKUP(tabItens[[#This Row],[CÓDIGO]],tabExcluirDoEstoque[#Data],1,FALSE),"sim",""),"")</f>
        <v/>
      </c>
      <c r="AP738" s="328" t="str">
        <f ca="1">IF(OR(ISBLANK(tabItens[[#This Row],[ATA DT.VALID.]]),tabItens[[#This Row],[ATA DT.VALID.]]="",tabItens[[#This Row],[ATA DT.VALID.]]=" "),"",IF(TYPE(tabItens[[#This Row],[ATA DT.VALID.]])=1,ROUNDUP((tabItens[[#This Row],[ATA DT.VALID.]]-TODAY())/7,0),""))</f>
        <v/>
      </c>
      <c r="AQ738" s="329"/>
      <c r="AR738" s="330" t="str">
        <f>IF(ISBLANK(tabItens[[#This Row],[CÓDIGO]]),"",IFERROR(VLOOKUP(tabItens[[#This Row],[CÓDIGO]],Consumo!$C$2:$AC$862,26,FALSE),0))</f>
        <v>09.2023</v>
      </c>
      <c r="AS738" s="331">
        <f>SUMIF(Consumo!$C$3:$C$862,tabItens[[#This Row],[CÓDIGO]],Consumo!$N$3:$N$862) + SUMIF(Consumo!$C$3:$C$862,tabItens[[#This Row],[CÓDIGO]],Consumo!$O$3:$O$862) + SUMIF(Consumo!$C$3:$C$862,tabItens[[#This Row],[CÓDIGO]],Consumo!$P$3:$P$862) + SUMIF(Consumo!$C$3:$C$862,tabItens[[#This Row],[CÓDIGO]],Consumo!$Q$3:$Q$862)</f>
        <v>150</v>
      </c>
      <c r="AT738" s="331">
        <f>SUMIF(Consumo!$C$3:$C$862,tabItens[[#This Row],[CÓDIGO]],Consumo!$Z$3:$Z$862)</f>
        <v>480</v>
      </c>
      <c r="AU738" s="332">
        <f>SUMIF(Consumo!$C$3:$C$862,tabItens[[#This Row],[CÓDIGO]],Consumo!$AA$3:$AA$862)</f>
        <v>150</v>
      </c>
      <c r="AV738" s="333">
        <f>SUMIF(Consumo!$C$3:$C$862,tabItens[[#This Row],[CÓDIGO]],Consumo!$Y$3:$Y$862)</f>
        <v>38.666666666666664</v>
      </c>
      <c r="AW738" s="306">
        <f>tabItens[[#This Row],[QTDE ATUAL]] + tabItens[[#This Row],[RC QTDE]] + tabItens[[#This Row],[AF SALDO]] + tabItens[[#This Row],[Recentes]]</f>
        <v>456</v>
      </c>
      <c r="AX738" s="334">
        <v>24</v>
      </c>
      <c r="AY738" s="334">
        <v>4</v>
      </c>
      <c r="AZ738" s="334">
        <f>IF(ISBLANK(tabItens[[#This Row],[CÓDIGO]]),"",tabItens[[#This Row],[PontoMês]] * (AZ$2+tabItens[[#This Row],[PontoQtM]]))</f>
        <v>96</v>
      </c>
      <c r="BA738" s="333">
        <f>tabItens[[#This Row],[PontoPed]] - tabItens[[#This Row],[Saldo]] + (1/10)</f>
        <v>-359.9</v>
      </c>
      <c r="BB738" s="333">
        <f xml:space="preserve"> tabItens[[#This Row],[PontoMês]] * BB$2 - tabItens[[#This Row],[QTDE ATUAL]] - (1/10)</f>
        <v>-432.1</v>
      </c>
      <c r="BC738" s="335">
        <f>IF( tabItens[[#This Row],[PontoPed]]&gt;0, IF(tabItens[[#This Row],[PontoPed]]&lt;1, 1, IF( tabItens[[#This Row],[Saldo]]&gt;tabItens[[#This Row],[PontoPed]], 0, (tabItens[[#This Row],[PontoPed]]-tabItens[[#This Row],[Saldo]])/tabItens[[#This Row],[PontoPed]] ) ), 0 )</f>
        <v>0</v>
      </c>
      <c r="BD738" s="336">
        <f>ROUNDDOWN(IF( OR( AND(tabItens[[#This Row],[PontoPed]]&lt;tabItens[[#This Row],[Saldo]],tabItens[[#This Row],[Saldo]]&gt;0), tabItens[[#This Row],[PontoPed]]=0), 99, IF(AND(tabItens[[#This Row],[Saldo]]=0,tabItens[[#This Row],[PontoPed]]&gt;0), 0, (1-tabItens[[#This Row],[PctAb]])*10 ) ),0)</f>
        <v>99</v>
      </c>
      <c r="BE738" s="337">
        <f>MAX(ROUNDDOWN( IF(tabItens[[#This Row],[Abaixo]] &gt; 0,   tabItens[[#This Row],[Abaixo]] + (tabItens[[#This Row],[PontoMês]] * IF( OR( ISBLANK(tabItens[[#This Row],[ATA Nº/ANO]]), tabItens[[#This Row],[ATA Nº/ANO]] = ""),BE$2,BE$1)),0),0),0)</f>
        <v>0</v>
      </c>
      <c r="BF73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8" s="338">
        <f>SUMIF(Consumo!$C$3:$C$862,tabItens[[#This Row],[CÓDIGO]],Consumo!$E$3:$E$862)</f>
        <v>0</v>
      </c>
      <c r="BH738" s="339">
        <f>IF(AND(tabItens[[#This Row],[Pend]] &gt; 0,tabItens[[#This Row],[Consumo]] &lt;&gt; 0), tabItens[[#This Row],[Pend]] / tabItens[[#This Row],[Consumo]], 0 )</f>
        <v>0</v>
      </c>
      <c r="BI738" s="338"/>
      <c r="BJ738" s="338"/>
      <c r="BK738" s="340" t="s">
        <v>2086</v>
      </c>
    </row>
    <row r="739" spans="1:63" hidden="1" x14ac:dyDescent="0.3">
      <c r="A739" s="301">
        <v>31580</v>
      </c>
      <c r="B739" s="302" t="s">
        <v>1247</v>
      </c>
      <c r="C739" s="303" t="s">
        <v>263</v>
      </c>
      <c r="D739" s="304">
        <v>2.8</v>
      </c>
      <c r="E739" s="305"/>
      <c r="F739" s="305"/>
      <c r="G739" s="305" t="s">
        <v>889</v>
      </c>
      <c r="H739" s="306">
        <v>88</v>
      </c>
      <c r="I739" s="307">
        <v>103003</v>
      </c>
      <c r="J739" s="308">
        <v>2.8</v>
      </c>
      <c r="K739" s="309"/>
      <c r="L739" s="310">
        <f>IF(tabItens[[#This Row],[Média]] &gt; 0, tabItens[[#This Row],[QTDE ATUAL]] / tabItens[[#This Row],[Média]],999.9)</f>
        <v>999.9</v>
      </c>
      <c r="M739" s="311">
        <v>0</v>
      </c>
      <c r="N739" s="312">
        <f>tabItens[[#This Row],[VALOR UNIT.]] * tabItens[[#This Row],[LC]]</f>
        <v>0</v>
      </c>
      <c r="O739" s="313"/>
      <c r="P739" s="314"/>
      <c r="Q739" s="315"/>
      <c r="R739" s="312"/>
      <c r="S739" s="316"/>
      <c r="T739" s="317">
        <f>ROUNDDOWN(IFERROR(tabItens[[#This Row],[ATA DT.VALID.]] - $D$1,0) / 30,0)</f>
        <v>-1474</v>
      </c>
      <c r="U739" s="302" t="s">
        <v>990</v>
      </c>
      <c r="V739" s="318">
        <v>1</v>
      </c>
      <c r="W739" s="319" t="s">
        <v>2077</v>
      </c>
      <c r="X739" s="320">
        <v>55</v>
      </c>
      <c r="Y739" s="321">
        <v>32</v>
      </c>
      <c r="Z739" s="322"/>
      <c r="AA739" s="323"/>
      <c r="AB739" s="324"/>
      <c r="AC739" s="324"/>
      <c r="AD739" s="323"/>
      <c r="AE739" s="324"/>
      <c r="AF739" s="317"/>
      <c r="AG739" s="325" t="s">
        <v>2072</v>
      </c>
      <c r="AH739" s="326"/>
      <c r="AI739" s="317">
        <v>0</v>
      </c>
      <c r="AJ739" s="326">
        <v>41879</v>
      </c>
      <c r="AK739" s="326" t="s">
        <v>889</v>
      </c>
      <c r="AL739" s="326">
        <v>41823</v>
      </c>
      <c r="AM739" s="316"/>
      <c r="AN739" s="305"/>
      <c r="AO739" s="327" t="str">
        <f>_xlfn.IFNA(IF(VLOOKUP(tabItens[[#This Row],[CÓDIGO]],tabExcluirDoEstoque[#Data],1,FALSE),"sim",""),"")</f>
        <v/>
      </c>
      <c r="AP739" s="328" t="str">
        <f ca="1">IF(OR(ISBLANK(tabItens[[#This Row],[ATA DT.VALID.]]),tabItens[[#This Row],[ATA DT.VALID.]]="",tabItens[[#This Row],[ATA DT.VALID.]]=" "),"",IF(TYPE(tabItens[[#This Row],[ATA DT.VALID.]])=1,ROUNDUP((tabItens[[#This Row],[ATA DT.VALID.]]-TODAY())/7,0),""))</f>
        <v/>
      </c>
      <c r="AQ739" s="329"/>
      <c r="AR739" s="330">
        <f>IF(ISBLANK(tabItens[[#This Row],[CÓDIGO]]),"",IFERROR(VLOOKUP(tabItens[[#This Row],[CÓDIGO]],Consumo!$C$2:$AC$862,26,FALSE),0))</f>
        <v>0</v>
      </c>
      <c r="AS739" s="331">
        <f>SUMIF(Consumo!$C$3:$C$862,tabItens[[#This Row],[CÓDIGO]],Consumo!$N$3:$N$862) + SUMIF(Consumo!$C$3:$C$862,tabItens[[#This Row],[CÓDIGO]],Consumo!$O$3:$O$862) + SUMIF(Consumo!$C$3:$C$862,tabItens[[#This Row],[CÓDIGO]],Consumo!$P$3:$P$862) + SUMIF(Consumo!$C$3:$C$862,tabItens[[#This Row],[CÓDIGO]],Consumo!$Q$3:$Q$862)</f>
        <v>0</v>
      </c>
      <c r="AT739" s="331">
        <f>SUMIF(Consumo!$C$3:$C$862,tabItens[[#This Row],[CÓDIGO]],Consumo!$Z$3:$Z$862)</f>
        <v>0</v>
      </c>
      <c r="AU739" s="332">
        <f>SUMIF(Consumo!$C$3:$C$862,tabItens[[#This Row],[CÓDIGO]],Consumo!$AA$3:$AA$862)</f>
        <v>0</v>
      </c>
      <c r="AV739" s="333">
        <f>SUMIF(Consumo!$C$3:$C$862,tabItens[[#This Row],[CÓDIGO]],Consumo!$Y$3:$Y$862)</f>
        <v>0</v>
      </c>
      <c r="AW739" s="306">
        <f>tabItens[[#This Row],[QTDE ATUAL]] + tabItens[[#This Row],[RC QTDE]] + tabItens[[#This Row],[AF SALDO]] + tabItens[[#This Row],[Recentes]]</f>
        <v>88</v>
      </c>
      <c r="AX739" s="334">
        <v>0</v>
      </c>
      <c r="AY739" s="334">
        <v>4</v>
      </c>
      <c r="AZ739" s="334">
        <f>IF(ISBLANK(tabItens[[#This Row],[CÓDIGO]]),"",tabItens[[#This Row],[PontoMês]] * (AZ$2+tabItens[[#This Row],[PontoQtM]]))</f>
        <v>0</v>
      </c>
      <c r="BA739" s="333">
        <f>tabItens[[#This Row],[PontoPed]] - tabItens[[#This Row],[Saldo]] + (1/10)</f>
        <v>-87.9</v>
      </c>
      <c r="BB739" s="333">
        <f xml:space="preserve"> tabItens[[#This Row],[PontoMês]] * BB$2 - tabItens[[#This Row],[QTDE ATUAL]] - (1/10)</f>
        <v>-88.1</v>
      </c>
      <c r="BC739" s="335">
        <f>IF( tabItens[[#This Row],[PontoPed]]&gt;0, IF(tabItens[[#This Row],[PontoPed]]&lt;1, 1, IF( tabItens[[#This Row],[Saldo]]&gt;tabItens[[#This Row],[PontoPed]], 0, (tabItens[[#This Row],[PontoPed]]-tabItens[[#This Row],[Saldo]])/tabItens[[#This Row],[PontoPed]] ) ), 0 )</f>
        <v>0</v>
      </c>
      <c r="BD739" s="336">
        <f>ROUNDDOWN(IF( OR( AND(tabItens[[#This Row],[PontoPed]]&lt;tabItens[[#This Row],[Saldo]],tabItens[[#This Row],[Saldo]]&gt;0), tabItens[[#This Row],[PontoPed]]=0), 99, IF(AND(tabItens[[#This Row],[Saldo]]=0,tabItens[[#This Row],[PontoPed]]&gt;0), 0, (1-tabItens[[#This Row],[PctAb]])*10 ) ),0)</f>
        <v>99</v>
      </c>
      <c r="BE739" s="337">
        <f>MAX(ROUNDDOWN( IF(tabItens[[#This Row],[Abaixo]] &gt; 0,   tabItens[[#This Row],[Abaixo]] + (tabItens[[#This Row],[PontoMês]] * IF( OR( ISBLANK(tabItens[[#This Row],[ATA Nº/ANO]]), tabItens[[#This Row],[ATA Nº/ANO]] = ""),BE$2,BE$1)),0),0),0)</f>
        <v>0</v>
      </c>
      <c r="BF73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9" s="338">
        <f>SUMIF(Consumo!$C$3:$C$862,tabItens[[#This Row],[CÓDIGO]],Consumo!$E$3:$E$862)</f>
        <v>0</v>
      </c>
      <c r="BH739" s="339">
        <f>IF(AND(tabItens[[#This Row],[Pend]] &gt; 0,tabItens[[#This Row],[Consumo]] &lt;&gt; 0), tabItens[[#This Row],[Pend]] / tabItens[[#This Row],[Consumo]], 0 )</f>
        <v>0</v>
      </c>
      <c r="BI739" s="338"/>
      <c r="BJ739" s="338"/>
      <c r="BK739" s="340" t="s">
        <v>2086</v>
      </c>
    </row>
    <row r="740" spans="1:63" hidden="1" x14ac:dyDescent="0.3">
      <c r="A740" s="301">
        <v>54017</v>
      </c>
      <c r="B740" s="302" t="s">
        <v>1312</v>
      </c>
      <c r="C740" s="303" t="s">
        <v>31</v>
      </c>
      <c r="D740" s="304">
        <v>4.2</v>
      </c>
      <c r="E740" s="305"/>
      <c r="F740" s="305"/>
      <c r="G740" s="305" t="s">
        <v>889</v>
      </c>
      <c r="H740" s="306">
        <v>0</v>
      </c>
      <c r="I740" s="307">
        <v>103003</v>
      </c>
      <c r="J740" s="308">
        <v>4.2</v>
      </c>
      <c r="K740" s="309">
        <v>174</v>
      </c>
      <c r="L740" s="310">
        <f>IF(tabItens[[#This Row],[Média]] &gt; 0, tabItens[[#This Row],[QTDE ATUAL]] / tabItens[[#This Row],[Média]],999.9)</f>
        <v>0</v>
      </c>
      <c r="M740" s="311">
        <v>0</v>
      </c>
      <c r="N740" s="312">
        <f>tabItens[[#This Row],[VALOR UNIT.]] * tabItens[[#This Row],[LC]]</f>
        <v>0</v>
      </c>
      <c r="O740" s="313"/>
      <c r="P740" s="314"/>
      <c r="Q740" s="315"/>
      <c r="R740" s="312"/>
      <c r="S740" s="316"/>
      <c r="T740" s="317">
        <f>ROUNDDOWN(IFERROR(tabItens[[#This Row],[ATA DT.VALID.]] - $D$1,0) / 30,0)</f>
        <v>-1474</v>
      </c>
      <c r="U740" s="302" t="s">
        <v>990</v>
      </c>
      <c r="V740" s="318">
        <v>1</v>
      </c>
      <c r="W740" s="319" t="s">
        <v>2077</v>
      </c>
      <c r="X740" s="320">
        <v>55</v>
      </c>
      <c r="Y740" s="321">
        <v>32</v>
      </c>
      <c r="Z740" s="322">
        <v>2442</v>
      </c>
      <c r="AA740" s="323">
        <v>2023</v>
      </c>
      <c r="AB740" s="324">
        <v>60</v>
      </c>
      <c r="AC740" s="324"/>
      <c r="AD740" s="323"/>
      <c r="AE740" s="324"/>
      <c r="AF740" s="317"/>
      <c r="AG740" s="325" t="s">
        <v>2072</v>
      </c>
      <c r="AH740" s="326"/>
      <c r="AI740" s="317">
        <v>58</v>
      </c>
      <c r="AJ740" s="326">
        <v>44530</v>
      </c>
      <c r="AK740" s="326" t="s">
        <v>889</v>
      </c>
      <c r="AL740" s="326">
        <v>44516</v>
      </c>
      <c r="AM740" s="316"/>
      <c r="AN740" s="305"/>
      <c r="AO740" s="327" t="str">
        <f>_xlfn.IFNA(IF(VLOOKUP(tabItens[[#This Row],[CÓDIGO]],tabExcluirDoEstoque[#Data],1,FALSE),"sim",""),"")</f>
        <v/>
      </c>
      <c r="AP740" s="328" t="str">
        <f ca="1">IF(OR(ISBLANK(tabItens[[#This Row],[ATA DT.VALID.]]),tabItens[[#This Row],[ATA DT.VALID.]]="",tabItens[[#This Row],[ATA DT.VALID.]]=" "),"",IF(TYPE(tabItens[[#This Row],[ATA DT.VALID.]])=1,ROUNDUP((tabItens[[#This Row],[ATA DT.VALID.]]-TODAY())/7,0),""))</f>
        <v/>
      </c>
      <c r="AQ740" s="329"/>
      <c r="AR740" s="330" t="str">
        <f>IF(ISBLANK(tabItens[[#This Row],[CÓDIGO]]),"",IFERROR(VLOOKUP(tabItens[[#This Row],[CÓDIGO]],Consumo!$C$2:$AC$862,26,FALSE),0))</f>
        <v>04.2023</v>
      </c>
      <c r="AS740" s="331">
        <f>SUMIF(Consumo!$C$3:$C$862,tabItens[[#This Row],[CÓDIGO]],Consumo!$N$3:$N$862) + SUMIF(Consumo!$C$3:$C$862,tabItens[[#This Row],[CÓDIGO]],Consumo!$O$3:$O$862) + SUMIF(Consumo!$C$3:$C$862,tabItens[[#This Row],[CÓDIGO]],Consumo!$P$3:$P$862) + SUMIF(Consumo!$C$3:$C$862,tabItens[[#This Row],[CÓDIGO]],Consumo!$Q$3:$Q$862)</f>
        <v>0</v>
      </c>
      <c r="AT740" s="331">
        <f>SUMIF(Consumo!$C$3:$C$862,tabItens[[#This Row],[CÓDIGO]],Consumo!$Z$3:$Z$862)</f>
        <v>186</v>
      </c>
      <c r="AU740" s="332">
        <f>SUMIF(Consumo!$C$3:$C$862,tabItens[[#This Row],[CÓDIGO]],Consumo!$AA$3:$AA$862)</f>
        <v>50</v>
      </c>
      <c r="AV740" s="333">
        <f>SUMIF(Consumo!$C$3:$C$862,tabItens[[#This Row],[CÓDIGO]],Consumo!$Y$3:$Y$862)</f>
        <v>15.5</v>
      </c>
      <c r="AW740" s="306">
        <f>tabItens[[#This Row],[QTDE ATUAL]] + tabItens[[#This Row],[RC QTDE]] + tabItens[[#This Row],[AF SALDO]] + tabItens[[#This Row],[Recentes]]</f>
        <v>60</v>
      </c>
      <c r="AX740" s="334">
        <v>3</v>
      </c>
      <c r="AY740" s="334">
        <v>4</v>
      </c>
      <c r="AZ740" s="334">
        <f>IF(ISBLANK(tabItens[[#This Row],[CÓDIGO]]),"",tabItens[[#This Row],[PontoMês]] * (AZ$2+tabItens[[#This Row],[PontoQtM]]))</f>
        <v>12</v>
      </c>
      <c r="BA740" s="333">
        <f>tabItens[[#This Row],[PontoPed]] - tabItens[[#This Row],[Saldo]] + (1/10)</f>
        <v>-47.9</v>
      </c>
      <c r="BB740" s="333">
        <f xml:space="preserve"> tabItens[[#This Row],[PontoMês]] * BB$2 - tabItens[[#This Row],[QTDE ATUAL]] - (1/10)</f>
        <v>2.9</v>
      </c>
      <c r="BC740" s="335">
        <f>IF( tabItens[[#This Row],[PontoPed]]&gt;0, IF(tabItens[[#This Row],[PontoPed]]&lt;1, 1, IF( tabItens[[#This Row],[Saldo]]&gt;tabItens[[#This Row],[PontoPed]], 0, (tabItens[[#This Row],[PontoPed]]-tabItens[[#This Row],[Saldo]])/tabItens[[#This Row],[PontoPed]] ) ), 0 )</f>
        <v>0</v>
      </c>
      <c r="BD740" s="336">
        <f>ROUNDDOWN(IF( OR( AND(tabItens[[#This Row],[PontoPed]]&lt;tabItens[[#This Row],[Saldo]],tabItens[[#This Row],[Saldo]]&gt;0), tabItens[[#This Row],[PontoPed]]=0), 99, IF(AND(tabItens[[#This Row],[Saldo]]=0,tabItens[[#This Row],[PontoPed]]&gt;0), 0, (1-tabItens[[#This Row],[PctAb]])*10 ) ),0)</f>
        <v>99</v>
      </c>
      <c r="BE740" s="337">
        <f>MAX(ROUNDDOWN( IF(tabItens[[#This Row],[Abaixo]] &gt; 0,   tabItens[[#This Row],[Abaixo]] + (tabItens[[#This Row],[PontoMês]] * IF( OR( ISBLANK(tabItens[[#This Row],[ATA Nº/ANO]]), tabItens[[#This Row],[ATA Nº/ANO]] = ""),BE$2,BE$1)),0),0),0)</f>
        <v>0</v>
      </c>
      <c r="BF74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0" s="338">
        <f>SUMIF(Consumo!$C$3:$C$862,tabItens[[#This Row],[CÓDIGO]],Consumo!$E$3:$E$862)</f>
        <v>12</v>
      </c>
      <c r="BH740" s="339">
        <f>IF(AND(tabItens[[#This Row],[Pend]] &gt; 0,tabItens[[#This Row],[Consumo]] &lt;&gt; 0), tabItens[[#This Row],[Pend]] / tabItens[[#This Row],[Consumo]], 0 )</f>
        <v>6.4516129032258063E-2</v>
      </c>
      <c r="BI740" s="338"/>
      <c r="BJ740" s="338"/>
      <c r="BK740" s="340" t="s">
        <v>2086</v>
      </c>
    </row>
    <row r="741" spans="1:63" hidden="1" x14ac:dyDescent="0.3">
      <c r="A741" s="301">
        <v>54018</v>
      </c>
      <c r="B741" s="302" t="s">
        <v>1313</v>
      </c>
      <c r="C741" s="303" t="s">
        <v>31</v>
      </c>
      <c r="D741" s="304">
        <v>2.5499999999999998</v>
      </c>
      <c r="E741" s="305"/>
      <c r="F741" s="305"/>
      <c r="G741" s="305" t="s">
        <v>889</v>
      </c>
      <c r="H741" s="306">
        <v>480</v>
      </c>
      <c r="I741" s="307">
        <v>103003</v>
      </c>
      <c r="J741" s="308">
        <v>2.5499999999999998</v>
      </c>
      <c r="K741" s="309">
        <v>100</v>
      </c>
      <c r="L741" s="310">
        <f>IF(tabItens[[#This Row],[Média]] &gt; 0, tabItens[[#This Row],[QTDE ATUAL]] / tabItens[[#This Row],[Média]],999.9)</f>
        <v>66.206896551724142</v>
      </c>
      <c r="M741" s="311">
        <v>0</v>
      </c>
      <c r="N741" s="312">
        <f>tabItens[[#This Row],[VALOR UNIT.]] * tabItens[[#This Row],[LC]]</f>
        <v>0</v>
      </c>
      <c r="O741" s="313"/>
      <c r="P741" s="314"/>
      <c r="Q741" s="315"/>
      <c r="R741" s="312"/>
      <c r="S741" s="316"/>
      <c r="T741" s="317">
        <f>ROUNDDOWN(IFERROR(tabItens[[#This Row],[ATA DT.VALID.]] - $D$1,0) / 30,0)</f>
        <v>-1474</v>
      </c>
      <c r="U741" s="302" t="s">
        <v>990</v>
      </c>
      <c r="V741" s="318">
        <v>1</v>
      </c>
      <c r="W741" s="319" t="s">
        <v>2077</v>
      </c>
      <c r="X741" s="320">
        <v>55</v>
      </c>
      <c r="Y741" s="321">
        <v>32</v>
      </c>
      <c r="Z741" s="322"/>
      <c r="AA741" s="323"/>
      <c r="AB741" s="324"/>
      <c r="AC741" s="324"/>
      <c r="AD741" s="323"/>
      <c r="AE741" s="324"/>
      <c r="AF741" s="317"/>
      <c r="AG741" s="325" t="s">
        <v>2072</v>
      </c>
      <c r="AH741" s="326"/>
      <c r="AI741" s="317">
        <v>34</v>
      </c>
      <c r="AJ741" s="326">
        <v>44649</v>
      </c>
      <c r="AK741" s="326" t="s">
        <v>889</v>
      </c>
      <c r="AL741" s="326">
        <v>44616</v>
      </c>
      <c r="AM741" s="316"/>
      <c r="AN741" s="305"/>
      <c r="AO741" s="327" t="str">
        <f>_xlfn.IFNA(IF(VLOOKUP(tabItens[[#This Row],[CÓDIGO]],tabExcluirDoEstoque[#Data],1,FALSE),"sim",""),"")</f>
        <v/>
      </c>
      <c r="AP741" s="328" t="str">
        <f ca="1">IF(OR(ISBLANK(tabItens[[#This Row],[ATA DT.VALID.]]),tabItens[[#This Row],[ATA DT.VALID.]]="",tabItens[[#This Row],[ATA DT.VALID.]]=" "),"",IF(TYPE(tabItens[[#This Row],[ATA DT.VALID.]])=1,ROUNDUP((tabItens[[#This Row],[ATA DT.VALID.]]-TODAY())/7,0),""))</f>
        <v/>
      </c>
      <c r="AQ741" s="329"/>
      <c r="AR741" s="330" t="str">
        <f>IF(ISBLANK(tabItens[[#This Row],[CÓDIGO]]),"",IFERROR(VLOOKUP(tabItens[[#This Row],[CÓDIGO]],Consumo!$C$2:$AC$862,26,FALSE),0))</f>
        <v>04.2023</v>
      </c>
      <c r="AS741" s="331">
        <f>SUMIF(Consumo!$C$3:$C$862,tabItens[[#This Row],[CÓDIGO]],Consumo!$N$3:$N$862) + SUMIF(Consumo!$C$3:$C$862,tabItens[[#This Row],[CÓDIGO]],Consumo!$O$3:$O$862) + SUMIF(Consumo!$C$3:$C$862,tabItens[[#This Row],[CÓDIGO]],Consumo!$P$3:$P$862) + SUMIF(Consumo!$C$3:$C$862,tabItens[[#This Row],[CÓDIGO]],Consumo!$Q$3:$Q$862)</f>
        <v>0</v>
      </c>
      <c r="AT741" s="331">
        <f>SUMIF(Consumo!$C$3:$C$862,tabItens[[#This Row],[CÓDIGO]],Consumo!$Z$3:$Z$862)</f>
        <v>100</v>
      </c>
      <c r="AU741" s="332">
        <f>SUMIF(Consumo!$C$3:$C$862,tabItens[[#This Row],[CÓDIGO]],Consumo!$AA$3:$AA$862)</f>
        <v>50</v>
      </c>
      <c r="AV741" s="333">
        <f>SUMIF(Consumo!$C$3:$C$862,tabItens[[#This Row],[CÓDIGO]],Consumo!$Y$3:$Y$862)</f>
        <v>7.25</v>
      </c>
      <c r="AW741" s="306">
        <f>tabItens[[#This Row],[QTDE ATUAL]] + tabItens[[#This Row],[RC QTDE]] + tabItens[[#This Row],[AF SALDO]] + tabItens[[#This Row],[Recentes]]</f>
        <v>480</v>
      </c>
      <c r="AX741" s="334">
        <v>2</v>
      </c>
      <c r="AY741" s="334">
        <v>4</v>
      </c>
      <c r="AZ741" s="334">
        <f>IF(ISBLANK(tabItens[[#This Row],[CÓDIGO]]),"",tabItens[[#This Row],[PontoMês]] * (AZ$2+tabItens[[#This Row],[PontoQtM]]))</f>
        <v>8</v>
      </c>
      <c r="BA741" s="333">
        <f>tabItens[[#This Row],[PontoPed]] - tabItens[[#This Row],[Saldo]] + (1/10)</f>
        <v>-471.9</v>
      </c>
      <c r="BB741" s="333">
        <f xml:space="preserve"> tabItens[[#This Row],[PontoMês]] * BB$2 - tabItens[[#This Row],[QTDE ATUAL]] - (1/10)</f>
        <v>-478.1</v>
      </c>
      <c r="BC741" s="335">
        <f>IF( tabItens[[#This Row],[PontoPed]]&gt;0, IF(tabItens[[#This Row],[PontoPed]]&lt;1, 1, IF( tabItens[[#This Row],[Saldo]]&gt;tabItens[[#This Row],[PontoPed]], 0, (tabItens[[#This Row],[PontoPed]]-tabItens[[#This Row],[Saldo]])/tabItens[[#This Row],[PontoPed]] ) ), 0 )</f>
        <v>0</v>
      </c>
      <c r="BD741" s="336">
        <f>ROUNDDOWN(IF( OR( AND(tabItens[[#This Row],[PontoPed]]&lt;tabItens[[#This Row],[Saldo]],tabItens[[#This Row],[Saldo]]&gt;0), tabItens[[#This Row],[PontoPed]]=0), 99, IF(AND(tabItens[[#This Row],[Saldo]]=0,tabItens[[#This Row],[PontoPed]]&gt;0), 0, (1-tabItens[[#This Row],[PctAb]])*10 ) ),0)</f>
        <v>99</v>
      </c>
      <c r="BE741" s="337">
        <f>MAX(ROUNDDOWN( IF(tabItens[[#This Row],[Abaixo]] &gt; 0,   tabItens[[#This Row],[Abaixo]] + (tabItens[[#This Row],[PontoMês]] * IF( OR( ISBLANK(tabItens[[#This Row],[ATA Nº/ANO]]), tabItens[[#This Row],[ATA Nº/ANO]] = ""),BE$2,BE$1)),0),0),0)</f>
        <v>0</v>
      </c>
      <c r="BF74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1" s="338">
        <f>SUMIF(Consumo!$C$3:$C$862,tabItens[[#This Row],[CÓDIGO]],Consumo!$E$3:$E$862)</f>
        <v>0</v>
      </c>
      <c r="BH741" s="339">
        <f>IF(AND(tabItens[[#This Row],[Pend]] &gt; 0,tabItens[[#This Row],[Consumo]] &lt;&gt; 0), tabItens[[#This Row],[Pend]] / tabItens[[#This Row],[Consumo]], 0 )</f>
        <v>0</v>
      </c>
      <c r="BI741" s="338"/>
      <c r="BJ741" s="338"/>
      <c r="BK741" s="340" t="s">
        <v>2086</v>
      </c>
    </row>
    <row r="742" spans="1:63" hidden="1" x14ac:dyDescent="0.3">
      <c r="A742" s="301">
        <v>54026</v>
      </c>
      <c r="B742" s="302" t="s">
        <v>1316</v>
      </c>
      <c r="C742" s="303" t="s">
        <v>345</v>
      </c>
      <c r="D742" s="304">
        <v>13.4</v>
      </c>
      <c r="E742" s="305"/>
      <c r="F742" s="305"/>
      <c r="G742" s="305" t="s">
        <v>889</v>
      </c>
      <c r="H742" s="306">
        <v>125</v>
      </c>
      <c r="I742" s="307">
        <v>103003</v>
      </c>
      <c r="J742" s="308">
        <v>13.4</v>
      </c>
      <c r="K742" s="309">
        <v>55</v>
      </c>
      <c r="L742" s="310">
        <f>IF(tabItens[[#This Row],[Média]] &gt; 0, tabItens[[#This Row],[QTDE ATUAL]] / tabItens[[#This Row],[Média]],999.9)</f>
        <v>25.862068965517242</v>
      </c>
      <c r="M742" s="311">
        <v>0</v>
      </c>
      <c r="N742" s="312">
        <f>tabItens[[#This Row],[VALOR UNIT.]] * tabItens[[#This Row],[LC]]</f>
        <v>0</v>
      </c>
      <c r="O742" s="313"/>
      <c r="P742" s="314"/>
      <c r="Q742" s="315"/>
      <c r="R742" s="312"/>
      <c r="S742" s="316"/>
      <c r="T742" s="317">
        <f>ROUNDDOWN(IFERROR(tabItens[[#This Row],[ATA DT.VALID.]] - $D$1,0) / 30,0)</f>
        <v>-1474</v>
      </c>
      <c r="U742" s="302" t="s">
        <v>990</v>
      </c>
      <c r="V742" s="318">
        <v>1</v>
      </c>
      <c r="W742" s="319" t="s">
        <v>2077</v>
      </c>
      <c r="X742" s="320">
        <v>55</v>
      </c>
      <c r="Y742" s="321">
        <v>32</v>
      </c>
      <c r="Z742" s="322"/>
      <c r="AA742" s="323"/>
      <c r="AB742" s="324"/>
      <c r="AC742" s="324"/>
      <c r="AD742" s="323"/>
      <c r="AE742" s="324"/>
      <c r="AF742" s="317"/>
      <c r="AG742" s="325" t="s">
        <v>2072</v>
      </c>
      <c r="AH742" s="326"/>
      <c r="AI742" s="317">
        <v>20</v>
      </c>
      <c r="AJ742" s="326">
        <v>44965</v>
      </c>
      <c r="AK742" s="326" t="s">
        <v>889</v>
      </c>
      <c r="AL742" s="326">
        <v>44917</v>
      </c>
      <c r="AM742" s="316"/>
      <c r="AN742" s="305"/>
      <c r="AO742" s="327" t="str">
        <f>_xlfn.IFNA(IF(VLOOKUP(tabItens[[#This Row],[CÓDIGO]],tabExcluirDoEstoque[#Data],1,FALSE),"sim",""),"")</f>
        <v/>
      </c>
      <c r="AP742" s="328" t="str">
        <f ca="1">IF(OR(ISBLANK(tabItens[[#This Row],[ATA DT.VALID.]]),tabItens[[#This Row],[ATA DT.VALID.]]="",tabItens[[#This Row],[ATA DT.VALID.]]=" "),"",IF(TYPE(tabItens[[#This Row],[ATA DT.VALID.]])=1,ROUNDUP((tabItens[[#This Row],[ATA DT.VALID.]]-TODAY())/7,0),""))</f>
        <v/>
      </c>
      <c r="AQ742" s="329"/>
      <c r="AR742" s="330" t="str">
        <f>IF(ISBLANK(tabItens[[#This Row],[CÓDIGO]]),"",IFERROR(VLOOKUP(tabItens[[#This Row],[CÓDIGO]],Consumo!$C$2:$AC$862,26,FALSE),0))</f>
        <v>05.2023</v>
      </c>
      <c r="AS742" s="331">
        <f>SUMIF(Consumo!$C$3:$C$862,tabItens[[#This Row],[CÓDIGO]],Consumo!$N$3:$N$862) + SUMIF(Consumo!$C$3:$C$862,tabItens[[#This Row],[CÓDIGO]],Consumo!$O$3:$O$862) + SUMIF(Consumo!$C$3:$C$862,tabItens[[#This Row],[CÓDIGO]],Consumo!$P$3:$P$862) + SUMIF(Consumo!$C$3:$C$862,tabItens[[#This Row],[CÓDIGO]],Consumo!$Q$3:$Q$862)</f>
        <v>0</v>
      </c>
      <c r="AT742" s="331">
        <f>SUMIF(Consumo!$C$3:$C$862,tabItens[[#This Row],[CÓDIGO]],Consumo!$Z$3:$Z$862)</f>
        <v>58</v>
      </c>
      <c r="AU742" s="332">
        <f>SUMIF(Consumo!$C$3:$C$862,tabItens[[#This Row],[CÓDIGO]],Consumo!$AA$3:$AA$862)</f>
        <v>12</v>
      </c>
      <c r="AV742" s="333">
        <f>SUMIF(Consumo!$C$3:$C$862,tabItens[[#This Row],[CÓDIGO]],Consumo!$Y$3:$Y$862)</f>
        <v>4.833333333333333</v>
      </c>
      <c r="AW742" s="306">
        <f>tabItens[[#This Row],[QTDE ATUAL]] + tabItens[[#This Row],[RC QTDE]] + tabItens[[#This Row],[AF SALDO]] + tabItens[[#This Row],[Recentes]]</f>
        <v>125</v>
      </c>
      <c r="AX742" s="334">
        <v>1</v>
      </c>
      <c r="AY742" s="334">
        <v>4</v>
      </c>
      <c r="AZ742" s="334">
        <f>IF(ISBLANK(tabItens[[#This Row],[CÓDIGO]]),"",tabItens[[#This Row],[PontoMês]] * (AZ$2+tabItens[[#This Row],[PontoQtM]]))</f>
        <v>4</v>
      </c>
      <c r="BA742" s="333">
        <f>tabItens[[#This Row],[PontoPed]] - tabItens[[#This Row],[Saldo]] + (1/10)</f>
        <v>-120.9</v>
      </c>
      <c r="BB742" s="333">
        <f xml:space="preserve"> tabItens[[#This Row],[PontoMês]] * BB$2 - tabItens[[#This Row],[QTDE ATUAL]] - (1/10)</f>
        <v>-124.1</v>
      </c>
      <c r="BC742" s="335">
        <f>IF( tabItens[[#This Row],[PontoPed]]&gt;0, IF(tabItens[[#This Row],[PontoPed]]&lt;1, 1, IF( tabItens[[#This Row],[Saldo]]&gt;tabItens[[#This Row],[PontoPed]], 0, (tabItens[[#This Row],[PontoPed]]-tabItens[[#This Row],[Saldo]])/tabItens[[#This Row],[PontoPed]] ) ), 0 )</f>
        <v>0</v>
      </c>
      <c r="BD742" s="336">
        <f>ROUNDDOWN(IF( OR( AND(tabItens[[#This Row],[PontoPed]]&lt;tabItens[[#This Row],[Saldo]],tabItens[[#This Row],[Saldo]]&gt;0), tabItens[[#This Row],[PontoPed]]=0), 99, IF(AND(tabItens[[#This Row],[Saldo]]=0,tabItens[[#This Row],[PontoPed]]&gt;0), 0, (1-tabItens[[#This Row],[PctAb]])*10 ) ),0)</f>
        <v>99</v>
      </c>
      <c r="BE742" s="337">
        <f>MAX(ROUNDDOWN( IF(tabItens[[#This Row],[Abaixo]] &gt; 0,   tabItens[[#This Row],[Abaixo]] + (tabItens[[#This Row],[PontoMês]] * IF( OR( ISBLANK(tabItens[[#This Row],[ATA Nº/ANO]]), tabItens[[#This Row],[ATA Nº/ANO]] = ""),BE$2,BE$1)),0),0),0)</f>
        <v>0</v>
      </c>
      <c r="BF74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2" s="338">
        <f>SUMIF(Consumo!$C$3:$C$862,tabItens[[#This Row],[CÓDIGO]],Consumo!$E$3:$E$862)</f>
        <v>0</v>
      </c>
      <c r="BH742" s="339">
        <f>IF(AND(tabItens[[#This Row],[Pend]] &gt; 0,tabItens[[#This Row],[Consumo]] &lt;&gt; 0), tabItens[[#This Row],[Pend]] / tabItens[[#This Row],[Consumo]], 0 )</f>
        <v>0</v>
      </c>
      <c r="BI742" s="338"/>
      <c r="BJ742" s="338"/>
      <c r="BK742" s="340" t="s">
        <v>2086</v>
      </c>
    </row>
    <row r="743" spans="1:63" hidden="1" x14ac:dyDescent="0.3">
      <c r="A743" s="301">
        <v>99788</v>
      </c>
      <c r="B743" s="302" t="s">
        <v>1573</v>
      </c>
      <c r="C743" s="303" t="s">
        <v>263</v>
      </c>
      <c r="D743" s="304">
        <v>1.49</v>
      </c>
      <c r="E743" s="305"/>
      <c r="F743" s="305"/>
      <c r="G743" s="305" t="s">
        <v>889</v>
      </c>
      <c r="H743" s="306">
        <v>150</v>
      </c>
      <c r="I743" s="307">
        <v>103003</v>
      </c>
      <c r="J743" s="308">
        <v>1.49</v>
      </c>
      <c r="K743" s="309"/>
      <c r="L743" s="310">
        <f>IF(tabItens[[#This Row],[Média]] &gt; 0, tabItens[[#This Row],[QTDE ATUAL]] / tabItens[[#This Row],[Média]],999.9)</f>
        <v>999.9</v>
      </c>
      <c r="M743" s="311">
        <v>0</v>
      </c>
      <c r="N743" s="312">
        <f>tabItens[[#This Row],[VALOR UNIT.]] * tabItens[[#This Row],[LC]]</f>
        <v>0</v>
      </c>
      <c r="O743" s="313"/>
      <c r="P743" s="314"/>
      <c r="Q743" s="315"/>
      <c r="R743" s="312"/>
      <c r="S743" s="316"/>
      <c r="T743" s="317">
        <f>ROUNDDOWN(IFERROR(tabItens[[#This Row],[ATA DT.VALID.]] - $D$1,0) / 30,0)</f>
        <v>-1474</v>
      </c>
      <c r="U743" s="302" t="s">
        <v>990</v>
      </c>
      <c r="V743" s="318">
        <v>1</v>
      </c>
      <c r="W743" s="319" t="s">
        <v>2077</v>
      </c>
      <c r="X743" s="320">
        <v>55</v>
      </c>
      <c r="Y743" s="321">
        <v>32</v>
      </c>
      <c r="Z743" s="322"/>
      <c r="AA743" s="323"/>
      <c r="AB743" s="324"/>
      <c r="AC743" s="324"/>
      <c r="AD743" s="323"/>
      <c r="AE743" s="324"/>
      <c r="AF743" s="317"/>
      <c r="AG743" s="325" t="s">
        <v>2072</v>
      </c>
      <c r="AH743" s="326"/>
      <c r="AI743" s="317">
        <v>0</v>
      </c>
      <c r="AJ743" s="326">
        <v>39741</v>
      </c>
      <c r="AK743" s="326">
        <v>39227</v>
      </c>
      <c r="AL743" s="326">
        <v>39729</v>
      </c>
      <c r="AM743" s="316"/>
      <c r="AN743" s="305"/>
      <c r="AO743" s="327" t="str">
        <f>_xlfn.IFNA(IF(VLOOKUP(tabItens[[#This Row],[CÓDIGO]],tabExcluirDoEstoque[#Data],1,FALSE),"sim",""),"")</f>
        <v/>
      </c>
      <c r="AP743" s="328" t="str">
        <f ca="1">IF(OR(ISBLANK(tabItens[[#This Row],[ATA DT.VALID.]]),tabItens[[#This Row],[ATA DT.VALID.]]="",tabItens[[#This Row],[ATA DT.VALID.]]=" "),"",IF(TYPE(tabItens[[#This Row],[ATA DT.VALID.]])=1,ROUNDUP((tabItens[[#This Row],[ATA DT.VALID.]]-TODAY())/7,0),""))</f>
        <v/>
      </c>
      <c r="AQ743" s="329"/>
      <c r="AR743" s="330">
        <f>IF(ISBLANK(tabItens[[#This Row],[CÓDIGO]]),"",IFERROR(VLOOKUP(tabItens[[#This Row],[CÓDIGO]],Consumo!$C$2:$AC$862,26,FALSE),0))</f>
        <v>0</v>
      </c>
      <c r="AS743" s="331">
        <f>SUMIF(Consumo!$C$3:$C$862,tabItens[[#This Row],[CÓDIGO]],Consumo!$N$3:$N$862) + SUMIF(Consumo!$C$3:$C$862,tabItens[[#This Row],[CÓDIGO]],Consumo!$O$3:$O$862) + SUMIF(Consumo!$C$3:$C$862,tabItens[[#This Row],[CÓDIGO]],Consumo!$P$3:$P$862) + SUMIF(Consumo!$C$3:$C$862,tabItens[[#This Row],[CÓDIGO]],Consumo!$Q$3:$Q$862)</f>
        <v>0</v>
      </c>
      <c r="AT743" s="331">
        <f>SUMIF(Consumo!$C$3:$C$862,tabItens[[#This Row],[CÓDIGO]],Consumo!$Z$3:$Z$862)</f>
        <v>0</v>
      </c>
      <c r="AU743" s="332">
        <f>SUMIF(Consumo!$C$3:$C$862,tabItens[[#This Row],[CÓDIGO]],Consumo!$AA$3:$AA$862)</f>
        <v>0</v>
      </c>
      <c r="AV743" s="333">
        <f>SUMIF(Consumo!$C$3:$C$862,tabItens[[#This Row],[CÓDIGO]],Consumo!$Y$3:$Y$862)</f>
        <v>0</v>
      </c>
      <c r="AW743" s="306">
        <f>tabItens[[#This Row],[QTDE ATUAL]] + tabItens[[#This Row],[RC QTDE]] + tabItens[[#This Row],[AF SALDO]] + tabItens[[#This Row],[Recentes]]</f>
        <v>150</v>
      </c>
      <c r="AX743" s="334">
        <v>0</v>
      </c>
      <c r="AY743" s="334">
        <v>4</v>
      </c>
      <c r="AZ743" s="334">
        <f>IF(ISBLANK(tabItens[[#This Row],[CÓDIGO]]),"",tabItens[[#This Row],[PontoMês]] * (AZ$2+tabItens[[#This Row],[PontoQtM]]))</f>
        <v>0</v>
      </c>
      <c r="BA743" s="333">
        <f>tabItens[[#This Row],[PontoPed]] - tabItens[[#This Row],[Saldo]] + (1/10)</f>
        <v>-149.9</v>
      </c>
      <c r="BB743" s="333">
        <f xml:space="preserve"> tabItens[[#This Row],[PontoMês]] * BB$2 - tabItens[[#This Row],[QTDE ATUAL]] - (1/10)</f>
        <v>-150.1</v>
      </c>
      <c r="BC743" s="335">
        <f>IF( tabItens[[#This Row],[PontoPed]]&gt;0, IF(tabItens[[#This Row],[PontoPed]]&lt;1, 1, IF( tabItens[[#This Row],[Saldo]]&gt;tabItens[[#This Row],[PontoPed]], 0, (tabItens[[#This Row],[PontoPed]]-tabItens[[#This Row],[Saldo]])/tabItens[[#This Row],[PontoPed]] ) ), 0 )</f>
        <v>0</v>
      </c>
      <c r="BD743" s="336">
        <f>ROUNDDOWN(IF( OR( AND(tabItens[[#This Row],[PontoPed]]&lt;tabItens[[#This Row],[Saldo]],tabItens[[#This Row],[Saldo]]&gt;0), tabItens[[#This Row],[PontoPed]]=0), 99, IF(AND(tabItens[[#This Row],[Saldo]]=0,tabItens[[#This Row],[PontoPed]]&gt;0), 0, (1-tabItens[[#This Row],[PctAb]])*10 ) ),0)</f>
        <v>99</v>
      </c>
      <c r="BE743" s="337">
        <f>MAX(ROUNDDOWN( IF(tabItens[[#This Row],[Abaixo]] &gt; 0,   tabItens[[#This Row],[Abaixo]] + (tabItens[[#This Row],[PontoMês]] * IF( OR( ISBLANK(tabItens[[#This Row],[ATA Nº/ANO]]), tabItens[[#This Row],[ATA Nº/ANO]] = ""),BE$2,BE$1)),0),0),0)</f>
        <v>0</v>
      </c>
      <c r="BF74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3" s="338">
        <f>SUMIF(Consumo!$C$3:$C$862,tabItens[[#This Row],[CÓDIGO]],Consumo!$E$3:$E$862)</f>
        <v>0</v>
      </c>
      <c r="BH743" s="339">
        <f>IF(AND(tabItens[[#This Row],[Pend]] &gt; 0,tabItens[[#This Row],[Consumo]] &lt;&gt; 0), tabItens[[#This Row],[Pend]] / tabItens[[#This Row],[Consumo]], 0 )</f>
        <v>0</v>
      </c>
      <c r="BI743" s="338"/>
      <c r="BJ743" s="338"/>
      <c r="BK743" s="340" t="s">
        <v>2086</v>
      </c>
    </row>
    <row r="744" spans="1:63" hidden="1" x14ac:dyDescent="0.3">
      <c r="A744" s="301">
        <v>102776</v>
      </c>
      <c r="B744" s="302" t="s">
        <v>1593</v>
      </c>
      <c r="C744" s="303" t="s">
        <v>263</v>
      </c>
      <c r="D744" s="304">
        <v>16</v>
      </c>
      <c r="E744" s="305"/>
      <c r="F744" s="305"/>
      <c r="G744" s="305" t="s">
        <v>889</v>
      </c>
      <c r="H744" s="306">
        <v>40</v>
      </c>
      <c r="I744" s="307">
        <v>103003</v>
      </c>
      <c r="J744" s="308">
        <v>16</v>
      </c>
      <c r="K744" s="309"/>
      <c r="L744" s="310">
        <f>IF(tabItens[[#This Row],[Média]] &gt; 0, tabItens[[#This Row],[QTDE ATUAL]] / tabItens[[#This Row],[Média]],999.9)</f>
        <v>999.9</v>
      </c>
      <c r="M744" s="311">
        <v>0</v>
      </c>
      <c r="N744" s="312">
        <f>tabItens[[#This Row],[VALOR UNIT.]] * tabItens[[#This Row],[LC]]</f>
        <v>0</v>
      </c>
      <c r="O744" s="313"/>
      <c r="P744" s="314"/>
      <c r="Q744" s="315"/>
      <c r="R744" s="312"/>
      <c r="S744" s="316"/>
      <c r="T744" s="317">
        <f>ROUNDDOWN(IFERROR(tabItens[[#This Row],[ATA DT.VALID.]] - $D$1,0) / 30,0)</f>
        <v>-1474</v>
      </c>
      <c r="U744" s="302" t="s">
        <v>990</v>
      </c>
      <c r="V744" s="318">
        <v>1</v>
      </c>
      <c r="W744" s="319" t="s">
        <v>2077</v>
      </c>
      <c r="X744" s="320">
        <v>55</v>
      </c>
      <c r="Y744" s="321">
        <v>32</v>
      </c>
      <c r="Z744" s="322"/>
      <c r="AA744" s="323"/>
      <c r="AB744" s="324"/>
      <c r="AC744" s="324"/>
      <c r="AD744" s="323"/>
      <c r="AE744" s="324"/>
      <c r="AF744" s="317"/>
      <c r="AG744" s="325" t="s">
        <v>2072</v>
      </c>
      <c r="AH744" s="326"/>
      <c r="AI744" s="317">
        <v>0</v>
      </c>
      <c r="AJ744" s="326">
        <v>42534</v>
      </c>
      <c r="AK744" s="326">
        <v>39373</v>
      </c>
      <c r="AL744" s="326">
        <v>42494</v>
      </c>
      <c r="AM744" s="316"/>
      <c r="AN744" s="305"/>
      <c r="AO744" s="327" t="str">
        <f>_xlfn.IFNA(IF(VLOOKUP(tabItens[[#This Row],[CÓDIGO]],tabExcluirDoEstoque[#Data],1,FALSE),"sim",""),"")</f>
        <v/>
      </c>
      <c r="AP744" s="328" t="str">
        <f ca="1">IF(OR(ISBLANK(tabItens[[#This Row],[ATA DT.VALID.]]),tabItens[[#This Row],[ATA DT.VALID.]]="",tabItens[[#This Row],[ATA DT.VALID.]]=" "),"",IF(TYPE(tabItens[[#This Row],[ATA DT.VALID.]])=1,ROUNDUP((tabItens[[#This Row],[ATA DT.VALID.]]-TODAY())/7,0),""))</f>
        <v/>
      </c>
      <c r="AQ744" s="329"/>
      <c r="AR744" s="330">
        <f>IF(ISBLANK(tabItens[[#This Row],[CÓDIGO]]),"",IFERROR(VLOOKUP(tabItens[[#This Row],[CÓDIGO]],Consumo!$C$2:$AC$862,26,FALSE),0))</f>
        <v>0</v>
      </c>
      <c r="AS744" s="331">
        <f>SUMIF(Consumo!$C$3:$C$862,tabItens[[#This Row],[CÓDIGO]],Consumo!$N$3:$N$862) + SUMIF(Consumo!$C$3:$C$862,tabItens[[#This Row],[CÓDIGO]],Consumo!$O$3:$O$862) + SUMIF(Consumo!$C$3:$C$862,tabItens[[#This Row],[CÓDIGO]],Consumo!$P$3:$P$862) + SUMIF(Consumo!$C$3:$C$862,tabItens[[#This Row],[CÓDIGO]],Consumo!$Q$3:$Q$862)</f>
        <v>0</v>
      </c>
      <c r="AT744" s="331">
        <f>SUMIF(Consumo!$C$3:$C$862,tabItens[[#This Row],[CÓDIGO]],Consumo!$Z$3:$Z$862)</f>
        <v>0</v>
      </c>
      <c r="AU744" s="332">
        <f>SUMIF(Consumo!$C$3:$C$862,tabItens[[#This Row],[CÓDIGO]],Consumo!$AA$3:$AA$862)</f>
        <v>0</v>
      </c>
      <c r="AV744" s="333">
        <f>SUMIF(Consumo!$C$3:$C$862,tabItens[[#This Row],[CÓDIGO]],Consumo!$Y$3:$Y$862)</f>
        <v>0</v>
      </c>
      <c r="AW744" s="306">
        <f>tabItens[[#This Row],[QTDE ATUAL]] + tabItens[[#This Row],[RC QTDE]] + tabItens[[#This Row],[AF SALDO]] + tabItens[[#This Row],[Recentes]]</f>
        <v>40</v>
      </c>
      <c r="AX744" s="334">
        <v>0</v>
      </c>
      <c r="AY744" s="334">
        <v>4</v>
      </c>
      <c r="AZ744" s="334">
        <f>IF(ISBLANK(tabItens[[#This Row],[CÓDIGO]]),"",tabItens[[#This Row],[PontoMês]] * (AZ$2+tabItens[[#This Row],[PontoQtM]]))</f>
        <v>0</v>
      </c>
      <c r="BA744" s="333">
        <f>tabItens[[#This Row],[PontoPed]] - tabItens[[#This Row],[Saldo]] + (1/10)</f>
        <v>-39.9</v>
      </c>
      <c r="BB744" s="333">
        <f xml:space="preserve"> tabItens[[#This Row],[PontoMês]] * BB$2 - tabItens[[#This Row],[QTDE ATUAL]] - (1/10)</f>
        <v>-40.1</v>
      </c>
      <c r="BC744" s="335">
        <f>IF( tabItens[[#This Row],[PontoPed]]&gt;0, IF(tabItens[[#This Row],[PontoPed]]&lt;1, 1, IF( tabItens[[#This Row],[Saldo]]&gt;tabItens[[#This Row],[PontoPed]], 0, (tabItens[[#This Row],[PontoPed]]-tabItens[[#This Row],[Saldo]])/tabItens[[#This Row],[PontoPed]] ) ), 0 )</f>
        <v>0</v>
      </c>
      <c r="BD744" s="336">
        <f>ROUNDDOWN(IF( OR( AND(tabItens[[#This Row],[PontoPed]]&lt;tabItens[[#This Row],[Saldo]],tabItens[[#This Row],[Saldo]]&gt;0), tabItens[[#This Row],[PontoPed]]=0), 99, IF(AND(tabItens[[#This Row],[Saldo]]=0,tabItens[[#This Row],[PontoPed]]&gt;0), 0, (1-tabItens[[#This Row],[PctAb]])*10 ) ),0)</f>
        <v>99</v>
      </c>
      <c r="BE744" s="337">
        <f>MAX(ROUNDDOWN( IF(tabItens[[#This Row],[Abaixo]] &gt; 0,   tabItens[[#This Row],[Abaixo]] + (tabItens[[#This Row],[PontoMês]] * IF( OR( ISBLANK(tabItens[[#This Row],[ATA Nº/ANO]]), tabItens[[#This Row],[ATA Nº/ANO]] = ""),BE$2,BE$1)),0),0),0)</f>
        <v>0</v>
      </c>
      <c r="BF74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4" s="338">
        <f>SUMIF(Consumo!$C$3:$C$862,tabItens[[#This Row],[CÓDIGO]],Consumo!$E$3:$E$862)</f>
        <v>0</v>
      </c>
      <c r="BH744" s="339">
        <f>IF(AND(tabItens[[#This Row],[Pend]] &gt; 0,tabItens[[#This Row],[Consumo]] &lt;&gt; 0), tabItens[[#This Row],[Pend]] / tabItens[[#This Row],[Consumo]], 0 )</f>
        <v>0</v>
      </c>
      <c r="BI744" s="338"/>
      <c r="BJ744" s="338"/>
      <c r="BK744" s="340" t="s">
        <v>2086</v>
      </c>
    </row>
    <row r="745" spans="1:63" hidden="1" x14ac:dyDescent="0.3">
      <c r="A745" s="301">
        <v>106408</v>
      </c>
      <c r="B745" s="302" t="s">
        <v>1637</v>
      </c>
      <c r="C745" s="303" t="s">
        <v>263</v>
      </c>
      <c r="D745" s="304">
        <v>8.3000000000000007</v>
      </c>
      <c r="E745" s="305"/>
      <c r="F745" s="305"/>
      <c r="G745" s="305" t="s">
        <v>889</v>
      </c>
      <c r="H745" s="306">
        <v>54</v>
      </c>
      <c r="I745" s="307">
        <v>103003</v>
      </c>
      <c r="J745" s="308">
        <v>8.3000000000000007</v>
      </c>
      <c r="K745" s="309">
        <v>111</v>
      </c>
      <c r="L745" s="310">
        <f>IF(tabItens[[#This Row],[Média]] &gt; 0, tabItens[[#This Row],[QTDE ATUAL]] / tabItens[[#This Row],[Média]],999.9)</f>
        <v>6.8210526315789473</v>
      </c>
      <c r="M745" s="311">
        <v>0</v>
      </c>
      <c r="N745" s="312">
        <f>tabItens[[#This Row],[VALOR UNIT.]] * tabItens[[#This Row],[LC]]</f>
        <v>0</v>
      </c>
      <c r="O745" s="313"/>
      <c r="P745" s="314"/>
      <c r="Q745" s="315"/>
      <c r="R745" s="312"/>
      <c r="S745" s="316"/>
      <c r="T745" s="317">
        <f>ROUNDDOWN(IFERROR(tabItens[[#This Row],[ATA DT.VALID.]] - $D$1,0) / 30,0)</f>
        <v>-1474</v>
      </c>
      <c r="U745" s="302" t="s">
        <v>990</v>
      </c>
      <c r="V745" s="318">
        <v>1</v>
      </c>
      <c r="W745" s="319" t="s">
        <v>2077</v>
      </c>
      <c r="X745" s="320">
        <v>55</v>
      </c>
      <c r="Y745" s="321">
        <v>32</v>
      </c>
      <c r="Z745" s="322">
        <v>2442</v>
      </c>
      <c r="AA745" s="323">
        <v>2023</v>
      </c>
      <c r="AB745" s="324">
        <v>50</v>
      </c>
      <c r="AC745" s="324"/>
      <c r="AD745" s="323"/>
      <c r="AE745" s="324"/>
      <c r="AF745" s="317"/>
      <c r="AG745" s="325" t="s">
        <v>2072</v>
      </c>
      <c r="AH745" s="326"/>
      <c r="AI745" s="317">
        <v>38</v>
      </c>
      <c r="AJ745" s="326">
        <v>42229</v>
      </c>
      <c r="AK745" s="326">
        <v>39581</v>
      </c>
      <c r="AL745" s="326">
        <v>42205</v>
      </c>
      <c r="AM745" s="316"/>
      <c r="AN745" s="305"/>
      <c r="AO745" s="327" t="str">
        <f>_xlfn.IFNA(IF(VLOOKUP(tabItens[[#This Row],[CÓDIGO]],tabExcluirDoEstoque[#Data],1,FALSE),"sim",""),"")</f>
        <v/>
      </c>
      <c r="AP745" s="328" t="str">
        <f ca="1">IF(OR(ISBLANK(tabItens[[#This Row],[ATA DT.VALID.]]),tabItens[[#This Row],[ATA DT.VALID.]]="",tabItens[[#This Row],[ATA DT.VALID.]]=" "),"",IF(TYPE(tabItens[[#This Row],[ATA DT.VALID.]])=1,ROUNDUP((tabItens[[#This Row],[ATA DT.VALID.]]-TODAY())/7,0),""))</f>
        <v/>
      </c>
      <c r="AQ745" s="329"/>
      <c r="AR745" s="330" t="str">
        <f>IF(ISBLANK(tabItens[[#This Row],[CÓDIGO]]),"",IFERROR(VLOOKUP(tabItens[[#This Row],[CÓDIGO]],Consumo!$C$2:$AC$862,26,FALSE),0))</f>
        <v>07.2023</v>
      </c>
      <c r="AS745" s="331">
        <f>SUMIF(Consumo!$C$3:$C$862,tabItens[[#This Row],[CÓDIGO]],Consumo!$N$3:$N$862) + SUMIF(Consumo!$C$3:$C$862,tabItens[[#This Row],[CÓDIGO]],Consumo!$O$3:$O$862) + SUMIF(Consumo!$C$3:$C$862,tabItens[[#This Row],[CÓDIGO]],Consumo!$P$3:$P$862) + SUMIF(Consumo!$C$3:$C$862,tabItens[[#This Row],[CÓDIGO]],Consumo!$Q$3:$Q$862)</f>
        <v>10</v>
      </c>
      <c r="AT745" s="331">
        <f>SUMIF(Consumo!$C$3:$C$862,tabItens[[#This Row],[CÓDIGO]],Consumo!$Z$3:$Z$862)</f>
        <v>111</v>
      </c>
      <c r="AU745" s="332">
        <f>SUMIF(Consumo!$C$3:$C$862,tabItens[[#This Row],[CÓDIGO]],Consumo!$AA$3:$AA$862)</f>
        <v>59</v>
      </c>
      <c r="AV745" s="333">
        <f>SUMIF(Consumo!$C$3:$C$862,tabItens[[#This Row],[CÓDIGO]],Consumo!$Y$3:$Y$862)</f>
        <v>7.916666666666667</v>
      </c>
      <c r="AW745" s="306">
        <f>tabItens[[#This Row],[QTDE ATUAL]] + tabItens[[#This Row],[RC QTDE]] + tabItens[[#This Row],[AF SALDO]] + tabItens[[#This Row],[Recentes]]</f>
        <v>104</v>
      </c>
      <c r="AX745" s="334">
        <v>5</v>
      </c>
      <c r="AY745" s="334">
        <v>4</v>
      </c>
      <c r="AZ745" s="334">
        <f>IF(ISBLANK(tabItens[[#This Row],[CÓDIGO]]),"",tabItens[[#This Row],[PontoMês]] * (AZ$2+tabItens[[#This Row],[PontoQtM]]))</f>
        <v>20</v>
      </c>
      <c r="BA745" s="333">
        <f>tabItens[[#This Row],[PontoPed]] - tabItens[[#This Row],[Saldo]] + (1/10)</f>
        <v>-83.9</v>
      </c>
      <c r="BB745" s="333">
        <f xml:space="preserve"> tabItens[[#This Row],[PontoMês]] * BB$2 - tabItens[[#This Row],[QTDE ATUAL]] - (1/10)</f>
        <v>-49.1</v>
      </c>
      <c r="BC745" s="335">
        <f>IF( tabItens[[#This Row],[PontoPed]]&gt;0, IF(tabItens[[#This Row],[PontoPed]]&lt;1, 1, IF( tabItens[[#This Row],[Saldo]]&gt;tabItens[[#This Row],[PontoPed]], 0, (tabItens[[#This Row],[PontoPed]]-tabItens[[#This Row],[Saldo]])/tabItens[[#This Row],[PontoPed]] ) ), 0 )</f>
        <v>0</v>
      </c>
      <c r="BD745" s="336">
        <f>ROUNDDOWN(IF( OR( AND(tabItens[[#This Row],[PontoPed]]&lt;tabItens[[#This Row],[Saldo]],tabItens[[#This Row],[Saldo]]&gt;0), tabItens[[#This Row],[PontoPed]]=0), 99, IF(AND(tabItens[[#This Row],[Saldo]]=0,tabItens[[#This Row],[PontoPed]]&gt;0), 0, (1-tabItens[[#This Row],[PctAb]])*10 ) ),0)</f>
        <v>99</v>
      </c>
      <c r="BE745" s="337">
        <f>MAX(ROUNDDOWN( IF(tabItens[[#This Row],[Abaixo]] &gt; 0,   tabItens[[#This Row],[Abaixo]] + (tabItens[[#This Row],[PontoMês]] * IF( OR( ISBLANK(tabItens[[#This Row],[ATA Nº/ANO]]), tabItens[[#This Row],[ATA Nº/ANO]] = ""),BE$2,BE$1)),0),0),0)</f>
        <v>0</v>
      </c>
      <c r="BF74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5" s="338">
        <f>SUMIF(Consumo!$C$3:$C$862,tabItens[[#This Row],[CÓDIGO]],Consumo!$E$3:$E$862)</f>
        <v>0</v>
      </c>
      <c r="BH745" s="339">
        <f>IF(AND(tabItens[[#This Row],[Pend]] &gt; 0,tabItens[[#This Row],[Consumo]] &lt;&gt; 0), tabItens[[#This Row],[Pend]] / tabItens[[#This Row],[Consumo]], 0 )</f>
        <v>0</v>
      </c>
      <c r="BI745" s="338"/>
      <c r="BJ745" s="338"/>
      <c r="BK745" s="340" t="s">
        <v>2086</v>
      </c>
    </row>
    <row r="746" spans="1:63" hidden="1" x14ac:dyDescent="0.3">
      <c r="A746" s="301">
        <v>110702</v>
      </c>
      <c r="B746" s="302" t="s">
        <v>1672</v>
      </c>
      <c r="C746" s="303" t="s">
        <v>263</v>
      </c>
      <c r="D746" s="304">
        <v>16.79</v>
      </c>
      <c r="E746" s="305"/>
      <c r="F746" s="305"/>
      <c r="G746" s="305" t="s">
        <v>889</v>
      </c>
      <c r="H746" s="306">
        <v>136</v>
      </c>
      <c r="I746" s="307">
        <v>103003</v>
      </c>
      <c r="J746" s="308">
        <v>16.79</v>
      </c>
      <c r="K746" s="309">
        <v>17</v>
      </c>
      <c r="L746" s="310">
        <f>IF(tabItens[[#This Row],[Média]] &gt; 0, tabItens[[#This Row],[QTDE ATUAL]] / tabItens[[#This Row],[Média]],999.9)</f>
        <v>116.57142857142857</v>
      </c>
      <c r="M746" s="311">
        <v>0</v>
      </c>
      <c r="N746" s="312">
        <f>tabItens[[#This Row],[VALOR UNIT.]] * tabItens[[#This Row],[LC]]</f>
        <v>0</v>
      </c>
      <c r="O746" s="313"/>
      <c r="P746" s="314"/>
      <c r="Q746" s="315"/>
      <c r="R746" s="312"/>
      <c r="S746" s="316"/>
      <c r="T746" s="317">
        <f>ROUNDDOWN(IFERROR(tabItens[[#This Row],[ATA DT.VALID.]] - $D$1,0) / 30,0)</f>
        <v>-1474</v>
      </c>
      <c r="U746" s="302" t="s">
        <v>990</v>
      </c>
      <c r="V746" s="318">
        <v>1</v>
      </c>
      <c r="W746" s="319" t="s">
        <v>2077</v>
      </c>
      <c r="X746" s="320">
        <v>55</v>
      </c>
      <c r="Y746" s="321">
        <v>32</v>
      </c>
      <c r="Z746" s="322">
        <v>2956</v>
      </c>
      <c r="AA746" s="323">
        <v>2023</v>
      </c>
      <c r="AB746" s="324">
        <v>50</v>
      </c>
      <c r="AC746" s="324"/>
      <c r="AD746" s="323"/>
      <c r="AE746" s="324"/>
      <c r="AF746" s="317"/>
      <c r="AG746" s="325" t="s">
        <v>2072</v>
      </c>
      <c r="AH746" s="326"/>
      <c r="AI746" s="317">
        <v>6</v>
      </c>
      <c r="AJ746" s="326">
        <v>42216</v>
      </c>
      <c r="AK746" s="326">
        <v>39927</v>
      </c>
      <c r="AL746" s="326">
        <v>42205</v>
      </c>
      <c r="AM746" s="316"/>
      <c r="AN746" s="305"/>
      <c r="AO746" s="327" t="str">
        <f>_xlfn.IFNA(IF(VLOOKUP(tabItens[[#This Row],[CÓDIGO]],tabExcluirDoEstoque[#Data],1,FALSE),"sim",""),"")</f>
        <v/>
      </c>
      <c r="AP746" s="328" t="str">
        <f ca="1">IF(OR(ISBLANK(tabItens[[#This Row],[ATA DT.VALID.]]),tabItens[[#This Row],[ATA DT.VALID.]]="",tabItens[[#This Row],[ATA DT.VALID.]]=" "),"",IF(TYPE(tabItens[[#This Row],[ATA DT.VALID.]])=1,ROUNDUP((tabItens[[#This Row],[ATA DT.VALID.]]-TODAY())/7,0),""))</f>
        <v/>
      </c>
      <c r="AQ746" s="329"/>
      <c r="AR746" s="330" t="str">
        <f>IF(ISBLANK(tabItens[[#This Row],[CÓDIGO]]),"",IFERROR(VLOOKUP(tabItens[[#This Row],[CÓDIGO]],Consumo!$C$2:$AC$862,26,FALSE),0))</f>
        <v>05.2023</v>
      </c>
      <c r="AS746" s="331">
        <f>SUMIF(Consumo!$C$3:$C$862,tabItens[[#This Row],[CÓDIGO]],Consumo!$N$3:$N$862) + SUMIF(Consumo!$C$3:$C$862,tabItens[[#This Row],[CÓDIGO]],Consumo!$O$3:$O$862) + SUMIF(Consumo!$C$3:$C$862,tabItens[[#This Row],[CÓDIGO]],Consumo!$P$3:$P$862) + SUMIF(Consumo!$C$3:$C$862,tabItens[[#This Row],[CÓDIGO]],Consumo!$Q$3:$Q$862)</f>
        <v>0</v>
      </c>
      <c r="AT746" s="331">
        <f>SUMIF(Consumo!$C$3:$C$862,tabItens[[#This Row],[CÓDIGO]],Consumo!$Z$3:$Z$862)</f>
        <v>17</v>
      </c>
      <c r="AU746" s="332">
        <f>SUMIF(Consumo!$C$3:$C$862,tabItens[[#This Row],[CÓDIGO]],Consumo!$AA$3:$AA$862)</f>
        <v>10</v>
      </c>
      <c r="AV746" s="333">
        <f>SUMIF(Consumo!$C$3:$C$862,tabItens[[#This Row],[CÓDIGO]],Consumo!$Y$3:$Y$862)</f>
        <v>1.1666666666666667</v>
      </c>
      <c r="AW746" s="306">
        <f>tabItens[[#This Row],[QTDE ATUAL]] + tabItens[[#This Row],[RC QTDE]] + tabItens[[#This Row],[AF SALDO]] + tabItens[[#This Row],[Recentes]]</f>
        <v>186</v>
      </c>
      <c r="AX746" s="334">
        <v>6</v>
      </c>
      <c r="AY746" s="334">
        <v>4</v>
      </c>
      <c r="AZ746" s="334">
        <f>IF(ISBLANK(tabItens[[#This Row],[CÓDIGO]]),"",tabItens[[#This Row],[PontoMês]] * (AZ$2+tabItens[[#This Row],[PontoQtM]]))</f>
        <v>24</v>
      </c>
      <c r="BA746" s="333">
        <f>tabItens[[#This Row],[PontoPed]] - tabItens[[#This Row],[Saldo]] + (1/10)</f>
        <v>-161.9</v>
      </c>
      <c r="BB746" s="333">
        <f xml:space="preserve"> tabItens[[#This Row],[PontoMês]] * BB$2 - tabItens[[#This Row],[QTDE ATUAL]] - (1/10)</f>
        <v>-130.1</v>
      </c>
      <c r="BC746" s="335">
        <f>IF( tabItens[[#This Row],[PontoPed]]&gt;0, IF(tabItens[[#This Row],[PontoPed]]&lt;1, 1, IF( tabItens[[#This Row],[Saldo]]&gt;tabItens[[#This Row],[PontoPed]], 0, (tabItens[[#This Row],[PontoPed]]-tabItens[[#This Row],[Saldo]])/tabItens[[#This Row],[PontoPed]] ) ), 0 )</f>
        <v>0</v>
      </c>
      <c r="BD746" s="336">
        <f>ROUNDDOWN(IF( OR( AND(tabItens[[#This Row],[PontoPed]]&lt;tabItens[[#This Row],[Saldo]],tabItens[[#This Row],[Saldo]]&gt;0), tabItens[[#This Row],[PontoPed]]=0), 99, IF(AND(tabItens[[#This Row],[Saldo]]=0,tabItens[[#This Row],[PontoPed]]&gt;0), 0, (1-tabItens[[#This Row],[PctAb]])*10 ) ),0)</f>
        <v>99</v>
      </c>
      <c r="BE746" s="337">
        <f>MAX(ROUNDDOWN( IF(tabItens[[#This Row],[Abaixo]] &gt; 0,   tabItens[[#This Row],[Abaixo]] + (tabItens[[#This Row],[PontoMês]] * IF( OR( ISBLANK(tabItens[[#This Row],[ATA Nº/ANO]]), tabItens[[#This Row],[ATA Nº/ANO]] = ""),BE$2,BE$1)),0),0),0)</f>
        <v>0</v>
      </c>
      <c r="BF74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6" s="338">
        <f>SUMIF(Consumo!$C$3:$C$862,tabItens[[#This Row],[CÓDIGO]],Consumo!$E$3:$E$862)</f>
        <v>0</v>
      </c>
      <c r="BH746" s="339">
        <f>IF(AND(tabItens[[#This Row],[Pend]] &gt; 0,tabItens[[#This Row],[Consumo]] &lt;&gt; 0), tabItens[[#This Row],[Pend]] / tabItens[[#This Row],[Consumo]], 0 )</f>
        <v>0</v>
      </c>
      <c r="BI746" s="338"/>
      <c r="BJ746" s="338"/>
      <c r="BK746" s="340" t="s">
        <v>2086</v>
      </c>
    </row>
    <row r="747" spans="1:63" hidden="1" x14ac:dyDescent="0.3">
      <c r="A747" s="301">
        <v>15272</v>
      </c>
      <c r="B747" s="302" t="s">
        <v>1090</v>
      </c>
      <c r="C747" s="303" t="s">
        <v>263</v>
      </c>
      <c r="D747" s="304">
        <v>4.8</v>
      </c>
      <c r="E747" s="305"/>
      <c r="F747" s="305"/>
      <c r="G747" s="305" t="s">
        <v>889</v>
      </c>
      <c r="H747" s="306">
        <v>100</v>
      </c>
      <c r="I747" s="307">
        <v>103003</v>
      </c>
      <c r="J747" s="308">
        <v>4.8</v>
      </c>
      <c r="K747" s="309">
        <v>30</v>
      </c>
      <c r="L747" s="310">
        <f>IF(tabItens[[#This Row],[Média]] &gt; 0, tabItens[[#This Row],[QTDE ATUAL]] / tabItens[[#This Row],[Média]],999.9)</f>
        <v>50</v>
      </c>
      <c r="M747" s="311">
        <v>0</v>
      </c>
      <c r="N747" s="312">
        <f>tabItens[[#This Row],[VALOR UNIT.]] * tabItens[[#This Row],[LC]]</f>
        <v>0</v>
      </c>
      <c r="O747" s="313"/>
      <c r="P747" s="314"/>
      <c r="Q747" s="315"/>
      <c r="R747" s="312"/>
      <c r="S747" s="316"/>
      <c r="T747" s="317">
        <f>ROUNDDOWN(IFERROR(tabItens[[#This Row],[ATA DT.VALID.]] - $D$1,0) / 30,0)</f>
        <v>-1474</v>
      </c>
      <c r="U747" s="302" t="s">
        <v>1088</v>
      </c>
      <c r="V747" s="318">
        <v>1</v>
      </c>
      <c r="W747" s="319" t="s">
        <v>2077</v>
      </c>
      <c r="X747" s="320">
        <v>55</v>
      </c>
      <c r="Y747" s="321">
        <v>34</v>
      </c>
      <c r="Z747" s="322"/>
      <c r="AA747" s="323"/>
      <c r="AB747" s="324"/>
      <c r="AC747" s="324"/>
      <c r="AD747" s="323"/>
      <c r="AE747" s="324"/>
      <c r="AF747" s="317"/>
      <c r="AG747" s="325" t="s">
        <v>2072</v>
      </c>
      <c r="AH747" s="326"/>
      <c r="AI747" s="317">
        <v>10</v>
      </c>
      <c r="AJ747" s="326">
        <v>44855</v>
      </c>
      <c r="AK747" s="326" t="s">
        <v>889</v>
      </c>
      <c r="AL747" s="326">
        <v>44845</v>
      </c>
      <c r="AM747" s="316"/>
      <c r="AN747" s="305"/>
      <c r="AO747" s="327" t="str">
        <f>_xlfn.IFNA(IF(VLOOKUP(tabItens[[#This Row],[CÓDIGO]],tabExcluirDoEstoque[#Data],1,FALSE),"sim",""),"")</f>
        <v/>
      </c>
      <c r="AP747" s="328" t="str">
        <f ca="1">IF(OR(ISBLANK(tabItens[[#This Row],[ATA DT.VALID.]]),tabItens[[#This Row],[ATA DT.VALID.]]="",tabItens[[#This Row],[ATA DT.VALID.]]=" "),"",IF(TYPE(tabItens[[#This Row],[ATA DT.VALID.]])=1,ROUNDUP((tabItens[[#This Row],[ATA DT.VALID.]]-TODAY())/7,0),""))</f>
        <v/>
      </c>
      <c r="AQ747" s="329"/>
      <c r="AR747" s="330" t="str">
        <f>IF(ISBLANK(tabItens[[#This Row],[CÓDIGO]]),"",IFERROR(VLOOKUP(tabItens[[#This Row],[CÓDIGO]],Consumo!$C$2:$AC$862,26,FALSE),0))</f>
        <v>06.2023</v>
      </c>
      <c r="AS747" s="331">
        <f>SUMIF(Consumo!$C$3:$C$862,tabItens[[#This Row],[CÓDIGO]],Consumo!$N$3:$N$862) + SUMIF(Consumo!$C$3:$C$862,tabItens[[#This Row],[CÓDIGO]],Consumo!$O$3:$O$862) + SUMIF(Consumo!$C$3:$C$862,tabItens[[#This Row],[CÓDIGO]],Consumo!$P$3:$P$862) + SUMIF(Consumo!$C$3:$C$862,tabItens[[#This Row],[CÓDIGO]],Consumo!$Q$3:$Q$862)</f>
        <v>20</v>
      </c>
      <c r="AT747" s="331">
        <f>SUMIF(Consumo!$C$3:$C$862,tabItens[[#This Row],[CÓDIGO]],Consumo!$Z$3:$Z$862)</f>
        <v>30</v>
      </c>
      <c r="AU747" s="332">
        <f>SUMIF(Consumo!$C$3:$C$862,tabItens[[#This Row],[CÓDIGO]],Consumo!$AA$3:$AA$862)</f>
        <v>20</v>
      </c>
      <c r="AV747" s="333">
        <f>SUMIF(Consumo!$C$3:$C$862,tabItens[[#This Row],[CÓDIGO]],Consumo!$Y$3:$Y$862)</f>
        <v>2</v>
      </c>
      <c r="AW747" s="306">
        <f>tabItens[[#This Row],[QTDE ATUAL]] + tabItens[[#This Row],[RC QTDE]] + tabItens[[#This Row],[AF SALDO]] + tabItens[[#This Row],[Recentes]]</f>
        <v>100</v>
      </c>
      <c r="AX747" s="334">
        <v>5</v>
      </c>
      <c r="AY747" s="334">
        <v>4</v>
      </c>
      <c r="AZ747" s="334">
        <f>IF(ISBLANK(tabItens[[#This Row],[CÓDIGO]]),"",tabItens[[#This Row],[PontoMês]] * (AZ$2+tabItens[[#This Row],[PontoQtM]]))</f>
        <v>20</v>
      </c>
      <c r="BA747" s="333">
        <f>tabItens[[#This Row],[PontoPed]] - tabItens[[#This Row],[Saldo]] + (1/10)</f>
        <v>-79.900000000000006</v>
      </c>
      <c r="BB747" s="333">
        <f xml:space="preserve"> tabItens[[#This Row],[PontoMês]] * BB$2 - tabItens[[#This Row],[QTDE ATUAL]] - (1/10)</f>
        <v>-95.1</v>
      </c>
      <c r="BC747" s="335">
        <f>IF( tabItens[[#This Row],[PontoPed]]&gt;0, IF(tabItens[[#This Row],[PontoPed]]&lt;1, 1, IF( tabItens[[#This Row],[Saldo]]&gt;tabItens[[#This Row],[PontoPed]], 0, (tabItens[[#This Row],[PontoPed]]-tabItens[[#This Row],[Saldo]])/tabItens[[#This Row],[PontoPed]] ) ), 0 )</f>
        <v>0</v>
      </c>
      <c r="BD747" s="336">
        <f>ROUNDDOWN(IF( OR( AND(tabItens[[#This Row],[PontoPed]]&lt;tabItens[[#This Row],[Saldo]],tabItens[[#This Row],[Saldo]]&gt;0), tabItens[[#This Row],[PontoPed]]=0), 99, IF(AND(tabItens[[#This Row],[Saldo]]=0,tabItens[[#This Row],[PontoPed]]&gt;0), 0, (1-tabItens[[#This Row],[PctAb]])*10 ) ),0)</f>
        <v>99</v>
      </c>
      <c r="BE747" s="337">
        <f>MAX(ROUNDDOWN( IF(tabItens[[#This Row],[Abaixo]] &gt; 0,   tabItens[[#This Row],[Abaixo]] + (tabItens[[#This Row],[PontoMês]] * IF( OR( ISBLANK(tabItens[[#This Row],[ATA Nº/ANO]]), tabItens[[#This Row],[ATA Nº/ANO]] = ""),BE$2,BE$1)),0),0),0)</f>
        <v>0</v>
      </c>
      <c r="BF74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7" s="338">
        <f>SUMIF(Consumo!$C$3:$C$862,tabItens[[#This Row],[CÓDIGO]],Consumo!$E$3:$E$862)</f>
        <v>0</v>
      </c>
      <c r="BH747" s="339">
        <f>IF(AND(tabItens[[#This Row],[Pend]] &gt; 0,tabItens[[#This Row],[Consumo]] &lt;&gt; 0), tabItens[[#This Row],[Pend]] / tabItens[[#This Row],[Consumo]], 0 )</f>
        <v>0</v>
      </c>
      <c r="BI747" s="338"/>
      <c r="BJ747" s="338"/>
      <c r="BK747" s="340" t="s">
        <v>2086</v>
      </c>
    </row>
    <row r="748" spans="1:63" hidden="1" x14ac:dyDescent="0.3">
      <c r="A748" s="301">
        <v>15469</v>
      </c>
      <c r="B748" s="302" t="s">
        <v>1097</v>
      </c>
      <c r="C748" s="303" t="s">
        <v>263</v>
      </c>
      <c r="D748" s="304">
        <v>6.12</v>
      </c>
      <c r="E748" s="305"/>
      <c r="F748" s="305"/>
      <c r="G748" s="305" t="s">
        <v>889</v>
      </c>
      <c r="H748" s="306">
        <v>75</v>
      </c>
      <c r="I748" s="307">
        <v>103003</v>
      </c>
      <c r="J748" s="308">
        <v>6.12</v>
      </c>
      <c r="K748" s="309">
        <v>44</v>
      </c>
      <c r="L748" s="310">
        <f>IF(tabItens[[#This Row],[Média]] &gt; 0, tabItens[[#This Row],[QTDE ATUAL]] / tabItens[[#This Row],[Média]],999.9)</f>
        <v>23.684210526315791</v>
      </c>
      <c r="M748" s="311">
        <v>0</v>
      </c>
      <c r="N748" s="312">
        <f>tabItens[[#This Row],[VALOR UNIT.]] * tabItens[[#This Row],[LC]]</f>
        <v>0</v>
      </c>
      <c r="O748" s="313"/>
      <c r="P748" s="314"/>
      <c r="Q748" s="315"/>
      <c r="R748" s="312"/>
      <c r="S748" s="316"/>
      <c r="T748" s="317">
        <f>ROUNDDOWN(IFERROR(tabItens[[#This Row],[ATA DT.VALID.]] - $D$1,0) / 30,0)</f>
        <v>-1474</v>
      </c>
      <c r="U748" s="302" t="s">
        <v>1088</v>
      </c>
      <c r="V748" s="318">
        <v>1</v>
      </c>
      <c r="W748" s="319" t="s">
        <v>2077</v>
      </c>
      <c r="X748" s="320">
        <v>55</v>
      </c>
      <c r="Y748" s="321">
        <v>34</v>
      </c>
      <c r="Z748" s="322"/>
      <c r="AA748" s="323"/>
      <c r="AB748" s="324"/>
      <c r="AC748" s="324"/>
      <c r="AD748" s="323"/>
      <c r="AE748" s="324"/>
      <c r="AF748" s="317"/>
      <c r="AG748" s="325" t="s">
        <v>2072</v>
      </c>
      <c r="AH748" s="326"/>
      <c r="AI748" s="317">
        <v>16</v>
      </c>
      <c r="AJ748" s="326">
        <v>44068</v>
      </c>
      <c r="AK748" s="326" t="s">
        <v>889</v>
      </c>
      <c r="AL748" s="326">
        <v>44028</v>
      </c>
      <c r="AM748" s="316"/>
      <c r="AN748" s="305"/>
      <c r="AO748" s="327" t="str">
        <f>_xlfn.IFNA(IF(VLOOKUP(tabItens[[#This Row],[CÓDIGO]],tabExcluirDoEstoque[#Data],1,FALSE),"sim",""),"")</f>
        <v/>
      </c>
      <c r="AP748" s="328" t="str">
        <f ca="1">IF(OR(ISBLANK(tabItens[[#This Row],[ATA DT.VALID.]]),tabItens[[#This Row],[ATA DT.VALID.]]="",tabItens[[#This Row],[ATA DT.VALID.]]=" "),"",IF(TYPE(tabItens[[#This Row],[ATA DT.VALID.]])=1,ROUNDUP((tabItens[[#This Row],[ATA DT.VALID.]]-TODAY())/7,0),""))</f>
        <v/>
      </c>
      <c r="AQ748" s="329"/>
      <c r="AR748" s="330" t="str">
        <f>IF(ISBLANK(tabItens[[#This Row],[CÓDIGO]]),"",IFERROR(VLOOKUP(tabItens[[#This Row],[CÓDIGO]],Consumo!$C$2:$AC$862,26,FALSE),0))</f>
        <v>06.2023</v>
      </c>
      <c r="AS748" s="331">
        <f>SUMIF(Consumo!$C$3:$C$862,tabItens[[#This Row],[CÓDIGO]],Consumo!$N$3:$N$862) + SUMIF(Consumo!$C$3:$C$862,tabItens[[#This Row],[CÓDIGO]],Consumo!$O$3:$O$862) + SUMIF(Consumo!$C$3:$C$862,tabItens[[#This Row],[CÓDIGO]],Consumo!$P$3:$P$862) + SUMIF(Consumo!$C$3:$C$862,tabItens[[#This Row],[CÓDIGO]],Consumo!$Q$3:$Q$862)</f>
        <v>26</v>
      </c>
      <c r="AT748" s="331">
        <f>SUMIF(Consumo!$C$3:$C$862,tabItens[[#This Row],[CÓDIGO]],Consumo!$Z$3:$Z$862)</f>
        <v>44</v>
      </c>
      <c r="AU748" s="332">
        <f>SUMIF(Consumo!$C$3:$C$862,tabItens[[#This Row],[CÓDIGO]],Consumo!$AA$3:$AA$862)</f>
        <v>26</v>
      </c>
      <c r="AV748" s="333">
        <f>SUMIF(Consumo!$C$3:$C$862,tabItens[[#This Row],[CÓDIGO]],Consumo!$Y$3:$Y$862)</f>
        <v>3.1666666666666665</v>
      </c>
      <c r="AW748" s="306">
        <f>tabItens[[#This Row],[QTDE ATUAL]] + tabItens[[#This Row],[RC QTDE]] + tabItens[[#This Row],[AF SALDO]] + tabItens[[#This Row],[Recentes]]</f>
        <v>75</v>
      </c>
      <c r="AX748" s="334">
        <v>3</v>
      </c>
      <c r="AY748" s="334">
        <v>4</v>
      </c>
      <c r="AZ748" s="334">
        <f>IF(ISBLANK(tabItens[[#This Row],[CÓDIGO]]),"",tabItens[[#This Row],[PontoMês]] * (AZ$2+tabItens[[#This Row],[PontoQtM]]))</f>
        <v>12</v>
      </c>
      <c r="BA748" s="333">
        <f>tabItens[[#This Row],[PontoPed]] - tabItens[[#This Row],[Saldo]] + (1/10)</f>
        <v>-62.9</v>
      </c>
      <c r="BB748" s="333">
        <f xml:space="preserve"> tabItens[[#This Row],[PontoMês]] * BB$2 - tabItens[[#This Row],[QTDE ATUAL]] - (1/10)</f>
        <v>-72.099999999999994</v>
      </c>
      <c r="BC748" s="335">
        <f>IF( tabItens[[#This Row],[PontoPed]]&gt;0, IF(tabItens[[#This Row],[PontoPed]]&lt;1, 1, IF( tabItens[[#This Row],[Saldo]]&gt;tabItens[[#This Row],[PontoPed]], 0, (tabItens[[#This Row],[PontoPed]]-tabItens[[#This Row],[Saldo]])/tabItens[[#This Row],[PontoPed]] ) ), 0 )</f>
        <v>0</v>
      </c>
      <c r="BD748" s="336">
        <f>ROUNDDOWN(IF( OR( AND(tabItens[[#This Row],[PontoPed]]&lt;tabItens[[#This Row],[Saldo]],tabItens[[#This Row],[Saldo]]&gt;0), tabItens[[#This Row],[PontoPed]]=0), 99, IF(AND(tabItens[[#This Row],[Saldo]]=0,tabItens[[#This Row],[PontoPed]]&gt;0), 0, (1-tabItens[[#This Row],[PctAb]])*10 ) ),0)</f>
        <v>99</v>
      </c>
      <c r="BE748" s="337">
        <f>MAX(ROUNDDOWN( IF(tabItens[[#This Row],[Abaixo]] &gt; 0,   tabItens[[#This Row],[Abaixo]] + (tabItens[[#This Row],[PontoMês]] * IF( OR( ISBLANK(tabItens[[#This Row],[ATA Nº/ANO]]), tabItens[[#This Row],[ATA Nº/ANO]] = ""),BE$2,BE$1)),0),0),0)</f>
        <v>0</v>
      </c>
      <c r="BF74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8" s="338">
        <f>SUMIF(Consumo!$C$3:$C$862,tabItens[[#This Row],[CÓDIGO]],Consumo!$E$3:$E$862)</f>
        <v>0</v>
      </c>
      <c r="BH748" s="339">
        <f>IF(AND(tabItens[[#This Row],[Pend]] &gt; 0,tabItens[[#This Row],[Consumo]] &lt;&gt; 0), tabItens[[#This Row],[Pend]] / tabItens[[#This Row],[Consumo]], 0 )</f>
        <v>0</v>
      </c>
      <c r="BI748" s="338"/>
      <c r="BJ748" s="338"/>
      <c r="BK748" s="340" t="s">
        <v>2086</v>
      </c>
    </row>
    <row r="749" spans="1:63" hidden="1" x14ac:dyDescent="0.3">
      <c r="A749" s="301">
        <v>15648</v>
      </c>
      <c r="B749" s="302" t="s">
        <v>1102</v>
      </c>
      <c r="C749" s="303" t="s">
        <v>263</v>
      </c>
      <c r="D749" s="304">
        <v>3.24</v>
      </c>
      <c r="E749" s="305"/>
      <c r="F749" s="305"/>
      <c r="G749" s="305" t="s">
        <v>889</v>
      </c>
      <c r="H749" s="306">
        <v>36</v>
      </c>
      <c r="I749" s="307">
        <v>103003</v>
      </c>
      <c r="J749" s="308">
        <v>3.24</v>
      </c>
      <c r="K749" s="309">
        <v>22</v>
      </c>
      <c r="L749" s="310">
        <f>IF(tabItens[[#This Row],[Média]] &gt; 0, tabItens[[#This Row],[QTDE ATUAL]] / tabItens[[#This Row],[Média]],999.9)</f>
        <v>21.599999999999998</v>
      </c>
      <c r="M749" s="311">
        <v>0</v>
      </c>
      <c r="N749" s="312">
        <f>tabItens[[#This Row],[VALOR UNIT.]] * tabItens[[#This Row],[LC]]</f>
        <v>0</v>
      </c>
      <c r="O749" s="313"/>
      <c r="P749" s="314"/>
      <c r="Q749" s="315"/>
      <c r="R749" s="312"/>
      <c r="S749" s="316"/>
      <c r="T749" s="317">
        <f>ROUNDDOWN(IFERROR(tabItens[[#This Row],[ATA DT.VALID.]] - $D$1,0) / 30,0)</f>
        <v>-1474</v>
      </c>
      <c r="U749" s="302" t="s">
        <v>1103</v>
      </c>
      <c r="V749" s="318">
        <v>1</v>
      </c>
      <c r="W749" s="319" t="s">
        <v>2077</v>
      </c>
      <c r="X749" s="320">
        <v>55</v>
      </c>
      <c r="Y749" s="321">
        <v>35</v>
      </c>
      <c r="Z749" s="322">
        <v>2442</v>
      </c>
      <c r="AA749" s="323">
        <v>2023</v>
      </c>
      <c r="AB749" s="324">
        <v>10</v>
      </c>
      <c r="AC749" s="324"/>
      <c r="AD749" s="323"/>
      <c r="AE749" s="324"/>
      <c r="AF749" s="317"/>
      <c r="AG749" s="325" t="s">
        <v>2072</v>
      </c>
      <c r="AH749" s="326"/>
      <c r="AI749" s="317">
        <v>8</v>
      </c>
      <c r="AJ749" s="326">
        <v>43916</v>
      </c>
      <c r="AK749" s="326" t="s">
        <v>889</v>
      </c>
      <c r="AL749" s="326">
        <v>43865</v>
      </c>
      <c r="AM749" s="316"/>
      <c r="AN749" s="305"/>
      <c r="AO749" s="327" t="str">
        <f>_xlfn.IFNA(IF(VLOOKUP(tabItens[[#This Row],[CÓDIGO]],tabExcluirDoEstoque[#Data],1,FALSE),"sim",""),"")</f>
        <v/>
      </c>
      <c r="AP749" s="328" t="str">
        <f ca="1">IF(OR(ISBLANK(tabItens[[#This Row],[ATA DT.VALID.]]),tabItens[[#This Row],[ATA DT.VALID.]]="",tabItens[[#This Row],[ATA DT.VALID.]]=" "),"",IF(TYPE(tabItens[[#This Row],[ATA DT.VALID.]])=1,ROUNDUP((tabItens[[#This Row],[ATA DT.VALID.]]-TODAY())/7,0),""))</f>
        <v/>
      </c>
      <c r="AQ749" s="329"/>
      <c r="AR749" s="330" t="str">
        <f>IF(ISBLANK(tabItens[[#This Row],[CÓDIGO]]),"",IFERROR(VLOOKUP(tabItens[[#This Row],[CÓDIGO]],Consumo!$C$2:$AC$862,26,FALSE),0))</f>
        <v>01.2023</v>
      </c>
      <c r="AS749" s="331">
        <f>SUMIF(Consumo!$C$3:$C$862,tabItens[[#This Row],[CÓDIGO]],Consumo!$N$3:$N$862) + SUMIF(Consumo!$C$3:$C$862,tabItens[[#This Row],[CÓDIGO]],Consumo!$O$3:$O$862) + SUMIF(Consumo!$C$3:$C$862,tabItens[[#This Row],[CÓDIGO]],Consumo!$P$3:$P$862) + SUMIF(Consumo!$C$3:$C$862,tabItens[[#This Row],[CÓDIGO]],Consumo!$Q$3:$Q$862)</f>
        <v>0</v>
      </c>
      <c r="AT749" s="331">
        <f>SUMIF(Consumo!$C$3:$C$862,tabItens[[#This Row],[CÓDIGO]],Consumo!$Z$3:$Z$862)</f>
        <v>22</v>
      </c>
      <c r="AU749" s="332">
        <f>SUMIF(Consumo!$C$3:$C$862,tabItens[[#This Row],[CÓDIGO]],Consumo!$AA$3:$AA$862)</f>
        <v>12</v>
      </c>
      <c r="AV749" s="333">
        <f>SUMIF(Consumo!$C$3:$C$862,tabItens[[#This Row],[CÓDIGO]],Consumo!$Y$3:$Y$862)</f>
        <v>1.6666666666666667</v>
      </c>
      <c r="AW749" s="306">
        <f>tabItens[[#This Row],[QTDE ATUAL]] + tabItens[[#This Row],[RC QTDE]] + tabItens[[#This Row],[AF SALDO]] + tabItens[[#This Row],[Recentes]]</f>
        <v>46</v>
      </c>
      <c r="AX749" s="334">
        <v>0</v>
      </c>
      <c r="AY749" s="334">
        <v>4</v>
      </c>
      <c r="AZ749" s="334">
        <f>IF(ISBLANK(tabItens[[#This Row],[CÓDIGO]]),"",tabItens[[#This Row],[PontoMês]] * (AZ$2+tabItens[[#This Row],[PontoQtM]]))</f>
        <v>0</v>
      </c>
      <c r="BA749" s="333">
        <f>tabItens[[#This Row],[PontoPed]] - tabItens[[#This Row],[Saldo]] + (1/10)</f>
        <v>-45.9</v>
      </c>
      <c r="BB749" s="333">
        <f xml:space="preserve"> tabItens[[#This Row],[PontoMês]] * BB$2 - tabItens[[#This Row],[QTDE ATUAL]] - (1/10)</f>
        <v>-36.1</v>
      </c>
      <c r="BC749" s="335">
        <f>IF( tabItens[[#This Row],[PontoPed]]&gt;0, IF(tabItens[[#This Row],[PontoPed]]&lt;1, 1, IF( tabItens[[#This Row],[Saldo]]&gt;tabItens[[#This Row],[PontoPed]], 0, (tabItens[[#This Row],[PontoPed]]-tabItens[[#This Row],[Saldo]])/tabItens[[#This Row],[PontoPed]] ) ), 0 )</f>
        <v>0</v>
      </c>
      <c r="BD749" s="336">
        <f>ROUNDDOWN(IF( OR( AND(tabItens[[#This Row],[PontoPed]]&lt;tabItens[[#This Row],[Saldo]],tabItens[[#This Row],[Saldo]]&gt;0), tabItens[[#This Row],[PontoPed]]=0), 99, IF(AND(tabItens[[#This Row],[Saldo]]=0,tabItens[[#This Row],[PontoPed]]&gt;0), 0, (1-tabItens[[#This Row],[PctAb]])*10 ) ),0)</f>
        <v>99</v>
      </c>
      <c r="BE749" s="337">
        <f>MAX(ROUNDDOWN( IF(tabItens[[#This Row],[Abaixo]] &gt; 0,   tabItens[[#This Row],[Abaixo]] + (tabItens[[#This Row],[PontoMês]] * IF( OR( ISBLANK(tabItens[[#This Row],[ATA Nº/ANO]]), tabItens[[#This Row],[ATA Nº/ANO]] = ""),BE$2,BE$1)),0),0),0)</f>
        <v>0</v>
      </c>
      <c r="BF74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9" s="338">
        <f>SUMIF(Consumo!$C$3:$C$862,tabItens[[#This Row],[CÓDIGO]],Consumo!$E$3:$E$862)</f>
        <v>0</v>
      </c>
      <c r="BH749" s="339">
        <f>IF(AND(tabItens[[#This Row],[Pend]] &gt; 0,tabItens[[#This Row],[Consumo]] &lt;&gt; 0), tabItens[[#This Row],[Pend]] / tabItens[[#This Row],[Consumo]], 0 )</f>
        <v>0</v>
      </c>
      <c r="BI749" s="338"/>
      <c r="BJ749" s="338"/>
      <c r="BK749" s="340" t="s">
        <v>2086</v>
      </c>
    </row>
    <row r="750" spans="1:63" hidden="1" x14ac:dyDescent="0.3">
      <c r="A750" s="301">
        <v>110892</v>
      </c>
      <c r="B750" s="302" t="s">
        <v>1677</v>
      </c>
      <c r="C750" s="303" t="s">
        <v>263</v>
      </c>
      <c r="D750" s="304">
        <v>9.9</v>
      </c>
      <c r="E750" s="305"/>
      <c r="F750" s="305"/>
      <c r="G750" s="305" t="s">
        <v>889</v>
      </c>
      <c r="H750" s="306">
        <v>154</v>
      </c>
      <c r="I750" s="307">
        <v>103003</v>
      </c>
      <c r="J750" s="308">
        <v>9.9</v>
      </c>
      <c r="K750" s="309">
        <v>35</v>
      </c>
      <c r="L750" s="310">
        <f>IF(tabItens[[#This Row],[Média]] &gt; 0, tabItens[[#This Row],[QTDE ATUAL]] / tabItens[[#This Row],[Média]],999.9)</f>
        <v>61.6</v>
      </c>
      <c r="M750" s="311">
        <v>0</v>
      </c>
      <c r="N750" s="312">
        <f>tabItens[[#This Row],[VALOR UNIT.]] * tabItens[[#This Row],[LC]]</f>
        <v>0</v>
      </c>
      <c r="O750" s="313"/>
      <c r="P750" s="314"/>
      <c r="Q750" s="315"/>
      <c r="R750" s="312"/>
      <c r="S750" s="316"/>
      <c r="T750" s="317">
        <f>ROUNDDOWN(IFERROR(tabItens[[#This Row],[ATA DT.VALID.]] - $D$1,0) / 30,0)</f>
        <v>-1474</v>
      </c>
      <c r="U750" s="302" t="s">
        <v>1103</v>
      </c>
      <c r="V750" s="318">
        <v>1</v>
      </c>
      <c r="W750" s="319" t="s">
        <v>2077</v>
      </c>
      <c r="X750" s="320">
        <v>55</v>
      </c>
      <c r="Y750" s="321">
        <v>35</v>
      </c>
      <c r="Z750" s="322"/>
      <c r="AA750" s="323"/>
      <c r="AB750" s="324"/>
      <c r="AC750" s="324"/>
      <c r="AD750" s="323"/>
      <c r="AE750" s="324"/>
      <c r="AF750" s="317"/>
      <c r="AG750" s="325" t="s">
        <v>2072</v>
      </c>
      <c r="AH750" s="326"/>
      <c r="AI750" s="317">
        <v>12</v>
      </c>
      <c r="AJ750" s="326">
        <v>41577</v>
      </c>
      <c r="AK750" s="326">
        <v>39944</v>
      </c>
      <c r="AL750" s="326">
        <v>43859</v>
      </c>
      <c r="AM750" s="316"/>
      <c r="AN750" s="305"/>
      <c r="AO750" s="327" t="str">
        <f>_xlfn.IFNA(IF(VLOOKUP(tabItens[[#This Row],[CÓDIGO]],tabExcluirDoEstoque[#Data],1,FALSE),"sim",""),"")</f>
        <v/>
      </c>
      <c r="AP750" s="328" t="str">
        <f ca="1">IF(OR(ISBLANK(tabItens[[#This Row],[ATA DT.VALID.]]),tabItens[[#This Row],[ATA DT.VALID.]]="",tabItens[[#This Row],[ATA DT.VALID.]]=" "),"",IF(TYPE(tabItens[[#This Row],[ATA DT.VALID.]])=1,ROUNDUP((tabItens[[#This Row],[ATA DT.VALID.]]-TODAY())/7,0),""))</f>
        <v/>
      </c>
      <c r="AQ750" s="329"/>
      <c r="AR750" s="330" t="str">
        <f>IF(ISBLANK(tabItens[[#This Row],[CÓDIGO]]),"",IFERROR(VLOOKUP(tabItens[[#This Row],[CÓDIGO]],Consumo!$C$2:$AC$862,26,FALSE),0))</f>
        <v>06.2023</v>
      </c>
      <c r="AS750" s="331">
        <f>SUMIF(Consumo!$C$3:$C$862,tabItens[[#This Row],[CÓDIGO]],Consumo!$N$3:$N$862) + SUMIF(Consumo!$C$3:$C$862,tabItens[[#This Row],[CÓDIGO]],Consumo!$O$3:$O$862) + SUMIF(Consumo!$C$3:$C$862,tabItens[[#This Row],[CÓDIGO]],Consumo!$P$3:$P$862) + SUMIF(Consumo!$C$3:$C$862,tabItens[[#This Row],[CÓDIGO]],Consumo!$Q$3:$Q$862)</f>
        <v>10</v>
      </c>
      <c r="AT750" s="331">
        <f>SUMIF(Consumo!$C$3:$C$862,tabItens[[#This Row],[CÓDIGO]],Consumo!$Z$3:$Z$862)</f>
        <v>35</v>
      </c>
      <c r="AU750" s="332">
        <f>SUMIF(Consumo!$C$3:$C$862,tabItens[[#This Row],[CÓDIGO]],Consumo!$AA$3:$AA$862)</f>
        <v>19</v>
      </c>
      <c r="AV750" s="333">
        <f>SUMIF(Consumo!$C$3:$C$862,tabItens[[#This Row],[CÓDIGO]],Consumo!$Y$3:$Y$862)</f>
        <v>2.5</v>
      </c>
      <c r="AW750" s="306">
        <f>tabItens[[#This Row],[QTDE ATUAL]] + tabItens[[#This Row],[RC QTDE]] + tabItens[[#This Row],[AF SALDO]] + tabItens[[#This Row],[Recentes]]</f>
        <v>154</v>
      </c>
      <c r="AX750" s="334">
        <v>0</v>
      </c>
      <c r="AY750" s="334">
        <v>4</v>
      </c>
      <c r="AZ750" s="334">
        <f>IF(ISBLANK(tabItens[[#This Row],[CÓDIGO]]),"",tabItens[[#This Row],[PontoMês]] * (AZ$2+tabItens[[#This Row],[PontoQtM]]))</f>
        <v>0</v>
      </c>
      <c r="BA750" s="333">
        <f>tabItens[[#This Row],[PontoPed]] - tabItens[[#This Row],[Saldo]] + (1/10)</f>
        <v>-153.9</v>
      </c>
      <c r="BB750" s="333">
        <f xml:space="preserve"> tabItens[[#This Row],[PontoMês]] * BB$2 - tabItens[[#This Row],[QTDE ATUAL]] - (1/10)</f>
        <v>-154.1</v>
      </c>
      <c r="BC750" s="335">
        <f>IF( tabItens[[#This Row],[PontoPed]]&gt;0, IF(tabItens[[#This Row],[PontoPed]]&lt;1, 1, IF( tabItens[[#This Row],[Saldo]]&gt;tabItens[[#This Row],[PontoPed]], 0, (tabItens[[#This Row],[PontoPed]]-tabItens[[#This Row],[Saldo]])/tabItens[[#This Row],[PontoPed]] ) ), 0 )</f>
        <v>0</v>
      </c>
      <c r="BD750" s="336">
        <f>ROUNDDOWN(IF( OR( AND(tabItens[[#This Row],[PontoPed]]&lt;tabItens[[#This Row],[Saldo]],tabItens[[#This Row],[Saldo]]&gt;0), tabItens[[#This Row],[PontoPed]]=0), 99, IF(AND(tabItens[[#This Row],[Saldo]]=0,tabItens[[#This Row],[PontoPed]]&gt;0), 0, (1-tabItens[[#This Row],[PctAb]])*10 ) ),0)</f>
        <v>99</v>
      </c>
      <c r="BE750" s="337">
        <f>MAX(ROUNDDOWN( IF(tabItens[[#This Row],[Abaixo]] &gt; 0,   tabItens[[#This Row],[Abaixo]] + (tabItens[[#This Row],[PontoMês]] * IF( OR( ISBLANK(tabItens[[#This Row],[ATA Nº/ANO]]), tabItens[[#This Row],[ATA Nº/ANO]] = ""),BE$2,BE$1)),0),0),0)</f>
        <v>0</v>
      </c>
      <c r="BF75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0" s="338">
        <f>SUMIF(Consumo!$C$3:$C$862,tabItens[[#This Row],[CÓDIGO]],Consumo!$E$3:$E$862)</f>
        <v>0</v>
      </c>
      <c r="BH750" s="339">
        <f>IF(AND(tabItens[[#This Row],[Pend]] &gt; 0,tabItens[[#This Row],[Consumo]] &lt;&gt; 0), tabItens[[#This Row],[Pend]] / tabItens[[#This Row],[Consumo]], 0 )</f>
        <v>0</v>
      </c>
      <c r="BI750" s="338"/>
      <c r="BJ750" s="338"/>
      <c r="BK750" s="340" t="s">
        <v>2086</v>
      </c>
    </row>
    <row r="751" spans="1:63" hidden="1" x14ac:dyDescent="0.3">
      <c r="A751" s="301">
        <v>110893</v>
      </c>
      <c r="B751" s="302" t="s">
        <v>1678</v>
      </c>
      <c r="C751" s="303" t="s">
        <v>263</v>
      </c>
      <c r="D751" s="304">
        <v>8</v>
      </c>
      <c r="E751" s="305"/>
      <c r="F751" s="305"/>
      <c r="G751" s="305" t="s">
        <v>889</v>
      </c>
      <c r="H751" s="306">
        <v>119</v>
      </c>
      <c r="I751" s="307">
        <v>103003</v>
      </c>
      <c r="J751" s="308">
        <v>8</v>
      </c>
      <c r="K751" s="309">
        <v>35</v>
      </c>
      <c r="L751" s="310">
        <f>IF(tabItens[[#This Row],[Média]] &gt; 0, tabItens[[#This Row],[QTDE ATUAL]] / tabItens[[#This Row],[Média]],999.9)</f>
        <v>47.6</v>
      </c>
      <c r="M751" s="311">
        <v>0</v>
      </c>
      <c r="N751" s="312">
        <f>tabItens[[#This Row],[VALOR UNIT.]] * tabItens[[#This Row],[LC]]</f>
        <v>0</v>
      </c>
      <c r="O751" s="313"/>
      <c r="P751" s="314"/>
      <c r="Q751" s="315"/>
      <c r="R751" s="312"/>
      <c r="S751" s="316"/>
      <c r="T751" s="317">
        <f>ROUNDDOWN(IFERROR(tabItens[[#This Row],[ATA DT.VALID.]] - $D$1,0) / 30,0)</f>
        <v>-1474</v>
      </c>
      <c r="U751" s="302" t="s">
        <v>1103</v>
      </c>
      <c r="V751" s="318">
        <v>1</v>
      </c>
      <c r="W751" s="319" t="s">
        <v>2077</v>
      </c>
      <c r="X751" s="320">
        <v>55</v>
      </c>
      <c r="Y751" s="321">
        <v>35</v>
      </c>
      <c r="Z751" s="322">
        <v>2956</v>
      </c>
      <c r="AA751" s="323">
        <v>2023</v>
      </c>
      <c r="AB751" s="324">
        <v>40</v>
      </c>
      <c r="AC751" s="324"/>
      <c r="AD751" s="323"/>
      <c r="AE751" s="324"/>
      <c r="AF751" s="317"/>
      <c r="AG751" s="325" t="s">
        <v>2072</v>
      </c>
      <c r="AH751" s="326"/>
      <c r="AI751" s="317">
        <v>12</v>
      </c>
      <c r="AJ751" s="326">
        <v>44348</v>
      </c>
      <c r="AK751" s="326">
        <v>39944</v>
      </c>
      <c r="AL751" s="326">
        <v>44333</v>
      </c>
      <c r="AM751" s="316"/>
      <c r="AN751" s="305"/>
      <c r="AO751" s="327" t="str">
        <f>_xlfn.IFNA(IF(VLOOKUP(tabItens[[#This Row],[CÓDIGO]],tabExcluirDoEstoque[#Data],1,FALSE),"sim",""),"")</f>
        <v/>
      </c>
      <c r="AP751" s="328" t="str">
        <f ca="1">IF(OR(ISBLANK(tabItens[[#This Row],[ATA DT.VALID.]]),tabItens[[#This Row],[ATA DT.VALID.]]="",tabItens[[#This Row],[ATA DT.VALID.]]=" "),"",IF(TYPE(tabItens[[#This Row],[ATA DT.VALID.]])=1,ROUNDUP((tabItens[[#This Row],[ATA DT.VALID.]]-TODAY())/7,0),""))</f>
        <v/>
      </c>
      <c r="AQ751" s="329"/>
      <c r="AR751" s="330" t="str">
        <f>IF(ISBLANK(tabItens[[#This Row],[CÓDIGO]]),"",IFERROR(VLOOKUP(tabItens[[#This Row],[CÓDIGO]],Consumo!$C$2:$AC$862,26,FALSE),0))</f>
        <v>06.2023</v>
      </c>
      <c r="AS751" s="331">
        <f>SUMIF(Consumo!$C$3:$C$862,tabItens[[#This Row],[CÓDIGO]],Consumo!$N$3:$N$862) + SUMIF(Consumo!$C$3:$C$862,tabItens[[#This Row],[CÓDIGO]],Consumo!$O$3:$O$862) + SUMIF(Consumo!$C$3:$C$862,tabItens[[#This Row],[CÓDIGO]],Consumo!$P$3:$P$862) + SUMIF(Consumo!$C$3:$C$862,tabItens[[#This Row],[CÓDIGO]],Consumo!$Q$3:$Q$862)</f>
        <v>20</v>
      </c>
      <c r="AT751" s="331">
        <f>SUMIF(Consumo!$C$3:$C$862,tabItens[[#This Row],[CÓDIGO]],Consumo!$Z$3:$Z$862)</f>
        <v>35</v>
      </c>
      <c r="AU751" s="332">
        <f>SUMIF(Consumo!$C$3:$C$862,tabItens[[#This Row],[CÓDIGO]],Consumo!$AA$3:$AA$862)</f>
        <v>20</v>
      </c>
      <c r="AV751" s="333">
        <f>SUMIF(Consumo!$C$3:$C$862,tabItens[[#This Row],[CÓDIGO]],Consumo!$Y$3:$Y$862)</f>
        <v>2.5</v>
      </c>
      <c r="AW751" s="306">
        <f>tabItens[[#This Row],[QTDE ATUAL]] + tabItens[[#This Row],[RC QTDE]] + tabItens[[#This Row],[AF SALDO]] + tabItens[[#This Row],[Recentes]]</f>
        <v>159</v>
      </c>
      <c r="AX751" s="334">
        <v>0</v>
      </c>
      <c r="AY751" s="334">
        <v>4</v>
      </c>
      <c r="AZ751" s="334">
        <f>IF(ISBLANK(tabItens[[#This Row],[CÓDIGO]]),"",tabItens[[#This Row],[PontoMês]] * (AZ$2+tabItens[[#This Row],[PontoQtM]]))</f>
        <v>0</v>
      </c>
      <c r="BA751" s="333">
        <f>tabItens[[#This Row],[PontoPed]] - tabItens[[#This Row],[Saldo]] + (1/10)</f>
        <v>-158.9</v>
      </c>
      <c r="BB751" s="333">
        <f xml:space="preserve"> tabItens[[#This Row],[PontoMês]] * BB$2 - tabItens[[#This Row],[QTDE ATUAL]] - (1/10)</f>
        <v>-119.1</v>
      </c>
      <c r="BC751" s="335">
        <f>IF( tabItens[[#This Row],[PontoPed]]&gt;0, IF(tabItens[[#This Row],[PontoPed]]&lt;1, 1, IF( tabItens[[#This Row],[Saldo]]&gt;tabItens[[#This Row],[PontoPed]], 0, (tabItens[[#This Row],[PontoPed]]-tabItens[[#This Row],[Saldo]])/tabItens[[#This Row],[PontoPed]] ) ), 0 )</f>
        <v>0</v>
      </c>
      <c r="BD751" s="336">
        <f>ROUNDDOWN(IF( OR( AND(tabItens[[#This Row],[PontoPed]]&lt;tabItens[[#This Row],[Saldo]],tabItens[[#This Row],[Saldo]]&gt;0), tabItens[[#This Row],[PontoPed]]=0), 99, IF(AND(tabItens[[#This Row],[Saldo]]=0,tabItens[[#This Row],[PontoPed]]&gt;0), 0, (1-tabItens[[#This Row],[PctAb]])*10 ) ),0)</f>
        <v>99</v>
      </c>
      <c r="BE751" s="337">
        <f>MAX(ROUNDDOWN( IF(tabItens[[#This Row],[Abaixo]] &gt; 0,   tabItens[[#This Row],[Abaixo]] + (tabItens[[#This Row],[PontoMês]] * IF( OR( ISBLANK(tabItens[[#This Row],[ATA Nº/ANO]]), tabItens[[#This Row],[ATA Nº/ANO]] = ""),BE$2,BE$1)),0),0),0)</f>
        <v>0</v>
      </c>
      <c r="BF75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1" s="338">
        <f>SUMIF(Consumo!$C$3:$C$862,tabItens[[#This Row],[CÓDIGO]],Consumo!$E$3:$E$862)</f>
        <v>0</v>
      </c>
      <c r="BH751" s="339">
        <f>IF(AND(tabItens[[#This Row],[Pend]] &gt; 0,tabItens[[#This Row],[Consumo]] &lt;&gt; 0), tabItens[[#This Row],[Pend]] / tabItens[[#This Row],[Consumo]], 0 )</f>
        <v>0</v>
      </c>
      <c r="BI751" s="338"/>
      <c r="BJ751" s="338"/>
      <c r="BK751" s="340" t="s">
        <v>2086</v>
      </c>
    </row>
    <row r="752" spans="1:63" hidden="1" x14ac:dyDescent="0.3">
      <c r="A752" s="301">
        <v>112494</v>
      </c>
      <c r="B752" s="302" t="s">
        <v>1695</v>
      </c>
      <c r="C752" s="303" t="s">
        <v>31</v>
      </c>
      <c r="D752" s="304">
        <v>4.8</v>
      </c>
      <c r="E752" s="305"/>
      <c r="F752" s="305"/>
      <c r="G752" s="305" t="s">
        <v>889</v>
      </c>
      <c r="H752" s="306">
        <v>376</v>
      </c>
      <c r="I752" s="307">
        <v>103003</v>
      </c>
      <c r="J752" s="308">
        <v>4.8</v>
      </c>
      <c r="K752" s="309">
        <v>57</v>
      </c>
      <c r="L752" s="310">
        <f>IF(tabItens[[#This Row],[Média]] &gt; 0, tabItens[[#This Row],[QTDE ATUAL]] / tabItens[[#This Row],[Média]],999.9)</f>
        <v>86.769230769230774</v>
      </c>
      <c r="M752" s="311">
        <v>0</v>
      </c>
      <c r="N752" s="312">
        <f>tabItens[[#This Row],[VALOR UNIT.]] * tabItens[[#This Row],[LC]]</f>
        <v>0</v>
      </c>
      <c r="O752" s="313"/>
      <c r="P752" s="314"/>
      <c r="Q752" s="315"/>
      <c r="R752" s="312"/>
      <c r="S752" s="316"/>
      <c r="T752" s="317">
        <f>ROUNDDOWN(IFERROR(tabItens[[#This Row],[ATA DT.VALID.]] - $D$1,0) / 30,0)</f>
        <v>-1474</v>
      </c>
      <c r="U752" s="302" t="s">
        <v>1103</v>
      </c>
      <c r="V752" s="318">
        <v>1</v>
      </c>
      <c r="W752" s="319" t="s">
        <v>2077</v>
      </c>
      <c r="X752" s="320">
        <v>55</v>
      </c>
      <c r="Y752" s="321">
        <v>35</v>
      </c>
      <c r="Z752" s="322"/>
      <c r="AA752" s="323"/>
      <c r="AB752" s="324"/>
      <c r="AC752" s="324"/>
      <c r="AD752" s="323"/>
      <c r="AE752" s="324"/>
      <c r="AF752" s="317"/>
      <c r="AG752" s="325" t="s">
        <v>2072</v>
      </c>
      <c r="AH752" s="326"/>
      <c r="AI752" s="317">
        <v>20</v>
      </c>
      <c r="AJ752" s="326">
        <v>44536</v>
      </c>
      <c r="AK752" s="326">
        <v>40064</v>
      </c>
      <c r="AL752" s="326">
        <v>44516</v>
      </c>
      <c r="AM752" s="316"/>
      <c r="AN752" s="305"/>
      <c r="AO752" s="327" t="str">
        <f>_xlfn.IFNA(IF(VLOOKUP(tabItens[[#This Row],[CÓDIGO]],tabExcluirDoEstoque[#Data],1,FALSE),"sim",""),"")</f>
        <v/>
      </c>
      <c r="AP752" s="328" t="str">
        <f ca="1">IF(OR(ISBLANK(tabItens[[#This Row],[ATA DT.VALID.]]),tabItens[[#This Row],[ATA DT.VALID.]]="",tabItens[[#This Row],[ATA DT.VALID.]]=" "),"",IF(TYPE(tabItens[[#This Row],[ATA DT.VALID.]])=1,ROUNDUP((tabItens[[#This Row],[ATA DT.VALID.]]-TODAY())/7,0),""))</f>
        <v/>
      </c>
      <c r="AQ752" s="329"/>
      <c r="AR752" s="330" t="str">
        <f>IF(ISBLANK(tabItens[[#This Row],[CÓDIGO]]),"",IFERROR(VLOOKUP(tabItens[[#This Row],[CÓDIGO]],Consumo!$C$2:$AC$862,26,FALSE),0))</f>
        <v>06.2023</v>
      </c>
      <c r="AS752" s="331">
        <f>SUMIF(Consumo!$C$3:$C$862,tabItens[[#This Row],[CÓDIGO]],Consumo!$N$3:$N$862) + SUMIF(Consumo!$C$3:$C$862,tabItens[[#This Row],[CÓDIGO]],Consumo!$O$3:$O$862) + SUMIF(Consumo!$C$3:$C$862,tabItens[[#This Row],[CÓDIGO]],Consumo!$P$3:$P$862) + SUMIF(Consumo!$C$3:$C$862,tabItens[[#This Row],[CÓDIGO]],Consumo!$Q$3:$Q$862)</f>
        <v>20</v>
      </c>
      <c r="AT752" s="331">
        <f>SUMIF(Consumo!$C$3:$C$862,tabItens[[#This Row],[CÓDIGO]],Consumo!$Z$3:$Z$862)</f>
        <v>57</v>
      </c>
      <c r="AU752" s="332">
        <f>SUMIF(Consumo!$C$3:$C$862,tabItens[[#This Row],[CÓDIGO]],Consumo!$AA$3:$AA$862)</f>
        <v>28</v>
      </c>
      <c r="AV752" s="333">
        <f>SUMIF(Consumo!$C$3:$C$862,tabItens[[#This Row],[CÓDIGO]],Consumo!$Y$3:$Y$862)</f>
        <v>4.333333333333333</v>
      </c>
      <c r="AW752" s="306">
        <f>tabItens[[#This Row],[QTDE ATUAL]] + tabItens[[#This Row],[RC QTDE]] + tabItens[[#This Row],[AF SALDO]] + tabItens[[#This Row],[Recentes]]</f>
        <v>376</v>
      </c>
      <c r="AX752" s="334">
        <v>3</v>
      </c>
      <c r="AY752" s="334">
        <v>4</v>
      </c>
      <c r="AZ752" s="334">
        <f>IF(ISBLANK(tabItens[[#This Row],[CÓDIGO]]),"",tabItens[[#This Row],[PontoMês]] * (AZ$2+tabItens[[#This Row],[PontoQtM]]))</f>
        <v>12</v>
      </c>
      <c r="BA752" s="333">
        <f>tabItens[[#This Row],[PontoPed]] - tabItens[[#This Row],[Saldo]] + (1/10)</f>
        <v>-363.9</v>
      </c>
      <c r="BB752" s="333">
        <f xml:space="preserve"> tabItens[[#This Row],[PontoMês]] * BB$2 - tabItens[[#This Row],[QTDE ATUAL]] - (1/10)</f>
        <v>-373.1</v>
      </c>
      <c r="BC752" s="335">
        <f>IF( tabItens[[#This Row],[PontoPed]]&gt;0, IF(tabItens[[#This Row],[PontoPed]]&lt;1, 1, IF( tabItens[[#This Row],[Saldo]]&gt;tabItens[[#This Row],[PontoPed]], 0, (tabItens[[#This Row],[PontoPed]]-tabItens[[#This Row],[Saldo]])/tabItens[[#This Row],[PontoPed]] ) ), 0 )</f>
        <v>0</v>
      </c>
      <c r="BD752" s="336">
        <f>ROUNDDOWN(IF( OR( AND(tabItens[[#This Row],[PontoPed]]&lt;tabItens[[#This Row],[Saldo]],tabItens[[#This Row],[Saldo]]&gt;0), tabItens[[#This Row],[PontoPed]]=0), 99, IF(AND(tabItens[[#This Row],[Saldo]]=0,tabItens[[#This Row],[PontoPed]]&gt;0), 0, (1-tabItens[[#This Row],[PctAb]])*10 ) ),0)</f>
        <v>99</v>
      </c>
      <c r="BE752" s="337">
        <f>MAX(ROUNDDOWN( IF(tabItens[[#This Row],[Abaixo]] &gt; 0,   tabItens[[#This Row],[Abaixo]] + (tabItens[[#This Row],[PontoMês]] * IF( OR( ISBLANK(tabItens[[#This Row],[ATA Nº/ANO]]), tabItens[[#This Row],[ATA Nº/ANO]] = ""),BE$2,BE$1)),0),0),0)</f>
        <v>0</v>
      </c>
      <c r="BF75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2" s="338">
        <f>SUMIF(Consumo!$C$3:$C$862,tabItens[[#This Row],[CÓDIGO]],Consumo!$E$3:$E$862)</f>
        <v>0</v>
      </c>
      <c r="BH752" s="339">
        <f>IF(AND(tabItens[[#This Row],[Pend]] &gt; 0,tabItens[[#This Row],[Consumo]] &lt;&gt; 0), tabItens[[#This Row],[Pend]] / tabItens[[#This Row],[Consumo]], 0 )</f>
        <v>0</v>
      </c>
      <c r="BI752" s="338"/>
      <c r="BJ752" s="338"/>
      <c r="BK752" s="340" t="s">
        <v>2086</v>
      </c>
    </row>
    <row r="753" spans="1:63" hidden="1" x14ac:dyDescent="0.3">
      <c r="A753" s="301">
        <v>113242</v>
      </c>
      <c r="B753" s="302" t="s">
        <v>1697</v>
      </c>
      <c r="C753" s="303" t="s">
        <v>31</v>
      </c>
      <c r="D753" s="304">
        <v>6.25</v>
      </c>
      <c r="E753" s="305"/>
      <c r="F753" s="305"/>
      <c r="G753" s="305" t="s">
        <v>889</v>
      </c>
      <c r="H753" s="306">
        <v>100</v>
      </c>
      <c r="I753" s="307">
        <v>103003</v>
      </c>
      <c r="J753" s="308">
        <v>6.25</v>
      </c>
      <c r="K753" s="309">
        <v>59</v>
      </c>
      <c r="L753" s="310">
        <f>IF(tabItens[[#This Row],[Média]] &gt; 0, tabItens[[#This Row],[QTDE ATUAL]] / tabItens[[#This Row],[Média]],999.9)</f>
        <v>23.07692307692308</v>
      </c>
      <c r="M753" s="311">
        <v>0</v>
      </c>
      <c r="N753" s="312">
        <f>tabItens[[#This Row],[VALOR UNIT.]] * tabItens[[#This Row],[LC]]</f>
        <v>0</v>
      </c>
      <c r="O753" s="313"/>
      <c r="P753" s="314"/>
      <c r="Q753" s="315"/>
      <c r="R753" s="312"/>
      <c r="S753" s="316"/>
      <c r="T753" s="317">
        <f>ROUNDDOWN(IFERROR(tabItens[[#This Row],[ATA DT.VALID.]] - $D$1,0) / 30,0)</f>
        <v>-1474</v>
      </c>
      <c r="U753" s="302" t="s">
        <v>1103</v>
      </c>
      <c r="V753" s="318">
        <v>1</v>
      </c>
      <c r="W753" s="319" t="s">
        <v>2077</v>
      </c>
      <c r="X753" s="320">
        <v>55</v>
      </c>
      <c r="Y753" s="321">
        <v>35</v>
      </c>
      <c r="Z753" s="322">
        <v>2956</v>
      </c>
      <c r="AA753" s="323">
        <v>2023</v>
      </c>
      <c r="AB753" s="324">
        <v>50</v>
      </c>
      <c r="AC753" s="324"/>
      <c r="AD753" s="323"/>
      <c r="AE753" s="324"/>
      <c r="AF753" s="317"/>
      <c r="AG753" s="325" t="s">
        <v>2072</v>
      </c>
      <c r="AH753" s="326"/>
      <c r="AI753" s="317">
        <v>20</v>
      </c>
      <c r="AJ753" s="326">
        <v>44530</v>
      </c>
      <c r="AK753" s="326">
        <v>40113</v>
      </c>
      <c r="AL753" s="326">
        <v>44393</v>
      </c>
      <c r="AM753" s="316"/>
      <c r="AN753" s="305"/>
      <c r="AO753" s="327" t="str">
        <f>_xlfn.IFNA(IF(VLOOKUP(tabItens[[#This Row],[CÓDIGO]],tabExcluirDoEstoque[#Data],1,FALSE),"sim",""),"")</f>
        <v/>
      </c>
      <c r="AP753" s="328" t="str">
        <f ca="1">IF(OR(ISBLANK(tabItens[[#This Row],[ATA DT.VALID.]]),tabItens[[#This Row],[ATA DT.VALID.]]="",tabItens[[#This Row],[ATA DT.VALID.]]=" "),"",IF(TYPE(tabItens[[#This Row],[ATA DT.VALID.]])=1,ROUNDUP((tabItens[[#This Row],[ATA DT.VALID.]]-TODAY())/7,0),""))</f>
        <v/>
      </c>
      <c r="AQ753" s="329"/>
      <c r="AR753" s="330" t="str">
        <f>IF(ISBLANK(tabItens[[#This Row],[CÓDIGO]]),"",IFERROR(VLOOKUP(tabItens[[#This Row],[CÓDIGO]],Consumo!$C$2:$AC$862,26,FALSE),0))</f>
        <v>06.2023</v>
      </c>
      <c r="AS753" s="331">
        <f>SUMIF(Consumo!$C$3:$C$862,tabItens[[#This Row],[CÓDIGO]],Consumo!$N$3:$N$862) + SUMIF(Consumo!$C$3:$C$862,tabItens[[#This Row],[CÓDIGO]],Consumo!$O$3:$O$862) + SUMIF(Consumo!$C$3:$C$862,tabItens[[#This Row],[CÓDIGO]],Consumo!$P$3:$P$862) + SUMIF(Consumo!$C$3:$C$862,tabItens[[#This Row],[CÓDIGO]],Consumo!$Q$3:$Q$862)</f>
        <v>32</v>
      </c>
      <c r="AT753" s="331">
        <f>SUMIF(Consumo!$C$3:$C$862,tabItens[[#This Row],[CÓDIGO]],Consumo!$Z$3:$Z$862)</f>
        <v>59</v>
      </c>
      <c r="AU753" s="332">
        <f>SUMIF(Consumo!$C$3:$C$862,tabItens[[#This Row],[CÓDIGO]],Consumo!$AA$3:$AA$862)</f>
        <v>32</v>
      </c>
      <c r="AV753" s="333">
        <f>SUMIF(Consumo!$C$3:$C$862,tabItens[[#This Row],[CÓDIGO]],Consumo!$Y$3:$Y$862)</f>
        <v>4.333333333333333</v>
      </c>
      <c r="AW753" s="306">
        <f>tabItens[[#This Row],[QTDE ATUAL]] + tabItens[[#This Row],[RC QTDE]] + tabItens[[#This Row],[AF SALDO]] + tabItens[[#This Row],[Recentes]]</f>
        <v>150</v>
      </c>
      <c r="AX753" s="334">
        <v>2</v>
      </c>
      <c r="AY753" s="334">
        <v>4</v>
      </c>
      <c r="AZ753" s="334">
        <f>IF(ISBLANK(tabItens[[#This Row],[CÓDIGO]]),"",tabItens[[#This Row],[PontoMês]] * (AZ$2+tabItens[[#This Row],[PontoQtM]]))</f>
        <v>8</v>
      </c>
      <c r="BA753" s="333">
        <f>tabItens[[#This Row],[PontoPed]] - tabItens[[#This Row],[Saldo]] + (1/10)</f>
        <v>-141.9</v>
      </c>
      <c r="BB753" s="333">
        <f xml:space="preserve"> tabItens[[#This Row],[PontoMês]] * BB$2 - tabItens[[#This Row],[QTDE ATUAL]] - (1/10)</f>
        <v>-98.1</v>
      </c>
      <c r="BC753" s="335">
        <f>IF( tabItens[[#This Row],[PontoPed]]&gt;0, IF(tabItens[[#This Row],[PontoPed]]&lt;1, 1, IF( tabItens[[#This Row],[Saldo]]&gt;tabItens[[#This Row],[PontoPed]], 0, (tabItens[[#This Row],[PontoPed]]-tabItens[[#This Row],[Saldo]])/tabItens[[#This Row],[PontoPed]] ) ), 0 )</f>
        <v>0</v>
      </c>
      <c r="BD753" s="336">
        <f>ROUNDDOWN(IF( OR( AND(tabItens[[#This Row],[PontoPed]]&lt;tabItens[[#This Row],[Saldo]],tabItens[[#This Row],[Saldo]]&gt;0), tabItens[[#This Row],[PontoPed]]=0), 99, IF(AND(tabItens[[#This Row],[Saldo]]=0,tabItens[[#This Row],[PontoPed]]&gt;0), 0, (1-tabItens[[#This Row],[PctAb]])*10 ) ),0)</f>
        <v>99</v>
      </c>
      <c r="BE753" s="337">
        <f>MAX(ROUNDDOWN( IF(tabItens[[#This Row],[Abaixo]] &gt; 0,   tabItens[[#This Row],[Abaixo]] + (tabItens[[#This Row],[PontoMês]] * IF( OR( ISBLANK(tabItens[[#This Row],[ATA Nº/ANO]]), tabItens[[#This Row],[ATA Nº/ANO]] = ""),BE$2,BE$1)),0),0),0)</f>
        <v>0</v>
      </c>
      <c r="BF75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3" s="338">
        <f>SUMIF(Consumo!$C$3:$C$862,tabItens[[#This Row],[CÓDIGO]],Consumo!$E$3:$E$862)</f>
        <v>0</v>
      </c>
      <c r="BH753" s="339">
        <f>IF(AND(tabItens[[#This Row],[Pend]] &gt; 0,tabItens[[#This Row],[Consumo]] &lt;&gt; 0), tabItens[[#This Row],[Pend]] / tabItens[[#This Row],[Consumo]], 0 )</f>
        <v>0</v>
      </c>
      <c r="BI753" s="338"/>
      <c r="BJ753" s="338"/>
      <c r="BK753" s="340" t="s">
        <v>2086</v>
      </c>
    </row>
    <row r="754" spans="1:63" hidden="1" x14ac:dyDescent="0.3">
      <c r="A754" s="301">
        <v>31555</v>
      </c>
      <c r="B754" s="302" t="s">
        <v>1246</v>
      </c>
      <c r="C754" s="303" t="s">
        <v>263</v>
      </c>
      <c r="D754" s="304">
        <v>33.700000000000003</v>
      </c>
      <c r="E754" s="305"/>
      <c r="F754" s="305"/>
      <c r="G754" s="305" t="s">
        <v>889</v>
      </c>
      <c r="H754" s="306">
        <v>74</v>
      </c>
      <c r="I754" s="307">
        <v>103003</v>
      </c>
      <c r="J754" s="308">
        <v>33.700000000000003</v>
      </c>
      <c r="K754" s="309"/>
      <c r="L754" s="310">
        <f>IF(tabItens[[#This Row],[Média]] &gt; 0, tabItens[[#This Row],[QTDE ATUAL]] / tabItens[[#This Row],[Média]],999.9)</f>
        <v>999.9</v>
      </c>
      <c r="M754" s="311">
        <v>0</v>
      </c>
      <c r="N754" s="312">
        <f>tabItens[[#This Row],[VALOR UNIT.]] * tabItens[[#This Row],[LC]]</f>
        <v>0</v>
      </c>
      <c r="O754" s="313"/>
      <c r="P754" s="314"/>
      <c r="Q754" s="315"/>
      <c r="R754" s="312"/>
      <c r="S754" s="316"/>
      <c r="T754" s="317">
        <f>ROUNDDOWN(IFERROR(tabItens[[#This Row],[ATA DT.VALID.]] - $D$1,0) / 30,0)</f>
        <v>-1474</v>
      </c>
      <c r="U754" s="302" t="s">
        <v>1073</v>
      </c>
      <c r="V754" s="318">
        <v>1</v>
      </c>
      <c r="W754" s="319" t="s">
        <v>2077</v>
      </c>
      <c r="X754" s="320">
        <v>55</v>
      </c>
      <c r="Y754" s="321">
        <v>40</v>
      </c>
      <c r="Z754" s="322"/>
      <c r="AA754" s="323"/>
      <c r="AB754" s="324"/>
      <c r="AC754" s="324"/>
      <c r="AD754" s="323"/>
      <c r="AE754" s="324"/>
      <c r="AF754" s="317"/>
      <c r="AG754" s="325" t="s">
        <v>2072</v>
      </c>
      <c r="AH754" s="326"/>
      <c r="AI754" s="317">
        <v>0</v>
      </c>
      <c r="AJ754" s="326">
        <v>37826</v>
      </c>
      <c r="AK754" s="326" t="s">
        <v>889</v>
      </c>
      <c r="AL754" s="326">
        <v>43865</v>
      </c>
      <c r="AM754" s="316"/>
      <c r="AN754" s="305"/>
      <c r="AO754" s="327" t="str">
        <f>_xlfn.IFNA(IF(VLOOKUP(tabItens[[#This Row],[CÓDIGO]],tabExcluirDoEstoque[#Data],1,FALSE),"sim",""),"")</f>
        <v/>
      </c>
      <c r="AP754" s="328" t="str">
        <f ca="1">IF(OR(ISBLANK(tabItens[[#This Row],[ATA DT.VALID.]]),tabItens[[#This Row],[ATA DT.VALID.]]="",tabItens[[#This Row],[ATA DT.VALID.]]=" "),"",IF(TYPE(tabItens[[#This Row],[ATA DT.VALID.]])=1,ROUNDUP((tabItens[[#This Row],[ATA DT.VALID.]]-TODAY())/7,0),""))</f>
        <v/>
      </c>
      <c r="AQ754" s="329"/>
      <c r="AR754" s="330">
        <f>IF(ISBLANK(tabItens[[#This Row],[CÓDIGO]]),"",IFERROR(VLOOKUP(tabItens[[#This Row],[CÓDIGO]],Consumo!$C$2:$AC$862,26,FALSE),0))</f>
        <v>0</v>
      </c>
      <c r="AS754" s="331">
        <f>SUMIF(Consumo!$C$3:$C$862,tabItens[[#This Row],[CÓDIGO]],Consumo!$N$3:$N$862) + SUMIF(Consumo!$C$3:$C$862,tabItens[[#This Row],[CÓDIGO]],Consumo!$O$3:$O$862) + SUMIF(Consumo!$C$3:$C$862,tabItens[[#This Row],[CÓDIGO]],Consumo!$P$3:$P$862) + SUMIF(Consumo!$C$3:$C$862,tabItens[[#This Row],[CÓDIGO]],Consumo!$Q$3:$Q$862)</f>
        <v>0</v>
      </c>
      <c r="AT754" s="331">
        <f>SUMIF(Consumo!$C$3:$C$862,tabItens[[#This Row],[CÓDIGO]],Consumo!$Z$3:$Z$862)</f>
        <v>0</v>
      </c>
      <c r="AU754" s="332">
        <f>SUMIF(Consumo!$C$3:$C$862,tabItens[[#This Row],[CÓDIGO]],Consumo!$AA$3:$AA$862)</f>
        <v>0</v>
      </c>
      <c r="AV754" s="333">
        <f>SUMIF(Consumo!$C$3:$C$862,tabItens[[#This Row],[CÓDIGO]],Consumo!$Y$3:$Y$862)</f>
        <v>0</v>
      </c>
      <c r="AW754" s="306">
        <f>tabItens[[#This Row],[QTDE ATUAL]] + tabItens[[#This Row],[RC QTDE]] + tabItens[[#This Row],[AF SALDO]] + tabItens[[#This Row],[Recentes]]</f>
        <v>74</v>
      </c>
      <c r="AX754" s="334">
        <v>1</v>
      </c>
      <c r="AY754" s="334">
        <v>4</v>
      </c>
      <c r="AZ754" s="334">
        <f>IF(ISBLANK(tabItens[[#This Row],[CÓDIGO]]),"",tabItens[[#This Row],[PontoMês]] * (AZ$2+tabItens[[#This Row],[PontoQtM]]))</f>
        <v>4</v>
      </c>
      <c r="BA754" s="333">
        <f>tabItens[[#This Row],[PontoPed]] - tabItens[[#This Row],[Saldo]] + (1/10)</f>
        <v>-69.900000000000006</v>
      </c>
      <c r="BB754" s="333">
        <f xml:space="preserve"> tabItens[[#This Row],[PontoMês]] * BB$2 - tabItens[[#This Row],[QTDE ATUAL]] - (1/10)</f>
        <v>-73.099999999999994</v>
      </c>
      <c r="BC754" s="335">
        <f>IF( tabItens[[#This Row],[PontoPed]]&gt;0, IF(tabItens[[#This Row],[PontoPed]]&lt;1, 1, IF( tabItens[[#This Row],[Saldo]]&gt;tabItens[[#This Row],[PontoPed]], 0, (tabItens[[#This Row],[PontoPed]]-tabItens[[#This Row],[Saldo]])/tabItens[[#This Row],[PontoPed]] ) ), 0 )</f>
        <v>0</v>
      </c>
      <c r="BD754" s="336">
        <f>ROUNDDOWN(IF( OR( AND(tabItens[[#This Row],[PontoPed]]&lt;tabItens[[#This Row],[Saldo]],tabItens[[#This Row],[Saldo]]&gt;0), tabItens[[#This Row],[PontoPed]]=0), 99, IF(AND(tabItens[[#This Row],[Saldo]]=0,tabItens[[#This Row],[PontoPed]]&gt;0), 0, (1-tabItens[[#This Row],[PctAb]])*10 ) ),0)</f>
        <v>99</v>
      </c>
      <c r="BE754" s="337">
        <f>MAX(ROUNDDOWN( IF(tabItens[[#This Row],[Abaixo]] &gt; 0,   tabItens[[#This Row],[Abaixo]] + (tabItens[[#This Row],[PontoMês]] * IF( OR( ISBLANK(tabItens[[#This Row],[ATA Nº/ANO]]), tabItens[[#This Row],[ATA Nº/ANO]] = ""),BE$2,BE$1)),0),0),0)</f>
        <v>0</v>
      </c>
      <c r="BF75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4" s="338">
        <f>SUMIF(Consumo!$C$3:$C$862,tabItens[[#This Row],[CÓDIGO]],Consumo!$E$3:$E$862)</f>
        <v>0</v>
      </c>
      <c r="BH754" s="339">
        <f>IF(AND(tabItens[[#This Row],[Pend]] &gt; 0,tabItens[[#This Row],[Consumo]] &lt;&gt; 0), tabItens[[#This Row],[Pend]] / tabItens[[#This Row],[Consumo]], 0 )</f>
        <v>0</v>
      </c>
      <c r="BI754" s="338"/>
      <c r="BJ754" s="338"/>
      <c r="BK754" s="340" t="s">
        <v>2086</v>
      </c>
    </row>
    <row r="755" spans="1:63" hidden="1" x14ac:dyDescent="0.3">
      <c r="A755" s="301">
        <v>132751</v>
      </c>
      <c r="B755" s="302" t="s">
        <v>1846</v>
      </c>
      <c r="C755" s="303" t="s">
        <v>260</v>
      </c>
      <c r="D755" s="304">
        <v>217.5</v>
      </c>
      <c r="E755" s="305"/>
      <c r="F755" s="305"/>
      <c r="G755" s="305" t="s">
        <v>889</v>
      </c>
      <c r="H755" s="306">
        <v>3</v>
      </c>
      <c r="I755" s="307">
        <v>103003</v>
      </c>
      <c r="J755" s="308">
        <v>217.5</v>
      </c>
      <c r="K755" s="309">
        <v>1</v>
      </c>
      <c r="L755" s="310">
        <f>IF(tabItens[[#This Row],[Média]] &gt; 0, tabItens[[#This Row],[QTDE ATUAL]] / tabItens[[#This Row],[Média]],999.9)</f>
        <v>999.9</v>
      </c>
      <c r="M755" s="311">
        <v>0</v>
      </c>
      <c r="N755" s="312">
        <f>tabItens[[#This Row],[VALOR UNIT.]] * tabItens[[#This Row],[LC]]</f>
        <v>0</v>
      </c>
      <c r="O755" s="313"/>
      <c r="P755" s="314"/>
      <c r="Q755" s="315"/>
      <c r="R755" s="312"/>
      <c r="S755" s="316"/>
      <c r="T755" s="317">
        <f>ROUNDDOWN(IFERROR(tabItens[[#This Row],[ATA DT.VALID.]] - $D$1,0) / 30,0)</f>
        <v>-1474</v>
      </c>
      <c r="U755" s="302" t="s">
        <v>1073</v>
      </c>
      <c r="V755" s="318">
        <v>1</v>
      </c>
      <c r="W755" s="319" t="s">
        <v>2077</v>
      </c>
      <c r="X755" s="320">
        <v>55</v>
      </c>
      <c r="Y755" s="321">
        <v>40</v>
      </c>
      <c r="Z755" s="322"/>
      <c r="AA755" s="323"/>
      <c r="AB755" s="324"/>
      <c r="AC755" s="324"/>
      <c r="AD755" s="323"/>
      <c r="AE755" s="324"/>
      <c r="AF755" s="317"/>
      <c r="AG755" s="325" t="s">
        <v>2072</v>
      </c>
      <c r="AH755" s="326"/>
      <c r="AI755" s="317">
        <v>0</v>
      </c>
      <c r="AJ755" s="326">
        <v>43763</v>
      </c>
      <c r="AK755" s="326">
        <v>42892</v>
      </c>
      <c r="AL755" s="326">
        <v>43747</v>
      </c>
      <c r="AM755" s="316"/>
      <c r="AN755" s="305"/>
      <c r="AO755" s="327" t="str">
        <f>_xlfn.IFNA(IF(VLOOKUP(tabItens[[#This Row],[CÓDIGO]],tabExcluirDoEstoque[#Data],1,FALSE),"sim",""),"")</f>
        <v/>
      </c>
      <c r="AP755" s="328" t="str">
        <f ca="1">IF(OR(ISBLANK(tabItens[[#This Row],[ATA DT.VALID.]]),tabItens[[#This Row],[ATA DT.VALID.]]="",tabItens[[#This Row],[ATA DT.VALID.]]=" "),"",IF(TYPE(tabItens[[#This Row],[ATA DT.VALID.]])=1,ROUNDUP((tabItens[[#This Row],[ATA DT.VALID.]]-TODAY())/7,0),""))</f>
        <v/>
      </c>
      <c r="AQ755" s="329"/>
      <c r="AR755" s="330" t="str">
        <f>IF(ISBLANK(tabItens[[#This Row],[CÓDIGO]]),"",IFERROR(VLOOKUP(tabItens[[#This Row],[CÓDIGO]],Consumo!$C$2:$AC$862,26,FALSE),0))</f>
        <v>01.2023</v>
      </c>
      <c r="AS755" s="331">
        <f>SUMIF(Consumo!$C$3:$C$862,tabItens[[#This Row],[CÓDIGO]],Consumo!$N$3:$N$862) + SUMIF(Consumo!$C$3:$C$862,tabItens[[#This Row],[CÓDIGO]],Consumo!$O$3:$O$862) + SUMIF(Consumo!$C$3:$C$862,tabItens[[#This Row],[CÓDIGO]],Consumo!$P$3:$P$862) + SUMIF(Consumo!$C$3:$C$862,tabItens[[#This Row],[CÓDIGO]],Consumo!$Q$3:$Q$862)</f>
        <v>0</v>
      </c>
      <c r="AT755" s="331">
        <f>SUMIF(Consumo!$C$3:$C$862,tabItens[[#This Row],[CÓDIGO]],Consumo!$Z$3:$Z$862)</f>
        <v>1</v>
      </c>
      <c r="AU755" s="332">
        <f>SUMIF(Consumo!$C$3:$C$862,tabItens[[#This Row],[CÓDIGO]],Consumo!$AA$3:$AA$862)</f>
        <v>1</v>
      </c>
      <c r="AV755" s="333">
        <f>SUMIF(Consumo!$C$3:$C$862,tabItens[[#This Row],[CÓDIGO]],Consumo!$Y$3:$Y$862)</f>
        <v>0</v>
      </c>
      <c r="AW755" s="306">
        <f>tabItens[[#This Row],[QTDE ATUAL]] + tabItens[[#This Row],[RC QTDE]] + tabItens[[#This Row],[AF SALDO]] + tabItens[[#This Row],[Recentes]]</f>
        <v>3</v>
      </c>
      <c r="AX755" s="334">
        <v>0</v>
      </c>
      <c r="AY755" s="334">
        <v>4</v>
      </c>
      <c r="AZ755" s="334">
        <f>IF(ISBLANK(tabItens[[#This Row],[CÓDIGO]]),"",tabItens[[#This Row],[PontoMês]] * (AZ$2+tabItens[[#This Row],[PontoQtM]]))</f>
        <v>0</v>
      </c>
      <c r="BA755" s="333">
        <f>tabItens[[#This Row],[PontoPed]] - tabItens[[#This Row],[Saldo]] + (1/10)</f>
        <v>-2.9</v>
      </c>
      <c r="BB755" s="333">
        <f xml:space="preserve"> tabItens[[#This Row],[PontoMês]] * BB$2 - tabItens[[#This Row],[QTDE ATUAL]] - (1/10)</f>
        <v>-3.1</v>
      </c>
      <c r="BC755" s="335">
        <f>IF( tabItens[[#This Row],[PontoPed]]&gt;0, IF(tabItens[[#This Row],[PontoPed]]&lt;1, 1, IF( tabItens[[#This Row],[Saldo]]&gt;tabItens[[#This Row],[PontoPed]], 0, (tabItens[[#This Row],[PontoPed]]-tabItens[[#This Row],[Saldo]])/tabItens[[#This Row],[PontoPed]] ) ), 0 )</f>
        <v>0</v>
      </c>
      <c r="BD755" s="336">
        <f>ROUNDDOWN(IF( OR( AND(tabItens[[#This Row],[PontoPed]]&lt;tabItens[[#This Row],[Saldo]],tabItens[[#This Row],[Saldo]]&gt;0), tabItens[[#This Row],[PontoPed]]=0), 99, IF(AND(tabItens[[#This Row],[Saldo]]=0,tabItens[[#This Row],[PontoPed]]&gt;0), 0, (1-tabItens[[#This Row],[PctAb]])*10 ) ),0)</f>
        <v>99</v>
      </c>
      <c r="BE755" s="337">
        <f>MAX(ROUNDDOWN( IF(tabItens[[#This Row],[Abaixo]] &gt; 0,   tabItens[[#This Row],[Abaixo]] + (tabItens[[#This Row],[PontoMês]] * IF( OR( ISBLANK(tabItens[[#This Row],[ATA Nº/ANO]]), tabItens[[#This Row],[ATA Nº/ANO]] = ""),BE$2,BE$1)),0),0),0)</f>
        <v>0</v>
      </c>
      <c r="BF75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5" s="338">
        <f>SUMIF(Consumo!$C$3:$C$862,tabItens[[#This Row],[CÓDIGO]],Consumo!$E$3:$E$862)</f>
        <v>0</v>
      </c>
      <c r="BH755" s="339">
        <f>IF(AND(tabItens[[#This Row],[Pend]] &gt; 0,tabItens[[#This Row],[Consumo]] &lt;&gt; 0), tabItens[[#This Row],[Pend]] / tabItens[[#This Row],[Consumo]], 0 )</f>
        <v>0</v>
      </c>
      <c r="BI755" s="338"/>
      <c r="BJ755" s="338"/>
      <c r="BK755" s="340" t="s">
        <v>2086</v>
      </c>
    </row>
    <row r="756" spans="1:63" hidden="1" x14ac:dyDescent="0.3">
      <c r="A756" s="301">
        <v>14012</v>
      </c>
      <c r="B756" s="302" t="s">
        <v>1051</v>
      </c>
      <c r="C756" s="303" t="s">
        <v>263</v>
      </c>
      <c r="D756" s="304">
        <v>0.28000000000000003</v>
      </c>
      <c r="E756" s="305"/>
      <c r="F756" s="305"/>
      <c r="G756" s="305" t="s">
        <v>889</v>
      </c>
      <c r="H756" s="306">
        <v>3316</v>
      </c>
      <c r="I756" s="307">
        <v>103003</v>
      </c>
      <c r="J756" s="308">
        <v>0.28000000000000003</v>
      </c>
      <c r="K756" s="309">
        <v>806</v>
      </c>
      <c r="L756" s="310">
        <f>IF(tabItens[[#This Row],[Média]] &gt; 0, tabItens[[#This Row],[QTDE ATUAL]] / tabItens[[#This Row],[Média]],999.9)</f>
        <v>39.165354330708659</v>
      </c>
      <c r="M756" s="311">
        <v>0</v>
      </c>
      <c r="N756" s="312">
        <f>tabItens[[#This Row],[VALOR UNIT.]] * tabItens[[#This Row],[LC]]</f>
        <v>0</v>
      </c>
      <c r="O756" s="313"/>
      <c r="P756" s="314"/>
      <c r="Q756" s="315"/>
      <c r="R756" s="312"/>
      <c r="S756" s="316"/>
      <c r="T756" s="317">
        <f>ROUNDDOWN(IFERROR(tabItens[[#This Row],[ATA DT.VALID.]] - $D$1,0) / 30,0)</f>
        <v>-1474</v>
      </c>
      <c r="U756" s="302" t="s">
        <v>1052</v>
      </c>
      <c r="V756" s="318">
        <v>1</v>
      </c>
      <c r="W756" s="319" t="s">
        <v>2077</v>
      </c>
      <c r="X756" s="320">
        <v>55</v>
      </c>
      <c r="Y756" s="321">
        <v>46</v>
      </c>
      <c r="Z756" s="322"/>
      <c r="AA756" s="323"/>
      <c r="AB756" s="324"/>
      <c r="AC756" s="324"/>
      <c r="AD756" s="323"/>
      <c r="AE756" s="324"/>
      <c r="AF756" s="317"/>
      <c r="AG756" s="325" t="s">
        <v>2072</v>
      </c>
      <c r="AH756" s="326"/>
      <c r="AI756" s="317">
        <v>342</v>
      </c>
      <c r="AJ756" s="326">
        <v>44649</v>
      </c>
      <c r="AK756" s="326" t="s">
        <v>889</v>
      </c>
      <c r="AL756" s="326">
        <v>44615</v>
      </c>
      <c r="AM756" s="316"/>
      <c r="AN756" s="305"/>
      <c r="AO756" s="327" t="str">
        <f>_xlfn.IFNA(IF(VLOOKUP(tabItens[[#This Row],[CÓDIGO]],tabExcluirDoEstoque[#Data],1,FALSE),"sim",""),"")</f>
        <v/>
      </c>
      <c r="AP756" s="328" t="str">
        <f ca="1">IF(OR(ISBLANK(tabItens[[#This Row],[ATA DT.VALID.]]),tabItens[[#This Row],[ATA DT.VALID.]]="",tabItens[[#This Row],[ATA DT.VALID.]]=" "),"",IF(TYPE(tabItens[[#This Row],[ATA DT.VALID.]])=1,ROUNDUP((tabItens[[#This Row],[ATA DT.VALID.]]-TODAY())/7,0),""))</f>
        <v/>
      </c>
      <c r="AQ756" s="329"/>
      <c r="AR756" s="330" t="str">
        <f>IF(ISBLANK(tabItens[[#This Row],[CÓDIGO]]),"",IFERROR(VLOOKUP(tabItens[[#This Row],[CÓDIGO]],Consumo!$C$2:$AC$862,26,FALSE),0))</f>
        <v>09.2023</v>
      </c>
      <c r="AS756" s="331">
        <f>SUMIF(Consumo!$C$3:$C$862,tabItens[[#This Row],[CÓDIGO]],Consumo!$N$3:$N$862) + SUMIF(Consumo!$C$3:$C$862,tabItens[[#This Row],[CÓDIGO]],Consumo!$O$3:$O$862) + SUMIF(Consumo!$C$3:$C$862,tabItens[[#This Row],[CÓDIGO]],Consumo!$P$3:$P$862) + SUMIF(Consumo!$C$3:$C$862,tabItens[[#This Row],[CÓDIGO]],Consumo!$Q$3:$Q$862)</f>
        <v>340</v>
      </c>
      <c r="AT756" s="331">
        <f>SUMIF(Consumo!$C$3:$C$862,tabItens[[#This Row],[CÓDIGO]],Consumo!$Z$3:$Z$862)</f>
        <v>1026</v>
      </c>
      <c r="AU756" s="332">
        <f>SUMIF(Consumo!$C$3:$C$862,tabItens[[#This Row],[CÓDIGO]],Consumo!$AA$3:$AA$862)</f>
        <v>224</v>
      </c>
      <c r="AV756" s="333">
        <f>SUMIF(Consumo!$C$3:$C$862,tabItens[[#This Row],[CÓDIGO]],Consumo!$Y$3:$Y$862)</f>
        <v>84.666666666666671</v>
      </c>
      <c r="AW756" s="306">
        <f>tabItens[[#This Row],[QTDE ATUAL]] + tabItens[[#This Row],[RC QTDE]] + tabItens[[#This Row],[AF SALDO]] + tabItens[[#This Row],[Recentes]]</f>
        <v>3316</v>
      </c>
      <c r="AX756" s="334">
        <v>119</v>
      </c>
      <c r="AY756" s="334">
        <v>4</v>
      </c>
      <c r="AZ756" s="334">
        <f>IF(ISBLANK(tabItens[[#This Row],[CÓDIGO]]),"",tabItens[[#This Row],[PontoMês]] * (AZ$2+tabItens[[#This Row],[PontoQtM]]))</f>
        <v>476</v>
      </c>
      <c r="BA756" s="333">
        <f>tabItens[[#This Row],[PontoPed]] - tabItens[[#This Row],[Saldo]] + (1/10)</f>
        <v>-2839.9</v>
      </c>
      <c r="BB756" s="333">
        <f xml:space="preserve"> tabItens[[#This Row],[PontoMês]] * BB$2 - tabItens[[#This Row],[QTDE ATUAL]] - (1/10)</f>
        <v>-3197.1</v>
      </c>
      <c r="BC756" s="335">
        <f>IF( tabItens[[#This Row],[PontoPed]]&gt;0, IF(tabItens[[#This Row],[PontoPed]]&lt;1, 1, IF( tabItens[[#This Row],[Saldo]]&gt;tabItens[[#This Row],[PontoPed]], 0, (tabItens[[#This Row],[PontoPed]]-tabItens[[#This Row],[Saldo]])/tabItens[[#This Row],[PontoPed]] ) ), 0 )</f>
        <v>0</v>
      </c>
      <c r="BD756" s="336">
        <f>ROUNDDOWN(IF( OR( AND(tabItens[[#This Row],[PontoPed]]&lt;tabItens[[#This Row],[Saldo]],tabItens[[#This Row],[Saldo]]&gt;0), tabItens[[#This Row],[PontoPed]]=0), 99, IF(AND(tabItens[[#This Row],[Saldo]]=0,tabItens[[#This Row],[PontoPed]]&gt;0), 0, (1-tabItens[[#This Row],[PctAb]])*10 ) ),0)</f>
        <v>99</v>
      </c>
      <c r="BE756" s="337">
        <f>MAX(ROUNDDOWN( IF(tabItens[[#This Row],[Abaixo]] &gt; 0,   tabItens[[#This Row],[Abaixo]] + (tabItens[[#This Row],[PontoMês]] * IF( OR( ISBLANK(tabItens[[#This Row],[ATA Nº/ANO]]), tabItens[[#This Row],[ATA Nº/ANO]] = ""),BE$2,BE$1)),0),0),0)</f>
        <v>0</v>
      </c>
      <c r="BF75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6" s="338">
        <f>SUMIF(Consumo!$C$3:$C$862,tabItens[[#This Row],[CÓDIGO]],Consumo!$E$3:$E$862)</f>
        <v>0</v>
      </c>
      <c r="BH756" s="339">
        <f>IF(AND(tabItens[[#This Row],[Pend]] &gt; 0,tabItens[[#This Row],[Consumo]] &lt;&gt; 0), tabItens[[#This Row],[Pend]] / tabItens[[#This Row],[Consumo]], 0 )</f>
        <v>0</v>
      </c>
      <c r="BI756" s="338"/>
      <c r="BJ756" s="338"/>
      <c r="BK756" s="340" t="s">
        <v>2086</v>
      </c>
    </row>
    <row r="757" spans="1:63" hidden="1" x14ac:dyDescent="0.3">
      <c r="A757" s="301">
        <v>95228</v>
      </c>
      <c r="B757" s="302" t="s">
        <v>1555</v>
      </c>
      <c r="C757" s="303" t="s">
        <v>263</v>
      </c>
      <c r="D757" s="304">
        <v>8.2699999999999996E-2</v>
      </c>
      <c r="E757" s="305"/>
      <c r="F757" s="305"/>
      <c r="G757" s="305" t="s">
        <v>889</v>
      </c>
      <c r="H757" s="306">
        <v>0</v>
      </c>
      <c r="I757" s="307">
        <v>103003</v>
      </c>
      <c r="J757" s="308">
        <v>8.2699999999999996E-2</v>
      </c>
      <c r="K757" s="309">
        <v>5502</v>
      </c>
      <c r="L757" s="310">
        <f>IF(tabItens[[#This Row],[Média]] &gt; 0, tabItens[[#This Row],[QTDE ATUAL]] / tabItens[[#This Row],[Média]],999.9)</f>
        <v>0</v>
      </c>
      <c r="M757" s="311">
        <v>0</v>
      </c>
      <c r="N757" s="312">
        <f>tabItens[[#This Row],[VALOR UNIT.]] * tabItens[[#This Row],[LC]]</f>
        <v>0</v>
      </c>
      <c r="O757" s="313"/>
      <c r="P757" s="314"/>
      <c r="Q757" s="315"/>
      <c r="R757" s="312"/>
      <c r="S757" s="316"/>
      <c r="T757" s="317">
        <f>ROUNDDOWN(IFERROR(tabItens[[#This Row],[ATA DT.VALID.]] - $D$1,0) / 30,0)</f>
        <v>-1474</v>
      </c>
      <c r="U757" s="302" t="s">
        <v>1052</v>
      </c>
      <c r="V757" s="318">
        <v>1</v>
      </c>
      <c r="W757" s="319" t="s">
        <v>2077</v>
      </c>
      <c r="X757" s="320">
        <v>55</v>
      </c>
      <c r="Y757" s="321">
        <v>46</v>
      </c>
      <c r="Z757" s="322">
        <v>2442</v>
      </c>
      <c r="AA757" s="323">
        <v>2023</v>
      </c>
      <c r="AB757" s="324">
        <v>1000</v>
      </c>
      <c r="AC757" s="324"/>
      <c r="AD757" s="323"/>
      <c r="AE757" s="324"/>
      <c r="AF757" s="317"/>
      <c r="AG757" s="325" t="s">
        <v>2072</v>
      </c>
      <c r="AH757" s="326"/>
      <c r="AI757" s="317">
        <v>1928</v>
      </c>
      <c r="AJ757" s="326">
        <v>44172</v>
      </c>
      <c r="AK757" s="326">
        <v>39007</v>
      </c>
      <c r="AL757" s="326">
        <v>44383</v>
      </c>
      <c r="AM757" s="316"/>
      <c r="AN757" s="305"/>
      <c r="AO757" s="327" t="str">
        <f>_xlfn.IFNA(IF(VLOOKUP(tabItens[[#This Row],[CÓDIGO]],tabExcluirDoEstoque[#Data],1,FALSE),"sim",""),"")</f>
        <v/>
      </c>
      <c r="AP757" s="328" t="str">
        <f ca="1">IF(OR(ISBLANK(tabItens[[#This Row],[ATA DT.VALID.]]),tabItens[[#This Row],[ATA DT.VALID.]]="",tabItens[[#This Row],[ATA DT.VALID.]]=" "),"",IF(TYPE(tabItens[[#This Row],[ATA DT.VALID.]])=1,ROUNDUP((tabItens[[#This Row],[ATA DT.VALID.]]-TODAY())/7,0),""))</f>
        <v/>
      </c>
      <c r="AQ757" s="329"/>
      <c r="AR757" s="330" t="str">
        <f>IF(ISBLANK(tabItens[[#This Row],[CÓDIGO]]),"",IFERROR(VLOOKUP(tabItens[[#This Row],[CÓDIGO]],Consumo!$C$2:$AC$862,26,FALSE),0))</f>
        <v>09.2023</v>
      </c>
      <c r="AS757" s="331">
        <f>SUMIF(Consumo!$C$3:$C$862,tabItens[[#This Row],[CÓDIGO]],Consumo!$N$3:$N$862) + SUMIF(Consumo!$C$3:$C$862,tabItens[[#This Row],[CÓDIGO]],Consumo!$O$3:$O$862) + SUMIF(Consumo!$C$3:$C$862,tabItens[[#This Row],[CÓDIGO]],Consumo!$P$3:$P$862) + SUMIF(Consumo!$C$3:$C$862,tabItens[[#This Row],[CÓDIGO]],Consumo!$Q$3:$Q$862)</f>
        <v>4546</v>
      </c>
      <c r="AT757" s="331">
        <f>SUMIF(Consumo!$C$3:$C$862,tabItens[[#This Row],[CÓDIGO]],Consumo!$Z$3:$Z$862)</f>
        <v>6737</v>
      </c>
      <c r="AU757" s="332">
        <f>SUMIF(Consumo!$C$3:$C$862,tabItens[[#This Row],[CÓDIGO]],Consumo!$AA$3:$AA$862)</f>
        <v>1800</v>
      </c>
      <c r="AV757" s="333">
        <f>SUMIF(Consumo!$C$3:$C$862,tabItens[[#This Row],[CÓDIGO]],Consumo!$Y$3:$Y$862)</f>
        <v>561.41666666666663</v>
      </c>
      <c r="AW757" s="306">
        <f>tabItens[[#This Row],[QTDE ATUAL]] + tabItens[[#This Row],[RC QTDE]] + tabItens[[#This Row],[AF SALDO]] + tabItens[[#This Row],[Recentes]]</f>
        <v>1000</v>
      </c>
      <c r="AX757" s="334">
        <v>75</v>
      </c>
      <c r="AY757" s="334">
        <v>4</v>
      </c>
      <c r="AZ757" s="334">
        <f>IF(ISBLANK(tabItens[[#This Row],[CÓDIGO]]),"",tabItens[[#This Row],[PontoMês]] * (AZ$2+tabItens[[#This Row],[PontoQtM]]))</f>
        <v>300</v>
      </c>
      <c r="BA757" s="333">
        <f>tabItens[[#This Row],[PontoPed]] - tabItens[[#This Row],[Saldo]] + (1/10)</f>
        <v>-699.9</v>
      </c>
      <c r="BB757" s="333">
        <f xml:space="preserve"> tabItens[[#This Row],[PontoMês]] * BB$2 - tabItens[[#This Row],[QTDE ATUAL]] - (1/10)</f>
        <v>74.900000000000006</v>
      </c>
      <c r="BC757" s="335">
        <f>IF( tabItens[[#This Row],[PontoPed]]&gt;0, IF(tabItens[[#This Row],[PontoPed]]&lt;1, 1, IF( tabItens[[#This Row],[Saldo]]&gt;tabItens[[#This Row],[PontoPed]], 0, (tabItens[[#This Row],[PontoPed]]-tabItens[[#This Row],[Saldo]])/tabItens[[#This Row],[PontoPed]] ) ), 0 )</f>
        <v>0</v>
      </c>
      <c r="BD757" s="336">
        <f>ROUNDDOWN(IF( OR( AND(tabItens[[#This Row],[PontoPed]]&lt;tabItens[[#This Row],[Saldo]],tabItens[[#This Row],[Saldo]]&gt;0), tabItens[[#This Row],[PontoPed]]=0), 99, IF(AND(tabItens[[#This Row],[Saldo]]=0,tabItens[[#This Row],[PontoPed]]&gt;0), 0, (1-tabItens[[#This Row],[PctAb]])*10 ) ),0)</f>
        <v>99</v>
      </c>
      <c r="BE757" s="337">
        <f>MAX(ROUNDDOWN( IF(tabItens[[#This Row],[Abaixo]] &gt; 0,   tabItens[[#This Row],[Abaixo]] + (tabItens[[#This Row],[PontoMês]] * IF( OR( ISBLANK(tabItens[[#This Row],[ATA Nº/ANO]]), tabItens[[#This Row],[ATA Nº/ANO]] = ""),BE$2,BE$1)),0),0),0)</f>
        <v>0</v>
      </c>
      <c r="BF75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7" s="338">
        <f>SUMIF(Consumo!$C$3:$C$862,tabItens[[#This Row],[CÓDIGO]],Consumo!$E$3:$E$862)</f>
        <v>954</v>
      </c>
      <c r="BH757" s="339">
        <f>IF(AND(tabItens[[#This Row],[Pend]] &gt; 0,tabItens[[#This Row],[Consumo]] &lt;&gt; 0), tabItens[[#This Row],[Pend]] / tabItens[[#This Row],[Consumo]], 0 )</f>
        <v>0.14160605610805996</v>
      </c>
      <c r="BI757" s="338"/>
      <c r="BJ757" s="338"/>
      <c r="BK757" s="340" t="s">
        <v>2086</v>
      </c>
    </row>
    <row r="758" spans="1:63" hidden="1" x14ac:dyDescent="0.3">
      <c r="A758" s="301">
        <v>108697</v>
      </c>
      <c r="B758" s="302" t="s">
        <v>1661</v>
      </c>
      <c r="C758" s="303" t="s">
        <v>263</v>
      </c>
      <c r="D758" s="304">
        <v>50.85</v>
      </c>
      <c r="E758" s="305"/>
      <c r="F758" s="305"/>
      <c r="G758" s="305" t="s">
        <v>889</v>
      </c>
      <c r="H758" s="306">
        <v>37</v>
      </c>
      <c r="I758" s="307">
        <v>103003</v>
      </c>
      <c r="J758" s="308">
        <v>50.85</v>
      </c>
      <c r="K758" s="309">
        <v>11</v>
      </c>
      <c r="L758" s="310">
        <f>IF(tabItens[[#This Row],[Média]] &gt; 0, tabItens[[#This Row],[QTDE ATUAL]] / tabItens[[#This Row],[Média]],999.9)</f>
        <v>44.4</v>
      </c>
      <c r="M758" s="311">
        <v>0</v>
      </c>
      <c r="N758" s="312">
        <f>tabItens[[#This Row],[VALOR UNIT.]] * tabItens[[#This Row],[LC]]</f>
        <v>0</v>
      </c>
      <c r="O758" s="313"/>
      <c r="P758" s="314"/>
      <c r="Q758" s="315"/>
      <c r="R758" s="312"/>
      <c r="S758" s="316"/>
      <c r="T758" s="317">
        <f>ROUNDDOWN(IFERROR(tabItens[[#This Row],[ATA DT.VALID.]] - $D$1,0) / 30,0)</f>
        <v>-1474</v>
      </c>
      <c r="U758" s="302" t="s">
        <v>1662</v>
      </c>
      <c r="V758" s="318">
        <v>1</v>
      </c>
      <c r="W758" s="319" t="s">
        <v>2077</v>
      </c>
      <c r="X758" s="320">
        <v>55</v>
      </c>
      <c r="Y758" s="321">
        <v>48</v>
      </c>
      <c r="Z758" s="322"/>
      <c r="AA758" s="323"/>
      <c r="AB758" s="324"/>
      <c r="AC758" s="324"/>
      <c r="AD758" s="323"/>
      <c r="AE758" s="324"/>
      <c r="AF758" s="317"/>
      <c r="AG758" s="325" t="s">
        <v>2072</v>
      </c>
      <c r="AH758" s="326"/>
      <c r="AI758" s="317">
        <v>4</v>
      </c>
      <c r="AJ758" s="326">
        <v>39820</v>
      </c>
      <c r="AK758" s="326">
        <v>39759</v>
      </c>
      <c r="AL758" s="326">
        <v>43402</v>
      </c>
      <c r="AM758" s="316"/>
      <c r="AN758" s="305"/>
      <c r="AO758" s="327" t="str">
        <f>_xlfn.IFNA(IF(VLOOKUP(tabItens[[#This Row],[CÓDIGO]],tabExcluirDoEstoque[#Data],1,FALSE),"sim",""),"")</f>
        <v/>
      </c>
      <c r="AP758" s="328" t="str">
        <f ca="1">IF(OR(ISBLANK(tabItens[[#This Row],[ATA DT.VALID.]]),tabItens[[#This Row],[ATA DT.VALID.]]="",tabItens[[#This Row],[ATA DT.VALID.]]=" "),"",IF(TYPE(tabItens[[#This Row],[ATA DT.VALID.]])=1,ROUNDUP((tabItens[[#This Row],[ATA DT.VALID.]]-TODAY())/7,0),""))</f>
        <v/>
      </c>
      <c r="AQ758" s="329"/>
      <c r="AR758" s="330" t="str">
        <f>IF(ISBLANK(tabItens[[#This Row],[CÓDIGO]]),"",IFERROR(VLOOKUP(tabItens[[#This Row],[CÓDIGO]],Consumo!$C$2:$AC$862,26,FALSE),0))</f>
        <v>06.2023</v>
      </c>
      <c r="AS758" s="331">
        <f>SUMIF(Consumo!$C$3:$C$862,tabItens[[#This Row],[CÓDIGO]],Consumo!$N$3:$N$862) + SUMIF(Consumo!$C$3:$C$862,tabItens[[#This Row],[CÓDIGO]],Consumo!$O$3:$O$862) + SUMIF(Consumo!$C$3:$C$862,tabItens[[#This Row],[CÓDIGO]],Consumo!$P$3:$P$862) + SUMIF(Consumo!$C$3:$C$862,tabItens[[#This Row],[CÓDIGO]],Consumo!$Q$3:$Q$862)</f>
        <v>6</v>
      </c>
      <c r="AT758" s="331">
        <f>SUMIF(Consumo!$C$3:$C$862,tabItens[[#This Row],[CÓDIGO]],Consumo!$Z$3:$Z$862)</f>
        <v>11</v>
      </c>
      <c r="AU758" s="332">
        <f>SUMIF(Consumo!$C$3:$C$862,tabItens[[#This Row],[CÓDIGO]],Consumo!$AA$3:$AA$862)</f>
        <v>6</v>
      </c>
      <c r="AV758" s="333">
        <f>SUMIF(Consumo!$C$3:$C$862,tabItens[[#This Row],[CÓDIGO]],Consumo!$Y$3:$Y$862)</f>
        <v>0.83333333333333337</v>
      </c>
      <c r="AW758" s="306">
        <f>tabItens[[#This Row],[QTDE ATUAL]] + tabItens[[#This Row],[RC QTDE]] + tabItens[[#This Row],[AF SALDO]] + tabItens[[#This Row],[Recentes]]</f>
        <v>37</v>
      </c>
      <c r="AX758" s="334">
        <v>1</v>
      </c>
      <c r="AY758" s="334">
        <v>4</v>
      </c>
      <c r="AZ758" s="334">
        <f>IF(ISBLANK(tabItens[[#This Row],[CÓDIGO]]),"",tabItens[[#This Row],[PontoMês]] * (AZ$2+tabItens[[#This Row],[PontoQtM]]))</f>
        <v>4</v>
      </c>
      <c r="BA758" s="333">
        <f>tabItens[[#This Row],[PontoPed]] - tabItens[[#This Row],[Saldo]] + (1/10)</f>
        <v>-32.9</v>
      </c>
      <c r="BB758" s="333">
        <f xml:space="preserve"> tabItens[[#This Row],[PontoMês]] * BB$2 - tabItens[[#This Row],[QTDE ATUAL]] - (1/10)</f>
        <v>-36.1</v>
      </c>
      <c r="BC758" s="335">
        <f>IF( tabItens[[#This Row],[PontoPed]]&gt;0, IF(tabItens[[#This Row],[PontoPed]]&lt;1, 1, IF( tabItens[[#This Row],[Saldo]]&gt;tabItens[[#This Row],[PontoPed]], 0, (tabItens[[#This Row],[PontoPed]]-tabItens[[#This Row],[Saldo]])/tabItens[[#This Row],[PontoPed]] ) ), 0 )</f>
        <v>0</v>
      </c>
      <c r="BD758" s="336">
        <f>ROUNDDOWN(IF( OR( AND(tabItens[[#This Row],[PontoPed]]&lt;tabItens[[#This Row],[Saldo]],tabItens[[#This Row],[Saldo]]&gt;0), tabItens[[#This Row],[PontoPed]]=0), 99, IF(AND(tabItens[[#This Row],[Saldo]]=0,tabItens[[#This Row],[PontoPed]]&gt;0), 0, (1-tabItens[[#This Row],[PctAb]])*10 ) ),0)</f>
        <v>99</v>
      </c>
      <c r="BE758" s="337">
        <f>MAX(ROUNDDOWN( IF(tabItens[[#This Row],[Abaixo]] &gt; 0,   tabItens[[#This Row],[Abaixo]] + (tabItens[[#This Row],[PontoMês]] * IF( OR( ISBLANK(tabItens[[#This Row],[ATA Nº/ANO]]), tabItens[[#This Row],[ATA Nº/ANO]] = ""),BE$2,BE$1)),0),0),0)</f>
        <v>0</v>
      </c>
      <c r="BF75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8" s="338">
        <f>SUMIF(Consumo!$C$3:$C$862,tabItens[[#This Row],[CÓDIGO]],Consumo!$E$3:$E$862)</f>
        <v>0</v>
      </c>
      <c r="BH758" s="339">
        <f>IF(AND(tabItens[[#This Row],[Pend]] &gt; 0,tabItens[[#This Row],[Consumo]] &lt;&gt; 0), tabItens[[#This Row],[Pend]] / tabItens[[#This Row],[Consumo]], 0 )</f>
        <v>0</v>
      </c>
      <c r="BI758" s="338"/>
      <c r="BJ758" s="338"/>
      <c r="BK758" s="340" t="s">
        <v>2086</v>
      </c>
    </row>
    <row r="759" spans="1:63" hidden="1" x14ac:dyDescent="0.3">
      <c r="A759" s="301">
        <v>51222</v>
      </c>
      <c r="B759" s="302" t="s">
        <v>1301</v>
      </c>
      <c r="C759" s="303" t="s">
        <v>263</v>
      </c>
      <c r="D759" s="304">
        <v>14.25</v>
      </c>
      <c r="E759" s="305"/>
      <c r="F759" s="305"/>
      <c r="G759" s="305" t="s">
        <v>889</v>
      </c>
      <c r="H759" s="306">
        <v>61</v>
      </c>
      <c r="I759" s="307">
        <v>103003</v>
      </c>
      <c r="J759" s="308">
        <v>14.25</v>
      </c>
      <c r="K759" s="309">
        <v>10</v>
      </c>
      <c r="L759" s="310">
        <f>IF(tabItens[[#This Row],[Média]] &gt; 0, tabItens[[#This Row],[QTDE ATUAL]] / tabItens[[#This Row],[Média]],999.9)</f>
        <v>122</v>
      </c>
      <c r="M759" s="311">
        <v>0</v>
      </c>
      <c r="N759" s="312">
        <f>tabItens[[#This Row],[VALOR UNIT.]] * tabItens[[#This Row],[LC]]</f>
        <v>0</v>
      </c>
      <c r="O759" s="313"/>
      <c r="P759" s="314"/>
      <c r="Q759" s="315"/>
      <c r="R759" s="312"/>
      <c r="S759" s="316"/>
      <c r="T759" s="317">
        <f>ROUNDDOWN(IFERROR(tabItens[[#This Row],[ATA DT.VALID.]] - $D$1,0) / 30,0)</f>
        <v>-1474</v>
      </c>
      <c r="U759" s="302" t="s">
        <v>1086</v>
      </c>
      <c r="V759" s="318">
        <v>1</v>
      </c>
      <c r="W759" s="319" t="s">
        <v>2077</v>
      </c>
      <c r="X759" s="320">
        <v>55</v>
      </c>
      <c r="Y759" s="321">
        <v>49</v>
      </c>
      <c r="Z759" s="322"/>
      <c r="AA759" s="323"/>
      <c r="AB759" s="324"/>
      <c r="AC759" s="324"/>
      <c r="AD759" s="323"/>
      <c r="AE759" s="324"/>
      <c r="AF759" s="317"/>
      <c r="AG759" s="325" t="s">
        <v>2072</v>
      </c>
      <c r="AH759" s="326"/>
      <c r="AI759" s="317">
        <v>4</v>
      </c>
      <c r="AJ759" s="326">
        <v>43635</v>
      </c>
      <c r="AK759" s="326" t="s">
        <v>889</v>
      </c>
      <c r="AL759" s="326">
        <v>43623</v>
      </c>
      <c r="AM759" s="316"/>
      <c r="AN759" s="305"/>
      <c r="AO759" s="327" t="str">
        <f>_xlfn.IFNA(IF(VLOOKUP(tabItens[[#This Row],[CÓDIGO]],tabExcluirDoEstoque[#Data],1,FALSE),"sim",""),"")</f>
        <v/>
      </c>
      <c r="AP759" s="328" t="str">
        <f ca="1">IF(OR(ISBLANK(tabItens[[#This Row],[ATA DT.VALID.]]),tabItens[[#This Row],[ATA DT.VALID.]]="",tabItens[[#This Row],[ATA DT.VALID.]]=" "),"",IF(TYPE(tabItens[[#This Row],[ATA DT.VALID.]])=1,ROUNDUP((tabItens[[#This Row],[ATA DT.VALID.]]-TODAY())/7,0),""))</f>
        <v/>
      </c>
      <c r="AQ759" s="329"/>
      <c r="AR759" s="330" t="str">
        <f>IF(ISBLANK(tabItens[[#This Row],[CÓDIGO]]),"",IFERROR(VLOOKUP(tabItens[[#This Row],[CÓDIGO]],Consumo!$C$2:$AC$862,26,FALSE),0))</f>
        <v>01.2023</v>
      </c>
      <c r="AS759" s="331">
        <f>SUMIF(Consumo!$C$3:$C$862,tabItens[[#This Row],[CÓDIGO]],Consumo!$N$3:$N$862) + SUMIF(Consumo!$C$3:$C$862,tabItens[[#This Row],[CÓDIGO]],Consumo!$O$3:$O$862) + SUMIF(Consumo!$C$3:$C$862,tabItens[[#This Row],[CÓDIGO]],Consumo!$P$3:$P$862) + SUMIF(Consumo!$C$3:$C$862,tabItens[[#This Row],[CÓDIGO]],Consumo!$Q$3:$Q$862)</f>
        <v>0</v>
      </c>
      <c r="AT759" s="331">
        <f>SUMIF(Consumo!$C$3:$C$862,tabItens[[#This Row],[CÓDIGO]],Consumo!$Z$3:$Z$862)</f>
        <v>10</v>
      </c>
      <c r="AU759" s="332">
        <f>SUMIF(Consumo!$C$3:$C$862,tabItens[[#This Row],[CÓDIGO]],Consumo!$AA$3:$AA$862)</f>
        <v>10</v>
      </c>
      <c r="AV759" s="333">
        <f>SUMIF(Consumo!$C$3:$C$862,tabItens[[#This Row],[CÓDIGO]],Consumo!$Y$3:$Y$862)</f>
        <v>0.5</v>
      </c>
      <c r="AW759" s="306">
        <f>tabItens[[#This Row],[QTDE ATUAL]] + tabItens[[#This Row],[RC QTDE]] + tabItens[[#This Row],[AF SALDO]] + tabItens[[#This Row],[Recentes]]</f>
        <v>61</v>
      </c>
      <c r="AX759" s="334">
        <v>2</v>
      </c>
      <c r="AY759" s="334">
        <v>4</v>
      </c>
      <c r="AZ759" s="334">
        <f>IF(ISBLANK(tabItens[[#This Row],[CÓDIGO]]),"",tabItens[[#This Row],[PontoMês]] * (AZ$2+tabItens[[#This Row],[PontoQtM]]))</f>
        <v>8</v>
      </c>
      <c r="BA759" s="333">
        <f>tabItens[[#This Row],[PontoPed]] - tabItens[[#This Row],[Saldo]] + (1/10)</f>
        <v>-52.9</v>
      </c>
      <c r="BB759" s="333">
        <f xml:space="preserve"> tabItens[[#This Row],[PontoMês]] * BB$2 - tabItens[[#This Row],[QTDE ATUAL]] - (1/10)</f>
        <v>-59.1</v>
      </c>
      <c r="BC759" s="335">
        <f>IF( tabItens[[#This Row],[PontoPed]]&gt;0, IF(tabItens[[#This Row],[PontoPed]]&lt;1, 1, IF( tabItens[[#This Row],[Saldo]]&gt;tabItens[[#This Row],[PontoPed]], 0, (tabItens[[#This Row],[PontoPed]]-tabItens[[#This Row],[Saldo]])/tabItens[[#This Row],[PontoPed]] ) ), 0 )</f>
        <v>0</v>
      </c>
      <c r="BD759" s="336">
        <f>ROUNDDOWN(IF( OR( AND(tabItens[[#This Row],[PontoPed]]&lt;tabItens[[#This Row],[Saldo]],tabItens[[#This Row],[Saldo]]&gt;0), tabItens[[#This Row],[PontoPed]]=0), 99, IF(AND(tabItens[[#This Row],[Saldo]]=0,tabItens[[#This Row],[PontoPed]]&gt;0), 0, (1-tabItens[[#This Row],[PctAb]])*10 ) ),0)</f>
        <v>99</v>
      </c>
      <c r="BE759" s="337">
        <f>MAX(ROUNDDOWN( IF(tabItens[[#This Row],[Abaixo]] &gt; 0,   tabItens[[#This Row],[Abaixo]] + (tabItens[[#This Row],[PontoMês]] * IF( OR( ISBLANK(tabItens[[#This Row],[ATA Nº/ANO]]), tabItens[[#This Row],[ATA Nº/ANO]] = ""),BE$2,BE$1)),0),0),0)</f>
        <v>0</v>
      </c>
      <c r="BF75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9" s="338">
        <f>SUMIF(Consumo!$C$3:$C$862,tabItens[[#This Row],[CÓDIGO]],Consumo!$E$3:$E$862)</f>
        <v>0</v>
      </c>
      <c r="BH759" s="339">
        <f>IF(AND(tabItens[[#This Row],[Pend]] &gt; 0,tabItens[[#This Row],[Consumo]] &lt;&gt; 0), tabItens[[#This Row],[Pend]] / tabItens[[#This Row],[Consumo]], 0 )</f>
        <v>0</v>
      </c>
      <c r="BI759" s="338"/>
      <c r="BJ759" s="338"/>
      <c r="BK759" s="340" t="s">
        <v>2086</v>
      </c>
    </row>
    <row r="760" spans="1:63" hidden="1" x14ac:dyDescent="0.3">
      <c r="A760" s="301">
        <v>140666</v>
      </c>
      <c r="B760" s="302" t="s">
        <v>2029</v>
      </c>
      <c r="C760" s="303" t="s">
        <v>263</v>
      </c>
      <c r="D760" s="304">
        <v>66.680000000000007</v>
      </c>
      <c r="E760" s="305"/>
      <c r="F760" s="305"/>
      <c r="G760" s="305" t="s">
        <v>889</v>
      </c>
      <c r="H760" s="306">
        <v>18</v>
      </c>
      <c r="I760" s="307">
        <v>103003</v>
      </c>
      <c r="J760" s="308">
        <v>66.680000000000007</v>
      </c>
      <c r="K760" s="309">
        <v>98</v>
      </c>
      <c r="L760" s="310">
        <f>IF(tabItens[[#This Row],[Média]] &gt; 0, tabItens[[#This Row],[QTDE ATUAL]] / tabItens[[#This Row],[Média]],999.9)</f>
        <v>2.2736842105263158</v>
      </c>
      <c r="M760" s="311">
        <v>0</v>
      </c>
      <c r="N760" s="312">
        <f>tabItens[[#This Row],[VALOR UNIT.]] * tabItens[[#This Row],[LC]]</f>
        <v>0</v>
      </c>
      <c r="O760" s="313"/>
      <c r="P760" s="314"/>
      <c r="Q760" s="315"/>
      <c r="R760" s="312"/>
      <c r="S760" s="316"/>
      <c r="T760" s="317">
        <f>ROUNDDOWN(IFERROR(tabItens[[#This Row],[ATA DT.VALID.]] - $D$1,0) / 30,0)</f>
        <v>-1474</v>
      </c>
      <c r="U760" s="302" t="s">
        <v>1086</v>
      </c>
      <c r="V760" s="318">
        <v>1</v>
      </c>
      <c r="W760" s="319" t="s">
        <v>2077</v>
      </c>
      <c r="X760" s="320">
        <v>55</v>
      </c>
      <c r="Y760" s="321">
        <v>49</v>
      </c>
      <c r="Z760" s="322">
        <v>10083</v>
      </c>
      <c r="AA760" s="323">
        <v>2023</v>
      </c>
      <c r="AB760" s="324">
        <v>30</v>
      </c>
      <c r="AC760" s="324"/>
      <c r="AD760" s="323"/>
      <c r="AE760" s="324"/>
      <c r="AF760" s="317"/>
      <c r="AG760" s="325" t="s">
        <v>2072</v>
      </c>
      <c r="AH760" s="326"/>
      <c r="AI760" s="317">
        <v>32</v>
      </c>
      <c r="AJ760" s="326">
        <v>44410</v>
      </c>
      <c r="AK760" s="326">
        <v>44243</v>
      </c>
      <c r="AL760" s="326">
        <v>44393</v>
      </c>
      <c r="AM760" s="316"/>
      <c r="AN760" s="305"/>
      <c r="AO760" s="327" t="str">
        <f>_xlfn.IFNA(IF(VLOOKUP(tabItens[[#This Row],[CÓDIGO]],tabExcluirDoEstoque[#Data],1,FALSE),"sim",""),"")</f>
        <v/>
      </c>
      <c r="AP760" s="328" t="str">
        <f ca="1">IF(OR(ISBLANK(tabItens[[#This Row],[ATA DT.VALID.]]),tabItens[[#This Row],[ATA DT.VALID.]]="",tabItens[[#This Row],[ATA DT.VALID.]]=" "),"",IF(TYPE(tabItens[[#This Row],[ATA DT.VALID.]])=1,ROUNDUP((tabItens[[#This Row],[ATA DT.VALID.]]-TODAY())/7,0),""))</f>
        <v/>
      </c>
      <c r="AQ760" s="329"/>
      <c r="AR760" s="330" t="str">
        <f>IF(ISBLANK(tabItens[[#This Row],[CÓDIGO]]),"",IFERROR(VLOOKUP(tabItens[[#This Row],[CÓDIGO]],Consumo!$C$2:$AC$862,26,FALSE),0))</f>
        <v>07.2023</v>
      </c>
      <c r="AS760" s="331">
        <f>SUMIF(Consumo!$C$3:$C$862,tabItens[[#This Row],[CÓDIGO]],Consumo!$N$3:$N$862) + SUMIF(Consumo!$C$3:$C$862,tabItens[[#This Row],[CÓDIGO]],Consumo!$O$3:$O$862) + SUMIF(Consumo!$C$3:$C$862,tabItens[[#This Row],[CÓDIGO]],Consumo!$P$3:$P$862) + SUMIF(Consumo!$C$3:$C$862,tabItens[[#This Row],[CÓDIGO]],Consumo!$Q$3:$Q$862)</f>
        <v>10</v>
      </c>
      <c r="AT760" s="331">
        <f>SUMIF(Consumo!$C$3:$C$862,tabItens[[#This Row],[CÓDIGO]],Consumo!$Z$3:$Z$862)</f>
        <v>98</v>
      </c>
      <c r="AU760" s="332">
        <f>SUMIF(Consumo!$C$3:$C$862,tabItens[[#This Row],[CÓDIGO]],Consumo!$AA$3:$AA$862)</f>
        <v>38</v>
      </c>
      <c r="AV760" s="333">
        <f>SUMIF(Consumo!$C$3:$C$862,tabItens[[#This Row],[CÓDIGO]],Consumo!$Y$3:$Y$862)</f>
        <v>7.916666666666667</v>
      </c>
      <c r="AW760" s="306">
        <f>tabItens[[#This Row],[QTDE ATUAL]] + tabItens[[#This Row],[RC QTDE]] + tabItens[[#This Row],[AF SALDO]] + tabItens[[#This Row],[Recentes]]</f>
        <v>48</v>
      </c>
      <c r="AX760" s="334">
        <v>17</v>
      </c>
      <c r="AY760" s="334">
        <v>4</v>
      </c>
      <c r="AZ760" s="334">
        <f>IF(ISBLANK(tabItens[[#This Row],[CÓDIGO]]),"",tabItens[[#This Row],[PontoMês]] * (AZ$2+tabItens[[#This Row],[PontoQtM]]))</f>
        <v>68</v>
      </c>
      <c r="BA760" s="333">
        <f>tabItens[[#This Row],[PontoPed]] - tabItens[[#This Row],[Saldo]] + (1/10)</f>
        <v>20.100000000000001</v>
      </c>
      <c r="BB760" s="333">
        <f xml:space="preserve"> tabItens[[#This Row],[PontoMês]] * BB$2 - tabItens[[#This Row],[QTDE ATUAL]] - (1/10)</f>
        <v>-1.1000000000000001</v>
      </c>
      <c r="BC760" s="335">
        <f>IF( tabItens[[#This Row],[PontoPed]]&gt;0, IF(tabItens[[#This Row],[PontoPed]]&lt;1, 1, IF( tabItens[[#This Row],[Saldo]]&gt;tabItens[[#This Row],[PontoPed]], 0, (tabItens[[#This Row],[PontoPed]]-tabItens[[#This Row],[Saldo]])/tabItens[[#This Row],[PontoPed]] ) ), 0 )</f>
        <v>0.29411764705882354</v>
      </c>
      <c r="BD760" s="336">
        <f>ROUNDDOWN(IF( OR( AND(tabItens[[#This Row],[PontoPed]]&lt;tabItens[[#This Row],[Saldo]],tabItens[[#This Row],[Saldo]]&gt;0), tabItens[[#This Row],[PontoPed]]=0), 99, IF(AND(tabItens[[#This Row],[Saldo]]=0,tabItens[[#This Row],[PontoPed]]&gt;0), 0, (1-tabItens[[#This Row],[PctAb]])*10 ) ),0)</f>
        <v>7</v>
      </c>
      <c r="BE760" s="337">
        <f>MAX(ROUNDDOWN( IF(tabItens[[#This Row],[Abaixo]] &gt; 0,   tabItens[[#This Row],[Abaixo]] + (tabItens[[#This Row],[PontoMês]] * IF( OR( ISBLANK(tabItens[[#This Row],[ATA Nº/ANO]]), tabItens[[#This Row],[ATA Nº/ANO]] = ""),BE$2,BE$1)),0),0),0)</f>
        <v>122</v>
      </c>
      <c r="BF76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122</v>
      </c>
      <c r="BG760" s="338">
        <f>SUMIF(Consumo!$C$3:$C$862,tabItens[[#This Row],[CÓDIGO]],Consumo!$E$3:$E$862)</f>
        <v>0</v>
      </c>
      <c r="BH760" s="339">
        <f>IF(AND(tabItens[[#This Row],[Pend]] &gt; 0,tabItens[[#This Row],[Consumo]] &lt;&gt; 0), tabItens[[#This Row],[Pend]] / tabItens[[#This Row],[Consumo]], 0 )</f>
        <v>0</v>
      </c>
      <c r="BI760" s="338"/>
      <c r="BJ760" s="338"/>
      <c r="BK760" s="340" t="s">
        <v>2086</v>
      </c>
    </row>
    <row r="761" spans="1:63" hidden="1" x14ac:dyDescent="0.3">
      <c r="A761" s="301">
        <v>105259</v>
      </c>
      <c r="B761" s="302" t="s">
        <v>1622</v>
      </c>
      <c r="C761" s="303" t="s">
        <v>260</v>
      </c>
      <c r="D761" s="304">
        <v>90.87</v>
      </c>
      <c r="E761" s="305"/>
      <c r="F761" s="305"/>
      <c r="G761" s="305" t="s">
        <v>889</v>
      </c>
      <c r="H761" s="306">
        <v>974</v>
      </c>
      <c r="I761" s="307">
        <v>103003</v>
      </c>
      <c r="J761" s="308">
        <v>90.87</v>
      </c>
      <c r="K761" s="309">
        <v>3646</v>
      </c>
      <c r="L761" s="310">
        <f>IF(tabItens[[#This Row],[Média]] &gt; 0, tabItens[[#This Row],[QTDE ATUAL]] / tabItens[[#This Row],[Média]],999.9)</f>
        <v>3.6331986322660867</v>
      </c>
      <c r="M761" s="311">
        <v>0</v>
      </c>
      <c r="N761" s="312">
        <f>tabItens[[#This Row],[VALOR UNIT.]] * tabItens[[#This Row],[LC]]</f>
        <v>0</v>
      </c>
      <c r="O761" s="313"/>
      <c r="P761" s="314"/>
      <c r="Q761" s="315"/>
      <c r="R761" s="312"/>
      <c r="S761" s="316"/>
      <c r="T761" s="317">
        <f>ROUNDDOWN(IFERROR(tabItens[[#This Row],[ATA DT.VALID.]] - $D$1,0) / 30,0)</f>
        <v>-1474</v>
      </c>
      <c r="U761" s="302" t="s">
        <v>1623</v>
      </c>
      <c r="V761" s="318">
        <v>1</v>
      </c>
      <c r="W761" s="319" t="s">
        <v>2073</v>
      </c>
      <c r="X761" s="320">
        <v>57</v>
      </c>
      <c r="Y761" s="321">
        <v>3</v>
      </c>
      <c r="Z761" s="322">
        <v>6216</v>
      </c>
      <c r="AA761" s="323">
        <v>2023</v>
      </c>
      <c r="AB761" s="324">
        <v>500</v>
      </c>
      <c r="AC761" s="324"/>
      <c r="AD761" s="323"/>
      <c r="AE761" s="324"/>
      <c r="AF761" s="317"/>
      <c r="AG761" s="325" t="s">
        <v>2072</v>
      </c>
      <c r="AH761" s="326"/>
      <c r="AI761" s="317">
        <v>1676</v>
      </c>
      <c r="AJ761" s="326">
        <v>44957</v>
      </c>
      <c r="AK761" s="326">
        <v>39505</v>
      </c>
      <c r="AL761" s="326">
        <v>45156</v>
      </c>
      <c r="AM761" s="316"/>
      <c r="AN761" s="305"/>
      <c r="AO761" s="327" t="str">
        <f>_xlfn.IFNA(IF(VLOOKUP(tabItens[[#This Row],[CÓDIGO]],tabExcluirDoEstoque[#Data],1,FALSE),"sim",""),"")</f>
        <v/>
      </c>
      <c r="AP761" s="328" t="str">
        <f ca="1">IF(OR(ISBLANK(tabItens[[#This Row],[ATA DT.VALID.]]),tabItens[[#This Row],[ATA DT.VALID.]]="",tabItens[[#This Row],[ATA DT.VALID.]]=" "),"",IF(TYPE(tabItens[[#This Row],[ATA DT.VALID.]])=1,ROUNDUP((tabItens[[#This Row],[ATA DT.VALID.]]-TODAY())/7,0),""))</f>
        <v/>
      </c>
      <c r="AQ761" s="329"/>
      <c r="AR761" s="330" t="str">
        <f>IF(ISBLANK(tabItens[[#This Row],[CÓDIGO]]),"",IFERROR(VLOOKUP(tabItens[[#This Row],[CÓDIGO]],Consumo!$C$2:$AC$862,26,FALSE),0))</f>
        <v>09.2023</v>
      </c>
      <c r="AS761" s="331">
        <f>SUMIF(Consumo!$C$3:$C$862,tabItens[[#This Row],[CÓDIGO]],Consumo!$N$3:$N$862) + SUMIF(Consumo!$C$3:$C$862,tabItens[[#This Row],[CÓDIGO]],Consumo!$O$3:$O$862) + SUMIF(Consumo!$C$3:$C$862,tabItens[[#This Row],[CÓDIGO]],Consumo!$P$3:$P$862) + SUMIF(Consumo!$C$3:$C$862,tabItens[[#This Row],[CÓDIGO]],Consumo!$Q$3:$Q$862)</f>
        <v>484</v>
      </c>
      <c r="AT761" s="331">
        <f>SUMIF(Consumo!$C$3:$C$862,tabItens[[#This Row],[CÓDIGO]],Consumo!$Z$3:$Z$862)</f>
        <v>4258</v>
      </c>
      <c r="AU761" s="332">
        <f>SUMIF(Consumo!$C$3:$C$862,tabItens[[#This Row],[CÓDIGO]],Consumo!$AA$3:$AA$862)</f>
        <v>3007</v>
      </c>
      <c r="AV761" s="333">
        <f>SUMIF(Consumo!$C$3:$C$862,tabItens[[#This Row],[CÓDIGO]],Consumo!$Y$3:$Y$862)</f>
        <v>268.08333333333331</v>
      </c>
      <c r="AW761" s="306">
        <f>tabItens[[#This Row],[QTDE ATUAL]] + tabItens[[#This Row],[RC QTDE]] + tabItens[[#This Row],[AF SALDO]] + tabItens[[#This Row],[Recentes]]</f>
        <v>1474</v>
      </c>
      <c r="AX761" s="334">
        <v>408</v>
      </c>
      <c r="AY761" s="334">
        <v>4</v>
      </c>
      <c r="AZ761" s="334">
        <f>IF(ISBLANK(tabItens[[#This Row],[CÓDIGO]]),"",tabItens[[#This Row],[PontoMês]] * (AZ$2+tabItens[[#This Row],[PontoQtM]]))</f>
        <v>1632</v>
      </c>
      <c r="BA761" s="333">
        <f>tabItens[[#This Row],[PontoPed]] - tabItens[[#This Row],[Saldo]] + (1/10)</f>
        <v>158.1</v>
      </c>
      <c r="BB761" s="333">
        <f xml:space="preserve"> tabItens[[#This Row],[PontoMês]] * BB$2 - tabItens[[#This Row],[QTDE ATUAL]] - (1/10)</f>
        <v>-566.1</v>
      </c>
      <c r="BC761" s="335">
        <f>IF( tabItens[[#This Row],[PontoPed]]&gt;0, IF(tabItens[[#This Row],[PontoPed]]&lt;1, 1, IF( tabItens[[#This Row],[Saldo]]&gt;tabItens[[#This Row],[PontoPed]], 0, (tabItens[[#This Row],[PontoPed]]-tabItens[[#This Row],[Saldo]])/tabItens[[#This Row],[PontoPed]] ) ), 0 )</f>
        <v>9.6813725490196081E-2</v>
      </c>
      <c r="BD761" s="336">
        <f>ROUNDDOWN(IF( OR( AND(tabItens[[#This Row],[PontoPed]]&lt;tabItens[[#This Row],[Saldo]],tabItens[[#This Row],[Saldo]]&gt;0), tabItens[[#This Row],[PontoPed]]=0), 99, IF(AND(tabItens[[#This Row],[Saldo]]=0,tabItens[[#This Row],[PontoPed]]&gt;0), 0, (1-tabItens[[#This Row],[PctAb]])*10 ) ),0)</f>
        <v>9</v>
      </c>
      <c r="BE761" s="337">
        <f>MAX(ROUNDDOWN( IF(tabItens[[#This Row],[Abaixo]] &gt; 0,   tabItens[[#This Row],[Abaixo]] + (tabItens[[#This Row],[PontoMês]] * IF( OR( ISBLANK(tabItens[[#This Row],[ATA Nº/ANO]]), tabItens[[#This Row],[ATA Nº/ANO]] = ""),BE$2,BE$1)),0),0),0)</f>
        <v>2606</v>
      </c>
      <c r="BF76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2606</v>
      </c>
      <c r="BG761" s="338">
        <f>SUMIF(Consumo!$C$3:$C$862,tabItens[[#This Row],[CÓDIGO]],Consumo!$E$3:$E$862)</f>
        <v>8</v>
      </c>
      <c r="BH761" s="339">
        <f>IF(AND(tabItens[[#This Row],[Pend]] &gt; 0,tabItens[[#This Row],[Consumo]] &lt;&gt; 0), tabItens[[#This Row],[Pend]] / tabItens[[#This Row],[Consumo]], 0 )</f>
        <v>1.8788163457022077E-3</v>
      </c>
      <c r="BI761" s="338"/>
      <c r="BJ761" s="338"/>
      <c r="BK761" s="340" t="s">
        <v>2086</v>
      </c>
    </row>
    <row r="762" spans="1:63" hidden="1" x14ac:dyDescent="0.3">
      <c r="A762" s="301">
        <v>72222</v>
      </c>
      <c r="B762" s="302" t="s">
        <v>1406</v>
      </c>
      <c r="C762" s="303" t="s">
        <v>267</v>
      </c>
      <c r="D762" s="304">
        <v>7.34</v>
      </c>
      <c r="E762" s="305"/>
      <c r="F762" s="305"/>
      <c r="G762" s="305" t="s">
        <v>889</v>
      </c>
      <c r="H762" s="306">
        <v>1582</v>
      </c>
      <c r="I762" s="307">
        <v>103003</v>
      </c>
      <c r="J762" s="308">
        <v>7.34</v>
      </c>
      <c r="K762" s="309">
        <v>154</v>
      </c>
      <c r="L762" s="310">
        <f>IF(tabItens[[#This Row],[Média]] &gt; 0, tabItens[[#This Row],[QTDE ATUAL]] / tabItens[[#This Row],[Média]],999.9)</f>
        <v>84.75</v>
      </c>
      <c r="M762" s="311">
        <v>0</v>
      </c>
      <c r="N762" s="312">
        <f>tabItens[[#This Row],[VALOR UNIT.]] * tabItens[[#This Row],[LC]]</f>
        <v>0</v>
      </c>
      <c r="O762" s="313"/>
      <c r="P762" s="314"/>
      <c r="Q762" s="315"/>
      <c r="R762" s="312"/>
      <c r="S762" s="316"/>
      <c r="T762" s="317">
        <f>ROUNDDOWN(IFERROR(tabItens[[#This Row],[ATA DT.VALID.]] - $D$1,0) / 30,0)</f>
        <v>-1474</v>
      </c>
      <c r="U762" s="302" t="s">
        <v>1407</v>
      </c>
      <c r="V762" s="318">
        <v>1</v>
      </c>
      <c r="W762" s="319" t="s">
        <v>2074</v>
      </c>
      <c r="X762" s="320">
        <v>57</v>
      </c>
      <c r="Y762" s="321">
        <v>6</v>
      </c>
      <c r="Z762" s="322"/>
      <c r="AA762" s="323"/>
      <c r="AB762" s="324"/>
      <c r="AC762" s="324"/>
      <c r="AD762" s="323"/>
      <c r="AE762" s="324"/>
      <c r="AF762" s="317"/>
      <c r="AG762" s="325" t="s">
        <v>2072</v>
      </c>
      <c r="AH762" s="326"/>
      <c r="AI762" s="317">
        <v>76</v>
      </c>
      <c r="AJ762" s="326">
        <v>43622</v>
      </c>
      <c r="AK762" s="326" t="s">
        <v>889</v>
      </c>
      <c r="AL762" s="326">
        <v>43608</v>
      </c>
      <c r="AM762" s="316"/>
      <c r="AN762" s="305"/>
      <c r="AO762" s="327" t="str">
        <f>_xlfn.IFNA(IF(VLOOKUP(tabItens[[#This Row],[CÓDIGO]],tabExcluirDoEstoque[#Data],1,FALSE),"sim",""),"")</f>
        <v/>
      </c>
      <c r="AP762" s="328" t="str">
        <f ca="1">IF(OR(ISBLANK(tabItens[[#This Row],[ATA DT.VALID.]]),tabItens[[#This Row],[ATA DT.VALID.]]="",tabItens[[#This Row],[ATA DT.VALID.]]=" "),"",IF(TYPE(tabItens[[#This Row],[ATA DT.VALID.]])=1,ROUNDUP((tabItens[[#This Row],[ATA DT.VALID.]]-TODAY())/7,0),""))</f>
        <v/>
      </c>
      <c r="AQ762" s="329"/>
      <c r="AR762" s="330" t="str">
        <f>IF(ISBLANK(tabItens[[#This Row],[CÓDIGO]]),"",IFERROR(VLOOKUP(tabItens[[#This Row],[CÓDIGO]],Consumo!$C$2:$AC$862,26,FALSE),0))</f>
        <v>09.2023</v>
      </c>
      <c r="AS762" s="331">
        <f>SUMIF(Consumo!$C$3:$C$862,tabItens[[#This Row],[CÓDIGO]],Consumo!$N$3:$N$862) + SUMIF(Consumo!$C$3:$C$862,tabItens[[#This Row],[CÓDIGO]],Consumo!$O$3:$O$862) + SUMIF(Consumo!$C$3:$C$862,tabItens[[#This Row],[CÓDIGO]],Consumo!$P$3:$P$862) + SUMIF(Consumo!$C$3:$C$862,tabItens[[#This Row],[CÓDIGO]],Consumo!$Q$3:$Q$862)</f>
        <v>66</v>
      </c>
      <c r="AT762" s="331">
        <f>SUMIF(Consumo!$C$3:$C$862,tabItens[[#This Row],[CÓDIGO]],Consumo!$Z$3:$Z$862)</f>
        <v>230</v>
      </c>
      <c r="AU762" s="332">
        <f>SUMIF(Consumo!$C$3:$C$862,tabItens[[#This Row],[CÓDIGO]],Consumo!$AA$3:$AA$862)</f>
        <v>44</v>
      </c>
      <c r="AV762" s="333">
        <f>SUMIF(Consumo!$C$3:$C$862,tabItens[[#This Row],[CÓDIGO]],Consumo!$Y$3:$Y$862)</f>
        <v>18.666666666666668</v>
      </c>
      <c r="AW762" s="306">
        <f>tabItens[[#This Row],[QTDE ATUAL]] + tabItens[[#This Row],[RC QTDE]] + tabItens[[#This Row],[AF SALDO]] + tabItens[[#This Row],[Recentes]]</f>
        <v>1582</v>
      </c>
      <c r="AX762" s="334">
        <v>18</v>
      </c>
      <c r="AY762" s="334">
        <v>4</v>
      </c>
      <c r="AZ762" s="334">
        <f>IF(ISBLANK(tabItens[[#This Row],[CÓDIGO]]),"",tabItens[[#This Row],[PontoMês]] * (AZ$2+tabItens[[#This Row],[PontoQtM]]))</f>
        <v>72</v>
      </c>
      <c r="BA762" s="333">
        <f>tabItens[[#This Row],[PontoPed]] - tabItens[[#This Row],[Saldo]] + (1/10)</f>
        <v>-1509.9</v>
      </c>
      <c r="BB762" s="333">
        <f xml:space="preserve"> tabItens[[#This Row],[PontoMês]] * BB$2 - tabItens[[#This Row],[QTDE ATUAL]] - (1/10)</f>
        <v>-1564.1</v>
      </c>
      <c r="BC762" s="335">
        <f>IF( tabItens[[#This Row],[PontoPed]]&gt;0, IF(tabItens[[#This Row],[PontoPed]]&lt;1, 1, IF( tabItens[[#This Row],[Saldo]]&gt;tabItens[[#This Row],[PontoPed]], 0, (tabItens[[#This Row],[PontoPed]]-tabItens[[#This Row],[Saldo]])/tabItens[[#This Row],[PontoPed]] ) ), 0 )</f>
        <v>0</v>
      </c>
      <c r="BD762" s="336">
        <f>ROUNDDOWN(IF( OR( AND(tabItens[[#This Row],[PontoPed]]&lt;tabItens[[#This Row],[Saldo]],tabItens[[#This Row],[Saldo]]&gt;0), tabItens[[#This Row],[PontoPed]]=0), 99, IF(AND(tabItens[[#This Row],[Saldo]]=0,tabItens[[#This Row],[PontoPed]]&gt;0), 0, (1-tabItens[[#This Row],[PctAb]])*10 ) ),0)</f>
        <v>99</v>
      </c>
      <c r="BE762" s="337">
        <f>MAX(ROUNDDOWN( IF(tabItens[[#This Row],[Abaixo]] &gt; 0,   tabItens[[#This Row],[Abaixo]] + (tabItens[[#This Row],[PontoMês]] * IF( OR( ISBLANK(tabItens[[#This Row],[ATA Nº/ANO]]), tabItens[[#This Row],[ATA Nº/ANO]] = ""),BE$2,BE$1)),0),0),0)</f>
        <v>0</v>
      </c>
      <c r="BF76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2" s="338">
        <f>SUMIF(Consumo!$C$3:$C$862,tabItens[[#This Row],[CÓDIGO]],Consumo!$E$3:$E$862)</f>
        <v>0</v>
      </c>
      <c r="BH762" s="339">
        <f>IF(AND(tabItens[[#This Row],[Pend]] &gt; 0,tabItens[[#This Row],[Consumo]] &lt;&gt; 0), tabItens[[#This Row],[Pend]] / tabItens[[#This Row],[Consumo]], 0 )</f>
        <v>0</v>
      </c>
      <c r="BI762" s="338"/>
      <c r="BJ762" s="338"/>
      <c r="BK762" s="340" t="s">
        <v>2086</v>
      </c>
    </row>
    <row r="763" spans="1:63" hidden="1" x14ac:dyDescent="0.3">
      <c r="A763" s="301">
        <v>132405</v>
      </c>
      <c r="B763" s="302" t="s">
        <v>1835</v>
      </c>
      <c r="C763" s="303" t="s">
        <v>267</v>
      </c>
      <c r="D763" s="304">
        <v>4.9000000000000004</v>
      </c>
      <c r="E763" s="305"/>
      <c r="F763" s="305"/>
      <c r="G763" s="305" t="s">
        <v>889</v>
      </c>
      <c r="H763" s="306">
        <v>2248</v>
      </c>
      <c r="I763" s="307">
        <v>103003</v>
      </c>
      <c r="J763" s="308">
        <v>4.9000000000000004</v>
      </c>
      <c r="K763" s="309">
        <v>128</v>
      </c>
      <c r="L763" s="310">
        <f>IF(tabItens[[#This Row],[Média]] &gt; 0, tabItens[[#This Row],[QTDE ATUAL]] / tabItens[[#This Row],[Média]],999.9)</f>
        <v>139.05154639175257</v>
      </c>
      <c r="M763" s="311">
        <v>0</v>
      </c>
      <c r="N763" s="312">
        <f>tabItens[[#This Row],[VALOR UNIT.]] * tabItens[[#This Row],[LC]]</f>
        <v>0</v>
      </c>
      <c r="O763" s="313"/>
      <c r="P763" s="314"/>
      <c r="Q763" s="315"/>
      <c r="R763" s="312"/>
      <c r="S763" s="316"/>
      <c r="T763" s="317">
        <f>ROUNDDOWN(IFERROR(tabItens[[#This Row],[ATA DT.VALID.]] - $D$1,0) / 30,0)</f>
        <v>-1474</v>
      </c>
      <c r="U763" s="302" t="s">
        <v>1407</v>
      </c>
      <c r="V763" s="318">
        <v>1</v>
      </c>
      <c r="W763" s="319" t="s">
        <v>2074</v>
      </c>
      <c r="X763" s="320">
        <v>57</v>
      </c>
      <c r="Y763" s="321">
        <v>6</v>
      </c>
      <c r="Z763" s="322"/>
      <c r="AA763" s="323"/>
      <c r="AB763" s="324"/>
      <c r="AC763" s="324"/>
      <c r="AD763" s="323"/>
      <c r="AE763" s="324"/>
      <c r="AF763" s="317"/>
      <c r="AG763" s="325" t="s">
        <v>2072</v>
      </c>
      <c r="AH763" s="326"/>
      <c r="AI763" s="317">
        <v>66</v>
      </c>
      <c r="AJ763" s="326">
        <v>43628</v>
      </c>
      <c r="AK763" s="326">
        <v>42773</v>
      </c>
      <c r="AL763" s="326">
        <v>43607</v>
      </c>
      <c r="AM763" s="316"/>
      <c r="AN763" s="305"/>
      <c r="AO763" s="327" t="str">
        <f>_xlfn.IFNA(IF(VLOOKUP(tabItens[[#This Row],[CÓDIGO]],tabExcluirDoEstoque[#Data],1,FALSE),"sim",""),"")</f>
        <v/>
      </c>
      <c r="AP763" s="328" t="str">
        <f ca="1">IF(OR(ISBLANK(tabItens[[#This Row],[ATA DT.VALID.]]),tabItens[[#This Row],[ATA DT.VALID.]]="",tabItens[[#This Row],[ATA DT.VALID.]]=" "),"",IF(TYPE(tabItens[[#This Row],[ATA DT.VALID.]])=1,ROUNDUP((tabItens[[#This Row],[ATA DT.VALID.]]-TODAY())/7,0),""))</f>
        <v/>
      </c>
      <c r="AQ763" s="329"/>
      <c r="AR763" s="330" t="str">
        <f>IF(ISBLANK(tabItens[[#This Row],[CÓDIGO]]),"",IFERROR(VLOOKUP(tabItens[[#This Row],[CÓDIGO]],Consumo!$C$2:$AC$862,26,FALSE),0))</f>
        <v>09.2023</v>
      </c>
      <c r="AS763" s="331">
        <f>SUMIF(Consumo!$C$3:$C$862,tabItens[[#This Row],[CÓDIGO]],Consumo!$N$3:$N$862) + SUMIF(Consumo!$C$3:$C$862,tabItens[[#This Row],[CÓDIGO]],Consumo!$O$3:$O$862) + SUMIF(Consumo!$C$3:$C$862,tabItens[[#This Row],[CÓDIGO]],Consumo!$P$3:$P$862) + SUMIF(Consumo!$C$3:$C$862,tabItens[[#This Row],[CÓDIGO]],Consumo!$Q$3:$Q$862)</f>
        <v>61</v>
      </c>
      <c r="AT763" s="331">
        <f>SUMIF(Consumo!$C$3:$C$862,tabItens[[#This Row],[CÓDIGO]],Consumo!$Z$3:$Z$862)</f>
        <v>195</v>
      </c>
      <c r="AU763" s="332">
        <f>SUMIF(Consumo!$C$3:$C$862,tabItens[[#This Row],[CÓDIGO]],Consumo!$AA$3:$AA$862)</f>
        <v>31</v>
      </c>
      <c r="AV763" s="333">
        <f>SUMIF(Consumo!$C$3:$C$862,tabItens[[#This Row],[CÓDIGO]],Consumo!$Y$3:$Y$862)</f>
        <v>16.166666666666668</v>
      </c>
      <c r="AW763" s="306">
        <f>tabItens[[#This Row],[QTDE ATUAL]] + tabItens[[#This Row],[RC QTDE]] + tabItens[[#This Row],[AF SALDO]] + tabItens[[#This Row],[Recentes]]</f>
        <v>2248</v>
      </c>
      <c r="AX763" s="334">
        <v>16</v>
      </c>
      <c r="AY763" s="334">
        <v>4</v>
      </c>
      <c r="AZ763" s="334">
        <f>IF(ISBLANK(tabItens[[#This Row],[CÓDIGO]]),"",tabItens[[#This Row],[PontoMês]] * (AZ$2+tabItens[[#This Row],[PontoQtM]]))</f>
        <v>64</v>
      </c>
      <c r="BA763" s="333">
        <f>tabItens[[#This Row],[PontoPed]] - tabItens[[#This Row],[Saldo]] + (1/10)</f>
        <v>-2183.9</v>
      </c>
      <c r="BB763" s="333">
        <f xml:space="preserve"> tabItens[[#This Row],[PontoMês]] * BB$2 - tabItens[[#This Row],[QTDE ATUAL]] - (1/10)</f>
        <v>-2232.1</v>
      </c>
      <c r="BC763" s="335">
        <f>IF( tabItens[[#This Row],[PontoPed]]&gt;0, IF(tabItens[[#This Row],[PontoPed]]&lt;1, 1, IF( tabItens[[#This Row],[Saldo]]&gt;tabItens[[#This Row],[PontoPed]], 0, (tabItens[[#This Row],[PontoPed]]-tabItens[[#This Row],[Saldo]])/tabItens[[#This Row],[PontoPed]] ) ), 0 )</f>
        <v>0</v>
      </c>
      <c r="BD763" s="336">
        <f>ROUNDDOWN(IF( OR( AND(tabItens[[#This Row],[PontoPed]]&lt;tabItens[[#This Row],[Saldo]],tabItens[[#This Row],[Saldo]]&gt;0), tabItens[[#This Row],[PontoPed]]=0), 99, IF(AND(tabItens[[#This Row],[Saldo]]=0,tabItens[[#This Row],[PontoPed]]&gt;0), 0, (1-tabItens[[#This Row],[PctAb]])*10 ) ),0)</f>
        <v>99</v>
      </c>
      <c r="BE763" s="337">
        <f>MAX(ROUNDDOWN( IF(tabItens[[#This Row],[Abaixo]] &gt; 0,   tabItens[[#This Row],[Abaixo]] + (tabItens[[#This Row],[PontoMês]] * IF( OR( ISBLANK(tabItens[[#This Row],[ATA Nº/ANO]]), tabItens[[#This Row],[ATA Nº/ANO]] = ""),BE$2,BE$1)),0),0),0)</f>
        <v>0</v>
      </c>
      <c r="BF76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3" s="338">
        <f>SUMIF(Consumo!$C$3:$C$862,tabItens[[#This Row],[CÓDIGO]],Consumo!$E$3:$E$862)</f>
        <v>0</v>
      </c>
      <c r="BH763" s="339">
        <f>IF(AND(tabItens[[#This Row],[Pend]] &gt; 0,tabItens[[#This Row],[Consumo]] &lt;&gt; 0), tabItens[[#This Row],[Pend]] / tabItens[[#This Row],[Consumo]], 0 )</f>
        <v>0</v>
      </c>
      <c r="BI763" s="338"/>
      <c r="BJ763" s="338"/>
      <c r="BK763" s="340" t="s">
        <v>2086</v>
      </c>
    </row>
    <row r="764" spans="1:63" hidden="1" x14ac:dyDescent="0.3">
      <c r="A764" s="301">
        <v>132407</v>
      </c>
      <c r="B764" s="302" t="s">
        <v>1836</v>
      </c>
      <c r="C764" s="303" t="s">
        <v>267</v>
      </c>
      <c r="D764" s="304">
        <v>9.4700000000000006</v>
      </c>
      <c r="E764" s="305"/>
      <c r="F764" s="305"/>
      <c r="G764" s="305" t="s">
        <v>889</v>
      </c>
      <c r="H764" s="306">
        <v>2247</v>
      </c>
      <c r="I764" s="307">
        <v>103003</v>
      </c>
      <c r="J764" s="308">
        <v>9.4700000000000006</v>
      </c>
      <c r="K764" s="309">
        <v>133</v>
      </c>
      <c r="L764" s="310">
        <f>IF(tabItens[[#This Row],[Média]] &gt; 0, tabItens[[#This Row],[QTDE ATUAL]] / tabItens[[#This Row],[Média]],999.9)</f>
        <v>142.66666666666666</v>
      </c>
      <c r="M764" s="311">
        <v>0</v>
      </c>
      <c r="N764" s="312">
        <f>tabItens[[#This Row],[VALOR UNIT.]] * tabItens[[#This Row],[LC]]</f>
        <v>0</v>
      </c>
      <c r="O764" s="313"/>
      <c r="P764" s="314"/>
      <c r="Q764" s="315"/>
      <c r="R764" s="312"/>
      <c r="S764" s="316"/>
      <c r="T764" s="317">
        <f>ROUNDDOWN(IFERROR(tabItens[[#This Row],[ATA DT.VALID.]] - $D$1,0) / 30,0)</f>
        <v>-1474</v>
      </c>
      <c r="U764" s="302" t="s">
        <v>1407</v>
      </c>
      <c r="V764" s="318">
        <v>1</v>
      </c>
      <c r="W764" s="319" t="s">
        <v>2074</v>
      </c>
      <c r="X764" s="320">
        <v>57</v>
      </c>
      <c r="Y764" s="321">
        <v>6</v>
      </c>
      <c r="Z764" s="322"/>
      <c r="AA764" s="323"/>
      <c r="AB764" s="324"/>
      <c r="AC764" s="324"/>
      <c r="AD764" s="323"/>
      <c r="AE764" s="324"/>
      <c r="AF764" s="317"/>
      <c r="AG764" s="325" t="s">
        <v>2072</v>
      </c>
      <c r="AH764" s="326"/>
      <c r="AI764" s="317">
        <v>64</v>
      </c>
      <c r="AJ764" s="326">
        <v>43627</v>
      </c>
      <c r="AK764" s="326">
        <v>42773</v>
      </c>
      <c r="AL764" s="326">
        <v>43608</v>
      </c>
      <c r="AM764" s="316"/>
      <c r="AN764" s="305"/>
      <c r="AO764" s="327" t="str">
        <f>_xlfn.IFNA(IF(VLOOKUP(tabItens[[#This Row],[CÓDIGO]],tabExcluirDoEstoque[#Data],1,FALSE),"sim",""),"")</f>
        <v/>
      </c>
      <c r="AP764" s="328" t="str">
        <f ca="1">IF(OR(ISBLANK(tabItens[[#This Row],[ATA DT.VALID.]]),tabItens[[#This Row],[ATA DT.VALID.]]="",tabItens[[#This Row],[ATA DT.VALID.]]=" "),"",IF(TYPE(tabItens[[#This Row],[ATA DT.VALID.]])=1,ROUNDUP((tabItens[[#This Row],[ATA DT.VALID.]]-TODAY())/7,0),""))</f>
        <v/>
      </c>
      <c r="AQ764" s="329"/>
      <c r="AR764" s="330" t="str">
        <f>IF(ISBLANK(tabItens[[#This Row],[CÓDIGO]]),"",IFERROR(VLOOKUP(tabItens[[#This Row],[CÓDIGO]],Consumo!$C$2:$AC$862,26,FALSE),0))</f>
        <v>09.2023</v>
      </c>
      <c r="AS764" s="331">
        <f>SUMIF(Consumo!$C$3:$C$862,tabItens[[#This Row],[CÓDIGO]],Consumo!$N$3:$N$862) + SUMIF(Consumo!$C$3:$C$862,tabItens[[#This Row],[CÓDIGO]],Consumo!$O$3:$O$862) + SUMIF(Consumo!$C$3:$C$862,tabItens[[#This Row],[CÓDIGO]],Consumo!$P$3:$P$862) + SUMIF(Consumo!$C$3:$C$862,tabItens[[#This Row],[CÓDIGO]],Consumo!$Q$3:$Q$862)</f>
        <v>61</v>
      </c>
      <c r="AT764" s="331">
        <f>SUMIF(Consumo!$C$3:$C$862,tabItens[[#This Row],[CÓDIGO]],Consumo!$Z$3:$Z$862)</f>
        <v>193</v>
      </c>
      <c r="AU764" s="332">
        <f>SUMIF(Consumo!$C$3:$C$862,tabItens[[#This Row],[CÓDIGO]],Consumo!$AA$3:$AA$862)</f>
        <v>36</v>
      </c>
      <c r="AV764" s="333">
        <f>SUMIF(Consumo!$C$3:$C$862,tabItens[[#This Row],[CÓDIGO]],Consumo!$Y$3:$Y$862)</f>
        <v>15.75</v>
      </c>
      <c r="AW764" s="306">
        <f>tabItens[[#This Row],[QTDE ATUAL]] + tabItens[[#This Row],[RC QTDE]] + tabItens[[#This Row],[AF SALDO]] + tabItens[[#This Row],[Recentes]]</f>
        <v>2247</v>
      </c>
      <c r="AX764" s="334">
        <v>17</v>
      </c>
      <c r="AY764" s="334">
        <v>4</v>
      </c>
      <c r="AZ764" s="334">
        <f>IF(ISBLANK(tabItens[[#This Row],[CÓDIGO]]),"",tabItens[[#This Row],[PontoMês]] * (AZ$2+tabItens[[#This Row],[PontoQtM]]))</f>
        <v>68</v>
      </c>
      <c r="BA764" s="333">
        <f>tabItens[[#This Row],[PontoPed]] - tabItens[[#This Row],[Saldo]] + (1/10)</f>
        <v>-2178.9</v>
      </c>
      <c r="BB764" s="333">
        <f xml:space="preserve"> tabItens[[#This Row],[PontoMês]] * BB$2 - tabItens[[#This Row],[QTDE ATUAL]] - (1/10)</f>
        <v>-2230.1</v>
      </c>
      <c r="BC764" s="335">
        <f>IF( tabItens[[#This Row],[PontoPed]]&gt;0, IF(tabItens[[#This Row],[PontoPed]]&lt;1, 1, IF( tabItens[[#This Row],[Saldo]]&gt;tabItens[[#This Row],[PontoPed]], 0, (tabItens[[#This Row],[PontoPed]]-tabItens[[#This Row],[Saldo]])/tabItens[[#This Row],[PontoPed]] ) ), 0 )</f>
        <v>0</v>
      </c>
      <c r="BD764" s="336">
        <f>ROUNDDOWN(IF( OR( AND(tabItens[[#This Row],[PontoPed]]&lt;tabItens[[#This Row],[Saldo]],tabItens[[#This Row],[Saldo]]&gt;0), tabItens[[#This Row],[PontoPed]]=0), 99, IF(AND(tabItens[[#This Row],[Saldo]]=0,tabItens[[#This Row],[PontoPed]]&gt;0), 0, (1-tabItens[[#This Row],[PctAb]])*10 ) ),0)</f>
        <v>99</v>
      </c>
      <c r="BE764" s="337">
        <f>MAX(ROUNDDOWN( IF(tabItens[[#This Row],[Abaixo]] &gt; 0,   tabItens[[#This Row],[Abaixo]] + (tabItens[[#This Row],[PontoMês]] * IF( OR( ISBLANK(tabItens[[#This Row],[ATA Nº/ANO]]), tabItens[[#This Row],[ATA Nº/ANO]] = ""),BE$2,BE$1)),0),0),0)</f>
        <v>0</v>
      </c>
      <c r="BF76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4" s="338">
        <f>SUMIF(Consumo!$C$3:$C$862,tabItens[[#This Row],[CÓDIGO]],Consumo!$E$3:$E$862)</f>
        <v>0</v>
      </c>
      <c r="BH764" s="339">
        <f>IF(AND(tabItens[[#This Row],[Pend]] &gt; 0,tabItens[[#This Row],[Consumo]] &lt;&gt; 0), tabItens[[#This Row],[Pend]] / tabItens[[#This Row],[Consumo]], 0 )</f>
        <v>0</v>
      </c>
      <c r="BI764" s="338"/>
      <c r="BJ764" s="338"/>
      <c r="BK764" s="340" t="s">
        <v>2086</v>
      </c>
    </row>
    <row r="765" spans="1:63" hidden="1" x14ac:dyDescent="0.3">
      <c r="A765" s="301">
        <v>63991</v>
      </c>
      <c r="B765" s="302" t="s">
        <v>1367</v>
      </c>
      <c r="C765" s="303" t="s">
        <v>847</v>
      </c>
      <c r="D765" s="304">
        <v>4.3</v>
      </c>
      <c r="E765" s="305"/>
      <c r="F765" s="305"/>
      <c r="G765" s="305" t="s">
        <v>889</v>
      </c>
      <c r="H765" s="306">
        <v>3648</v>
      </c>
      <c r="I765" s="307">
        <v>103003</v>
      </c>
      <c r="J765" s="308">
        <v>4.3</v>
      </c>
      <c r="K765" s="309">
        <v>2731</v>
      </c>
      <c r="L765" s="310">
        <f>IF(tabItens[[#This Row],[Média]] &gt; 0, tabItens[[#This Row],[QTDE ATUAL]] / tabItens[[#This Row],[Média]],999.9)</f>
        <v>12.685018835120255</v>
      </c>
      <c r="M765" s="311">
        <v>0</v>
      </c>
      <c r="N765" s="312">
        <f>tabItens[[#This Row],[VALOR UNIT.]] * tabItens[[#This Row],[LC]]</f>
        <v>0</v>
      </c>
      <c r="O765" s="313"/>
      <c r="P765" s="314"/>
      <c r="Q765" s="315"/>
      <c r="R765" s="312"/>
      <c r="S765" s="316"/>
      <c r="T765" s="317">
        <f>ROUNDDOWN(IFERROR(tabItens[[#This Row],[ATA DT.VALID.]] - $D$1,0) / 30,0)</f>
        <v>-1474</v>
      </c>
      <c r="U765" s="302" t="s">
        <v>1368</v>
      </c>
      <c r="V765" s="318">
        <v>1</v>
      </c>
      <c r="W765" s="319" t="s">
        <v>2074</v>
      </c>
      <c r="X765" s="320">
        <v>58</v>
      </c>
      <c r="Y765" s="321">
        <v>8</v>
      </c>
      <c r="Z765" s="322"/>
      <c r="AA765" s="323"/>
      <c r="AB765" s="324"/>
      <c r="AC765" s="324"/>
      <c r="AD765" s="323"/>
      <c r="AE765" s="324"/>
      <c r="AF765" s="317"/>
      <c r="AG765" s="325" t="s">
        <v>2072</v>
      </c>
      <c r="AH765" s="326"/>
      <c r="AI765" s="317">
        <v>1200</v>
      </c>
      <c r="AJ765" s="326">
        <v>45069</v>
      </c>
      <c r="AK765" s="326" t="s">
        <v>889</v>
      </c>
      <c r="AL765" s="326">
        <v>45020</v>
      </c>
      <c r="AM765" s="316"/>
      <c r="AN765" s="305"/>
      <c r="AO765" s="327" t="str">
        <f>_xlfn.IFNA(IF(VLOOKUP(tabItens[[#This Row],[CÓDIGO]],tabExcluirDoEstoque[#Data],1,FALSE),"sim",""),"")</f>
        <v/>
      </c>
      <c r="AP765" s="328" t="str">
        <f ca="1">IF(OR(ISBLANK(tabItens[[#This Row],[ATA DT.VALID.]]),tabItens[[#This Row],[ATA DT.VALID.]]="",tabItens[[#This Row],[ATA DT.VALID.]]=" "),"",IF(TYPE(tabItens[[#This Row],[ATA DT.VALID.]])=1,ROUNDUP((tabItens[[#This Row],[ATA DT.VALID.]]-TODAY())/7,0),""))</f>
        <v/>
      </c>
      <c r="AQ765" s="329"/>
      <c r="AR765" s="330" t="str">
        <f>IF(ISBLANK(tabItens[[#This Row],[CÓDIGO]]),"",IFERROR(VLOOKUP(tabItens[[#This Row],[CÓDIGO]],Consumo!$C$2:$AC$862,26,FALSE),0))</f>
        <v>09.2023</v>
      </c>
      <c r="AS765" s="331">
        <f>SUMIF(Consumo!$C$3:$C$862,tabItens[[#This Row],[CÓDIGO]],Consumo!$N$3:$N$862) + SUMIF(Consumo!$C$3:$C$862,tabItens[[#This Row],[CÓDIGO]],Consumo!$O$3:$O$862) + SUMIF(Consumo!$C$3:$C$862,tabItens[[#This Row],[CÓDIGO]],Consumo!$P$3:$P$862) + SUMIF(Consumo!$C$3:$C$862,tabItens[[#This Row],[CÓDIGO]],Consumo!$Q$3:$Q$862)</f>
        <v>1105</v>
      </c>
      <c r="AT765" s="331">
        <f>SUMIF(Consumo!$C$3:$C$862,tabItens[[#This Row],[CÓDIGO]],Consumo!$Z$3:$Z$862)</f>
        <v>3812</v>
      </c>
      <c r="AU765" s="332">
        <f>SUMIF(Consumo!$C$3:$C$862,tabItens[[#This Row],[CÓDIGO]],Consumo!$AA$3:$AA$862)</f>
        <v>1319</v>
      </c>
      <c r="AV765" s="333">
        <f>SUMIF(Consumo!$C$3:$C$862,tabItens[[#This Row],[CÓDIGO]],Consumo!$Y$3:$Y$862)</f>
        <v>287.58333333333331</v>
      </c>
      <c r="AW765" s="306">
        <f>tabItens[[#This Row],[QTDE ATUAL]] + tabItens[[#This Row],[RC QTDE]] + tabItens[[#This Row],[AF SALDO]] + tabItens[[#This Row],[Recentes]]</f>
        <v>3648</v>
      </c>
      <c r="AX765" s="334">
        <v>485</v>
      </c>
      <c r="AY765" s="334">
        <v>4</v>
      </c>
      <c r="AZ765" s="334">
        <f>IF(ISBLANK(tabItens[[#This Row],[CÓDIGO]]),"",tabItens[[#This Row],[PontoMês]] * (AZ$2+tabItens[[#This Row],[PontoQtM]]))</f>
        <v>1940</v>
      </c>
      <c r="BA765" s="333">
        <f>tabItens[[#This Row],[PontoPed]] - tabItens[[#This Row],[Saldo]] + (1/10)</f>
        <v>-1707.9</v>
      </c>
      <c r="BB765" s="333">
        <f xml:space="preserve"> tabItens[[#This Row],[PontoMês]] * BB$2 - tabItens[[#This Row],[QTDE ATUAL]] - (1/10)</f>
        <v>-3163.1</v>
      </c>
      <c r="BC765" s="335">
        <f>IF( tabItens[[#This Row],[PontoPed]]&gt;0, IF(tabItens[[#This Row],[PontoPed]]&lt;1, 1, IF( tabItens[[#This Row],[Saldo]]&gt;tabItens[[#This Row],[PontoPed]], 0, (tabItens[[#This Row],[PontoPed]]-tabItens[[#This Row],[Saldo]])/tabItens[[#This Row],[PontoPed]] ) ), 0 )</f>
        <v>0</v>
      </c>
      <c r="BD765" s="336">
        <f>ROUNDDOWN(IF( OR( AND(tabItens[[#This Row],[PontoPed]]&lt;tabItens[[#This Row],[Saldo]],tabItens[[#This Row],[Saldo]]&gt;0), tabItens[[#This Row],[PontoPed]]=0), 99, IF(AND(tabItens[[#This Row],[Saldo]]=0,tabItens[[#This Row],[PontoPed]]&gt;0), 0, (1-tabItens[[#This Row],[PctAb]])*10 ) ),0)</f>
        <v>99</v>
      </c>
      <c r="BE765" s="337">
        <f>MAX(ROUNDDOWN( IF(tabItens[[#This Row],[Abaixo]] &gt; 0,   tabItens[[#This Row],[Abaixo]] + (tabItens[[#This Row],[PontoMês]] * IF( OR( ISBLANK(tabItens[[#This Row],[ATA Nº/ANO]]), tabItens[[#This Row],[ATA Nº/ANO]] = ""),BE$2,BE$1)),0),0),0)</f>
        <v>0</v>
      </c>
      <c r="BF76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5" s="338">
        <f>SUMIF(Consumo!$C$3:$C$862,tabItens[[#This Row],[CÓDIGO]],Consumo!$E$3:$E$862)</f>
        <v>210</v>
      </c>
      <c r="BH765" s="339">
        <f>IF(AND(tabItens[[#This Row],[Pend]] &gt; 0,tabItens[[#This Row],[Consumo]] &lt;&gt; 0), tabItens[[#This Row],[Pend]] / tabItens[[#This Row],[Consumo]], 0 )</f>
        <v>5.5089192025183628E-2</v>
      </c>
      <c r="BI765" s="338"/>
      <c r="BJ765" s="338"/>
      <c r="BK765" s="340" t="s">
        <v>2086</v>
      </c>
    </row>
    <row r="766" spans="1:63" hidden="1" x14ac:dyDescent="0.3">
      <c r="A766" s="301">
        <v>98732</v>
      </c>
      <c r="B766" s="302" t="s">
        <v>1568</v>
      </c>
      <c r="C766" s="303" t="s">
        <v>31</v>
      </c>
      <c r="D766" s="304">
        <v>134</v>
      </c>
      <c r="E766" s="305"/>
      <c r="F766" s="305"/>
      <c r="G766" s="305" t="s">
        <v>889</v>
      </c>
      <c r="H766" s="306">
        <v>55</v>
      </c>
      <c r="I766" s="307">
        <v>103003</v>
      </c>
      <c r="J766" s="308">
        <v>143.14286000000001</v>
      </c>
      <c r="K766" s="309"/>
      <c r="L766" s="310">
        <f>IF(tabItens[[#This Row],[Média]] &gt; 0, tabItens[[#This Row],[QTDE ATUAL]] / tabItens[[#This Row],[Média]],999.9)</f>
        <v>999.9</v>
      </c>
      <c r="M766" s="311">
        <v>0</v>
      </c>
      <c r="N766" s="312">
        <f>tabItens[[#This Row],[VALOR UNIT.]] * tabItens[[#This Row],[LC]]</f>
        <v>0</v>
      </c>
      <c r="O766" s="313"/>
      <c r="P766" s="314"/>
      <c r="Q766" s="315"/>
      <c r="R766" s="312"/>
      <c r="S766" s="316"/>
      <c r="T766" s="317">
        <f>ROUNDDOWN(IFERROR(tabItens[[#This Row],[ATA DT.VALID.]] - $D$1,0) / 30,0)</f>
        <v>-1474</v>
      </c>
      <c r="U766" s="302" t="s">
        <v>1569</v>
      </c>
      <c r="V766" s="318">
        <v>1</v>
      </c>
      <c r="W766" s="319" t="s">
        <v>2083</v>
      </c>
      <c r="X766" s="320">
        <v>58</v>
      </c>
      <c r="Y766" s="321">
        <v>14</v>
      </c>
      <c r="Z766" s="322"/>
      <c r="AA766" s="323"/>
      <c r="AB766" s="324"/>
      <c r="AC766" s="324"/>
      <c r="AD766" s="323"/>
      <c r="AE766" s="324"/>
      <c r="AF766" s="317"/>
      <c r="AG766" s="325" t="s">
        <v>2072</v>
      </c>
      <c r="AH766" s="326"/>
      <c r="AI766" s="317">
        <v>0</v>
      </c>
      <c r="AJ766" s="326">
        <v>43619</v>
      </c>
      <c r="AK766" s="326">
        <v>39184</v>
      </c>
      <c r="AL766" s="326">
        <v>43585</v>
      </c>
      <c r="AM766" s="316"/>
      <c r="AN766" s="305"/>
      <c r="AO766" s="327" t="str">
        <f>_xlfn.IFNA(IF(VLOOKUP(tabItens[[#This Row],[CÓDIGO]],tabExcluirDoEstoque[#Data],1,FALSE),"sim",""),"")</f>
        <v/>
      </c>
      <c r="AP766" s="328" t="str">
        <f ca="1">IF(OR(ISBLANK(tabItens[[#This Row],[ATA DT.VALID.]]),tabItens[[#This Row],[ATA DT.VALID.]]="",tabItens[[#This Row],[ATA DT.VALID.]]=" "),"",IF(TYPE(tabItens[[#This Row],[ATA DT.VALID.]])=1,ROUNDUP((tabItens[[#This Row],[ATA DT.VALID.]]-TODAY())/7,0),""))</f>
        <v/>
      </c>
      <c r="AQ766" s="329"/>
      <c r="AR766" s="330">
        <f>IF(ISBLANK(tabItens[[#This Row],[CÓDIGO]]),"",IFERROR(VLOOKUP(tabItens[[#This Row],[CÓDIGO]],Consumo!$C$2:$AC$862,26,FALSE),0))</f>
        <v>0</v>
      </c>
      <c r="AS766" s="331">
        <f>SUMIF(Consumo!$C$3:$C$862,tabItens[[#This Row],[CÓDIGO]],Consumo!$N$3:$N$862) + SUMIF(Consumo!$C$3:$C$862,tabItens[[#This Row],[CÓDIGO]],Consumo!$O$3:$O$862) + SUMIF(Consumo!$C$3:$C$862,tabItens[[#This Row],[CÓDIGO]],Consumo!$P$3:$P$862) + SUMIF(Consumo!$C$3:$C$862,tabItens[[#This Row],[CÓDIGO]],Consumo!$Q$3:$Q$862)</f>
        <v>0</v>
      </c>
      <c r="AT766" s="331">
        <f>SUMIF(Consumo!$C$3:$C$862,tabItens[[#This Row],[CÓDIGO]],Consumo!$Z$3:$Z$862)</f>
        <v>0</v>
      </c>
      <c r="AU766" s="332">
        <f>SUMIF(Consumo!$C$3:$C$862,tabItens[[#This Row],[CÓDIGO]],Consumo!$AA$3:$AA$862)</f>
        <v>0</v>
      </c>
      <c r="AV766" s="333">
        <f>SUMIF(Consumo!$C$3:$C$862,tabItens[[#This Row],[CÓDIGO]],Consumo!$Y$3:$Y$862)</f>
        <v>0</v>
      </c>
      <c r="AW766" s="306">
        <f>tabItens[[#This Row],[QTDE ATUAL]] + tabItens[[#This Row],[RC QTDE]] + tabItens[[#This Row],[AF SALDO]] + tabItens[[#This Row],[Recentes]]</f>
        <v>55</v>
      </c>
      <c r="AX766" s="334">
        <v>1</v>
      </c>
      <c r="AY766" s="334">
        <v>4</v>
      </c>
      <c r="AZ766" s="334">
        <f>IF(ISBLANK(tabItens[[#This Row],[CÓDIGO]]),"",tabItens[[#This Row],[PontoMês]] * (AZ$2+tabItens[[#This Row],[PontoQtM]]))</f>
        <v>4</v>
      </c>
      <c r="BA766" s="333">
        <f>tabItens[[#This Row],[PontoPed]] - tabItens[[#This Row],[Saldo]] + (1/10)</f>
        <v>-50.9</v>
      </c>
      <c r="BB766" s="333">
        <f xml:space="preserve"> tabItens[[#This Row],[PontoMês]] * BB$2 - tabItens[[#This Row],[QTDE ATUAL]] - (1/10)</f>
        <v>-54.1</v>
      </c>
      <c r="BC766" s="335">
        <f>IF( tabItens[[#This Row],[PontoPed]]&gt;0, IF(tabItens[[#This Row],[PontoPed]]&lt;1, 1, IF( tabItens[[#This Row],[Saldo]]&gt;tabItens[[#This Row],[PontoPed]], 0, (tabItens[[#This Row],[PontoPed]]-tabItens[[#This Row],[Saldo]])/tabItens[[#This Row],[PontoPed]] ) ), 0 )</f>
        <v>0</v>
      </c>
      <c r="BD766" s="336">
        <f>ROUNDDOWN(IF( OR( AND(tabItens[[#This Row],[PontoPed]]&lt;tabItens[[#This Row],[Saldo]],tabItens[[#This Row],[Saldo]]&gt;0), tabItens[[#This Row],[PontoPed]]=0), 99, IF(AND(tabItens[[#This Row],[Saldo]]=0,tabItens[[#This Row],[PontoPed]]&gt;0), 0, (1-tabItens[[#This Row],[PctAb]])*10 ) ),0)</f>
        <v>99</v>
      </c>
      <c r="BE766" s="337">
        <f>MAX(ROUNDDOWN( IF(tabItens[[#This Row],[Abaixo]] &gt; 0,   tabItens[[#This Row],[Abaixo]] + (tabItens[[#This Row],[PontoMês]] * IF( OR( ISBLANK(tabItens[[#This Row],[ATA Nº/ANO]]), tabItens[[#This Row],[ATA Nº/ANO]] = ""),BE$2,BE$1)),0),0),0)</f>
        <v>0</v>
      </c>
      <c r="BF76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6" s="338">
        <f>SUMIF(Consumo!$C$3:$C$862,tabItens[[#This Row],[CÓDIGO]],Consumo!$E$3:$E$862)</f>
        <v>0</v>
      </c>
      <c r="BH766" s="339">
        <f>IF(AND(tabItens[[#This Row],[Pend]] &gt; 0,tabItens[[#This Row],[Consumo]] &lt;&gt; 0), tabItens[[#This Row],[Pend]] / tabItens[[#This Row],[Consumo]], 0 )</f>
        <v>0</v>
      </c>
      <c r="BI766" s="338"/>
      <c r="BJ766" s="338"/>
      <c r="BK766" s="340" t="s">
        <v>2086</v>
      </c>
    </row>
    <row r="767" spans="1:63" hidden="1" x14ac:dyDescent="0.3">
      <c r="A767" s="301">
        <v>98733</v>
      </c>
      <c r="B767" s="302" t="s">
        <v>1570</v>
      </c>
      <c r="C767" s="303" t="s">
        <v>31</v>
      </c>
      <c r="D767" s="304">
        <v>134</v>
      </c>
      <c r="E767" s="305"/>
      <c r="F767" s="305"/>
      <c r="G767" s="305" t="s">
        <v>889</v>
      </c>
      <c r="H767" s="306">
        <v>41</v>
      </c>
      <c r="I767" s="307">
        <v>103003</v>
      </c>
      <c r="J767" s="308">
        <v>144.25</v>
      </c>
      <c r="K767" s="309"/>
      <c r="L767" s="310">
        <f>IF(tabItens[[#This Row],[Média]] &gt; 0, tabItens[[#This Row],[QTDE ATUAL]] / tabItens[[#This Row],[Média]],999.9)</f>
        <v>999.9</v>
      </c>
      <c r="M767" s="311">
        <v>0</v>
      </c>
      <c r="N767" s="312">
        <f>tabItens[[#This Row],[VALOR UNIT.]] * tabItens[[#This Row],[LC]]</f>
        <v>0</v>
      </c>
      <c r="O767" s="313"/>
      <c r="P767" s="314"/>
      <c r="Q767" s="315"/>
      <c r="R767" s="312"/>
      <c r="S767" s="316"/>
      <c r="T767" s="317">
        <f>ROUNDDOWN(IFERROR(tabItens[[#This Row],[ATA DT.VALID.]] - $D$1,0) / 30,0)</f>
        <v>-1474</v>
      </c>
      <c r="U767" s="302" t="s">
        <v>1569</v>
      </c>
      <c r="V767" s="318">
        <v>1</v>
      </c>
      <c r="W767" s="319" t="s">
        <v>2083</v>
      </c>
      <c r="X767" s="320">
        <v>58</v>
      </c>
      <c r="Y767" s="321">
        <v>14</v>
      </c>
      <c r="Z767" s="322"/>
      <c r="AA767" s="323"/>
      <c r="AB767" s="324"/>
      <c r="AC767" s="324"/>
      <c r="AD767" s="323"/>
      <c r="AE767" s="324"/>
      <c r="AF767" s="317"/>
      <c r="AG767" s="325" t="s">
        <v>2072</v>
      </c>
      <c r="AH767" s="326"/>
      <c r="AI767" s="317">
        <v>0</v>
      </c>
      <c r="AJ767" s="326">
        <v>43613</v>
      </c>
      <c r="AK767" s="326">
        <v>39184</v>
      </c>
      <c r="AL767" s="326">
        <v>43585</v>
      </c>
      <c r="AM767" s="316"/>
      <c r="AN767" s="305"/>
      <c r="AO767" s="327" t="str">
        <f>_xlfn.IFNA(IF(VLOOKUP(tabItens[[#This Row],[CÓDIGO]],tabExcluirDoEstoque[#Data],1,FALSE),"sim",""),"")</f>
        <v/>
      </c>
      <c r="AP767" s="328" t="str">
        <f ca="1">IF(OR(ISBLANK(tabItens[[#This Row],[ATA DT.VALID.]]),tabItens[[#This Row],[ATA DT.VALID.]]="",tabItens[[#This Row],[ATA DT.VALID.]]=" "),"",IF(TYPE(tabItens[[#This Row],[ATA DT.VALID.]])=1,ROUNDUP((tabItens[[#This Row],[ATA DT.VALID.]]-TODAY())/7,0),""))</f>
        <v/>
      </c>
      <c r="AQ767" s="329"/>
      <c r="AR767" s="330">
        <f>IF(ISBLANK(tabItens[[#This Row],[CÓDIGO]]),"",IFERROR(VLOOKUP(tabItens[[#This Row],[CÓDIGO]],Consumo!$C$2:$AC$862,26,FALSE),0))</f>
        <v>0</v>
      </c>
      <c r="AS767" s="331">
        <f>SUMIF(Consumo!$C$3:$C$862,tabItens[[#This Row],[CÓDIGO]],Consumo!$N$3:$N$862) + SUMIF(Consumo!$C$3:$C$862,tabItens[[#This Row],[CÓDIGO]],Consumo!$O$3:$O$862) + SUMIF(Consumo!$C$3:$C$862,tabItens[[#This Row],[CÓDIGO]],Consumo!$P$3:$P$862) + SUMIF(Consumo!$C$3:$C$862,tabItens[[#This Row],[CÓDIGO]],Consumo!$Q$3:$Q$862)</f>
        <v>0</v>
      </c>
      <c r="AT767" s="331">
        <f>SUMIF(Consumo!$C$3:$C$862,tabItens[[#This Row],[CÓDIGO]],Consumo!$Z$3:$Z$862)</f>
        <v>0</v>
      </c>
      <c r="AU767" s="332">
        <f>SUMIF(Consumo!$C$3:$C$862,tabItens[[#This Row],[CÓDIGO]],Consumo!$AA$3:$AA$862)</f>
        <v>0</v>
      </c>
      <c r="AV767" s="333">
        <f>SUMIF(Consumo!$C$3:$C$862,tabItens[[#This Row],[CÓDIGO]],Consumo!$Y$3:$Y$862)</f>
        <v>0</v>
      </c>
      <c r="AW767" s="306">
        <f>tabItens[[#This Row],[QTDE ATUAL]] + tabItens[[#This Row],[RC QTDE]] + tabItens[[#This Row],[AF SALDO]] + tabItens[[#This Row],[Recentes]]</f>
        <v>41</v>
      </c>
      <c r="AX767" s="334">
        <v>1</v>
      </c>
      <c r="AY767" s="334">
        <v>4</v>
      </c>
      <c r="AZ767" s="334">
        <f>IF(ISBLANK(tabItens[[#This Row],[CÓDIGO]]),"",tabItens[[#This Row],[PontoMês]] * (AZ$2+tabItens[[#This Row],[PontoQtM]]))</f>
        <v>4</v>
      </c>
      <c r="BA767" s="333">
        <f>tabItens[[#This Row],[PontoPed]] - tabItens[[#This Row],[Saldo]] + (1/10)</f>
        <v>-36.9</v>
      </c>
      <c r="BB767" s="333">
        <f xml:space="preserve"> tabItens[[#This Row],[PontoMês]] * BB$2 - tabItens[[#This Row],[QTDE ATUAL]] - (1/10)</f>
        <v>-40.1</v>
      </c>
      <c r="BC767" s="335">
        <f>IF( tabItens[[#This Row],[PontoPed]]&gt;0, IF(tabItens[[#This Row],[PontoPed]]&lt;1, 1, IF( tabItens[[#This Row],[Saldo]]&gt;tabItens[[#This Row],[PontoPed]], 0, (tabItens[[#This Row],[PontoPed]]-tabItens[[#This Row],[Saldo]])/tabItens[[#This Row],[PontoPed]] ) ), 0 )</f>
        <v>0</v>
      </c>
      <c r="BD767" s="336">
        <f>ROUNDDOWN(IF( OR( AND(tabItens[[#This Row],[PontoPed]]&lt;tabItens[[#This Row],[Saldo]],tabItens[[#This Row],[Saldo]]&gt;0), tabItens[[#This Row],[PontoPed]]=0), 99, IF(AND(tabItens[[#This Row],[Saldo]]=0,tabItens[[#This Row],[PontoPed]]&gt;0), 0, (1-tabItens[[#This Row],[PctAb]])*10 ) ),0)</f>
        <v>99</v>
      </c>
      <c r="BE767" s="337">
        <f>MAX(ROUNDDOWN( IF(tabItens[[#This Row],[Abaixo]] &gt; 0,   tabItens[[#This Row],[Abaixo]] + (tabItens[[#This Row],[PontoMês]] * IF( OR( ISBLANK(tabItens[[#This Row],[ATA Nº/ANO]]), tabItens[[#This Row],[ATA Nº/ANO]] = ""),BE$2,BE$1)),0),0),0)</f>
        <v>0</v>
      </c>
      <c r="BF76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7" s="338">
        <f>SUMIF(Consumo!$C$3:$C$862,tabItens[[#This Row],[CÓDIGO]],Consumo!$E$3:$E$862)</f>
        <v>0</v>
      </c>
      <c r="BH767" s="339">
        <f>IF(AND(tabItens[[#This Row],[Pend]] &gt; 0,tabItens[[#This Row],[Consumo]] &lt;&gt; 0), tabItens[[#This Row],[Pend]] / tabItens[[#This Row],[Consumo]], 0 )</f>
        <v>0</v>
      </c>
      <c r="BI767" s="338"/>
      <c r="BJ767" s="338"/>
      <c r="BK767" s="340" t="s">
        <v>2086</v>
      </c>
    </row>
    <row r="768" spans="1:63" hidden="1" x14ac:dyDescent="0.3">
      <c r="A768" s="301">
        <v>98734</v>
      </c>
      <c r="B768" s="302" t="s">
        <v>1571</v>
      </c>
      <c r="C768" s="303" t="s">
        <v>31</v>
      </c>
      <c r="D768" s="304">
        <v>134</v>
      </c>
      <c r="E768" s="305"/>
      <c r="F768" s="305"/>
      <c r="G768" s="305" t="s">
        <v>889</v>
      </c>
      <c r="H768" s="306">
        <v>36</v>
      </c>
      <c r="I768" s="307">
        <v>103003</v>
      </c>
      <c r="J768" s="308">
        <v>160.98412999999999</v>
      </c>
      <c r="K768" s="309"/>
      <c r="L768" s="310">
        <f>IF(tabItens[[#This Row],[Média]] &gt; 0, tabItens[[#This Row],[QTDE ATUAL]] / tabItens[[#This Row],[Média]],999.9)</f>
        <v>999.9</v>
      </c>
      <c r="M768" s="311">
        <v>0</v>
      </c>
      <c r="N768" s="312">
        <f>tabItens[[#This Row],[VALOR UNIT.]] * tabItens[[#This Row],[LC]]</f>
        <v>0</v>
      </c>
      <c r="O768" s="313"/>
      <c r="P768" s="314"/>
      <c r="Q768" s="315"/>
      <c r="R768" s="312"/>
      <c r="S768" s="316"/>
      <c r="T768" s="317">
        <f>ROUNDDOWN(IFERROR(tabItens[[#This Row],[ATA DT.VALID.]] - $D$1,0) / 30,0)</f>
        <v>-1474</v>
      </c>
      <c r="U768" s="302" t="s">
        <v>1569</v>
      </c>
      <c r="V768" s="318">
        <v>1</v>
      </c>
      <c r="W768" s="319" t="s">
        <v>2083</v>
      </c>
      <c r="X768" s="320">
        <v>58</v>
      </c>
      <c r="Y768" s="321">
        <v>14</v>
      </c>
      <c r="Z768" s="322"/>
      <c r="AA768" s="323"/>
      <c r="AB768" s="324"/>
      <c r="AC768" s="324"/>
      <c r="AD768" s="323"/>
      <c r="AE768" s="324"/>
      <c r="AF768" s="317"/>
      <c r="AG768" s="325" t="s">
        <v>2072</v>
      </c>
      <c r="AH768" s="326"/>
      <c r="AI768" s="317">
        <v>0</v>
      </c>
      <c r="AJ768" s="326">
        <v>43619</v>
      </c>
      <c r="AK768" s="326">
        <v>39184</v>
      </c>
      <c r="AL768" s="326">
        <v>43585</v>
      </c>
      <c r="AM768" s="316"/>
      <c r="AN768" s="305"/>
      <c r="AO768" s="327" t="str">
        <f>_xlfn.IFNA(IF(VLOOKUP(tabItens[[#This Row],[CÓDIGO]],tabExcluirDoEstoque[#Data],1,FALSE),"sim",""),"")</f>
        <v/>
      </c>
      <c r="AP768" s="328" t="str">
        <f ca="1">IF(OR(ISBLANK(tabItens[[#This Row],[ATA DT.VALID.]]),tabItens[[#This Row],[ATA DT.VALID.]]="",tabItens[[#This Row],[ATA DT.VALID.]]=" "),"",IF(TYPE(tabItens[[#This Row],[ATA DT.VALID.]])=1,ROUNDUP((tabItens[[#This Row],[ATA DT.VALID.]]-TODAY())/7,0),""))</f>
        <v/>
      </c>
      <c r="AQ768" s="329"/>
      <c r="AR768" s="330">
        <f>IF(ISBLANK(tabItens[[#This Row],[CÓDIGO]]),"",IFERROR(VLOOKUP(tabItens[[#This Row],[CÓDIGO]],Consumo!$C$2:$AC$862,26,FALSE),0))</f>
        <v>0</v>
      </c>
      <c r="AS768" s="331">
        <f>SUMIF(Consumo!$C$3:$C$862,tabItens[[#This Row],[CÓDIGO]],Consumo!$N$3:$N$862) + SUMIF(Consumo!$C$3:$C$862,tabItens[[#This Row],[CÓDIGO]],Consumo!$O$3:$O$862) + SUMIF(Consumo!$C$3:$C$862,tabItens[[#This Row],[CÓDIGO]],Consumo!$P$3:$P$862) + SUMIF(Consumo!$C$3:$C$862,tabItens[[#This Row],[CÓDIGO]],Consumo!$Q$3:$Q$862)</f>
        <v>0</v>
      </c>
      <c r="AT768" s="331">
        <f>SUMIF(Consumo!$C$3:$C$862,tabItens[[#This Row],[CÓDIGO]],Consumo!$Z$3:$Z$862)</f>
        <v>0</v>
      </c>
      <c r="AU768" s="332">
        <f>SUMIF(Consumo!$C$3:$C$862,tabItens[[#This Row],[CÓDIGO]],Consumo!$AA$3:$AA$862)</f>
        <v>0</v>
      </c>
      <c r="AV768" s="333">
        <f>SUMIF(Consumo!$C$3:$C$862,tabItens[[#This Row],[CÓDIGO]],Consumo!$Y$3:$Y$862)</f>
        <v>0</v>
      </c>
      <c r="AW768" s="306">
        <f>tabItens[[#This Row],[QTDE ATUAL]] + tabItens[[#This Row],[RC QTDE]] + tabItens[[#This Row],[AF SALDO]] + tabItens[[#This Row],[Recentes]]</f>
        <v>36</v>
      </c>
      <c r="AX768" s="334">
        <v>1</v>
      </c>
      <c r="AY768" s="334">
        <v>4</v>
      </c>
      <c r="AZ768" s="334">
        <f>IF(ISBLANK(tabItens[[#This Row],[CÓDIGO]]),"",tabItens[[#This Row],[PontoMês]] * (AZ$2+tabItens[[#This Row],[PontoQtM]]))</f>
        <v>4</v>
      </c>
      <c r="BA768" s="333">
        <f>tabItens[[#This Row],[PontoPed]] - tabItens[[#This Row],[Saldo]] + (1/10)</f>
        <v>-31.9</v>
      </c>
      <c r="BB768" s="333">
        <f xml:space="preserve"> tabItens[[#This Row],[PontoMês]] * BB$2 - tabItens[[#This Row],[QTDE ATUAL]] - (1/10)</f>
        <v>-35.1</v>
      </c>
      <c r="BC768" s="335">
        <f>IF( tabItens[[#This Row],[PontoPed]]&gt;0, IF(tabItens[[#This Row],[PontoPed]]&lt;1, 1, IF( tabItens[[#This Row],[Saldo]]&gt;tabItens[[#This Row],[PontoPed]], 0, (tabItens[[#This Row],[PontoPed]]-tabItens[[#This Row],[Saldo]])/tabItens[[#This Row],[PontoPed]] ) ), 0 )</f>
        <v>0</v>
      </c>
      <c r="BD768" s="336">
        <f>ROUNDDOWN(IF( OR( AND(tabItens[[#This Row],[PontoPed]]&lt;tabItens[[#This Row],[Saldo]],tabItens[[#This Row],[Saldo]]&gt;0), tabItens[[#This Row],[PontoPed]]=0), 99, IF(AND(tabItens[[#This Row],[Saldo]]=0,tabItens[[#This Row],[PontoPed]]&gt;0), 0, (1-tabItens[[#This Row],[PctAb]])*10 ) ),0)</f>
        <v>99</v>
      </c>
      <c r="BE768" s="337">
        <f>MAX(ROUNDDOWN( IF(tabItens[[#This Row],[Abaixo]] &gt; 0,   tabItens[[#This Row],[Abaixo]] + (tabItens[[#This Row],[PontoMês]] * IF( OR( ISBLANK(tabItens[[#This Row],[ATA Nº/ANO]]), tabItens[[#This Row],[ATA Nº/ANO]] = ""),BE$2,BE$1)),0),0),0)</f>
        <v>0</v>
      </c>
      <c r="BF76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8" s="338">
        <f>SUMIF(Consumo!$C$3:$C$862,tabItens[[#This Row],[CÓDIGO]],Consumo!$E$3:$E$862)</f>
        <v>0</v>
      </c>
      <c r="BH768" s="339">
        <f>IF(AND(tabItens[[#This Row],[Pend]] &gt; 0,tabItens[[#This Row],[Consumo]] &lt;&gt; 0), tabItens[[#This Row],[Pend]] / tabItens[[#This Row],[Consumo]], 0 )</f>
        <v>0</v>
      </c>
      <c r="BI768" s="338"/>
      <c r="BJ768" s="338"/>
      <c r="BK768" s="340" t="s">
        <v>2086</v>
      </c>
    </row>
    <row r="769" spans="1:63" hidden="1" x14ac:dyDescent="0.3">
      <c r="A769" s="301">
        <v>106038</v>
      </c>
      <c r="B769" s="302" t="s">
        <v>1629</v>
      </c>
      <c r="C769" s="303" t="s">
        <v>263</v>
      </c>
      <c r="D769" s="304">
        <v>7.85</v>
      </c>
      <c r="E769" s="305"/>
      <c r="F769" s="305"/>
      <c r="G769" s="305" t="s">
        <v>889</v>
      </c>
      <c r="H769" s="306">
        <v>0</v>
      </c>
      <c r="I769" s="307">
        <v>103003</v>
      </c>
      <c r="J769" s="308">
        <v>7.85</v>
      </c>
      <c r="K769" s="309">
        <v>80</v>
      </c>
      <c r="L769" s="310">
        <f>IF(tabItens[[#This Row],[Média]] &gt; 0, tabItens[[#This Row],[QTDE ATUAL]] / tabItens[[#This Row],[Média]],999.9)</f>
        <v>0</v>
      </c>
      <c r="M769" s="311">
        <v>0</v>
      </c>
      <c r="N769" s="312">
        <f>tabItens[[#This Row],[VALOR UNIT.]] * tabItens[[#This Row],[LC]]</f>
        <v>0</v>
      </c>
      <c r="O769" s="313"/>
      <c r="P769" s="314"/>
      <c r="Q769" s="315"/>
      <c r="R769" s="312"/>
      <c r="S769" s="316"/>
      <c r="T769" s="317">
        <f>ROUNDDOWN(IFERROR(tabItens[[#This Row],[ATA DT.VALID.]] - $D$1,0) / 30,0)</f>
        <v>-1474</v>
      </c>
      <c r="U769" s="302" t="s">
        <v>1630</v>
      </c>
      <c r="V769" s="318">
        <v>1</v>
      </c>
      <c r="W769" s="319" t="s">
        <v>2085</v>
      </c>
      <c r="X769" s="320">
        <v>60</v>
      </c>
      <c r="Y769" s="321">
        <v>21</v>
      </c>
      <c r="Z769" s="322">
        <v>2239</v>
      </c>
      <c r="AA769" s="323">
        <v>2023</v>
      </c>
      <c r="AB769" s="324">
        <v>700</v>
      </c>
      <c r="AC769" s="324"/>
      <c r="AD769" s="323"/>
      <c r="AE769" s="324"/>
      <c r="AF769" s="317"/>
      <c r="AG769" s="325" t="s">
        <v>2072</v>
      </c>
      <c r="AH769" s="326"/>
      <c r="AI769" s="317">
        <v>26</v>
      </c>
      <c r="AJ769" s="326">
        <v>44365</v>
      </c>
      <c r="AK769" s="326">
        <v>39554</v>
      </c>
      <c r="AL769" s="326">
        <v>44176</v>
      </c>
      <c r="AM769" s="316"/>
      <c r="AN769" s="305"/>
      <c r="AO769" s="327" t="str">
        <f>_xlfn.IFNA(IF(VLOOKUP(tabItens[[#This Row],[CÓDIGO]],tabExcluirDoEstoque[#Data],1,FALSE),"sim",""),"")</f>
        <v/>
      </c>
      <c r="AP769" s="328" t="str">
        <f ca="1">IF(OR(ISBLANK(tabItens[[#This Row],[ATA DT.VALID.]]),tabItens[[#This Row],[ATA DT.VALID.]]="",tabItens[[#This Row],[ATA DT.VALID.]]=" "),"",IF(TYPE(tabItens[[#This Row],[ATA DT.VALID.]])=1,ROUNDUP((tabItens[[#This Row],[ATA DT.VALID.]]-TODAY())/7,0),""))</f>
        <v/>
      </c>
      <c r="AQ769" s="329">
        <v>0</v>
      </c>
      <c r="AR769" s="330" t="str">
        <f>IF(ISBLANK(tabItens[[#This Row],[CÓDIGO]]),"",IFERROR(VLOOKUP(tabItens[[#This Row],[CÓDIGO]],Consumo!$C$2:$AC$862,26,FALSE),0))</f>
        <v>12.2022</v>
      </c>
      <c r="AS769" s="331">
        <f>SUMIF(Consumo!$C$3:$C$862,tabItens[[#This Row],[CÓDIGO]],Consumo!$N$3:$N$862) + SUMIF(Consumo!$C$3:$C$862,tabItens[[#This Row],[CÓDIGO]],Consumo!$O$3:$O$862) + SUMIF(Consumo!$C$3:$C$862,tabItens[[#This Row],[CÓDIGO]],Consumo!$P$3:$P$862) + SUMIF(Consumo!$C$3:$C$862,tabItens[[#This Row],[CÓDIGO]],Consumo!$Q$3:$Q$862)</f>
        <v>0</v>
      </c>
      <c r="AT769" s="331">
        <f>SUMIF(Consumo!$C$3:$C$862,tabItens[[#This Row],[CÓDIGO]],Consumo!$Z$3:$Z$862)</f>
        <v>100</v>
      </c>
      <c r="AU769" s="332">
        <f>SUMIF(Consumo!$C$3:$C$862,tabItens[[#This Row],[CÓDIGO]],Consumo!$AA$3:$AA$862)</f>
        <v>80</v>
      </c>
      <c r="AV769" s="333">
        <f>SUMIF(Consumo!$C$3:$C$862,tabItens[[#This Row],[CÓDIGO]],Consumo!$Y$3:$Y$862)</f>
        <v>6.083333333333333</v>
      </c>
      <c r="AW769" s="306">
        <f>tabItens[[#This Row],[QTDE ATUAL]] + tabItens[[#This Row],[RC QTDE]] + tabItens[[#This Row],[AF SALDO]] + tabItens[[#This Row],[Recentes]]</f>
        <v>700</v>
      </c>
      <c r="AX769" s="334">
        <v>35</v>
      </c>
      <c r="AY769" s="334">
        <v>4</v>
      </c>
      <c r="AZ769" s="334">
        <f>IF(ISBLANK(tabItens[[#This Row],[CÓDIGO]]),"",tabItens[[#This Row],[PontoMês]] * (AZ$2+tabItens[[#This Row],[PontoQtM]]))</f>
        <v>140</v>
      </c>
      <c r="BA769" s="333">
        <f>tabItens[[#This Row],[PontoPed]] - tabItens[[#This Row],[Saldo]] + (1/10)</f>
        <v>-559.9</v>
      </c>
      <c r="BB769" s="333">
        <f xml:space="preserve"> tabItens[[#This Row],[PontoMês]] * BB$2 - tabItens[[#This Row],[QTDE ATUAL]] - (1/10)</f>
        <v>34.9</v>
      </c>
      <c r="BC769" s="335">
        <f>IF( tabItens[[#This Row],[PontoPed]]&gt;0, IF(tabItens[[#This Row],[PontoPed]]&lt;1, 1, IF( tabItens[[#This Row],[Saldo]]&gt;tabItens[[#This Row],[PontoPed]], 0, (tabItens[[#This Row],[PontoPed]]-tabItens[[#This Row],[Saldo]])/tabItens[[#This Row],[PontoPed]] ) ), 0 )</f>
        <v>0</v>
      </c>
      <c r="BD769" s="336">
        <f>ROUNDDOWN(IF( OR( AND(tabItens[[#This Row],[PontoPed]]&lt;tabItens[[#This Row],[Saldo]],tabItens[[#This Row],[Saldo]]&gt;0), tabItens[[#This Row],[PontoPed]]=0), 99, IF(AND(tabItens[[#This Row],[Saldo]]=0,tabItens[[#This Row],[PontoPed]]&gt;0), 0, (1-tabItens[[#This Row],[PctAb]])*10 ) ),0)</f>
        <v>99</v>
      </c>
      <c r="BE769" s="337">
        <f>MAX(ROUNDDOWN( IF(tabItens[[#This Row],[Abaixo]] &gt; 0,   tabItens[[#This Row],[Abaixo]] + (tabItens[[#This Row],[PontoMês]] * IF( OR( ISBLANK(tabItens[[#This Row],[ATA Nº/ANO]]), tabItens[[#This Row],[ATA Nº/ANO]] = ""),BE$2,BE$1)),0),0),0)</f>
        <v>0</v>
      </c>
      <c r="BF76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9" s="338">
        <f>SUMIF(Consumo!$C$3:$C$862,tabItens[[#This Row],[CÓDIGO]],Consumo!$E$3:$E$862)</f>
        <v>20</v>
      </c>
      <c r="BH769" s="339">
        <f>IF(AND(tabItens[[#This Row],[Pend]] &gt; 0,tabItens[[#This Row],[Consumo]] &lt;&gt; 0), tabItens[[#This Row],[Pend]] / tabItens[[#This Row],[Consumo]], 0 )</f>
        <v>0.2</v>
      </c>
      <c r="BI769" s="338"/>
      <c r="BJ769" s="338"/>
      <c r="BK769" s="340" t="s">
        <v>2086</v>
      </c>
    </row>
    <row r="770" spans="1:63" hidden="1" x14ac:dyDescent="0.3">
      <c r="A770" s="301">
        <v>136564</v>
      </c>
      <c r="B770" s="302" t="s">
        <v>1931</v>
      </c>
      <c r="C770" s="303" t="s">
        <v>272</v>
      </c>
      <c r="D770" s="304">
        <v>2.7</v>
      </c>
      <c r="E770" s="305"/>
      <c r="F770" s="305"/>
      <c r="G770" s="305" t="s">
        <v>889</v>
      </c>
      <c r="H770" s="306">
        <v>13115</v>
      </c>
      <c r="I770" s="307">
        <v>103003</v>
      </c>
      <c r="J770" s="308">
        <v>2.7</v>
      </c>
      <c r="K770" s="309">
        <v>23180</v>
      </c>
      <c r="L770" s="310">
        <f>IF(tabItens[[#This Row],[Média]] &gt; 0, tabItens[[#This Row],[QTDE ATUAL]] / tabItens[[#This Row],[Média]],999.9)</f>
        <v>4.6909090909090905</v>
      </c>
      <c r="M770" s="311">
        <v>0</v>
      </c>
      <c r="N770" s="312">
        <f>tabItens[[#This Row],[VALOR UNIT.]] * tabItens[[#This Row],[LC]]</f>
        <v>0</v>
      </c>
      <c r="O770" s="313"/>
      <c r="P770" s="314"/>
      <c r="Q770" s="315"/>
      <c r="R770" s="312"/>
      <c r="S770" s="316"/>
      <c r="T770" s="317">
        <f>ROUNDDOWN(IFERROR(tabItens[[#This Row],[ATA DT.VALID.]] - $D$1,0) / 30,0)</f>
        <v>-1474</v>
      </c>
      <c r="U770" s="302" t="s">
        <v>1630</v>
      </c>
      <c r="V770" s="318">
        <v>1</v>
      </c>
      <c r="W770" s="319" t="s">
        <v>2085</v>
      </c>
      <c r="X770" s="320">
        <v>60</v>
      </c>
      <c r="Y770" s="321">
        <v>21</v>
      </c>
      <c r="Z770" s="322">
        <v>2773</v>
      </c>
      <c r="AA770" s="323">
        <v>2023</v>
      </c>
      <c r="AB770" s="324">
        <v>1220</v>
      </c>
      <c r="AC770" s="324"/>
      <c r="AD770" s="323"/>
      <c r="AE770" s="324"/>
      <c r="AF770" s="317"/>
      <c r="AG770" s="325" t="s">
        <v>2072</v>
      </c>
      <c r="AH770" s="326"/>
      <c r="AI770" s="317">
        <v>11184</v>
      </c>
      <c r="AJ770" s="326">
        <v>44809</v>
      </c>
      <c r="AK770" s="326">
        <v>43521</v>
      </c>
      <c r="AL770" s="326">
        <v>44803</v>
      </c>
      <c r="AM770" s="316"/>
      <c r="AN770" s="305"/>
      <c r="AO770" s="327" t="str">
        <f>_xlfn.IFNA(IF(VLOOKUP(tabItens[[#This Row],[CÓDIGO]],tabExcluirDoEstoque[#Data],1,FALSE),"sim",""),"")</f>
        <v/>
      </c>
      <c r="AP770" s="328" t="str">
        <f ca="1">IF(OR(ISBLANK(tabItens[[#This Row],[ATA DT.VALID.]]),tabItens[[#This Row],[ATA DT.VALID.]]="",tabItens[[#This Row],[ATA DT.VALID.]]=" "),"",IF(TYPE(tabItens[[#This Row],[ATA DT.VALID.]])=1,ROUNDUP((tabItens[[#This Row],[ATA DT.VALID.]]-TODAY())/7,0),""))</f>
        <v/>
      </c>
      <c r="AQ770" s="329"/>
      <c r="AR770" s="330" t="str">
        <f>IF(ISBLANK(tabItens[[#This Row],[CÓDIGO]]),"",IFERROR(VLOOKUP(tabItens[[#This Row],[CÓDIGO]],Consumo!$C$2:$AC$862,26,FALSE),0))</f>
        <v>08.2023</v>
      </c>
      <c r="AS770" s="331">
        <f>SUMIF(Consumo!$C$3:$C$862,tabItens[[#This Row],[CÓDIGO]],Consumo!$N$3:$N$862) + SUMIF(Consumo!$C$3:$C$862,tabItens[[#This Row],[CÓDIGO]],Consumo!$O$3:$O$862) + SUMIF(Consumo!$C$3:$C$862,tabItens[[#This Row],[CÓDIGO]],Consumo!$P$3:$P$862) + SUMIF(Consumo!$C$3:$C$862,tabItens[[#This Row],[CÓDIGO]],Consumo!$Q$3:$Q$862)</f>
        <v>9455</v>
      </c>
      <c r="AT770" s="331">
        <f>SUMIF(Consumo!$C$3:$C$862,tabItens[[#This Row],[CÓDIGO]],Consumo!$Z$3:$Z$862)</f>
        <v>33550</v>
      </c>
      <c r="AU770" s="332">
        <f>SUMIF(Consumo!$C$3:$C$862,tabItens[[#This Row],[CÓDIGO]],Consumo!$AA$3:$AA$862)</f>
        <v>4880</v>
      </c>
      <c r="AV770" s="333">
        <f>SUMIF(Consumo!$C$3:$C$862,tabItens[[#This Row],[CÓDIGO]],Consumo!$Y$3:$Y$862)</f>
        <v>2795.8333333333335</v>
      </c>
      <c r="AW770" s="306">
        <f>tabItens[[#This Row],[QTDE ATUAL]] + tabItens[[#This Row],[RC QTDE]] + tabItens[[#This Row],[AF SALDO]] + tabItens[[#This Row],[Recentes]]</f>
        <v>14335</v>
      </c>
      <c r="AX770" s="334">
        <v>1466</v>
      </c>
      <c r="AY770" s="334">
        <v>4</v>
      </c>
      <c r="AZ770" s="334">
        <f>IF(ISBLANK(tabItens[[#This Row],[CÓDIGO]]),"",tabItens[[#This Row],[PontoMês]] * (AZ$2+tabItens[[#This Row],[PontoQtM]]))</f>
        <v>5864</v>
      </c>
      <c r="BA770" s="333">
        <f>tabItens[[#This Row],[PontoPed]] - tabItens[[#This Row],[Saldo]] + (1/10)</f>
        <v>-8470.9</v>
      </c>
      <c r="BB770" s="333">
        <f xml:space="preserve"> tabItens[[#This Row],[PontoMês]] * BB$2 - tabItens[[#This Row],[QTDE ATUAL]] - (1/10)</f>
        <v>-11649.1</v>
      </c>
      <c r="BC770" s="335">
        <f>IF( tabItens[[#This Row],[PontoPed]]&gt;0, IF(tabItens[[#This Row],[PontoPed]]&lt;1, 1, IF( tabItens[[#This Row],[Saldo]]&gt;tabItens[[#This Row],[PontoPed]], 0, (tabItens[[#This Row],[PontoPed]]-tabItens[[#This Row],[Saldo]])/tabItens[[#This Row],[PontoPed]] ) ), 0 )</f>
        <v>0</v>
      </c>
      <c r="BD770" s="336">
        <f>ROUNDDOWN(IF( OR( AND(tabItens[[#This Row],[PontoPed]]&lt;tabItens[[#This Row],[Saldo]],tabItens[[#This Row],[Saldo]]&gt;0), tabItens[[#This Row],[PontoPed]]=0), 99, IF(AND(tabItens[[#This Row],[Saldo]]=0,tabItens[[#This Row],[PontoPed]]&gt;0), 0, (1-tabItens[[#This Row],[PctAb]])*10 ) ),0)</f>
        <v>99</v>
      </c>
      <c r="BE770" s="337">
        <f>MAX(ROUNDDOWN( IF(tabItens[[#This Row],[Abaixo]] &gt; 0,   tabItens[[#This Row],[Abaixo]] + (tabItens[[#This Row],[PontoMês]] * IF( OR( ISBLANK(tabItens[[#This Row],[ATA Nº/ANO]]), tabItens[[#This Row],[ATA Nº/ANO]] = ""),BE$2,BE$1)),0),0),0)</f>
        <v>0</v>
      </c>
      <c r="BF77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0" s="338">
        <f>SUMIF(Consumo!$C$3:$C$862,tabItens[[#This Row],[CÓDIGO]],Consumo!$E$3:$E$862)</f>
        <v>0</v>
      </c>
      <c r="BH770" s="339">
        <f>IF(AND(tabItens[[#This Row],[Pend]] &gt; 0,tabItens[[#This Row],[Consumo]] &lt;&gt; 0), tabItens[[#This Row],[Pend]] / tabItens[[#This Row],[Consumo]], 0 )</f>
        <v>0</v>
      </c>
      <c r="BI770" s="338"/>
      <c r="BJ770" s="338"/>
      <c r="BK770" s="340" t="s">
        <v>2086</v>
      </c>
    </row>
    <row r="771" spans="1:63" hidden="1" x14ac:dyDescent="0.3">
      <c r="A771" s="301">
        <v>27761</v>
      </c>
      <c r="B771" s="302" t="s">
        <v>1228</v>
      </c>
      <c r="C771" s="303" t="s">
        <v>345</v>
      </c>
      <c r="D771" s="304">
        <v>27.76</v>
      </c>
      <c r="E771" s="305"/>
      <c r="F771" s="305"/>
      <c r="G771" s="305" t="s">
        <v>889</v>
      </c>
      <c r="H771" s="306">
        <v>52</v>
      </c>
      <c r="I771" s="307">
        <v>103003</v>
      </c>
      <c r="J771" s="308">
        <v>27.76</v>
      </c>
      <c r="K771" s="309">
        <v>2</v>
      </c>
      <c r="L771" s="310">
        <f>IF(tabItens[[#This Row],[Média]] &gt; 0, tabItens[[#This Row],[QTDE ATUAL]] / tabItens[[#This Row],[Média]],999.9)</f>
        <v>624</v>
      </c>
      <c r="M771" s="311">
        <v>0</v>
      </c>
      <c r="N771" s="312">
        <f>tabItens[[#This Row],[VALOR UNIT.]] * tabItens[[#This Row],[LC]]</f>
        <v>0</v>
      </c>
      <c r="O771" s="313"/>
      <c r="P771" s="314"/>
      <c r="Q771" s="315"/>
      <c r="R771" s="312"/>
      <c r="S771" s="316"/>
      <c r="T771" s="317">
        <f>ROUNDDOWN(IFERROR(tabItens[[#This Row],[ATA DT.VALID.]] - $D$1,0) / 30,0)</f>
        <v>-1474</v>
      </c>
      <c r="U771" s="302" t="s">
        <v>1041</v>
      </c>
      <c r="V771" s="318">
        <v>1</v>
      </c>
      <c r="W771" s="319" t="s">
        <v>2076</v>
      </c>
      <c r="X771" s="320">
        <v>61</v>
      </c>
      <c r="Y771" s="321">
        <v>2</v>
      </c>
      <c r="Z771" s="322"/>
      <c r="AA771" s="323"/>
      <c r="AB771" s="324"/>
      <c r="AC771" s="324"/>
      <c r="AD771" s="323"/>
      <c r="AE771" s="324"/>
      <c r="AF771" s="317"/>
      <c r="AG771" s="325" t="s">
        <v>2072</v>
      </c>
      <c r="AH771" s="326"/>
      <c r="AI771" s="317">
        <v>0</v>
      </c>
      <c r="AJ771" s="326">
        <v>42647</v>
      </c>
      <c r="AK771" s="326" t="s">
        <v>889</v>
      </c>
      <c r="AL771" s="326">
        <v>42635</v>
      </c>
      <c r="AM771" s="316"/>
      <c r="AN771" s="305"/>
      <c r="AO771" s="327" t="str">
        <f>_xlfn.IFNA(IF(VLOOKUP(tabItens[[#This Row],[CÓDIGO]],tabExcluirDoEstoque[#Data],1,FALSE),"sim",""),"")</f>
        <v/>
      </c>
      <c r="AP771" s="328" t="str">
        <f ca="1">IF(OR(ISBLANK(tabItens[[#This Row],[ATA DT.VALID.]]),tabItens[[#This Row],[ATA DT.VALID.]]="",tabItens[[#This Row],[ATA DT.VALID.]]=" "),"",IF(TYPE(tabItens[[#This Row],[ATA DT.VALID.]])=1,ROUNDUP((tabItens[[#This Row],[ATA DT.VALID.]]-TODAY())/7,0),""))</f>
        <v/>
      </c>
      <c r="AQ771" s="329"/>
      <c r="AR771" s="330" t="str">
        <f>IF(ISBLANK(tabItens[[#This Row],[CÓDIGO]]),"",IFERROR(VLOOKUP(tabItens[[#This Row],[CÓDIGO]],Consumo!$C$2:$AC$862,26,FALSE),0))</f>
        <v>06.2023</v>
      </c>
      <c r="AS771" s="331">
        <f>SUMIF(Consumo!$C$3:$C$862,tabItens[[#This Row],[CÓDIGO]],Consumo!$N$3:$N$862) + SUMIF(Consumo!$C$3:$C$862,tabItens[[#This Row],[CÓDIGO]],Consumo!$O$3:$O$862) + SUMIF(Consumo!$C$3:$C$862,tabItens[[#This Row],[CÓDIGO]],Consumo!$P$3:$P$862) + SUMIF(Consumo!$C$3:$C$862,tabItens[[#This Row],[CÓDIGO]],Consumo!$Q$3:$Q$862)</f>
        <v>2</v>
      </c>
      <c r="AT771" s="331">
        <f>SUMIF(Consumo!$C$3:$C$862,tabItens[[#This Row],[CÓDIGO]],Consumo!$Z$3:$Z$862)</f>
        <v>2</v>
      </c>
      <c r="AU771" s="332">
        <f>SUMIF(Consumo!$C$3:$C$862,tabItens[[#This Row],[CÓDIGO]],Consumo!$AA$3:$AA$862)</f>
        <v>2</v>
      </c>
      <c r="AV771" s="333">
        <f>SUMIF(Consumo!$C$3:$C$862,tabItens[[#This Row],[CÓDIGO]],Consumo!$Y$3:$Y$862)</f>
        <v>8.3333333333333329E-2</v>
      </c>
      <c r="AW771" s="306">
        <f>tabItens[[#This Row],[QTDE ATUAL]] + tabItens[[#This Row],[RC QTDE]] + tabItens[[#This Row],[AF SALDO]] + tabItens[[#This Row],[Recentes]]</f>
        <v>52</v>
      </c>
      <c r="AX771" s="334">
        <v>0</v>
      </c>
      <c r="AY771" s="334">
        <v>4</v>
      </c>
      <c r="AZ771" s="334">
        <f>IF(ISBLANK(tabItens[[#This Row],[CÓDIGO]]),"",tabItens[[#This Row],[PontoMês]] * (AZ$2+tabItens[[#This Row],[PontoQtM]]))</f>
        <v>0</v>
      </c>
      <c r="BA771" s="333">
        <f>tabItens[[#This Row],[PontoPed]] - tabItens[[#This Row],[Saldo]] + (1/10)</f>
        <v>-51.9</v>
      </c>
      <c r="BB771" s="333">
        <f xml:space="preserve"> tabItens[[#This Row],[PontoMês]] * BB$2 - tabItens[[#This Row],[QTDE ATUAL]] - (1/10)</f>
        <v>-52.1</v>
      </c>
      <c r="BC771" s="335">
        <f>IF( tabItens[[#This Row],[PontoPed]]&gt;0, IF(tabItens[[#This Row],[PontoPed]]&lt;1, 1, IF( tabItens[[#This Row],[Saldo]]&gt;tabItens[[#This Row],[PontoPed]], 0, (tabItens[[#This Row],[PontoPed]]-tabItens[[#This Row],[Saldo]])/tabItens[[#This Row],[PontoPed]] ) ), 0 )</f>
        <v>0</v>
      </c>
      <c r="BD771" s="336">
        <f>ROUNDDOWN(IF( OR( AND(tabItens[[#This Row],[PontoPed]]&lt;tabItens[[#This Row],[Saldo]],tabItens[[#This Row],[Saldo]]&gt;0), tabItens[[#This Row],[PontoPed]]=0), 99, IF(AND(tabItens[[#This Row],[Saldo]]=0,tabItens[[#This Row],[PontoPed]]&gt;0), 0, (1-tabItens[[#This Row],[PctAb]])*10 ) ),0)</f>
        <v>99</v>
      </c>
      <c r="BE771" s="337">
        <f>MAX(ROUNDDOWN( IF(tabItens[[#This Row],[Abaixo]] &gt; 0,   tabItens[[#This Row],[Abaixo]] + (tabItens[[#This Row],[PontoMês]] * IF( OR( ISBLANK(tabItens[[#This Row],[ATA Nº/ANO]]), tabItens[[#This Row],[ATA Nº/ANO]] = ""),BE$2,BE$1)),0),0),0)</f>
        <v>0</v>
      </c>
      <c r="BF77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1" s="338">
        <f>SUMIF(Consumo!$C$3:$C$862,tabItens[[#This Row],[CÓDIGO]],Consumo!$E$3:$E$862)</f>
        <v>0</v>
      </c>
      <c r="BH771" s="339">
        <f>IF(AND(tabItens[[#This Row],[Pend]] &gt; 0,tabItens[[#This Row],[Consumo]] &lt;&gt; 0), tabItens[[#This Row],[Pend]] / tabItens[[#This Row],[Consumo]], 0 )</f>
        <v>0</v>
      </c>
      <c r="BI771" s="338"/>
      <c r="BJ771" s="338"/>
      <c r="BK771" s="340" t="s">
        <v>2086</v>
      </c>
    </row>
    <row r="772" spans="1:63" hidden="1" x14ac:dyDescent="0.3">
      <c r="A772" s="301">
        <v>27764</v>
      </c>
      <c r="B772" s="302" t="s">
        <v>1229</v>
      </c>
      <c r="C772" s="303" t="s">
        <v>272</v>
      </c>
      <c r="D772" s="304">
        <v>2.58</v>
      </c>
      <c r="E772" s="305"/>
      <c r="F772" s="305"/>
      <c r="G772" s="305" t="s">
        <v>889</v>
      </c>
      <c r="H772" s="306">
        <v>560</v>
      </c>
      <c r="I772" s="307">
        <v>103003</v>
      </c>
      <c r="J772" s="308">
        <v>2.58</v>
      </c>
      <c r="K772" s="309"/>
      <c r="L772" s="310">
        <f>IF(tabItens[[#This Row],[Média]] &gt; 0, tabItens[[#This Row],[QTDE ATUAL]] / tabItens[[#This Row],[Média]],999.9)</f>
        <v>999.9</v>
      </c>
      <c r="M772" s="311">
        <v>0</v>
      </c>
      <c r="N772" s="312">
        <f>tabItens[[#This Row],[VALOR UNIT.]] * tabItens[[#This Row],[LC]]</f>
        <v>0</v>
      </c>
      <c r="O772" s="313"/>
      <c r="P772" s="314"/>
      <c r="Q772" s="315"/>
      <c r="R772" s="312"/>
      <c r="S772" s="316"/>
      <c r="T772" s="317">
        <f>ROUNDDOWN(IFERROR(tabItens[[#This Row],[ATA DT.VALID.]] - $D$1,0) / 30,0)</f>
        <v>-1474</v>
      </c>
      <c r="U772" s="302" t="s">
        <v>1041</v>
      </c>
      <c r="V772" s="318">
        <v>1</v>
      </c>
      <c r="W772" s="319" t="s">
        <v>2076</v>
      </c>
      <c r="X772" s="320">
        <v>61</v>
      </c>
      <c r="Y772" s="321">
        <v>2</v>
      </c>
      <c r="Z772" s="322"/>
      <c r="AA772" s="323"/>
      <c r="AB772" s="324"/>
      <c r="AC772" s="324"/>
      <c r="AD772" s="323"/>
      <c r="AE772" s="324"/>
      <c r="AF772" s="317"/>
      <c r="AG772" s="325" t="s">
        <v>2072</v>
      </c>
      <c r="AH772" s="326"/>
      <c r="AI772" s="317">
        <v>0</v>
      </c>
      <c r="AJ772" s="326">
        <v>44172</v>
      </c>
      <c r="AK772" s="326" t="s">
        <v>889</v>
      </c>
      <c r="AL772" s="326">
        <v>44165</v>
      </c>
      <c r="AM772" s="316"/>
      <c r="AN772" s="305"/>
      <c r="AO772" s="327" t="str">
        <f>_xlfn.IFNA(IF(VLOOKUP(tabItens[[#This Row],[CÓDIGO]],tabExcluirDoEstoque[#Data],1,FALSE),"sim",""),"")</f>
        <v/>
      </c>
      <c r="AP772" s="328" t="str">
        <f ca="1">IF(OR(ISBLANK(tabItens[[#This Row],[ATA DT.VALID.]]),tabItens[[#This Row],[ATA DT.VALID.]]="",tabItens[[#This Row],[ATA DT.VALID.]]=" "),"",IF(TYPE(tabItens[[#This Row],[ATA DT.VALID.]])=1,ROUNDUP((tabItens[[#This Row],[ATA DT.VALID.]]-TODAY())/7,0),""))</f>
        <v/>
      </c>
      <c r="AQ772" s="329"/>
      <c r="AR772" s="330">
        <f>IF(ISBLANK(tabItens[[#This Row],[CÓDIGO]]),"",IFERROR(VLOOKUP(tabItens[[#This Row],[CÓDIGO]],Consumo!$C$2:$AC$862,26,FALSE),0))</f>
        <v>0</v>
      </c>
      <c r="AS772" s="331">
        <f>SUMIF(Consumo!$C$3:$C$862,tabItens[[#This Row],[CÓDIGO]],Consumo!$N$3:$N$862) + SUMIF(Consumo!$C$3:$C$862,tabItens[[#This Row],[CÓDIGO]],Consumo!$O$3:$O$862) + SUMIF(Consumo!$C$3:$C$862,tabItens[[#This Row],[CÓDIGO]],Consumo!$P$3:$P$862) + SUMIF(Consumo!$C$3:$C$862,tabItens[[#This Row],[CÓDIGO]],Consumo!$Q$3:$Q$862)</f>
        <v>0</v>
      </c>
      <c r="AT772" s="331">
        <f>SUMIF(Consumo!$C$3:$C$862,tabItens[[#This Row],[CÓDIGO]],Consumo!$Z$3:$Z$862)</f>
        <v>0</v>
      </c>
      <c r="AU772" s="332">
        <f>SUMIF(Consumo!$C$3:$C$862,tabItens[[#This Row],[CÓDIGO]],Consumo!$AA$3:$AA$862)</f>
        <v>0</v>
      </c>
      <c r="AV772" s="333">
        <f>SUMIF(Consumo!$C$3:$C$862,tabItens[[#This Row],[CÓDIGO]],Consumo!$Y$3:$Y$862)</f>
        <v>0</v>
      </c>
      <c r="AW772" s="306">
        <f>tabItens[[#This Row],[QTDE ATUAL]] + tabItens[[#This Row],[RC QTDE]] + tabItens[[#This Row],[AF SALDO]] + tabItens[[#This Row],[Recentes]]</f>
        <v>560</v>
      </c>
      <c r="AX772" s="334">
        <v>17</v>
      </c>
      <c r="AY772" s="334">
        <v>4</v>
      </c>
      <c r="AZ772" s="334">
        <f>IF(ISBLANK(tabItens[[#This Row],[CÓDIGO]]),"",tabItens[[#This Row],[PontoMês]] * (AZ$2+tabItens[[#This Row],[PontoQtM]]))</f>
        <v>68</v>
      </c>
      <c r="BA772" s="333">
        <f>tabItens[[#This Row],[PontoPed]] - tabItens[[#This Row],[Saldo]] + (1/10)</f>
        <v>-491.9</v>
      </c>
      <c r="BB772" s="333">
        <f xml:space="preserve"> tabItens[[#This Row],[PontoMês]] * BB$2 - tabItens[[#This Row],[QTDE ATUAL]] - (1/10)</f>
        <v>-543.1</v>
      </c>
      <c r="BC772" s="335">
        <f>IF( tabItens[[#This Row],[PontoPed]]&gt;0, IF(tabItens[[#This Row],[PontoPed]]&lt;1, 1, IF( tabItens[[#This Row],[Saldo]]&gt;tabItens[[#This Row],[PontoPed]], 0, (tabItens[[#This Row],[PontoPed]]-tabItens[[#This Row],[Saldo]])/tabItens[[#This Row],[PontoPed]] ) ), 0 )</f>
        <v>0</v>
      </c>
      <c r="BD772" s="336">
        <f>ROUNDDOWN(IF( OR( AND(tabItens[[#This Row],[PontoPed]]&lt;tabItens[[#This Row],[Saldo]],tabItens[[#This Row],[Saldo]]&gt;0), tabItens[[#This Row],[PontoPed]]=0), 99, IF(AND(tabItens[[#This Row],[Saldo]]=0,tabItens[[#This Row],[PontoPed]]&gt;0), 0, (1-tabItens[[#This Row],[PctAb]])*10 ) ),0)</f>
        <v>99</v>
      </c>
      <c r="BE772" s="337">
        <f>MAX(ROUNDDOWN( IF(tabItens[[#This Row],[Abaixo]] &gt; 0,   tabItens[[#This Row],[Abaixo]] + (tabItens[[#This Row],[PontoMês]] * IF( OR( ISBLANK(tabItens[[#This Row],[ATA Nº/ANO]]), tabItens[[#This Row],[ATA Nº/ANO]] = ""),BE$2,BE$1)),0),0),0)</f>
        <v>0</v>
      </c>
      <c r="BF77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2" s="338">
        <f>SUMIF(Consumo!$C$3:$C$862,tabItens[[#This Row],[CÓDIGO]],Consumo!$E$3:$E$862)</f>
        <v>0</v>
      </c>
      <c r="BH772" s="339">
        <f>IF(AND(tabItens[[#This Row],[Pend]] &gt; 0,tabItens[[#This Row],[Consumo]] &lt;&gt; 0), tabItens[[#This Row],[Pend]] / tabItens[[#This Row],[Consumo]], 0 )</f>
        <v>0</v>
      </c>
      <c r="BI772" s="338"/>
      <c r="BJ772" s="338"/>
      <c r="BK772" s="340" t="s">
        <v>2086</v>
      </c>
    </row>
    <row r="773" spans="1:63" hidden="1" x14ac:dyDescent="0.3">
      <c r="A773" s="301">
        <v>28512</v>
      </c>
      <c r="B773" s="302" t="s">
        <v>1236</v>
      </c>
      <c r="C773" s="303" t="s">
        <v>272</v>
      </c>
      <c r="D773" s="304">
        <v>3.51</v>
      </c>
      <c r="E773" s="305"/>
      <c r="F773" s="305"/>
      <c r="G773" s="305" t="s">
        <v>889</v>
      </c>
      <c r="H773" s="306">
        <v>404</v>
      </c>
      <c r="I773" s="307">
        <v>103003</v>
      </c>
      <c r="J773" s="308">
        <v>3.51</v>
      </c>
      <c r="K773" s="309"/>
      <c r="L773" s="310">
        <f>IF(tabItens[[#This Row],[Média]] &gt; 0, tabItens[[#This Row],[QTDE ATUAL]] / tabItens[[#This Row],[Média]],999.9)</f>
        <v>999.9</v>
      </c>
      <c r="M773" s="311">
        <v>0</v>
      </c>
      <c r="N773" s="312">
        <f>tabItens[[#This Row],[VALOR UNIT.]] * tabItens[[#This Row],[LC]]</f>
        <v>0</v>
      </c>
      <c r="O773" s="313"/>
      <c r="P773" s="314"/>
      <c r="Q773" s="315"/>
      <c r="R773" s="312"/>
      <c r="S773" s="316"/>
      <c r="T773" s="317">
        <f>ROUNDDOWN(IFERROR(tabItens[[#This Row],[ATA DT.VALID.]] - $D$1,0) / 30,0)</f>
        <v>-1474</v>
      </c>
      <c r="U773" s="302" t="s">
        <v>1041</v>
      </c>
      <c r="V773" s="318">
        <v>1</v>
      </c>
      <c r="W773" s="319" t="s">
        <v>2076</v>
      </c>
      <c r="X773" s="320">
        <v>61</v>
      </c>
      <c r="Y773" s="321">
        <v>2</v>
      </c>
      <c r="Z773" s="322"/>
      <c r="AA773" s="323"/>
      <c r="AB773" s="324"/>
      <c r="AC773" s="324"/>
      <c r="AD773" s="323"/>
      <c r="AE773" s="324"/>
      <c r="AF773" s="317"/>
      <c r="AG773" s="325" t="s">
        <v>2072</v>
      </c>
      <c r="AH773" s="326"/>
      <c r="AI773" s="317">
        <v>0</v>
      </c>
      <c r="AJ773" s="326">
        <v>45170</v>
      </c>
      <c r="AK773" s="326" t="s">
        <v>889</v>
      </c>
      <c r="AL773" s="326">
        <v>45145</v>
      </c>
      <c r="AM773" s="316"/>
      <c r="AN773" s="305"/>
      <c r="AO773" s="327" t="str">
        <f>_xlfn.IFNA(IF(VLOOKUP(tabItens[[#This Row],[CÓDIGO]],tabExcluirDoEstoque[#Data],1,FALSE),"sim",""),"")</f>
        <v/>
      </c>
      <c r="AP773" s="328" t="str">
        <f ca="1">IF(OR(ISBLANK(tabItens[[#This Row],[ATA DT.VALID.]]),tabItens[[#This Row],[ATA DT.VALID.]]="",tabItens[[#This Row],[ATA DT.VALID.]]=" "),"",IF(TYPE(tabItens[[#This Row],[ATA DT.VALID.]])=1,ROUNDUP((tabItens[[#This Row],[ATA DT.VALID.]]-TODAY())/7,0),""))</f>
        <v/>
      </c>
      <c r="AQ773" s="329"/>
      <c r="AR773" s="330">
        <f>IF(ISBLANK(tabItens[[#This Row],[CÓDIGO]]),"",IFERROR(VLOOKUP(tabItens[[#This Row],[CÓDIGO]],Consumo!$C$2:$AC$862,26,FALSE),0))</f>
        <v>0</v>
      </c>
      <c r="AS773" s="331">
        <f>SUMIF(Consumo!$C$3:$C$862,tabItens[[#This Row],[CÓDIGO]],Consumo!$N$3:$N$862) + SUMIF(Consumo!$C$3:$C$862,tabItens[[#This Row],[CÓDIGO]],Consumo!$O$3:$O$862) + SUMIF(Consumo!$C$3:$C$862,tabItens[[#This Row],[CÓDIGO]],Consumo!$P$3:$P$862) + SUMIF(Consumo!$C$3:$C$862,tabItens[[#This Row],[CÓDIGO]],Consumo!$Q$3:$Q$862)</f>
        <v>0</v>
      </c>
      <c r="AT773" s="331">
        <f>SUMIF(Consumo!$C$3:$C$862,tabItens[[#This Row],[CÓDIGO]],Consumo!$Z$3:$Z$862)</f>
        <v>0</v>
      </c>
      <c r="AU773" s="332">
        <f>SUMIF(Consumo!$C$3:$C$862,tabItens[[#This Row],[CÓDIGO]],Consumo!$AA$3:$AA$862)</f>
        <v>0</v>
      </c>
      <c r="AV773" s="333">
        <f>SUMIF(Consumo!$C$3:$C$862,tabItens[[#This Row],[CÓDIGO]],Consumo!$Y$3:$Y$862)</f>
        <v>0</v>
      </c>
      <c r="AW773" s="306">
        <f>tabItens[[#This Row],[QTDE ATUAL]] + tabItens[[#This Row],[RC QTDE]] + tabItens[[#This Row],[AF SALDO]] + tabItens[[#This Row],[Recentes]]</f>
        <v>404</v>
      </c>
      <c r="AX773" s="334">
        <v>18</v>
      </c>
      <c r="AY773" s="334">
        <v>4</v>
      </c>
      <c r="AZ773" s="334">
        <f>IF(ISBLANK(tabItens[[#This Row],[CÓDIGO]]),"",tabItens[[#This Row],[PontoMês]] * (AZ$2+tabItens[[#This Row],[PontoQtM]]))</f>
        <v>72</v>
      </c>
      <c r="BA773" s="333">
        <f>tabItens[[#This Row],[PontoPed]] - tabItens[[#This Row],[Saldo]] + (1/10)</f>
        <v>-331.9</v>
      </c>
      <c r="BB773" s="333">
        <f xml:space="preserve"> tabItens[[#This Row],[PontoMês]] * BB$2 - tabItens[[#This Row],[QTDE ATUAL]] - (1/10)</f>
        <v>-386.1</v>
      </c>
      <c r="BC773" s="335">
        <f>IF( tabItens[[#This Row],[PontoPed]]&gt;0, IF(tabItens[[#This Row],[PontoPed]]&lt;1, 1, IF( tabItens[[#This Row],[Saldo]]&gt;tabItens[[#This Row],[PontoPed]], 0, (tabItens[[#This Row],[PontoPed]]-tabItens[[#This Row],[Saldo]])/tabItens[[#This Row],[PontoPed]] ) ), 0 )</f>
        <v>0</v>
      </c>
      <c r="BD773" s="336">
        <f>ROUNDDOWN(IF( OR( AND(tabItens[[#This Row],[PontoPed]]&lt;tabItens[[#This Row],[Saldo]],tabItens[[#This Row],[Saldo]]&gt;0), tabItens[[#This Row],[PontoPed]]=0), 99, IF(AND(tabItens[[#This Row],[Saldo]]=0,tabItens[[#This Row],[PontoPed]]&gt;0), 0, (1-tabItens[[#This Row],[PctAb]])*10 ) ),0)</f>
        <v>99</v>
      </c>
      <c r="BE773" s="337">
        <f>MAX(ROUNDDOWN( IF(tabItens[[#This Row],[Abaixo]] &gt; 0,   tabItens[[#This Row],[Abaixo]] + (tabItens[[#This Row],[PontoMês]] * IF( OR( ISBLANK(tabItens[[#This Row],[ATA Nº/ANO]]), tabItens[[#This Row],[ATA Nº/ANO]] = ""),BE$2,BE$1)),0),0),0)</f>
        <v>0</v>
      </c>
      <c r="BF77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3" s="338">
        <f>SUMIF(Consumo!$C$3:$C$862,tabItens[[#This Row],[CÓDIGO]],Consumo!$E$3:$E$862)</f>
        <v>0</v>
      </c>
      <c r="BH773" s="339">
        <f>IF(AND(tabItens[[#This Row],[Pend]] &gt; 0,tabItens[[#This Row],[Consumo]] &lt;&gt; 0), tabItens[[#This Row],[Pend]] / tabItens[[#This Row],[Consumo]], 0 )</f>
        <v>0</v>
      </c>
      <c r="BI773" s="338"/>
      <c r="BJ773" s="338"/>
      <c r="BK773" s="340" t="s">
        <v>2086</v>
      </c>
    </row>
    <row r="774" spans="1:63" hidden="1" x14ac:dyDescent="0.3">
      <c r="A774" s="301">
        <v>123710</v>
      </c>
      <c r="B774" s="302" t="s">
        <v>1762</v>
      </c>
      <c r="C774" s="303" t="s">
        <v>260</v>
      </c>
      <c r="D774" s="304">
        <v>178</v>
      </c>
      <c r="E774" s="305"/>
      <c r="F774" s="305"/>
      <c r="G774" s="305" t="s">
        <v>889</v>
      </c>
      <c r="H774" s="306">
        <v>73</v>
      </c>
      <c r="I774" s="307">
        <v>103003</v>
      </c>
      <c r="J774" s="308">
        <v>178</v>
      </c>
      <c r="K774" s="309">
        <v>126</v>
      </c>
      <c r="L774" s="310">
        <f>IF(tabItens[[#This Row],[Média]] &gt; 0, tabItens[[#This Row],[QTDE ATUAL]] / tabItens[[#This Row],[Média]],999.9)</f>
        <v>5.2771084337349397</v>
      </c>
      <c r="M774" s="311">
        <v>0</v>
      </c>
      <c r="N774" s="312">
        <f>tabItens[[#This Row],[VALOR UNIT.]] * tabItens[[#This Row],[LC]]</f>
        <v>0</v>
      </c>
      <c r="O774" s="313"/>
      <c r="P774" s="314"/>
      <c r="Q774" s="315"/>
      <c r="R774" s="312"/>
      <c r="S774" s="316"/>
      <c r="T774" s="317">
        <f>ROUNDDOWN(IFERROR(tabItens[[#This Row],[ATA DT.VALID.]] - $D$1,0) / 30,0)</f>
        <v>-1474</v>
      </c>
      <c r="U774" s="302" t="s">
        <v>1763</v>
      </c>
      <c r="V774" s="318">
        <v>1</v>
      </c>
      <c r="W774" s="319" t="s">
        <v>2071</v>
      </c>
      <c r="X774" s="320">
        <v>61</v>
      </c>
      <c r="Y774" s="321">
        <v>4</v>
      </c>
      <c r="Z774" s="322"/>
      <c r="AA774" s="323"/>
      <c r="AB774" s="324"/>
      <c r="AC774" s="324"/>
      <c r="AD774" s="323"/>
      <c r="AE774" s="324"/>
      <c r="AF774" s="317"/>
      <c r="AG774" s="325" t="s">
        <v>2072</v>
      </c>
      <c r="AH774" s="326"/>
      <c r="AI774" s="317">
        <v>54</v>
      </c>
      <c r="AJ774" s="326">
        <v>45170</v>
      </c>
      <c r="AK774" s="326">
        <v>41143</v>
      </c>
      <c r="AL774" s="326">
        <v>45145</v>
      </c>
      <c r="AM774" s="316"/>
      <c r="AN774" s="305"/>
      <c r="AO774" s="327" t="str">
        <f>_xlfn.IFNA(IF(VLOOKUP(tabItens[[#This Row],[CÓDIGO]],tabExcluirDoEstoque[#Data],1,FALSE),"sim",""),"")</f>
        <v/>
      </c>
      <c r="AP774" s="328" t="str">
        <f ca="1">IF(OR(ISBLANK(tabItens[[#This Row],[ATA DT.VALID.]]),tabItens[[#This Row],[ATA DT.VALID.]]="",tabItens[[#This Row],[ATA DT.VALID.]]=" "),"",IF(TYPE(tabItens[[#This Row],[ATA DT.VALID.]])=1,ROUNDUP((tabItens[[#This Row],[ATA DT.VALID.]]-TODAY())/7,0),""))</f>
        <v/>
      </c>
      <c r="AQ774" s="329"/>
      <c r="AR774" s="330" t="str">
        <f>IF(ISBLANK(tabItens[[#This Row],[CÓDIGO]]),"",IFERROR(VLOOKUP(tabItens[[#This Row],[CÓDIGO]],Consumo!$C$2:$AC$862,26,FALSE),0))</f>
        <v>09.2023</v>
      </c>
      <c r="AS774" s="331">
        <f>SUMIF(Consumo!$C$3:$C$862,tabItens[[#This Row],[CÓDIGO]],Consumo!$N$3:$N$862) + SUMIF(Consumo!$C$3:$C$862,tabItens[[#This Row],[CÓDIGO]],Consumo!$O$3:$O$862) + SUMIF(Consumo!$C$3:$C$862,tabItens[[#This Row],[CÓDIGO]],Consumo!$P$3:$P$862) + SUMIF(Consumo!$C$3:$C$862,tabItens[[#This Row],[CÓDIGO]],Consumo!$Q$3:$Q$862)</f>
        <v>53</v>
      </c>
      <c r="AT774" s="331">
        <f>SUMIF(Consumo!$C$3:$C$862,tabItens[[#This Row],[CÓDIGO]],Consumo!$Z$3:$Z$862)</f>
        <v>168</v>
      </c>
      <c r="AU774" s="332">
        <f>SUMIF(Consumo!$C$3:$C$862,tabItens[[#This Row],[CÓDIGO]],Consumo!$AA$3:$AA$862)</f>
        <v>34</v>
      </c>
      <c r="AV774" s="333">
        <f>SUMIF(Consumo!$C$3:$C$862,tabItens[[#This Row],[CÓDIGO]],Consumo!$Y$3:$Y$862)</f>
        <v>13.833333333333334</v>
      </c>
      <c r="AW774" s="306">
        <f>tabItens[[#This Row],[QTDE ATUAL]] + tabItens[[#This Row],[RC QTDE]] + tabItens[[#This Row],[AF SALDO]] + tabItens[[#This Row],[Recentes]]</f>
        <v>73</v>
      </c>
      <c r="AX774" s="334">
        <v>6</v>
      </c>
      <c r="AY774" s="334">
        <v>4</v>
      </c>
      <c r="AZ774" s="334">
        <f>IF(ISBLANK(tabItens[[#This Row],[CÓDIGO]]),"",tabItens[[#This Row],[PontoMês]] * (AZ$2+tabItens[[#This Row],[PontoQtM]]))</f>
        <v>24</v>
      </c>
      <c r="BA774" s="333">
        <f>tabItens[[#This Row],[PontoPed]] - tabItens[[#This Row],[Saldo]] + (1/10)</f>
        <v>-48.9</v>
      </c>
      <c r="BB774" s="333">
        <f xml:space="preserve"> tabItens[[#This Row],[PontoMês]] * BB$2 - tabItens[[#This Row],[QTDE ATUAL]] - (1/10)</f>
        <v>-67.099999999999994</v>
      </c>
      <c r="BC774" s="335">
        <f>IF( tabItens[[#This Row],[PontoPed]]&gt;0, IF(tabItens[[#This Row],[PontoPed]]&lt;1, 1, IF( tabItens[[#This Row],[Saldo]]&gt;tabItens[[#This Row],[PontoPed]], 0, (tabItens[[#This Row],[PontoPed]]-tabItens[[#This Row],[Saldo]])/tabItens[[#This Row],[PontoPed]] ) ), 0 )</f>
        <v>0</v>
      </c>
      <c r="BD774" s="336">
        <f>ROUNDDOWN(IF( OR( AND(tabItens[[#This Row],[PontoPed]]&lt;tabItens[[#This Row],[Saldo]],tabItens[[#This Row],[Saldo]]&gt;0), tabItens[[#This Row],[PontoPed]]=0), 99, IF(AND(tabItens[[#This Row],[Saldo]]=0,tabItens[[#This Row],[PontoPed]]&gt;0), 0, (1-tabItens[[#This Row],[PctAb]])*10 ) ),0)</f>
        <v>99</v>
      </c>
      <c r="BE774" s="337">
        <f>MAX(ROUNDDOWN( IF(tabItens[[#This Row],[Abaixo]] &gt; 0,   tabItens[[#This Row],[Abaixo]] + (tabItens[[#This Row],[PontoMês]] * IF( OR( ISBLANK(tabItens[[#This Row],[ATA Nº/ANO]]), tabItens[[#This Row],[ATA Nº/ANO]] = ""),BE$2,BE$1)),0),0),0)</f>
        <v>0</v>
      </c>
      <c r="BF77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4" s="338">
        <f>SUMIF(Consumo!$C$3:$C$862,tabItens[[#This Row],[CÓDIGO]],Consumo!$E$3:$E$862)</f>
        <v>6</v>
      </c>
      <c r="BH774" s="339">
        <f>IF(AND(tabItens[[#This Row],[Pend]] &gt; 0,tabItens[[#This Row],[Consumo]] &lt;&gt; 0), tabItens[[#This Row],[Pend]] / tabItens[[#This Row],[Consumo]], 0 )</f>
        <v>3.5714285714285712E-2</v>
      </c>
      <c r="BI774" s="338"/>
      <c r="BJ774" s="338"/>
      <c r="BK774" s="340" t="s">
        <v>2086</v>
      </c>
    </row>
    <row r="775" spans="1:63" hidden="1" x14ac:dyDescent="0.3">
      <c r="A775" s="301">
        <v>13068</v>
      </c>
      <c r="B775" s="302" t="s">
        <v>997</v>
      </c>
      <c r="C775" s="303" t="s">
        <v>263</v>
      </c>
      <c r="D775" s="304">
        <v>4.3</v>
      </c>
      <c r="E775" s="305"/>
      <c r="F775" s="305"/>
      <c r="G775" s="305" t="s">
        <v>889</v>
      </c>
      <c r="H775" s="306">
        <v>163</v>
      </c>
      <c r="I775" s="307">
        <v>103003</v>
      </c>
      <c r="J775" s="308">
        <v>4.3</v>
      </c>
      <c r="K775" s="309">
        <v>36</v>
      </c>
      <c r="L775" s="310">
        <f>IF(tabItens[[#This Row],[Média]] &gt; 0, tabItens[[#This Row],[QTDE ATUAL]] / tabItens[[#This Row],[Média]],999.9)</f>
        <v>65.2</v>
      </c>
      <c r="M775" s="311">
        <v>0</v>
      </c>
      <c r="N775" s="312">
        <f>tabItens[[#This Row],[VALOR UNIT.]] * tabItens[[#This Row],[LC]]</f>
        <v>0</v>
      </c>
      <c r="O775" s="313"/>
      <c r="P775" s="314"/>
      <c r="Q775" s="315"/>
      <c r="R775" s="312"/>
      <c r="S775" s="316"/>
      <c r="T775" s="317">
        <f>ROUNDDOWN(IFERROR(tabItens[[#This Row],[ATA DT.VALID.]] - $D$1,0) / 30,0)</f>
        <v>-1474</v>
      </c>
      <c r="U775" s="302" t="s">
        <v>966</v>
      </c>
      <c r="V775" s="318">
        <v>1</v>
      </c>
      <c r="W775" s="319" t="s">
        <v>2076</v>
      </c>
      <c r="X775" s="320">
        <v>61</v>
      </c>
      <c r="Y775" s="321">
        <v>8</v>
      </c>
      <c r="Z775" s="322"/>
      <c r="AA775" s="323"/>
      <c r="AB775" s="324"/>
      <c r="AC775" s="324"/>
      <c r="AD775" s="323"/>
      <c r="AE775" s="324"/>
      <c r="AF775" s="317"/>
      <c r="AG775" s="325" t="s">
        <v>2072</v>
      </c>
      <c r="AH775" s="326"/>
      <c r="AI775" s="317">
        <v>12</v>
      </c>
      <c r="AJ775" s="326">
        <v>44069</v>
      </c>
      <c r="AK775" s="326" t="s">
        <v>889</v>
      </c>
      <c r="AL775" s="326">
        <v>44029</v>
      </c>
      <c r="AM775" s="316"/>
      <c r="AN775" s="305"/>
      <c r="AO775" s="327" t="str">
        <f>_xlfn.IFNA(IF(VLOOKUP(tabItens[[#This Row],[CÓDIGO]],tabExcluirDoEstoque[#Data],1,FALSE),"sim",""),"")</f>
        <v/>
      </c>
      <c r="AP775" s="328" t="str">
        <f ca="1">IF(OR(ISBLANK(tabItens[[#This Row],[ATA DT.VALID.]]),tabItens[[#This Row],[ATA DT.VALID.]]="",tabItens[[#This Row],[ATA DT.VALID.]]=" "),"",IF(TYPE(tabItens[[#This Row],[ATA DT.VALID.]])=1,ROUNDUP((tabItens[[#This Row],[ATA DT.VALID.]]-TODAY())/7,0),""))</f>
        <v/>
      </c>
      <c r="AQ775" s="329"/>
      <c r="AR775" s="330" t="str">
        <f>IF(ISBLANK(tabItens[[#This Row],[CÓDIGO]]),"",IFERROR(VLOOKUP(tabItens[[#This Row],[CÓDIGO]],Consumo!$C$2:$AC$862,26,FALSE),0))</f>
        <v>04.2023</v>
      </c>
      <c r="AS775" s="331">
        <f>SUMIF(Consumo!$C$3:$C$862,tabItens[[#This Row],[CÓDIGO]],Consumo!$N$3:$N$862) + SUMIF(Consumo!$C$3:$C$862,tabItens[[#This Row],[CÓDIGO]],Consumo!$O$3:$O$862) + SUMIF(Consumo!$C$3:$C$862,tabItens[[#This Row],[CÓDIGO]],Consumo!$P$3:$P$862) + SUMIF(Consumo!$C$3:$C$862,tabItens[[#This Row],[CÓDIGO]],Consumo!$Q$3:$Q$862)</f>
        <v>0</v>
      </c>
      <c r="AT775" s="331">
        <f>SUMIF(Consumo!$C$3:$C$862,tabItens[[#This Row],[CÓDIGO]],Consumo!$Z$3:$Z$862)</f>
        <v>36</v>
      </c>
      <c r="AU775" s="332">
        <f>SUMIF(Consumo!$C$3:$C$862,tabItens[[#This Row],[CÓDIGO]],Consumo!$AA$3:$AA$862)</f>
        <v>20</v>
      </c>
      <c r="AV775" s="333">
        <f>SUMIF(Consumo!$C$3:$C$862,tabItens[[#This Row],[CÓDIGO]],Consumo!$Y$3:$Y$862)</f>
        <v>2.5</v>
      </c>
      <c r="AW775" s="306">
        <f>tabItens[[#This Row],[QTDE ATUAL]] + tabItens[[#This Row],[RC QTDE]] + tabItens[[#This Row],[AF SALDO]] + tabItens[[#This Row],[Recentes]]</f>
        <v>163</v>
      </c>
      <c r="AX775" s="334">
        <v>8</v>
      </c>
      <c r="AY775" s="334">
        <v>4</v>
      </c>
      <c r="AZ775" s="334">
        <f>IF(ISBLANK(tabItens[[#This Row],[CÓDIGO]]),"",tabItens[[#This Row],[PontoMês]] * (AZ$2+tabItens[[#This Row],[PontoQtM]]))</f>
        <v>32</v>
      </c>
      <c r="BA775" s="333">
        <f>tabItens[[#This Row],[PontoPed]] - tabItens[[#This Row],[Saldo]] + (1/10)</f>
        <v>-130.9</v>
      </c>
      <c r="BB775" s="333">
        <f xml:space="preserve"> tabItens[[#This Row],[PontoMês]] * BB$2 - tabItens[[#This Row],[QTDE ATUAL]] - (1/10)</f>
        <v>-155.1</v>
      </c>
      <c r="BC775" s="335">
        <f>IF( tabItens[[#This Row],[PontoPed]]&gt;0, IF(tabItens[[#This Row],[PontoPed]]&lt;1, 1, IF( tabItens[[#This Row],[Saldo]]&gt;tabItens[[#This Row],[PontoPed]], 0, (tabItens[[#This Row],[PontoPed]]-tabItens[[#This Row],[Saldo]])/tabItens[[#This Row],[PontoPed]] ) ), 0 )</f>
        <v>0</v>
      </c>
      <c r="BD775" s="336">
        <f>ROUNDDOWN(IF( OR( AND(tabItens[[#This Row],[PontoPed]]&lt;tabItens[[#This Row],[Saldo]],tabItens[[#This Row],[Saldo]]&gt;0), tabItens[[#This Row],[PontoPed]]=0), 99, IF(AND(tabItens[[#This Row],[Saldo]]=0,tabItens[[#This Row],[PontoPed]]&gt;0), 0, (1-tabItens[[#This Row],[PctAb]])*10 ) ),0)</f>
        <v>99</v>
      </c>
      <c r="BE775" s="337">
        <f>MAX(ROUNDDOWN( IF(tabItens[[#This Row],[Abaixo]] &gt; 0,   tabItens[[#This Row],[Abaixo]] + (tabItens[[#This Row],[PontoMês]] * IF( OR( ISBLANK(tabItens[[#This Row],[ATA Nº/ANO]]), tabItens[[#This Row],[ATA Nº/ANO]] = ""),BE$2,BE$1)),0),0),0)</f>
        <v>0</v>
      </c>
      <c r="BF77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5" s="338">
        <f>SUMIF(Consumo!$C$3:$C$862,tabItens[[#This Row],[CÓDIGO]],Consumo!$E$3:$E$862)</f>
        <v>0</v>
      </c>
      <c r="BH775" s="339">
        <f>IF(AND(tabItens[[#This Row],[Pend]] &gt; 0,tabItens[[#This Row],[Consumo]] &lt;&gt; 0), tabItens[[#This Row],[Pend]] / tabItens[[#This Row],[Consumo]], 0 )</f>
        <v>0</v>
      </c>
      <c r="BI775" s="338"/>
      <c r="BJ775" s="338"/>
      <c r="BK775" s="340" t="s">
        <v>2086</v>
      </c>
    </row>
    <row r="776" spans="1:63" hidden="1" x14ac:dyDescent="0.3">
      <c r="A776" s="301">
        <v>13102</v>
      </c>
      <c r="B776" s="302" t="s">
        <v>1008</v>
      </c>
      <c r="C776" s="303" t="s">
        <v>263</v>
      </c>
      <c r="D776" s="304">
        <v>3</v>
      </c>
      <c r="E776" s="305"/>
      <c r="F776" s="305"/>
      <c r="G776" s="305" t="s">
        <v>889</v>
      </c>
      <c r="H776" s="306">
        <v>24</v>
      </c>
      <c r="I776" s="307">
        <v>103003</v>
      </c>
      <c r="J776" s="308">
        <v>3</v>
      </c>
      <c r="K776" s="309">
        <v>26</v>
      </c>
      <c r="L776" s="310">
        <f>IF(tabItens[[#This Row],[Média]] &gt; 0, tabItens[[#This Row],[QTDE ATUAL]] / tabItens[[#This Row],[Média]],999.9)</f>
        <v>13.090909090909092</v>
      </c>
      <c r="M776" s="311">
        <v>0</v>
      </c>
      <c r="N776" s="312">
        <f>tabItens[[#This Row],[VALOR UNIT.]] * tabItens[[#This Row],[LC]]</f>
        <v>0</v>
      </c>
      <c r="O776" s="313"/>
      <c r="P776" s="314"/>
      <c r="Q776" s="315"/>
      <c r="R776" s="312"/>
      <c r="S776" s="316"/>
      <c r="T776" s="317">
        <f>ROUNDDOWN(IFERROR(tabItens[[#This Row],[ATA DT.VALID.]] - $D$1,0) / 30,0)</f>
        <v>-1474</v>
      </c>
      <c r="U776" s="302" t="s">
        <v>966</v>
      </c>
      <c r="V776" s="318">
        <v>1</v>
      </c>
      <c r="W776" s="319" t="s">
        <v>2076</v>
      </c>
      <c r="X776" s="320">
        <v>61</v>
      </c>
      <c r="Y776" s="321">
        <v>8</v>
      </c>
      <c r="Z776" s="322"/>
      <c r="AA776" s="323"/>
      <c r="AB776" s="324"/>
      <c r="AC776" s="324"/>
      <c r="AD776" s="323"/>
      <c r="AE776" s="324"/>
      <c r="AF776" s="317"/>
      <c r="AG776" s="325" t="s">
        <v>2072</v>
      </c>
      <c r="AH776" s="326"/>
      <c r="AI776" s="317">
        <v>8</v>
      </c>
      <c r="AJ776" s="326">
        <v>45160</v>
      </c>
      <c r="AK776" s="326" t="s">
        <v>889</v>
      </c>
      <c r="AL776" s="326">
        <v>45145</v>
      </c>
      <c r="AM776" s="316"/>
      <c r="AN776" s="305"/>
      <c r="AO776" s="327" t="str">
        <f>_xlfn.IFNA(IF(VLOOKUP(tabItens[[#This Row],[CÓDIGO]],tabExcluirDoEstoque[#Data],1,FALSE),"sim",""),"")</f>
        <v/>
      </c>
      <c r="AP776" s="328" t="str">
        <f ca="1">IF(OR(ISBLANK(tabItens[[#This Row],[ATA DT.VALID.]]),tabItens[[#This Row],[ATA DT.VALID.]]="",tabItens[[#This Row],[ATA DT.VALID.]]=" "),"",IF(TYPE(tabItens[[#This Row],[ATA DT.VALID.]])=1,ROUNDUP((tabItens[[#This Row],[ATA DT.VALID.]]-TODAY())/7,0),""))</f>
        <v/>
      </c>
      <c r="AQ776" s="329"/>
      <c r="AR776" s="330" t="str">
        <f>IF(ISBLANK(tabItens[[#This Row],[CÓDIGO]]),"",IFERROR(VLOOKUP(tabItens[[#This Row],[CÓDIGO]],Consumo!$C$2:$AC$862,26,FALSE),0))</f>
        <v>04.2023</v>
      </c>
      <c r="AS776" s="331">
        <f>SUMIF(Consumo!$C$3:$C$862,tabItens[[#This Row],[CÓDIGO]],Consumo!$N$3:$N$862) + SUMIF(Consumo!$C$3:$C$862,tabItens[[#This Row],[CÓDIGO]],Consumo!$O$3:$O$862) + SUMIF(Consumo!$C$3:$C$862,tabItens[[#This Row],[CÓDIGO]],Consumo!$P$3:$P$862) + SUMIF(Consumo!$C$3:$C$862,tabItens[[#This Row],[CÓDIGO]],Consumo!$Q$3:$Q$862)</f>
        <v>0</v>
      </c>
      <c r="AT776" s="331">
        <f>SUMIF(Consumo!$C$3:$C$862,tabItens[[#This Row],[CÓDIGO]],Consumo!$Z$3:$Z$862)</f>
        <v>28</v>
      </c>
      <c r="AU776" s="332">
        <f>SUMIF(Consumo!$C$3:$C$862,tabItens[[#This Row],[CÓDIGO]],Consumo!$AA$3:$AA$862)</f>
        <v>18</v>
      </c>
      <c r="AV776" s="333">
        <f>SUMIF(Consumo!$C$3:$C$862,tabItens[[#This Row],[CÓDIGO]],Consumo!$Y$3:$Y$862)</f>
        <v>1.8333333333333333</v>
      </c>
      <c r="AW776" s="306">
        <f>tabItens[[#This Row],[QTDE ATUAL]] + tabItens[[#This Row],[RC QTDE]] + tabItens[[#This Row],[AF SALDO]] + tabItens[[#This Row],[Recentes]]</f>
        <v>24</v>
      </c>
      <c r="AX776" s="334">
        <v>1</v>
      </c>
      <c r="AY776" s="334">
        <v>4</v>
      </c>
      <c r="AZ776" s="334">
        <f>IF(ISBLANK(tabItens[[#This Row],[CÓDIGO]]),"",tabItens[[#This Row],[PontoMês]] * (AZ$2+tabItens[[#This Row],[PontoQtM]]))</f>
        <v>4</v>
      </c>
      <c r="BA776" s="333">
        <f>tabItens[[#This Row],[PontoPed]] - tabItens[[#This Row],[Saldo]] + (1/10)</f>
        <v>-19.899999999999999</v>
      </c>
      <c r="BB776" s="333">
        <f xml:space="preserve"> tabItens[[#This Row],[PontoMês]] * BB$2 - tabItens[[#This Row],[QTDE ATUAL]] - (1/10)</f>
        <v>-23.1</v>
      </c>
      <c r="BC776" s="335">
        <f>IF( tabItens[[#This Row],[PontoPed]]&gt;0, IF(tabItens[[#This Row],[PontoPed]]&lt;1, 1, IF( tabItens[[#This Row],[Saldo]]&gt;tabItens[[#This Row],[PontoPed]], 0, (tabItens[[#This Row],[PontoPed]]-tabItens[[#This Row],[Saldo]])/tabItens[[#This Row],[PontoPed]] ) ), 0 )</f>
        <v>0</v>
      </c>
      <c r="BD776" s="336">
        <f>ROUNDDOWN(IF( OR( AND(tabItens[[#This Row],[PontoPed]]&lt;tabItens[[#This Row],[Saldo]],tabItens[[#This Row],[Saldo]]&gt;0), tabItens[[#This Row],[PontoPed]]=0), 99, IF(AND(tabItens[[#This Row],[Saldo]]=0,tabItens[[#This Row],[PontoPed]]&gt;0), 0, (1-tabItens[[#This Row],[PctAb]])*10 ) ),0)</f>
        <v>99</v>
      </c>
      <c r="BE776" s="337">
        <f>MAX(ROUNDDOWN( IF(tabItens[[#This Row],[Abaixo]] &gt; 0,   tabItens[[#This Row],[Abaixo]] + (tabItens[[#This Row],[PontoMês]] * IF( OR( ISBLANK(tabItens[[#This Row],[ATA Nº/ANO]]), tabItens[[#This Row],[ATA Nº/ANO]] = ""),BE$2,BE$1)),0),0),0)</f>
        <v>0</v>
      </c>
      <c r="BF77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6" s="338">
        <f>SUMIF(Consumo!$C$3:$C$862,tabItens[[#This Row],[CÓDIGO]],Consumo!$E$3:$E$862)</f>
        <v>2</v>
      </c>
      <c r="BH776" s="339">
        <f>IF(AND(tabItens[[#This Row],[Pend]] &gt; 0,tabItens[[#This Row],[Consumo]] &lt;&gt; 0), tabItens[[#This Row],[Pend]] / tabItens[[#This Row],[Consumo]], 0 )</f>
        <v>7.1428571428571425E-2</v>
      </c>
      <c r="BI776" s="338"/>
      <c r="BJ776" s="338"/>
      <c r="BK776" s="340" t="s">
        <v>2086</v>
      </c>
    </row>
    <row r="777" spans="1:63" hidden="1" x14ac:dyDescent="0.3">
      <c r="A777" s="301">
        <v>38534</v>
      </c>
      <c r="B777" s="302" t="s">
        <v>1270</v>
      </c>
      <c r="C777" s="303" t="s">
        <v>263</v>
      </c>
      <c r="D777" s="304">
        <v>2.86</v>
      </c>
      <c r="E777" s="305"/>
      <c r="F777" s="305"/>
      <c r="G777" s="305" t="s">
        <v>889</v>
      </c>
      <c r="H777" s="306">
        <v>102</v>
      </c>
      <c r="I777" s="307">
        <v>103003</v>
      </c>
      <c r="J777" s="308">
        <v>2.86</v>
      </c>
      <c r="K777" s="309">
        <v>6</v>
      </c>
      <c r="L777" s="310">
        <f>IF(tabItens[[#This Row],[Média]] &gt; 0, tabItens[[#This Row],[QTDE ATUAL]] / tabItens[[#This Row],[Média]],999.9)</f>
        <v>408</v>
      </c>
      <c r="M777" s="311">
        <v>0</v>
      </c>
      <c r="N777" s="312">
        <f>tabItens[[#This Row],[VALOR UNIT.]] * tabItens[[#This Row],[LC]]</f>
        <v>0</v>
      </c>
      <c r="O777" s="313"/>
      <c r="P777" s="314"/>
      <c r="Q777" s="315"/>
      <c r="R777" s="312"/>
      <c r="S777" s="316"/>
      <c r="T777" s="317">
        <f>ROUNDDOWN(IFERROR(tabItens[[#This Row],[ATA DT.VALID.]] - $D$1,0) / 30,0)</f>
        <v>-1474</v>
      </c>
      <c r="U777" s="302" t="s">
        <v>966</v>
      </c>
      <c r="V777" s="318">
        <v>1</v>
      </c>
      <c r="W777" s="319" t="s">
        <v>2076</v>
      </c>
      <c r="X777" s="320">
        <v>61</v>
      </c>
      <c r="Y777" s="321">
        <v>8</v>
      </c>
      <c r="Z777" s="322"/>
      <c r="AA777" s="323"/>
      <c r="AB777" s="324"/>
      <c r="AC777" s="324"/>
      <c r="AD777" s="323"/>
      <c r="AE777" s="324"/>
      <c r="AF777" s="317"/>
      <c r="AG777" s="325" t="s">
        <v>2072</v>
      </c>
      <c r="AH777" s="326"/>
      <c r="AI777" s="317">
        <v>2</v>
      </c>
      <c r="AJ777" s="326">
        <v>40858</v>
      </c>
      <c r="AK777" s="326" t="s">
        <v>889</v>
      </c>
      <c r="AL777" s="326">
        <v>44291</v>
      </c>
      <c r="AM777" s="316"/>
      <c r="AN777" s="305"/>
      <c r="AO777" s="327" t="str">
        <f>_xlfn.IFNA(IF(VLOOKUP(tabItens[[#This Row],[CÓDIGO]],tabExcluirDoEstoque[#Data],1,FALSE),"sim",""),"")</f>
        <v/>
      </c>
      <c r="AP777" s="328" t="str">
        <f ca="1">IF(OR(ISBLANK(tabItens[[#This Row],[ATA DT.VALID.]]),tabItens[[#This Row],[ATA DT.VALID.]]="",tabItens[[#This Row],[ATA DT.VALID.]]=" "),"",IF(TYPE(tabItens[[#This Row],[ATA DT.VALID.]])=1,ROUNDUP((tabItens[[#This Row],[ATA DT.VALID.]]-TODAY())/7,0),""))</f>
        <v/>
      </c>
      <c r="AQ777" s="329"/>
      <c r="AR777" s="330" t="str">
        <f>IF(ISBLANK(tabItens[[#This Row],[CÓDIGO]]),"",IFERROR(VLOOKUP(tabItens[[#This Row],[CÓDIGO]],Consumo!$C$2:$AC$862,26,FALSE),0))</f>
        <v>04.2023</v>
      </c>
      <c r="AS777" s="331">
        <f>SUMIF(Consumo!$C$3:$C$862,tabItens[[#This Row],[CÓDIGO]],Consumo!$N$3:$N$862) + SUMIF(Consumo!$C$3:$C$862,tabItens[[#This Row],[CÓDIGO]],Consumo!$O$3:$O$862) + SUMIF(Consumo!$C$3:$C$862,tabItens[[#This Row],[CÓDIGO]],Consumo!$P$3:$P$862) + SUMIF(Consumo!$C$3:$C$862,tabItens[[#This Row],[CÓDIGO]],Consumo!$Q$3:$Q$862)</f>
        <v>0</v>
      </c>
      <c r="AT777" s="331">
        <f>SUMIF(Consumo!$C$3:$C$862,tabItens[[#This Row],[CÓDIGO]],Consumo!$Z$3:$Z$862)</f>
        <v>6</v>
      </c>
      <c r="AU777" s="332">
        <f>SUMIF(Consumo!$C$3:$C$862,tabItens[[#This Row],[CÓDIGO]],Consumo!$AA$3:$AA$862)</f>
        <v>6</v>
      </c>
      <c r="AV777" s="333">
        <f>SUMIF(Consumo!$C$3:$C$862,tabItens[[#This Row],[CÓDIGO]],Consumo!$Y$3:$Y$862)</f>
        <v>0.25</v>
      </c>
      <c r="AW777" s="306">
        <f>tabItens[[#This Row],[QTDE ATUAL]] + tabItens[[#This Row],[RC QTDE]] + tabItens[[#This Row],[AF SALDO]] + tabItens[[#This Row],[Recentes]]</f>
        <v>102</v>
      </c>
      <c r="AX777" s="334">
        <v>1</v>
      </c>
      <c r="AY777" s="334">
        <v>4</v>
      </c>
      <c r="AZ777" s="334">
        <f>IF(ISBLANK(tabItens[[#This Row],[CÓDIGO]]),"",tabItens[[#This Row],[PontoMês]] * (AZ$2+tabItens[[#This Row],[PontoQtM]]))</f>
        <v>4</v>
      </c>
      <c r="BA777" s="333">
        <f>tabItens[[#This Row],[PontoPed]] - tabItens[[#This Row],[Saldo]] + (1/10)</f>
        <v>-97.9</v>
      </c>
      <c r="BB777" s="333">
        <f xml:space="preserve"> tabItens[[#This Row],[PontoMês]] * BB$2 - tabItens[[#This Row],[QTDE ATUAL]] - (1/10)</f>
        <v>-101.1</v>
      </c>
      <c r="BC777" s="335">
        <f>IF( tabItens[[#This Row],[PontoPed]]&gt;0, IF(tabItens[[#This Row],[PontoPed]]&lt;1, 1, IF( tabItens[[#This Row],[Saldo]]&gt;tabItens[[#This Row],[PontoPed]], 0, (tabItens[[#This Row],[PontoPed]]-tabItens[[#This Row],[Saldo]])/tabItens[[#This Row],[PontoPed]] ) ), 0 )</f>
        <v>0</v>
      </c>
      <c r="BD777" s="336">
        <f>ROUNDDOWN(IF( OR( AND(tabItens[[#This Row],[PontoPed]]&lt;tabItens[[#This Row],[Saldo]],tabItens[[#This Row],[Saldo]]&gt;0), tabItens[[#This Row],[PontoPed]]=0), 99, IF(AND(tabItens[[#This Row],[Saldo]]=0,tabItens[[#This Row],[PontoPed]]&gt;0), 0, (1-tabItens[[#This Row],[PctAb]])*10 ) ),0)</f>
        <v>99</v>
      </c>
      <c r="BE777" s="337">
        <f>MAX(ROUNDDOWN( IF(tabItens[[#This Row],[Abaixo]] &gt; 0,   tabItens[[#This Row],[Abaixo]] + (tabItens[[#This Row],[PontoMês]] * IF( OR( ISBLANK(tabItens[[#This Row],[ATA Nº/ANO]]), tabItens[[#This Row],[ATA Nº/ANO]] = ""),BE$2,BE$1)),0),0),0)</f>
        <v>0</v>
      </c>
      <c r="BF77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7" s="338">
        <f>SUMIF(Consumo!$C$3:$C$862,tabItens[[#This Row],[CÓDIGO]],Consumo!$E$3:$E$862)</f>
        <v>0</v>
      </c>
      <c r="BH777" s="339">
        <f>IF(AND(tabItens[[#This Row],[Pend]] &gt; 0,tabItens[[#This Row],[Consumo]] &lt;&gt; 0), tabItens[[#This Row],[Pend]] / tabItens[[#This Row],[Consumo]], 0 )</f>
        <v>0</v>
      </c>
      <c r="BI777" s="338"/>
      <c r="BJ777" s="338"/>
      <c r="BK777" s="340" t="s">
        <v>2086</v>
      </c>
    </row>
    <row r="778" spans="1:63" hidden="1" x14ac:dyDescent="0.3">
      <c r="A778" s="301">
        <v>40772</v>
      </c>
      <c r="B778" s="302" t="s">
        <v>1277</v>
      </c>
      <c r="C778" s="303" t="s">
        <v>263</v>
      </c>
      <c r="D778" s="304">
        <v>2.17</v>
      </c>
      <c r="E778" s="305"/>
      <c r="F778" s="305"/>
      <c r="G778" s="305" t="s">
        <v>889</v>
      </c>
      <c r="H778" s="306">
        <v>163</v>
      </c>
      <c r="I778" s="307">
        <v>103003</v>
      </c>
      <c r="J778" s="308">
        <v>2.17</v>
      </c>
      <c r="K778" s="309">
        <v>13</v>
      </c>
      <c r="L778" s="310">
        <f>IF(tabItens[[#This Row],[Média]] &gt; 0, tabItens[[#This Row],[QTDE ATUAL]] / tabItens[[#This Row],[Média]],999.9)</f>
        <v>217.33333333333334</v>
      </c>
      <c r="M778" s="311">
        <v>0</v>
      </c>
      <c r="N778" s="312">
        <f>tabItens[[#This Row],[VALOR UNIT.]] * tabItens[[#This Row],[LC]]</f>
        <v>0</v>
      </c>
      <c r="O778" s="313"/>
      <c r="P778" s="314"/>
      <c r="Q778" s="315"/>
      <c r="R778" s="312"/>
      <c r="S778" s="316"/>
      <c r="T778" s="317">
        <f>ROUNDDOWN(IFERROR(tabItens[[#This Row],[ATA DT.VALID.]] - $D$1,0) / 30,0)</f>
        <v>-1474</v>
      </c>
      <c r="U778" s="302" t="s">
        <v>966</v>
      </c>
      <c r="V778" s="318">
        <v>1</v>
      </c>
      <c r="W778" s="319" t="s">
        <v>2076</v>
      </c>
      <c r="X778" s="320">
        <v>61</v>
      </c>
      <c r="Y778" s="321">
        <v>8</v>
      </c>
      <c r="Z778" s="322"/>
      <c r="AA778" s="323"/>
      <c r="AB778" s="324"/>
      <c r="AC778" s="324"/>
      <c r="AD778" s="323"/>
      <c r="AE778" s="324"/>
      <c r="AF778" s="317"/>
      <c r="AG778" s="325" t="s">
        <v>2072</v>
      </c>
      <c r="AH778" s="326"/>
      <c r="AI778" s="317">
        <v>4</v>
      </c>
      <c r="AJ778" s="326">
        <v>42654</v>
      </c>
      <c r="AK778" s="326" t="s">
        <v>889</v>
      </c>
      <c r="AL778" s="326">
        <v>42948</v>
      </c>
      <c r="AM778" s="316"/>
      <c r="AN778" s="305"/>
      <c r="AO778" s="327" t="str">
        <f>_xlfn.IFNA(IF(VLOOKUP(tabItens[[#This Row],[CÓDIGO]],tabExcluirDoEstoque[#Data],1,FALSE),"sim",""),"")</f>
        <v/>
      </c>
      <c r="AP778" s="328" t="str">
        <f ca="1">IF(OR(ISBLANK(tabItens[[#This Row],[ATA DT.VALID.]]),tabItens[[#This Row],[ATA DT.VALID.]]="",tabItens[[#This Row],[ATA DT.VALID.]]=" "),"",IF(TYPE(tabItens[[#This Row],[ATA DT.VALID.]])=1,ROUNDUP((tabItens[[#This Row],[ATA DT.VALID.]]-TODAY())/7,0),""))</f>
        <v/>
      </c>
      <c r="AQ778" s="329"/>
      <c r="AR778" s="330" t="str">
        <f>IF(ISBLANK(tabItens[[#This Row],[CÓDIGO]]),"",IFERROR(VLOOKUP(tabItens[[#This Row],[CÓDIGO]],Consumo!$C$2:$AC$862,26,FALSE),0))</f>
        <v>04.2023</v>
      </c>
      <c r="AS778" s="331">
        <f>SUMIF(Consumo!$C$3:$C$862,tabItens[[#This Row],[CÓDIGO]],Consumo!$N$3:$N$862) + SUMIF(Consumo!$C$3:$C$862,tabItens[[#This Row],[CÓDIGO]],Consumo!$O$3:$O$862) + SUMIF(Consumo!$C$3:$C$862,tabItens[[#This Row],[CÓDIGO]],Consumo!$P$3:$P$862) + SUMIF(Consumo!$C$3:$C$862,tabItens[[#This Row],[CÓDIGO]],Consumo!$Q$3:$Q$862)</f>
        <v>0</v>
      </c>
      <c r="AT778" s="331">
        <f>SUMIF(Consumo!$C$3:$C$862,tabItens[[#This Row],[CÓDIGO]],Consumo!$Z$3:$Z$862)</f>
        <v>13</v>
      </c>
      <c r="AU778" s="332">
        <f>SUMIF(Consumo!$C$3:$C$862,tabItens[[#This Row],[CÓDIGO]],Consumo!$AA$3:$AA$862)</f>
        <v>10</v>
      </c>
      <c r="AV778" s="333">
        <f>SUMIF(Consumo!$C$3:$C$862,tabItens[[#This Row],[CÓDIGO]],Consumo!$Y$3:$Y$862)</f>
        <v>0.75</v>
      </c>
      <c r="AW778" s="306">
        <f>tabItens[[#This Row],[QTDE ATUAL]] + tabItens[[#This Row],[RC QTDE]] + tabItens[[#This Row],[AF SALDO]] + tabItens[[#This Row],[Recentes]]</f>
        <v>163</v>
      </c>
      <c r="AX778" s="334">
        <v>0</v>
      </c>
      <c r="AY778" s="334">
        <v>4</v>
      </c>
      <c r="AZ778" s="334">
        <f>IF(ISBLANK(tabItens[[#This Row],[CÓDIGO]]),"",tabItens[[#This Row],[PontoMês]] * (AZ$2+tabItens[[#This Row],[PontoQtM]]))</f>
        <v>0</v>
      </c>
      <c r="BA778" s="333">
        <f>tabItens[[#This Row],[PontoPed]] - tabItens[[#This Row],[Saldo]] + (1/10)</f>
        <v>-162.9</v>
      </c>
      <c r="BB778" s="333">
        <f xml:space="preserve"> tabItens[[#This Row],[PontoMês]] * BB$2 - tabItens[[#This Row],[QTDE ATUAL]] - (1/10)</f>
        <v>-163.1</v>
      </c>
      <c r="BC778" s="335">
        <f>IF( tabItens[[#This Row],[PontoPed]]&gt;0, IF(tabItens[[#This Row],[PontoPed]]&lt;1, 1, IF( tabItens[[#This Row],[Saldo]]&gt;tabItens[[#This Row],[PontoPed]], 0, (tabItens[[#This Row],[PontoPed]]-tabItens[[#This Row],[Saldo]])/tabItens[[#This Row],[PontoPed]] ) ), 0 )</f>
        <v>0</v>
      </c>
      <c r="BD778" s="336">
        <f>ROUNDDOWN(IF( OR( AND(tabItens[[#This Row],[PontoPed]]&lt;tabItens[[#This Row],[Saldo]],tabItens[[#This Row],[Saldo]]&gt;0), tabItens[[#This Row],[PontoPed]]=0), 99, IF(AND(tabItens[[#This Row],[Saldo]]=0,tabItens[[#This Row],[PontoPed]]&gt;0), 0, (1-tabItens[[#This Row],[PctAb]])*10 ) ),0)</f>
        <v>99</v>
      </c>
      <c r="BE778" s="337">
        <f>MAX(ROUNDDOWN( IF(tabItens[[#This Row],[Abaixo]] &gt; 0,   tabItens[[#This Row],[Abaixo]] + (tabItens[[#This Row],[PontoMês]] * IF( OR( ISBLANK(tabItens[[#This Row],[ATA Nº/ANO]]), tabItens[[#This Row],[ATA Nº/ANO]] = ""),BE$2,BE$1)),0),0),0)</f>
        <v>0</v>
      </c>
      <c r="BF77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8" s="338">
        <f>SUMIF(Consumo!$C$3:$C$862,tabItens[[#This Row],[CÓDIGO]],Consumo!$E$3:$E$862)</f>
        <v>0</v>
      </c>
      <c r="BH778" s="339">
        <f>IF(AND(tabItens[[#This Row],[Pend]] &gt; 0,tabItens[[#This Row],[Consumo]] &lt;&gt; 0), tabItens[[#This Row],[Pend]] / tabItens[[#This Row],[Consumo]], 0 )</f>
        <v>0</v>
      </c>
      <c r="BI778" s="338"/>
      <c r="BJ778" s="338"/>
      <c r="BK778" s="340" t="s">
        <v>2086</v>
      </c>
    </row>
    <row r="779" spans="1:63" hidden="1" x14ac:dyDescent="0.3">
      <c r="A779" s="301">
        <v>44789</v>
      </c>
      <c r="B779" s="302" t="s">
        <v>1287</v>
      </c>
      <c r="C779" s="303" t="s">
        <v>263</v>
      </c>
      <c r="D779" s="304">
        <v>3.65</v>
      </c>
      <c r="E779" s="305"/>
      <c r="F779" s="305"/>
      <c r="G779" s="305" t="s">
        <v>889</v>
      </c>
      <c r="H779" s="306">
        <v>123</v>
      </c>
      <c r="I779" s="307">
        <v>103003</v>
      </c>
      <c r="J779" s="308">
        <v>3.65</v>
      </c>
      <c r="K779" s="309">
        <v>25</v>
      </c>
      <c r="L779" s="310">
        <f>IF(tabItens[[#This Row],[Média]] &gt; 0, tabItens[[#This Row],[QTDE ATUAL]] / tabItens[[#This Row],[Média]],999.9)</f>
        <v>82</v>
      </c>
      <c r="M779" s="311">
        <v>0</v>
      </c>
      <c r="N779" s="312">
        <f>tabItens[[#This Row],[VALOR UNIT.]] * tabItens[[#This Row],[LC]]</f>
        <v>0</v>
      </c>
      <c r="O779" s="313"/>
      <c r="P779" s="314"/>
      <c r="Q779" s="315"/>
      <c r="R779" s="312"/>
      <c r="S779" s="316"/>
      <c r="T779" s="317">
        <f>ROUNDDOWN(IFERROR(tabItens[[#This Row],[ATA DT.VALID.]] - $D$1,0) / 30,0)</f>
        <v>-1474</v>
      </c>
      <c r="U779" s="302" t="s">
        <v>966</v>
      </c>
      <c r="V779" s="318">
        <v>1</v>
      </c>
      <c r="W779" s="319" t="s">
        <v>2076</v>
      </c>
      <c r="X779" s="320">
        <v>61</v>
      </c>
      <c r="Y779" s="321">
        <v>8</v>
      </c>
      <c r="Z779" s="322"/>
      <c r="AA779" s="323"/>
      <c r="AB779" s="324"/>
      <c r="AC779" s="324"/>
      <c r="AD779" s="323"/>
      <c r="AE779" s="324"/>
      <c r="AF779" s="317"/>
      <c r="AG779" s="325" t="s">
        <v>2072</v>
      </c>
      <c r="AH779" s="326"/>
      <c r="AI779" s="317">
        <v>8</v>
      </c>
      <c r="AJ779" s="326">
        <v>43455</v>
      </c>
      <c r="AK779" s="326" t="s">
        <v>889</v>
      </c>
      <c r="AL779" s="326">
        <v>43376</v>
      </c>
      <c r="AM779" s="316"/>
      <c r="AN779" s="305"/>
      <c r="AO779" s="327" t="str">
        <f>_xlfn.IFNA(IF(VLOOKUP(tabItens[[#This Row],[CÓDIGO]],tabExcluirDoEstoque[#Data],1,FALSE),"sim",""),"")</f>
        <v/>
      </c>
      <c r="AP779" s="328" t="str">
        <f ca="1">IF(OR(ISBLANK(tabItens[[#This Row],[ATA DT.VALID.]]),tabItens[[#This Row],[ATA DT.VALID.]]="",tabItens[[#This Row],[ATA DT.VALID.]]=" "),"",IF(TYPE(tabItens[[#This Row],[ATA DT.VALID.]])=1,ROUNDUP((tabItens[[#This Row],[ATA DT.VALID.]]-TODAY())/7,0),""))</f>
        <v/>
      </c>
      <c r="AQ779" s="329"/>
      <c r="AR779" s="330" t="str">
        <f>IF(ISBLANK(tabItens[[#This Row],[CÓDIGO]]),"",IFERROR(VLOOKUP(tabItens[[#This Row],[CÓDIGO]],Consumo!$C$2:$AC$862,26,FALSE),0))</f>
        <v>04.2023</v>
      </c>
      <c r="AS779" s="331">
        <f>SUMIF(Consumo!$C$3:$C$862,tabItens[[#This Row],[CÓDIGO]],Consumo!$N$3:$N$862) + SUMIF(Consumo!$C$3:$C$862,tabItens[[#This Row],[CÓDIGO]],Consumo!$O$3:$O$862) + SUMIF(Consumo!$C$3:$C$862,tabItens[[#This Row],[CÓDIGO]],Consumo!$P$3:$P$862) + SUMIF(Consumo!$C$3:$C$862,tabItens[[#This Row],[CÓDIGO]],Consumo!$Q$3:$Q$862)</f>
        <v>0</v>
      </c>
      <c r="AT779" s="331">
        <f>SUMIF(Consumo!$C$3:$C$862,tabItens[[#This Row],[CÓDIGO]],Consumo!$Z$3:$Z$862)</f>
        <v>25</v>
      </c>
      <c r="AU779" s="332">
        <f>SUMIF(Consumo!$C$3:$C$862,tabItens[[#This Row],[CÓDIGO]],Consumo!$AA$3:$AA$862)</f>
        <v>20</v>
      </c>
      <c r="AV779" s="333">
        <f>SUMIF(Consumo!$C$3:$C$862,tabItens[[#This Row],[CÓDIGO]],Consumo!$Y$3:$Y$862)</f>
        <v>1.5</v>
      </c>
      <c r="AW779" s="306">
        <f>tabItens[[#This Row],[QTDE ATUAL]] + tabItens[[#This Row],[RC QTDE]] + tabItens[[#This Row],[AF SALDO]] + tabItens[[#This Row],[Recentes]]</f>
        <v>123</v>
      </c>
      <c r="AX779" s="334">
        <v>2</v>
      </c>
      <c r="AY779" s="334">
        <v>4</v>
      </c>
      <c r="AZ779" s="334">
        <f>IF(ISBLANK(tabItens[[#This Row],[CÓDIGO]]),"",tabItens[[#This Row],[PontoMês]] * (AZ$2+tabItens[[#This Row],[PontoQtM]]))</f>
        <v>8</v>
      </c>
      <c r="BA779" s="333">
        <f>tabItens[[#This Row],[PontoPed]] - tabItens[[#This Row],[Saldo]] + (1/10)</f>
        <v>-114.9</v>
      </c>
      <c r="BB779" s="333">
        <f xml:space="preserve"> tabItens[[#This Row],[PontoMês]] * BB$2 - tabItens[[#This Row],[QTDE ATUAL]] - (1/10)</f>
        <v>-121.1</v>
      </c>
      <c r="BC779" s="335">
        <f>IF( tabItens[[#This Row],[PontoPed]]&gt;0, IF(tabItens[[#This Row],[PontoPed]]&lt;1, 1, IF( tabItens[[#This Row],[Saldo]]&gt;tabItens[[#This Row],[PontoPed]], 0, (tabItens[[#This Row],[PontoPed]]-tabItens[[#This Row],[Saldo]])/tabItens[[#This Row],[PontoPed]] ) ), 0 )</f>
        <v>0</v>
      </c>
      <c r="BD779" s="336">
        <f>ROUNDDOWN(IF( OR( AND(tabItens[[#This Row],[PontoPed]]&lt;tabItens[[#This Row],[Saldo]],tabItens[[#This Row],[Saldo]]&gt;0), tabItens[[#This Row],[PontoPed]]=0), 99, IF(AND(tabItens[[#This Row],[Saldo]]=0,tabItens[[#This Row],[PontoPed]]&gt;0), 0, (1-tabItens[[#This Row],[PctAb]])*10 ) ),0)</f>
        <v>99</v>
      </c>
      <c r="BE779" s="337">
        <f>MAX(ROUNDDOWN( IF(tabItens[[#This Row],[Abaixo]] &gt; 0,   tabItens[[#This Row],[Abaixo]] + (tabItens[[#This Row],[PontoMês]] * IF( OR( ISBLANK(tabItens[[#This Row],[ATA Nº/ANO]]), tabItens[[#This Row],[ATA Nº/ANO]] = ""),BE$2,BE$1)),0),0),0)</f>
        <v>0</v>
      </c>
      <c r="BF77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9" s="338">
        <f>SUMIF(Consumo!$C$3:$C$862,tabItens[[#This Row],[CÓDIGO]],Consumo!$E$3:$E$862)</f>
        <v>0</v>
      </c>
      <c r="BH779" s="339">
        <f>IF(AND(tabItens[[#This Row],[Pend]] &gt; 0,tabItens[[#This Row],[Consumo]] &lt;&gt; 0), tabItens[[#This Row],[Pend]] / tabItens[[#This Row],[Consumo]], 0 )</f>
        <v>0</v>
      </c>
      <c r="BI779" s="338"/>
      <c r="BJ779" s="338"/>
      <c r="BK779" s="340" t="s">
        <v>2086</v>
      </c>
    </row>
    <row r="780" spans="1:63" hidden="1" x14ac:dyDescent="0.3">
      <c r="A780" s="301">
        <v>64635</v>
      </c>
      <c r="B780" s="302" t="s">
        <v>1385</v>
      </c>
      <c r="C780" s="303" t="s">
        <v>263</v>
      </c>
      <c r="D780" s="304">
        <v>7.1</v>
      </c>
      <c r="E780" s="305"/>
      <c r="F780" s="305"/>
      <c r="G780" s="305" t="s">
        <v>889</v>
      </c>
      <c r="H780" s="306">
        <v>70</v>
      </c>
      <c r="I780" s="307">
        <v>103003</v>
      </c>
      <c r="J780" s="308">
        <v>7.3909500000000001</v>
      </c>
      <c r="K780" s="309">
        <v>2</v>
      </c>
      <c r="L780" s="310">
        <f>IF(tabItens[[#This Row],[Média]] &gt; 0, tabItens[[#This Row],[QTDE ATUAL]] / tabItens[[#This Row],[Média]],999.9)</f>
        <v>840</v>
      </c>
      <c r="M780" s="311">
        <v>0</v>
      </c>
      <c r="N780" s="312">
        <f>tabItens[[#This Row],[VALOR UNIT.]] * tabItens[[#This Row],[LC]]</f>
        <v>0</v>
      </c>
      <c r="O780" s="313"/>
      <c r="P780" s="314"/>
      <c r="Q780" s="315"/>
      <c r="R780" s="312"/>
      <c r="S780" s="316"/>
      <c r="T780" s="317">
        <f>ROUNDDOWN(IFERROR(tabItens[[#This Row],[ATA DT.VALID.]] - $D$1,0) / 30,0)</f>
        <v>-1474</v>
      </c>
      <c r="U780" s="302" t="s">
        <v>966</v>
      </c>
      <c r="V780" s="318">
        <v>1</v>
      </c>
      <c r="W780" s="319" t="s">
        <v>2076</v>
      </c>
      <c r="X780" s="320">
        <v>61</v>
      </c>
      <c r="Y780" s="321">
        <v>8</v>
      </c>
      <c r="Z780" s="322"/>
      <c r="AA780" s="323"/>
      <c r="AB780" s="324"/>
      <c r="AC780" s="324"/>
      <c r="AD780" s="323"/>
      <c r="AE780" s="324"/>
      <c r="AF780" s="317"/>
      <c r="AG780" s="325" t="s">
        <v>2072</v>
      </c>
      <c r="AH780" s="326"/>
      <c r="AI780" s="317">
        <v>0</v>
      </c>
      <c r="AJ780" s="326">
        <v>39419</v>
      </c>
      <c r="AK780" s="326" t="s">
        <v>889</v>
      </c>
      <c r="AL780" s="326">
        <v>39380</v>
      </c>
      <c r="AM780" s="316"/>
      <c r="AN780" s="305"/>
      <c r="AO780" s="327" t="str">
        <f>_xlfn.IFNA(IF(VLOOKUP(tabItens[[#This Row],[CÓDIGO]],tabExcluirDoEstoque[#Data],1,FALSE),"sim",""),"")</f>
        <v/>
      </c>
      <c r="AP780" s="328" t="str">
        <f ca="1">IF(OR(ISBLANK(tabItens[[#This Row],[ATA DT.VALID.]]),tabItens[[#This Row],[ATA DT.VALID.]]="",tabItens[[#This Row],[ATA DT.VALID.]]=" "),"",IF(TYPE(tabItens[[#This Row],[ATA DT.VALID.]])=1,ROUNDUP((tabItens[[#This Row],[ATA DT.VALID.]]-TODAY())/7,0),""))</f>
        <v/>
      </c>
      <c r="AQ780" s="329"/>
      <c r="AR780" s="330" t="str">
        <f>IF(ISBLANK(tabItens[[#This Row],[CÓDIGO]]),"",IFERROR(VLOOKUP(tabItens[[#This Row],[CÓDIGO]],Consumo!$C$2:$AC$862,26,FALSE),0))</f>
        <v>01.2023</v>
      </c>
      <c r="AS780" s="331">
        <f>SUMIF(Consumo!$C$3:$C$862,tabItens[[#This Row],[CÓDIGO]],Consumo!$N$3:$N$862) + SUMIF(Consumo!$C$3:$C$862,tabItens[[#This Row],[CÓDIGO]],Consumo!$O$3:$O$862) + SUMIF(Consumo!$C$3:$C$862,tabItens[[#This Row],[CÓDIGO]],Consumo!$P$3:$P$862) + SUMIF(Consumo!$C$3:$C$862,tabItens[[#This Row],[CÓDIGO]],Consumo!$Q$3:$Q$862)</f>
        <v>0</v>
      </c>
      <c r="AT780" s="331">
        <f>SUMIF(Consumo!$C$3:$C$862,tabItens[[#This Row],[CÓDIGO]],Consumo!$Z$3:$Z$862)</f>
        <v>2</v>
      </c>
      <c r="AU780" s="332">
        <f>SUMIF(Consumo!$C$3:$C$862,tabItens[[#This Row],[CÓDIGO]],Consumo!$AA$3:$AA$862)</f>
        <v>2</v>
      </c>
      <c r="AV780" s="333">
        <f>SUMIF(Consumo!$C$3:$C$862,tabItens[[#This Row],[CÓDIGO]],Consumo!$Y$3:$Y$862)</f>
        <v>8.3333333333333329E-2</v>
      </c>
      <c r="AW780" s="306">
        <f>tabItens[[#This Row],[QTDE ATUAL]] + tabItens[[#This Row],[RC QTDE]] + tabItens[[#This Row],[AF SALDO]] + tabItens[[#This Row],[Recentes]]</f>
        <v>70</v>
      </c>
      <c r="AX780" s="334">
        <v>1</v>
      </c>
      <c r="AY780" s="334">
        <v>4</v>
      </c>
      <c r="AZ780" s="334">
        <f>IF(ISBLANK(tabItens[[#This Row],[CÓDIGO]]),"",tabItens[[#This Row],[PontoMês]] * (AZ$2+tabItens[[#This Row],[PontoQtM]]))</f>
        <v>4</v>
      </c>
      <c r="BA780" s="333">
        <f>tabItens[[#This Row],[PontoPed]] - tabItens[[#This Row],[Saldo]] + (1/10)</f>
        <v>-65.900000000000006</v>
      </c>
      <c r="BB780" s="333">
        <f xml:space="preserve"> tabItens[[#This Row],[PontoMês]] * BB$2 - tabItens[[#This Row],[QTDE ATUAL]] - (1/10)</f>
        <v>-69.099999999999994</v>
      </c>
      <c r="BC780" s="335">
        <f>IF( tabItens[[#This Row],[PontoPed]]&gt;0, IF(tabItens[[#This Row],[PontoPed]]&lt;1, 1, IF( tabItens[[#This Row],[Saldo]]&gt;tabItens[[#This Row],[PontoPed]], 0, (tabItens[[#This Row],[PontoPed]]-tabItens[[#This Row],[Saldo]])/tabItens[[#This Row],[PontoPed]] ) ), 0 )</f>
        <v>0</v>
      </c>
      <c r="BD780" s="336">
        <f>ROUNDDOWN(IF( OR( AND(tabItens[[#This Row],[PontoPed]]&lt;tabItens[[#This Row],[Saldo]],tabItens[[#This Row],[Saldo]]&gt;0), tabItens[[#This Row],[PontoPed]]=0), 99, IF(AND(tabItens[[#This Row],[Saldo]]=0,tabItens[[#This Row],[PontoPed]]&gt;0), 0, (1-tabItens[[#This Row],[PctAb]])*10 ) ),0)</f>
        <v>99</v>
      </c>
      <c r="BE780" s="337">
        <f>MAX(ROUNDDOWN( IF(tabItens[[#This Row],[Abaixo]] &gt; 0,   tabItens[[#This Row],[Abaixo]] + (tabItens[[#This Row],[PontoMês]] * IF( OR( ISBLANK(tabItens[[#This Row],[ATA Nº/ANO]]), tabItens[[#This Row],[ATA Nº/ANO]] = ""),BE$2,BE$1)),0),0),0)</f>
        <v>0</v>
      </c>
      <c r="BF78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0" s="338">
        <f>SUMIF(Consumo!$C$3:$C$862,tabItens[[#This Row],[CÓDIGO]],Consumo!$E$3:$E$862)</f>
        <v>0</v>
      </c>
      <c r="BH780" s="339">
        <f>IF(AND(tabItens[[#This Row],[Pend]] &gt; 0,tabItens[[#This Row],[Consumo]] &lt;&gt; 0), tabItens[[#This Row],[Pend]] / tabItens[[#This Row],[Consumo]], 0 )</f>
        <v>0</v>
      </c>
      <c r="BI780" s="338"/>
      <c r="BJ780" s="338"/>
      <c r="BK780" s="340" t="s">
        <v>2086</v>
      </c>
    </row>
    <row r="781" spans="1:63" hidden="1" x14ac:dyDescent="0.3">
      <c r="A781" s="301">
        <v>64648</v>
      </c>
      <c r="B781" s="302" t="s">
        <v>1389</v>
      </c>
      <c r="C781" s="303" t="s">
        <v>263</v>
      </c>
      <c r="D781" s="304">
        <v>48.46</v>
      </c>
      <c r="E781" s="305"/>
      <c r="F781" s="305"/>
      <c r="G781" s="305" t="s">
        <v>889</v>
      </c>
      <c r="H781" s="306">
        <v>14</v>
      </c>
      <c r="I781" s="307">
        <v>103003</v>
      </c>
      <c r="J781" s="308">
        <v>48.46</v>
      </c>
      <c r="K781" s="309">
        <v>3</v>
      </c>
      <c r="L781" s="310">
        <f>IF(tabItens[[#This Row],[Média]] &gt; 0, tabItens[[#This Row],[QTDE ATUAL]] / tabItens[[#This Row],[Média]],999.9)</f>
        <v>56</v>
      </c>
      <c r="M781" s="311">
        <v>0</v>
      </c>
      <c r="N781" s="312">
        <f>tabItens[[#This Row],[VALOR UNIT.]] * tabItens[[#This Row],[LC]]</f>
        <v>0</v>
      </c>
      <c r="O781" s="313"/>
      <c r="P781" s="314"/>
      <c r="Q781" s="315"/>
      <c r="R781" s="312"/>
      <c r="S781" s="316"/>
      <c r="T781" s="317">
        <f>ROUNDDOWN(IFERROR(tabItens[[#This Row],[ATA DT.VALID.]] - $D$1,0) / 30,0)</f>
        <v>-1474</v>
      </c>
      <c r="U781" s="302" t="s">
        <v>966</v>
      </c>
      <c r="V781" s="318">
        <v>1</v>
      </c>
      <c r="W781" s="319" t="s">
        <v>2076</v>
      </c>
      <c r="X781" s="320">
        <v>61</v>
      </c>
      <c r="Y781" s="321">
        <v>8</v>
      </c>
      <c r="Z781" s="322">
        <v>8979</v>
      </c>
      <c r="AA781" s="323">
        <v>2023</v>
      </c>
      <c r="AB781" s="324">
        <v>10</v>
      </c>
      <c r="AC781" s="324"/>
      <c r="AD781" s="323"/>
      <c r="AE781" s="324"/>
      <c r="AF781" s="317"/>
      <c r="AG781" s="325" t="s">
        <v>2072</v>
      </c>
      <c r="AH781" s="326"/>
      <c r="AI781" s="317">
        <v>14</v>
      </c>
      <c r="AJ781" s="326">
        <v>44573</v>
      </c>
      <c r="AK781" s="326" t="s">
        <v>889</v>
      </c>
      <c r="AL781" s="326">
        <v>44522</v>
      </c>
      <c r="AM781" s="316"/>
      <c r="AN781" s="305"/>
      <c r="AO781" s="327" t="str">
        <f>_xlfn.IFNA(IF(VLOOKUP(tabItens[[#This Row],[CÓDIGO]],tabExcluirDoEstoque[#Data],1,FALSE),"sim",""),"")</f>
        <v/>
      </c>
      <c r="AP781" s="328" t="str">
        <f ca="1">IF(OR(ISBLANK(tabItens[[#This Row],[ATA DT.VALID.]]),tabItens[[#This Row],[ATA DT.VALID.]]="",tabItens[[#This Row],[ATA DT.VALID.]]=" "),"",IF(TYPE(tabItens[[#This Row],[ATA DT.VALID.]])=1,ROUNDUP((tabItens[[#This Row],[ATA DT.VALID.]]-TODAY())/7,0),""))</f>
        <v/>
      </c>
      <c r="AQ781" s="329"/>
      <c r="AR781" s="330" t="str">
        <f>IF(ISBLANK(tabItens[[#This Row],[CÓDIGO]]),"",IFERROR(VLOOKUP(tabItens[[#This Row],[CÓDIGO]],Consumo!$C$2:$AC$862,26,FALSE),0))</f>
        <v>03.2023</v>
      </c>
      <c r="AS781" s="331">
        <f>SUMIF(Consumo!$C$3:$C$862,tabItens[[#This Row],[CÓDIGO]],Consumo!$N$3:$N$862) + SUMIF(Consumo!$C$3:$C$862,tabItens[[#This Row],[CÓDIGO]],Consumo!$O$3:$O$862) + SUMIF(Consumo!$C$3:$C$862,tabItens[[#This Row],[CÓDIGO]],Consumo!$P$3:$P$862) + SUMIF(Consumo!$C$3:$C$862,tabItens[[#This Row],[CÓDIGO]],Consumo!$Q$3:$Q$862)</f>
        <v>0</v>
      </c>
      <c r="AT781" s="331">
        <f>SUMIF(Consumo!$C$3:$C$862,tabItens[[#This Row],[CÓDIGO]],Consumo!$Z$3:$Z$862)</f>
        <v>3</v>
      </c>
      <c r="AU781" s="332">
        <f>SUMIF(Consumo!$C$3:$C$862,tabItens[[#This Row],[CÓDIGO]],Consumo!$AA$3:$AA$862)</f>
        <v>1</v>
      </c>
      <c r="AV781" s="333">
        <f>SUMIF(Consumo!$C$3:$C$862,tabItens[[#This Row],[CÓDIGO]],Consumo!$Y$3:$Y$862)</f>
        <v>0.25</v>
      </c>
      <c r="AW781" s="306">
        <f>tabItens[[#This Row],[QTDE ATUAL]] + tabItens[[#This Row],[RC QTDE]] + tabItens[[#This Row],[AF SALDO]] + tabItens[[#This Row],[Recentes]]</f>
        <v>24</v>
      </c>
      <c r="AX781" s="334">
        <v>1</v>
      </c>
      <c r="AY781" s="334">
        <v>4</v>
      </c>
      <c r="AZ781" s="334">
        <f>IF(ISBLANK(tabItens[[#This Row],[CÓDIGO]]),"",tabItens[[#This Row],[PontoMês]] * (AZ$2+tabItens[[#This Row],[PontoQtM]]))</f>
        <v>4</v>
      </c>
      <c r="BA781" s="333">
        <f>tabItens[[#This Row],[PontoPed]] - tabItens[[#This Row],[Saldo]] + (1/10)</f>
        <v>-19.899999999999999</v>
      </c>
      <c r="BB781" s="333">
        <f xml:space="preserve"> tabItens[[#This Row],[PontoMês]] * BB$2 - tabItens[[#This Row],[QTDE ATUAL]] - (1/10)</f>
        <v>-13.1</v>
      </c>
      <c r="BC781" s="335">
        <f>IF( tabItens[[#This Row],[PontoPed]]&gt;0, IF(tabItens[[#This Row],[PontoPed]]&lt;1, 1, IF( tabItens[[#This Row],[Saldo]]&gt;tabItens[[#This Row],[PontoPed]], 0, (tabItens[[#This Row],[PontoPed]]-tabItens[[#This Row],[Saldo]])/tabItens[[#This Row],[PontoPed]] ) ), 0 )</f>
        <v>0</v>
      </c>
      <c r="BD781" s="336">
        <f>ROUNDDOWN(IF( OR( AND(tabItens[[#This Row],[PontoPed]]&lt;tabItens[[#This Row],[Saldo]],tabItens[[#This Row],[Saldo]]&gt;0), tabItens[[#This Row],[PontoPed]]=0), 99, IF(AND(tabItens[[#This Row],[Saldo]]=0,tabItens[[#This Row],[PontoPed]]&gt;0), 0, (1-tabItens[[#This Row],[PctAb]])*10 ) ),0)</f>
        <v>99</v>
      </c>
      <c r="BE781" s="337">
        <f>MAX(ROUNDDOWN( IF(tabItens[[#This Row],[Abaixo]] &gt; 0,   tabItens[[#This Row],[Abaixo]] + (tabItens[[#This Row],[PontoMês]] * IF( OR( ISBLANK(tabItens[[#This Row],[ATA Nº/ANO]]), tabItens[[#This Row],[ATA Nº/ANO]] = ""),BE$2,BE$1)),0),0),0)</f>
        <v>0</v>
      </c>
      <c r="BF78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1" s="338">
        <f>SUMIF(Consumo!$C$3:$C$862,tabItens[[#This Row],[CÓDIGO]],Consumo!$E$3:$E$862)</f>
        <v>0</v>
      </c>
      <c r="BH781" s="339">
        <f>IF(AND(tabItens[[#This Row],[Pend]] &gt; 0,tabItens[[#This Row],[Consumo]] &lt;&gt; 0), tabItens[[#This Row],[Pend]] / tabItens[[#This Row],[Consumo]], 0 )</f>
        <v>0</v>
      </c>
      <c r="BI781" s="338"/>
      <c r="BJ781" s="338"/>
      <c r="BK781" s="340" t="s">
        <v>2086</v>
      </c>
    </row>
    <row r="782" spans="1:63" hidden="1" x14ac:dyDescent="0.3">
      <c r="A782" s="301">
        <v>128229</v>
      </c>
      <c r="B782" s="302" t="s">
        <v>1790</v>
      </c>
      <c r="C782" s="303" t="s">
        <v>31</v>
      </c>
      <c r="D782" s="304">
        <v>5.88</v>
      </c>
      <c r="E782" s="305"/>
      <c r="F782" s="305"/>
      <c r="G782" s="305" t="s">
        <v>889</v>
      </c>
      <c r="H782" s="306">
        <v>108</v>
      </c>
      <c r="I782" s="307">
        <v>103003</v>
      </c>
      <c r="J782" s="308">
        <v>5.88</v>
      </c>
      <c r="K782" s="309">
        <v>18</v>
      </c>
      <c r="L782" s="310">
        <f>IF(tabItens[[#This Row],[Média]] &gt; 0, tabItens[[#This Row],[QTDE ATUAL]] / tabItens[[#This Row],[Média]],999.9)</f>
        <v>68.21052631578948</v>
      </c>
      <c r="M782" s="311">
        <v>0</v>
      </c>
      <c r="N782" s="312">
        <f>tabItens[[#This Row],[VALOR UNIT.]] * tabItens[[#This Row],[LC]]</f>
        <v>0</v>
      </c>
      <c r="O782" s="313"/>
      <c r="P782" s="314"/>
      <c r="Q782" s="315"/>
      <c r="R782" s="312"/>
      <c r="S782" s="316"/>
      <c r="T782" s="317">
        <f>ROUNDDOWN(IFERROR(tabItens[[#This Row],[ATA DT.VALID.]] - $D$1,0) / 30,0)</f>
        <v>-1474</v>
      </c>
      <c r="U782" s="302" t="s">
        <v>966</v>
      </c>
      <c r="V782" s="318">
        <v>1</v>
      </c>
      <c r="W782" s="319" t="s">
        <v>2076</v>
      </c>
      <c r="X782" s="320">
        <v>61</v>
      </c>
      <c r="Y782" s="321">
        <v>8</v>
      </c>
      <c r="Z782" s="322"/>
      <c r="AA782" s="323"/>
      <c r="AB782" s="324"/>
      <c r="AC782" s="324"/>
      <c r="AD782" s="323"/>
      <c r="AE782" s="324"/>
      <c r="AF782" s="317"/>
      <c r="AG782" s="325" t="s">
        <v>2072</v>
      </c>
      <c r="AH782" s="326"/>
      <c r="AI782" s="317">
        <v>6</v>
      </c>
      <c r="AJ782" s="326">
        <v>44573</v>
      </c>
      <c r="AK782" s="326">
        <v>41814</v>
      </c>
      <c r="AL782" s="326">
        <v>44522</v>
      </c>
      <c r="AM782" s="316"/>
      <c r="AN782" s="305"/>
      <c r="AO782" s="327" t="str">
        <f>_xlfn.IFNA(IF(VLOOKUP(tabItens[[#This Row],[CÓDIGO]],tabExcluirDoEstoque[#Data],1,FALSE),"sim",""),"")</f>
        <v/>
      </c>
      <c r="AP782" s="328" t="str">
        <f ca="1">IF(OR(ISBLANK(tabItens[[#This Row],[ATA DT.VALID.]]),tabItens[[#This Row],[ATA DT.VALID.]]="",tabItens[[#This Row],[ATA DT.VALID.]]=" "),"",IF(TYPE(tabItens[[#This Row],[ATA DT.VALID.]])=1,ROUNDUP((tabItens[[#This Row],[ATA DT.VALID.]]-TODAY())/7,0),""))</f>
        <v/>
      </c>
      <c r="AQ782" s="329"/>
      <c r="AR782" s="330" t="str">
        <f>IF(ISBLANK(tabItens[[#This Row],[CÓDIGO]]),"",IFERROR(VLOOKUP(tabItens[[#This Row],[CÓDIGO]],Consumo!$C$2:$AC$862,26,FALSE),0))</f>
        <v>04.2023</v>
      </c>
      <c r="AS782" s="331">
        <f>SUMIF(Consumo!$C$3:$C$862,tabItens[[#This Row],[CÓDIGO]],Consumo!$N$3:$N$862) + SUMIF(Consumo!$C$3:$C$862,tabItens[[#This Row],[CÓDIGO]],Consumo!$O$3:$O$862) + SUMIF(Consumo!$C$3:$C$862,tabItens[[#This Row],[CÓDIGO]],Consumo!$P$3:$P$862) + SUMIF(Consumo!$C$3:$C$862,tabItens[[#This Row],[CÓDIGO]],Consumo!$Q$3:$Q$862)</f>
        <v>0</v>
      </c>
      <c r="AT782" s="331">
        <f>SUMIF(Consumo!$C$3:$C$862,tabItens[[#This Row],[CÓDIGO]],Consumo!$Z$3:$Z$862)</f>
        <v>19</v>
      </c>
      <c r="AU782" s="332">
        <f>SUMIF(Consumo!$C$3:$C$862,tabItens[[#This Row],[CÓDIGO]],Consumo!$AA$3:$AA$862)</f>
        <v>5</v>
      </c>
      <c r="AV782" s="333">
        <f>SUMIF(Consumo!$C$3:$C$862,tabItens[[#This Row],[CÓDIGO]],Consumo!$Y$3:$Y$862)</f>
        <v>1.5833333333333333</v>
      </c>
      <c r="AW782" s="306">
        <f>tabItens[[#This Row],[QTDE ATUAL]] + tabItens[[#This Row],[RC QTDE]] + tabItens[[#This Row],[AF SALDO]] + tabItens[[#This Row],[Recentes]]</f>
        <v>108</v>
      </c>
      <c r="AX782" s="334">
        <v>3</v>
      </c>
      <c r="AY782" s="334">
        <v>4</v>
      </c>
      <c r="AZ782" s="334">
        <f>IF(ISBLANK(tabItens[[#This Row],[CÓDIGO]]),"",tabItens[[#This Row],[PontoMês]] * (AZ$2+tabItens[[#This Row],[PontoQtM]]))</f>
        <v>12</v>
      </c>
      <c r="BA782" s="333">
        <f>tabItens[[#This Row],[PontoPed]] - tabItens[[#This Row],[Saldo]] + (1/10)</f>
        <v>-95.9</v>
      </c>
      <c r="BB782" s="333">
        <f xml:space="preserve"> tabItens[[#This Row],[PontoMês]] * BB$2 - tabItens[[#This Row],[QTDE ATUAL]] - (1/10)</f>
        <v>-105.1</v>
      </c>
      <c r="BC782" s="335">
        <f>IF( tabItens[[#This Row],[PontoPed]]&gt;0, IF(tabItens[[#This Row],[PontoPed]]&lt;1, 1, IF( tabItens[[#This Row],[Saldo]]&gt;tabItens[[#This Row],[PontoPed]], 0, (tabItens[[#This Row],[PontoPed]]-tabItens[[#This Row],[Saldo]])/tabItens[[#This Row],[PontoPed]] ) ), 0 )</f>
        <v>0</v>
      </c>
      <c r="BD782" s="336">
        <f>ROUNDDOWN(IF( OR( AND(tabItens[[#This Row],[PontoPed]]&lt;tabItens[[#This Row],[Saldo]],tabItens[[#This Row],[Saldo]]&gt;0), tabItens[[#This Row],[PontoPed]]=0), 99, IF(AND(tabItens[[#This Row],[Saldo]]=0,tabItens[[#This Row],[PontoPed]]&gt;0), 0, (1-tabItens[[#This Row],[PctAb]])*10 ) ),0)</f>
        <v>99</v>
      </c>
      <c r="BE782" s="337">
        <f>MAX(ROUNDDOWN( IF(tabItens[[#This Row],[Abaixo]] &gt; 0,   tabItens[[#This Row],[Abaixo]] + (tabItens[[#This Row],[PontoMês]] * IF( OR( ISBLANK(tabItens[[#This Row],[ATA Nº/ANO]]), tabItens[[#This Row],[ATA Nº/ANO]] = ""),BE$2,BE$1)),0),0),0)</f>
        <v>0</v>
      </c>
      <c r="BF78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2" s="338">
        <f>SUMIF(Consumo!$C$3:$C$862,tabItens[[#This Row],[CÓDIGO]],Consumo!$E$3:$E$862)</f>
        <v>0</v>
      </c>
      <c r="BH782" s="339">
        <f>IF(AND(tabItens[[#This Row],[Pend]] &gt; 0,tabItens[[#This Row],[Consumo]] &lt;&gt; 0), tabItens[[#This Row],[Pend]] / tabItens[[#This Row],[Consumo]], 0 )</f>
        <v>0</v>
      </c>
      <c r="BI782" s="338"/>
      <c r="BJ782" s="338"/>
      <c r="BK782" s="340" t="s">
        <v>2086</v>
      </c>
    </row>
    <row r="783" spans="1:63" hidden="1" x14ac:dyDescent="0.3">
      <c r="A783" s="301">
        <v>141429</v>
      </c>
      <c r="B783" s="302" t="s">
        <v>2038</v>
      </c>
      <c r="C783" s="303" t="s">
        <v>31</v>
      </c>
      <c r="D783" s="304">
        <v>22.6</v>
      </c>
      <c r="E783" s="305"/>
      <c r="F783" s="305"/>
      <c r="G783" s="305" t="s">
        <v>889</v>
      </c>
      <c r="H783" s="306">
        <v>607</v>
      </c>
      <c r="I783" s="307">
        <v>103003</v>
      </c>
      <c r="J783" s="308">
        <v>22.6</v>
      </c>
      <c r="K783" s="309">
        <v>295</v>
      </c>
      <c r="L783" s="310">
        <f>IF(tabItens[[#This Row],[Média]] &gt; 0, tabItens[[#This Row],[QTDE ATUAL]] / tabItens[[#This Row],[Média]],999.9)</f>
        <v>18.255639097744361</v>
      </c>
      <c r="M783" s="311">
        <v>0</v>
      </c>
      <c r="N783" s="312">
        <f>tabItens[[#This Row],[VALOR UNIT.]] * tabItens[[#This Row],[LC]]</f>
        <v>0</v>
      </c>
      <c r="O783" s="313"/>
      <c r="P783" s="314"/>
      <c r="Q783" s="315"/>
      <c r="R783" s="312"/>
      <c r="S783" s="316"/>
      <c r="T783" s="317">
        <f>ROUNDDOWN(IFERROR(tabItens[[#This Row],[ATA DT.VALID.]] - $D$1,0) / 30,0)</f>
        <v>-1474</v>
      </c>
      <c r="U783" s="302" t="s">
        <v>1015</v>
      </c>
      <c r="V783" s="318">
        <v>1</v>
      </c>
      <c r="W783" s="319" t="s">
        <v>2076</v>
      </c>
      <c r="X783" s="320">
        <v>61</v>
      </c>
      <c r="Y783" s="321">
        <v>14</v>
      </c>
      <c r="Z783" s="322"/>
      <c r="AA783" s="323"/>
      <c r="AB783" s="324"/>
      <c r="AC783" s="324"/>
      <c r="AD783" s="323"/>
      <c r="AE783" s="324"/>
      <c r="AF783" s="317"/>
      <c r="AG783" s="325" t="s">
        <v>2072</v>
      </c>
      <c r="AH783" s="326"/>
      <c r="AI783" s="317">
        <v>198</v>
      </c>
      <c r="AJ783" s="326">
        <v>44609</v>
      </c>
      <c r="AK783" s="326">
        <v>44362</v>
      </c>
      <c r="AL783" s="326">
        <v>44607</v>
      </c>
      <c r="AM783" s="316"/>
      <c r="AN783" s="305"/>
      <c r="AO783" s="327" t="str">
        <f>_xlfn.IFNA(IF(VLOOKUP(tabItens[[#This Row],[CÓDIGO]],tabExcluirDoEstoque[#Data],1,FALSE),"sim",""),"")</f>
        <v/>
      </c>
      <c r="AP783" s="328" t="str">
        <f ca="1">IF(OR(ISBLANK(tabItens[[#This Row],[ATA DT.VALID.]]),tabItens[[#This Row],[ATA DT.VALID.]]="",tabItens[[#This Row],[ATA DT.VALID.]]=" "),"",IF(TYPE(tabItens[[#This Row],[ATA DT.VALID.]])=1,ROUNDUP((tabItens[[#This Row],[ATA DT.VALID.]]-TODAY())/7,0),""))</f>
        <v/>
      </c>
      <c r="AQ783" s="329"/>
      <c r="AR783" s="330" t="str">
        <f>IF(ISBLANK(tabItens[[#This Row],[CÓDIGO]]),"",IFERROR(VLOOKUP(tabItens[[#This Row],[CÓDIGO]],Consumo!$C$2:$AC$862,26,FALSE),0))</f>
        <v>09.2023</v>
      </c>
      <c r="AS783" s="331">
        <f>SUMIF(Consumo!$C$3:$C$862,tabItens[[#This Row],[CÓDIGO]],Consumo!$N$3:$N$862) + SUMIF(Consumo!$C$3:$C$862,tabItens[[#This Row],[CÓDIGO]],Consumo!$O$3:$O$862) + SUMIF(Consumo!$C$3:$C$862,tabItens[[#This Row],[CÓDIGO]],Consumo!$P$3:$P$862) + SUMIF(Consumo!$C$3:$C$862,tabItens[[#This Row],[CÓDIGO]],Consumo!$Q$3:$Q$862)</f>
        <v>186</v>
      </c>
      <c r="AT783" s="331">
        <f>SUMIF(Consumo!$C$3:$C$862,tabItens[[#This Row],[CÓDIGO]],Consumo!$Z$3:$Z$862)</f>
        <v>399</v>
      </c>
      <c r="AU783" s="332">
        <f>SUMIF(Consumo!$C$3:$C$862,tabItens[[#This Row],[CÓDIGO]],Consumo!$AA$3:$AA$862)</f>
        <v>76</v>
      </c>
      <c r="AV783" s="333">
        <f>SUMIF(Consumo!$C$3:$C$862,tabItens[[#This Row],[CÓDIGO]],Consumo!$Y$3:$Y$862)</f>
        <v>33.25</v>
      </c>
      <c r="AW783" s="306">
        <f>tabItens[[#This Row],[QTDE ATUAL]] + tabItens[[#This Row],[RC QTDE]] + tabItens[[#This Row],[AF SALDO]] + tabItens[[#This Row],[Recentes]]</f>
        <v>607</v>
      </c>
      <c r="AX783" s="334">
        <v>353</v>
      </c>
      <c r="AY783" s="334">
        <v>4</v>
      </c>
      <c r="AZ783" s="334">
        <f>IF(ISBLANK(tabItens[[#This Row],[CÓDIGO]]),"",tabItens[[#This Row],[PontoMês]] * (AZ$2+tabItens[[#This Row],[PontoQtM]]))</f>
        <v>1412</v>
      </c>
      <c r="BA783" s="333">
        <f>tabItens[[#This Row],[PontoPed]] - tabItens[[#This Row],[Saldo]] + (1/10)</f>
        <v>805.1</v>
      </c>
      <c r="BB783" s="333">
        <f xml:space="preserve"> tabItens[[#This Row],[PontoMês]] * BB$2 - tabItens[[#This Row],[QTDE ATUAL]] - (1/10)</f>
        <v>-254.1</v>
      </c>
      <c r="BC783" s="335">
        <f>IF( tabItens[[#This Row],[PontoPed]]&gt;0, IF(tabItens[[#This Row],[PontoPed]]&lt;1, 1, IF( tabItens[[#This Row],[Saldo]]&gt;tabItens[[#This Row],[PontoPed]], 0, (tabItens[[#This Row],[PontoPed]]-tabItens[[#This Row],[Saldo]])/tabItens[[#This Row],[PontoPed]] ) ), 0 )</f>
        <v>0.57011331444759206</v>
      </c>
      <c r="BD783" s="336">
        <f>ROUNDDOWN(IF( OR( AND(tabItens[[#This Row],[PontoPed]]&lt;tabItens[[#This Row],[Saldo]],tabItens[[#This Row],[Saldo]]&gt;0), tabItens[[#This Row],[PontoPed]]=0), 99, IF(AND(tabItens[[#This Row],[Saldo]]=0,tabItens[[#This Row],[PontoPed]]&gt;0), 0, (1-tabItens[[#This Row],[PctAb]])*10 ) ),0)</f>
        <v>4</v>
      </c>
      <c r="BE783" s="337">
        <f>MAX(ROUNDDOWN( IF(tabItens[[#This Row],[Abaixo]] &gt; 0,   tabItens[[#This Row],[Abaixo]] + (tabItens[[#This Row],[PontoMês]] * IF( OR( ISBLANK(tabItens[[#This Row],[ATA Nº/ANO]]), tabItens[[#This Row],[ATA Nº/ANO]] = ""),BE$2,BE$1)),0),0),0)</f>
        <v>2923</v>
      </c>
      <c r="BF78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2923</v>
      </c>
      <c r="BG783" s="338">
        <f>SUMIF(Consumo!$C$3:$C$862,tabItens[[#This Row],[CÓDIGO]],Consumo!$E$3:$E$862)</f>
        <v>0</v>
      </c>
      <c r="BH783" s="339">
        <f>IF(AND(tabItens[[#This Row],[Pend]] &gt; 0,tabItens[[#This Row],[Consumo]] &lt;&gt; 0), tabItens[[#This Row],[Pend]] / tabItens[[#This Row],[Consumo]], 0 )</f>
        <v>0</v>
      </c>
      <c r="BI783" s="338"/>
      <c r="BJ783" s="338"/>
      <c r="BK783" s="340" t="s">
        <v>2086</v>
      </c>
    </row>
    <row r="784" spans="1:63" hidden="1" x14ac:dyDescent="0.3">
      <c r="A784" s="301">
        <v>141430</v>
      </c>
      <c r="B784" s="302" t="s">
        <v>2039</v>
      </c>
      <c r="C784" s="303" t="s">
        <v>847</v>
      </c>
      <c r="D784" s="304">
        <v>293.3</v>
      </c>
      <c r="E784" s="305"/>
      <c r="F784" s="305"/>
      <c r="G784" s="305" t="s">
        <v>889</v>
      </c>
      <c r="H784" s="306">
        <v>70</v>
      </c>
      <c r="I784" s="307">
        <v>103003</v>
      </c>
      <c r="J784" s="308">
        <v>293.3</v>
      </c>
      <c r="K784" s="309">
        <v>101</v>
      </c>
      <c r="L784" s="310">
        <f>IF(tabItens[[#This Row],[Média]] &gt; 0, tabItens[[#This Row],[QTDE ATUAL]] / tabItens[[#This Row],[Média]],999.9)</f>
        <v>7.850467289719627</v>
      </c>
      <c r="M784" s="311">
        <v>0</v>
      </c>
      <c r="N784" s="312">
        <f>tabItens[[#This Row],[VALOR UNIT.]] * tabItens[[#This Row],[LC]]</f>
        <v>0</v>
      </c>
      <c r="O784" s="313"/>
      <c r="P784" s="314"/>
      <c r="Q784" s="315"/>
      <c r="R784" s="312"/>
      <c r="S784" s="316"/>
      <c r="T784" s="317">
        <f>ROUNDDOWN(IFERROR(tabItens[[#This Row],[ATA DT.VALID.]] - $D$1,0) / 30,0)</f>
        <v>-1474</v>
      </c>
      <c r="U784" s="302" t="s">
        <v>1300</v>
      </c>
      <c r="V784" s="318">
        <v>1</v>
      </c>
      <c r="W784" s="319" t="s">
        <v>2076</v>
      </c>
      <c r="X784" s="320">
        <v>61</v>
      </c>
      <c r="Y784" s="321">
        <v>16</v>
      </c>
      <c r="Z784" s="322"/>
      <c r="AA784" s="323"/>
      <c r="AB784" s="324"/>
      <c r="AC784" s="324"/>
      <c r="AD784" s="323"/>
      <c r="AE784" s="324"/>
      <c r="AF784" s="317"/>
      <c r="AG784" s="325" t="s">
        <v>2072</v>
      </c>
      <c r="AH784" s="326"/>
      <c r="AI784" s="317">
        <v>36</v>
      </c>
      <c r="AJ784" s="326">
        <v>44641</v>
      </c>
      <c r="AK784" s="326">
        <v>44362</v>
      </c>
      <c r="AL784" s="326">
        <v>44615</v>
      </c>
      <c r="AM784" s="316"/>
      <c r="AN784" s="305"/>
      <c r="AO784" s="327" t="str">
        <f>_xlfn.IFNA(IF(VLOOKUP(tabItens[[#This Row],[CÓDIGO]],tabExcluirDoEstoque[#Data],1,FALSE),"sim",""),"")</f>
        <v/>
      </c>
      <c r="AP784" s="328" t="str">
        <f ca="1">IF(OR(ISBLANK(tabItens[[#This Row],[ATA DT.VALID.]]),tabItens[[#This Row],[ATA DT.VALID.]]="",tabItens[[#This Row],[ATA DT.VALID.]]=" "),"",IF(TYPE(tabItens[[#This Row],[ATA DT.VALID.]])=1,ROUNDUP((tabItens[[#This Row],[ATA DT.VALID.]]-TODAY())/7,0),""))</f>
        <v/>
      </c>
      <c r="AQ784" s="329"/>
      <c r="AR784" s="330" t="str">
        <f>IF(ISBLANK(tabItens[[#This Row],[CÓDIGO]]),"",IFERROR(VLOOKUP(tabItens[[#This Row],[CÓDIGO]],Consumo!$C$2:$AC$862,26,FALSE),0))</f>
        <v>09.2023</v>
      </c>
      <c r="AS784" s="331">
        <f>SUMIF(Consumo!$C$3:$C$862,tabItens[[#This Row],[CÓDIGO]],Consumo!$N$3:$N$862) + SUMIF(Consumo!$C$3:$C$862,tabItens[[#This Row],[CÓDIGO]],Consumo!$O$3:$O$862) + SUMIF(Consumo!$C$3:$C$862,tabItens[[#This Row],[CÓDIGO]],Consumo!$P$3:$P$862) + SUMIF(Consumo!$C$3:$C$862,tabItens[[#This Row],[CÓDIGO]],Consumo!$Q$3:$Q$862)</f>
        <v>52</v>
      </c>
      <c r="AT784" s="331">
        <f>SUMIF(Consumo!$C$3:$C$862,tabItens[[#This Row],[CÓDIGO]],Consumo!$Z$3:$Z$862)</f>
        <v>108</v>
      </c>
      <c r="AU784" s="332">
        <f>SUMIF(Consumo!$C$3:$C$862,tabItens[[#This Row],[CÓDIGO]],Consumo!$AA$3:$AA$862)</f>
        <v>32</v>
      </c>
      <c r="AV784" s="333">
        <f>SUMIF(Consumo!$C$3:$C$862,tabItens[[#This Row],[CÓDIGO]],Consumo!$Y$3:$Y$862)</f>
        <v>8.9166666666666661</v>
      </c>
      <c r="AW784" s="306">
        <f>tabItens[[#This Row],[QTDE ATUAL]] + tabItens[[#This Row],[RC QTDE]] + tabItens[[#This Row],[AF SALDO]] + tabItens[[#This Row],[Recentes]]</f>
        <v>70</v>
      </c>
      <c r="AX784" s="334">
        <v>88</v>
      </c>
      <c r="AY784" s="334">
        <v>4</v>
      </c>
      <c r="AZ784" s="334">
        <f>IF(ISBLANK(tabItens[[#This Row],[CÓDIGO]]),"",tabItens[[#This Row],[PontoMês]] * (AZ$2+tabItens[[#This Row],[PontoQtM]]))</f>
        <v>352</v>
      </c>
      <c r="BA784" s="333">
        <f>tabItens[[#This Row],[PontoPed]] - tabItens[[#This Row],[Saldo]] + (1/10)</f>
        <v>282.10000000000002</v>
      </c>
      <c r="BB784" s="333">
        <f xml:space="preserve"> tabItens[[#This Row],[PontoMês]] * BB$2 - tabItens[[#This Row],[QTDE ATUAL]] - (1/10)</f>
        <v>17.899999999999999</v>
      </c>
      <c r="BC784" s="335">
        <f>IF( tabItens[[#This Row],[PontoPed]]&gt;0, IF(tabItens[[#This Row],[PontoPed]]&lt;1, 1, IF( tabItens[[#This Row],[Saldo]]&gt;tabItens[[#This Row],[PontoPed]], 0, (tabItens[[#This Row],[PontoPed]]-tabItens[[#This Row],[Saldo]])/tabItens[[#This Row],[PontoPed]] ) ), 0 )</f>
        <v>0.80113636363636365</v>
      </c>
      <c r="BD784" s="336">
        <f>ROUNDDOWN(IF( OR( AND(tabItens[[#This Row],[PontoPed]]&lt;tabItens[[#This Row],[Saldo]],tabItens[[#This Row],[Saldo]]&gt;0), tabItens[[#This Row],[PontoPed]]=0), 99, IF(AND(tabItens[[#This Row],[Saldo]]=0,tabItens[[#This Row],[PontoPed]]&gt;0), 0, (1-tabItens[[#This Row],[PctAb]])*10 ) ),0)</f>
        <v>1</v>
      </c>
      <c r="BE784" s="337">
        <f>MAX(ROUNDDOWN( IF(tabItens[[#This Row],[Abaixo]] &gt; 0,   tabItens[[#This Row],[Abaixo]] + (tabItens[[#This Row],[PontoMês]] * IF( OR( ISBLANK(tabItens[[#This Row],[ATA Nº/ANO]]), tabItens[[#This Row],[ATA Nº/ANO]] = ""),BE$2,BE$1)),0),0),0)</f>
        <v>810</v>
      </c>
      <c r="BF78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810</v>
      </c>
      <c r="BG784" s="338">
        <f>SUMIF(Consumo!$C$3:$C$862,tabItens[[#This Row],[CÓDIGO]],Consumo!$E$3:$E$862)</f>
        <v>0</v>
      </c>
      <c r="BH784" s="339">
        <f>IF(AND(tabItens[[#This Row],[Pend]] &gt; 0,tabItens[[#This Row],[Consumo]] &lt;&gt; 0), tabItens[[#This Row],[Pend]] / tabItens[[#This Row],[Consumo]], 0 )</f>
        <v>0</v>
      </c>
      <c r="BI784" s="338"/>
      <c r="BJ784" s="338"/>
      <c r="BK784" s="340" t="s">
        <v>2086</v>
      </c>
    </row>
    <row r="785" spans="1:63" hidden="1" x14ac:dyDescent="0.3">
      <c r="A785" s="301">
        <v>105114</v>
      </c>
      <c r="B785" s="302" t="s">
        <v>1618</v>
      </c>
      <c r="C785" s="303" t="s">
        <v>263</v>
      </c>
      <c r="D785" s="304">
        <v>25</v>
      </c>
      <c r="E785" s="305"/>
      <c r="F785" s="305"/>
      <c r="G785" s="305" t="s">
        <v>889</v>
      </c>
      <c r="H785" s="306">
        <v>39</v>
      </c>
      <c r="I785" s="307">
        <v>103003</v>
      </c>
      <c r="J785" s="308">
        <v>25</v>
      </c>
      <c r="K785" s="309">
        <v>2</v>
      </c>
      <c r="L785" s="310">
        <f>IF(tabItens[[#This Row],[Média]] &gt; 0, tabItens[[#This Row],[QTDE ATUAL]] / tabItens[[#This Row],[Média]],999.9)</f>
        <v>468</v>
      </c>
      <c r="M785" s="311">
        <v>0</v>
      </c>
      <c r="N785" s="312">
        <f>tabItens[[#This Row],[VALOR UNIT.]] * tabItens[[#This Row],[LC]]</f>
        <v>0</v>
      </c>
      <c r="O785" s="313"/>
      <c r="P785" s="314"/>
      <c r="Q785" s="315"/>
      <c r="R785" s="312"/>
      <c r="S785" s="316"/>
      <c r="T785" s="317">
        <f>ROUNDDOWN(IFERROR(tabItens[[#This Row],[ATA DT.VALID.]] - $D$1,0) / 30,0)</f>
        <v>-1474</v>
      </c>
      <c r="U785" s="302" t="s">
        <v>1619</v>
      </c>
      <c r="V785" s="318">
        <v>1</v>
      </c>
      <c r="W785" s="319" t="s">
        <v>2081</v>
      </c>
      <c r="X785" s="320">
        <v>62</v>
      </c>
      <c r="Y785" s="321">
        <v>1</v>
      </c>
      <c r="Z785" s="322"/>
      <c r="AA785" s="323"/>
      <c r="AB785" s="324"/>
      <c r="AC785" s="324"/>
      <c r="AD785" s="323"/>
      <c r="AE785" s="324"/>
      <c r="AF785" s="317"/>
      <c r="AG785" s="325" t="s">
        <v>2072</v>
      </c>
      <c r="AH785" s="326"/>
      <c r="AI785" s="317">
        <v>0</v>
      </c>
      <c r="AJ785" s="326">
        <v>43697</v>
      </c>
      <c r="AK785" s="326">
        <v>39499</v>
      </c>
      <c r="AL785" s="326">
        <v>43564</v>
      </c>
      <c r="AM785" s="316"/>
      <c r="AN785" s="305"/>
      <c r="AO785" s="327" t="str">
        <f>_xlfn.IFNA(IF(VLOOKUP(tabItens[[#This Row],[CÓDIGO]],tabExcluirDoEstoque[#Data],1,FALSE),"sim",""),"")</f>
        <v/>
      </c>
      <c r="AP785" s="328" t="str">
        <f ca="1">IF(OR(ISBLANK(tabItens[[#This Row],[ATA DT.VALID.]]),tabItens[[#This Row],[ATA DT.VALID.]]="",tabItens[[#This Row],[ATA DT.VALID.]]=" "),"",IF(TYPE(tabItens[[#This Row],[ATA DT.VALID.]])=1,ROUNDUP((tabItens[[#This Row],[ATA DT.VALID.]]-TODAY())/7,0),""))</f>
        <v/>
      </c>
      <c r="AQ785" s="329"/>
      <c r="AR785" s="330" t="str">
        <f>IF(ISBLANK(tabItens[[#This Row],[CÓDIGO]]),"",IFERROR(VLOOKUP(tabItens[[#This Row],[CÓDIGO]],Consumo!$C$2:$AC$862,26,FALSE),0))</f>
        <v>03.2023</v>
      </c>
      <c r="AS785" s="331">
        <f>SUMIF(Consumo!$C$3:$C$862,tabItens[[#This Row],[CÓDIGO]],Consumo!$N$3:$N$862) + SUMIF(Consumo!$C$3:$C$862,tabItens[[#This Row],[CÓDIGO]],Consumo!$O$3:$O$862) + SUMIF(Consumo!$C$3:$C$862,tabItens[[#This Row],[CÓDIGO]],Consumo!$P$3:$P$862) + SUMIF(Consumo!$C$3:$C$862,tabItens[[#This Row],[CÓDIGO]],Consumo!$Q$3:$Q$862)</f>
        <v>0</v>
      </c>
      <c r="AT785" s="331">
        <f>SUMIF(Consumo!$C$3:$C$862,tabItens[[#This Row],[CÓDIGO]],Consumo!$Z$3:$Z$862)</f>
        <v>2</v>
      </c>
      <c r="AU785" s="332">
        <f>SUMIF(Consumo!$C$3:$C$862,tabItens[[#This Row],[CÓDIGO]],Consumo!$AA$3:$AA$862)</f>
        <v>2</v>
      </c>
      <c r="AV785" s="333">
        <f>SUMIF(Consumo!$C$3:$C$862,tabItens[[#This Row],[CÓDIGO]],Consumo!$Y$3:$Y$862)</f>
        <v>8.3333333333333329E-2</v>
      </c>
      <c r="AW785" s="306">
        <f>tabItens[[#This Row],[QTDE ATUAL]] + tabItens[[#This Row],[RC QTDE]] + tabItens[[#This Row],[AF SALDO]] + tabItens[[#This Row],[Recentes]]</f>
        <v>39</v>
      </c>
      <c r="AX785" s="334">
        <v>0</v>
      </c>
      <c r="AY785" s="334">
        <v>4</v>
      </c>
      <c r="AZ785" s="334">
        <f>IF(ISBLANK(tabItens[[#This Row],[CÓDIGO]]),"",tabItens[[#This Row],[PontoMês]] * (AZ$2+tabItens[[#This Row],[PontoQtM]]))</f>
        <v>0</v>
      </c>
      <c r="BA785" s="333">
        <f>tabItens[[#This Row],[PontoPed]] - tabItens[[#This Row],[Saldo]] + (1/10)</f>
        <v>-38.9</v>
      </c>
      <c r="BB785" s="333">
        <f xml:space="preserve"> tabItens[[#This Row],[PontoMês]] * BB$2 - tabItens[[#This Row],[QTDE ATUAL]] - (1/10)</f>
        <v>-39.1</v>
      </c>
      <c r="BC785" s="335">
        <f>IF( tabItens[[#This Row],[PontoPed]]&gt;0, IF(tabItens[[#This Row],[PontoPed]]&lt;1, 1, IF( tabItens[[#This Row],[Saldo]]&gt;tabItens[[#This Row],[PontoPed]], 0, (tabItens[[#This Row],[PontoPed]]-tabItens[[#This Row],[Saldo]])/tabItens[[#This Row],[PontoPed]] ) ), 0 )</f>
        <v>0</v>
      </c>
      <c r="BD785" s="336">
        <f>ROUNDDOWN(IF( OR( AND(tabItens[[#This Row],[PontoPed]]&lt;tabItens[[#This Row],[Saldo]],tabItens[[#This Row],[Saldo]]&gt;0), tabItens[[#This Row],[PontoPed]]=0), 99, IF(AND(tabItens[[#This Row],[Saldo]]=0,tabItens[[#This Row],[PontoPed]]&gt;0), 0, (1-tabItens[[#This Row],[PctAb]])*10 ) ),0)</f>
        <v>99</v>
      </c>
      <c r="BE785" s="337">
        <f>MAX(ROUNDDOWN( IF(tabItens[[#This Row],[Abaixo]] &gt; 0,   tabItens[[#This Row],[Abaixo]] + (tabItens[[#This Row],[PontoMês]] * IF( OR( ISBLANK(tabItens[[#This Row],[ATA Nº/ANO]]), tabItens[[#This Row],[ATA Nº/ANO]] = ""),BE$2,BE$1)),0),0),0)</f>
        <v>0</v>
      </c>
      <c r="BF78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5" s="338">
        <f>SUMIF(Consumo!$C$3:$C$862,tabItens[[#This Row],[CÓDIGO]],Consumo!$E$3:$E$862)</f>
        <v>0</v>
      </c>
      <c r="BH785" s="339">
        <f>IF(AND(tabItens[[#This Row],[Pend]] &gt; 0,tabItens[[#This Row],[Consumo]] &lt;&gt; 0), tabItens[[#This Row],[Pend]] / tabItens[[#This Row],[Consumo]], 0 )</f>
        <v>0</v>
      </c>
      <c r="BI785" s="338"/>
      <c r="BJ785" s="338"/>
      <c r="BK785" s="340" t="s">
        <v>2086</v>
      </c>
    </row>
    <row r="786" spans="1:63" hidden="1" x14ac:dyDescent="0.3">
      <c r="A786" s="301">
        <v>105115</v>
      </c>
      <c r="B786" s="302" t="s">
        <v>1620</v>
      </c>
      <c r="C786" s="303" t="s">
        <v>263</v>
      </c>
      <c r="D786" s="304">
        <v>25.24</v>
      </c>
      <c r="E786" s="305"/>
      <c r="F786" s="305"/>
      <c r="G786" s="305" t="s">
        <v>889</v>
      </c>
      <c r="H786" s="306">
        <v>24</v>
      </c>
      <c r="I786" s="307">
        <v>103003</v>
      </c>
      <c r="J786" s="308">
        <v>25.24</v>
      </c>
      <c r="K786" s="309">
        <v>4</v>
      </c>
      <c r="L786" s="310">
        <f>IF(tabItens[[#This Row],[Média]] &gt; 0, tabItens[[#This Row],[QTDE ATUAL]] / tabItens[[#This Row],[Média]],999.9)</f>
        <v>144</v>
      </c>
      <c r="M786" s="311">
        <v>0</v>
      </c>
      <c r="N786" s="312">
        <f>tabItens[[#This Row],[VALOR UNIT.]] * tabItens[[#This Row],[LC]]</f>
        <v>0</v>
      </c>
      <c r="O786" s="313"/>
      <c r="P786" s="314"/>
      <c r="Q786" s="315"/>
      <c r="R786" s="312"/>
      <c r="S786" s="316"/>
      <c r="T786" s="317">
        <f>ROUNDDOWN(IFERROR(tabItens[[#This Row],[ATA DT.VALID.]] - $D$1,0) / 30,0)</f>
        <v>-1474</v>
      </c>
      <c r="U786" s="302" t="s">
        <v>1619</v>
      </c>
      <c r="V786" s="318">
        <v>1</v>
      </c>
      <c r="W786" s="319" t="s">
        <v>2081</v>
      </c>
      <c r="X786" s="320">
        <v>62</v>
      </c>
      <c r="Y786" s="321">
        <v>1</v>
      </c>
      <c r="Z786" s="322"/>
      <c r="AA786" s="323"/>
      <c r="AB786" s="324"/>
      <c r="AC786" s="324"/>
      <c r="AD786" s="323"/>
      <c r="AE786" s="324"/>
      <c r="AF786" s="317"/>
      <c r="AG786" s="325" t="s">
        <v>2072</v>
      </c>
      <c r="AH786" s="326"/>
      <c r="AI786" s="317">
        <v>2</v>
      </c>
      <c r="AJ786" s="326">
        <v>44018</v>
      </c>
      <c r="AK786" s="326">
        <v>39499</v>
      </c>
      <c r="AL786" s="326">
        <v>44468</v>
      </c>
      <c r="AM786" s="316"/>
      <c r="AN786" s="305"/>
      <c r="AO786" s="327" t="str">
        <f>_xlfn.IFNA(IF(VLOOKUP(tabItens[[#This Row],[CÓDIGO]],tabExcluirDoEstoque[#Data],1,FALSE),"sim",""),"")</f>
        <v/>
      </c>
      <c r="AP786" s="328" t="str">
        <f ca="1">IF(OR(ISBLANK(tabItens[[#This Row],[ATA DT.VALID.]]),tabItens[[#This Row],[ATA DT.VALID.]]="",tabItens[[#This Row],[ATA DT.VALID.]]=" "),"",IF(TYPE(tabItens[[#This Row],[ATA DT.VALID.]])=1,ROUNDUP((tabItens[[#This Row],[ATA DT.VALID.]]-TODAY())/7,0),""))</f>
        <v/>
      </c>
      <c r="AQ786" s="329"/>
      <c r="AR786" s="330" t="str">
        <f>IF(ISBLANK(tabItens[[#This Row],[CÓDIGO]]),"",IFERROR(VLOOKUP(tabItens[[#This Row],[CÓDIGO]],Consumo!$C$2:$AC$862,26,FALSE),0))</f>
        <v>02.2023</v>
      </c>
      <c r="AS786" s="331">
        <f>SUMIF(Consumo!$C$3:$C$862,tabItens[[#This Row],[CÓDIGO]],Consumo!$N$3:$N$862) + SUMIF(Consumo!$C$3:$C$862,tabItens[[#This Row],[CÓDIGO]],Consumo!$O$3:$O$862) + SUMIF(Consumo!$C$3:$C$862,tabItens[[#This Row],[CÓDIGO]],Consumo!$P$3:$P$862) + SUMIF(Consumo!$C$3:$C$862,tabItens[[#This Row],[CÓDIGO]],Consumo!$Q$3:$Q$862)</f>
        <v>0</v>
      </c>
      <c r="AT786" s="331">
        <f>SUMIF(Consumo!$C$3:$C$862,tabItens[[#This Row],[CÓDIGO]],Consumo!$Z$3:$Z$862)</f>
        <v>4</v>
      </c>
      <c r="AU786" s="332">
        <f>SUMIF(Consumo!$C$3:$C$862,tabItens[[#This Row],[CÓDIGO]],Consumo!$AA$3:$AA$862)</f>
        <v>2</v>
      </c>
      <c r="AV786" s="333">
        <f>SUMIF(Consumo!$C$3:$C$862,tabItens[[#This Row],[CÓDIGO]],Consumo!$Y$3:$Y$862)</f>
        <v>0.16666666666666666</v>
      </c>
      <c r="AW786" s="306">
        <f>tabItens[[#This Row],[QTDE ATUAL]] + tabItens[[#This Row],[RC QTDE]] + tabItens[[#This Row],[AF SALDO]] + tabItens[[#This Row],[Recentes]]</f>
        <v>24</v>
      </c>
      <c r="AX786" s="334">
        <v>1</v>
      </c>
      <c r="AY786" s="334">
        <v>4</v>
      </c>
      <c r="AZ786" s="334">
        <f>IF(ISBLANK(tabItens[[#This Row],[CÓDIGO]]),"",tabItens[[#This Row],[PontoMês]] * (AZ$2+tabItens[[#This Row],[PontoQtM]]))</f>
        <v>4</v>
      </c>
      <c r="BA786" s="333">
        <f>tabItens[[#This Row],[PontoPed]] - tabItens[[#This Row],[Saldo]] + (1/10)</f>
        <v>-19.899999999999999</v>
      </c>
      <c r="BB786" s="333">
        <f xml:space="preserve"> tabItens[[#This Row],[PontoMês]] * BB$2 - tabItens[[#This Row],[QTDE ATUAL]] - (1/10)</f>
        <v>-23.1</v>
      </c>
      <c r="BC786" s="335">
        <f>IF( tabItens[[#This Row],[PontoPed]]&gt;0, IF(tabItens[[#This Row],[PontoPed]]&lt;1, 1, IF( tabItens[[#This Row],[Saldo]]&gt;tabItens[[#This Row],[PontoPed]], 0, (tabItens[[#This Row],[PontoPed]]-tabItens[[#This Row],[Saldo]])/tabItens[[#This Row],[PontoPed]] ) ), 0 )</f>
        <v>0</v>
      </c>
      <c r="BD786" s="336">
        <f>ROUNDDOWN(IF( OR( AND(tabItens[[#This Row],[PontoPed]]&lt;tabItens[[#This Row],[Saldo]],tabItens[[#This Row],[Saldo]]&gt;0), tabItens[[#This Row],[PontoPed]]=0), 99, IF(AND(tabItens[[#This Row],[Saldo]]=0,tabItens[[#This Row],[PontoPed]]&gt;0), 0, (1-tabItens[[#This Row],[PctAb]])*10 ) ),0)</f>
        <v>99</v>
      </c>
      <c r="BE786" s="337">
        <f>MAX(ROUNDDOWN( IF(tabItens[[#This Row],[Abaixo]] &gt; 0,   tabItens[[#This Row],[Abaixo]] + (tabItens[[#This Row],[PontoMês]] * IF( OR( ISBLANK(tabItens[[#This Row],[ATA Nº/ANO]]), tabItens[[#This Row],[ATA Nº/ANO]] = ""),BE$2,BE$1)),0),0),0)</f>
        <v>0</v>
      </c>
      <c r="BF78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6" s="338">
        <f>SUMIF(Consumo!$C$3:$C$862,tabItens[[#This Row],[CÓDIGO]],Consumo!$E$3:$E$862)</f>
        <v>0</v>
      </c>
      <c r="BH786" s="339">
        <f>IF(AND(tabItens[[#This Row],[Pend]] &gt; 0,tabItens[[#This Row],[Consumo]] &lt;&gt; 0), tabItens[[#This Row],[Pend]] / tabItens[[#This Row],[Consumo]], 0 )</f>
        <v>0</v>
      </c>
      <c r="BI786" s="338"/>
      <c r="BJ786" s="338"/>
      <c r="BK786" s="340" t="s">
        <v>2086</v>
      </c>
    </row>
    <row r="787" spans="1:63" hidden="1" x14ac:dyDescent="0.3">
      <c r="A787" s="301">
        <v>105118</v>
      </c>
      <c r="B787" s="302" t="s">
        <v>1621</v>
      </c>
      <c r="C787" s="303" t="s">
        <v>263</v>
      </c>
      <c r="D787" s="304">
        <v>47.41</v>
      </c>
      <c r="E787" s="305"/>
      <c r="F787" s="305"/>
      <c r="G787" s="305" t="s">
        <v>889</v>
      </c>
      <c r="H787" s="306">
        <v>0</v>
      </c>
      <c r="I787" s="307">
        <v>103003</v>
      </c>
      <c r="J787" s="308">
        <v>47.41</v>
      </c>
      <c r="K787" s="309">
        <v>6</v>
      </c>
      <c r="L787" s="310">
        <f>IF(tabItens[[#This Row],[Média]] &gt; 0, tabItens[[#This Row],[QTDE ATUAL]] / tabItens[[#This Row],[Média]],999.9)</f>
        <v>0</v>
      </c>
      <c r="M787" s="311">
        <v>0</v>
      </c>
      <c r="N787" s="312">
        <f>tabItens[[#This Row],[VALOR UNIT.]] * tabItens[[#This Row],[LC]]</f>
        <v>0</v>
      </c>
      <c r="O787" s="313"/>
      <c r="P787" s="314"/>
      <c r="Q787" s="315"/>
      <c r="R787" s="312"/>
      <c r="S787" s="316"/>
      <c r="T787" s="317">
        <f>ROUNDDOWN(IFERROR(tabItens[[#This Row],[ATA DT.VALID.]] - $D$1,0) / 30,0)</f>
        <v>-1474</v>
      </c>
      <c r="U787" s="302" t="s">
        <v>1619</v>
      </c>
      <c r="V787" s="318">
        <v>1</v>
      </c>
      <c r="W787" s="319" t="s">
        <v>2081</v>
      </c>
      <c r="X787" s="320">
        <v>62</v>
      </c>
      <c r="Y787" s="321">
        <v>1</v>
      </c>
      <c r="Z787" s="322">
        <v>8984</v>
      </c>
      <c r="AA787" s="323">
        <v>2023</v>
      </c>
      <c r="AB787" s="324">
        <v>2</v>
      </c>
      <c r="AC787" s="324"/>
      <c r="AD787" s="323"/>
      <c r="AE787" s="324"/>
      <c r="AF787" s="317"/>
      <c r="AG787" s="325" t="s">
        <v>2072</v>
      </c>
      <c r="AH787" s="326"/>
      <c r="AI787" s="317">
        <v>2</v>
      </c>
      <c r="AJ787" s="326">
        <v>43872</v>
      </c>
      <c r="AK787" s="326">
        <v>39499</v>
      </c>
      <c r="AL787" s="326">
        <v>44791</v>
      </c>
      <c r="AM787" s="316"/>
      <c r="AN787" s="305"/>
      <c r="AO787" s="327" t="str">
        <f>_xlfn.IFNA(IF(VLOOKUP(tabItens[[#This Row],[CÓDIGO]],tabExcluirDoEstoque[#Data],1,FALSE),"sim",""),"")</f>
        <v/>
      </c>
      <c r="AP787" s="328" t="str">
        <f ca="1">IF(OR(ISBLANK(tabItens[[#This Row],[ATA DT.VALID.]]),tabItens[[#This Row],[ATA DT.VALID.]]="",tabItens[[#This Row],[ATA DT.VALID.]]=" "),"",IF(TYPE(tabItens[[#This Row],[ATA DT.VALID.]])=1,ROUNDUP((tabItens[[#This Row],[ATA DT.VALID.]]-TODAY())/7,0),""))</f>
        <v/>
      </c>
      <c r="AQ787" s="329"/>
      <c r="AR787" s="330" t="str">
        <f>IF(ISBLANK(tabItens[[#This Row],[CÓDIGO]]),"",IFERROR(VLOOKUP(tabItens[[#This Row],[CÓDIGO]],Consumo!$C$2:$AC$862,26,FALSE),0))</f>
        <v>07.2023</v>
      </c>
      <c r="AS787" s="331">
        <f>SUMIF(Consumo!$C$3:$C$862,tabItens[[#This Row],[CÓDIGO]],Consumo!$N$3:$N$862) + SUMIF(Consumo!$C$3:$C$862,tabItens[[#This Row],[CÓDIGO]],Consumo!$O$3:$O$862) + SUMIF(Consumo!$C$3:$C$862,tabItens[[#This Row],[CÓDIGO]],Consumo!$P$3:$P$862) + SUMIF(Consumo!$C$3:$C$862,tabItens[[#This Row],[CÓDIGO]],Consumo!$Q$3:$Q$862)</f>
        <v>2</v>
      </c>
      <c r="AT787" s="331">
        <f>SUMIF(Consumo!$C$3:$C$862,tabItens[[#This Row],[CÓDIGO]],Consumo!$Z$3:$Z$862)</f>
        <v>6</v>
      </c>
      <c r="AU787" s="332">
        <f>SUMIF(Consumo!$C$3:$C$862,tabItens[[#This Row],[CÓDIGO]],Consumo!$AA$3:$AA$862)</f>
        <v>4</v>
      </c>
      <c r="AV787" s="333">
        <f>SUMIF(Consumo!$C$3:$C$862,tabItens[[#This Row],[CÓDIGO]],Consumo!$Y$3:$Y$862)</f>
        <v>0.33333333333333331</v>
      </c>
      <c r="AW787" s="306">
        <f>tabItens[[#This Row],[QTDE ATUAL]] + tabItens[[#This Row],[RC QTDE]] + tabItens[[#This Row],[AF SALDO]] + tabItens[[#This Row],[Recentes]]</f>
        <v>2</v>
      </c>
      <c r="AX787" s="334">
        <v>0</v>
      </c>
      <c r="AY787" s="334">
        <v>4</v>
      </c>
      <c r="AZ787" s="334">
        <f>IF(ISBLANK(tabItens[[#This Row],[CÓDIGO]]),"",tabItens[[#This Row],[PontoMês]] * (AZ$2+tabItens[[#This Row],[PontoQtM]]))</f>
        <v>0</v>
      </c>
      <c r="BA787" s="333">
        <f>tabItens[[#This Row],[PontoPed]] - tabItens[[#This Row],[Saldo]] + (1/10)</f>
        <v>-1.9</v>
      </c>
      <c r="BB787" s="333">
        <f xml:space="preserve"> tabItens[[#This Row],[PontoMês]] * BB$2 - tabItens[[#This Row],[QTDE ATUAL]] - (1/10)</f>
        <v>-0.1</v>
      </c>
      <c r="BC787" s="335">
        <f>IF( tabItens[[#This Row],[PontoPed]]&gt;0, IF(tabItens[[#This Row],[PontoPed]]&lt;1, 1, IF( tabItens[[#This Row],[Saldo]]&gt;tabItens[[#This Row],[PontoPed]], 0, (tabItens[[#This Row],[PontoPed]]-tabItens[[#This Row],[Saldo]])/tabItens[[#This Row],[PontoPed]] ) ), 0 )</f>
        <v>0</v>
      </c>
      <c r="BD787" s="336">
        <f>ROUNDDOWN(IF( OR( AND(tabItens[[#This Row],[PontoPed]]&lt;tabItens[[#This Row],[Saldo]],tabItens[[#This Row],[Saldo]]&gt;0), tabItens[[#This Row],[PontoPed]]=0), 99, IF(AND(tabItens[[#This Row],[Saldo]]=0,tabItens[[#This Row],[PontoPed]]&gt;0), 0, (1-tabItens[[#This Row],[PctAb]])*10 ) ),0)</f>
        <v>99</v>
      </c>
      <c r="BE787" s="337">
        <f>MAX(ROUNDDOWN( IF(tabItens[[#This Row],[Abaixo]] &gt; 0,   tabItens[[#This Row],[Abaixo]] + (tabItens[[#This Row],[PontoMês]] * IF( OR( ISBLANK(tabItens[[#This Row],[ATA Nº/ANO]]), tabItens[[#This Row],[ATA Nº/ANO]] = ""),BE$2,BE$1)),0),0),0)</f>
        <v>0</v>
      </c>
      <c r="BF78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7" s="338">
        <f>SUMIF(Consumo!$C$3:$C$862,tabItens[[#This Row],[CÓDIGO]],Consumo!$E$3:$E$862)</f>
        <v>0</v>
      </c>
      <c r="BH787" s="339">
        <f>IF(AND(tabItens[[#This Row],[Pend]] &gt; 0,tabItens[[#This Row],[Consumo]] &lt;&gt; 0), tabItens[[#This Row],[Pend]] / tabItens[[#This Row],[Consumo]], 0 )</f>
        <v>0</v>
      </c>
      <c r="BI787" s="338"/>
      <c r="BJ787" s="338"/>
      <c r="BK787" s="340" t="s">
        <v>2086</v>
      </c>
    </row>
    <row r="788" spans="1:63" hidden="1" x14ac:dyDescent="0.3">
      <c r="A788" s="301">
        <v>136674</v>
      </c>
      <c r="B788" s="302" t="s">
        <v>1932</v>
      </c>
      <c r="C788" s="303" t="s">
        <v>263</v>
      </c>
      <c r="D788" s="304">
        <v>41</v>
      </c>
      <c r="E788" s="305"/>
      <c r="F788" s="305"/>
      <c r="G788" s="305" t="s">
        <v>889</v>
      </c>
      <c r="H788" s="306">
        <v>6</v>
      </c>
      <c r="I788" s="307">
        <v>103003</v>
      </c>
      <c r="J788" s="308">
        <v>41</v>
      </c>
      <c r="K788" s="309"/>
      <c r="L788" s="310">
        <f>IF(tabItens[[#This Row],[Média]] &gt; 0, tabItens[[#This Row],[QTDE ATUAL]] / tabItens[[#This Row],[Média]],999.9)</f>
        <v>999.9</v>
      </c>
      <c r="M788" s="311">
        <v>0</v>
      </c>
      <c r="N788" s="312">
        <f>tabItens[[#This Row],[VALOR UNIT.]] * tabItens[[#This Row],[LC]]</f>
        <v>0</v>
      </c>
      <c r="O788" s="313"/>
      <c r="P788" s="314"/>
      <c r="Q788" s="315"/>
      <c r="R788" s="312"/>
      <c r="S788" s="316"/>
      <c r="T788" s="317">
        <f>ROUNDDOWN(IFERROR(tabItens[[#This Row],[ATA DT.VALID.]] - $D$1,0) / 30,0)</f>
        <v>-1474</v>
      </c>
      <c r="U788" s="302" t="s">
        <v>1619</v>
      </c>
      <c r="V788" s="318">
        <v>1</v>
      </c>
      <c r="W788" s="319" t="s">
        <v>2081</v>
      </c>
      <c r="X788" s="320">
        <v>62</v>
      </c>
      <c r="Y788" s="321">
        <v>1</v>
      </c>
      <c r="Z788" s="322"/>
      <c r="AA788" s="323"/>
      <c r="AB788" s="324"/>
      <c r="AC788" s="324"/>
      <c r="AD788" s="323"/>
      <c r="AE788" s="324"/>
      <c r="AF788" s="317"/>
      <c r="AG788" s="325" t="s">
        <v>2072</v>
      </c>
      <c r="AH788" s="326"/>
      <c r="AI788" s="317">
        <v>0</v>
      </c>
      <c r="AJ788" s="326">
        <v>44011</v>
      </c>
      <c r="AK788" s="326">
        <v>43549</v>
      </c>
      <c r="AL788" s="326">
        <v>43970</v>
      </c>
      <c r="AM788" s="316"/>
      <c r="AN788" s="305"/>
      <c r="AO788" s="327" t="str">
        <f>_xlfn.IFNA(IF(VLOOKUP(tabItens[[#This Row],[CÓDIGO]],tabExcluirDoEstoque[#Data],1,FALSE),"sim",""),"")</f>
        <v/>
      </c>
      <c r="AP788" s="328" t="str">
        <f ca="1">IF(OR(ISBLANK(tabItens[[#This Row],[ATA DT.VALID.]]),tabItens[[#This Row],[ATA DT.VALID.]]="",tabItens[[#This Row],[ATA DT.VALID.]]=" "),"",IF(TYPE(tabItens[[#This Row],[ATA DT.VALID.]])=1,ROUNDUP((tabItens[[#This Row],[ATA DT.VALID.]]-TODAY())/7,0),""))</f>
        <v/>
      </c>
      <c r="AQ788" s="329"/>
      <c r="AR788" s="330">
        <f>IF(ISBLANK(tabItens[[#This Row],[CÓDIGO]]),"",IFERROR(VLOOKUP(tabItens[[#This Row],[CÓDIGO]],Consumo!$C$2:$AC$862,26,FALSE),0))</f>
        <v>0</v>
      </c>
      <c r="AS788" s="331">
        <f>SUMIF(Consumo!$C$3:$C$862,tabItens[[#This Row],[CÓDIGO]],Consumo!$N$3:$N$862) + SUMIF(Consumo!$C$3:$C$862,tabItens[[#This Row],[CÓDIGO]],Consumo!$O$3:$O$862) + SUMIF(Consumo!$C$3:$C$862,tabItens[[#This Row],[CÓDIGO]],Consumo!$P$3:$P$862) + SUMIF(Consumo!$C$3:$C$862,tabItens[[#This Row],[CÓDIGO]],Consumo!$Q$3:$Q$862)</f>
        <v>0</v>
      </c>
      <c r="AT788" s="331">
        <f>SUMIF(Consumo!$C$3:$C$862,tabItens[[#This Row],[CÓDIGO]],Consumo!$Z$3:$Z$862)</f>
        <v>0</v>
      </c>
      <c r="AU788" s="332">
        <f>SUMIF(Consumo!$C$3:$C$862,tabItens[[#This Row],[CÓDIGO]],Consumo!$AA$3:$AA$862)</f>
        <v>0</v>
      </c>
      <c r="AV788" s="333">
        <f>SUMIF(Consumo!$C$3:$C$862,tabItens[[#This Row],[CÓDIGO]],Consumo!$Y$3:$Y$862)</f>
        <v>0</v>
      </c>
      <c r="AW788" s="306">
        <f>tabItens[[#This Row],[QTDE ATUAL]] + tabItens[[#This Row],[RC QTDE]] + tabItens[[#This Row],[AF SALDO]] + tabItens[[#This Row],[Recentes]]</f>
        <v>6</v>
      </c>
      <c r="AX788" s="334">
        <v>0</v>
      </c>
      <c r="AY788" s="334">
        <v>4</v>
      </c>
      <c r="AZ788" s="334">
        <f>IF(ISBLANK(tabItens[[#This Row],[CÓDIGO]]),"",tabItens[[#This Row],[PontoMês]] * (AZ$2+tabItens[[#This Row],[PontoQtM]]))</f>
        <v>0</v>
      </c>
      <c r="BA788" s="333">
        <f>tabItens[[#This Row],[PontoPed]] - tabItens[[#This Row],[Saldo]] + (1/10)</f>
        <v>-5.9</v>
      </c>
      <c r="BB788" s="333">
        <f xml:space="preserve"> tabItens[[#This Row],[PontoMês]] * BB$2 - tabItens[[#This Row],[QTDE ATUAL]] - (1/10)</f>
        <v>-6.1</v>
      </c>
      <c r="BC788" s="335">
        <f>IF( tabItens[[#This Row],[PontoPed]]&gt;0, IF(tabItens[[#This Row],[PontoPed]]&lt;1, 1, IF( tabItens[[#This Row],[Saldo]]&gt;tabItens[[#This Row],[PontoPed]], 0, (tabItens[[#This Row],[PontoPed]]-tabItens[[#This Row],[Saldo]])/tabItens[[#This Row],[PontoPed]] ) ), 0 )</f>
        <v>0</v>
      </c>
      <c r="BD788" s="336">
        <f>ROUNDDOWN(IF( OR( AND(tabItens[[#This Row],[PontoPed]]&lt;tabItens[[#This Row],[Saldo]],tabItens[[#This Row],[Saldo]]&gt;0), tabItens[[#This Row],[PontoPed]]=0), 99, IF(AND(tabItens[[#This Row],[Saldo]]=0,tabItens[[#This Row],[PontoPed]]&gt;0), 0, (1-tabItens[[#This Row],[PctAb]])*10 ) ),0)</f>
        <v>99</v>
      </c>
      <c r="BE788" s="337">
        <f>MAX(ROUNDDOWN( IF(tabItens[[#This Row],[Abaixo]] &gt; 0,   tabItens[[#This Row],[Abaixo]] + (tabItens[[#This Row],[PontoMês]] * IF( OR( ISBLANK(tabItens[[#This Row],[ATA Nº/ANO]]), tabItens[[#This Row],[ATA Nº/ANO]] = ""),BE$2,BE$1)),0),0),0)</f>
        <v>0</v>
      </c>
      <c r="BF78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8" s="338">
        <f>SUMIF(Consumo!$C$3:$C$862,tabItens[[#This Row],[CÓDIGO]],Consumo!$E$3:$E$862)</f>
        <v>0</v>
      </c>
      <c r="BH788" s="339">
        <f>IF(AND(tabItens[[#This Row],[Pend]] &gt; 0,tabItens[[#This Row],[Consumo]] &lt;&gt; 0), tabItens[[#This Row],[Pend]] / tabItens[[#This Row],[Consumo]], 0 )</f>
        <v>0</v>
      </c>
      <c r="BI788" s="338"/>
      <c r="BJ788" s="338"/>
      <c r="BK788" s="340" t="s">
        <v>2086</v>
      </c>
    </row>
    <row r="789" spans="1:63" hidden="1" x14ac:dyDescent="0.3">
      <c r="A789" s="301">
        <v>136675</v>
      </c>
      <c r="B789" s="302" t="s">
        <v>1933</v>
      </c>
      <c r="C789" s="303" t="s">
        <v>263</v>
      </c>
      <c r="D789" s="304">
        <v>65.260000000000005</v>
      </c>
      <c r="E789" s="305"/>
      <c r="F789" s="305"/>
      <c r="G789" s="305" t="s">
        <v>889</v>
      </c>
      <c r="H789" s="306">
        <v>0</v>
      </c>
      <c r="I789" s="307">
        <v>103003</v>
      </c>
      <c r="J789" s="308">
        <v>65.260000000000005</v>
      </c>
      <c r="K789" s="309"/>
      <c r="L789" s="310">
        <f>IF(tabItens[[#This Row],[Média]] &gt; 0, tabItens[[#This Row],[QTDE ATUAL]] / tabItens[[#This Row],[Média]],999.9)</f>
        <v>999.9</v>
      </c>
      <c r="M789" s="311">
        <v>0</v>
      </c>
      <c r="N789" s="312">
        <f>tabItens[[#This Row],[VALOR UNIT.]] * tabItens[[#This Row],[LC]]</f>
        <v>0</v>
      </c>
      <c r="O789" s="313"/>
      <c r="P789" s="314"/>
      <c r="Q789" s="315"/>
      <c r="R789" s="312"/>
      <c r="S789" s="316"/>
      <c r="T789" s="317">
        <f>ROUNDDOWN(IFERROR(tabItens[[#This Row],[ATA DT.VALID.]] - $D$1,0) / 30,0)</f>
        <v>-1474</v>
      </c>
      <c r="U789" s="302" t="s">
        <v>1619</v>
      </c>
      <c r="V789" s="318">
        <v>1</v>
      </c>
      <c r="W789" s="319" t="s">
        <v>2081</v>
      </c>
      <c r="X789" s="320">
        <v>62</v>
      </c>
      <c r="Y789" s="321">
        <v>1</v>
      </c>
      <c r="Z789" s="322">
        <v>2830</v>
      </c>
      <c r="AA789" s="323">
        <v>2023</v>
      </c>
      <c r="AB789" s="324">
        <v>2</v>
      </c>
      <c r="AC789" s="324"/>
      <c r="AD789" s="323"/>
      <c r="AE789" s="324"/>
      <c r="AF789" s="317"/>
      <c r="AG789" s="325" t="s">
        <v>2072</v>
      </c>
      <c r="AH789" s="326"/>
      <c r="AI789" s="317">
        <v>0</v>
      </c>
      <c r="AJ789" s="326">
        <v>44011</v>
      </c>
      <c r="AK789" s="326">
        <v>43549</v>
      </c>
      <c r="AL789" s="326">
        <v>45005</v>
      </c>
      <c r="AM789" s="316"/>
      <c r="AN789" s="305"/>
      <c r="AO789" s="327" t="str">
        <f>_xlfn.IFNA(IF(VLOOKUP(tabItens[[#This Row],[CÓDIGO]],tabExcluirDoEstoque[#Data],1,FALSE),"sim",""),"")</f>
        <v/>
      </c>
      <c r="AP789" s="328" t="str">
        <f ca="1">IF(OR(ISBLANK(tabItens[[#This Row],[ATA DT.VALID.]]),tabItens[[#This Row],[ATA DT.VALID.]]="",tabItens[[#This Row],[ATA DT.VALID.]]=" "),"",IF(TYPE(tabItens[[#This Row],[ATA DT.VALID.]])=1,ROUNDUP((tabItens[[#This Row],[ATA DT.VALID.]]-TODAY())/7,0),""))</f>
        <v/>
      </c>
      <c r="AQ789" s="329"/>
      <c r="AR789" s="330">
        <f>IF(ISBLANK(tabItens[[#This Row],[CÓDIGO]]),"",IFERROR(VLOOKUP(tabItens[[#This Row],[CÓDIGO]],Consumo!$C$2:$AC$862,26,FALSE),0))</f>
        <v>0</v>
      </c>
      <c r="AS789" s="331">
        <f>SUMIF(Consumo!$C$3:$C$862,tabItens[[#This Row],[CÓDIGO]],Consumo!$N$3:$N$862) + SUMIF(Consumo!$C$3:$C$862,tabItens[[#This Row],[CÓDIGO]],Consumo!$O$3:$O$862) + SUMIF(Consumo!$C$3:$C$862,tabItens[[#This Row],[CÓDIGO]],Consumo!$P$3:$P$862) + SUMIF(Consumo!$C$3:$C$862,tabItens[[#This Row],[CÓDIGO]],Consumo!$Q$3:$Q$862)</f>
        <v>0</v>
      </c>
      <c r="AT789" s="331">
        <f>SUMIF(Consumo!$C$3:$C$862,tabItens[[#This Row],[CÓDIGO]],Consumo!$Z$3:$Z$862)</f>
        <v>0</v>
      </c>
      <c r="AU789" s="332">
        <f>SUMIF(Consumo!$C$3:$C$862,tabItens[[#This Row],[CÓDIGO]],Consumo!$AA$3:$AA$862)</f>
        <v>0</v>
      </c>
      <c r="AV789" s="333">
        <f>SUMIF(Consumo!$C$3:$C$862,tabItens[[#This Row],[CÓDIGO]],Consumo!$Y$3:$Y$862)</f>
        <v>0</v>
      </c>
      <c r="AW789" s="306">
        <f>tabItens[[#This Row],[QTDE ATUAL]] + tabItens[[#This Row],[RC QTDE]] + tabItens[[#This Row],[AF SALDO]] + tabItens[[#This Row],[Recentes]]</f>
        <v>2</v>
      </c>
      <c r="AX789" s="334">
        <v>0</v>
      </c>
      <c r="AY789" s="334">
        <v>4</v>
      </c>
      <c r="AZ789" s="334">
        <f>IF(ISBLANK(tabItens[[#This Row],[CÓDIGO]]),"",tabItens[[#This Row],[PontoMês]] * (AZ$2+tabItens[[#This Row],[PontoQtM]]))</f>
        <v>0</v>
      </c>
      <c r="BA789" s="333">
        <f>tabItens[[#This Row],[PontoPed]] - tabItens[[#This Row],[Saldo]] + (1/10)</f>
        <v>-1.9</v>
      </c>
      <c r="BB789" s="333">
        <f xml:space="preserve"> tabItens[[#This Row],[PontoMês]] * BB$2 - tabItens[[#This Row],[QTDE ATUAL]] - (1/10)</f>
        <v>-0.1</v>
      </c>
      <c r="BC789" s="335">
        <f>IF( tabItens[[#This Row],[PontoPed]]&gt;0, IF(tabItens[[#This Row],[PontoPed]]&lt;1, 1, IF( tabItens[[#This Row],[Saldo]]&gt;tabItens[[#This Row],[PontoPed]], 0, (tabItens[[#This Row],[PontoPed]]-tabItens[[#This Row],[Saldo]])/tabItens[[#This Row],[PontoPed]] ) ), 0 )</f>
        <v>0</v>
      </c>
      <c r="BD789" s="336">
        <f>ROUNDDOWN(IF( OR( AND(tabItens[[#This Row],[PontoPed]]&lt;tabItens[[#This Row],[Saldo]],tabItens[[#This Row],[Saldo]]&gt;0), tabItens[[#This Row],[PontoPed]]=0), 99, IF(AND(tabItens[[#This Row],[Saldo]]=0,tabItens[[#This Row],[PontoPed]]&gt;0), 0, (1-tabItens[[#This Row],[PctAb]])*10 ) ),0)</f>
        <v>99</v>
      </c>
      <c r="BE789" s="337">
        <f>MAX(ROUNDDOWN( IF(tabItens[[#This Row],[Abaixo]] &gt; 0,   tabItens[[#This Row],[Abaixo]] + (tabItens[[#This Row],[PontoMês]] * IF( OR( ISBLANK(tabItens[[#This Row],[ATA Nº/ANO]]), tabItens[[#This Row],[ATA Nº/ANO]] = ""),BE$2,BE$1)),0),0),0)</f>
        <v>0</v>
      </c>
      <c r="BF78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9" s="338">
        <f>SUMIF(Consumo!$C$3:$C$862,tabItens[[#This Row],[CÓDIGO]],Consumo!$E$3:$E$862)</f>
        <v>0</v>
      </c>
      <c r="BH789" s="339">
        <f>IF(AND(tabItens[[#This Row],[Pend]] &gt; 0,tabItens[[#This Row],[Consumo]] &lt;&gt; 0), tabItens[[#This Row],[Pend]] / tabItens[[#This Row],[Consumo]], 0 )</f>
        <v>0</v>
      </c>
      <c r="BI789" s="338"/>
      <c r="BJ789" s="338"/>
      <c r="BK789" s="340" t="s">
        <v>2086</v>
      </c>
    </row>
    <row r="790" spans="1:63" hidden="1" x14ac:dyDescent="0.3">
      <c r="A790" s="301">
        <v>105106</v>
      </c>
      <c r="B790" s="302" t="s">
        <v>1611</v>
      </c>
      <c r="C790" s="303" t="s">
        <v>263</v>
      </c>
      <c r="D790" s="304">
        <v>54.98</v>
      </c>
      <c r="E790" s="305"/>
      <c r="F790" s="305"/>
      <c r="G790" s="305" t="s">
        <v>889</v>
      </c>
      <c r="H790" s="306">
        <v>13</v>
      </c>
      <c r="I790" s="307">
        <v>103003</v>
      </c>
      <c r="J790" s="308">
        <v>54.98</v>
      </c>
      <c r="K790" s="309">
        <v>2</v>
      </c>
      <c r="L790" s="310">
        <f>IF(tabItens[[#This Row],[Média]] &gt; 0, tabItens[[#This Row],[QTDE ATUAL]] / tabItens[[#This Row],[Média]],999.9)</f>
        <v>156</v>
      </c>
      <c r="M790" s="311">
        <v>0</v>
      </c>
      <c r="N790" s="312">
        <f>tabItens[[#This Row],[VALOR UNIT.]] * tabItens[[#This Row],[LC]]</f>
        <v>0</v>
      </c>
      <c r="O790" s="313"/>
      <c r="P790" s="314"/>
      <c r="Q790" s="315"/>
      <c r="R790" s="312"/>
      <c r="S790" s="316"/>
      <c r="T790" s="317">
        <f>ROUNDDOWN(IFERROR(tabItens[[#This Row],[ATA DT.VALID.]] - $D$1,0) / 30,0)</f>
        <v>-1474</v>
      </c>
      <c r="U790" s="302" t="s">
        <v>1612</v>
      </c>
      <c r="V790" s="318">
        <v>1</v>
      </c>
      <c r="W790" s="319" t="s">
        <v>2081</v>
      </c>
      <c r="X790" s="320">
        <v>62</v>
      </c>
      <c r="Y790" s="321">
        <v>4</v>
      </c>
      <c r="Z790" s="322"/>
      <c r="AA790" s="323"/>
      <c r="AB790" s="324"/>
      <c r="AC790" s="324"/>
      <c r="AD790" s="323"/>
      <c r="AE790" s="324"/>
      <c r="AF790" s="317"/>
      <c r="AG790" s="325" t="s">
        <v>2072</v>
      </c>
      <c r="AH790" s="326"/>
      <c r="AI790" s="317">
        <v>0</v>
      </c>
      <c r="AJ790" s="326">
        <v>43697</v>
      </c>
      <c r="AK790" s="326">
        <v>39499</v>
      </c>
      <c r="AL790" s="326">
        <v>44791</v>
      </c>
      <c r="AM790" s="316"/>
      <c r="AN790" s="305"/>
      <c r="AO790" s="327" t="str">
        <f>_xlfn.IFNA(IF(VLOOKUP(tabItens[[#This Row],[CÓDIGO]],tabExcluirDoEstoque[#Data],1,FALSE),"sim",""),"")</f>
        <v/>
      </c>
      <c r="AP790" s="328" t="str">
        <f ca="1">IF(OR(ISBLANK(tabItens[[#This Row],[ATA DT.VALID.]]),tabItens[[#This Row],[ATA DT.VALID.]]="",tabItens[[#This Row],[ATA DT.VALID.]]=" "),"",IF(TYPE(tabItens[[#This Row],[ATA DT.VALID.]])=1,ROUNDUP((tabItens[[#This Row],[ATA DT.VALID.]]-TODAY())/7,0),""))</f>
        <v/>
      </c>
      <c r="AQ790" s="329"/>
      <c r="AR790" s="330" t="str">
        <f>IF(ISBLANK(tabItens[[#This Row],[CÓDIGO]]),"",IFERROR(VLOOKUP(tabItens[[#This Row],[CÓDIGO]],Consumo!$C$2:$AC$862,26,FALSE),0))</f>
        <v>01.2023</v>
      </c>
      <c r="AS790" s="331">
        <f>SUMIF(Consumo!$C$3:$C$862,tabItens[[#This Row],[CÓDIGO]],Consumo!$N$3:$N$862) + SUMIF(Consumo!$C$3:$C$862,tabItens[[#This Row],[CÓDIGO]],Consumo!$O$3:$O$862) + SUMIF(Consumo!$C$3:$C$862,tabItens[[#This Row],[CÓDIGO]],Consumo!$P$3:$P$862) + SUMIF(Consumo!$C$3:$C$862,tabItens[[#This Row],[CÓDIGO]],Consumo!$Q$3:$Q$862)</f>
        <v>0</v>
      </c>
      <c r="AT790" s="331">
        <f>SUMIF(Consumo!$C$3:$C$862,tabItens[[#This Row],[CÓDIGO]],Consumo!$Z$3:$Z$862)</f>
        <v>2</v>
      </c>
      <c r="AU790" s="332">
        <f>SUMIF(Consumo!$C$3:$C$862,tabItens[[#This Row],[CÓDIGO]],Consumo!$AA$3:$AA$862)</f>
        <v>2</v>
      </c>
      <c r="AV790" s="333">
        <f>SUMIF(Consumo!$C$3:$C$862,tabItens[[#This Row],[CÓDIGO]],Consumo!$Y$3:$Y$862)</f>
        <v>8.3333333333333329E-2</v>
      </c>
      <c r="AW790" s="306">
        <f>tabItens[[#This Row],[QTDE ATUAL]] + tabItens[[#This Row],[RC QTDE]] + tabItens[[#This Row],[AF SALDO]] + tabItens[[#This Row],[Recentes]]</f>
        <v>13</v>
      </c>
      <c r="AX790" s="334">
        <v>1</v>
      </c>
      <c r="AY790" s="334">
        <v>4</v>
      </c>
      <c r="AZ790" s="334">
        <f>IF(ISBLANK(tabItens[[#This Row],[CÓDIGO]]),"",tabItens[[#This Row],[PontoMês]] * (AZ$2+tabItens[[#This Row],[PontoQtM]]))</f>
        <v>4</v>
      </c>
      <c r="BA790" s="333">
        <f>tabItens[[#This Row],[PontoPed]] - tabItens[[#This Row],[Saldo]] + (1/10)</f>
        <v>-8.9</v>
      </c>
      <c r="BB790" s="333">
        <f xml:space="preserve"> tabItens[[#This Row],[PontoMês]] * BB$2 - tabItens[[#This Row],[QTDE ATUAL]] - (1/10)</f>
        <v>-12.1</v>
      </c>
      <c r="BC790" s="335">
        <f>IF( tabItens[[#This Row],[PontoPed]]&gt;0, IF(tabItens[[#This Row],[PontoPed]]&lt;1, 1, IF( tabItens[[#This Row],[Saldo]]&gt;tabItens[[#This Row],[PontoPed]], 0, (tabItens[[#This Row],[PontoPed]]-tabItens[[#This Row],[Saldo]])/tabItens[[#This Row],[PontoPed]] ) ), 0 )</f>
        <v>0</v>
      </c>
      <c r="BD790" s="336">
        <f>ROUNDDOWN(IF( OR( AND(tabItens[[#This Row],[PontoPed]]&lt;tabItens[[#This Row],[Saldo]],tabItens[[#This Row],[Saldo]]&gt;0), tabItens[[#This Row],[PontoPed]]=0), 99, IF(AND(tabItens[[#This Row],[Saldo]]=0,tabItens[[#This Row],[PontoPed]]&gt;0), 0, (1-tabItens[[#This Row],[PctAb]])*10 ) ),0)</f>
        <v>99</v>
      </c>
      <c r="BE790" s="337">
        <f>MAX(ROUNDDOWN( IF(tabItens[[#This Row],[Abaixo]] &gt; 0,   tabItens[[#This Row],[Abaixo]] + (tabItens[[#This Row],[PontoMês]] * IF( OR( ISBLANK(tabItens[[#This Row],[ATA Nº/ANO]]), tabItens[[#This Row],[ATA Nº/ANO]] = ""),BE$2,BE$1)),0),0),0)</f>
        <v>0</v>
      </c>
      <c r="BF79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0" s="338">
        <f>SUMIF(Consumo!$C$3:$C$862,tabItens[[#This Row],[CÓDIGO]],Consumo!$E$3:$E$862)</f>
        <v>0</v>
      </c>
      <c r="BH790" s="339">
        <f>IF(AND(tabItens[[#This Row],[Pend]] &gt; 0,tabItens[[#This Row],[Consumo]] &lt;&gt; 0), tabItens[[#This Row],[Pend]] / tabItens[[#This Row],[Consumo]], 0 )</f>
        <v>0</v>
      </c>
      <c r="BI790" s="338"/>
      <c r="BJ790" s="338"/>
      <c r="BK790" s="340" t="s">
        <v>2086</v>
      </c>
    </row>
    <row r="791" spans="1:63" hidden="1" x14ac:dyDescent="0.3">
      <c r="A791" s="301">
        <v>105107</v>
      </c>
      <c r="B791" s="302" t="s">
        <v>1613</v>
      </c>
      <c r="C791" s="303" t="s">
        <v>263</v>
      </c>
      <c r="D791" s="304">
        <v>54.98</v>
      </c>
      <c r="E791" s="305"/>
      <c r="F791" s="305"/>
      <c r="G791" s="305" t="s">
        <v>889</v>
      </c>
      <c r="H791" s="306">
        <v>8</v>
      </c>
      <c r="I791" s="307">
        <v>103003</v>
      </c>
      <c r="J791" s="308">
        <v>54.98</v>
      </c>
      <c r="K791" s="309">
        <v>2</v>
      </c>
      <c r="L791" s="310">
        <f>IF(tabItens[[#This Row],[Média]] &gt; 0, tabItens[[#This Row],[QTDE ATUAL]] / tabItens[[#This Row],[Média]],999.9)</f>
        <v>96</v>
      </c>
      <c r="M791" s="311">
        <v>0</v>
      </c>
      <c r="N791" s="312">
        <f>tabItens[[#This Row],[VALOR UNIT.]] * tabItens[[#This Row],[LC]]</f>
        <v>0</v>
      </c>
      <c r="O791" s="313"/>
      <c r="P791" s="314"/>
      <c r="Q791" s="315"/>
      <c r="R791" s="312"/>
      <c r="S791" s="316"/>
      <c r="T791" s="317">
        <f>ROUNDDOWN(IFERROR(tabItens[[#This Row],[ATA DT.VALID.]] - $D$1,0) / 30,0)</f>
        <v>-1474</v>
      </c>
      <c r="U791" s="302" t="s">
        <v>1612</v>
      </c>
      <c r="V791" s="318">
        <v>1</v>
      </c>
      <c r="W791" s="319" t="s">
        <v>2081</v>
      </c>
      <c r="X791" s="320">
        <v>62</v>
      </c>
      <c r="Y791" s="321">
        <v>4</v>
      </c>
      <c r="Z791" s="322"/>
      <c r="AA791" s="323"/>
      <c r="AB791" s="324"/>
      <c r="AC791" s="324"/>
      <c r="AD791" s="323"/>
      <c r="AE791" s="324"/>
      <c r="AF791" s="317"/>
      <c r="AG791" s="325" t="s">
        <v>2072</v>
      </c>
      <c r="AH791" s="326"/>
      <c r="AI791" s="317">
        <v>0</v>
      </c>
      <c r="AJ791" s="326">
        <v>43697</v>
      </c>
      <c r="AK791" s="326">
        <v>39499</v>
      </c>
      <c r="AL791" s="326">
        <v>44791</v>
      </c>
      <c r="AM791" s="316"/>
      <c r="AN791" s="305"/>
      <c r="AO791" s="327" t="str">
        <f>_xlfn.IFNA(IF(VLOOKUP(tabItens[[#This Row],[CÓDIGO]],tabExcluirDoEstoque[#Data],1,FALSE),"sim",""),"")</f>
        <v/>
      </c>
      <c r="AP791" s="328" t="str">
        <f ca="1">IF(OR(ISBLANK(tabItens[[#This Row],[ATA DT.VALID.]]),tabItens[[#This Row],[ATA DT.VALID.]]="",tabItens[[#This Row],[ATA DT.VALID.]]=" "),"",IF(TYPE(tabItens[[#This Row],[ATA DT.VALID.]])=1,ROUNDUP((tabItens[[#This Row],[ATA DT.VALID.]]-TODAY())/7,0),""))</f>
        <v/>
      </c>
      <c r="AQ791" s="329"/>
      <c r="AR791" s="330" t="str">
        <f>IF(ISBLANK(tabItens[[#This Row],[CÓDIGO]]),"",IFERROR(VLOOKUP(tabItens[[#This Row],[CÓDIGO]],Consumo!$C$2:$AC$862,26,FALSE),0))</f>
        <v>03.2023</v>
      </c>
      <c r="AS791" s="331">
        <f>SUMIF(Consumo!$C$3:$C$862,tabItens[[#This Row],[CÓDIGO]],Consumo!$N$3:$N$862) + SUMIF(Consumo!$C$3:$C$862,tabItens[[#This Row],[CÓDIGO]],Consumo!$O$3:$O$862) + SUMIF(Consumo!$C$3:$C$862,tabItens[[#This Row],[CÓDIGO]],Consumo!$P$3:$P$862) + SUMIF(Consumo!$C$3:$C$862,tabItens[[#This Row],[CÓDIGO]],Consumo!$Q$3:$Q$862)</f>
        <v>0</v>
      </c>
      <c r="AT791" s="331">
        <f>SUMIF(Consumo!$C$3:$C$862,tabItens[[#This Row],[CÓDIGO]],Consumo!$Z$3:$Z$862)</f>
        <v>2</v>
      </c>
      <c r="AU791" s="332">
        <f>SUMIF(Consumo!$C$3:$C$862,tabItens[[#This Row],[CÓDIGO]],Consumo!$AA$3:$AA$862)</f>
        <v>2</v>
      </c>
      <c r="AV791" s="333">
        <f>SUMIF(Consumo!$C$3:$C$862,tabItens[[#This Row],[CÓDIGO]],Consumo!$Y$3:$Y$862)</f>
        <v>8.3333333333333329E-2</v>
      </c>
      <c r="AW791" s="306">
        <f>tabItens[[#This Row],[QTDE ATUAL]] + tabItens[[#This Row],[RC QTDE]] + tabItens[[#This Row],[AF SALDO]] + tabItens[[#This Row],[Recentes]]</f>
        <v>8</v>
      </c>
      <c r="AX791" s="334">
        <v>1</v>
      </c>
      <c r="AY791" s="334">
        <v>4</v>
      </c>
      <c r="AZ791" s="334">
        <f>IF(ISBLANK(tabItens[[#This Row],[CÓDIGO]]),"",tabItens[[#This Row],[PontoMês]] * (AZ$2+tabItens[[#This Row],[PontoQtM]]))</f>
        <v>4</v>
      </c>
      <c r="BA791" s="333">
        <f>tabItens[[#This Row],[PontoPed]] - tabItens[[#This Row],[Saldo]] + (1/10)</f>
        <v>-3.9</v>
      </c>
      <c r="BB791" s="333">
        <f xml:space="preserve"> tabItens[[#This Row],[PontoMês]] * BB$2 - tabItens[[#This Row],[QTDE ATUAL]] - (1/10)</f>
        <v>-7.1</v>
      </c>
      <c r="BC791" s="335">
        <f>IF( tabItens[[#This Row],[PontoPed]]&gt;0, IF(tabItens[[#This Row],[PontoPed]]&lt;1, 1, IF( tabItens[[#This Row],[Saldo]]&gt;tabItens[[#This Row],[PontoPed]], 0, (tabItens[[#This Row],[PontoPed]]-tabItens[[#This Row],[Saldo]])/tabItens[[#This Row],[PontoPed]] ) ), 0 )</f>
        <v>0</v>
      </c>
      <c r="BD791" s="336">
        <f>ROUNDDOWN(IF( OR( AND(tabItens[[#This Row],[PontoPed]]&lt;tabItens[[#This Row],[Saldo]],tabItens[[#This Row],[Saldo]]&gt;0), tabItens[[#This Row],[PontoPed]]=0), 99, IF(AND(tabItens[[#This Row],[Saldo]]=0,tabItens[[#This Row],[PontoPed]]&gt;0), 0, (1-tabItens[[#This Row],[PctAb]])*10 ) ),0)</f>
        <v>99</v>
      </c>
      <c r="BE791" s="337">
        <f>MAX(ROUNDDOWN( IF(tabItens[[#This Row],[Abaixo]] &gt; 0,   tabItens[[#This Row],[Abaixo]] + (tabItens[[#This Row],[PontoMês]] * IF( OR( ISBLANK(tabItens[[#This Row],[ATA Nº/ANO]]), tabItens[[#This Row],[ATA Nº/ANO]] = ""),BE$2,BE$1)),0),0),0)</f>
        <v>0</v>
      </c>
      <c r="BF79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1" s="338">
        <f>SUMIF(Consumo!$C$3:$C$862,tabItens[[#This Row],[CÓDIGO]],Consumo!$E$3:$E$862)</f>
        <v>0</v>
      </c>
      <c r="BH791" s="339">
        <f>IF(AND(tabItens[[#This Row],[Pend]] &gt; 0,tabItens[[#This Row],[Consumo]] &lt;&gt; 0), tabItens[[#This Row],[Pend]] / tabItens[[#This Row],[Consumo]], 0 )</f>
        <v>0</v>
      </c>
      <c r="BI791" s="338"/>
      <c r="BJ791" s="338"/>
      <c r="BK791" s="340" t="s">
        <v>2086</v>
      </c>
    </row>
    <row r="792" spans="1:63" hidden="1" x14ac:dyDescent="0.3">
      <c r="A792" s="301">
        <v>105108</v>
      </c>
      <c r="B792" s="302" t="s">
        <v>1614</v>
      </c>
      <c r="C792" s="303" t="s">
        <v>263</v>
      </c>
      <c r="D792" s="304">
        <v>54.98</v>
      </c>
      <c r="E792" s="305"/>
      <c r="F792" s="305"/>
      <c r="G792" s="305" t="s">
        <v>889</v>
      </c>
      <c r="H792" s="306">
        <v>13</v>
      </c>
      <c r="I792" s="307">
        <v>103003</v>
      </c>
      <c r="J792" s="308">
        <v>54.98</v>
      </c>
      <c r="K792" s="309">
        <v>5</v>
      </c>
      <c r="L792" s="310">
        <f>IF(tabItens[[#This Row],[Média]] &gt; 0, tabItens[[#This Row],[QTDE ATUAL]] / tabItens[[#This Row],[Média]],999.9)</f>
        <v>31.2</v>
      </c>
      <c r="M792" s="311">
        <v>0</v>
      </c>
      <c r="N792" s="312">
        <f>tabItens[[#This Row],[VALOR UNIT.]] * tabItens[[#This Row],[LC]]</f>
        <v>0</v>
      </c>
      <c r="O792" s="313"/>
      <c r="P792" s="314"/>
      <c r="Q792" s="315"/>
      <c r="R792" s="312"/>
      <c r="S792" s="316"/>
      <c r="T792" s="317">
        <f>ROUNDDOWN(IFERROR(tabItens[[#This Row],[ATA DT.VALID.]] - $D$1,0) / 30,0)</f>
        <v>-1474</v>
      </c>
      <c r="U792" s="302" t="s">
        <v>1612</v>
      </c>
      <c r="V792" s="318">
        <v>1</v>
      </c>
      <c r="W792" s="319" t="s">
        <v>2081</v>
      </c>
      <c r="X792" s="320">
        <v>62</v>
      </c>
      <c r="Y792" s="321">
        <v>4</v>
      </c>
      <c r="Z792" s="322">
        <v>2830</v>
      </c>
      <c r="AA792" s="323">
        <v>2023</v>
      </c>
      <c r="AB792" s="324">
        <v>10</v>
      </c>
      <c r="AC792" s="324"/>
      <c r="AD792" s="323"/>
      <c r="AE792" s="324"/>
      <c r="AF792" s="317"/>
      <c r="AG792" s="325" t="s">
        <v>2072</v>
      </c>
      <c r="AH792" s="326"/>
      <c r="AI792" s="317">
        <v>2</v>
      </c>
      <c r="AJ792" s="326">
        <v>43698</v>
      </c>
      <c r="AK792" s="326">
        <v>39499</v>
      </c>
      <c r="AL792" s="326">
        <v>44791</v>
      </c>
      <c r="AM792" s="316"/>
      <c r="AN792" s="305"/>
      <c r="AO792" s="327" t="str">
        <f>_xlfn.IFNA(IF(VLOOKUP(tabItens[[#This Row],[CÓDIGO]],tabExcluirDoEstoque[#Data],1,FALSE),"sim",""),"")</f>
        <v/>
      </c>
      <c r="AP792" s="328" t="str">
        <f ca="1">IF(OR(ISBLANK(tabItens[[#This Row],[ATA DT.VALID.]]),tabItens[[#This Row],[ATA DT.VALID.]]="",tabItens[[#This Row],[ATA DT.VALID.]]=" "),"",IF(TYPE(tabItens[[#This Row],[ATA DT.VALID.]])=1,ROUNDUP((tabItens[[#This Row],[ATA DT.VALID.]]-TODAY())/7,0),""))</f>
        <v/>
      </c>
      <c r="AQ792" s="329"/>
      <c r="AR792" s="330" t="str">
        <f>IF(ISBLANK(tabItens[[#This Row],[CÓDIGO]]),"",IFERROR(VLOOKUP(tabItens[[#This Row],[CÓDIGO]],Consumo!$C$2:$AC$862,26,FALSE),0))</f>
        <v>03.2023</v>
      </c>
      <c r="AS792" s="331">
        <f>SUMIF(Consumo!$C$3:$C$862,tabItens[[#This Row],[CÓDIGO]],Consumo!$N$3:$N$862) + SUMIF(Consumo!$C$3:$C$862,tabItens[[#This Row],[CÓDIGO]],Consumo!$O$3:$O$862) + SUMIF(Consumo!$C$3:$C$862,tabItens[[#This Row],[CÓDIGO]],Consumo!$P$3:$P$862) + SUMIF(Consumo!$C$3:$C$862,tabItens[[#This Row],[CÓDIGO]],Consumo!$Q$3:$Q$862)</f>
        <v>0</v>
      </c>
      <c r="AT792" s="331">
        <f>SUMIF(Consumo!$C$3:$C$862,tabItens[[#This Row],[CÓDIGO]],Consumo!$Z$3:$Z$862)</f>
        <v>5</v>
      </c>
      <c r="AU792" s="332">
        <f>SUMIF(Consumo!$C$3:$C$862,tabItens[[#This Row],[CÓDIGO]],Consumo!$AA$3:$AA$862)</f>
        <v>2</v>
      </c>
      <c r="AV792" s="333">
        <f>SUMIF(Consumo!$C$3:$C$862,tabItens[[#This Row],[CÓDIGO]],Consumo!$Y$3:$Y$862)</f>
        <v>0.41666666666666669</v>
      </c>
      <c r="AW792" s="306">
        <f>tabItens[[#This Row],[QTDE ATUAL]] + tabItens[[#This Row],[RC QTDE]] + tabItens[[#This Row],[AF SALDO]] + tabItens[[#This Row],[Recentes]]</f>
        <v>23</v>
      </c>
      <c r="AX792" s="334">
        <v>0</v>
      </c>
      <c r="AY792" s="334">
        <v>4</v>
      </c>
      <c r="AZ792" s="334">
        <f>IF(ISBLANK(tabItens[[#This Row],[CÓDIGO]]),"",tabItens[[#This Row],[PontoMês]] * (AZ$2+tabItens[[#This Row],[PontoQtM]]))</f>
        <v>0</v>
      </c>
      <c r="BA792" s="333">
        <f>tabItens[[#This Row],[PontoPed]] - tabItens[[#This Row],[Saldo]] + (1/10)</f>
        <v>-22.9</v>
      </c>
      <c r="BB792" s="333">
        <f xml:space="preserve"> tabItens[[#This Row],[PontoMês]] * BB$2 - tabItens[[#This Row],[QTDE ATUAL]] - (1/10)</f>
        <v>-13.1</v>
      </c>
      <c r="BC792" s="335">
        <f>IF( tabItens[[#This Row],[PontoPed]]&gt;0, IF(tabItens[[#This Row],[PontoPed]]&lt;1, 1, IF( tabItens[[#This Row],[Saldo]]&gt;tabItens[[#This Row],[PontoPed]], 0, (tabItens[[#This Row],[PontoPed]]-tabItens[[#This Row],[Saldo]])/tabItens[[#This Row],[PontoPed]] ) ), 0 )</f>
        <v>0</v>
      </c>
      <c r="BD792" s="336">
        <f>ROUNDDOWN(IF( OR( AND(tabItens[[#This Row],[PontoPed]]&lt;tabItens[[#This Row],[Saldo]],tabItens[[#This Row],[Saldo]]&gt;0), tabItens[[#This Row],[PontoPed]]=0), 99, IF(AND(tabItens[[#This Row],[Saldo]]=0,tabItens[[#This Row],[PontoPed]]&gt;0), 0, (1-tabItens[[#This Row],[PctAb]])*10 ) ),0)</f>
        <v>99</v>
      </c>
      <c r="BE792" s="337">
        <f>MAX(ROUNDDOWN( IF(tabItens[[#This Row],[Abaixo]] &gt; 0,   tabItens[[#This Row],[Abaixo]] + (tabItens[[#This Row],[PontoMês]] * IF( OR( ISBLANK(tabItens[[#This Row],[ATA Nº/ANO]]), tabItens[[#This Row],[ATA Nº/ANO]] = ""),BE$2,BE$1)),0),0),0)</f>
        <v>0</v>
      </c>
      <c r="BF79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2" s="338">
        <f>SUMIF(Consumo!$C$3:$C$862,tabItens[[#This Row],[CÓDIGO]],Consumo!$E$3:$E$862)</f>
        <v>0</v>
      </c>
      <c r="BH792" s="339">
        <f>IF(AND(tabItens[[#This Row],[Pend]] &gt; 0,tabItens[[#This Row],[Consumo]] &lt;&gt; 0), tabItens[[#This Row],[Pend]] / tabItens[[#This Row],[Consumo]], 0 )</f>
        <v>0</v>
      </c>
      <c r="BI792" s="338"/>
      <c r="BJ792" s="338"/>
      <c r="BK792" s="340" t="s">
        <v>2086</v>
      </c>
    </row>
    <row r="793" spans="1:63" hidden="1" x14ac:dyDescent="0.3">
      <c r="A793" s="301">
        <v>105110</v>
      </c>
      <c r="B793" s="302" t="s">
        <v>1615</v>
      </c>
      <c r="C793" s="303" t="s">
        <v>263</v>
      </c>
      <c r="D793" s="304">
        <v>29.94</v>
      </c>
      <c r="E793" s="305"/>
      <c r="F793" s="305"/>
      <c r="G793" s="305" t="s">
        <v>889</v>
      </c>
      <c r="H793" s="306">
        <v>12</v>
      </c>
      <c r="I793" s="307">
        <v>103003</v>
      </c>
      <c r="J793" s="308">
        <v>29.94</v>
      </c>
      <c r="K793" s="309">
        <v>2</v>
      </c>
      <c r="L793" s="310">
        <f>IF(tabItens[[#This Row],[Média]] &gt; 0, tabItens[[#This Row],[QTDE ATUAL]] / tabItens[[#This Row],[Média]],999.9)</f>
        <v>144</v>
      </c>
      <c r="M793" s="311">
        <v>0</v>
      </c>
      <c r="N793" s="312">
        <f>tabItens[[#This Row],[VALOR UNIT.]] * tabItens[[#This Row],[LC]]</f>
        <v>0</v>
      </c>
      <c r="O793" s="313"/>
      <c r="P793" s="314"/>
      <c r="Q793" s="315"/>
      <c r="R793" s="312"/>
      <c r="S793" s="316"/>
      <c r="T793" s="317">
        <f>ROUNDDOWN(IFERROR(tabItens[[#This Row],[ATA DT.VALID.]] - $D$1,0) / 30,0)</f>
        <v>-1474</v>
      </c>
      <c r="U793" s="302" t="s">
        <v>1612</v>
      </c>
      <c r="V793" s="318">
        <v>1</v>
      </c>
      <c r="W793" s="319" t="s">
        <v>2081</v>
      </c>
      <c r="X793" s="320">
        <v>62</v>
      </c>
      <c r="Y793" s="321">
        <v>4</v>
      </c>
      <c r="Z793" s="322"/>
      <c r="AA793" s="323"/>
      <c r="AB793" s="324"/>
      <c r="AC793" s="324"/>
      <c r="AD793" s="323"/>
      <c r="AE793" s="324"/>
      <c r="AF793" s="317"/>
      <c r="AG793" s="325" t="s">
        <v>2072</v>
      </c>
      <c r="AH793" s="326"/>
      <c r="AI793" s="317">
        <v>0</v>
      </c>
      <c r="AJ793" s="326">
        <v>44018</v>
      </c>
      <c r="AK793" s="326">
        <v>39499</v>
      </c>
      <c r="AL793" s="326">
        <v>44235</v>
      </c>
      <c r="AM793" s="316"/>
      <c r="AN793" s="305"/>
      <c r="AO793" s="327" t="str">
        <f>_xlfn.IFNA(IF(VLOOKUP(tabItens[[#This Row],[CÓDIGO]],tabExcluirDoEstoque[#Data],1,FALSE),"sim",""),"")</f>
        <v/>
      </c>
      <c r="AP793" s="328" t="str">
        <f ca="1">IF(OR(ISBLANK(tabItens[[#This Row],[ATA DT.VALID.]]),tabItens[[#This Row],[ATA DT.VALID.]]="",tabItens[[#This Row],[ATA DT.VALID.]]=" "),"",IF(TYPE(tabItens[[#This Row],[ATA DT.VALID.]])=1,ROUNDUP((tabItens[[#This Row],[ATA DT.VALID.]]-TODAY())/7,0),""))</f>
        <v/>
      </c>
      <c r="AQ793" s="329"/>
      <c r="AR793" s="330" t="str">
        <f>IF(ISBLANK(tabItens[[#This Row],[CÓDIGO]]),"",IFERROR(VLOOKUP(tabItens[[#This Row],[CÓDIGO]],Consumo!$C$2:$AC$862,26,FALSE),0))</f>
        <v>07.2023</v>
      </c>
      <c r="AS793" s="331">
        <f>SUMIF(Consumo!$C$3:$C$862,tabItens[[#This Row],[CÓDIGO]],Consumo!$N$3:$N$862) + SUMIF(Consumo!$C$3:$C$862,tabItens[[#This Row],[CÓDIGO]],Consumo!$O$3:$O$862) + SUMIF(Consumo!$C$3:$C$862,tabItens[[#This Row],[CÓDIGO]],Consumo!$P$3:$P$862) + SUMIF(Consumo!$C$3:$C$862,tabItens[[#This Row],[CÓDIGO]],Consumo!$Q$3:$Q$862)</f>
        <v>2</v>
      </c>
      <c r="AT793" s="331">
        <f>SUMIF(Consumo!$C$3:$C$862,tabItens[[#This Row],[CÓDIGO]],Consumo!$Z$3:$Z$862)</f>
        <v>2</v>
      </c>
      <c r="AU793" s="332">
        <f>SUMIF(Consumo!$C$3:$C$862,tabItens[[#This Row],[CÓDIGO]],Consumo!$AA$3:$AA$862)</f>
        <v>2</v>
      </c>
      <c r="AV793" s="333">
        <f>SUMIF(Consumo!$C$3:$C$862,tabItens[[#This Row],[CÓDIGO]],Consumo!$Y$3:$Y$862)</f>
        <v>8.3333333333333329E-2</v>
      </c>
      <c r="AW793" s="306">
        <f>tabItens[[#This Row],[QTDE ATUAL]] + tabItens[[#This Row],[RC QTDE]] + tabItens[[#This Row],[AF SALDO]] + tabItens[[#This Row],[Recentes]]</f>
        <v>12</v>
      </c>
      <c r="AX793" s="334">
        <v>0</v>
      </c>
      <c r="AY793" s="334">
        <v>4</v>
      </c>
      <c r="AZ793" s="334">
        <f>IF(ISBLANK(tabItens[[#This Row],[CÓDIGO]]),"",tabItens[[#This Row],[PontoMês]] * (AZ$2+tabItens[[#This Row],[PontoQtM]]))</f>
        <v>0</v>
      </c>
      <c r="BA793" s="333">
        <f>tabItens[[#This Row],[PontoPed]] - tabItens[[#This Row],[Saldo]] + (1/10)</f>
        <v>-11.9</v>
      </c>
      <c r="BB793" s="333">
        <f xml:space="preserve"> tabItens[[#This Row],[PontoMês]] * BB$2 - tabItens[[#This Row],[QTDE ATUAL]] - (1/10)</f>
        <v>-12.1</v>
      </c>
      <c r="BC793" s="335">
        <f>IF( tabItens[[#This Row],[PontoPed]]&gt;0, IF(tabItens[[#This Row],[PontoPed]]&lt;1, 1, IF( tabItens[[#This Row],[Saldo]]&gt;tabItens[[#This Row],[PontoPed]], 0, (tabItens[[#This Row],[PontoPed]]-tabItens[[#This Row],[Saldo]])/tabItens[[#This Row],[PontoPed]] ) ), 0 )</f>
        <v>0</v>
      </c>
      <c r="BD793" s="336">
        <f>ROUNDDOWN(IF( OR( AND(tabItens[[#This Row],[PontoPed]]&lt;tabItens[[#This Row],[Saldo]],tabItens[[#This Row],[Saldo]]&gt;0), tabItens[[#This Row],[PontoPed]]=0), 99, IF(AND(tabItens[[#This Row],[Saldo]]=0,tabItens[[#This Row],[PontoPed]]&gt;0), 0, (1-tabItens[[#This Row],[PctAb]])*10 ) ),0)</f>
        <v>99</v>
      </c>
      <c r="BE793" s="337">
        <f>MAX(ROUNDDOWN( IF(tabItens[[#This Row],[Abaixo]] &gt; 0,   tabItens[[#This Row],[Abaixo]] + (tabItens[[#This Row],[PontoMês]] * IF( OR( ISBLANK(tabItens[[#This Row],[ATA Nº/ANO]]), tabItens[[#This Row],[ATA Nº/ANO]] = ""),BE$2,BE$1)),0),0),0)</f>
        <v>0</v>
      </c>
      <c r="BF79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3" s="338">
        <f>SUMIF(Consumo!$C$3:$C$862,tabItens[[#This Row],[CÓDIGO]],Consumo!$E$3:$E$862)</f>
        <v>0</v>
      </c>
      <c r="BH793" s="339">
        <f>IF(AND(tabItens[[#This Row],[Pend]] &gt; 0,tabItens[[#This Row],[Consumo]] &lt;&gt; 0), tabItens[[#This Row],[Pend]] / tabItens[[#This Row],[Consumo]], 0 )</f>
        <v>0</v>
      </c>
      <c r="BI793" s="338"/>
      <c r="BJ793" s="338"/>
      <c r="BK793" s="340" t="s">
        <v>2086</v>
      </c>
    </row>
    <row r="794" spans="1:63" hidden="1" x14ac:dyDescent="0.3">
      <c r="A794" s="301">
        <v>105112</v>
      </c>
      <c r="B794" s="302" t="s">
        <v>1616</v>
      </c>
      <c r="C794" s="303" t="s">
        <v>263</v>
      </c>
      <c r="D794" s="304">
        <v>54.98</v>
      </c>
      <c r="E794" s="305"/>
      <c r="F794" s="305"/>
      <c r="G794" s="305" t="s">
        <v>889</v>
      </c>
      <c r="H794" s="306">
        <v>4</v>
      </c>
      <c r="I794" s="307">
        <v>103003</v>
      </c>
      <c r="J794" s="308">
        <v>54.98</v>
      </c>
      <c r="K794" s="309"/>
      <c r="L794" s="310">
        <f>IF(tabItens[[#This Row],[Média]] &gt; 0, tabItens[[#This Row],[QTDE ATUAL]] / tabItens[[#This Row],[Média]],999.9)</f>
        <v>999.9</v>
      </c>
      <c r="M794" s="311">
        <v>0</v>
      </c>
      <c r="N794" s="312">
        <f>tabItens[[#This Row],[VALOR UNIT.]] * tabItens[[#This Row],[LC]]</f>
        <v>0</v>
      </c>
      <c r="O794" s="313"/>
      <c r="P794" s="314"/>
      <c r="Q794" s="315"/>
      <c r="R794" s="312"/>
      <c r="S794" s="316"/>
      <c r="T794" s="317">
        <f>ROUNDDOWN(IFERROR(tabItens[[#This Row],[ATA DT.VALID.]] - $D$1,0) / 30,0)</f>
        <v>-1474</v>
      </c>
      <c r="U794" s="302" t="s">
        <v>1612</v>
      </c>
      <c r="V794" s="318">
        <v>1</v>
      </c>
      <c r="W794" s="319" t="s">
        <v>2081</v>
      </c>
      <c r="X794" s="320">
        <v>62</v>
      </c>
      <c r="Y794" s="321">
        <v>4</v>
      </c>
      <c r="Z794" s="322"/>
      <c r="AA794" s="323"/>
      <c r="AB794" s="324"/>
      <c r="AC794" s="324"/>
      <c r="AD794" s="323"/>
      <c r="AE794" s="324"/>
      <c r="AF794" s="317"/>
      <c r="AG794" s="325" t="s">
        <v>2072</v>
      </c>
      <c r="AH794" s="326"/>
      <c r="AI794" s="317">
        <v>0</v>
      </c>
      <c r="AJ794" s="326">
        <v>42772</v>
      </c>
      <c r="AK794" s="326">
        <v>39499</v>
      </c>
      <c r="AL794" s="326">
        <v>44791</v>
      </c>
      <c r="AM794" s="316"/>
      <c r="AN794" s="305"/>
      <c r="AO794" s="327" t="str">
        <f>_xlfn.IFNA(IF(VLOOKUP(tabItens[[#This Row],[CÓDIGO]],tabExcluirDoEstoque[#Data],1,FALSE),"sim",""),"")</f>
        <v/>
      </c>
      <c r="AP794" s="328" t="str">
        <f ca="1">IF(OR(ISBLANK(tabItens[[#This Row],[ATA DT.VALID.]]),tabItens[[#This Row],[ATA DT.VALID.]]="",tabItens[[#This Row],[ATA DT.VALID.]]=" "),"",IF(TYPE(tabItens[[#This Row],[ATA DT.VALID.]])=1,ROUNDUP((tabItens[[#This Row],[ATA DT.VALID.]]-TODAY())/7,0),""))</f>
        <v/>
      </c>
      <c r="AQ794" s="329"/>
      <c r="AR794" s="330">
        <f>IF(ISBLANK(tabItens[[#This Row],[CÓDIGO]]),"",IFERROR(VLOOKUP(tabItens[[#This Row],[CÓDIGO]],Consumo!$C$2:$AC$862,26,FALSE),0))</f>
        <v>0</v>
      </c>
      <c r="AS794" s="331">
        <f>SUMIF(Consumo!$C$3:$C$862,tabItens[[#This Row],[CÓDIGO]],Consumo!$N$3:$N$862) + SUMIF(Consumo!$C$3:$C$862,tabItens[[#This Row],[CÓDIGO]],Consumo!$O$3:$O$862) + SUMIF(Consumo!$C$3:$C$862,tabItens[[#This Row],[CÓDIGO]],Consumo!$P$3:$P$862) + SUMIF(Consumo!$C$3:$C$862,tabItens[[#This Row],[CÓDIGO]],Consumo!$Q$3:$Q$862)</f>
        <v>0</v>
      </c>
      <c r="AT794" s="331">
        <f>SUMIF(Consumo!$C$3:$C$862,tabItens[[#This Row],[CÓDIGO]],Consumo!$Z$3:$Z$862)</f>
        <v>0</v>
      </c>
      <c r="AU794" s="332">
        <f>SUMIF(Consumo!$C$3:$C$862,tabItens[[#This Row],[CÓDIGO]],Consumo!$AA$3:$AA$862)</f>
        <v>0</v>
      </c>
      <c r="AV794" s="333">
        <f>SUMIF(Consumo!$C$3:$C$862,tabItens[[#This Row],[CÓDIGO]],Consumo!$Y$3:$Y$862)</f>
        <v>0</v>
      </c>
      <c r="AW794" s="306">
        <f>tabItens[[#This Row],[QTDE ATUAL]] + tabItens[[#This Row],[RC QTDE]] + tabItens[[#This Row],[AF SALDO]] + tabItens[[#This Row],[Recentes]]</f>
        <v>4</v>
      </c>
      <c r="AX794" s="334">
        <v>0</v>
      </c>
      <c r="AY794" s="334">
        <v>4</v>
      </c>
      <c r="AZ794" s="334">
        <f>IF(ISBLANK(tabItens[[#This Row],[CÓDIGO]]),"",tabItens[[#This Row],[PontoMês]] * (AZ$2+tabItens[[#This Row],[PontoQtM]]))</f>
        <v>0</v>
      </c>
      <c r="BA794" s="333">
        <f>tabItens[[#This Row],[PontoPed]] - tabItens[[#This Row],[Saldo]] + (1/10)</f>
        <v>-3.9</v>
      </c>
      <c r="BB794" s="333">
        <f xml:space="preserve"> tabItens[[#This Row],[PontoMês]] * BB$2 - tabItens[[#This Row],[QTDE ATUAL]] - (1/10)</f>
        <v>-4.0999999999999996</v>
      </c>
      <c r="BC794" s="335">
        <f>IF( tabItens[[#This Row],[PontoPed]]&gt;0, IF(tabItens[[#This Row],[PontoPed]]&lt;1, 1, IF( tabItens[[#This Row],[Saldo]]&gt;tabItens[[#This Row],[PontoPed]], 0, (tabItens[[#This Row],[PontoPed]]-tabItens[[#This Row],[Saldo]])/tabItens[[#This Row],[PontoPed]] ) ), 0 )</f>
        <v>0</v>
      </c>
      <c r="BD794" s="336">
        <f>ROUNDDOWN(IF( OR( AND(tabItens[[#This Row],[PontoPed]]&lt;tabItens[[#This Row],[Saldo]],tabItens[[#This Row],[Saldo]]&gt;0), tabItens[[#This Row],[PontoPed]]=0), 99, IF(AND(tabItens[[#This Row],[Saldo]]=0,tabItens[[#This Row],[PontoPed]]&gt;0), 0, (1-tabItens[[#This Row],[PctAb]])*10 ) ),0)</f>
        <v>99</v>
      </c>
      <c r="BE794" s="337">
        <f>MAX(ROUNDDOWN( IF(tabItens[[#This Row],[Abaixo]] &gt; 0,   tabItens[[#This Row],[Abaixo]] + (tabItens[[#This Row],[PontoMês]] * IF( OR( ISBLANK(tabItens[[#This Row],[ATA Nº/ANO]]), tabItens[[#This Row],[ATA Nº/ANO]] = ""),BE$2,BE$1)),0),0),0)</f>
        <v>0</v>
      </c>
      <c r="BF79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4" s="338">
        <f>SUMIF(Consumo!$C$3:$C$862,tabItens[[#This Row],[CÓDIGO]],Consumo!$E$3:$E$862)</f>
        <v>0</v>
      </c>
      <c r="BH794" s="339">
        <f>IF(AND(tabItens[[#This Row],[Pend]] &gt; 0,tabItens[[#This Row],[Consumo]] &lt;&gt; 0), tabItens[[#This Row],[Pend]] / tabItens[[#This Row],[Consumo]], 0 )</f>
        <v>0</v>
      </c>
      <c r="BI794" s="338"/>
      <c r="BJ794" s="338"/>
      <c r="BK794" s="340" t="s">
        <v>2086</v>
      </c>
    </row>
    <row r="795" spans="1:63" hidden="1" x14ac:dyDescent="0.3">
      <c r="A795" s="301">
        <v>105704</v>
      </c>
      <c r="B795" s="302" t="s">
        <v>1626</v>
      </c>
      <c r="C795" s="303" t="s">
        <v>263</v>
      </c>
      <c r="D795" s="304">
        <v>54.98</v>
      </c>
      <c r="E795" s="305"/>
      <c r="F795" s="305"/>
      <c r="G795" s="305" t="s">
        <v>889</v>
      </c>
      <c r="H795" s="306">
        <v>20</v>
      </c>
      <c r="I795" s="307">
        <v>103003</v>
      </c>
      <c r="J795" s="308">
        <v>54.98</v>
      </c>
      <c r="K795" s="309"/>
      <c r="L795" s="310">
        <f>IF(tabItens[[#This Row],[Média]] &gt; 0, tabItens[[#This Row],[QTDE ATUAL]] / tabItens[[#This Row],[Média]],999.9)</f>
        <v>999.9</v>
      </c>
      <c r="M795" s="311">
        <v>0</v>
      </c>
      <c r="N795" s="312">
        <f>tabItens[[#This Row],[VALOR UNIT.]] * tabItens[[#This Row],[LC]]</f>
        <v>0</v>
      </c>
      <c r="O795" s="313"/>
      <c r="P795" s="314"/>
      <c r="Q795" s="315"/>
      <c r="R795" s="312"/>
      <c r="S795" s="316"/>
      <c r="T795" s="317">
        <f>ROUNDDOWN(IFERROR(tabItens[[#This Row],[ATA DT.VALID.]] - $D$1,0) / 30,0)</f>
        <v>-1474</v>
      </c>
      <c r="U795" s="302" t="s">
        <v>1612</v>
      </c>
      <c r="V795" s="318">
        <v>1</v>
      </c>
      <c r="W795" s="319" t="s">
        <v>2081</v>
      </c>
      <c r="X795" s="320">
        <v>62</v>
      </c>
      <c r="Y795" s="321">
        <v>4</v>
      </c>
      <c r="Z795" s="322"/>
      <c r="AA795" s="323"/>
      <c r="AB795" s="324"/>
      <c r="AC795" s="324"/>
      <c r="AD795" s="323"/>
      <c r="AE795" s="324"/>
      <c r="AF795" s="317"/>
      <c r="AG795" s="325" t="s">
        <v>2072</v>
      </c>
      <c r="AH795" s="326"/>
      <c r="AI795" s="317">
        <v>0</v>
      </c>
      <c r="AJ795" s="326">
        <v>39826</v>
      </c>
      <c r="AK795" s="326">
        <v>39538</v>
      </c>
      <c r="AL795" s="326">
        <v>44791</v>
      </c>
      <c r="AM795" s="316"/>
      <c r="AN795" s="305"/>
      <c r="AO795" s="327" t="str">
        <f>_xlfn.IFNA(IF(VLOOKUP(tabItens[[#This Row],[CÓDIGO]],tabExcluirDoEstoque[#Data],1,FALSE),"sim",""),"")</f>
        <v/>
      </c>
      <c r="AP795" s="328" t="str">
        <f ca="1">IF(OR(ISBLANK(tabItens[[#This Row],[ATA DT.VALID.]]),tabItens[[#This Row],[ATA DT.VALID.]]="",tabItens[[#This Row],[ATA DT.VALID.]]=" "),"",IF(TYPE(tabItens[[#This Row],[ATA DT.VALID.]])=1,ROUNDUP((tabItens[[#This Row],[ATA DT.VALID.]]-TODAY())/7,0),""))</f>
        <v/>
      </c>
      <c r="AQ795" s="329"/>
      <c r="AR795" s="330">
        <f>IF(ISBLANK(tabItens[[#This Row],[CÓDIGO]]),"",IFERROR(VLOOKUP(tabItens[[#This Row],[CÓDIGO]],Consumo!$C$2:$AC$862,26,FALSE),0))</f>
        <v>0</v>
      </c>
      <c r="AS795" s="331">
        <f>SUMIF(Consumo!$C$3:$C$862,tabItens[[#This Row],[CÓDIGO]],Consumo!$N$3:$N$862) + SUMIF(Consumo!$C$3:$C$862,tabItens[[#This Row],[CÓDIGO]],Consumo!$O$3:$O$862) + SUMIF(Consumo!$C$3:$C$862,tabItens[[#This Row],[CÓDIGO]],Consumo!$P$3:$P$862) + SUMIF(Consumo!$C$3:$C$862,tabItens[[#This Row],[CÓDIGO]],Consumo!$Q$3:$Q$862)</f>
        <v>0</v>
      </c>
      <c r="AT795" s="331">
        <f>SUMIF(Consumo!$C$3:$C$862,tabItens[[#This Row],[CÓDIGO]],Consumo!$Z$3:$Z$862)</f>
        <v>0</v>
      </c>
      <c r="AU795" s="332">
        <f>SUMIF(Consumo!$C$3:$C$862,tabItens[[#This Row],[CÓDIGO]],Consumo!$AA$3:$AA$862)</f>
        <v>0</v>
      </c>
      <c r="AV795" s="333">
        <f>SUMIF(Consumo!$C$3:$C$862,tabItens[[#This Row],[CÓDIGO]],Consumo!$Y$3:$Y$862)</f>
        <v>0</v>
      </c>
      <c r="AW795" s="306">
        <f>tabItens[[#This Row],[QTDE ATUAL]] + tabItens[[#This Row],[RC QTDE]] + tabItens[[#This Row],[AF SALDO]] + tabItens[[#This Row],[Recentes]]</f>
        <v>20</v>
      </c>
      <c r="AX795" s="334">
        <v>0</v>
      </c>
      <c r="AY795" s="334">
        <v>4</v>
      </c>
      <c r="AZ795" s="334">
        <f>IF(ISBLANK(tabItens[[#This Row],[CÓDIGO]]),"",tabItens[[#This Row],[PontoMês]] * (AZ$2+tabItens[[#This Row],[PontoQtM]]))</f>
        <v>0</v>
      </c>
      <c r="BA795" s="333">
        <f>tabItens[[#This Row],[PontoPed]] - tabItens[[#This Row],[Saldo]] + (1/10)</f>
        <v>-19.899999999999999</v>
      </c>
      <c r="BB795" s="333">
        <f xml:space="preserve"> tabItens[[#This Row],[PontoMês]] * BB$2 - tabItens[[#This Row],[QTDE ATUAL]] - (1/10)</f>
        <v>-20.100000000000001</v>
      </c>
      <c r="BC795" s="335">
        <f>IF( tabItens[[#This Row],[PontoPed]]&gt;0, IF(tabItens[[#This Row],[PontoPed]]&lt;1, 1, IF( tabItens[[#This Row],[Saldo]]&gt;tabItens[[#This Row],[PontoPed]], 0, (tabItens[[#This Row],[PontoPed]]-tabItens[[#This Row],[Saldo]])/tabItens[[#This Row],[PontoPed]] ) ), 0 )</f>
        <v>0</v>
      </c>
      <c r="BD795" s="336">
        <f>ROUNDDOWN(IF( OR( AND(tabItens[[#This Row],[PontoPed]]&lt;tabItens[[#This Row],[Saldo]],tabItens[[#This Row],[Saldo]]&gt;0), tabItens[[#This Row],[PontoPed]]=0), 99, IF(AND(tabItens[[#This Row],[Saldo]]=0,tabItens[[#This Row],[PontoPed]]&gt;0), 0, (1-tabItens[[#This Row],[PctAb]])*10 ) ),0)</f>
        <v>99</v>
      </c>
      <c r="BE795" s="337">
        <f>MAX(ROUNDDOWN( IF(tabItens[[#This Row],[Abaixo]] &gt; 0,   tabItens[[#This Row],[Abaixo]] + (tabItens[[#This Row],[PontoMês]] * IF( OR( ISBLANK(tabItens[[#This Row],[ATA Nº/ANO]]), tabItens[[#This Row],[ATA Nº/ANO]] = ""),BE$2,BE$1)),0),0),0)</f>
        <v>0</v>
      </c>
      <c r="BF79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5" s="338">
        <f>SUMIF(Consumo!$C$3:$C$862,tabItens[[#This Row],[CÓDIGO]],Consumo!$E$3:$E$862)</f>
        <v>0</v>
      </c>
      <c r="BH795" s="339">
        <f>IF(AND(tabItens[[#This Row],[Pend]] &gt; 0,tabItens[[#This Row],[Consumo]] &lt;&gt; 0), tabItens[[#This Row],[Pend]] / tabItens[[#This Row],[Consumo]], 0 )</f>
        <v>0</v>
      </c>
      <c r="BI795" s="338"/>
      <c r="BJ795" s="338"/>
      <c r="BK795" s="340" t="s">
        <v>2086</v>
      </c>
    </row>
    <row r="796" spans="1:63" hidden="1" x14ac:dyDescent="0.3">
      <c r="A796" s="301">
        <v>127105</v>
      </c>
      <c r="B796" s="302" t="s">
        <v>1780</v>
      </c>
      <c r="C796" s="303" t="s">
        <v>263</v>
      </c>
      <c r="D796" s="304">
        <v>54.98</v>
      </c>
      <c r="E796" s="305"/>
      <c r="F796" s="305"/>
      <c r="G796" s="305" t="s">
        <v>889</v>
      </c>
      <c r="H796" s="306">
        <v>10</v>
      </c>
      <c r="I796" s="307">
        <v>103003</v>
      </c>
      <c r="J796" s="308">
        <v>54.98</v>
      </c>
      <c r="K796" s="309"/>
      <c r="L796" s="310">
        <f>IF(tabItens[[#This Row],[Média]] &gt; 0, tabItens[[#This Row],[QTDE ATUAL]] / tabItens[[#This Row],[Média]],999.9)</f>
        <v>999.9</v>
      </c>
      <c r="M796" s="311">
        <v>0</v>
      </c>
      <c r="N796" s="312">
        <f>tabItens[[#This Row],[VALOR UNIT.]] * tabItens[[#This Row],[LC]]</f>
        <v>0</v>
      </c>
      <c r="O796" s="313"/>
      <c r="P796" s="314"/>
      <c r="Q796" s="315"/>
      <c r="R796" s="312"/>
      <c r="S796" s="316"/>
      <c r="T796" s="317">
        <f>ROUNDDOWN(IFERROR(tabItens[[#This Row],[ATA DT.VALID.]] - $D$1,0) / 30,0)</f>
        <v>-1474</v>
      </c>
      <c r="U796" s="302" t="s">
        <v>1612</v>
      </c>
      <c r="V796" s="318">
        <v>1</v>
      </c>
      <c r="W796" s="319" t="s">
        <v>2081</v>
      </c>
      <c r="X796" s="320">
        <v>62</v>
      </c>
      <c r="Y796" s="321">
        <v>4</v>
      </c>
      <c r="Z796" s="322"/>
      <c r="AA796" s="323"/>
      <c r="AB796" s="324"/>
      <c r="AC796" s="324"/>
      <c r="AD796" s="323"/>
      <c r="AE796" s="324"/>
      <c r="AF796" s="317"/>
      <c r="AG796" s="325" t="s">
        <v>2072</v>
      </c>
      <c r="AH796" s="326"/>
      <c r="AI796" s="317">
        <v>0</v>
      </c>
      <c r="AJ796" s="326">
        <v>44018</v>
      </c>
      <c r="AK796" s="326">
        <v>41648</v>
      </c>
      <c r="AL796" s="326">
        <v>44791</v>
      </c>
      <c r="AM796" s="316"/>
      <c r="AN796" s="305"/>
      <c r="AO796" s="327" t="str">
        <f>_xlfn.IFNA(IF(VLOOKUP(tabItens[[#This Row],[CÓDIGO]],tabExcluirDoEstoque[#Data],1,FALSE),"sim",""),"")</f>
        <v/>
      </c>
      <c r="AP796" s="328" t="str">
        <f ca="1">IF(OR(ISBLANK(tabItens[[#This Row],[ATA DT.VALID.]]),tabItens[[#This Row],[ATA DT.VALID.]]="",tabItens[[#This Row],[ATA DT.VALID.]]=" "),"",IF(TYPE(tabItens[[#This Row],[ATA DT.VALID.]])=1,ROUNDUP((tabItens[[#This Row],[ATA DT.VALID.]]-TODAY())/7,0),""))</f>
        <v/>
      </c>
      <c r="AQ796" s="329"/>
      <c r="AR796" s="330">
        <f>IF(ISBLANK(tabItens[[#This Row],[CÓDIGO]]),"",IFERROR(VLOOKUP(tabItens[[#This Row],[CÓDIGO]],Consumo!$C$2:$AC$862,26,FALSE),0))</f>
        <v>0</v>
      </c>
      <c r="AS796" s="331">
        <f>SUMIF(Consumo!$C$3:$C$862,tabItens[[#This Row],[CÓDIGO]],Consumo!$N$3:$N$862) + SUMIF(Consumo!$C$3:$C$862,tabItens[[#This Row],[CÓDIGO]],Consumo!$O$3:$O$862) + SUMIF(Consumo!$C$3:$C$862,tabItens[[#This Row],[CÓDIGO]],Consumo!$P$3:$P$862) + SUMIF(Consumo!$C$3:$C$862,tabItens[[#This Row],[CÓDIGO]],Consumo!$Q$3:$Q$862)</f>
        <v>0</v>
      </c>
      <c r="AT796" s="331">
        <f>SUMIF(Consumo!$C$3:$C$862,tabItens[[#This Row],[CÓDIGO]],Consumo!$Z$3:$Z$862)</f>
        <v>0</v>
      </c>
      <c r="AU796" s="332">
        <f>SUMIF(Consumo!$C$3:$C$862,tabItens[[#This Row],[CÓDIGO]],Consumo!$AA$3:$AA$862)</f>
        <v>0</v>
      </c>
      <c r="AV796" s="333">
        <f>SUMIF(Consumo!$C$3:$C$862,tabItens[[#This Row],[CÓDIGO]],Consumo!$Y$3:$Y$862)</f>
        <v>0</v>
      </c>
      <c r="AW796" s="306">
        <f>tabItens[[#This Row],[QTDE ATUAL]] + tabItens[[#This Row],[RC QTDE]] + tabItens[[#This Row],[AF SALDO]] + tabItens[[#This Row],[Recentes]]</f>
        <v>10</v>
      </c>
      <c r="AX796" s="334">
        <v>0</v>
      </c>
      <c r="AY796" s="334">
        <v>4</v>
      </c>
      <c r="AZ796" s="334">
        <f>IF(ISBLANK(tabItens[[#This Row],[CÓDIGO]]),"",tabItens[[#This Row],[PontoMês]] * (AZ$2+tabItens[[#This Row],[PontoQtM]]))</f>
        <v>0</v>
      </c>
      <c r="BA796" s="333">
        <f>tabItens[[#This Row],[PontoPed]] - tabItens[[#This Row],[Saldo]] + (1/10)</f>
        <v>-9.9</v>
      </c>
      <c r="BB796" s="333">
        <f xml:space="preserve"> tabItens[[#This Row],[PontoMês]] * BB$2 - tabItens[[#This Row],[QTDE ATUAL]] - (1/10)</f>
        <v>-10.1</v>
      </c>
      <c r="BC796" s="335">
        <f>IF( tabItens[[#This Row],[PontoPed]]&gt;0, IF(tabItens[[#This Row],[PontoPed]]&lt;1, 1, IF( tabItens[[#This Row],[Saldo]]&gt;tabItens[[#This Row],[PontoPed]], 0, (tabItens[[#This Row],[PontoPed]]-tabItens[[#This Row],[Saldo]])/tabItens[[#This Row],[PontoPed]] ) ), 0 )</f>
        <v>0</v>
      </c>
      <c r="BD796" s="336">
        <f>ROUNDDOWN(IF( OR( AND(tabItens[[#This Row],[PontoPed]]&lt;tabItens[[#This Row],[Saldo]],tabItens[[#This Row],[Saldo]]&gt;0), tabItens[[#This Row],[PontoPed]]=0), 99, IF(AND(tabItens[[#This Row],[Saldo]]=0,tabItens[[#This Row],[PontoPed]]&gt;0), 0, (1-tabItens[[#This Row],[PctAb]])*10 ) ),0)</f>
        <v>99</v>
      </c>
      <c r="BE796" s="337">
        <f>MAX(ROUNDDOWN( IF(tabItens[[#This Row],[Abaixo]] &gt; 0,   tabItens[[#This Row],[Abaixo]] + (tabItens[[#This Row],[PontoMês]] * IF( OR( ISBLANK(tabItens[[#This Row],[ATA Nº/ANO]]), tabItens[[#This Row],[ATA Nº/ANO]] = ""),BE$2,BE$1)),0),0),0)</f>
        <v>0</v>
      </c>
      <c r="BF79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6" s="338">
        <f>SUMIF(Consumo!$C$3:$C$862,tabItens[[#This Row],[CÓDIGO]],Consumo!$E$3:$E$862)</f>
        <v>0</v>
      </c>
      <c r="BH796" s="339">
        <f>IF(AND(tabItens[[#This Row],[Pend]] &gt; 0,tabItens[[#This Row],[Consumo]] &lt;&gt; 0), tabItens[[#This Row],[Pend]] / tabItens[[#This Row],[Consumo]], 0 )</f>
        <v>0</v>
      </c>
      <c r="BI796" s="338"/>
      <c r="BJ796" s="338"/>
      <c r="BK796" s="340" t="s">
        <v>2086</v>
      </c>
    </row>
    <row r="797" spans="1:63" hidden="1" x14ac:dyDescent="0.3">
      <c r="A797" s="301">
        <v>127106</v>
      </c>
      <c r="B797" s="302" t="s">
        <v>1781</v>
      </c>
      <c r="C797" s="303" t="s">
        <v>263</v>
      </c>
      <c r="D797" s="304">
        <v>39.5</v>
      </c>
      <c r="E797" s="305"/>
      <c r="F797" s="305"/>
      <c r="G797" s="305" t="s">
        <v>889</v>
      </c>
      <c r="H797" s="306">
        <v>10</v>
      </c>
      <c r="I797" s="307">
        <v>103003</v>
      </c>
      <c r="J797" s="308">
        <v>39.5</v>
      </c>
      <c r="K797" s="309"/>
      <c r="L797" s="310">
        <f>IF(tabItens[[#This Row],[Média]] &gt; 0, tabItens[[#This Row],[QTDE ATUAL]] / tabItens[[#This Row],[Média]],999.9)</f>
        <v>999.9</v>
      </c>
      <c r="M797" s="311">
        <v>0</v>
      </c>
      <c r="N797" s="312">
        <f>tabItens[[#This Row],[VALOR UNIT.]] * tabItens[[#This Row],[LC]]</f>
        <v>0</v>
      </c>
      <c r="O797" s="313"/>
      <c r="P797" s="314"/>
      <c r="Q797" s="315"/>
      <c r="R797" s="312"/>
      <c r="S797" s="316"/>
      <c r="T797" s="317">
        <f>ROUNDDOWN(IFERROR(tabItens[[#This Row],[ATA DT.VALID.]] - $D$1,0) / 30,0)</f>
        <v>-1474</v>
      </c>
      <c r="U797" s="302" t="s">
        <v>1612</v>
      </c>
      <c r="V797" s="318">
        <v>1</v>
      </c>
      <c r="W797" s="319" t="s">
        <v>2081</v>
      </c>
      <c r="X797" s="320">
        <v>62</v>
      </c>
      <c r="Y797" s="321">
        <v>4</v>
      </c>
      <c r="Z797" s="322"/>
      <c r="AA797" s="323"/>
      <c r="AB797" s="324"/>
      <c r="AC797" s="324"/>
      <c r="AD797" s="323"/>
      <c r="AE797" s="324"/>
      <c r="AF797" s="317"/>
      <c r="AG797" s="325" t="s">
        <v>2072</v>
      </c>
      <c r="AH797" s="326"/>
      <c r="AI797" s="317">
        <v>0</v>
      </c>
      <c r="AJ797" s="326">
        <v>42601</v>
      </c>
      <c r="AK797" s="326">
        <v>41648</v>
      </c>
      <c r="AL797" s="326">
        <v>42487</v>
      </c>
      <c r="AM797" s="316"/>
      <c r="AN797" s="305"/>
      <c r="AO797" s="327" t="str">
        <f>_xlfn.IFNA(IF(VLOOKUP(tabItens[[#This Row],[CÓDIGO]],tabExcluirDoEstoque[#Data],1,FALSE),"sim",""),"")</f>
        <v/>
      </c>
      <c r="AP797" s="328" t="str">
        <f ca="1">IF(OR(ISBLANK(tabItens[[#This Row],[ATA DT.VALID.]]),tabItens[[#This Row],[ATA DT.VALID.]]="",tabItens[[#This Row],[ATA DT.VALID.]]=" "),"",IF(TYPE(tabItens[[#This Row],[ATA DT.VALID.]])=1,ROUNDUP((tabItens[[#This Row],[ATA DT.VALID.]]-TODAY())/7,0),""))</f>
        <v/>
      </c>
      <c r="AQ797" s="329"/>
      <c r="AR797" s="330">
        <f>IF(ISBLANK(tabItens[[#This Row],[CÓDIGO]]),"",IFERROR(VLOOKUP(tabItens[[#This Row],[CÓDIGO]],Consumo!$C$2:$AC$862,26,FALSE),0))</f>
        <v>0</v>
      </c>
      <c r="AS797" s="331">
        <f>SUMIF(Consumo!$C$3:$C$862,tabItens[[#This Row],[CÓDIGO]],Consumo!$N$3:$N$862) + SUMIF(Consumo!$C$3:$C$862,tabItens[[#This Row],[CÓDIGO]],Consumo!$O$3:$O$862) + SUMIF(Consumo!$C$3:$C$862,tabItens[[#This Row],[CÓDIGO]],Consumo!$P$3:$P$862) + SUMIF(Consumo!$C$3:$C$862,tabItens[[#This Row],[CÓDIGO]],Consumo!$Q$3:$Q$862)</f>
        <v>0</v>
      </c>
      <c r="AT797" s="331">
        <f>SUMIF(Consumo!$C$3:$C$862,tabItens[[#This Row],[CÓDIGO]],Consumo!$Z$3:$Z$862)</f>
        <v>0</v>
      </c>
      <c r="AU797" s="332">
        <f>SUMIF(Consumo!$C$3:$C$862,tabItens[[#This Row],[CÓDIGO]],Consumo!$AA$3:$AA$862)</f>
        <v>0</v>
      </c>
      <c r="AV797" s="333">
        <f>SUMIF(Consumo!$C$3:$C$862,tabItens[[#This Row],[CÓDIGO]],Consumo!$Y$3:$Y$862)</f>
        <v>0</v>
      </c>
      <c r="AW797" s="306">
        <f>tabItens[[#This Row],[QTDE ATUAL]] + tabItens[[#This Row],[RC QTDE]] + tabItens[[#This Row],[AF SALDO]] + tabItens[[#This Row],[Recentes]]</f>
        <v>10</v>
      </c>
      <c r="AX797" s="334">
        <v>0</v>
      </c>
      <c r="AY797" s="334">
        <v>4</v>
      </c>
      <c r="AZ797" s="334">
        <f>IF(ISBLANK(tabItens[[#This Row],[CÓDIGO]]),"",tabItens[[#This Row],[PontoMês]] * (AZ$2+tabItens[[#This Row],[PontoQtM]]))</f>
        <v>0</v>
      </c>
      <c r="BA797" s="333">
        <f>tabItens[[#This Row],[PontoPed]] - tabItens[[#This Row],[Saldo]] + (1/10)</f>
        <v>-9.9</v>
      </c>
      <c r="BB797" s="333">
        <f xml:space="preserve"> tabItens[[#This Row],[PontoMês]] * BB$2 - tabItens[[#This Row],[QTDE ATUAL]] - (1/10)</f>
        <v>-10.1</v>
      </c>
      <c r="BC797" s="335">
        <f>IF( tabItens[[#This Row],[PontoPed]]&gt;0, IF(tabItens[[#This Row],[PontoPed]]&lt;1, 1, IF( tabItens[[#This Row],[Saldo]]&gt;tabItens[[#This Row],[PontoPed]], 0, (tabItens[[#This Row],[PontoPed]]-tabItens[[#This Row],[Saldo]])/tabItens[[#This Row],[PontoPed]] ) ), 0 )</f>
        <v>0</v>
      </c>
      <c r="BD797" s="336">
        <f>ROUNDDOWN(IF( OR( AND(tabItens[[#This Row],[PontoPed]]&lt;tabItens[[#This Row],[Saldo]],tabItens[[#This Row],[Saldo]]&gt;0), tabItens[[#This Row],[PontoPed]]=0), 99, IF(AND(tabItens[[#This Row],[Saldo]]=0,tabItens[[#This Row],[PontoPed]]&gt;0), 0, (1-tabItens[[#This Row],[PctAb]])*10 ) ),0)</f>
        <v>99</v>
      </c>
      <c r="BE797" s="337">
        <f>MAX(ROUNDDOWN( IF(tabItens[[#This Row],[Abaixo]] &gt; 0,   tabItens[[#This Row],[Abaixo]] + (tabItens[[#This Row],[PontoMês]] * IF( OR( ISBLANK(tabItens[[#This Row],[ATA Nº/ANO]]), tabItens[[#This Row],[ATA Nº/ANO]] = ""),BE$2,BE$1)),0),0),0)</f>
        <v>0</v>
      </c>
      <c r="BF79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7" s="338">
        <f>SUMIF(Consumo!$C$3:$C$862,tabItens[[#This Row],[CÓDIGO]],Consumo!$E$3:$E$862)</f>
        <v>0</v>
      </c>
      <c r="BH797" s="339">
        <f>IF(AND(tabItens[[#This Row],[Pend]] &gt; 0,tabItens[[#This Row],[Consumo]] &lt;&gt; 0), tabItens[[#This Row],[Pend]] / tabItens[[#This Row],[Consumo]], 0 )</f>
        <v>0</v>
      </c>
      <c r="BI797" s="338"/>
      <c r="BJ797" s="338"/>
      <c r="BK797" s="340" t="s">
        <v>2086</v>
      </c>
    </row>
    <row r="798" spans="1:63" hidden="1" x14ac:dyDescent="0.3">
      <c r="A798" s="301">
        <v>127107</v>
      </c>
      <c r="B798" s="302" t="s">
        <v>1782</v>
      </c>
      <c r="C798" s="303" t="s">
        <v>263</v>
      </c>
      <c r="D798" s="304">
        <v>64.62</v>
      </c>
      <c r="E798" s="305"/>
      <c r="F798" s="305"/>
      <c r="G798" s="305" t="s">
        <v>889</v>
      </c>
      <c r="H798" s="306">
        <v>14</v>
      </c>
      <c r="I798" s="307">
        <v>103003</v>
      </c>
      <c r="J798" s="308">
        <v>64.62</v>
      </c>
      <c r="K798" s="309">
        <v>4</v>
      </c>
      <c r="L798" s="310">
        <f>IF(tabItens[[#This Row],[Média]] &gt; 0, tabItens[[#This Row],[QTDE ATUAL]] / tabItens[[#This Row],[Média]],999.9)</f>
        <v>84</v>
      </c>
      <c r="M798" s="311">
        <v>0</v>
      </c>
      <c r="N798" s="312">
        <f>tabItens[[#This Row],[VALOR UNIT.]] * tabItens[[#This Row],[LC]]</f>
        <v>0</v>
      </c>
      <c r="O798" s="313"/>
      <c r="P798" s="314"/>
      <c r="Q798" s="315"/>
      <c r="R798" s="312"/>
      <c r="S798" s="316"/>
      <c r="T798" s="317">
        <f>ROUNDDOWN(IFERROR(tabItens[[#This Row],[ATA DT.VALID.]] - $D$1,0) / 30,0)</f>
        <v>-1474</v>
      </c>
      <c r="U798" s="302" t="s">
        <v>1612</v>
      </c>
      <c r="V798" s="318">
        <v>1</v>
      </c>
      <c r="W798" s="319" t="s">
        <v>2081</v>
      </c>
      <c r="X798" s="320">
        <v>62</v>
      </c>
      <c r="Y798" s="321">
        <v>4</v>
      </c>
      <c r="Z798" s="322"/>
      <c r="AA798" s="323"/>
      <c r="AB798" s="324"/>
      <c r="AC798" s="324"/>
      <c r="AD798" s="323"/>
      <c r="AE798" s="324"/>
      <c r="AF798" s="317"/>
      <c r="AG798" s="325" t="s">
        <v>2072</v>
      </c>
      <c r="AH798" s="326"/>
      <c r="AI798" s="317">
        <v>2</v>
      </c>
      <c r="AJ798" s="326">
        <v>43872</v>
      </c>
      <c r="AK798" s="326">
        <v>41648</v>
      </c>
      <c r="AL798" s="326">
        <v>44791</v>
      </c>
      <c r="AM798" s="316"/>
      <c r="AN798" s="305"/>
      <c r="AO798" s="327" t="str">
        <f>_xlfn.IFNA(IF(VLOOKUP(tabItens[[#This Row],[CÓDIGO]],tabExcluirDoEstoque[#Data],1,FALSE),"sim",""),"")</f>
        <v/>
      </c>
      <c r="AP798" s="328" t="str">
        <f ca="1">IF(OR(ISBLANK(tabItens[[#This Row],[ATA DT.VALID.]]),tabItens[[#This Row],[ATA DT.VALID.]]="",tabItens[[#This Row],[ATA DT.VALID.]]=" "),"",IF(TYPE(tabItens[[#This Row],[ATA DT.VALID.]])=1,ROUNDUP((tabItens[[#This Row],[ATA DT.VALID.]]-TODAY())/7,0),""))</f>
        <v/>
      </c>
      <c r="AQ798" s="329"/>
      <c r="AR798" s="330" t="str">
        <f>IF(ISBLANK(tabItens[[#This Row],[CÓDIGO]]),"",IFERROR(VLOOKUP(tabItens[[#This Row],[CÓDIGO]],Consumo!$C$2:$AC$862,26,FALSE),0))</f>
        <v>02.2023</v>
      </c>
      <c r="AS798" s="331">
        <f>SUMIF(Consumo!$C$3:$C$862,tabItens[[#This Row],[CÓDIGO]],Consumo!$N$3:$N$862) + SUMIF(Consumo!$C$3:$C$862,tabItens[[#This Row],[CÓDIGO]],Consumo!$O$3:$O$862) + SUMIF(Consumo!$C$3:$C$862,tabItens[[#This Row],[CÓDIGO]],Consumo!$P$3:$P$862) + SUMIF(Consumo!$C$3:$C$862,tabItens[[#This Row],[CÓDIGO]],Consumo!$Q$3:$Q$862)</f>
        <v>0</v>
      </c>
      <c r="AT798" s="331">
        <f>SUMIF(Consumo!$C$3:$C$862,tabItens[[#This Row],[CÓDIGO]],Consumo!$Z$3:$Z$862)</f>
        <v>4</v>
      </c>
      <c r="AU798" s="332">
        <f>SUMIF(Consumo!$C$3:$C$862,tabItens[[#This Row],[CÓDIGO]],Consumo!$AA$3:$AA$862)</f>
        <v>2</v>
      </c>
      <c r="AV798" s="333">
        <f>SUMIF(Consumo!$C$3:$C$862,tabItens[[#This Row],[CÓDIGO]],Consumo!$Y$3:$Y$862)</f>
        <v>0.16666666666666666</v>
      </c>
      <c r="AW798" s="306">
        <f>tabItens[[#This Row],[QTDE ATUAL]] + tabItens[[#This Row],[RC QTDE]] + tabItens[[#This Row],[AF SALDO]] + tabItens[[#This Row],[Recentes]]</f>
        <v>14</v>
      </c>
      <c r="AX798" s="334">
        <v>0</v>
      </c>
      <c r="AY798" s="334">
        <v>4</v>
      </c>
      <c r="AZ798" s="334">
        <f>IF(ISBLANK(tabItens[[#This Row],[CÓDIGO]]),"",tabItens[[#This Row],[PontoMês]] * (AZ$2+tabItens[[#This Row],[PontoQtM]]))</f>
        <v>0</v>
      </c>
      <c r="BA798" s="333">
        <f>tabItens[[#This Row],[PontoPed]] - tabItens[[#This Row],[Saldo]] + (1/10)</f>
        <v>-13.9</v>
      </c>
      <c r="BB798" s="333">
        <f xml:space="preserve"> tabItens[[#This Row],[PontoMês]] * BB$2 - tabItens[[#This Row],[QTDE ATUAL]] - (1/10)</f>
        <v>-14.1</v>
      </c>
      <c r="BC798" s="335">
        <f>IF( tabItens[[#This Row],[PontoPed]]&gt;0, IF(tabItens[[#This Row],[PontoPed]]&lt;1, 1, IF( tabItens[[#This Row],[Saldo]]&gt;tabItens[[#This Row],[PontoPed]], 0, (tabItens[[#This Row],[PontoPed]]-tabItens[[#This Row],[Saldo]])/tabItens[[#This Row],[PontoPed]] ) ), 0 )</f>
        <v>0</v>
      </c>
      <c r="BD798" s="336">
        <f>ROUNDDOWN(IF( OR( AND(tabItens[[#This Row],[PontoPed]]&lt;tabItens[[#This Row],[Saldo]],tabItens[[#This Row],[Saldo]]&gt;0), tabItens[[#This Row],[PontoPed]]=0), 99, IF(AND(tabItens[[#This Row],[Saldo]]=0,tabItens[[#This Row],[PontoPed]]&gt;0), 0, (1-tabItens[[#This Row],[PctAb]])*10 ) ),0)</f>
        <v>99</v>
      </c>
      <c r="BE798" s="337">
        <f>MAX(ROUNDDOWN( IF(tabItens[[#This Row],[Abaixo]] &gt; 0,   tabItens[[#This Row],[Abaixo]] + (tabItens[[#This Row],[PontoMês]] * IF( OR( ISBLANK(tabItens[[#This Row],[ATA Nº/ANO]]), tabItens[[#This Row],[ATA Nº/ANO]] = ""),BE$2,BE$1)),0),0),0)</f>
        <v>0</v>
      </c>
      <c r="BF79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8" s="338">
        <f>SUMIF(Consumo!$C$3:$C$862,tabItens[[#This Row],[CÓDIGO]],Consumo!$E$3:$E$862)</f>
        <v>0</v>
      </c>
      <c r="BH798" s="339">
        <f>IF(AND(tabItens[[#This Row],[Pend]] &gt; 0,tabItens[[#This Row],[Consumo]] &lt;&gt; 0), tabItens[[#This Row],[Pend]] / tabItens[[#This Row],[Consumo]], 0 )</f>
        <v>0</v>
      </c>
      <c r="BI798" s="338"/>
      <c r="BJ798" s="338"/>
      <c r="BK798" s="340" t="s">
        <v>2086</v>
      </c>
    </row>
    <row r="799" spans="1:63" hidden="1" x14ac:dyDescent="0.3">
      <c r="A799" s="301">
        <v>126838</v>
      </c>
      <c r="B799" s="302" t="s">
        <v>1778</v>
      </c>
      <c r="C799" s="303" t="s">
        <v>263</v>
      </c>
      <c r="D799" s="304">
        <v>0.33</v>
      </c>
      <c r="E799" s="305"/>
      <c r="F799" s="305"/>
      <c r="G799" s="305" t="s">
        <v>889</v>
      </c>
      <c r="H799" s="306">
        <v>2421</v>
      </c>
      <c r="I799" s="307">
        <v>103003</v>
      </c>
      <c r="J799" s="308">
        <v>0.33</v>
      </c>
      <c r="K799" s="309"/>
      <c r="L799" s="310">
        <f>IF(tabItens[[#This Row],[Média]] &gt; 0, tabItens[[#This Row],[QTDE ATUAL]] / tabItens[[#This Row],[Média]],999.9)</f>
        <v>999.9</v>
      </c>
      <c r="M799" s="311">
        <v>0</v>
      </c>
      <c r="N799" s="312">
        <f>tabItens[[#This Row],[VALOR UNIT.]] * tabItens[[#This Row],[LC]]</f>
        <v>0</v>
      </c>
      <c r="O799" s="313"/>
      <c r="P799" s="314"/>
      <c r="Q799" s="315"/>
      <c r="R799" s="312"/>
      <c r="S799" s="316"/>
      <c r="T799" s="317">
        <f>ROUNDDOWN(IFERROR(tabItens[[#This Row],[ATA DT.VALID.]] - $D$1,0) / 30,0)</f>
        <v>-1474</v>
      </c>
      <c r="U799" s="302" t="s">
        <v>1779</v>
      </c>
      <c r="V799" s="318">
        <v>1</v>
      </c>
      <c r="W799" s="319" t="s">
        <v>2078</v>
      </c>
      <c r="X799" s="320">
        <v>67</v>
      </c>
      <c r="Y799" s="321">
        <v>2</v>
      </c>
      <c r="Z799" s="322"/>
      <c r="AA799" s="323"/>
      <c r="AB799" s="324"/>
      <c r="AC799" s="324"/>
      <c r="AD799" s="323"/>
      <c r="AE799" s="324"/>
      <c r="AF799" s="317"/>
      <c r="AG799" s="325" t="s">
        <v>2072</v>
      </c>
      <c r="AH799" s="326"/>
      <c r="AI799" s="317">
        <v>0</v>
      </c>
      <c r="AJ799" s="326">
        <v>43759</v>
      </c>
      <c r="AK799" s="326">
        <v>41596</v>
      </c>
      <c r="AL799" s="326">
        <v>43747</v>
      </c>
      <c r="AM799" s="316"/>
      <c r="AN799" s="305"/>
      <c r="AO799" s="327" t="str">
        <f>_xlfn.IFNA(IF(VLOOKUP(tabItens[[#This Row],[CÓDIGO]],tabExcluirDoEstoque[#Data],1,FALSE),"sim",""),"")</f>
        <v/>
      </c>
      <c r="AP799" s="328" t="str">
        <f ca="1">IF(OR(ISBLANK(tabItens[[#This Row],[ATA DT.VALID.]]),tabItens[[#This Row],[ATA DT.VALID.]]="",tabItens[[#This Row],[ATA DT.VALID.]]=" "),"",IF(TYPE(tabItens[[#This Row],[ATA DT.VALID.]])=1,ROUNDUP((tabItens[[#This Row],[ATA DT.VALID.]]-TODAY())/7,0),""))</f>
        <v/>
      </c>
      <c r="AQ799" s="329"/>
      <c r="AR799" s="330">
        <f>IF(ISBLANK(tabItens[[#This Row],[CÓDIGO]]),"",IFERROR(VLOOKUP(tabItens[[#This Row],[CÓDIGO]],Consumo!$C$2:$AC$862,26,FALSE),0))</f>
        <v>0</v>
      </c>
      <c r="AS799" s="331">
        <f>SUMIF(Consumo!$C$3:$C$862,tabItens[[#This Row],[CÓDIGO]],Consumo!$N$3:$N$862) + SUMIF(Consumo!$C$3:$C$862,tabItens[[#This Row],[CÓDIGO]],Consumo!$O$3:$O$862) + SUMIF(Consumo!$C$3:$C$862,tabItens[[#This Row],[CÓDIGO]],Consumo!$P$3:$P$862) + SUMIF(Consumo!$C$3:$C$862,tabItens[[#This Row],[CÓDIGO]],Consumo!$Q$3:$Q$862)</f>
        <v>0</v>
      </c>
      <c r="AT799" s="331">
        <f>SUMIF(Consumo!$C$3:$C$862,tabItens[[#This Row],[CÓDIGO]],Consumo!$Z$3:$Z$862)</f>
        <v>0</v>
      </c>
      <c r="AU799" s="332">
        <f>SUMIF(Consumo!$C$3:$C$862,tabItens[[#This Row],[CÓDIGO]],Consumo!$AA$3:$AA$862)</f>
        <v>0</v>
      </c>
      <c r="AV799" s="333">
        <f>SUMIF(Consumo!$C$3:$C$862,tabItens[[#This Row],[CÓDIGO]],Consumo!$Y$3:$Y$862)</f>
        <v>0</v>
      </c>
      <c r="AW799" s="306">
        <f>tabItens[[#This Row],[QTDE ATUAL]] + tabItens[[#This Row],[RC QTDE]] + tabItens[[#This Row],[AF SALDO]] + tabItens[[#This Row],[Recentes]]</f>
        <v>2421</v>
      </c>
      <c r="AX799" s="334">
        <v>11</v>
      </c>
      <c r="AY799" s="334">
        <v>4</v>
      </c>
      <c r="AZ799" s="334">
        <f>IF(ISBLANK(tabItens[[#This Row],[CÓDIGO]]),"",tabItens[[#This Row],[PontoMês]] * (AZ$2+tabItens[[#This Row],[PontoQtM]]))</f>
        <v>44</v>
      </c>
      <c r="BA799" s="333">
        <f>tabItens[[#This Row],[PontoPed]] - tabItens[[#This Row],[Saldo]] + (1/10)</f>
        <v>-2376.9</v>
      </c>
      <c r="BB799" s="333">
        <f xml:space="preserve"> tabItens[[#This Row],[PontoMês]] * BB$2 - tabItens[[#This Row],[QTDE ATUAL]] - (1/10)</f>
        <v>-2410.1</v>
      </c>
      <c r="BC799" s="335">
        <f>IF( tabItens[[#This Row],[PontoPed]]&gt;0, IF(tabItens[[#This Row],[PontoPed]]&lt;1, 1, IF( tabItens[[#This Row],[Saldo]]&gt;tabItens[[#This Row],[PontoPed]], 0, (tabItens[[#This Row],[PontoPed]]-tabItens[[#This Row],[Saldo]])/tabItens[[#This Row],[PontoPed]] ) ), 0 )</f>
        <v>0</v>
      </c>
      <c r="BD799" s="336">
        <f>ROUNDDOWN(IF( OR( AND(tabItens[[#This Row],[PontoPed]]&lt;tabItens[[#This Row],[Saldo]],tabItens[[#This Row],[Saldo]]&gt;0), tabItens[[#This Row],[PontoPed]]=0), 99, IF(AND(tabItens[[#This Row],[Saldo]]=0,tabItens[[#This Row],[PontoPed]]&gt;0), 0, (1-tabItens[[#This Row],[PctAb]])*10 ) ),0)</f>
        <v>99</v>
      </c>
      <c r="BE799" s="337">
        <f>MAX(ROUNDDOWN( IF(tabItens[[#This Row],[Abaixo]] &gt; 0,   tabItens[[#This Row],[Abaixo]] + (tabItens[[#This Row],[PontoMês]] * IF( OR( ISBLANK(tabItens[[#This Row],[ATA Nº/ANO]]), tabItens[[#This Row],[ATA Nº/ANO]] = ""),BE$2,BE$1)),0),0),0)</f>
        <v>0</v>
      </c>
      <c r="BF79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9" s="338">
        <f>SUMIF(Consumo!$C$3:$C$862,tabItens[[#This Row],[CÓDIGO]],Consumo!$E$3:$E$862)</f>
        <v>0</v>
      </c>
      <c r="BH799" s="339">
        <f>IF(AND(tabItens[[#This Row],[Pend]] &gt; 0,tabItens[[#This Row],[Consumo]] &lt;&gt; 0), tabItens[[#This Row],[Pend]] / tabItens[[#This Row],[Consumo]], 0 )</f>
        <v>0</v>
      </c>
      <c r="BI799" s="338"/>
      <c r="BJ799" s="338"/>
      <c r="BK799" s="340" t="s">
        <v>2086</v>
      </c>
    </row>
    <row r="800" spans="1:63" hidden="1" x14ac:dyDescent="0.3">
      <c r="A800" s="301">
        <v>89863</v>
      </c>
      <c r="B800" s="302" t="s">
        <v>1526</v>
      </c>
      <c r="C800" s="303" t="s">
        <v>269</v>
      </c>
      <c r="D800" s="304">
        <v>23.33</v>
      </c>
      <c r="E800" s="305"/>
      <c r="F800" s="305"/>
      <c r="G800" s="305" t="s">
        <v>889</v>
      </c>
      <c r="H800" s="306">
        <v>357</v>
      </c>
      <c r="I800" s="307">
        <v>103003</v>
      </c>
      <c r="J800" s="308">
        <v>23.33</v>
      </c>
      <c r="K800" s="309">
        <v>124</v>
      </c>
      <c r="L800" s="310">
        <f>IF(tabItens[[#This Row],[Média]] &gt; 0, tabItens[[#This Row],[QTDE ATUAL]] / tabItens[[#This Row],[Média]],999.9)</f>
        <v>30.16901408450704</v>
      </c>
      <c r="M800" s="311">
        <v>0</v>
      </c>
      <c r="N800" s="312">
        <f>tabItens[[#This Row],[VALOR UNIT.]] * tabItens[[#This Row],[LC]]</f>
        <v>0</v>
      </c>
      <c r="O800" s="313"/>
      <c r="P800" s="314"/>
      <c r="Q800" s="315"/>
      <c r="R800" s="312"/>
      <c r="S800" s="316"/>
      <c r="T800" s="317">
        <f>ROUNDDOWN(IFERROR(tabItens[[#This Row],[ATA DT.VALID.]] - $D$1,0) / 30,0)</f>
        <v>-1474</v>
      </c>
      <c r="U800" s="302" t="s">
        <v>1527</v>
      </c>
      <c r="V800" s="318">
        <v>1</v>
      </c>
      <c r="W800" s="319" t="s">
        <v>2079</v>
      </c>
      <c r="X800" s="320">
        <v>67</v>
      </c>
      <c r="Y800" s="321">
        <v>3</v>
      </c>
      <c r="Z800" s="322"/>
      <c r="AA800" s="323"/>
      <c r="AB800" s="324"/>
      <c r="AC800" s="324"/>
      <c r="AD800" s="323"/>
      <c r="AE800" s="324"/>
      <c r="AF800" s="317"/>
      <c r="AG800" s="325" t="s">
        <v>2072</v>
      </c>
      <c r="AH800" s="326"/>
      <c r="AI800" s="317">
        <v>48</v>
      </c>
      <c r="AJ800" s="326">
        <v>43864</v>
      </c>
      <c r="AK800" s="326">
        <v>38743</v>
      </c>
      <c r="AL800" s="326">
        <v>45175</v>
      </c>
      <c r="AM800" s="316"/>
      <c r="AN800" s="305"/>
      <c r="AO800" s="327" t="str">
        <f>_xlfn.IFNA(IF(VLOOKUP(tabItens[[#This Row],[CÓDIGO]],tabExcluirDoEstoque[#Data],1,FALSE),"sim",""),"")</f>
        <v/>
      </c>
      <c r="AP800" s="328" t="str">
        <f ca="1">IF(OR(ISBLANK(tabItens[[#This Row],[ATA DT.VALID.]]),tabItens[[#This Row],[ATA DT.VALID.]]="",tabItens[[#This Row],[ATA DT.VALID.]]=" "),"",IF(TYPE(tabItens[[#This Row],[ATA DT.VALID.]])=1,ROUNDUP((tabItens[[#This Row],[ATA DT.VALID.]]-TODAY())/7,0),""))</f>
        <v/>
      </c>
      <c r="AQ800" s="329"/>
      <c r="AR800" s="330" t="str">
        <f>IF(ISBLANK(tabItens[[#This Row],[CÓDIGO]]),"",IFERROR(VLOOKUP(tabItens[[#This Row],[CÓDIGO]],Consumo!$C$2:$AC$862,26,FALSE),0))</f>
        <v>07.2023</v>
      </c>
      <c r="AS800" s="331">
        <f>SUMIF(Consumo!$C$3:$C$862,tabItens[[#This Row],[CÓDIGO]],Consumo!$N$3:$N$862) + SUMIF(Consumo!$C$3:$C$862,tabItens[[#This Row],[CÓDIGO]],Consumo!$O$3:$O$862) + SUMIF(Consumo!$C$3:$C$862,tabItens[[#This Row],[CÓDIGO]],Consumo!$P$3:$P$862) + SUMIF(Consumo!$C$3:$C$862,tabItens[[#This Row],[CÓDIGO]],Consumo!$Q$3:$Q$862)</f>
        <v>50</v>
      </c>
      <c r="AT800" s="331">
        <f>SUMIF(Consumo!$C$3:$C$862,tabItens[[#This Row],[CÓDIGO]],Consumo!$Z$3:$Z$862)</f>
        <v>146</v>
      </c>
      <c r="AU800" s="332">
        <f>SUMIF(Consumo!$C$3:$C$862,tabItens[[#This Row],[CÓDIGO]],Consumo!$AA$3:$AA$862)</f>
        <v>40</v>
      </c>
      <c r="AV800" s="333">
        <f>SUMIF(Consumo!$C$3:$C$862,tabItens[[#This Row],[CÓDIGO]],Consumo!$Y$3:$Y$862)</f>
        <v>11.833333333333334</v>
      </c>
      <c r="AW800" s="306">
        <f>tabItens[[#This Row],[QTDE ATUAL]] + tabItens[[#This Row],[RC QTDE]] + tabItens[[#This Row],[AF SALDO]] + tabItens[[#This Row],[Recentes]]</f>
        <v>357</v>
      </c>
      <c r="AX800" s="334">
        <v>8</v>
      </c>
      <c r="AY800" s="334">
        <v>4</v>
      </c>
      <c r="AZ800" s="334">
        <f>IF(ISBLANK(tabItens[[#This Row],[CÓDIGO]]),"",tabItens[[#This Row],[PontoMês]] * (AZ$2+tabItens[[#This Row],[PontoQtM]]))</f>
        <v>32</v>
      </c>
      <c r="BA800" s="333">
        <f>tabItens[[#This Row],[PontoPed]] - tabItens[[#This Row],[Saldo]] + (1/10)</f>
        <v>-324.89999999999998</v>
      </c>
      <c r="BB800" s="333">
        <f xml:space="preserve"> tabItens[[#This Row],[PontoMês]] * BB$2 - tabItens[[#This Row],[QTDE ATUAL]] - (1/10)</f>
        <v>-349.1</v>
      </c>
      <c r="BC800" s="335">
        <f>IF( tabItens[[#This Row],[PontoPed]]&gt;0, IF(tabItens[[#This Row],[PontoPed]]&lt;1, 1, IF( tabItens[[#This Row],[Saldo]]&gt;tabItens[[#This Row],[PontoPed]], 0, (tabItens[[#This Row],[PontoPed]]-tabItens[[#This Row],[Saldo]])/tabItens[[#This Row],[PontoPed]] ) ), 0 )</f>
        <v>0</v>
      </c>
      <c r="BD800" s="336">
        <f>ROUNDDOWN(IF( OR( AND(tabItens[[#This Row],[PontoPed]]&lt;tabItens[[#This Row],[Saldo]],tabItens[[#This Row],[Saldo]]&gt;0), tabItens[[#This Row],[PontoPed]]=0), 99, IF(AND(tabItens[[#This Row],[Saldo]]=0,tabItens[[#This Row],[PontoPed]]&gt;0), 0, (1-tabItens[[#This Row],[PctAb]])*10 ) ),0)</f>
        <v>99</v>
      </c>
      <c r="BE800" s="337">
        <f>MAX(ROUNDDOWN( IF(tabItens[[#This Row],[Abaixo]] &gt; 0,   tabItens[[#This Row],[Abaixo]] + (tabItens[[#This Row],[PontoMês]] * IF( OR( ISBLANK(tabItens[[#This Row],[ATA Nº/ANO]]), tabItens[[#This Row],[ATA Nº/ANO]] = ""),BE$2,BE$1)),0),0),0)</f>
        <v>0</v>
      </c>
      <c r="BF80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0" s="338">
        <f>SUMIF(Consumo!$C$3:$C$862,tabItens[[#This Row],[CÓDIGO]],Consumo!$E$3:$E$862)</f>
        <v>0</v>
      </c>
      <c r="BH800" s="339">
        <f>IF(AND(tabItens[[#This Row],[Pend]] &gt; 0,tabItens[[#This Row],[Consumo]] &lt;&gt; 0), tabItens[[#This Row],[Pend]] / tabItens[[#This Row],[Consumo]], 0 )</f>
        <v>0</v>
      </c>
      <c r="BI800" s="338"/>
      <c r="BJ800" s="338"/>
      <c r="BK800" s="340" t="s">
        <v>2086</v>
      </c>
    </row>
    <row r="801" spans="1:63" hidden="1" x14ac:dyDescent="0.3">
      <c r="A801" s="301">
        <v>89864</v>
      </c>
      <c r="B801" s="302" t="s">
        <v>1528</v>
      </c>
      <c r="C801" s="303" t="s">
        <v>269</v>
      </c>
      <c r="D801" s="304">
        <v>26.51</v>
      </c>
      <c r="E801" s="305"/>
      <c r="F801" s="305"/>
      <c r="G801" s="305" t="s">
        <v>889</v>
      </c>
      <c r="H801" s="306">
        <v>774</v>
      </c>
      <c r="I801" s="307">
        <v>103003</v>
      </c>
      <c r="J801" s="308">
        <v>26.51</v>
      </c>
      <c r="K801" s="309">
        <v>45</v>
      </c>
      <c r="L801" s="310">
        <f>IF(tabItens[[#This Row],[Média]] &gt; 0, tabItens[[#This Row],[QTDE ATUAL]] / tabItens[[#This Row],[Média]],999.9)</f>
        <v>281.45454545454544</v>
      </c>
      <c r="M801" s="311">
        <v>0</v>
      </c>
      <c r="N801" s="312">
        <f>tabItens[[#This Row],[VALOR UNIT.]] * tabItens[[#This Row],[LC]]</f>
        <v>0</v>
      </c>
      <c r="O801" s="313"/>
      <c r="P801" s="314"/>
      <c r="Q801" s="315"/>
      <c r="R801" s="312"/>
      <c r="S801" s="316"/>
      <c r="T801" s="317">
        <f>ROUNDDOWN(IFERROR(tabItens[[#This Row],[ATA DT.VALID.]] - $D$1,0) / 30,0)</f>
        <v>-1474</v>
      </c>
      <c r="U801" s="302" t="s">
        <v>1527</v>
      </c>
      <c r="V801" s="318">
        <v>1</v>
      </c>
      <c r="W801" s="319" t="s">
        <v>2079</v>
      </c>
      <c r="X801" s="320">
        <v>67</v>
      </c>
      <c r="Y801" s="321">
        <v>3</v>
      </c>
      <c r="Z801" s="322"/>
      <c r="AA801" s="323"/>
      <c r="AB801" s="324"/>
      <c r="AC801" s="324"/>
      <c r="AD801" s="323"/>
      <c r="AE801" s="324"/>
      <c r="AF801" s="317"/>
      <c r="AG801" s="325" t="s">
        <v>2072</v>
      </c>
      <c r="AH801" s="326"/>
      <c r="AI801" s="317">
        <v>16</v>
      </c>
      <c r="AJ801" s="326">
        <v>43853</v>
      </c>
      <c r="AK801" s="326">
        <v>38743</v>
      </c>
      <c r="AL801" s="326">
        <v>45175</v>
      </c>
      <c r="AM801" s="316"/>
      <c r="AN801" s="305"/>
      <c r="AO801" s="327" t="str">
        <f>_xlfn.IFNA(IF(VLOOKUP(tabItens[[#This Row],[CÓDIGO]],tabExcluirDoEstoque[#Data],1,FALSE),"sim",""),"")</f>
        <v/>
      </c>
      <c r="AP801" s="328" t="str">
        <f ca="1">IF(OR(ISBLANK(tabItens[[#This Row],[ATA DT.VALID.]]),tabItens[[#This Row],[ATA DT.VALID.]]="",tabItens[[#This Row],[ATA DT.VALID.]]=" "),"",IF(TYPE(tabItens[[#This Row],[ATA DT.VALID.]])=1,ROUNDUP((tabItens[[#This Row],[ATA DT.VALID.]]-TODAY())/7,0),""))</f>
        <v/>
      </c>
      <c r="AQ801" s="329"/>
      <c r="AR801" s="330" t="str">
        <f>IF(ISBLANK(tabItens[[#This Row],[CÓDIGO]]),"",IFERROR(VLOOKUP(tabItens[[#This Row],[CÓDIGO]],Consumo!$C$2:$AC$862,26,FALSE),0))</f>
        <v>04.2023</v>
      </c>
      <c r="AS801" s="331">
        <f>SUMIF(Consumo!$C$3:$C$862,tabItens[[#This Row],[CÓDIGO]],Consumo!$N$3:$N$862) + SUMIF(Consumo!$C$3:$C$862,tabItens[[#This Row],[CÓDIGO]],Consumo!$O$3:$O$862) + SUMIF(Consumo!$C$3:$C$862,tabItens[[#This Row],[CÓDIGO]],Consumo!$P$3:$P$862) + SUMIF(Consumo!$C$3:$C$862,tabItens[[#This Row],[CÓDIGO]],Consumo!$Q$3:$Q$862)</f>
        <v>0</v>
      </c>
      <c r="AT801" s="331">
        <f>SUMIF(Consumo!$C$3:$C$862,tabItens[[#This Row],[CÓDIGO]],Consumo!$Z$3:$Z$862)</f>
        <v>45</v>
      </c>
      <c r="AU801" s="332">
        <f>SUMIF(Consumo!$C$3:$C$862,tabItens[[#This Row],[CÓDIGO]],Consumo!$AA$3:$AA$862)</f>
        <v>36</v>
      </c>
      <c r="AV801" s="333">
        <f>SUMIF(Consumo!$C$3:$C$862,tabItens[[#This Row],[CÓDIGO]],Consumo!$Y$3:$Y$862)</f>
        <v>2.75</v>
      </c>
      <c r="AW801" s="306">
        <f>tabItens[[#This Row],[QTDE ATUAL]] + tabItens[[#This Row],[RC QTDE]] + tabItens[[#This Row],[AF SALDO]] + tabItens[[#This Row],[Recentes]]</f>
        <v>774</v>
      </c>
      <c r="AX801" s="334">
        <v>13</v>
      </c>
      <c r="AY801" s="334">
        <v>4</v>
      </c>
      <c r="AZ801" s="334">
        <f>IF(ISBLANK(tabItens[[#This Row],[CÓDIGO]]),"",tabItens[[#This Row],[PontoMês]] * (AZ$2+tabItens[[#This Row],[PontoQtM]]))</f>
        <v>52</v>
      </c>
      <c r="BA801" s="333">
        <f>tabItens[[#This Row],[PontoPed]] - tabItens[[#This Row],[Saldo]] + (1/10)</f>
        <v>-721.9</v>
      </c>
      <c r="BB801" s="333">
        <f xml:space="preserve"> tabItens[[#This Row],[PontoMês]] * BB$2 - tabItens[[#This Row],[QTDE ATUAL]] - (1/10)</f>
        <v>-761.1</v>
      </c>
      <c r="BC801" s="335">
        <f>IF( tabItens[[#This Row],[PontoPed]]&gt;0, IF(tabItens[[#This Row],[PontoPed]]&lt;1, 1, IF( tabItens[[#This Row],[Saldo]]&gt;tabItens[[#This Row],[PontoPed]], 0, (tabItens[[#This Row],[PontoPed]]-tabItens[[#This Row],[Saldo]])/tabItens[[#This Row],[PontoPed]] ) ), 0 )</f>
        <v>0</v>
      </c>
      <c r="BD801" s="336">
        <f>ROUNDDOWN(IF( OR( AND(tabItens[[#This Row],[PontoPed]]&lt;tabItens[[#This Row],[Saldo]],tabItens[[#This Row],[Saldo]]&gt;0), tabItens[[#This Row],[PontoPed]]=0), 99, IF(AND(tabItens[[#This Row],[Saldo]]=0,tabItens[[#This Row],[PontoPed]]&gt;0), 0, (1-tabItens[[#This Row],[PctAb]])*10 ) ),0)</f>
        <v>99</v>
      </c>
      <c r="BE801" s="337">
        <f>MAX(ROUNDDOWN( IF(tabItens[[#This Row],[Abaixo]] &gt; 0,   tabItens[[#This Row],[Abaixo]] + (tabItens[[#This Row],[PontoMês]] * IF( OR( ISBLANK(tabItens[[#This Row],[ATA Nº/ANO]]), tabItens[[#This Row],[ATA Nº/ANO]] = ""),BE$2,BE$1)),0),0),0)</f>
        <v>0</v>
      </c>
      <c r="BF80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1" s="338">
        <f>SUMIF(Consumo!$C$3:$C$862,tabItens[[#This Row],[CÓDIGO]],Consumo!$E$3:$E$862)</f>
        <v>0</v>
      </c>
      <c r="BH801" s="339">
        <f>IF(AND(tabItens[[#This Row],[Pend]] &gt; 0,tabItens[[#This Row],[Consumo]] &lt;&gt; 0), tabItens[[#This Row],[Pend]] / tabItens[[#This Row],[Consumo]], 0 )</f>
        <v>0</v>
      </c>
      <c r="BI801" s="338"/>
      <c r="BJ801" s="338"/>
      <c r="BK801" s="340" t="s">
        <v>2086</v>
      </c>
    </row>
    <row r="802" spans="1:63" hidden="1" x14ac:dyDescent="0.3">
      <c r="A802" s="301">
        <v>89865</v>
      </c>
      <c r="B802" s="302" t="s">
        <v>1529</v>
      </c>
      <c r="C802" s="303" t="s">
        <v>269</v>
      </c>
      <c r="D802" s="304">
        <v>78.599999999999994</v>
      </c>
      <c r="E802" s="305"/>
      <c r="F802" s="305"/>
      <c r="G802" s="305" t="s">
        <v>889</v>
      </c>
      <c r="H802" s="306">
        <v>138</v>
      </c>
      <c r="I802" s="307">
        <v>103003</v>
      </c>
      <c r="J802" s="308">
        <v>78.599999999999994</v>
      </c>
      <c r="K802" s="309">
        <v>60</v>
      </c>
      <c r="L802" s="310">
        <f>IF(tabItens[[#This Row],[Média]] &gt; 0, tabItens[[#This Row],[QTDE ATUAL]] / tabItens[[#This Row],[Média]],999.9)</f>
        <v>35.234042553191493</v>
      </c>
      <c r="M802" s="311">
        <v>0</v>
      </c>
      <c r="N802" s="312">
        <f>tabItens[[#This Row],[VALOR UNIT.]] * tabItens[[#This Row],[LC]]</f>
        <v>0</v>
      </c>
      <c r="O802" s="313"/>
      <c r="P802" s="314"/>
      <c r="Q802" s="315"/>
      <c r="R802" s="312"/>
      <c r="S802" s="316"/>
      <c r="T802" s="317">
        <f>ROUNDDOWN(IFERROR(tabItens[[#This Row],[ATA DT.VALID.]] - $D$1,0) / 30,0)</f>
        <v>-1474</v>
      </c>
      <c r="U802" s="302" t="s">
        <v>1527</v>
      </c>
      <c r="V802" s="318">
        <v>1</v>
      </c>
      <c r="W802" s="319" t="s">
        <v>2079</v>
      </c>
      <c r="X802" s="320">
        <v>67</v>
      </c>
      <c r="Y802" s="321">
        <v>3</v>
      </c>
      <c r="Z802" s="322"/>
      <c r="AA802" s="323"/>
      <c r="AB802" s="324"/>
      <c r="AC802" s="324"/>
      <c r="AD802" s="323"/>
      <c r="AE802" s="324"/>
      <c r="AF802" s="317"/>
      <c r="AG802" s="325" t="s">
        <v>2072</v>
      </c>
      <c r="AH802" s="326"/>
      <c r="AI802" s="317">
        <v>20</v>
      </c>
      <c r="AJ802" s="326">
        <v>43864</v>
      </c>
      <c r="AK802" s="326">
        <v>38743</v>
      </c>
      <c r="AL802" s="326">
        <v>44335</v>
      </c>
      <c r="AM802" s="316"/>
      <c r="AN802" s="305"/>
      <c r="AO802" s="327" t="str">
        <f>_xlfn.IFNA(IF(VLOOKUP(tabItens[[#This Row],[CÓDIGO]],tabExcluirDoEstoque[#Data],1,FALSE),"sim",""),"")</f>
        <v/>
      </c>
      <c r="AP802" s="328" t="str">
        <f ca="1">IF(OR(ISBLANK(tabItens[[#This Row],[ATA DT.VALID.]]),tabItens[[#This Row],[ATA DT.VALID.]]="",tabItens[[#This Row],[ATA DT.VALID.]]=" "),"",IF(TYPE(tabItens[[#This Row],[ATA DT.VALID.]])=1,ROUNDUP((tabItens[[#This Row],[ATA DT.VALID.]]-TODAY())/7,0),""))</f>
        <v/>
      </c>
      <c r="AQ802" s="329"/>
      <c r="AR802" s="330" t="str">
        <f>IF(ISBLANK(tabItens[[#This Row],[CÓDIGO]]),"",IFERROR(VLOOKUP(tabItens[[#This Row],[CÓDIGO]],Consumo!$C$2:$AC$862,26,FALSE),0))</f>
        <v>04.2023</v>
      </c>
      <c r="AS802" s="331">
        <f>SUMIF(Consumo!$C$3:$C$862,tabItens[[#This Row],[CÓDIGO]],Consumo!$N$3:$N$862) + SUMIF(Consumo!$C$3:$C$862,tabItens[[#This Row],[CÓDIGO]],Consumo!$O$3:$O$862) + SUMIF(Consumo!$C$3:$C$862,tabItens[[#This Row],[CÓDIGO]],Consumo!$P$3:$P$862) + SUMIF(Consumo!$C$3:$C$862,tabItens[[#This Row],[CÓDIGO]],Consumo!$Q$3:$Q$862)</f>
        <v>0</v>
      </c>
      <c r="AT802" s="331">
        <f>SUMIF(Consumo!$C$3:$C$862,tabItens[[#This Row],[CÓDIGO]],Consumo!$Z$3:$Z$862)</f>
        <v>60</v>
      </c>
      <c r="AU802" s="332">
        <f>SUMIF(Consumo!$C$3:$C$862,tabItens[[#This Row],[CÓDIGO]],Consumo!$AA$3:$AA$862)</f>
        <v>41</v>
      </c>
      <c r="AV802" s="333">
        <f>SUMIF(Consumo!$C$3:$C$862,tabItens[[#This Row],[CÓDIGO]],Consumo!$Y$3:$Y$862)</f>
        <v>3.9166666666666665</v>
      </c>
      <c r="AW802" s="306">
        <f>tabItens[[#This Row],[QTDE ATUAL]] + tabItens[[#This Row],[RC QTDE]] + tabItens[[#This Row],[AF SALDO]] + tabItens[[#This Row],[Recentes]]</f>
        <v>138</v>
      </c>
      <c r="AX802" s="334">
        <v>11</v>
      </c>
      <c r="AY802" s="334">
        <v>4</v>
      </c>
      <c r="AZ802" s="334">
        <f>IF(ISBLANK(tabItens[[#This Row],[CÓDIGO]]),"",tabItens[[#This Row],[PontoMês]] * (AZ$2+tabItens[[#This Row],[PontoQtM]]))</f>
        <v>44</v>
      </c>
      <c r="BA802" s="333">
        <f>tabItens[[#This Row],[PontoPed]] - tabItens[[#This Row],[Saldo]] + (1/10)</f>
        <v>-93.9</v>
      </c>
      <c r="BB802" s="333">
        <f xml:space="preserve"> tabItens[[#This Row],[PontoMês]] * BB$2 - tabItens[[#This Row],[QTDE ATUAL]] - (1/10)</f>
        <v>-127.1</v>
      </c>
      <c r="BC802" s="335">
        <f>IF( tabItens[[#This Row],[PontoPed]]&gt;0, IF(tabItens[[#This Row],[PontoPed]]&lt;1, 1, IF( tabItens[[#This Row],[Saldo]]&gt;tabItens[[#This Row],[PontoPed]], 0, (tabItens[[#This Row],[PontoPed]]-tabItens[[#This Row],[Saldo]])/tabItens[[#This Row],[PontoPed]] ) ), 0 )</f>
        <v>0</v>
      </c>
      <c r="BD802" s="336">
        <f>ROUNDDOWN(IF( OR( AND(tabItens[[#This Row],[PontoPed]]&lt;tabItens[[#This Row],[Saldo]],tabItens[[#This Row],[Saldo]]&gt;0), tabItens[[#This Row],[PontoPed]]=0), 99, IF(AND(tabItens[[#This Row],[Saldo]]=0,tabItens[[#This Row],[PontoPed]]&gt;0), 0, (1-tabItens[[#This Row],[PctAb]])*10 ) ),0)</f>
        <v>99</v>
      </c>
      <c r="BE802" s="337">
        <f>MAX(ROUNDDOWN( IF(tabItens[[#This Row],[Abaixo]] &gt; 0,   tabItens[[#This Row],[Abaixo]] + (tabItens[[#This Row],[PontoMês]] * IF( OR( ISBLANK(tabItens[[#This Row],[ATA Nº/ANO]]), tabItens[[#This Row],[ATA Nº/ANO]] = ""),BE$2,BE$1)),0),0),0)</f>
        <v>0</v>
      </c>
      <c r="BF80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2" s="338">
        <f>SUMIF(Consumo!$C$3:$C$862,tabItens[[#This Row],[CÓDIGO]],Consumo!$E$3:$E$862)</f>
        <v>0</v>
      </c>
      <c r="BH802" s="339">
        <f>IF(AND(tabItens[[#This Row],[Pend]] &gt; 0,tabItens[[#This Row],[Consumo]] &lt;&gt; 0), tabItens[[#This Row],[Pend]] / tabItens[[#This Row],[Consumo]], 0 )</f>
        <v>0</v>
      </c>
      <c r="BI802" s="338"/>
      <c r="BJ802" s="338"/>
      <c r="BK802" s="340" t="s">
        <v>2086</v>
      </c>
    </row>
    <row r="803" spans="1:63" hidden="1" x14ac:dyDescent="0.3">
      <c r="A803" s="301">
        <v>124963</v>
      </c>
      <c r="B803" s="302" t="s">
        <v>1765</v>
      </c>
      <c r="C803" s="303" t="s">
        <v>269</v>
      </c>
      <c r="D803" s="304">
        <v>22</v>
      </c>
      <c r="E803" s="305"/>
      <c r="F803" s="305"/>
      <c r="G803" s="305" t="s">
        <v>889</v>
      </c>
      <c r="H803" s="306">
        <v>156</v>
      </c>
      <c r="I803" s="307">
        <v>103003</v>
      </c>
      <c r="J803" s="308">
        <v>22</v>
      </c>
      <c r="K803" s="309">
        <v>106</v>
      </c>
      <c r="L803" s="310">
        <f>IF(tabItens[[#This Row],[Média]] &gt; 0, tabItens[[#This Row],[QTDE ATUAL]] / tabItens[[#This Row],[Média]],999.9)</f>
        <v>15.471074380165287</v>
      </c>
      <c r="M803" s="311">
        <v>0</v>
      </c>
      <c r="N803" s="312">
        <f>tabItens[[#This Row],[VALOR UNIT.]] * tabItens[[#This Row],[LC]]</f>
        <v>0</v>
      </c>
      <c r="O803" s="313"/>
      <c r="P803" s="314"/>
      <c r="Q803" s="315"/>
      <c r="R803" s="312"/>
      <c r="S803" s="316"/>
      <c r="T803" s="317">
        <f>ROUNDDOWN(IFERROR(tabItens[[#This Row],[ATA DT.VALID.]] - $D$1,0) / 30,0)</f>
        <v>-1474</v>
      </c>
      <c r="U803" s="302" t="s">
        <v>1527</v>
      </c>
      <c r="V803" s="318">
        <v>1</v>
      </c>
      <c r="W803" s="319" t="s">
        <v>2079</v>
      </c>
      <c r="X803" s="320">
        <v>67</v>
      </c>
      <c r="Y803" s="321">
        <v>3</v>
      </c>
      <c r="Z803" s="322"/>
      <c r="AA803" s="323"/>
      <c r="AB803" s="324"/>
      <c r="AC803" s="324"/>
      <c r="AD803" s="323"/>
      <c r="AE803" s="324"/>
      <c r="AF803" s="317"/>
      <c r="AG803" s="325" t="s">
        <v>2072</v>
      </c>
      <c r="AH803" s="326"/>
      <c r="AI803" s="317">
        <v>44</v>
      </c>
      <c r="AJ803" s="326">
        <v>45201</v>
      </c>
      <c r="AK803" s="326">
        <v>41309</v>
      </c>
      <c r="AL803" s="326">
        <v>45189</v>
      </c>
      <c r="AM803" s="316"/>
      <c r="AN803" s="305"/>
      <c r="AO803" s="327" t="str">
        <f>_xlfn.IFNA(IF(VLOOKUP(tabItens[[#This Row],[CÓDIGO]],tabExcluirDoEstoque[#Data],1,FALSE),"sim",""),"")</f>
        <v/>
      </c>
      <c r="AP803" s="328" t="str">
        <f ca="1">IF(OR(ISBLANK(tabItens[[#This Row],[ATA DT.VALID.]]),tabItens[[#This Row],[ATA DT.VALID.]]="",tabItens[[#This Row],[ATA DT.VALID.]]=" "),"",IF(TYPE(tabItens[[#This Row],[ATA DT.VALID.]])=1,ROUNDUP((tabItens[[#This Row],[ATA DT.VALID.]]-TODAY())/7,0),""))</f>
        <v/>
      </c>
      <c r="AQ803" s="329"/>
      <c r="AR803" s="330" t="str">
        <f>IF(ISBLANK(tabItens[[#This Row],[CÓDIGO]]),"",IFERROR(VLOOKUP(tabItens[[#This Row],[CÓDIGO]],Consumo!$C$2:$AC$862,26,FALSE),0))</f>
        <v>09.2023</v>
      </c>
      <c r="AS803" s="331">
        <f>SUMIF(Consumo!$C$3:$C$862,tabItens[[#This Row],[CÓDIGO]],Consumo!$N$3:$N$862) + SUMIF(Consumo!$C$3:$C$862,tabItens[[#This Row],[CÓDIGO]],Consumo!$O$3:$O$862) + SUMIF(Consumo!$C$3:$C$862,tabItens[[#This Row],[CÓDIGO]],Consumo!$P$3:$P$862) + SUMIF(Consumo!$C$3:$C$862,tabItens[[#This Row],[CÓDIGO]],Consumo!$Q$3:$Q$862)</f>
        <v>30</v>
      </c>
      <c r="AT803" s="331">
        <f>SUMIF(Consumo!$C$3:$C$862,tabItens[[#This Row],[CÓDIGO]],Consumo!$Z$3:$Z$862)</f>
        <v>129</v>
      </c>
      <c r="AU803" s="332">
        <f>SUMIF(Consumo!$C$3:$C$862,tabItens[[#This Row],[CÓDIGO]],Consumo!$AA$3:$AA$862)</f>
        <v>41</v>
      </c>
      <c r="AV803" s="333">
        <f>SUMIF(Consumo!$C$3:$C$862,tabItens[[#This Row],[CÓDIGO]],Consumo!$Y$3:$Y$862)</f>
        <v>10.083333333333334</v>
      </c>
      <c r="AW803" s="306">
        <f>tabItens[[#This Row],[QTDE ATUAL]] + tabItens[[#This Row],[RC QTDE]] + tabItens[[#This Row],[AF SALDO]] + tabItens[[#This Row],[Recentes]]</f>
        <v>156</v>
      </c>
      <c r="AX803" s="334">
        <v>6</v>
      </c>
      <c r="AY803" s="334">
        <v>4</v>
      </c>
      <c r="AZ803" s="334">
        <f>IF(ISBLANK(tabItens[[#This Row],[CÓDIGO]]),"",tabItens[[#This Row],[PontoMês]] * (AZ$2+tabItens[[#This Row],[PontoQtM]]))</f>
        <v>24</v>
      </c>
      <c r="BA803" s="333">
        <f>tabItens[[#This Row],[PontoPed]] - tabItens[[#This Row],[Saldo]] + (1/10)</f>
        <v>-131.9</v>
      </c>
      <c r="BB803" s="333">
        <f xml:space="preserve"> tabItens[[#This Row],[PontoMês]] * BB$2 - tabItens[[#This Row],[QTDE ATUAL]] - (1/10)</f>
        <v>-150.1</v>
      </c>
      <c r="BC803" s="335">
        <f>IF( tabItens[[#This Row],[PontoPed]]&gt;0, IF(tabItens[[#This Row],[PontoPed]]&lt;1, 1, IF( tabItens[[#This Row],[Saldo]]&gt;tabItens[[#This Row],[PontoPed]], 0, (tabItens[[#This Row],[PontoPed]]-tabItens[[#This Row],[Saldo]])/tabItens[[#This Row],[PontoPed]] ) ), 0 )</f>
        <v>0</v>
      </c>
      <c r="BD803" s="336">
        <f>ROUNDDOWN(IF( OR( AND(tabItens[[#This Row],[PontoPed]]&lt;tabItens[[#This Row],[Saldo]],tabItens[[#This Row],[Saldo]]&gt;0), tabItens[[#This Row],[PontoPed]]=0), 99, IF(AND(tabItens[[#This Row],[Saldo]]=0,tabItens[[#This Row],[PontoPed]]&gt;0), 0, (1-tabItens[[#This Row],[PctAb]])*10 ) ),0)</f>
        <v>99</v>
      </c>
      <c r="BE803" s="337">
        <f>MAX(ROUNDDOWN( IF(tabItens[[#This Row],[Abaixo]] &gt; 0,   tabItens[[#This Row],[Abaixo]] + (tabItens[[#This Row],[PontoMês]] * IF( OR( ISBLANK(tabItens[[#This Row],[ATA Nº/ANO]]), tabItens[[#This Row],[ATA Nº/ANO]] = ""),BE$2,BE$1)),0),0),0)</f>
        <v>0</v>
      </c>
      <c r="BF80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3" s="338">
        <f>SUMIF(Consumo!$C$3:$C$862,tabItens[[#This Row],[CÓDIGO]],Consumo!$E$3:$E$862)</f>
        <v>0</v>
      </c>
      <c r="BH803" s="339">
        <f>IF(AND(tabItens[[#This Row],[Pend]] &gt; 0,tabItens[[#This Row],[Consumo]] &lt;&gt; 0), tabItens[[#This Row],[Pend]] / tabItens[[#This Row],[Consumo]], 0 )</f>
        <v>0</v>
      </c>
      <c r="BI803" s="338"/>
      <c r="BJ803" s="338"/>
      <c r="BK803" s="340" t="s">
        <v>2086</v>
      </c>
    </row>
    <row r="804" spans="1:63" hidden="1" x14ac:dyDescent="0.3">
      <c r="A804" s="301">
        <v>125201</v>
      </c>
      <c r="B804" s="302" t="s">
        <v>1767</v>
      </c>
      <c r="C804" s="303" t="s">
        <v>269</v>
      </c>
      <c r="D804" s="304">
        <v>23.94</v>
      </c>
      <c r="E804" s="305"/>
      <c r="F804" s="305"/>
      <c r="G804" s="305" t="s">
        <v>889</v>
      </c>
      <c r="H804" s="306">
        <v>668</v>
      </c>
      <c r="I804" s="307">
        <v>103003</v>
      </c>
      <c r="J804" s="308">
        <v>23.94</v>
      </c>
      <c r="K804" s="309">
        <v>96</v>
      </c>
      <c r="L804" s="310">
        <f>IF(tabItens[[#This Row],[Média]] &gt; 0, tabItens[[#This Row],[QTDE ATUAL]] / tabItens[[#This Row],[Média]],999.9)</f>
        <v>89.066666666666663</v>
      </c>
      <c r="M804" s="311">
        <v>0</v>
      </c>
      <c r="N804" s="312">
        <f>tabItens[[#This Row],[VALOR UNIT.]] * tabItens[[#This Row],[LC]]</f>
        <v>0</v>
      </c>
      <c r="O804" s="313"/>
      <c r="P804" s="314"/>
      <c r="Q804" s="315"/>
      <c r="R804" s="312"/>
      <c r="S804" s="316"/>
      <c r="T804" s="317">
        <f>ROUNDDOWN(IFERROR(tabItens[[#This Row],[ATA DT.VALID.]] - $D$1,0) / 30,0)</f>
        <v>-1474</v>
      </c>
      <c r="U804" s="302" t="s">
        <v>1527</v>
      </c>
      <c r="V804" s="318">
        <v>1</v>
      </c>
      <c r="W804" s="319" t="s">
        <v>2079</v>
      </c>
      <c r="X804" s="320">
        <v>67</v>
      </c>
      <c r="Y804" s="321">
        <v>3</v>
      </c>
      <c r="Z804" s="322"/>
      <c r="AA804" s="323"/>
      <c r="AB804" s="324"/>
      <c r="AC804" s="324"/>
      <c r="AD804" s="323"/>
      <c r="AE804" s="324"/>
      <c r="AF804" s="317"/>
      <c r="AG804" s="325" t="s">
        <v>2072</v>
      </c>
      <c r="AH804" s="326"/>
      <c r="AI804" s="317">
        <v>34</v>
      </c>
      <c r="AJ804" s="326">
        <v>43640</v>
      </c>
      <c r="AK804" s="326">
        <v>41348</v>
      </c>
      <c r="AL804" s="326">
        <v>43612</v>
      </c>
      <c r="AM804" s="316"/>
      <c r="AN804" s="305"/>
      <c r="AO804" s="327" t="str">
        <f>_xlfn.IFNA(IF(VLOOKUP(tabItens[[#This Row],[CÓDIGO]],tabExcluirDoEstoque[#Data],1,FALSE),"sim",""),"")</f>
        <v/>
      </c>
      <c r="AP804" s="328" t="str">
        <f ca="1">IF(OR(ISBLANK(tabItens[[#This Row],[ATA DT.VALID.]]),tabItens[[#This Row],[ATA DT.VALID.]]="",tabItens[[#This Row],[ATA DT.VALID.]]=" "),"",IF(TYPE(tabItens[[#This Row],[ATA DT.VALID.]])=1,ROUNDUP((tabItens[[#This Row],[ATA DT.VALID.]]-TODAY())/7,0),""))</f>
        <v/>
      </c>
      <c r="AQ804" s="329"/>
      <c r="AR804" s="330" t="str">
        <f>IF(ISBLANK(tabItens[[#This Row],[CÓDIGO]]),"",IFERROR(VLOOKUP(tabItens[[#This Row],[CÓDIGO]],Consumo!$C$2:$AC$862,26,FALSE),0))</f>
        <v>07.2023</v>
      </c>
      <c r="AS804" s="331">
        <f>SUMIF(Consumo!$C$3:$C$862,tabItens[[#This Row],[CÓDIGO]],Consumo!$N$3:$N$862) + SUMIF(Consumo!$C$3:$C$862,tabItens[[#This Row],[CÓDIGO]],Consumo!$O$3:$O$862) + SUMIF(Consumo!$C$3:$C$862,tabItens[[#This Row],[CÓDIGO]],Consumo!$P$3:$P$862) + SUMIF(Consumo!$C$3:$C$862,tabItens[[#This Row],[CÓDIGO]],Consumo!$Q$3:$Q$862)</f>
        <v>11</v>
      </c>
      <c r="AT804" s="331">
        <f>SUMIF(Consumo!$C$3:$C$862,tabItens[[#This Row],[CÓDIGO]],Consumo!$Z$3:$Z$862)</f>
        <v>100</v>
      </c>
      <c r="AU804" s="332">
        <f>SUMIF(Consumo!$C$3:$C$862,tabItens[[#This Row],[CÓDIGO]],Consumo!$AA$3:$AA$862)</f>
        <v>44</v>
      </c>
      <c r="AV804" s="333">
        <f>SUMIF(Consumo!$C$3:$C$862,tabItens[[#This Row],[CÓDIGO]],Consumo!$Y$3:$Y$862)</f>
        <v>7.5</v>
      </c>
      <c r="AW804" s="306">
        <f>tabItens[[#This Row],[QTDE ATUAL]] + tabItens[[#This Row],[RC QTDE]] + tabItens[[#This Row],[AF SALDO]] + tabItens[[#This Row],[Recentes]]</f>
        <v>668</v>
      </c>
      <c r="AX804" s="334">
        <v>6</v>
      </c>
      <c r="AY804" s="334">
        <v>4</v>
      </c>
      <c r="AZ804" s="334">
        <f>IF(ISBLANK(tabItens[[#This Row],[CÓDIGO]]),"",tabItens[[#This Row],[PontoMês]] * (AZ$2+tabItens[[#This Row],[PontoQtM]]))</f>
        <v>24</v>
      </c>
      <c r="BA804" s="333">
        <f>tabItens[[#This Row],[PontoPed]] - tabItens[[#This Row],[Saldo]] + (1/10)</f>
        <v>-643.9</v>
      </c>
      <c r="BB804" s="333">
        <f xml:space="preserve"> tabItens[[#This Row],[PontoMês]] * BB$2 - tabItens[[#This Row],[QTDE ATUAL]] - (1/10)</f>
        <v>-662.1</v>
      </c>
      <c r="BC804" s="335">
        <f>IF( tabItens[[#This Row],[PontoPed]]&gt;0, IF(tabItens[[#This Row],[PontoPed]]&lt;1, 1, IF( tabItens[[#This Row],[Saldo]]&gt;tabItens[[#This Row],[PontoPed]], 0, (tabItens[[#This Row],[PontoPed]]-tabItens[[#This Row],[Saldo]])/tabItens[[#This Row],[PontoPed]] ) ), 0 )</f>
        <v>0</v>
      </c>
      <c r="BD804" s="336">
        <f>ROUNDDOWN(IF( OR( AND(tabItens[[#This Row],[PontoPed]]&lt;tabItens[[#This Row],[Saldo]],tabItens[[#This Row],[Saldo]]&gt;0), tabItens[[#This Row],[PontoPed]]=0), 99, IF(AND(tabItens[[#This Row],[Saldo]]=0,tabItens[[#This Row],[PontoPed]]&gt;0), 0, (1-tabItens[[#This Row],[PctAb]])*10 ) ),0)</f>
        <v>99</v>
      </c>
      <c r="BE804" s="337">
        <f>MAX(ROUNDDOWN( IF(tabItens[[#This Row],[Abaixo]] &gt; 0,   tabItens[[#This Row],[Abaixo]] + (tabItens[[#This Row],[PontoMês]] * IF( OR( ISBLANK(tabItens[[#This Row],[ATA Nº/ANO]]), tabItens[[#This Row],[ATA Nº/ANO]] = ""),BE$2,BE$1)),0),0),0)</f>
        <v>0</v>
      </c>
      <c r="BF80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4" s="338">
        <f>SUMIF(Consumo!$C$3:$C$862,tabItens[[#This Row],[CÓDIGO]],Consumo!$E$3:$E$862)</f>
        <v>0</v>
      </c>
      <c r="BH804" s="339">
        <f>IF(AND(tabItens[[#This Row],[Pend]] &gt; 0,tabItens[[#This Row],[Consumo]] &lt;&gt; 0), tabItens[[#This Row],[Pend]] / tabItens[[#This Row],[Consumo]], 0 )</f>
        <v>0</v>
      </c>
      <c r="BI804" s="338"/>
      <c r="BJ804" s="338"/>
      <c r="BK804" s="340" t="s">
        <v>2086</v>
      </c>
    </row>
    <row r="805" spans="1:63" hidden="1" x14ac:dyDescent="0.3">
      <c r="A805" s="301">
        <v>134561</v>
      </c>
      <c r="B805" s="302" t="s">
        <v>1894</v>
      </c>
      <c r="C805" s="303" t="s">
        <v>269</v>
      </c>
      <c r="D805" s="304">
        <v>17.72</v>
      </c>
      <c r="E805" s="305"/>
      <c r="F805" s="305"/>
      <c r="G805" s="305" t="s">
        <v>889</v>
      </c>
      <c r="H805" s="306">
        <v>390</v>
      </c>
      <c r="I805" s="307">
        <v>103003</v>
      </c>
      <c r="J805" s="308">
        <v>17.72</v>
      </c>
      <c r="K805" s="309">
        <v>44</v>
      </c>
      <c r="L805" s="310">
        <f>IF(tabItens[[#This Row],[Média]] &gt; 0, tabItens[[#This Row],[QTDE ATUAL]] / tabItens[[#This Row],[Média]],999.9)</f>
        <v>120</v>
      </c>
      <c r="M805" s="311">
        <v>0</v>
      </c>
      <c r="N805" s="312">
        <f>tabItens[[#This Row],[VALOR UNIT.]] * tabItens[[#This Row],[LC]]</f>
        <v>0</v>
      </c>
      <c r="O805" s="313"/>
      <c r="P805" s="314"/>
      <c r="Q805" s="315"/>
      <c r="R805" s="312"/>
      <c r="S805" s="316"/>
      <c r="T805" s="317">
        <f>ROUNDDOWN(IFERROR(tabItens[[#This Row],[ATA DT.VALID.]] - $D$1,0) / 30,0)</f>
        <v>-1474</v>
      </c>
      <c r="U805" s="302" t="s">
        <v>1527</v>
      </c>
      <c r="V805" s="318">
        <v>1</v>
      </c>
      <c r="W805" s="319" t="s">
        <v>2079</v>
      </c>
      <c r="X805" s="320">
        <v>67</v>
      </c>
      <c r="Y805" s="321">
        <v>3</v>
      </c>
      <c r="Z805" s="322"/>
      <c r="AA805" s="323"/>
      <c r="AB805" s="324"/>
      <c r="AC805" s="324"/>
      <c r="AD805" s="323"/>
      <c r="AE805" s="324"/>
      <c r="AF805" s="317"/>
      <c r="AG805" s="325" t="s">
        <v>2072</v>
      </c>
      <c r="AH805" s="326"/>
      <c r="AI805" s="317">
        <v>14</v>
      </c>
      <c r="AJ805" s="326">
        <v>43853</v>
      </c>
      <c r="AK805" s="326">
        <v>43174</v>
      </c>
      <c r="AL805" s="326">
        <v>45175</v>
      </c>
      <c r="AM805" s="316"/>
      <c r="AN805" s="305"/>
      <c r="AO805" s="327" t="str">
        <f>_xlfn.IFNA(IF(VLOOKUP(tabItens[[#This Row],[CÓDIGO]],tabExcluirDoEstoque[#Data],1,FALSE),"sim",""),"")</f>
        <v/>
      </c>
      <c r="AP805" s="328" t="str">
        <f ca="1">IF(OR(ISBLANK(tabItens[[#This Row],[ATA DT.VALID.]]),tabItens[[#This Row],[ATA DT.VALID.]]="",tabItens[[#This Row],[ATA DT.VALID.]]=" "),"",IF(TYPE(tabItens[[#This Row],[ATA DT.VALID.]])=1,ROUNDUP((tabItens[[#This Row],[ATA DT.VALID.]]-TODAY())/7,0),""))</f>
        <v/>
      </c>
      <c r="AQ805" s="329"/>
      <c r="AR805" s="330" t="str">
        <f>IF(ISBLANK(tabItens[[#This Row],[CÓDIGO]]),"",IFERROR(VLOOKUP(tabItens[[#This Row],[CÓDIGO]],Consumo!$C$2:$AC$862,26,FALSE),0))</f>
        <v>06.2023</v>
      </c>
      <c r="AS805" s="331">
        <f>SUMIF(Consumo!$C$3:$C$862,tabItens[[#This Row],[CÓDIGO]],Consumo!$N$3:$N$862) + SUMIF(Consumo!$C$3:$C$862,tabItens[[#This Row],[CÓDIGO]],Consumo!$O$3:$O$862) + SUMIF(Consumo!$C$3:$C$862,tabItens[[#This Row],[CÓDIGO]],Consumo!$P$3:$P$862) + SUMIF(Consumo!$C$3:$C$862,tabItens[[#This Row],[CÓDIGO]],Consumo!$Q$3:$Q$862)</f>
        <v>15</v>
      </c>
      <c r="AT805" s="331">
        <f>SUMIF(Consumo!$C$3:$C$862,tabItens[[#This Row],[CÓDIGO]],Consumo!$Z$3:$Z$862)</f>
        <v>43</v>
      </c>
      <c r="AU805" s="332">
        <f>SUMIF(Consumo!$C$3:$C$862,tabItens[[#This Row],[CÓDIGO]],Consumo!$AA$3:$AA$862)</f>
        <v>22</v>
      </c>
      <c r="AV805" s="333">
        <f>SUMIF(Consumo!$C$3:$C$862,tabItens[[#This Row],[CÓDIGO]],Consumo!$Y$3:$Y$862)</f>
        <v>3.25</v>
      </c>
      <c r="AW805" s="306">
        <f>tabItens[[#This Row],[QTDE ATUAL]] + tabItens[[#This Row],[RC QTDE]] + tabItens[[#This Row],[AF SALDO]] + tabItens[[#This Row],[Recentes]]</f>
        <v>390</v>
      </c>
      <c r="AX805" s="334">
        <v>2</v>
      </c>
      <c r="AY805" s="334">
        <v>4</v>
      </c>
      <c r="AZ805" s="334">
        <f>IF(ISBLANK(tabItens[[#This Row],[CÓDIGO]]),"",tabItens[[#This Row],[PontoMês]] * (AZ$2+tabItens[[#This Row],[PontoQtM]]))</f>
        <v>8</v>
      </c>
      <c r="BA805" s="333">
        <f>tabItens[[#This Row],[PontoPed]] - tabItens[[#This Row],[Saldo]] + (1/10)</f>
        <v>-381.9</v>
      </c>
      <c r="BB805" s="333">
        <f xml:space="preserve"> tabItens[[#This Row],[PontoMês]] * BB$2 - tabItens[[#This Row],[QTDE ATUAL]] - (1/10)</f>
        <v>-388.1</v>
      </c>
      <c r="BC805" s="335">
        <f>IF( tabItens[[#This Row],[PontoPed]]&gt;0, IF(tabItens[[#This Row],[PontoPed]]&lt;1, 1, IF( tabItens[[#This Row],[Saldo]]&gt;tabItens[[#This Row],[PontoPed]], 0, (tabItens[[#This Row],[PontoPed]]-tabItens[[#This Row],[Saldo]])/tabItens[[#This Row],[PontoPed]] ) ), 0 )</f>
        <v>0</v>
      </c>
      <c r="BD805" s="336">
        <f>ROUNDDOWN(IF( OR( AND(tabItens[[#This Row],[PontoPed]]&lt;tabItens[[#This Row],[Saldo]],tabItens[[#This Row],[Saldo]]&gt;0), tabItens[[#This Row],[PontoPed]]=0), 99, IF(AND(tabItens[[#This Row],[Saldo]]=0,tabItens[[#This Row],[PontoPed]]&gt;0), 0, (1-tabItens[[#This Row],[PctAb]])*10 ) ),0)</f>
        <v>99</v>
      </c>
      <c r="BE805" s="337">
        <f>MAX(ROUNDDOWN( IF(tabItens[[#This Row],[Abaixo]] &gt; 0,   tabItens[[#This Row],[Abaixo]] + (tabItens[[#This Row],[PontoMês]] * IF( OR( ISBLANK(tabItens[[#This Row],[ATA Nº/ANO]]), tabItens[[#This Row],[ATA Nº/ANO]] = ""),BE$2,BE$1)),0),0),0)</f>
        <v>0</v>
      </c>
      <c r="BF80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5" s="338">
        <f>SUMIF(Consumo!$C$3:$C$862,tabItens[[#This Row],[CÓDIGO]],Consumo!$E$3:$E$862)</f>
        <v>0</v>
      </c>
      <c r="BH805" s="339">
        <f>IF(AND(tabItens[[#This Row],[Pend]] &gt; 0,tabItens[[#This Row],[Consumo]] &lt;&gt; 0), tabItens[[#This Row],[Pend]] / tabItens[[#This Row],[Consumo]], 0 )</f>
        <v>0</v>
      </c>
      <c r="BI805" s="338"/>
      <c r="BJ805" s="338"/>
      <c r="BK805" s="340" t="s">
        <v>2086</v>
      </c>
    </row>
    <row r="806" spans="1:63" hidden="1" x14ac:dyDescent="0.3">
      <c r="A806" s="301">
        <v>134562</v>
      </c>
      <c r="B806" s="302" t="s">
        <v>1895</v>
      </c>
      <c r="C806" s="303" t="s">
        <v>269</v>
      </c>
      <c r="D806" s="304">
        <v>19.38</v>
      </c>
      <c r="E806" s="305"/>
      <c r="F806" s="305"/>
      <c r="G806" s="305" t="s">
        <v>889</v>
      </c>
      <c r="H806" s="306">
        <v>396</v>
      </c>
      <c r="I806" s="307">
        <v>103003</v>
      </c>
      <c r="J806" s="308">
        <v>19.38</v>
      </c>
      <c r="K806" s="309">
        <v>56</v>
      </c>
      <c r="L806" s="310">
        <f>IF(tabItens[[#This Row],[Média]] &gt; 0, tabItens[[#This Row],[QTDE ATUAL]] / tabItens[[#This Row],[Média]],999.9)</f>
        <v>121.84615384615384</v>
      </c>
      <c r="M806" s="311">
        <v>0</v>
      </c>
      <c r="N806" s="312">
        <f>tabItens[[#This Row],[VALOR UNIT.]] * tabItens[[#This Row],[LC]]</f>
        <v>0</v>
      </c>
      <c r="O806" s="313"/>
      <c r="P806" s="314"/>
      <c r="Q806" s="315"/>
      <c r="R806" s="312"/>
      <c r="S806" s="316"/>
      <c r="T806" s="317">
        <f>ROUNDDOWN(IFERROR(tabItens[[#This Row],[ATA DT.VALID.]] - $D$1,0) / 30,0)</f>
        <v>-1474</v>
      </c>
      <c r="U806" s="302" t="s">
        <v>1527</v>
      </c>
      <c r="V806" s="318">
        <v>1</v>
      </c>
      <c r="W806" s="319" t="s">
        <v>2079</v>
      </c>
      <c r="X806" s="320">
        <v>67</v>
      </c>
      <c r="Y806" s="321">
        <v>3</v>
      </c>
      <c r="Z806" s="322"/>
      <c r="AA806" s="323"/>
      <c r="AB806" s="324"/>
      <c r="AC806" s="324"/>
      <c r="AD806" s="323"/>
      <c r="AE806" s="324"/>
      <c r="AF806" s="317"/>
      <c r="AG806" s="325" t="s">
        <v>2072</v>
      </c>
      <c r="AH806" s="326"/>
      <c r="AI806" s="317">
        <v>18</v>
      </c>
      <c r="AJ806" s="326">
        <v>43853</v>
      </c>
      <c r="AK806" s="326">
        <v>43174</v>
      </c>
      <c r="AL806" s="326">
        <v>45175</v>
      </c>
      <c r="AM806" s="316"/>
      <c r="AN806" s="305"/>
      <c r="AO806" s="327" t="str">
        <f>_xlfn.IFNA(IF(VLOOKUP(tabItens[[#This Row],[CÓDIGO]],tabExcluirDoEstoque[#Data],1,FALSE),"sim",""),"")</f>
        <v/>
      </c>
      <c r="AP806" s="328" t="str">
        <f ca="1">IF(OR(ISBLANK(tabItens[[#This Row],[ATA DT.VALID.]]),tabItens[[#This Row],[ATA DT.VALID.]]="",tabItens[[#This Row],[ATA DT.VALID.]]=" "),"",IF(TYPE(tabItens[[#This Row],[ATA DT.VALID.]])=1,ROUNDUP((tabItens[[#This Row],[ATA DT.VALID.]]-TODAY())/7,0),""))</f>
        <v/>
      </c>
      <c r="AQ806" s="329"/>
      <c r="AR806" s="330" t="str">
        <f>IF(ISBLANK(tabItens[[#This Row],[CÓDIGO]]),"",IFERROR(VLOOKUP(tabItens[[#This Row],[CÓDIGO]],Consumo!$C$2:$AC$862,26,FALSE),0))</f>
        <v>04.2023</v>
      </c>
      <c r="AS806" s="331">
        <f>SUMIF(Consumo!$C$3:$C$862,tabItens[[#This Row],[CÓDIGO]],Consumo!$N$3:$N$862) + SUMIF(Consumo!$C$3:$C$862,tabItens[[#This Row],[CÓDIGO]],Consumo!$O$3:$O$862) + SUMIF(Consumo!$C$3:$C$862,tabItens[[#This Row],[CÓDIGO]],Consumo!$P$3:$P$862) + SUMIF(Consumo!$C$3:$C$862,tabItens[[#This Row],[CÓDIGO]],Consumo!$Q$3:$Q$862)</f>
        <v>0</v>
      </c>
      <c r="AT806" s="331">
        <f>SUMIF(Consumo!$C$3:$C$862,tabItens[[#This Row],[CÓDIGO]],Consumo!$Z$3:$Z$862)</f>
        <v>56</v>
      </c>
      <c r="AU806" s="332">
        <f>SUMIF(Consumo!$C$3:$C$862,tabItens[[#This Row],[CÓDIGO]],Consumo!$AA$3:$AA$862)</f>
        <v>50</v>
      </c>
      <c r="AV806" s="333">
        <f>SUMIF(Consumo!$C$3:$C$862,tabItens[[#This Row],[CÓDIGO]],Consumo!$Y$3:$Y$862)</f>
        <v>3.25</v>
      </c>
      <c r="AW806" s="306">
        <f>tabItens[[#This Row],[QTDE ATUAL]] + tabItens[[#This Row],[RC QTDE]] + tabItens[[#This Row],[AF SALDO]] + tabItens[[#This Row],[Recentes]]</f>
        <v>396</v>
      </c>
      <c r="AX806" s="334">
        <v>2</v>
      </c>
      <c r="AY806" s="334">
        <v>4</v>
      </c>
      <c r="AZ806" s="334">
        <f>IF(ISBLANK(tabItens[[#This Row],[CÓDIGO]]),"",tabItens[[#This Row],[PontoMês]] * (AZ$2+tabItens[[#This Row],[PontoQtM]]))</f>
        <v>8</v>
      </c>
      <c r="BA806" s="333">
        <f>tabItens[[#This Row],[PontoPed]] - tabItens[[#This Row],[Saldo]] + (1/10)</f>
        <v>-387.9</v>
      </c>
      <c r="BB806" s="333">
        <f xml:space="preserve"> tabItens[[#This Row],[PontoMês]] * BB$2 - tabItens[[#This Row],[QTDE ATUAL]] - (1/10)</f>
        <v>-394.1</v>
      </c>
      <c r="BC806" s="335">
        <f>IF( tabItens[[#This Row],[PontoPed]]&gt;0, IF(tabItens[[#This Row],[PontoPed]]&lt;1, 1, IF( tabItens[[#This Row],[Saldo]]&gt;tabItens[[#This Row],[PontoPed]], 0, (tabItens[[#This Row],[PontoPed]]-tabItens[[#This Row],[Saldo]])/tabItens[[#This Row],[PontoPed]] ) ), 0 )</f>
        <v>0</v>
      </c>
      <c r="BD806" s="336">
        <f>ROUNDDOWN(IF( OR( AND(tabItens[[#This Row],[PontoPed]]&lt;tabItens[[#This Row],[Saldo]],tabItens[[#This Row],[Saldo]]&gt;0), tabItens[[#This Row],[PontoPed]]=0), 99, IF(AND(tabItens[[#This Row],[Saldo]]=0,tabItens[[#This Row],[PontoPed]]&gt;0), 0, (1-tabItens[[#This Row],[PctAb]])*10 ) ),0)</f>
        <v>99</v>
      </c>
      <c r="BE806" s="337">
        <f>MAX(ROUNDDOWN( IF(tabItens[[#This Row],[Abaixo]] &gt; 0,   tabItens[[#This Row],[Abaixo]] + (tabItens[[#This Row],[PontoMês]] * IF( OR( ISBLANK(tabItens[[#This Row],[ATA Nº/ANO]]), tabItens[[#This Row],[ATA Nº/ANO]] = ""),BE$2,BE$1)),0),0),0)</f>
        <v>0</v>
      </c>
      <c r="BF80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6" s="338">
        <f>SUMIF(Consumo!$C$3:$C$862,tabItens[[#This Row],[CÓDIGO]],Consumo!$E$3:$E$862)</f>
        <v>0</v>
      </c>
      <c r="BH806" s="339">
        <f>IF(AND(tabItens[[#This Row],[Pend]] &gt; 0,tabItens[[#This Row],[Consumo]] &lt;&gt; 0), tabItens[[#This Row],[Pend]] / tabItens[[#This Row],[Consumo]], 0 )</f>
        <v>0</v>
      </c>
      <c r="BI806" s="338"/>
      <c r="BJ806" s="338"/>
      <c r="BK806" s="340" t="s">
        <v>2086</v>
      </c>
    </row>
    <row r="807" spans="1:63" hidden="1" x14ac:dyDescent="0.3">
      <c r="A807" s="301">
        <v>134563</v>
      </c>
      <c r="B807" s="302" t="s">
        <v>1896</v>
      </c>
      <c r="C807" s="303" t="s">
        <v>269</v>
      </c>
      <c r="D807" s="304">
        <v>13</v>
      </c>
      <c r="E807" s="305"/>
      <c r="F807" s="305"/>
      <c r="G807" s="305" t="s">
        <v>889</v>
      </c>
      <c r="H807" s="306">
        <v>364</v>
      </c>
      <c r="I807" s="307">
        <v>103003</v>
      </c>
      <c r="J807" s="308">
        <v>13</v>
      </c>
      <c r="K807" s="309">
        <v>124</v>
      </c>
      <c r="L807" s="310">
        <f>IF(tabItens[[#This Row],[Média]] &gt; 0, tabItens[[#This Row],[QTDE ATUAL]] / tabItens[[#This Row],[Média]],999.9)</f>
        <v>37.016949152542374</v>
      </c>
      <c r="M807" s="311">
        <v>0</v>
      </c>
      <c r="N807" s="312">
        <f>tabItens[[#This Row],[VALOR UNIT.]] * tabItens[[#This Row],[LC]]</f>
        <v>0</v>
      </c>
      <c r="O807" s="313"/>
      <c r="P807" s="314"/>
      <c r="Q807" s="315"/>
      <c r="R807" s="312"/>
      <c r="S807" s="316"/>
      <c r="T807" s="317">
        <f>ROUNDDOWN(IFERROR(tabItens[[#This Row],[ATA DT.VALID.]] - $D$1,0) / 30,0)</f>
        <v>-1474</v>
      </c>
      <c r="U807" s="302" t="s">
        <v>1527</v>
      </c>
      <c r="V807" s="318">
        <v>1</v>
      </c>
      <c r="W807" s="319" t="s">
        <v>2079</v>
      </c>
      <c r="X807" s="320">
        <v>67</v>
      </c>
      <c r="Y807" s="321">
        <v>3</v>
      </c>
      <c r="Z807" s="322"/>
      <c r="AA807" s="323"/>
      <c r="AB807" s="324"/>
      <c r="AC807" s="324"/>
      <c r="AD807" s="323"/>
      <c r="AE807" s="324"/>
      <c r="AF807" s="317"/>
      <c r="AG807" s="325" t="s">
        <v>2072</v>
      </c>
      <c r="AH807" s="326"/>
      <c r="AI807" s="317">
        <v>44</v>
      </c>
      <c r="AJ807" s="326">
        <v>45201</v>
      </c>
      <c r="AK807" s="326">
        <v>43174</v>
      </c>
      <c r="AL807" s="326">
        <v>45189</v>
      </c>
      <c r="AM807" s="316"/>
      <c r="AN807" s="305"/>
      <c r="AO807" s="327" t="str">
        <f>_xlfn.IFNA(IF(VLOOKUP(tabItens[[#This Row],[CÓDIGO]],tabExcluirDoEstoque[#Data],1,FALSE),"sim",""),"")</f>
        <v/>
      </c>
      <c r="AP807" s="328" t="str">
        <f ca="1">IF(OR(ISBLANK(tabItens[[#This Row],[ATA DT.VALID.]]),tabItens[[#This Row],[ATA DT.VALID.]]="",tabItens[[#This Row],[ATA DT.VALID.]]=" "),"",IF(TYPE(tabItens[[#This Row],[ATA DT.VALID.]])=1,ROUNDUP((tabItens[[#This Row],[ATA DT.VALID.]]-TODAY())/7,0),""))</f>
        <v/>
      </c>
      <c r="AQ807" s="329"/>
      <c r="AR807" s="330" t="str">
        <f>IF(ISBLANK(tabItens[[#This Row],[CÓDIGO]]),"",IFERROR(VLOOKUP(tabItens[[#This Row],[CÓDIGO]],Consumo!$C$2:$AC$862,26,FALSE),0))</f>
        <v>08.2023</v>
      </c>
      <c r="AS807" s="331">
        <f>SUMIF(Consumo!$C$3:$C$862,tabItens[[#This Row],[CÓDIGO]],Consumo!$N$3:$N$862) + SUMIF(Consumo!$C$3:$C$862,tabItens[[#This Row],[CÓDIGO]],Consumo!$O$3:$O$862) + SUMIF(Consumo!$C$3:$C$862,tabItens[[#This Row],[CÓDIGO]],Consumo!$P$3:$P$862) + SUMIF(Consumo!$C$3:$C$862,tabItens[[#This Row],[CÓDIGO]],Consumo!$Q$3:$Q$862)</f>
        <v>20</v>
      </c>
      <c r="AT807" s="331">
        <f>SUMIF(Consumo!$C$3:$C$862,tabItens[[#This Row],[CÓDIGO]],Consumo!$Z$3:$Z$862)</f>
        <v>134</v>
      </c>
      <c r="AU807" s="332">
        <f>SUMIF(Consumo!$C$3:$C$862,tabItens[[#This Row],[CÓDIGO]],Consumo!$AA$3:$AA$862)</f>
        <v>60</v>
      </c>
      <c r="AV807" s="333">
        <f>SUMIF(Consumo!$C$3:$C$862,tabItens[[#This Row],[CÓDIGO]],Consumo!$Y$3:$Y$862)</f>
        <v>9.8333333333333339</v>
      </c>
      <c r="AW807" s="306">
        <f>tabItens[[#This Row],[QTDE ATUAL]] + tabItens[[#This Row],[RC QTDE]] + tabItens[[#This Row],[AF SALDO]] + tabItens[[#This Row],[Recentes]]</f>
        <v>364</v>
      </c>
      <c r="AX807" s="334">
        <v>5</v>
      </c>
      <c r="AY807" s="334">
        <v>4</v>
      </c>
      <c r="AZ807" s="334">
        <f>IF(ISBLANK(tabItens[[#This Row],[CÓDIGO]]),"",tabItens[[#This Row],[PontoMês]] * (AZ$2+tabItens[[#This Row],[PontoQtM]]))</f>
        <v>20</v>
      </c>
      <c r="BA807" s="333">
        <f>tabItens[[#This Row],[PontoPed]] - tabItens[[#This Row],[Saldo]] + (1/10)</f>
        <v>-343.9</v>
      </c>
      <c r="BB807" s="333">
        <f xml:space="preserve"> tabItens[[#This Row],[PontoMês]] * BB$2 - tabItens[[#This Row],[QTDE ATUAL]] - (1/10)</f>
        <v>-359.1</v>
      </c>
      <c r="BC807" s="335">
        <f>IF( tabItens[[#This Row],[PontoPed]]&gt;0, IF(tabItens[[#This Row],[PontoPed]]&lt;1, 1, IF( tabItens[[#This Row],[Saldo]]&gt;tabItens[[#This Row],[PontoPed]], 0, (tabItens[[#This Row],[PontoPed]]-tabItens[[#This Row],[Saldo]])/tabItens[[#This Row],[PontoPed]] ) ), 0 )</f>
        <v>0</v>
      </c>
      <c r="BD807" s="336">
        <f>ROUNDDOWN(IF( OR( AND(tabItens[[#This Row],[PontoPed]]&lt;tabItens[[#This Row],[Saldo]],tabItens[[#This Row],[Saldo]]&gt;0), tabItens[[#This Row],[PontoPed]]=0), 99, IF(AND(tabItens[[#This Row],[Saldo]]=0,tabItens[[#This Row],[PontoPed]]&gt;0), 0, (1-tabItens[[#This Row],[PctAb]])*10 ) ),0)</f>
        <v>99</v>
      </c>
      <c r="BE807" s="337">
        <f>MAX(ROUNDDOWN( IF(tabItens[[#This Row],[Abaixo]] &gt; 0,   tabItens[[#This Row],[Abaixo]] + (tabItens[[#This Row],[PontoMês]] * IF( OR( ISBLANK(tabItens[[#This Row],[ATA Nº/ANO]]), tabItens[[#This Row],[ATA Nº/ANO]] = ""),BE$2,BE$1)),0),0),0)</f>
        <v>0</v>
      </c>
      <c r="BF80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7" s="338">
        <f>SUMIF(Consumo!$C$3:$C$862,tabItens[[#This Row],[CÓDIGO]],Consumo!$E$3:$E$862)</f>
        <v>0</v>
      </c>
      <c r="BH807" s="339">
        <f>IF(AND(tabItens[[#This Row],[Pend]] &gt; 0,tabItens[[#This Row],[Consumo]] &lt;&gt; 0), tabItens[[#This Row],[Pend]] / tabItens[[#This Row],[Consumo]], 0 )</f>
        <v>0</v>
      </c>
      <c r="BI807" s="338"/>
      <c r="BJ807" s="338"/>
      <c r="BK807" s="340" t="s">
        <v>2086</v>
      </c>
    </row>
    <row r="808" spans="1:63" hidden="1" x14ac:dyDescent="0.3">
      <c r="A808" s="301">
        <v>134564</v>
      </c>
      <c r="B808" s="302" t="s">
        <v>1897</v>
      </c>
      <c r="C808" s="303" t="s">
        <v>269</v>
      </c>
      <c r="D808" s="304">
        <v>29</v>
      </c>
      <c r="E808" s="305"/>
      <c r="F808" s="305"/>
      <c r="G808" s="305" t="s">
        <v>889</v>
      </c>
      <c r="H808" s="306">
        <v>258</v>
      </c>
      <c r="I808" s="307">
        <v>103003</v>
      </c>
      <c r="J808" s="308">
        <v>29</v>
      </c>
      <c r="K808" s="309">
        <v>46</v>
      </c>
      <c r="L808" s="310">
        <f>IF(tabItens[[#This Row],[Média]] &gt; 0, tabItens[[#This Row],[QTDE ATUAL]] / tabItens[[#This Row],[Média]],999.9)</f>
        <v>83.675675675675677</v>
      </c>
      <c r="M808" s="311">
        <v>0</v>
      </c>
      <c r="N808" s="312">
        <f>tabItens[[#This Row],[VALOR UNIT.]] * tabItens[[#This Row],[LC]]</f>
        <v>0</v>
      </c>
      <c r="O808" s="313"/>
      <c r="P808" s="314"/>
      <c r="Q808" s="315"/>
      <c r="R808" s="312"/>
      <c r="S808" s="316"/>
      <c r="T808" s="317">
        <f>ROUNDDOWN(IFERROR(tabItens[[#This Row],[ATA DT.VALID.]] - $D$1,0) / 30,0)</f>
        <v>-1474</v>
      </c>
      <c r="U808" s="302" t="s">
        <v>1527</v>
      </c>
      <c r="V808" s="318">
        <v>1</v>
      </c>
      <c r="W808" s="319" t="s">
        <v>2079</v>
      </c>
      <c r="X808" s="320">
        <v>67</v>
      </c>
      <c r="Y808" s="321">
        <v>3</v>
      </c>
      <c r="Z808" s="322"/>
      <c r="AA808" s="323"/>
      <c r="AB808" s="324"/>
      <c r="AC808" s="324"/>
      <c r="AD808" s="323"/>
      <c r="AE808" s="324"/>
      <c r="AF808" s="317"/>
      <c r="AG808" s="325" t="s">
        <v>2072</v>
      </c>
      <c r="AH808" s="326"/>
      <c r="AI808" s="317">
        <v>16</v>
      </c>
      <c r="AJ808" s="326">
        <v>45201</v>
      </c>
      <c r="AK808" s="326">
        <v>43174</v>
      </c>
      <c r="AL808" s="326">
        <v>45189</v>
      </c>
      <c r="AM808" s="316"/>
      <c r="AN808" s="305"/>
      <c r="AO808" s="327" t="str">
        <f>_xlfn.IFNA(IF(VLOOKUP(tabItens[[#This Row],[CÓDIGO]],tabExcluirDoEstoque[#Data],1,FALSE),"sim",""),"")</f>
        <v/>
      </c>
      <c r="AP808" s="328" t="str">
        <f ca="1">IF(OR(ISBLANK(tabItens[[#This Row],[ATA DT.VALID.]]),tabItens[[#This Row],[ATA DT.VALID.]]="",tabItens[[#This Row],[ATA DT.VALID.]]=" "),"",IF(TYPE(tabItens[[#This Row],[ATA DT.VALID.]])=1,ROUNDUP((tabItens[[#This Row],[ATA DT.VALID.]]-TODAY())/7,0),""))</f>
        <v/>
      </c>
      <c r="AQ808" s="329"/>
      <c r="AR808" s="330" t="str">
        <f>IF(ISBLANK(tabItens[[#This Row],[CÓDIGO]]),"",IFERROR(VLOOKUP(tabItens[[#This Row],[CÓDIGO]],Consumo!$C$2:$AC$862,26,FALSE),0))</f>
        <v>05.2023</v>
      </c>
      <c r="AS808" s="331">
        <f>SUMIF(Consumo!$C$3:$C$862,tabItens[[#This Row],[CÓDIGO]],Consumo!$N$3:$N$862) + SUMIF(Consumo!$C$3:$C$862,tabItens[[#This Row],[CÓDIGO]],Consumo!$O$3:$O$862) + SUMIF(Consumo!$C$3:$C$862,tabItens[[#This Row],[CÓDIGO]],Consumo!$P$3:$P$862) + SUMIF(Consumo!$C$3:$C$862,tabItens[[#This Row],[CÓDIGO]],Consumo!$Q$3:$Q$862)</f>
        <v>0</v>
      </c>
      <c r="AT808" s="331">
        <f>SUMIF(Consumo!$C$3:$C$862,tabItens[[#This Row],[CÓDIGO]],Consumo!$Z$3:$Z$862)</f>
        <v>47</v>
      </c>
      <c r="AU808" s="332">
        <f>SUMIF(Consumo!$C$3:$C$862,tabItens[[#This Row],[CÓDIGO]],Consumo!$AA$3:$AA$862)</f>
        <v>31</v>
      </c>
      <c r="AV808" s="333">
        <f>SUMIF(Consumo!$C$3:$C$862,tabItens[[#This Row],[CÓDIGO]],Consumo!$Y$3:$Y$862)</f>
        <v>3.0833333333333335</v>
      </c>
      <c r="AW808" s="306">
        <f>tabItens[[#This Row],[QTDE ATUAL]] + tabItens[[#This Row],[RC QTDE]] + tabItens[[#This Row],[AF SALDO]] + tabItens[[#This Row],[Recentes]]</f>
        <v>258</v>
      </c>
      <c r="AX808" s="334">
        <v>3</v>
      </c>
      <c r="AY808" s="334">
        <v>4</v>
      </c>
      <c r="AZ808" s="334">
        <f>IF(ISBLANK(tabItens[[#This Row],[CÓDIGO]]),"",tabItens[[#This Row],[PontoMês]] * (AZ$2+tabItens[[#This Row],[PontoQtM]]))</f>
        <v>12</v>
      </c>
      <c r="BA808" s="333">
        <f>tabItens[[#This Row],[PontoPed]] - tabItens[[#This Row],[Saldo]] + (1/10)</f>
        <v>-245.9</v>
      </c>
      <c r="BB808" s="333">
        <f xml:space="preserve"> tabItens[[#This Row],[PontoMês]] * BB$2 - tabItens[[#This Row],[QTDE ATUAL]] - (1/10)</f>
        <v>-255.1</v>
      </c>
      <c r="BC808" s="335">
        <f>IF( tabItens[[#This Row],[PontoPed]]&gt;0, IF(tabItens[[#This Row],[PontoPed]]&lt;1, 1, IF( tabItens[[#This Row],[Saldo]]&gt;tabItens[[#This Row],[PontoPed]], 0, (tabItens[[#This Row],[PontoPed]]-tabItens[[#This Row],[Saldo]])/tabItens[[#This Row],[PontoPed]] ) ), 0 )</f>
        <v>0</v>
      </c>
      <c r="BD808" s="336">
        <f>ROUNDDOWN(IF( OR( AND(tabItens[[#This Row],[PontoPed]]&lt;tabItens[[#This Row],[Saldo]],tabItens[[#This Row],[Saldo]]&gt;0), tabItens[[#This Row],[PontoPed]]=0), 99, IF(AND(tabItens[[#This Row],[Saldo]]=0,tabItens[[#This Row],[PontoPed]]&gt;0), 0, (1-tabItens[[#This Row],[PctAb]])*10 ) ),0)</f>
        <v>99</v>
      </c>
      <c r="BE808" s="337">
        <f>MAX(ROUNDDOWN( IF(tabItens[[#This Row],[Abaixo]] &gt; 0,   tabItens[[#This Row],[Abaixo]] + (tabItens[[#This Row],[PontoMês]] * IF( OR( ISBLANK(tabItens[[#This Row],[ATA Nº/ANO]]), tabItens[[#This Row],[ATA Nº/ANO]] = ""),BE$2,BE$1)),0),0),0)</f>
        <v>0</v>
      </c>
      <c r="BF80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8" s="338">
        <f>SUMIF(Consumo!$C$3:$C$862,tabItens[[#This Row],[CÓDIGO]],Consumo!$E$3:$E$862)</f>
        <v>0</v>
      </c>
      <c r="BH808" s="339">
        <f>IF(AND(tabItens[[#This Row],[Pend]] &gt; 0,tabItens[[#This Row],[Consumo]] &lt;&gt; 0), tabItens[[#This Row],[Pend]] / tabItens[[#This Row],[Consumo]], 0 )</f>
        <v>0</v>
      </c>
      <c r="BI808" s="338"/>
      <c r="BJ808" s="338"/>
      <c r="BK808" s="340" t="s">
        <v>2086</v>
      </c>
    </row>
    <row r="809" spans="1:63" hidden="1" x14ac:dyDescent="0.3">
      <c r="A809" s="301">
        <v>134565</v>
      </c>
      <c r="B809" s="302" t="s">
        <v>1898</v>
      </c>
      <c r="C809" s="303" t="s">
        <v>269</v>
      </c>
      <c r="D809" s="304">
        <v>22.1</v>
      </c>
      <c r="E809" s="305"/>
      <c r="F809" s="305"/>
      <c r="G809" s="305" t="s">
        <v>889</v>
      </c>
      <c r="H809" s="306">
        <v>229</v>
      </c>
      <c r="I809" s="307">
        <v>103003</v>
      </c>
      <c r="J809" s="308">
        <v>22.1</v>
      </c>
      <c r="K809" s="309">
        <v>44</v>
      </c>
      <c r="L809" s="310">
        <f>IF(tabItens[[#This Row],[Média]] &gt; 0, tabItens[[#This Row],[QTDE ATUAL]] / tabItens[[#This Row],[Média]],999.9)</f>
        <v>78.51428571428572</v>
      </c>
      <c r="M809" s="311">
        <v>0</v>
      </c>
      <c r="N809" s="312">
        <f>tabItens[[#This Row],[VALOR UNIT.]] * tabItens[[#This Row],[LC]]</f>
        <v>0</v>
      </c>
      <c r="O809" s="313"/>
      <c r="P809" s="314"/>
      <c r="Q809" s="315"/>
      <c r="R809" s="312"/>
      <c r="S809" s="316"/>
      <c r="T809" s="317">
        <f>ROUNDDOWN(IFERROR(tabItens[[#This Row],[ATA DT.VALID.]] - $D$1,0) / 30,0)</f>
        <v>-1474</v>
      </c>
      <c r="U809" s="302" t="s">
        <v>1527</v>
      </c>
      <c r="V809" s="318">
        <v>1</v>
      </c>
      <c r="W809" s="319" t="s">
        <v>2079</v>
      </c>
      <c r="X809" s="320">
        <v>67</v>
      </c>
      <c r="Y809" s="321">
        <v>3</v>
      </c>
      <c r="Z809" s="322"/>
      <c r="AA809" s="323"/>
      <c r="AB809" s="324"/>
      <c r="AC809" s="324"/>
      <c r="AD809" s="323"/>
      <c r="AE809" s="324"/>
      <c r="AF809" s="317"/>
      <c r="AG809" s="325" t="s">
        <v>2072</v>
      </c>
      <c r="AH809" s="326"/>
      <c r="AI809" s="317">
        <v>16</v>
      </c>
      <c r="AJ809" s="326">
        <v>43998</v>
      </c>
      <c r="AK809" s="326">
        <v>43174</v>
      </c>
      <c r="AL809" s="326">
        <v>45175</v>
      </c>
      <c r="AM809" s="316"/>
      <c r="AN809" s="305"/>
      <c r="AO809" s="327" t="str">
        <f>_xlfn.IFNA(IF(VLOOKUP(tabItens[[#This Row],[CÓDIGO]],tabExcluirDoEstoque[#Data],1,FALSE),"sim",""),"")</f>
        <v/>
      </c>
      <c r="AP809" s="328" t="str">
        <f ca="1">IF(OR(ISBLANK(tabItens[[#This Row],[ATA DT.VALID.]]),tabItens[[#This Row],[ATA DT.VALID.]]="",tabItens[[#This Row],[ATA DT.VALID.]]=" "),"",IF(TYPE(tabItens[[#This Row],[ATA DT.VALID.]])=1,ROUNDUP((tabItens[[#This Row],[ATA DT.VALID.]]-TODAY())/7,0),""))</f>
        <v/>
      </c>
      <c r="AQ809" s="329"/>
      <c r="AR809" s="330" t="str">
        <f>IF(ISBLANK(tabItens[[#This Row],[CÓDIGO]]),"",IFERROR(VLOOKUP(tabItens[[#This Row],[CÓDIGO]],Consumo!$C$2:$AC$862,26,FALSE),0))</f>
        <v>05.2023</v>
      </c>
      <c r="AS809" s="331">
        <f>SUMIF(Consumo!$C$3:$C$862,tabItens[[#This Row],[CÓDIGO]],Consumo!$N$3:$N$862) + SUMIF(Consumo!$C$3:$C$862,tabItens[[#This Row],[CÓDIGO]],Consumo!$O$3:$O$862) + SUMIF(Consumo!$C$3:$C$862,tabItens[[#This Row],[CÓDIGO]],Consumo!$P$3:$P$862) + SUMIF(Consumo!$C$3:$C$862,tabItens[[#This Row],[CÓDIGO]],Consumo!$Q$3:$Q$862)</f>
        <v>0</v>
      </c>
      <c r="AT809" s="331">
        <f>SUMIF(Consumo!$C$3:$C$862,tabItens[[#This Row],[CÓDIGO]],Consumo!$Z$3:$Z$862)</f>
        <v>45</v>
      </c>
      <c r="AU809" s="332">
        <f>SUMIF(Consumo!$C$3:$C$862,tabItens[[#This Row],[CÓDIGO]],Consumo!$AA$3:$AA$862)</f>
        <v>31</v>
      </c>
      <c r="AV809" s="333">
        <f>SUMIF(Consumo!$C$3:$C$862,tabItens[[#This Row],[CÓDIGO]],Consumo!$Y$3:$Y$862)</f>
        <v>2.9166666666666665</v>
      </c>
      <c r="AW809" s="306">
        <f>tabItens[[#This Row],[QTDE ATUAL]] + tabItens[[#This Row],[RC QTDE]] + tabItens[[#This Row],[AF SALDO]] + tabItens[[#This Row],[Recentes]]</f>
        <v>229</v>
      </c>
      <c r="AX809" s="334">
        <v>4</v>
      </c>
      <c r="AY809" s="334">
        <v>4</v>
      </c>
      <c r="AZ809" s="334">
        <f>IF(ISBLANK(tabItens[[#This Row],[CÓDIGO]]),"",tabItens[[#This Row],[PontoMês]] * (AZ$2+tabItens[[#This Row],[PontoQtM]]))</f>
        <v>16</v>
      </c>
      <c r="BA809" s="333">
        <f>tabItens[[#This Row],[PontoPed]] - tabItens[[#This Row],[Saldo]] + (1/10)</f>
        <v>-212.9</v>
      </c>
      <c r="BB809" s="333">
        <f xml:space="preserve"> tabItens[[#This Row],[PontoMês]] * BB$2 - tabItens[[#This Row],[QTDE ATUAL]] - (1/10)</f>
        <v>-225.1</v>
      </c>
      <c r="BC809" s="335">
        <f>IF( tabItens[[#This Row],[PontoPed]]&gt;0, IF(tabItens[[#This Row],[PontoPed]]&lt;1, 1, IF( tabItens[[#This Row],[Saldo]]&gt;tabItens[[#This Row],[PontoPed]], 0, (tabItens[[#This Row],[PontoPed]]-tabItens[[#This Row],[Saldo]])/tabItens[[#This Row],[PontoPed]] ) ), 0 )</f>
        <v>0</v>
      </c>
      <c r="BD809" s="336">
        <f>ROUNDDOWN(IF( OR( AND(tabItens[[#This Row],[PontoPed]]&lt;tabItens[[#This Row],[Saldo]],tabItens[[#This Row],[Saldo]]&gt;0), tabItens[[#This Row],[PontoPed]]=0), 99, IF(AND(tabItens[[#This Row],[Saldo]]=0,tabItens[[#This Row],[PontoPed]]&gt;0), 0, (1-tabItens[[#This Row],[PctAb]])*10 ) ),0)</f>
        <v>99</v>
      </c>
      <c r="BE809" s="337">
        <f>MAX(ROUNDDOWN( IF(tabItens[[#This Row],[Abaixo]] &gt; 0,   tabItens[[#This Row],[Abaixo]] + (tabItens[[#This Row],[PontoMês]] * IF( OR( ISBLANK(tabItens[[#This Row],[ATA Nº/ANO]]), tabItens[[#This Row],[ATA Nº/ANO]] = ""),BE$2,BE$1)),0),0),0)</f>
        <v>0</v>
      </c>
      <c r="BF80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9" s="338">
        <f>SUMIF(Consumo!$C$3:$C$862,tabItens[[#This Row],[CÓDIGO]],Consumo!$E$3:$E$862)</f>
        <v>0</v>
      </c>
      <c r="BH809" s="339">
        <f>IF(AND(tabItens[[#This Row],[Pend]] &gt; 0,tabItens[[#This Row],[Consumo]] &lt;&gt; 0), tabItens[[#This Row],[Pend]] / tabItens[[#This Row],[Consumo]], 0 )</f>
        <v>0</v>
      </c>
      <c r="BI809" s="338"/>
      <c r="BJ809" s="338"/>
      <c r="BK809" s="340" t="s">
        <v>2086</v>
      </c>
    </row>
    <row r="810" spans="1:63" hidden="1" x14ac:dyDescent="0.3">
      <c r="A810" s="301">
        <v>64462</v>
      </c>
      <c r="B810" s="302" t="s">
        <v>1372</v>
      </c>
      <c r="C810" s="303" t="s">
        <v>263</v>
      </c>
      <c r="D810" s="304">
        <v>0.19</v>
      </c>
      <c r="E810" s="305"/>
      <c r="F810" s="305"/>
      <c r="G810" s="305" t="s">
        <v>889</v>
      </c>
      <c r="H810" s="306">
        <v>8061</v>
      </c>
      <c r="I810" s="307">
        <v>103003</v>
      </c>
      <c r="J810" s="308">
        <v>0.19</v>
      </c>
      <c r="K810" s="309">
        <v>4039</v>
      </c>
      <c r="L810" s="310">
        <f>IF(tabItens[[#This Row],[Média]] &gt; 0, tabItens[[#This Row],[QTDE ATUAL]] / tabItens[[#This Row],[Média]],999.9)</f>
        <v>22.293616040562341</v>
      </c>
      <c r="M810" s="311">
        <v>0</v>
      </c>
      <c r="N810" s="312">
        <f>tabItens[[#This Row],[VALOR UNIT.]] * tabItens[[#This Row],[LC]]</f>
        <v>0</v>
      </c>
      <c r="O810" s="313"/>
      <c r="P810" s="314"/>
      <c r="Q810" s="315"/>
      <c r="R810" s="312"/>
      <c r="S810" s="316"/>
      <c r="T810" s="317">
        <f>ROUNDDOWN(IFERROR(tabItens[[#This Row],[ATA DT.VALID.]] - $D$1,0) / 30,0)</f>
        <v>-1474</v>
      </c>
      <c r="U810" s="302" t="s">
        <v>1373</v>
      </c>
      <c r="V810" s="318">
        <v>1</v>
      </c>
      <c r="W810" s="319" t="s">
        <v>2078</v>
      </c>
      <c r="X810" s="320">
        <v>67</v>
      </c>
      <c r="Y810" s="321">
        <v>4</v>
      </c>
      <c r="Z810" s="322"/>
      <c r="AA810" s="323"/>
      <c r="AB810" s="324"/>
      <c r="AC810" s="324"/>
      <c r="AD810" s="323"/>
      <c r="AE810" s="324"/>
      <c r="AF810" s="317"/>
      <c r="AG810" s="325" t="s">
        <v>2072</v>
      </c>
      <c r="AH810" s="326"/>
      <c r="AI810" s="317">
        <v>1446</v>
      </c>
      <c r="AJ810" s="326">
        <v>45201</v>
      </c>
      <c r="AK810" s="326" t="s">
        <v>889</v>
      </c>
      <c r="AL810" s="326">
        <v>45189</v>
      </c>
      <c r="AM810" s="316"/>
      <c r="AN810" s="305"/>
      <c r="AO810" s="327" t="str">
        <f>_xlfn.IFNA(IF(VLOOKUP(tabItens[[#This Row],[CÓDIGO]],tabExcluirDoEstoque[#Data],1,FALSE),"sim",""),"")</f>
        <v/>
      </c>
      <c r="AP810" s="328" t="str">
        <f ca="1">IF(OR(ISBLANK(tabItens[[#This Row],[ATA DT.VALID.]]),tabItens[[#This Row],[ATA DT.VALID.]]="",tabItens[[#This Row],[ATA DT.VALID.]]=" "),"",IF(TYPE(tabItens[[#This Row],[ATA DT.VALID.]])=1,ROUNDUP((tabItens[[#This Row],[ATA DT.VALID.]]-TODAY())/7,0),""))</f>
        <v/>
      </c>
      <c r="AQ810" s="329"/>
      <c r="AR810" s="330" t="str">
        <f>IF(ISBLANK(tabItens[[#This Row],[CÓDIGO]]),"",IFERROR(VLOOKUP(tabItens[[#This Row],[CÓDIGO]],Consumo!$C$2:$AC$862,26,FALSE),0))</f>
        <v>05.2023</v>
      </c>
      <c r="AS810" s="331">
        <f>SUMIF(Consumo!$C$3:$C$862,tabItens[[#This Row],[CÓDIGO]],Consumo!$N$3:$N$862) + SUMIF(Consumo!$C$3:$C$862,tabItens[[#This Row],[CÓDIGO]],Consumo!$O$3:$O$862) + SUMIF(Consumo!$C$3:$C$862,tabItens[[#This Row],[CÓDIGO]],Consumo!$P$3:$P$862) + SUMIF(Consumo!$C$3:$C$862,tabItens[[#This Row],[CÓDIGO]],Consumo!$Q$3:$Q$862)</f>
        <v>0</v>
      </c>
      <c r="AT810" s="331">
        <f>SUMIF(Consumo!$C$3:$C$862,tabItens[[#This Row],[CÓDIGO]],Consumo!$Z$3:$Z$862)</f>
        <v>4339</v>
      </c>
      <c r="AU810" s="332">
        <f>SUMIF(Consumo!$C$3:$C$862,tabItens[[#This Row],[CÓDIGO]],Consumo!$AA$3:$AA$862)</f>
        <v>1000</v>
      </c>
      <c r="AV810" s="333">
        <f>SUMIF(Consumo!$C$3:$C$862,tabItens[[#This Row],[CÓDIGO]],Consumo!$Y$3:$Y$862)</f>
        <v>361.58333333333331</v>
      </c>
      <c r="AW810" s="306">
        <f>tabItens[[#This Row],[QTDE ATUAL]] + tabItens[[#This Row],[RC QTDE]] + tabItens[[#This Row],[AF SALDO]] + tabItens[[#This Row],[Recentes]]</f>
        <v>8061</v>
      </c>
      <c r="AX810" s="334">
        <v>107</v>
      </c>
      <c r="AY810" s="334">
        <v>4</v>
      </c>
      <c r="AZ810" s="334">
        <f>IF(ISBLANK(tabItens[[#This Row],[CÓDIGO]]),"",tabItens[[#This Row],[PontoMês]] * (AZ$2+tabItens[[#This Row],[PontoQtM]]))</f>
        <v>428</v>
      </c>
      <c r="BA810" s="333">
        <f>tabItens[[#This Row],[PontoPed]] - tabItens[[#This Row],[Saldo]] + (1/10)</f>
        <v>-7632.9</v>
      </c>
      <c r="BB810" s="333">
        <f xml:space="preserve"> tabItens[[#This Row],[PontoMês]] * BB$2 - tabItens[[#This Row],[QTDE ATUAL]] - (1/10)</f>
        <v>-7954.1</v>
      </c>
      <c r="BC810" s="335">
        <f>IF( tabItens[[#This Row],[PontoPed]]&gt;0, IF(tabItens[[#This Row],[PontoPed]]&lt;1, 1, IF( tabItens[[#This Row],[Saldo]]&gt;tabItens[[#This Row],[PontoPed]], 0, (tabItens[[#This Row],[PontoPed]]-tabItens[[#This Row],[Saldo]])/tabItens[[#This Row],[PontoPed]] ) ), 0 )</f>
        <v>0</v>
      </c>
      <c r="BD810" s="336">
        <f>ROUNDDOWN(IF( OR( AND(tabItens[[#This Row],[PontoPed]]&lt;tabItens[[#This Row],[Saldo]],tabItens[[#This Row],[Saldo]]&gt;0), tabItens[[#This Row],[PontoPed]]=0), 99, IF(AND(tabItens[[#This Row],[Saldo]]=0,tabItens[[#This Row],[PontoPed]]&gt;0), 0, (1-tabItens[[#This Row],[PctAb]])*10 ) ),0)</f>
        <v>99</v>
      </c>
      <c r="BE810" s="337">
        <f>MAX(ROUNDDOWN( IF(tabItens[[#This Row],[Abaixo]] &gt; 0,   tabItens[[#This Row],[Abaixo]] + (tabItens[[#This Row],[PontoMês]] * IF( OR( ISBLANK(tabItens[[#This Row],[ATA Nº/ANO]]), tabItens[[#This Row],[ATA Nº/ANO]] = ""),BE$2,BE$1)),0),0),0)</f>
        <v>0</v>
      </c>
      <c r="BF81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0" s="338">
        <f>SUMIF(Consumo!$C$3:$C$862,tabItens[[#This Row],[CÓDIGO]],Consumo!$E$3:$E$862)</f>
        <v>0</v>
      </c>
      <c r="BH810" s="339">
        <f>IF(AND(tabItens[[#This Row],[Pend]] &gt; 0,tabItens[[#This Row],[Consumo]] &lt;&gt; 0), tabItens[[#This Row],[Pend]] / tabItens[[#This Row],[Consumo]], 0 )</f>
        <v>0</v>
      </c>
      <c r="BI810" s="338"/>
      <c r="BJ810" s="338"/>
      <c r="BK810" s="340" t="s">
        <v>2086</v>
      </c>
    </row>
    <row r="811" spans="1:63" hidden="1" x14ac:dyDescent="0.3">
      <c r="A811" s="301">
        <v>23676</v>
      </c>
      <c r="B811" s="302" t="s">
        <v>1179</v>
      </c>
      <c r="C811" s="303" t="s">
        <v>847</v>
      </c>
      <c r="D811" s="304">
        <v>7.0000000000000007E-2</v>
      </c>
      <c r="E811" s="305"/>
      <c r="F811" s="305"/>
      <c r="G811" s="305" t="s">
        <v>889</v>
      </c>
      <c r="H811" s="306">
        <v>1931</v>
      </c>
      <c r="I811" s="307">
        <v>103003</v>
      </c>
      <c r="J811" s="308">
        <v>7.0000000000000007E-2</v>
      </c>
      <c r="K811" s="309">
        <v>3232</v>
      </c>
      <c r="L811" s="310">
        <f>IF(tabItens[[#This Row],[Média]] &gt; 0, tabItens[[#This Row],[QTDE ATUAL]] / tabItens[[#This Row],[Média]],999.9)</f>
        <v>7.0517346317711507</v>
      </c>
      <c r="M811" s="311">
        <v>0</v>
      </c>
      <c r="N811" s="312">
        <f>tabItens[[#This Row],[VALOR UNIT.]] * tabItens[[#This Row],[LC]]</f>
        <v>0</v>
      </c>
      <c r="O811" s="313"/>
      <c r="P811" s="314"/>
      <c r="Q811" s="315"/>
      <c r="R811" s="312"/>
      <c r="S811" s="316"/>
      <c r="T811" s="317">
        <f>ROUNDDOWN(IFERROR(tabItens[[#This Row],[ATA DT.VALID.]] - $D$1,0) / 30,0)</f>
        <v>-1474</v>
      </c>
      <c r="U811" s="302" t="s">
        <v>1180</v>
      </c>
      <c r="V811" s="318">
        <v>1</v>
      </c>
      <c r="W811" s="319" t="s">
        <v>2078</v>
      </c>
      <c r="X811" s="320">
        <v>67</v>
      </c>
      <c r="Y811" s="321">
        <v>5</v>
      </c>
      <c r="Z811" s="322"/>
      <c r="AA811" s="323"/>
      <c r="AB811" s="324"/>
      <c r="AC811" s="324"/>
      <c r="AD811" s="323"/>
      <c r="AE811" s="324"/>
      <c r="AF811" s="317"/>
      <c r="AG811" s="325" t="s">
        <v>2072</v>
      </c>
      <c r="AH811" s="326"/>
      <c r="AI811" s="317">
        <v>1270</v>
      </c>
      <c r="AJ811" s="326">
        <v>43864</v>
      </c>
      <c r="AK811" s="326" t="s">
        <v>889</v>
      </c>
      <c r="AL811" s="326">
        <v>43826</v>
      </c>
      <c r="AM811" s="316"/>
      <c r="AN811" s="305"/>
      <c r="AO811" s="327" t="str">
        <f>_xlfn.IFNA(IF(VLOOKUP(tabItens[[#This Row],[CÓDIGO]],tabExcluirDoEstoque[#Data],1,FALSE),"sim",""),"")</f>
        <v/>
      </c>
      <c r="AP811" s="328" t="str">
        <f ca="1">IF(OR(ISBLANK(tabItens[[#This Row],[ATA DT.VALID.]]),tabItens[[#This Row],[ATA DT.VALID.]]="",tabItens[[#This Row],[ATA DT.VALID.]]=" "),"",IF(TYPE(tabItens[[#This Row],[ATA DT.VALID.]])=1,ROUNDUP((tabItens[[#This Row],[ATA DT.VALID.]]-TODAY())/7,0),""))</f>
        <v/>
      </c>
      <c r="AQ811" s="329"/>
      <c r="AR811" s="330" t="str">
        <f>IF(ISBLANK(tabItens[[#This Row],[CÓDIGO]]),"",IFERROR(VLOOKUP(tabItens[[#This Row],[CÓDIGO]],Consumo!$C$2:$AC$862,26,FALSE),0))</f>
        <v>08.2023</v>
      </c>
      <c r="AS811" s="331">
        <f>SUMIF(Consumo!$C$3:$C$862,tabItens[[#This Row],[CÓDIGO]],Consumo!$N$3:$N$862) + SUMIF(Consumo!$C$3:$C$862,tabItens[[#This Row],[CÓDIGO]],Consumo!$O$3:$O$862) + SUMIF(Consumo!$C$3:$C$862,tabItens[[#This Row],[CÓDIGO]],Consumo!$P$3:$P$862) + SUMIF(Consumo!$C$3:$C$862,tabItens[[#This Row],[CÓDIGO]],Consumo!$Q$3:$Q$862)</f>
        <v>2170</v>
      </c>
      <c r="AT811" s="331">
        <f>SUMIF(Consumo!$C$3:$C$862,tabItens[[#This Row],[CÓDIGO]],Consumo!$Z$3:$Z$862)</f>
        <v>3811</v>
      </c>
      <c r="AU811" s="332">
        <f>SUMIF(Consumo!$C$3:$C$862,tabItens[[#This Row],[CÓDIGO]],Consumo!$AA$3:$AA$862)</f>
        <v>1820</v>
      </c>
      <c r="AV811" s="333">
        <f>SUMIF(Consumo!$C$3:$C$862,tabItens[[#This Row],[CÓDIGO]],Consumo!$Y$3:$Y$862)</f>
        <v>273.83333333333331</v>
      </c>
      <c r="AW811" s="306">
        <f>tabItens[[#This Row],[QTDE ATUAL]] + tabItens[[#This Row],[RC QTDE]] + tabItens[[#This Row],[AF SALDO]] + tabItens[[#This Row],[Recentes]]</f>
        <v>1931</v>
      </c>
      <c r="AX811" s="334">
        <v>270</v>
      </c>
      <c r="AY811" s="334">
        <v>4</v>
      </c>
      <c r="AZ811" s="334">
        <f>IF(ISBLANK(tabItens[[#This Row],[CÓDIGO]]),"",tabItens[[#This Row],[PontoMês]] * (AZ$2+tabItens[[#This Row],[PontoQtM]]))</f>
        <v>1080</v>
      </c>
      <c r="BA811" s="333">
        <f>tabItens[[#This Row],[PontoPed]] - tabItens[[#This Row],[Saldo]] + (1/10)</f>
        <v>-850.9</v>
      </c>
      <c r="BB811" s="333">
        <f xml:space="preserve"> tabItens[[#This Row],[PontoMês]] * BB$2 - tabItens[[#This Row],[QTDE ATUAL]] - (1/10)</f>
        <v>-1661.1</v>
      </c>
      <c r="BC811" s="335">
        <f>IF( tabItens[[#This Row],[PontoPed]]&gt;0, IF(tabItens[[#This Row],[PontoPed]]&lt;1, 1, IF( tabItens[[#This Row],[Saldo]]&gt;tabItens[[#This Row],[PontoPed]], 0, (tabItens[[#This Row],[PontoPed]]-tabItens[[#This Row],[Saldo]])/tabItens[[#This Row],[PontoPed]] ) ), 0 )</f>
        <v>0</v>
      </c>
      <c r="BD811" s="336">
        <f>ROUNDDOWN(IF( OR( AND(tabItens[[#This Row],[PontoPed]]&lt;tabItens[[#This Row],[Saldo]],tabItens[[#This Row],[Saldo]]&gt;0), tabItens[[#This Row],[PontoPed]]=0), 99, IF(AND(tabItens[[#This Row],[Saldo]]=0,tabItens[[#This Row],[PontoPed]]&gt;0), 0, (1-tabItens[[#This Row],[PctAb]])*10 ) ),0)</f>
        <v>99</v>
      </c>
      <c r="BE811" s="337">
        <f>MAX(ROUNDDOWN( IF(tabItens[[#This Row],[Abaixo]] &gt; 0,   tabItens[[#This Row],[Abaixo]] + (tabItens[[#This Row],[PontoMês]] * IF( OR( ISBLANK(tabItens[[#This Row],[ATA Nº/ANO]]), tabItens[[#This Row],[ATA Nº/ANO]] = ""),BE$2,BE$1)),0),0),0)</f>
        <v>0</v>
      </c>
      <c r="BF81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1" s="338">
        <f>SUMIF(Consumo!$C$3:$C$862,tabItens[[#This Row],[CÓDIGO]],Consumo!$E$3:$E$862)</f>
        <v>0</v>
      </c>
      <c r="BH811" s="339">
        <f>IF(AND(tabItens[[#This Row],[Pend]] &gt; 0,tabItens[[#This Row],[Consumo]] &lt;&gt; 0), tabItens[[#This Row],[Pend]] / tabItens[[#This Row],[Consumo]], 0 )</f>
        <v>0</v>
      </c>
      <c r="BI811" s="338"/>
      <c r="BJ811" s="338"/>
      <c r="BK811" s="340" t="s">
        <v>2086</v>
      </c>
    </row>
    <row r="812" spans="1:63" hidden="1" x14ac:dyDescent="0.3">
      <c r="A812" s="301">
        <v>54029</v>
      </c>
      <c r="B812" s="302" t="s">
        <v>1317</v>
      </c>
      <c r="C812" s="303" t="s">
        <v>31</v>
      </c>
      <c r="D812" s="304">
        <v>0.08</v>
      </c>
      <c r="E812" s="305"/>
      <c r="F812" s="305"/>
      <c r="G812" s="305" t="s">
        <v>889</v>
      </c>
      <c r="H812" s="306">
        <v>2115</v>
      </c>
      <c r="I812" s="307">
        <v>103003</v>
      </c>
      <c r="J812" s="308">
        <v>0.08</v>
      </c>
      <c r="K812" s="309">
        <v>1550</v>
      </c>
      <c r="L812" s="310">
        <f>IF(tabItens[[#This Row],[Média]] &gt; 0, tabItens[[#This Row],[QTDE ATUAL]] / tabItens[[#This Row],[Média]],999.9)</f>
        <v>20.33653846153846</v>
      </c>
      <c r="M812" s="311">
        <v>0</v>
      </c>
      <c r="N812" s="312">
        <f>tabItens[[#This Row],[VALOR UNIT.]] * tabItens[[#This Row],[LC]]</f>
        <v>0</v>
      </c>
      <c r="O812" s="313"/>
      <c r="P812" s="314"/>
      <c r="Q812" s="315"/>
      <c r="R812" s="312"/>
      <c r="S812" s="316"/>
      <c r="T812" s="317">
        <f>ROUNDDOWN(IFERROR(tabItens[[#This Row],[ATA DT.VALID.]] - $D$1,0) / 30,0)</f>
        <v>-1474</v>
      </c>
      <c r="U812" s="302" t="s">
        <v>1180</v>
      </c>
      <c r="V812" s="318">
        <v>1</v>
      </c>
      <c r="W812" s="319" t="s">
        <v>2078</v>
      </c>
      <c r="X812" s="320">
        <v>67</v>
      </c>
      <c r="Y812" s="321">
        <v>5</v>
      </c>
      <c r="Z812" s="322"/>
      <c r="AA812" s="323"/>
      <c r="AB812" s="324"/>
      <c r="AC812" s="324"/>
      <c r="AD812" s="323"/>
      <c r="AE812" s="324"/>
      <c r="AF812" s="317"/>
      <c r="AG812" s="325" t="s">
        <v>2072</v>
      </c>
      <c r="AH812" s="326"/>
      <c r="AI812" s="317">
        <v>516</v>
      </c>
      <c r="AJ812" s="326">
        <v>44161</v>
      </c>
      <c r="AK812" s="326" t="s">
        <v>889</v>
      </c>
      <c r="AL812" s="326">
        <v>44369</v>
      </c>
      <c r="AM812" s="316"/>
      <c r="AN812" s="305"/>
      <c r="AO812" s="327" t="str">
        <f>_xlfn.IFNA(IF(VLOOKUP(tabItens[[#This Row],[CÓDIGO]],tabExcluirDoEstoque[#Data],1,FALSE),"sim",""),"")</f>
        <v/>
      </c>
      <c r="AP812" s="328" t="str">
        <f ca="1">IF(OR(ISBLANK(tabItens[[#This Row],[ATA DT.VALID.]]),tabItens[[#This Row],[ATA DT.VALID.]]="",tabItens[[#This Row],[ATA DT.VALID.]]=" "),"",IF(TYPE(tabItens[[#This Row],[ATA DT.VALID.]])=1,ROUNDUP((tabItens[[#This Row],[ATA DT.VALID.]]-TODAY())/7,0),""))</f>
        <v/>
      </c>
      <c r="AQ812" s="329"/>
      <c r="AR812" s="330" t="str">
        <f>IF(ISBLANK(tabItens[[#This Row],[CÓDIGO]]),"",IFERROR(VLOOKUP(tabItens[[#This Row],[CÓDIGO]],Consumo!$C$2:$AC$862,26,FALSE),0))</f>
        <v>08.2023</v>
      </c>
      <c r="AS812" s="331">
        <f>SUMIF(Consumo!$C$3:$C$862,tabItens[[#This Row],[CÓDIGO]],Consumo!$N$3:$N$862) + SUMIF(Consumo!$C$3:$C$862,tabItens[[#This Row],[CÓDIGO]],Consumo!$O$3:$O$862) + SUMIF(Consumo!$C$3:$C$862,tabItens[[#This Row],[CÓDIGO]],Consumo!$P$3:$P$862) + SUMIF(Consumo!$C$3:$C$862,tabItens[[#This Row],[CÓDIGO]],Consumo!$Q$3:$Q$862)</f>
        <v>1000</v>
      </c>
      <c r="AT812" s="331">
        <f>SUMIF(Consumo!$C$3:$C$862,tabItens[[#This Row],[CÓDIGO]],Consumo!$Z$3:$Z$862)</f>
        <v>1550</v>
      </c>
      <c r="AU812" s="332">
        <f>SUMIF(Consumo!$C$3:$C$862,tabItens[[#This Row],[CÓDIGO]],Consumo!$AA$3:$AA$862)</f>
        <v>1000</v>
      </c>
      <c r="AV812" s="333">
        <f>SUMIF(Consumo!$C$3:$C$862,tabItens[[#This Row],[CÓDIGO]],Consumo!$Y$3:$Y$862)</f>
        <v>104</v>
      </c>
      <c r="AW812" s="306">
        <f>tabItens[[#This Row],[QTDE ATUAL]] + tabItens[[#This Row],[RC QTDE]] + tabItens[[#This Row],[AF SALDO]] + tabItens[[#This Row],[Recentes]]</f>
        <v>2115</v>
      </c>
      <c r="AX812" s="334">
        <v>113</v>
      </c>
      <c r="AY812" s="334">
        <v>4</v>
      </c>
      <c r="AZ812" s="334">
        <f>IF(ISBLANK(tabItens[[#This Row],[CÓDIGO]]),"",tabItens[[#This Row],[PontoMês]] * (AZ$2+tabItens[[#This Row],[PontoQtM]]))</f>
        <v>452</v>
      </c>
      <c r="BA812" s="333">
        <f>tabItens[[#This Row],[PontoPed]] - tabItens[[#This Row],[Saldo]] + (1/10)</f>
        <v>-1662.9</v>
      </c>
      <c r="BB812" s="333">
        <f xml:space="preserve"> tabItens[[#This Row],[PontoMês]] * BB$2 - tabItens[[#This Row],[QTDE ATUAL]] - (1/10)</f>
        <v>-2002.1</v>
      </c>
      <c r="BC812" s="335">
        <f>IF( tabItens[[#This Row],[PontoPed]]&gt;0, IF(tabItens[[#This Row],[PontoPed]]&lt;1, 1, IF( tabItens[[#This Row],[Saldo]]&gt;tabItens[[#This Row],[PontoPed]], 0, (tabItens[[#This Row],[PontoPed]]-tabItens[[#This Row],[Saldo]])/tabItens[[#This Row],[PontoPed]] ) ), 0 )</f>
        <v>0</v>
      </c>
      <c r="BD812" s="336">
        <f>ROUNDDOWN(IF( OR( AND(tabItens[[#This Row],[PontoPed]]&lt;tabItens[[#This Row],[Saldo]],tabItens[[#This Row],[Saldo]]&gt;0), tabItens[[#This Row],[PontoPed]]=0), 99, IF(AND(tabItens[[#This Row],[Saldo]]=0,tabItens[[#This Row],[PontoPed]]&gt;0), 0, (1-tabItens[[#This Row],[PctAb]])*10 ) ),0)</f>
        <v>99</v>
      </c>
      <c r="BE812" s="337">
        <f>MAX(ROUNDDOWN( IF(tabItens[[#This Row],[Abaixo]] &gt; 0,   tabItens[[#This Row],[Abaixo]] + (tabItens[[#This Row],[PontoMês]] * IF( OR( ISBLANK(tabItens[[#This Row],[ATA Nº/ANO]]), tabItens[[#This Row],[ATA Nº/ANO]] = ""),BE$2,BE$1)),0),0),0)</f>
        <v>0</v>
      </c>
      <c r="BF81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2" s="338">
        <f>SUMIF(Consumo!$C$3:$C$862,tabItens[[#This Row],[CÓDIGO]],Consumo!$E$3:$E$862)</f>
        <v>0</v>
      </c>
      <c r="BH812" s="339">
        <f>IF(AND(tabItens[[#This Row],[Pend]] &gt; 0,tabItens[[#This Row],[Consumo]] &lt;&gt; 0), tabItens[[#This Row],[Pend]] / tabItens[[#This Row],[Consumo]], 0 )</f>
        <v>0</v>
      </c>
      <c r="BI812" s="338"/>
      <c r="BJ812" s="338"/>
      <c r="BK812" s="340" t="s">
        <v>2086</v>
      </c>
    </row>
    <row r="813" spans="1:63" hidden="1" x14ac:dyDescent="0.3">
      <c r="A813" s="301">
        <v>54032</v>
      </c>
      <c r="B813" s="302" t="s">
        <v>1318</v>
      </c>
      <c r="C813" s="303" t="s">
        <v>263</v>
      </c>
      <c r="D813" s="304">
        <v>7.0000000000000007E-2</v>
      </c>
      <c r="E813" s="305"/>
      <c r="F813" s="305"/>
      <c r="G813" s="305" t="s">
        <v>889</v>
      </c>
      <c r="H813" s="306">
        <v>22466</v>
      </c>
      <c r="I813" s="307">
        <v>103003</v>
      </c>
      <c r="J813" s="308">
        <v>7.0000000000000007E-2</v>
      </c>
      <c r="K813" s="309">
        <v>10324</v>
      </c>
      <c r="L813" s="310">
        <f>IF(tabItens[[#This Row],[Média]] &gt; 0, tabItens[[#This Row],[QTDE ATUAL]] / tabItens[[#This Row],[Média]],999.9)</f>
        <v>22.800405953991881</v>
      </c>
      <c r="M813" s="311">
        <v>0</v>
      </c>
      <c r="N813" s="312">
        <f>tabItens[[#This Row],[VALOR UNIT.]] * tabItens[[#This Row],[LC]]</f>
        <v>0</v>
      </c>
      <c r="O813" s="313"/>
      <c r="P813" s="314"/>
      <c r="Q813" s="315"/>
      <c r="R813" s="312"/>
      <c r="S813" s="316"/>
      <c r="T813" s="317">
        <f>ROUNDDOWN(IFERROR(tabItens[[#This Row],[ATA DT.VALID.]] - $D$1,0) / 30,0)</f>
        <v>-1474</v>
      </c>
      <c r="U813" s="302" t="s">
        <v>1180</v>
      </c>
      <c r="V813" s="318">
        <v>1</v>
      </c>
      <c r="W813" s="319" t="s">
        <v>2078</v>
      </c>
      <c r="X813" s="320">
        <v>67</v>
      </c>
      <c r="Y813" s="321">
        <v>5</v>
      </c>
      <c r="Z813" s="322"/>
      <c r="AA813" s="323"/>
      <c r="AB813" s="324"/>
      <c r="AC813" s="324"/>
      <c r="AD813" s="323"/>
      <c r="AE813" s="324"/>
      <c r="AF813" s="317"/>
      <c r="AG813" s="325" t="s">
        <v>2072</v>
      </c>
      <c r="AH813" s="326"/>
      <c r="AI813" s="317">
        <v>3942</v>
      </c>
      <c r="AJ813" s="326">
        <v>44560</v>
      </c>
      <c r="AK813" s="326" t="s">
        <v>889</v>
      </c>
      <c r="AL813" s="326">
        <v>44547</v>
      </c>
      <c r="AM813" s="316"/>
      <c r="AN813" s="305"/>
      <c r="AO813" s="327" t="str">
        <f>_xlfn.IFNA(IF(VLOOKUP(tabItens[[#This Row],[CÓDIGO]],tabExcluirDoEstoque[#Data],1,FALSE),"sim",""),"")</f>
        <v/>
      </c>
      <c r="AP813" s="328" t="str">
        <f ca="1">IF(OR(ISBLANK(tabItens[[#This Row],[ATA DT.VALID.]]),tabItens[[#This Row],[ATA DT.VALID.]]="",tabItens[[#This Row],[ATA DT.VALID.]]=" "),"",IF(TYPE(tabItens[[#This Row],[ATA DT.VALID.]])=1,ROUNDUP((tabItens[[#This Row],[ATA DT.VALID.]]-TODAY())/7,0),""))</f>
        <v/>
      </c>
      <c r="AQ813" s="329"/>
      <c r="AR813" s="330" t="str">
        <f>IF(ISBLANK(tabItens[[#This Row],[CÓDIGO]]),"",IFERROR(VLOOKUP(tabItens[[#This Row],[CÓDIGO]],Consumo!$C$2:$AC$862,26,FALSE),0))</f>
        <v>08.2023</v>
      </c>
      <c r="AS813" s="331">
        <f>SUMIF(Consumo!$C$3:$C$862,tabItens[[#This Row],[CÓDIGO]],Consumo!$N$3:$N$862) + SUMIF(Consumo!$C$3:$C$862,tabItens[[#This Row],[CÓDIGO]],Consumo!$O$3:$O$862) + SUMIF(Consumo!$C$3:$C$862,tabItens[[#This Row],[CÓDIGO]],Consumo!$P$3:$P$862) + SUMIF(Consumo!$C$3:$C$862,tabItens[[#This Row],[CÓDIGO]],Consumo!$Q$3:$Q$862)</f>
        <v>1000</v>
      </c>
      <c r="AT813" s="331">
        <f>SUMIF(Consumo!$C$3:$C$862,tabItens[[#This Row],[CÓDIGO]],Consumo!$Z$3:$Z$862)</f>
        <v>11824</v>
      </c>
      <c r="AU813" s="332">
        <f>SUMIF(Consumo!$C$3:$C$862,tabItens[[#This Row],[CÓDIGO]],Consumo!$AA$3:$AA$862)</f>
        <v>2010</v>
      </c>
      <c r="AV813" s="333">
        <f>SUMIF(Consumo!$C$3:$C$862,tabItens[[#This Row],[CÓDIGO]],Consumo!$Y$3:$Y$862)</f>
        <v>985.33333333333337</v>
      </c>
      <c r="AW813" s="306">
        <f>tabItens[[#This Row],[QTDE ATUAL]] + tabItens[[#This Row],[RC QTDE]] + tabItens[[#This Row],[AF SALDO]] + tabItens[[#This Row],[Recentes]]</f>
        <v>22466</v>
      </c>
      <c r="AX813" s="334">
        <v>117</v>
      </c>
      <c r="AY813" s="334">
        <v>4</v>
      </c>
      <c r="AZ813" s="334">
        <f>IF(ISBLANK(tabItens[[#This Row],[CÓDIGO]]),"",tabItens[[#This Row],[PontoMês]] * (AZ$2+tabItens[[#This Row],[PontoQtM]]))</f>
        <v>468</v>
      </c>
      <c r="BA813" s="333">
        <f>tabItens[[#This Row],[PontoPed]] - tabItens[[#This Row],[Saldo]] + (1/10)</f>
        <v>-21997.9</v>
      </c>
      <c r="BB813" s="333">
        <f xml:space="preserve"> tabItens[[#This Row],[PontoMês]] * BB$2 - tabItens[[#This Row],[QTDE ATUAL]] - (1/10)</f>
        <v>-22349.1</v>
      </c>
      <c r="BC813" s="335">
        <f>IF( tabItens[[#This Row],[PontoPed]]&gt;0, IF(tabItens[[#This Row],[PontoPed]]&lt;1, 1, IF( tabItens[[#This Row],[Saldo]]&gt;tabItens[[#This Row],[PontoPed]], 0, (tabItens[[#This Row],[PontoPed]]-tabItens[[#This Row],[Saldo]])/tabItens[[#This Row],[PontoPed]] ) ), 0 )</f>
        <v>0</v>
      </c>
      <c r="BD813" s="336">
        <f>ROUNDDOWN(IF( OR( AND(tabItens[[#This Row],[PontoPed]]&lt;tabItens[[#This Row],[Saldo]],tabItens[[#This Row],[Saldo]]&gt;0), tabItens[[#This Row],[PontoPed]]=0), 99, IF(AND(tabItens[[#This Row],[Saldo]]=0,tabItens[[#This Row],[PontoPed]]&gt;0), 0, (1-tabItens[[#This Row],[PctAb]])*10 ) ),0)</f>
        <v>99</v>
      </c>
      <c r="BE813" s="337">
        <f>MAX(ROUNDDOWN( IF(tabItens[[#This Row],[Abaixo]] &gt; 0,   tabItens[[#This Row],[Abaixo]] + (tabItens[[#This Row],[PontoMês]] * IF( OR( ISBLANK(tabItens[[#This Row],[ATA Nº/ANO]]), tabItens[[#This Row],[ATA Nº/ANO]] = ""),BE$2,BE$1)),0),0),0)</f>
        <v>0</v>
      </c>
      <c r="BF81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3" s="338">
        <f>SUMIF(Consumo!$C$3:$C$862,tabItens[[#This Row],[CÓDIGO]],Consumo!$E$3:$E$862)</f>
        <v>0</v>
      </c>
      <c r="BH813" s="339">
        <f>IF(AND(tabItens[[#This Row],[Pend]] &gt; 0,tabItens[[#This Row],[Consumo]] &lt;&gt; 0), tabItens[[#This Row],[Pend]] / tabItens[[#This Row],[Consumo]], 0 )</f>
        <v>0</v>
      </c>
      <c r="BI813" s="338"/>
      <c r="BJ813" s="338"/>
      <c r="BK813" s="340" t="s">
        <v>2086</v>
      </c>
    </row>
    <row r="814" spans="1:63" hidden="1" x14ac:dyDescent="0.3">
      <c r="A814" s="301">
        <v>64466</v>
      </c>
      <c r="B814" s="302" t="s">
        <v>1374</v>
      </c>
      <c r="C814" s="303" t="s">
        <v>263</v>
      </c>
      <c r="D814" s="304">
        <v>7.0000000000000007E-2</v>
      </c>
      <c r="E814" s="305"/>
      <c r="F814" s="305"/>
      <c r="G814" s="305" t="s">
        <v>889</v>
      </c>
      <c r="H814" s="306">
        <v>5067</v>
      </c>
      <c r="I814" s="307">
        <v>103003</v>
      </c>
      <c r="J814" s="308">
        <v>7.0000000000000007E-2</v>
      </c>
      <c r="K814" s="309">
        <v>195</v>
      </c>
      <c r="L814" s="310">
        <f>IF(tabItens[[#This Row],[Média]] &gt; 0, tabItens[[#This Row],[QTDE ATUAL]] / tabItens[[#This Row],[Média]],999.9)</f>
        <v>366.28915662650599</v>
      </c>
      <c r="M814" s="311">
        <v>0</v>
      </c>
      <c r="N814" s="312">
        <f>tabItens[[#This Row],[VALOR UNIT.]] * tabItens[[#This Row],[LC]]</f>
        <v>0</v>
      </c>
      <c r="O814" s="313"/>
      <c r="P814" s="314"/>
      <c r="Q814" s="315"/>
      <c r="R814" s="312"/>
      <c r="S814" s="316"/>
      <c r="T814" s="317">
        <f>ROUNDDOWN(IFERROR(tabItens[[#This Row],[ATA DT.VALID.]] - $D$1,0) / 30,0)</f>
        <v>-1474</v>
      </c>
      <c r="U814" s="302" t="s">
        <v>1180</v>
      </c>
      <c r="V814" s="318">
        <v>1</v>
      </c>
      <c r="W814" s="319" t="s">
        <v>2078</v>
      </c>
      <c r="X814" s="320">
        <v>67</v>
      </c>
      <c r="Y814" s="321">
        <v>5</v>
      </c>
      <c r="Z814" s="322"/>
      <c r="AA814" s="323"/>
      <c r="AB814" s="324"/>
      <c r="AC814" s="324"/>
      <c r="AD814" s="323"/>
      <c r="AE814" s="324"/>
      <c r="AF814" s="317"/>
      <c r="AG814" s="325" t="s">
        <v>2072</v>
      </c>
      <c r="AH814" s="326"/>
      <c r="AI814" s="317">
        <v>66</v>
      </c>
      <c r="AJ814" s="326">
        <v>43864</v>
      </c>
      <c r="AK814" s="326" t="s">
        <v>889</v>
      </c>
      <c r="AL814" s="326">
        <v>43826</v>
      </c>
      <c r="AM814" s="316"/>
      <c r="AN814" s="305"/>
      <c r="AO814" s="327" t="str">
        <f>_xlfn.IFNA(IF(VLOOKUP(tabItens[[#This Row],[CÓDIGO]],tabExcluirDoEstoque[#Data],1,FALSE),"sim",""),"")</f>
        <v/>
      </c>
      <c r="AP814" s="328" t="str">
        <f ca="1">IF(OR(ISBLANK(tabItens[[#This Row],[ATA DT.VALID.]]),tabItens[[#This Row],[ATA DT.VALID.]]="",tabItens[[#This Row],[ATA DT.VALID.]]=" "),"",IF(TYPE(tabItens[[#This Row],[ATA DT.VALID.]])=1,ROUNDUP((tabItens[[#This Row],[ATA DT.VALID.]]-TODAY())/7,0),""))</f>
        <v/>
      </c>
      <c r="AQ814" s="329"/>
      <c r="AR814" s="330" t="str">
        <f>IF(ISBLANK(tabItens[[#This Row],[CÓDIGO]]),"",IFERROR(VLOOKUP(tabItens[[#This Row],[CÓDIGO]],Consumo!$C$2:$AC$862,26,FALSE),0))</f>
        <v>03.2023</v>
      </c>
      <c r="AS814" s="331">
        <f>SUMIF(Consumo!$C$3:$C$862,tabItens[[#This Row],[CÓDIGO]],Consumo!$N$3:$N$862) + SUMIF(Consumo!$C$3:$C$862,tabItens[[#This Row],[CÓDIGO]],Consumo!$O$3:$O$862) + SUMIF(Consumo!$C$3:$C$862,tabItens[[#This Row],[CÓDIGO]],Consumo!$P$3:$P$862) + SUMIF(Consumo!$C$3:$C$862,tabItens[[#This Row],[CÓDIGO]],Consumo!$Q$3:$Q$862)</f>
        <v>0</v>
      </c>
      <c r="AT814" s="331">
        <f>SUMIF(Consumo!$C$3:$C$862,tabItens[[#This Row],[CÓDIGO]],Consumo!$Z$3:$Z$862)</f>
        <v>195</v>
      </c>
      <c r="AU814" s="332">
        <f>SUMIF(Consumo!$C$3:$C$862,tabItens[[#This Row],[CÓDIGO]],Consumo!$AA$3:$AA$862)</f>
        <v>115</v>
      </c>
      <c r="AV814" s="333">
        <f>SUMIF(Consumo!$C$3:$C$862,tabItens[[#This Row],[CÓDIGO]],Consumo!$Y$3:$Y$862)</f>
        <v>13.833333333333334</v>
      </c>
      <c r="AW814" s="306">
        <f>tabItens[[#This Row],[QTDE ATUAL]] + tabItens[[#This Row],[RC QTDE]] + tabItens[[#This Row],[AF SALDO]] + tabItens[[#This Row],[Recentes]]</f>
        <v>5067</v>
      </c>
      <c r="AX814" s="334">
        <v>23</v>
      </c>
      <c r="AY814" s="334">
        <v>4</v>
      </c>
      <c r="AZ814" s="334">
        <f>IF(ISBLANK(tabItens[[#This Row],[CÓDIGO]]),"",tabItens[[#This Row],[PontoMês]] * (AZ$2+tabItens[[#This Row],[PontoQtM]]))</f>
        <v>92</v>
      </c>
      <c r="BA814" s="333">
        <f>tabItens[[#This Row],[PontoPed]] - tabItens[[#This Row],[Saldo]] + (1/10)</f>
        <v>-4974.8999999999996</v>
      </c>
      <c r="BB814" s="333">
        <f xml:space="preserve"> tabItens[[#This Row],[PontoMês]] * BB$2 - tabItens[[#This Row],[QTDE ATUAL]] - (1/10)</f>
        <v>-5044.1000000000004</v>
      </c>
      <c r="BC814" s="335">
        <f>IF( tabItens[[#This Row],[PontoPed]]&gt;0, IF(tabItens[[#This Row],[PontoPed]]&lt;1, 1, IF( tabItens[[#This Row],[Saldo]]&gt;tabItens[[#This Row],[PontoPed]], 0, (tabItens[[#This Row],[PontoPed]]-tabItens[[#This Row],[Saldo]])/tabItens[[#This Row],[PontoPed]] ) ), 0 )</f>
        <v>0</v>
      </c>
      <c r="BD814" s="336">
        <f>ROUNDDOWN(IF( OR( AND(tabItens[[#This Row],[PontoPed]]&lt;tabItens[[#This Row],[Saldo]],tabItens[[#This Row],[Saldo]]&gt;0), tabItens[[#This Row],[PontoPed]]=0), 99, IF(AND(tabItens[[#This Row],[Saldo]]=0,tabItens[[#This Row],[PontoPed]]&gt;0), 0, (1-tabItens[[#This Row],[PctAb]])*10 ) ),0)</f>
        <v>99</v>
      </c>
      <c r="BE814" s="337">
        <f>MAX(ROUNDDOWN( IF(tabItens[[#This Row],[Abaixo]] &gt; 0,   tabItens[[#This Row],[Abaixo]] + (tabItens[[#This Row],[PontoMês]] * IF( OR( ISBLANK(tabItens[[#This Row],[ATA Nº/ANO]]), tabItens[[#This Row],[ATA Nº/ANO]] = ""),BE$2,BE$1)),0),0),0)</f>
        <v>0</v>
      </c>
      <c r="BF81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4" s="338">
        <f>SUMIF(Consumo!$C$3:$C$862,tabItens[[#This Row],[CÓDIGO]],Consumo!$E$3:$E$862)</f>
        <v>0</v>
      </c>
      <c r="BH814" s="339">
        <f>IF(AND(tabItens[[#This Row],[Pend]] &gt; 0,tabItens[[#This Row],[Consumo]] &lt;&gt; 0), tabItens[[#This Row],[Pend]] / tabItens[[#This Row],[Consumo]], 0 )</f>
        <v>0</v>
      </c>
      <c r="BI814" s="338"/>
      <c r="BJ814" s="338"/>
      <c r="BK814" s="340" t="s">
        <v>2086</v>
      </c>
    </row>
    <row r="815" spans="1:63" hidden="1" x14ac:dyDescent="0.3">
      <c r="A815" s="301">
        <v>88849</v>
      </c>
      <c r="B815" s="302" t="s">
        <v>1521</v>
      </c>
      <c r="C815" s="303" t="s">
        <v>320</v>
      </c>
      <c r="D815" s="304">
        <v>15.4</v>
      </c>
      <c r="E815" s="305"/>
      <c r="F815" s="305"/>
      <c r="G815" s="305" t="s">
        <v>889</v>
      </c>
      <c r="H815" s="306">
        <v>563</v>
      </c>
      <c r="I815" s="307">
        <v>103003</v>
      </c>
      <c r="J815" s="308">
        <v>15.4</v>
      </c>
      <c r="K815" s="309">
        <v>447</v>
      </c>
      <c r="L815" s="310">
        <f>IF(tabItens[[#This Row],[Média]] &gt; 0, tabItens[[#This Row],[QTDE ATUAL]] / tabItens[[#This Row],[Média]],999.9)</f>
        <v>19.358166189111749</v>
      </c>
      <c r="M815" s="311">
        <v>0</v>
      </c>
      <c r="N815" s="312">
        <f>tabItens[[#This Row],[VALOR UNIT.]] * tabItens[[#This Row],[LC]]</f>
        <v>0</v>
      </c>
      <c r="O815" s="313"/>
      <c r="P815" s="314"/>
      <c r="Q815" s="315"/>
      <c r="R815" s="312"/>
      <c r="S815" s="316"/>
      <c r="T815" s="317">
        <f>ROUNDDOWN(IFERROR(tabItens[[#This Row],[ATA DT.VALID.]] - $D$1,0) / 30,0)</f>
        <v>-1474</v>
      </c>
      <c r="U815" s="302" t="s">
        <v>1180</v>
      </c>
      <c r="V815" s="318">
        <v>1</v>
      </c>
      <c r="W815" s="319" t="s">
        <v>2078</v>
      </c>
      <c r="X815" s="320">
        <v>67</v>
      </c>
      <c r="Y815" s="321">
        <v>5</v>
      </c>
      <c r="Z815" s="322">
        <v>2488</v>
      </c>
      <c r="AA815" s="323">
        <v>2023</v>
      </c>
      <c r="AB815" s="324">
        <v>1000</v>
      </c>
      <c r="AC815" s="324"/>
      <c r="AD815" s="323"/>
      <c r="AE815" s="324"/>
      <c r="AF815" s="317"/>
      <c r="AG815" s="325" t="s">
        <v>2072</v>
      </c>
      <c r="AH815" s="326"/>
      <c r="AI815" s="317">
        <v>150</v>
      </c>
      <c r="AJ815" s="326">
        <v>44154</v>
      </c>
      <c r="AK815" s="326">
        <v>38664</v>
      </c>
      <c r="AL815" s="326">
        <v>44125</v>
      </c>
      <c r="AM815" s="316"/>
      <c r="AN815" s="305"/>
      <c r="AO815" s="327" t="str">
        <f>_xlfn.IFNA(IF(VLOOKUP(tabItens[[#This Row],[CÓDIGO]],tabExcluirDoEstoque[#Data],1,FALSE),"sim",""),"")</f>
        <v/>
      </c>
      <c r="AP815" s="328" t="str">
        <f ca="1">IF(OR(ISBLANK(tabItens[[#This Row],[ATA DT.VALID.]]),tabItens[[#This Row],[ATA DT.VALID.]]="",tabItens[[#This Row],[ATA DT.VALID.]]=" "),"",IF(TYPE(tabItens[[#This Row],[ATA DT.VALID.]])=1,ROUNDUP((tabItens[[#This Row],[ATA DT.VALID.]]-TODAY())/7,0),""))</f>
        <v/>
      </c>
      <c r="AQ815" s="329"/>
      <c r="AR815" s="330" t="str">
        <f>IF(ISBLANK(tabItens[[#This Row],[CÓDIGO]]),"",IFERROR(VLOOKUP(tabItens[[#This Row],[CÓDIGO]],Consumo!$C$2:$AC$862,26,FALSE),0))</f>
        <v>05.2023</v>
      </c>
      <c r="AS815" s="331">
        <f>SUMIF(Consumo!$C$3:$C$862,tabItens[[#This Row],[CÓDIGO]],Consumo!$N$3:$N$862) + SUMIF(Consumo!$C$3:$C$862,tabItens[[#This Row],[CÓDIGO]],Consumo!$O$3:$O$862) + SUMIF(Consumo!$C$3:$C$862,tabItens[[#This Row],[CÓDIGO]],Consumo!$P$3:$P$862) + SUMIF(Consumo!$C$3:$C$862,tabItens[[#This Row],[CÓDIGO]],Consumo!$Q$3:$Q$862)</f>
        <v>0</v>
      </c>
      <c r="AT815" s="331">
        <f>SUMIF(Consumo!$C$3:$C$862,tabItens[[#This Row],[CÓDIGO]],Consumo!$Z$3:$Z$862)</f>
        <v>449</v>
      </c>
      <c r="AU815" s="332">
        <f>SUMIF(Consumo!$C$3:$C$862,tabItens[[#This Row],[CÓDIGO]],Consumo!$AA$3:$AA$862)</f>
        <v>331</v>
      </c>
      <c r="AV815" s="333">
        <f>SUMIF(Consumo!$C$3:$C$862,tabItens[[#This Row],[CÓDIGO]],Consumo!$Y$3:$Y$862)</f>
        <v>29.083333333333332</v>
      </c>
      <c r="AW815" s="306">
        <f>tabItens[[#This Row],[QTDE ATUAL]] + tabItens[[#This Row],[RC QTDE]] + tabItens[[#This Row],[AF SALDO]] + tabItens[[#This Row],[Recentes]]</f>
        <v>1563</v>
      </c>
      <c r="AX815" s="334">
        <v>17</v>
      </c>
      <c r="AY815" s="334">
        <v>4</v>
      </c>
      <c r="AZ815" s="334">
        <f>IF(ISBLANK(tabItens[[#This Row],[CÓDIGO]]),"",tabItens[[#This Row],[PontoMês]] * (AZ$2+tabItens[[#This Row],[PontoQtM]]))</f>
        <v>68</v>
      </c>
      <c r="BA815" s="333">
        <f>tabItens[[#This Row],[PontoPed]] - tabItens[[#This Row],[Saldo]] + (1/10)</f>
        <v>-1494.9</v>
      </c>
      <c r="BB815" s="333">
        <f xml:space="preserve"> tabItens[[#This Row],[PontoMês]] * BB$2 - tabItens[[#This Row],[QTDE ATUAL]] - (1/10)</f>
        <v>-546.1</v>
      </c>
      <c r="BC815" s="335">
        <f>IF( tabItens[[#This Row],[PontoPed]]&gt;0, IF(tabItens[[#This Row],[PontoPed]]&lt;1, 1, IF( tabItens[[#This Row],[Saldo]]&gt;tabItens[[#This Row],[PontoPed]], 0, (tabItens[[#This Row],[PontoPed]]-tabItens[[#This Row],[Saldo]])/tabItens[[#This Row],[PontoPed]] ) ), 0 )</f>
        <v>0</v>
      </c>
      <c r="BD815" s="336">
        <f>ROUNDDOWN(IF( OR( AND(tabItens[[#This Row],[PontoPed]]&lt;tabItens[[#This Row],[Saldo]],tabItens[[#This Row],[Saldo]]&gt;0), tabItens[[#This Row],[PontoPed]]=0), 99, IF(AND(tabItens[[#This Row],[Saldo]]=0,tabItens[[#This Row],[PontoPed]]&gt;0), 0, (1-tabItens[[#This Row],[PctAb]])*10 ) ),0)</f>
        <v>99</v>
      </c>
      <c r="BE815" s="337">
        <f>MAX(ROUNDDOWN( IF(tabItens[[#This Row],[Abaixo]] &gt; 0,   tabItens[[#This Row],[Abaixo]] + (tabItens[[#This Row],[PontoMês]] * IF( OR( ISBLANK(tabItens[[#This Row],[ATA Nº/ANO]]), tabItens[[#This Row],[ATA Nº/ANO]] = ""),BE$2,BE$1)),0),0),0)</f>
        <v>0</v>
      </c>
      <c r="BF81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5" s="338">
        <f>SUMIF(Consumo!$C$3:$C$862,tabItens[[#This Row],[CÓDIGO]],Consumo!$E$3:$E$862)</f>
        <v>0</v>
      </c>
      <c r="BH815" s="339">
        <f>IF(AND(tabItens[[#This Row],[Pend]] &gt; 0,tabItens[[#This Row],[Consumo]] &lt;&gt; 0), tabItens[[#This Row],[Pend]] / tabItens[[#This Row],[Consumo]], 0 )</f>
        <v>0</v>
      </c>
      <c r="BI815" s="338"/>
      <c r="BJ815" s="338"/>
      <c r="BK815" s="340" t="s">
        <v>2086</v>
      </c>
    </row>
    <row r="816" spans="1:63" hidden="1" x14ac:dyDescent="0.3">
      <c r="A816" s="301">
        <v>14055</v>
      </c>
      <c r="B816" s="302" t="s">
        <v>1054</v>
      </c>
      <c r="C816" s="303" t="s">
        <v>320</v>
      </c>
      <c r="D816" s="304">
        <v>13.8</v>
      </c>
      <c r="E816" s="305"/>
      <c r="F816" s="305"/>
      <c r="G816" s="305" t="s">
        <v>889</v>
      </c>
      <c r="H816" s="306">
        <v>482</v>
      </c>
      <c r="I816" s="307">
        <v>103003</v>
      </c>
      <c r="J816" s="308">
        <v>13.8</v>
      </c>
      <c r="K816" s="309">
        <v>78</v>
      </c>
      <c r="L816" s="310">
        <f>IF(tabItens[[#This Row],[Média]] &gt; 0, tabItens[[#This Row],[QTDE ATUAL]] / tabItens[[#This Row],[Média]],999.9)</f>
        <v>76.10526315789474</v>
      </c>
      <c r="M816" s="311">
        <v>0</v>
      </c>
      <c r="N816" s="312">
        <f>tabItens[[#This Row],[VALOR UNIT.]] * tabItens[[#This Row],[LC]]</f>
        <v>0</v>
      </c>
      <c r="O816" s="313"/>
      <c r="P816" s="314"/>
      <c r="Q816" s="315"/>
      <c r="R816" s="312"/>
      <c r="S816" s="316"/>
      <c r="T816" s="317">
        <f>ROUNDDOWN(IFERROR(tabItens[[#This Row],[ATA DT.VALID.]] - $D$1,0) / 30,0)</f>
        <v>-1474</v>
      </c>
      <c r="U816" s="302" t="s">
        <v>991</v>
      </c>
      <c r="V816" s="318">
        <v>1</v>
      </c>
      <c r="W816" s="319" t="s">
        <v>2071</v>
      </c>
      <c r="X816" s="320">
        <v>67</v>
      </c>
      <c r="Y816" s="321">
        <v>6</v>
      </c>
      <c r="Z816" s="322"/>
      <c r="AA816" s="323"/>
      <c r="AB816" s="324"/>
      <c r="AC816" s="324"/>
      <c r="AD816" s="323"/>
      <c r="AE816" s="324"/>
      <c r="AF816" s="317"/>
      <c r="AG816" s="325" t="s">
        <v>2072</v>
      </c>
      <c r="AH816" s="326"/>
      <c r="AI816" s="317">
        <v>34</v>
      </c>
      <c r="AJ816" s="326">
        <v>43853</v>
      </c>
      <c r="AK816" s="326" t="s">
        <v>889</v>
      </c>
      <c r="AL816" s="326">
        <v>44921</v>
      </c>
      <c r="AM816" s="316"/>
      <c r="AN816" s="305"/>
      <c r="AO816" s="327" t="str">
        <f>_xlfn.IFNA(IF(VLOOKUP(tabItens[[#This Row],[CÓDIGO]],tabExcluirDoEstoque[#Data],1,FALSE),"sim",""),"")</f>
        <v/>
      </c>
      <c r="AP816" s="328" t="str">
        <f ca="1">IF(OR(ISBLANK(tabItens[[#This Row],[ATA DT.VALID.]]),tabItens[[#This Row],[ATA DT.VALID.]]="",tabItens[[#This Row],[ATA DT.VALID.]]=" "),"",IF(TYPE(tabItens[[#This Row],[ATA DT.VALID.]])=1,ROUNDUP((tabItens[[#This Row],[ATA DT.VALID.]]-TODAY())/7,0),""))</f>
        <v/>
      </c>
      <c r="AQ816" s="329"/>
      <c r="AR816" s="330" t="str">
        <f>IF(ISBLANK(tabItens[[#This Row],[CÓDIGO]]),"",IFERROR(VLOOKUP(tabItens[[#This Row],[CÓDIGO]],Consumo!$C$2:$AC$862,26,FALSE),0))</f>
        <v>06.2023</v>
      </c>
      <c r="AS816" s="331">
        <f>SUMIF(Consumo!$C$3:$C$862,tabItens[[#This Row],[CÓDIGO]],Consumo!$N$3:$N$862) + SUMIF(Consumo!$C$3:$C$862,tabItens[[#This Row],[CÓDIGO]],Consumo!$O$3:$O$862) + SUMIF(Consumo!$C$3:$C$862,tabItens[[#This Row],[CÓDIGO]],Consumo!$P$3:$P$862) + SUMIF(Consumo!$C$3:$C$862,tabItens[[#This Row],[CÓDIGO]],Consumo!$Q$3:$Q$862)</f>
        <v>20</v>
      </c>
      <c r="AT816" s="331">
        <f>SUMIF(Consumo!$C$3:$C$862,tabItens[[#This Row],[CÓDIGO]],Consumo!$Z$3:$Z$862)</f>
        <v>78</v>
      </c>
      <c r="AU816" s="332">
        <f>SUMIF(Consumo!$C$3:$C$862,tabItens[[#This Row],[CÓDIGO]],Consumo!$AA$3:$AA$862)</f>
        <v>26</v>
      </c>
      <c r="AV816" s="333">
        <f>SUMIF(Consumo!$C$3:$C$862,tabItens[[#This Row],[CÓDIGO]],Consumo!$Y$3:$Y$862)</f>
        <v>6.333333333333333</v>
      </c>
      <c r="AW816" s="306">
        <f>tabItens[[#This Row],[QTDE ATUAL]] + tabItens[[#This Row],[RC QTDE]] + tabItens[[#This Row],[AF SALDO]] + tabItens[[#This Row],[Recentes]]</f>
        <v>482</v>
      </c>
      <c r="AX816" s="334">
        <v>11</v>
      </c>
      <c r="AY816" s="334">
        <v>4</v>
      </c>
      <c r="AZ816" s="334">
        <f>IF(ISBLANK(tabItens[[#This Row],[CÓDIGO]]),"",tabItens[[#This Row],[PontoMês]] * (AZ$2+tabItens[[#This Row],[PontoQtM]]))</f>
        <v>44</v>
      </c>
      <c r="BA816" s="333">
        <f>tabItens[[#This Row],[PontoPed]] - tabItens[[#This Row],[Saldo]] + (1/10)</f>
        <v>-437.9</v>
      </c>
      <c r="BB816" s="333">
        <f xml:space="preserve"> tabItens[[#This Row],[PontoMês]] * BB$2 - tabItens[[#This Row],[QTDE ATUAL]] - (1/10)</f>
        <v>-471.1</v>
      </c>
      <c r="BC816" s="335">
        <f>IF( tabItens[[#This Row],[PontoPed]]&gt;0, IF(tabItens[[#This Row],[PontoPed]]&lt;1, 1, IF( tabItens[[#This Row],[Saldo]]&gt;tabItens[[#This Row],[PontoPed]], 0, (tabItens[[#This Row],[PontoPed]]-tabItens[[#This Row],[Saldo]])/tabItens[[#This Row],[PontoPed]] ) ), 0 )</f>
        <v>0</v>
      </c>
      <c r="BD816" s="336">
        <f>ROUNDDOWN(IF( OR( AND(tabItens[[#This Row],[PontoPed]]&lt;tabItens[[#This Row],[Saldo]],tabItens[[#This Row],[Saldo]]&gt;0), tabItens[[#This Row],[PontoPed]]=0), 99, IF(AND(tabItens[[#This Row],[Saldo]]=0,tabItens[[#This Row],[PontoPed]]&gt;0), 0, (1-tabItens[[#This Row],[PctAb]])*10 ) ),0)</f>
        <v>99</v>
      </c>
      <c r="BE816" s="337">
        <f>MAX(ROUNDDOWN( IF(tabItens[[#This Row],[Abaixo]] &gt; 0,   tabItens[[#This Row],[Abaixo]] + (tabItens[[#This Row],[PontoMês]] * IF( OR( ISBLANK(tabItens[[#This Row],[ATA Nº/ANO]]), tabItens[[#This Row],[ATA Nº/ANO]] = ""),BE$2,BE$1)),0),0),0)</f>
        <v>0</v>
      </c>
      <c r="BF81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6" s="338">
        <f>SUMIF(Consumo!$C$3:$C$862,tabItens[[#This Row],[CÓDIGO]],Consumo!$E$3:$E$862)</f>
        <v>0</v>
      </c>
      <c r="BH816" s="339">
        <f>IF(AND(tabItens[[#This Row],[Pend]] &gt; 0,tabItens[[#This Row],[Consumo]] &lt;&gt; 0), tabItens[[#This Row],[Pend]] / tabItens[[#This Row],[Consumo]], 0 )</f>
        <v>0</v>
      </c>
      <c r="BI816" s="338"/>
      <c r="BJ816" s="338"/>
      <c r="BK816" s="340" t="s">
        <v>2086</v>
      </c>
    </row>
    <row r="817" spans="1:63" hidden="1" x14ac:dyDescent="0.3">
      <c r="A817" s="301">
        <v>18337</v>
      </c>
      <c r="B817" s="302" t="s">
        <v>1144</v>
      </c>
      <c r="C817" s="303" t="s">
        <v>320</v>
      </c>
      <c r="D817" s="304">
        <v>28.66</v>
      </c>
      <c r="E817" s="305"/>
      <c r="F817" s="305"/>
      <c r="G817" s="305" t="s">
        <v>889</v>
      </c>
      <c r="H817" s="306">
        <v>22</v>
      </c>
      <c r="I817" s="307">
        <v>103003</v>
      </c>
      <c r="J817" s="308">
        <v>28.66</v>
      </c>
      <c r="K817" s="309">
        <v>1</v>
      </c>
      <c r="L817" s="310">
        <f>IF(tabItens[[#This Row],[Média]] &gt; 0, tabItens[[#This Row],[QTDE ATUAL]] / tabItens[[#This Row],[Média]],999.9)</f>
        <v>999.9</v>
      </c>
      <c r="M817" s="311">
        <v>0</v>
      </c>
      <c r="N817" s="312">
        <f>tabItens[[#This Row],[VALOR UNIT.]] * tabItens[[#This Row],[LC]]</f>
        <v>0</v>
      </c>
      <c r="O817" s="313"/>
      <c r="P817" s="314"/>
      <c r="Q817" s="315"/>
      <c r="R817" s="312"/>
      <c r="S817" s="316"/>
      <c r="T817" s="317">
        <f>ROUNDDOWN(IFERROR(tabItens[[#This Row],[ATA DT.VALID.]] - $D$1,0) / 30,0)</f>
        <v>-1474</v>
      </c>
      <c r="U817" s="302" t="s">
        <v>991</v>
      </c>
      <c r="V817" s="318">
        <v>1</v>
      </c>
      <c r="W817" s="319" t="s">
        <v>2071</v>
      </c>
      <c r="X817" s="320">
        <v>67</v>
      </c>
      <c r="Y817" s="321">
        <v>6</v>
      </c>
      <c r="Z817" s="322"/>
      <c r="AA817" s="323"/>
      <c r="AB817" s="324"/>
      <c r="AC817" s="324"/>
      <c r="AD817" s="323"/>
      <c r="AE817" s="324"/>
      <c r="AF817" s="317"/>
      <c r="AG817" s="325" t="s">
        <v>2072</v>
      </c>
      <c r="AH817" s="326"/>
      <c r="AI817" s="317">
        <v>0</v>
      </c>
      <c r="AJ817" s="326">
        <v>43571</v>
      </c>
      <c r="AK817" s="326" t="s">
        <v>889</v>
      </c>
      <c r="AL817" s="326">
        <v>44547</v>
      </c>
      <c r="AM817" s="316"/>
      <c r="AN817" s="305"/>
      <c r="AO817" s="327" t="str">
        <f>_xlfn.IFNA(IF(VLOOKUP(tabItens[[#This Row],[CÓDIGO]],tabExcluirDoEstoque[#Data],1,FALSE),"sim",""),"")</f>
        <v/>
      </c>
      <c r="AP817" s="328" t="str">
        <f ca="1">IF(OR(ISBLANK(tabItens[[#This Row],[ATA DT.VALID.]]),tabItens[[#This Row],[ATA DT.VALID.]]="",tabItens[[#This Row],[ATA DT.VALID.]]=" "),"",IF(TYPE(tabItens[[#This Row],[ATA DT.VALID.]])=1,ROUNDUP((tabItens[[#This Row],[ATA DT.VALID.]]-TODAY())/7,0),""))</f>
        <v/>
      </c>
      <c r="AQ817" s="329"/>
      <c r="AR817" s="330" t="str">
        <f>IF(ISBLANK(tabItens[[#This Row],[CÓDIGO]]),"",IFERROR(VLOOKUP(tabItens[[#This Row],[CÓDIGO]],Consumo!$C$2:$AC$862,26,FALSE),0))</f>
        <v>01.2023</v>
      </c>
      <c r="AS817" s="331">
        <f>SUMIF(Consumo!$C$3:$C$862,tabItens[[#This Row],[CÓDIGO]],Consumo!$N$3:$N$862) + SUMIF(Consumo!$C$3:$C$862,tabItens[[#This Row],[CÓDIGO]],Consumo!$O$3:$O$862) + SUMIF(Consumo!$C$3:$C$862,tabItens[[#This Row],[CÓDIGO]],Consumo!$P$3:$P$862) + SUMIF(Consumo!$C$3:$C$862,tabItens[[#This Row],[CÓDIGO]],Consumo!$Q$3:$Q$862)</f>
        <v>0</v>
      </c>
      <c r="AT817" s="331">
        <f>SUMIF(Consumo!$C$3:$C$862,tabItens[[#This Row],[CÓDIGO]],Consumo!$Z$3:$Z$862)</f>
        <v>1</v>
      </c>
      <c r="AU817" s="332">
        <f>SUMIF(Consumo!$C$3:$C$862,tabItens[[#This Row],[CÓDIGO]],Consumo!$AA$3:$AA$862)</f>
        <v>1</v>
      </c>
      <c r="AV817" s="333">
        <f>SUMIF(Consumo!$C$3:$C$862,tabItens[[#This Row],[CÓDIGO]],Consumo!$Y$3:$Y$862)</f>
        <v>0</v>
      </c>
      <c r="AW817" s="306">
        <f>tabItens[[#This Row],[QTDE ATUAL]] + tabItens[[#This Row],[RC QTDE]] + tabItens[[#This Row],[AF SALDO]] + tabItens[[#This Row],[Recentes]]</f>
        <v>22</v>
      </c>
      <c r="AX817" s="334">
        <v>0</v>
      </c>
      <c r="AY817" s="334">
        <v>4</v>
      </c>
      <c r="AZ817" s="334">
        <f>IF(ISBLANK(tabItens[[#This Row],[CÓDIGO]]),"",tabItens[[#This Row],[PontoMês]] * (AZ$2+tabItens[[#This Row],[PontoQtM]]))</f>
        <v>0</v>
      </c>
      <c r="BA817" s="333">
        <f>tabItens[[#This Row],[PontoPed]] - tabItens[[#This Row],[Saldo]] + (1/10)</f>
        <v>-21.9</v>
      </c>
      <c r="BB817" s="333">
        <f xml:space="preserve"> tabItens[[#This Row],[PontoMês]] * BB$2 - tabItens[[#This Row],[QTDE ATUAL]] - (1/10)</f>
        <v>-22.1</v>
      </c>
      <c r="BC817" s="335">
        <f>IF( tabItens[[#This Row],[PontoPed]]&gt;0, IF(tabItens[[#This Row],[PontoPed]]&lt;1, 1, IF( tabItens[[#This Row],[Saldo]]&gt;tabItens[[#This Row],[PontoPed]], 0, (tabItens[[#This Row],[PontoPed]]-tabItens[[#This Row],[Saldo]])/tabItens[[#This Row],[PontoPed]] ) ), 0 )</f>
        <v>0</v>
      </c>
      <c r="BD817" s="336">
        <f>ROUNDDOWN(IF( OR( AND(tabItens[[#This Row],[PontoPed]]&lt;tabItens[[#This Row],[Saldo]],tabItens[[#This Row],[Saldo]]&gt;0), tabItens[[#This Row],[PontoPed]]=0), 99, IF(AND(tabItens[[#This Row],[Saldo]]=0,tabItens[[#This Row],[PontoPed]]&gt;0), 0, (1-tabItens[[#This Row],[PctAb]])*10 ) ),0)</f>
        <v>99</v>
      </c>
      <c r="BE817" s="337">
        <f>MAX(ROUNDDOWN( IF(tabItens[[#This Row],[Abaixo]] &gt; 0,   tabItens[[#This Row],[Abaixo]] + (tabItens[[#This Row],[PontoMês]] * IF( OR( ISBLANK(tabItens[[#This Row],[ATA Nº/ANO]]), tabItens[[#This Row],[ATA Nº/ANO]] = ""),BE$2,BE$1)),0),0),0)</f>
        <v>0</v>
      </c>
      <c r="BF81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7" s="338">
        <f>SUMIF(Consumo!$C$3:$C$862,tabItens[[#This Row],[CÓDIGO]],Consumo!$E$3:$E$862)</f>
        <v>0</v>
      </c>
      <c r="BH817" s="339">
        <f>IF(AND(tabItens[[#This Row],[Pend]] &gt; 0,tabItens[[#This Row],[Consumo]] &lt;&gt; 0), tabItens[[#This Row],[Pend]] / tabItens[[#This Row],[Consumo]], 0 )</f>
        <v>0</v>
      </c>
      <c r="BI817" s="338"/>
      <c r="BJ817" s="338"/>
      <c r="BK817" s="340" t="s">
        <v>2086</v>
      </c>
    </row>
    <row r="818" spans="1:63" hidden="1" x14ac:dyDescent="0.3">
      <c r="A818" s="301">
        <v>18346</v>
      </c>
      <c r="B818" s="302" t="s">
        <v>1145</v>
      </c>
      <c r="C818" s="303" t="s">
        <v>320</v>
      </c>
      <c r="D818" s="304">
        <v>14.87</v>
      </c>
      <c r="E818" s="305"/>
      <c r="F818" s="305"/>
      <c r="G818" s="305" t="s">
        <v>889</v>
      </c>
      <c r="H818" s="306">
        <v>250</v>
      </c>
      <c r="I818" s="307">
        <v>103003</v>
      </c>
      <c r="J818" s="308">
        <v>14.87</v>
      </c>
      <c r="K818" s="309">
        <v>8</v>
      </c>
      <c r="L818" s="310">
        <f>IF(tabItens[[#This Row],[Média]] &gt; 0, tabItens[[#This Row],[QTDE ATUAL]] / tabItens[[#This Row],[Média]],999.9)</f>
        <v>428.57142857142856</v>
      </c>
      <c r="M818" s="311">
        <v>0</v>
      </c>
      <c r="N818" s="312">
        <f>tabItens[[#This Row],[VALOR UNIT.]] * tabItens[[#This Row],[LC]]</f>
        <v>0</v>
      </c>
      <c r="O818" s="313"/>
      <c r="P818" s="314"/>
      <c r="Q818" s="315"/>
      <c r="R818" s="312"/>
      <c r="S818" s="316"/>
      <c r="T818" s="317">
        <f>ROUNDDOWN(IFERROR(tabItens[[#This Row],[ATA DT.VALID.]] - $D$1,0) / 30,0)</f>
        <v>-1474</v>
      </c>
      <c r="U818" s="302" t="s">
        <v>991</v>
      </c>
      <c r="V818" s="318">
        <v>1</v>
      </c>
      <c r="W818" s="319" t="s">
        <v>2071</v>
      </c>
      <c r="X818" s="320">
        <v>67</v>
      </c>
      <c r="Y818" s="321">
        <v>6</v>
      </c>
      <c r="Z818" s="322"/>
      <c r="AA818" s="323"/>
      <c r="AB818" s="324"/>
      <c r="AC818" s="324"/>
      <c r="AD818" s="323"/>
      <c r="AE818" s="324"/>
      <c r="AF818" s="317"/>
      <c r="AG818" s="325" t="s">
        <v>2072</v>
      </c>
      <c r="AH818" s="326"/>
      <c r="AI818" s="317">
        <v>2</v>
      </c>
      <c r="AJ818" s="326">
        <v>43853</v>
      </c>
      <c r="AK818" s="326" t="s">
        <v>889</v>
      </c>
      <c r="AL818" s="326">
        <v>44922</v>
      </c>
      <c r="AM818" s="316"/>
      <c r="AN818" s="305"/>
      <c r="AO818" s="327" t="str">
        <f>_xlfn.IFNA(IF(VLOOKUP(tabItens[[#This Row],[CÓDIGO]],tabExcluirDoEstoque[#Data],1,FALSE),"sim",""),"")</f>
        <v/>
      </c>
      <c r="AP818" s="328" t="str">
        <f ca="1">IF(OR(ISBLANK(tabItens[[#This Row],[ATA DT.VALID.]]),tabItens[[#This Row],[ATA DT.VALID.]]="",tabItens[[#This Row],[ATA DT.VALID.]]=" "),"",IF(TYPE(tabItens[[#This Row],[ATA DT.VALID.]])=1,ROUNDUP((tabItens[[#This Row],[ATA DT.VALID.]]-TODAY())/7,0),""))</f>
        <v/>
      </c>
      <c r="AQ818" s="329"/>
      <c r="AR818" s="330" t="str">
        <f>IF(ISBLANK(tabItens[[#This Row],[CÓDIGO]]),"",IFERROR(VLOOKUP(tabItens[[#This Row],[CÓDIGO]],Consumo!$C$2:$AC$862,26,FALSE),0))</f>
        <v>03.2023</v>
      </c>
      <c r="AS818" s="331">
        <f>SUMIF(Consumo!$C$3:$C$862,tabItens[[#This Row],[CÓDIGO]],Consumo!$N$3:$N$862) + SUMIF(Consumo!$C$3:$C$862,tabItens[[#This Row],[CÓDIGO]],Consumo!$O$3:$O$862) + SUMIF(Consumo!$C$3:$C$862,tabItens[[#This Row],[CÓDIGO]],Consumo!$P$3:$P$862) + SUMIF(Consumo!$C$3:$C$862,tabItens[[#This Row],[CÓDIGO]],Consumo!$Q$3:$Q$862)</f>
        <v>0</v>
      </c>
      <c r="AT818" s="331">
        <f>SUMIF(Consumo!$C$3:$C$862,tabItens[[#This Row],[CÓDIGO]],Consumo!$Z$3:$Z$862)</f>
        <v>8</v>
      </c>
      <c r="AU818" s="332">
        <f>SUMIF(Consumo!$C$3:$C$862,tabItens[[#This Row],[CÓDIGO]],Consumo!$AA$3:$AA$862)</f>
        <v>4</v>
      </c>
      <c r="AV818" s="333">
        <f>SUMIF(Consumo!$C$3:$C$862,tabItens[[#This Row],[CÓDIGO]],Consumo!$Y$3:$Y$862)</f>
        <v>0.58333333333333337</v>
      </c>
      <c r="AW818" s="306">
        <f>tabItens[[#This Row],[QTDE ATUAL]] + tabItens[[#This Row],[RC QTDE]] + tabItens[[#This Row],[AF SALDO]] + tabItens[[#This Row],[Recentes]]</f>
        <v>250</v>
      </c>
      <c r="AX818" s="334">
        <v>3</v>
      </c>
      <c r="AY818" s="334">
        <v>4</v>
      </c>
      <c r="AZ818" s="334">
        <f>IF(ISBLANK(tabItens[[#This Row],[CÓDIGO]]),"",tabItens[[#This Row],[PontoMês]] * (AZ$2+tabItens[[#This Row],[PontoQtM]]))</f>
        <v>12</v>
      </c>
      <c r="BA818" s="333">
        <f>tabItens[[#This Row],[PontoPed]] - tabItens[[#This Row],[Saldo]] + (1/10)</f>
        <v>-237.9</v>
      </c>
      <c r="BB818" s="333">
        <f xml:space="preserve"> tabItens[[#This Row],[PontoMês]] * BB$2 - tabItens[[#This Row],[QTDE ATUAL]] - (1/10)</f>
        <v>-247.1</v>
      </c>
      <c r="BC818" s="335">
        <f>IF( tabItens[[#This Row],[PontoPed]]&gt;0, IF(tabItens[[#This Row],[PontoPed]]&lt;1, 1, IF( tabItens[[#This Row],[Saldo]]&gt;tabItens[[#This Row],[PontoPed]], 0, (tabItens[[#This Row],[PontoPed]]-tabItens[[#This Row],[Saldo]])/tabItens[[#This Row],[PontoPed]] ) ), 0 )</f>
        <v>0</v>
      </c>
      <c r="BD818" s="336">
        <f>ROUNDDOWN(IF( OR( AND(tabItens[[#This Row],[PontoPed]]&lt;tabItens[[#This Row],[Saldo]],tabItens[[#This Row],[Saldo]]&gt;0), tabItens[[#This Row],[PontoPed]]=0), 99, IF(AND(tabItens[[#This Row],[Saldo]]=0,tabItens[[#This Row],[PontoPed]]&gt;0), 0, (1-tabItens[[#This Row],[PctAb]])*10 ) ),0)</f>
        <v>99</v>
      </c>
      <c r="BE818" s="337">
        <f>MAX(ROUNDDOWN( IF(tabItens[[#This Row],[Abaixo]] &gt; 0,   tabItens[[#This Row],[Abaixo]] + (tabItens[[#This Row],[PontoMês]] * IF( OR( ISBLANK(tabItens[[#This Row],[ATA Nº/ANO]]), tabItens[[#This Row],[ATA Nº/ANO]] = ""),BE$2,BE$1)),0),0),0)</f>
        <v>0</v>
      </c>
      <c r="BF81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8" s="338">
        <f>SUMIF(Consumo!$C$3:$C$862,tabItens[[#This Row],[CÓDIGO]],Consumo!$E$3:$E$862)</f>
        <v>0</v>
      </c>
      <c r="BH818" s="339">
        <f>IF(AND(tabItens[[#This Row],[Pend]] &gt; 0,tabItens[[#This Row],[Consumo]] &lt;&gt; 0), tabItens[[#This Row],[Pend]] / tabItens[[#This Row],[Consumo]], 0 )</f>
        <v>0</v>
      </c>
      <c r="BI818" s="338"/>
      <c r="BJ818" s="338"/>
      <c r="BK818" s="340" t="s">
        <v>2086</v>
      </c>
    </row>
    <row r="819" spans="1:63" hidden="1" x14ac:dyDescent="0.3">
      <c r="A819" s="301">
        <v>18353</v>
      </c>
      <c r="B819" s="302" t="s">
        <v>1146</v>
      </c>
      <c r="C819" s="303" t="s">
        <v>320</v>
      </c>
      <c r="D819" s="304">
        <v>11</v>
      </c>
      <c r="E819" s="305"/>
      <c r="F819" s="305"/>
      <c r="G819" s="305" t="s">
        <v>889</v>
      </c>
      <c r="H819" s="306">
        <v>999</v>
      </c>
      <c r="I819" s="307">
        <v>103003</v>
      </c>
      <c r="J819" s="308">
        <v>11</v>
      </c>
      <c r="K819" s="309">
        <v>100</v>
      </c>
      <c r="L819" s="310">
        <f>IF(tabItens[[#This Row],[Média]] &gt; 0, tabItens[[#This Row],[QTDE ATUAL]] / tabItens[[#This Row],[Média]],999.9)</f>
        <v>108</v>
      </c>
      <c r="M819" s="311">
        <v>0</v>
      </c>
      <c r="N819" s="312">
        <f>tabItens[[#This Row],[VALOR UNIT.]] * tabItens[[#This Row],[LC]]</f>
        <v>0</v>
      </c>
      <c r="O819" s="313"/>
      <c r="P819" s="314"/>
      <c r="Q819" s="315"/>
      <c r="R819" s="312"/>
      <c r="S819" s="316"/>
      <c r="T819" s="317">
        <f>ROUNDDOWN(IFERROR(tabItens[[#This Row],[ATA DT.VALID.]] - $D$1,0) / 30,0)</f>
        <v>-1474</v>
      </c>
      <c r="U819" s="302" t="s">
        <v>991</v>
      </c>
      <c r="V819" s="318">
        <v>1</v>
      </c>
      <c r="W819" s="319" t="s">
        <v>2071</v>
      </c>
      <c r="X819" s="320">
        <v>67</v>
      </c>
      <c r="Y819" s="321">
        <v>6</v>
      </c>
      <c r="Z819" s="322"/>
      <c r="AA819" s="323"/>
      <c r="AB819" s="324"/>
      <c r="AC819" s="324"/>
      <c r="AD819" s="323"/>
      <c r="AE819" s="324"/>
      <c r="AF819" s="317"/>
      <c r="AG819" s="325" t="s">
        <v>2072</v>
      </c>
      <c r="AH819" s="326"/>
      <c r="AI819" s="317">
        <v>66</v>
      </c>
      <c r="AJ819" s="326">
        <v>45201</v>
      </c>
      <c r="AK819" s="326" t="s">
        <v>889</v>
      </c>
      <c r="AL819" s="326">
        <v>45189</v>
      </c>
      <c r="AM819" s="316"/>
      <c r="AN819" s="305"/>
      <c r="AO819" s="327" t="str">
        <f>_xlfn.IFNA(IF(VLOOKUP(tabItens[[#This Row],[CÓDIGO]],tabExcluirDoEstoque[#Data],1,FALSE),"sim",""),"")</f>
        <v/>
      </c>
      <c r="AP819" s="328" t="str">
        <f ca="1">IF(OR(ISBLANK(tabItens[[#This Row],[ATA DT.VALID.]]),tabItens[[#This Row],[ATA DT.VALID.]]="",tabItens[[#This Row],[ATA DT.VALID.]]=" "),"",IF(TYPE(tabItens[[#This Row],[ATA DT.VALID.]])=1,ROUNDUP((tabItens[[#This Row],[ATA DT.VALID.]]-TODAY())/7,0),""))</f>
        <v/>
      </c>
      <c r="AQ819" s="329"/>
      <c r="AR819" s="330" t="str">
        <f>IF(ISBLANK(tabItens[[#This Row],[CÓDIGO]]),"",IFERROR(VLOOKUP(tabItens[[#This Row],[CÓDIGO]],Consumo!$C$2:$AC$862,26,FALSE),0))</f>
        <v>06.2023</v>
      </c>
      <c r="AS819" s="331">
        <f>SUMIF(Consumo!$C$3:$C$862,tabItens[[#This Row],[CÓDIGO]],Consumo!$N$3:$N$862) + SUMIF(Consumo!$C$3:$C$862,tabItens[[#This Row],[CÓDIGO]],Consumo!$O$3:$O$862) + SUMIF(Consumo!$C$3:$C$862,tabItens[[#This Row],[CÓDIGO]],Consumo!$P$3:$P$862) + SUMIF(Consumo!$C$3:$C$862,tabItens[[#This Row],[CÓDIGO]],Consumo!$Q$3:$Q$862)</f>
        <v>12</v>
      </c>
      <c r="AT819" s="331">
        <f>SUMIF(Consumo!$C$3:$C$862,tabItens[[#This Row],[CÓDIGO]],Consumo!$Z$3:$Z$862)</f>
        <v>117</v>
      </c>
      <c r="AU819" s="332">
        <f>SUMIF(Consumo!$C$3:$C$862,tabItens[[#This Row],[CÓDIGO]],Consumo!$AA$3:$AA$862)</f>
        <v>39</v>
      </c>
      <c r="AV819" s="333">
        <f>SUMIF(Consumo!$C$3:$C$862,tabItens[[#This Row],[CÓDIGO]],Consumo!$Y$3:$Y$862)</f>
        <v>9.25</v>
      </c>
      <c r="AW819" s="306">
        <f>tabItens[[#This Row],[QTDE ATUAL]] + tabItens[[#This Row],[RC QTDE]] + tabItens[[#This Row],[AF SALDO]] + tabItens[[#This Row],[Recentes]]</f>
        <v>999</v>
      </c>
      <c r="AX819" s="334">
        <v>20</v>
      </c>
      <c r="AY819" s="334">
        <v>4</v>
      </c>
      <c r="AZ819" s="334">
        <f>IF(ISBLANK(tabItens[[#This Row],[CÓDIGO]]),"",tabItens[[#This Row],[PontoMês]] * (AZ$2+tabItens[[#This Row],[PontoQtM]]))</f>
        <v>80</v>
      </c>
      <c r="BA819" s="333">
        <f>tabItens[[#This Row],[PontoPed]] - tabItens[[#This Row],[Saldo]] + (1/10)</f>
        <v>-918.9</v>
      </c>
      <c r="BB819" s="333">
        <f xml:space="preserve"> tabItens[[#This Row],[PontoMês]] * BB$2 - tabItens[[#This Row],[QTDE ATUAL]] - (1/10)</f>
        <v>-979.1</v>
      </c>
      <c r="BC819" s="335">
        <f>IF( tabItens[[#This Row],[PontoPed]]&gt;0, IF(tabItens[[#This Row],[PontoPed]]&lt;1, 1, IF( tabItens[[#This Row],[Saldo]]&gt;tabItens[[#This Row],[PontoPed]], 0, (tabItens[[#This Row],[PontoPed]]-tabItens[[#This Row],[Saldo]])/tabItens[[#This Row],[PontoPed]] ) ), 0 )</f>
        <v>0</v>
      </c>
      <c r="BD819" s="336">
        <f>ROUNDDOWN(IF( OR( AND(tabItens[[#This Row],[PontoPed]]&lt;tabItens[[#This Row],[Saldo]],tabItens[[#This Row],[Saldo]]&gt;0), tabItens[[#This Row],[PontoPed]]=0), 99, IF(AND(tabItens[[#This Row],[Saldo]]=0,tabItens[[#This Row],[PontoPed]]&gt;0), 0, (1-tabItens[[#This Row],[PctAb]])*10 ) ),0)</f>
        <v>99</v>
      </c>
      <c r="BE819" s="337">
        <f>MAX(ROUNDDOWN( IF(tabItens[[#This Row],[Abaixo]] &gt; 0,   tabItens[[#This Row],[Abaixo]] + (tabItens[[#This Row],[PontoMês]] * IF( OR( ISBLANK(tabItens[[#This Row],[ATA Nº/ANO]]), tabItens[[#This Row],[ATA Nº/ANO]] = ""),BE$2,BE$1)),0),0),0)</f>
        <v>0</v>
      </c>
      <c r="BF81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9" s="338">
        <f>SUMIF(Consumo!$C$3:$C$862,tabItens[[#This Row],[CÓDIGO]],Consumo!$E$3:$E$862)</f>
        <v>17</v>
      </c>
      <c r="BH819" s="339">
        <f>IF(AND(tabItens[[#This Row],[Pend]] &gt; 0,tabItens[[#This Row],[Consumo]] &lt;&gt; 0), tabItens[[#This Row],[Pend]] / tabItens[[#This Row],[Consumo]], 0 )</f>
        <v>0.14529914529914531</v>
      </c>
      <c r="BI819" s="338"/>
      <c r="BJ819" s="338"/>
      <c r="BK819" s="340" t="s">
        <v>2086</v>
      </c>
    </row>
    <row r="820" spans="1:63" hidden="1" x14ac:dyDescent="0.3">
      <c r="A820" s="301">
        <v>18357</v>
      </c>
      <c r="B820" s="302" t="s">
        <v>1147</v>
      </c>
      <c r="C820" s="303" t="s">
        <v>320</v>
      </c>
      <c r="D820" s="304">
        <v>10.6</v>
      </c>
      <c r="E820" s="305"/>
      <c r="F820" s="305"/>
      <c r="G820" s="305" t="s">
        <v>889</v>
      </c>
      <c r="H820" s="306">
        <v>1098</v>
      </c>
      <c r="I820" s="307">
        <v>103003</v>
      </c>
      <c r="J820" s="308">
        <v>10.6</v>
      </c>
      <c r="K820" s="309">
        <v>127</v>
      </c>
      <c r="L820" s="310">
        <f>IF(tabItens[[#This Row],[Média]] &gt; 0, tabItens[[#This Row],[QTDE ATUAL]] / tabItens[[#This Row],[Média]],999.9)</f>
        <v>90.246575342465761</v>
      </c>
      <c r="M820" s="311">
        <v>0</v>
      </c>
      <c r="N820" s="312">
        <f>tabItens[[#This Row],[VALOR UNIT.]] * tabItens[[#This Row],[LC]]</f>
        <v>0</v>
      </c>
      <c r="O820" s="313"/>
      <c r="P820" s="314"/>
      <c r="Q820" s="315"/>
      <c r="R820" s="312"/>
      <c r="S820" s="316"/>
      <c r="T820" s="317">
        <f>ROUNDDOWN(IFERROR(tabItens[[#This Row],[ATA DT.VALID.]] - $D$1,0) / 30,0)</f>
        <v>-1474</v>
      </c>
      <c r="U820" s="302" t="s">
        <v>991</v>
      </c>
      <c r="V820" s="318">
        <v>1</v>
      </c>
      <c r="W820" s="319" t="s">
        <v>2071</v>
      </c>
      <c r="X820" s="320">
        <v>67</v>
      </c>
      <c r="Y820" s="321">
        <v>6</v>
      </c>
      <c r="Z820" s="322"/>
      <c r="AA820" s="323"/>
      <c r="AB820" s="324"/>
      <c r="AC820" s="324"/>
      <c r="AD820" s="323"/>
      <c r="AE820" s="324"/>
      <c r="AF820" s="317"/>
      <c r="AG820" s="325" t="s">
        <v>2072</v>
      </c>
      <c r="AH820" s="326"/>
      <c r="AI820" s="317">
        <v>76</v>
      </c>
      <c r="AJ820" s="326">
        <v>45201</v>
      </c>
      <c r="AK820" s="326" t="s">
        <v>889</v>
      </c>
      <c r="AL820" s="326">
        <v>45189</v>
      </c>
      <c r="AM820" s="316"/>
      <c r="AN820" s="305"/>
      <c r="AO820" s="327" t="str">
        <f>_xlfn.IFNA(IF(VLOOKUP(tabItens[[#This Row],[CÓDIGO]],tabExcluirDoEstoque[#Data],1,FALSE),"sim",""),"")</f>
        <v/>
      </c>
      <c r="AP820" s="328" t="str">
        <f ca="1">IF(OR(ISBLANK(tabItens[[#This Row],[ATA DT.VALID.]]),tabItens[[#This Row],[ATA DT.VALID.]]="",tabItens[[#This Row],[ATA DT.VALID.]]=" "),"",IF(TYPE(tabItens[[#This Row],[ATA DT.VALID.]])=1,ROUNDUP((tabItens[[#This Row],[ATA DT.VALID.]]-TODAY())/7,0),""))</f>
        <v/>
      </c>
      <c r="AQ820" s="329"/>
      <c r="AR820" s="330" t="str">
        <f>IF(ISBLANK(tabItens[[#This Row],[CÓDIGO]]),"",IFERROR(VLOOKUP(tabItens[[#This Row],[CÓDIGO]],Consumo!$C$2:$AC$862,26,FALSE),0))</f>
        <v>09.2023</v>
      </c>
      <c r="AS820" s="331">
        <f>SUMIF(Consumo!$C$3:$C$862,tabItens[[#This Row],[CÓDIGO]],Consumo!$N$3:$N$862) + SUMIF(Consumo!$C$3:$C$862,tabItens[[#This Row],[CÓDIGO]],Consumo!$O$3:$O$862) + SUMIF(Consumo!$C$3:$C$862,tabItens[[#This Row],[CÓDIGO]],Consumo!$P$3:$P$862) + SUMIF(Consumo!$C$3:$C$862,tabItens[[#This Row],[CÓDIGO]],Consumo!$Q$3:$Q$862)</f>
        <v>50</v>
      </c>
      <c r="AT820" s="331">
        <f>SUMIF(Consumo!$C$3:$C$862,tabItens[[#This Row],[CÓDIGO]],Consumo!$Z$3:$Z$862)</f>
        <v>146</v>
      </c>
      <c r="AU820" s="332">
        <f>SUMIF(Consumo!$C$3:$C$862,tabItens[[#This Row],[CÓDIGO]],Consumo!$AA$3:$AA$862)</f>
        <v>36</v>
      </c>
      <c r="AV820" s="333">
        <f>SUMIF(Consumo!$C$3:$C$862,tabItens[[#This Row],[CÓDIGO]],Consumo!$Y$3:$Y$862)</f>
        <v>12.166666666666666</v>
      </c>
      <c r="AW820" s="306">
        <f>tabItens[[#This Row],[QTDE ATUAL]] + tabItens[[#This Row],[RC QTDE]] + tabItens[[#This Row],[AF SALDO]] + tabItens[[#This Row],[Recentes]]</f>
        <v>1098</v>
      </c>
      <c r="AX820" s="334">
        <v>27</v>
      </c>
      <c r="AY820" s="334">
        <v>4</v>
      </c>
      <c r="AZ820" s="334">
        <f>IF(ISBLANK(tabItens[[#This Row],[CÓDIGO]]),"",tabItens[[#This Row],[PontoMês]] * (AZ$2+tabItens[[#This Row],[PontoQtM]]))</f>
        <v>108</v>
      </c>
      <c r="BA820" s="333">
        <f>tabItens[[#This Row],[PontoPed]] - tabItens[[#This Row],[Saldo]] + (1/10)</f>
        <v>-989.9</v>
      </c>
      <c r="BB820" s="333">
        <f xml:space="preserve"> tabItens[[#This Row],[PontoMês]] * BB$2 - tabItens[[#This Row],[QTDE ATUAL]] - (1/10)</f>
        <v>-1071.0999999999999</v>
      </c>
      <c r="BC820" s="335">
        <f>IF( tabItens[[#This Row],[PontoPed]]&gt;0, IF(tabItens[[#This Row],[PontoPed]]&lt;1, 1, IF( tabItens[[#This Row],[Saldo]]&gt;tabItens[[#This Row],[PontoPed]], 0, (tabItens[[#This Row],[PontoPed]]-tabItens[[#This Row],[Saldo]])/tabItens[[#This Row],[PontoPed]] ) ), 0 )</f>
        <v>0</v>
      </c>
      <c r="BD820" s="336">
        <f>ROUNDDOWN(IF( OR( AND(tabItens[[#This Row],[PontoPed]]&lt;tabItens[[#This Row],[Saldo]],tabItens[[#This Row],[Saldo]]&gt;0), tabItens[[#This Row],[PontoPed]]=0), 99, IF(AND(tabItens[[#This Row],[Saldo]]=0,tabItens[[#This Row],[PontoPed]]&gt;0), 0, (1-tabItens[[#This Row],[PctAb]])*10 ) ),0)</f>
        <v>99</v>
      </c>
      <c r="BE820" s="337">
        <f>MAX(ROUNDDOWN( IF(tabItens[[#This Row],[Abaixo]] &gt; 0,   tabItens[[#This Row],[Abaixo]] + (tabItens[[#This Row],[PontoMês]] * IF( OR( ISBLANK(tabItens[[#This Row],[ATA Nº/ANO]]), tabItens[[#This Row],[ATA Nº/ANO]] = ""),BE$2,BE$1)),0),0),0)</f>
        <v>0</v>
      </c>
      <c r="BF82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0" s="338">
        <f>SUMIF(Consumo!$C$3:$C$862,tabItens[[#This Row],[CÓDIGO]],Consumo!$E$3:$E$862)</f>
        <v>0</v>
      </c>
      <c r="BH820" s="339">
        <f>IF(AND(tabItens[[#This Row],[Pend]] &gt; 0,tabItens[[#This Row],[Consumo]] &lt;&gt; 0), tabItens[[#This Row],[Pend]] / tabItens[[#This Row],[Consumo]], 0 )</f>
        <v>0</v>
      </c>
      <c r="BI820" s="338"/>
      <c r="BJ820" s="338"/>
      <c r="BK820" s="340" t="s">
        <v>2086</v>
      </c>
    </row>
    <row r="821" spans="1:63" hidden="1" x14ac:dyDescent="0.3">
      <c r="A821" s="301">
        <v>18358</v>
      </c>
      <c r="B821" s="302" t="s">
        <v>1148</v>
      </c>
      <c r="C821" s="303" t="s">
        <v>320</v>
      </c>
      <c r="D821" s="304">
        <v>11.8</v>
      </c>
      <c r="E821" s="305"/>
      <c r="F821" s="305"/>
      <c r="G821" s="305" t="s">
        <v>889</v>
      </c>
      <c r="H821" s="306">
        <v>189</v>
      </c>
      <c r="I821" s="307">
        <v>103003</v>
      </c>
      <c r="J821" s="308">
        <v>11.8</v>
      </c>
      <c r="K821" s="309">
        <v>137</v>
      </c>
      <c r="L821" s="310">
        <f>IF(tabItens[[#This Row],[Média]] &gt; 0, tabItens[[#This Row],[QTDE ATUAL]] / tabItens[[#This Row],[Média]],999.9)</f>
        <v>14.174999999999999</v>
      </c>
      <c r="M821" s="311">
        <v>0</v>
      </c>
      <c r="N821" s="312">
        <f>tabItens[[#This Row],[VALOR UNIT.]] * tabItens[[#This Row],[LC]]</f>
        <v>0</v>
      </c>
      <c r="O821" s="313"/>
      <c r="P821" s="314"/>
      <c r="Q821" s="315"/>
      <c r="R821" s="312"/>
      <c r="S821" s="316"/>
      <c r="T821" s="317">
        <f>ROUNDDOWN(IFERROR(tabItens[[#This Row],[ATA DT.VALID.]] - $D$1,0) / 30,0)</f>
        <v>-1474</v>
      </c>
      <c r="U821" s="302" t="s">
        <v>991</v>
      </c>
      <c r="V821" s="318">
        <v>1</v>
      </c>
      <c r="W821" s="319" t="s">
        <v>2071</v>
      </c>
      <c r="X821" s="320">
        <v>67</v>
      </c>
      <c r="Y821" s="321">
        <v>6</v>
      </c>
      <c r="Z821" s="322"/>
      <c r="AA821" s="323"/>
      <c r="AB821" s="324"/>
      <c r="AC821" s="324"/>
      <c r="AD821" s="323"/>
      <c r="AE821" s="324"/>
      <c r="AF821" s="317"/>
      <c r="AG821" s="325" t="s">
        <v>2072</v>
      </c>
      <c r="AH821" s="326"/>
      <c r="AI821" s="317">
        <v>54</v>
      </c>
      <c r="AJ821" s="326">
        <v>45201</v>
      </c>
      <c r="AK821" s="326" t="s">
        <v>889</v>
      </c>
      <c r="AL821" s="326">
        <v>45189</v>
      </c>
      <c r="AM821" s="316"/>
      <c r="AN821" s="305"/>
      <c r="AO821" s="327" t="str">
        <f>_xlfn.IFNA(IF(VLOOKUP(tabItens[[#This Row],[CÓDIGO]],tabExcluirDoEstoque[#Data],1,FALSE),"sim",""),"")</f>
        <v/>
      </c>
      <c r="AP821" s="328" t="str">
        <f ca="1">IF(OR(ISBLANK(tabItens[[#This Row],[ATA DT.VALID.]]),tabItens[[#This Row],[ATA DT.VALID.]]="",tabItens[[#This Row],[ATA DT.VALID.]]=" "),"",IF(TYPE(tabItens[[#This Row],[ATA DT.VALID.]])=1,ROUNDUP((tabItens[[#This Row],[ATA DT.VALID.]]-TODAY())/7,0),""))</f>
        <v/>
      </c>
      <c r="AQ821" s="329"/>
      <c r="AR821" s="330" t="str">
        <f>IF(ISBLANK(tabItens[[#This Row],[CÓDIGO]]),"",IFERROR(VLOOKUP(tabItens[[#This Row],[CÓDIGO]],Consumo!$C$2:$AC$862,26,FALSE),0))</f>
        <v>08.2023</v>
      </c>
      <c r="AS821" s="331">
        <f>SUMIF(Consumo!$C$3:$C$862,tabItens[[#This Row],[CÓDIGO]],Consumo!$N$3:$N$862) + SUMIF(Consumo!$C$3:$C$862,tabItens[[#This Row],[CÓDIGO]],Consumo!$O$3:$O$862) + SUMIF(Consumo!$C$3:$C$862,tabItens[[#This Row],[CÓDIGO]],Consumo!$P$3:$P$862) + SUMIF(Consumo!$C$3:$C$862,tabItens[[#This Row],[CÓDIGO]],Consumo!$Q$3:$Q$862)</f>
        <v>60</v>
      </c>
      <c r="AT821" s="331">
        <f>SUMIF(Consumo!$C$3:$C$862,tabItens[[#This Row],[CÓDIGO]],Consumo!$Z$3:$Z$862)</f>
        <v>163</v>
      </c>
      <c r="AU821" s="332">
        <f>SUMIF(Consumo!$C$3:$C$862,tabItens[[#This Row],[CÓDIGO]],Consumo!$AA$3:$AA$862)</f>
        <v>40</v>
      </c>
      <c r="AV821" s="333">
        <f>SUMIF(Consumo!$C$3:$C$862,tabItens[[#This Row],[CÓDIGO]],Consumo!$Y$3:$Y$862)</f>
        <v>13.333333333333334</v>
      </c>
      <c r="AW821" s="306">
        <f>tabItens[[#This Row],[QTDE ATUAL]] + tabItens[[#This Row],[RC QTDE]] + tabItens[[#This Row],[AF SALDO]] + tabItens[[#This Row],[Recentes]]</f>
        <v>189</v>
      </c>
      <c r="AX821" s="334">
        <v>15</v>
      </c>
      <c r="AY821" s="334">
        <v>4</v>
      </c>
      <c r="AZ821" s="334">
        <f>IF(ISBLANK(tabItens[[#This Row],[CÓDIGO]]),"",tabItens[[#This Row],[PontoMês]] * (AZ$2+tabItens[[#This Row],[PontoQtM]]))</f>
        <v>60</v>
      </c>
      <c r="BA821" s="333">
        <f>tabItens[[#This Row],[PontoPed]] - tabItens[[#This Row],[Saldo]] + (1/10)</f>
        <v>-128.9</v>
      </c>
      <c r="BB821" s="333">
        <f xml:space="preserve"> tabItens[[#This Row],[PontoMês]] * BB$2 - tabItens[[#This Row],[QTDE ATUAL]] - (1/10)</f>
        <v>-174.1</v>
      </c>
      <c r="BC821" s="335">
        <f>IF( tabItens[[#This Row],[PontoPed]]&gt;0, IF(tabItens[[#This Row],[PontoPed]]&lt;1, 1, IF( tabItens[[#This Row],[Saldo]]&gt;tabItens[[#This Row],[PontoPed]], 0, (tabItens[[#This Row],[PontoPed]]-tabItens[[#This Row],[Saldo]])/tabItens[[#This Row],[PontoPed]] ) ), 0 )</f>
        <v>0</v>
      </c>
      <c r="BD821" s="336">
        <f>ROUNDDOWN(IF( OR( AND(tabItens[[#This Row],[PontoPed]]&lt;tabItens[[#This Row],[Saldo]],tabItens[[#This Row],[Saldo]]&gt;0), tabItens[[#This Row],[PontoPed]]=0), 99, IF(AND(tabItens[[#This Row],[Saldo]]=0,tabItens[[#This Row],[PontoPed]]&gt;0), 0, (1-tabItens[[#This Row],[PctAb]])*10 ) ),0)</f>
        <v>99</v>
      </c>
      <c r="BE821" s="337">
        <f>MAX(ROUNDDOWN( IF(tabItens[[#This Row],[Abaixo]] &gt; 0,   tabItens[[#This Row],[Abaixo]] + (tabItens[[#This Row],[PontoMês]] * IF( OR( ISBLANK(tabItens[[#This Row],[ATA Nº/ANO]]), tabItens[[#This Row],[ATA Nº/ANO]] = ""),BE$2,BE$1)),0),0),0)</f>
        <v>0</v>
      </c>
      <c r="BF82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1" s="338">
        <f>SUMIF(Consumo!$C$3:$C$862,tabItens[[#This Row],[CÓDIGO]],Consumo!$E$3:$E$862)</f>
        <v>0</v>
      </c>
      <c r="BH821" s="339">
        <f>IF(AND(tabItens[[#This Row],[Pend]] &gt; 0,tabItens[[#This Row],[Consumo]] &lt;&gt; 0), tabItens[[#This Row],[Pend]] / tabItens[[#This Row],[Consumo]], 0 )</f>
        <v>0</v>
      </c>
      <c r="BI821" s="338"/>
      <c r="BJ821" s="338"/>
      <c r="BK821" s="340" t="s">
        <v>2086</v>
      </c>
    </row>
    <row r="822" spans="1:63" hidden="1" x14ac:dyDescent="0.3">
      <c r="A822" s="301">
        <v>20537</v>
      </c>
      <c r="B822" s="302" t="s">
        <v>1167</v>
      </c>
      <c r="C822" s="303" t="s">
        <v>320</v>
      </c>
      <c r="D822" s="304">
        <v>8.9</v>
      </c>
      <c r="E822" s="305"/>
      <c r="F822" s="305"/>
      <c r="G822" s="305" t="s">
        <v>889</v>
      </c>
      <c r="H822" s="306">
        <v>137</v>
      </c>
      <c r="I822" s="307">
        <v>103003</v>
      </c>
      <c r="J822" s="308">
        <v>8.9</v>
      </c>
      <c r="K822" s="309">
        <v>15</v>
      </c>
      <c r="L822" s="310">
        <f>IF(tabItens[[#This Row],[Média]] &gt; 0, tabItens[[#This Row],[QTDE ATUAL]] / tabItens[[#This Row],[Média]],999.9)</f>
        <v>137</v>
      </c>
      <c r="M822" s="311">
        <v>0</v>
      </c>
      <c r="N822" s="312">
        <f>tabItens[[#This Row],[VALOR UNIT.]] * tabItens[[#This Row],[LC]]</f>
        <v>0</v>
      </c>
      <c r="O822" s="313"/>
      <c r="P822" s="314"/>
      <c r="Q822" s="315"/>
      <c r="R822" s="312"/>
      <c r="S822" s="316"/>
      <c r="T822" s="317">
        <f>ROUNDDOWN(IFERROR(tabItens[[#This Row],[ATA DT.VALID.]] - $D$1,0) / 30,0)</f>
        <v>-1474</v>
      </c>
      <c r="U822" s="302" t="s">
        <v>991</v>
      </c>
      <c r="V822" s="318">
        <v>1</v>
      </c>
      <c r="W822" s="319" t="s">
        <v>2071</v>
      </c>
      <c r="X822" s="320">
        <v>67</v>
      </c>
      <c r="Y822" s="321">
        <v>6</v>
      </c>
      <c r="Z822" s="322"/>
      <c r="AA822" s="323"/>
      <c r="AB822" s="324"/>
      <c r="AC822" s="324"/>
      <c r="AD822" s="323"/>
      <c r="AE822" s="324"/>
      <c r="AF822" s="317"/>
      <c r="AG822" s="325" t="s">
        <v>2072</v>
      </c>
      <c r="AH822" s="326"/>
      <c r="AI822" s="317">
        <v>6</v>
      </c>
      <c r="AJ822" s="326">
        <v>43853</v>
      </c>
      <c r="AK822" s="326" t="s">
        <v>889</v>
      </c>
      <c r="AL822" s="326">
        <v>44055</v>
      </c>
      <c r="AM822" s="316"/>
      <c r="AN822" s="305"/>
      <c r="AO822" s="327" t="str">
        <f>_xlfn.IFNA(IF(VLOOKUP(tabItens[[#This Row],[CÓDIGO]],tabExcluirDoEstoque[#Data],1,FALSE),"sim",""),"")</f>
        <v/>
      </c>
      <c r="AP822" s="328" t="str">
        <f ca="1">IF(OR(ISBLANK(tabItens[[#This Row],[ATA DT.VALID.]]),tabItens[[#This Row],[ATA DT.VALID.]]="",tabItens[[#This Row],[ATA DT.VALID.]]=" "),"",IF(TYPE(tabItens[[#This Row],[ATA DT.VALID.]])=1,ROUNDUP((tabItens[[#This Row],[ATA DT.VALID.]]-TODAY())/7,0),""))</f>
        <v/>
      </c>
      <c r="AQ822" s="329"/>
      <c r="AR822" s="330" t="str">
        <f>IF(ISBLANK(tabItens[[#This Row],[CÓDIGO]]),"",IFERROR(VLOOKUP(tabItens[[#This Row],[CÓDIGO]],Consumo!$C$2:$AC$862,26,FALSE),0))</f>
        <v>06.2023</v>
      </c>
      <c r="AS822" s="331">
        <f>SUMIF(Consumo!$C$3:$C$862,tabItens[[#This Row],[CÓDIGO]],Consumo!$N$3:$N$862) + SUMIF(Consumo!$C$3:$C$862,tabItens[[#This Row],[CÓDIGO]],Consumo!$O$3:$O$862) + SUMIF(Consumo!$C$3:$C$862,tabItens[[#This Row],[CÓDIGO]],Consumo!$P$3:$P$862) + SUMIF(Consumo!$C$3:$C$862,tabItens[[#This Row],[CÓDIGO]],Consumo!$Q$3:$Q$862)</f>
        <v>10</v>
      </c>
      <c r="AT822" s="331">
        <f>SUMIF(Consumo!$C$3:$C$862,tabItens[[#This Row],[CÓDIGO]],Consumo!$Z$3:$Z$862)</f>
        <v>15</v>
      </c>
      <c r="AU822" s="332">
        <f>SUMIF(Consumo!$C$3:$C$862,tabItens[[#This Row],[CÓDIGO]],Consumo!$AA$3:$AA$862)</f>
        <v>10</v>
      </c>
      <c r="AV822" s="333">
        <f>SUMIF(Consumo!$C$3:$C$862,tabItens[[#This Row],[CÓDIGO]],Consumo!$Y$3:$Y$862)</f>
        <v>1</v>
      </c>
      <c r="AW822" s="306">
        <f>tabItens[[#This Row],[QTDE ATUAL]] + tabItens[[#This Row],[RC QTDE]] + tabItens[[#This Row],[AF SALDO]] + tabItens[[#This Row],[Recentes]]</f>
        <v>137</v>
      </c>
      <c r="AX822" s="334">
        <v>2</v>
      </c>
      <c r="AY822" s="334">
        <v>4</v>
      </c>
      <c r="AZ822" s="334">
        <f>IF(ISBLANK(tabItens[[#This Row],[CÓDIGO]]),"",tabItens[[#This Row],[PontoMês]] * (AZ$2+tabItens[[#This Row],[PontoQtM]]))</f>
        <v>8</v>
      </c>
      <c r="BA822" s="333">
        <f>tabItens[[#This Row],[PontoPed]] - tabItens[[#This Row],[Saldo]] + (1/10)</f>
        <v>-128.9</v>
      </c>
      <c r="BB822" s="333">
        <f xml:space="preserve"> tabItens[[#This Row],[PontoMês]] * BB$2 - tabItens[[#This Row],[QTDE ATUAL]] - (1/10)</f>
        <v>-135.1</v>
      </c>
      <c r="BC822" s="335">
        <f>IF( tabItens[[#This Row],[PontoPed]]&gt;0, IF(tabItens[[#This Row],[PontoPed]]&lt;1, 1, IF( tabItens[[#This Row],[Saldo]]&gt;tabItens[[#This Row],[PontoPed]], 0, (tabItens[[#This Row],[PontoPed]]-tabItens[[#This Row],[Saldo]])/tabItens[[#This Row],[PontoPed]] ) ), 0 )</f>
        <v>0</v>
      </c>
      <c r="BD822" s="336">
        <f>ROUNDDOWN(IF( OR( AND(tabItens[[#This Row],[PontoPed]]&lt;tabItens[[#This Row],[Saldo]],tabItens[[#This Row],[Saldo]]&gt;0), tabItens[[#This Row],[PontoPed]]=0), 99, IF(AND(tabItens[[#This Row],[Saldo]]=0,tabItens[[#This Row],[PontoPed]]&gt;0), 0, (1-tabItens[[#This Row],[PctAb]])*10 ) ),0)</f>
        <v>99</v>
      </c>
      <c r="BE822" s="337">
        <f>MAX(ROUNDDOWN( IF(tabItens[[#This Row],[Abaixo]] &gt; 0,   tabItens[[#This Row],[Abaixo]] + (tabItens[[#This Row],[PontoMês]] * IF( OR( ISBLANK(tabItens[[#This Row],[ATA Nº/ANO]]), tabItens[[#This Row],[ATA Nº/ANO]] = ""),BE$2,BE$1)),0),0),0)</f>
        <v>0</v>
      </c>
      <c r="BF82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2" s="338">
        <f>SUMIF(Consumo!$C$3:$C$862,tabItens[[#This Row],[CÓDIGO]],Consumo!$E$3:$E$862)</f>
        <v>0</v>
      </c>
      <c r="BH822" s="339">
        <f>IF(AND(tabItens[[#This Row],[Pend]] &gt; 0,tabItens[[#This Row],[Consumo]] &lt;&gt; 0), tabItens[[#This Row],[Pend]] / tabItens[[#This Row],[Consumo]], 0 )</f>
        <v>0</v>
      </c>
      <c r="BI822" s="338"/>
      <c r="BJ822" s="338"/>
      <c r="BK822" s="340" t="s">
        <v>2086</v>
      </c>
    </row>
    <row r="823" spans="1:63" hidden="1" x14ac:dyDescent="0.3">
      <c r="A823" s="301">
        <v>24888</v>
      </c>
      <c r="B823" s="302" t="s">
        <v>1204</v>
      </c>
      <c r="C823" s="303" t="s">
        <v>320</v>
      </c>
      <c r="D823" s="304">
        <v>15.8</v>
      </c>
      <c r="E823" s="305"/>
      <c r="F823" s="305"/>
      <c r="G823" s="305" t="s">
        <v>889</v>
      </c>
      <c r="H823" s="306">
        <v>96</v>
      </c>
      <c r="I823" s="307">
        <v>103003</v>
      </c>
      <c r="J823" s="308">
        <v>15.8</v>
      </c>
      <c r="K823" s="309">
        <v>1</v>
      </c>
      <c r="L823" s="310">
        <f>IF(tabItens[[#This Row],[Média]] &gt; 0, tabItens[[#This Row],[QTDE ATUAL]] / tabItens[[#This Row],[Média]],999.9)</f>
        <v>999.9</v>
      </c>
      <c r="M823" s="311">
        <v>0</v>
      </c>
      <c r="N823" s="312">
        <f>tabItens[[#This Row],[VALOR UNIT.]] * tabItens[[#This Row],[LC]]</f>
        <v>0</v>
      </c>
      <c r="O823" s="313"/>
      <c r="P823" s="314"/>
      <c r="Q823" s="315"/>
      <c r="R823" s="312"/>
      <c r="S823" s="316"/>
      <c r="T823" s="317">
        <f>ROUNDDOWN(IFERROR(tabItens[[#This Row],[ATA DT.VALID.]] - $D$1,0) / 30,0)</f>
        <v>-1474</v>
      </c>
      <c r="U823" s="302" t="s">
        <v>991</v>
      </c>
      <c r="V823" s="318">
        <v>1</v>
      </c>
      <c r="W823" s="319" t="s">
        <v>2071</v>
      </c>
      <c r="X823" s="320">
        <v>67</v>
      </c>
      <c r="Y823" s="321">
        <v>6</v>
      </c>
      <c r="Z823" s="322"/>
      <c r="AA823" s="323"/>
      <c r="AB823" s="324"/>
      <c r="AC823" s="324"/>
      <c r="AD823" s="323"/>
      <c r="AE823" s="324"/>
      <c r="AF823" s="317"/>
      <c r="AG823" s="325" t="s">
        <v>2072</v>
      </c>
      <c r="AH823" s="326"/>
      <c r="AI823" s="317">
        <v>0</v>
      </c>
      <c r="AJ823" s="326">
        <v>43853</v>
      </c>
      <c r="AK823" s="326" t="s">
        <v>889</v>
      </c>
      <c r="AL823" s="326">
        <v>44055</v>
      </c>
      <c r="AM823" s="316"/>
      <c r="AN823" s="305"/>
      <c r="AO823" s="327" t="str">
        <f>_xlfn.IFNA(IF(VLOOKUP(tabItens[[#This Row],[CÓDIGO]],tabExcluirDoEstoque[#Data],1,FALSE),"sim",""),"")</f>
        <v/>
      </c>
      <c r="AP823" s="328" t="str">
        <f ca="1">IF(OR(ISBLANK(tabItens[[#This Row],[ATA DT.VALID.]]),tabItens[[#This Row],[ATA DT.VALID.]]="",tabItens[[#This Row],[ATA DT.VALID.]]=" "),"",IF(TYPE(tabItens[[#This Row],[ATA DT.VALID.]])=1,ROUNDUP((tabItens[[#This Row],[ATA DT.VALID.]]-TODAY())/7,0),""))</f>
        <v/>
      </c>
      <c r="AQ823" s="329"/>
      <c r="AR823" s="330" t="str">
        <f>IF(ISBLANK(tabItens[[#This Row],[CÓDIGO]]),"",IFERROR(VLOOKUP(tabItens[[#This Row],[CÓDIGO]],Consumo!$C$2:$AC$862,26,FALSE),0))</f>
        <v>03.2023</v>
      </c>
      <c r="AS823" s="331">
        <f>SUMIF(Consumo!$C$3:$C$862,tabItens[[#This Row],[CÓDIGO]],Consumo!$N$3:$N$862) + SUMIF(Consumo!$C$3:$C$862,tabItens[[#This Row],[CÓDIGO]],Consumo!$O$3:$O$862) + SUMIF(Consumo!$C$3:$C$862,tabItens[[#This Row],[CÓDIGO]],Consumo!$P$3:$P$862) + SUMIF(Consumo!$C$3:$C$862,tabItens[[#This Row],[CÓDIGO]],Consumo!$Q$3:$Q$862)</f>
        <v>0</v>
      </c>
      <c r="AT823" s="331">
        <f>SUMIF(Consumo!$C$3:$C$862,tabItens[[#This Row],[CÓDIGO]],Consumo!$Z$3:$Z$862)</f>
        <v>1</v>
      </c>
      <c r="AU823" s="332">
        <f>SUMIF(Consumo!$C$3:$C$862,tabItens[[#This Row],[CÓDIGO]],Consumo!$AA$3:$AA$862)</f>
        <v>1</v>
      </c>
      <c r="AV823" s="333">
        <f>SUMIF(Consumo!$C$3:$C$862,tabItens[[#This Row],[CÓDIGO]],Consumo!$Y$3:$Y$862)</f>
        <v>0</v>
      </c>
      <c r="AW823" s="306">
        <f>tabItens[[#This Row],[QTDE ATUAL]] + tabItens[[#This Row],[RC QTDE]] + tabItens[[#This Row],[AF SALDO]] + tabItens[[#This Row],[Recentes]]</f>
        <v>96</v>
      </c>
      <c r="AX823" s="334">
        <v>2</v>
      </c>
      <c r="AY823" s="334">
        <v>4</v>
      </c>
      <c r="AZ823" s="334">
        <f>IF(ISBLANK(tabItens[[#This Row],[CÓDIGO]]),"",tabItens[[#This Row],[PontoMês]] * (AZ$2+tabItens[[#This Row],[PontoQtM]]))</f>
        <v>8</v>
      </c>
      <c r="BA823" s="333">
        <f>tabItens[[#This Row],[PontoPed]] - tabItens[[#This Row],[Saldo]] + (1/10)</f>
        <v>-87.9</v>
      </c>
      <c r="BB823" s="333">
        <f xml:space="preserve"> tabItens[[#This Row],[PontoMês]] * BB$2 - tabItens[[#This Row],[QTDE ATUAL]] - (1/10)</f>
        <v>-94.1</v>
      </c>
      <c r="BC823" s="335">
        <f>IF( tabItens[[#This Row],[PontoPed]]&gt;0, IF(tabItens[[#This Row],[PontoPed]]&lt;1, 1, IF( tabItens[[#This Row],[Saldo]]&gt;tabItens[[#This Row],[PontoPed]], 0, (tabItens[[#This Row],[PontoPed]]-tabItens[[#This Row],[Saldo]])/tabItens[[#This Row],[PontoPed]] ) ), 0 )</f>
        <v>0</v>
      </c>
      <c r="BD823" s="336">
        <f>ROUNDDOWN(IF( OR( AND(tabItens[[#This Row],[PontoPed]]&lt;tabItens[[#This Row],[Saldo]],tabItens[[#This Row],[Saldo]]&gt;0), tabItens[[#This Row],[PontoPed]]=0), 99, IF(AND(tabItens[[#This Row],[Saldo]]=0,tabItens[[#This Row],[PontoPed]]&gt;0), 0, (1-tabItens[[#This Row],[PctAb]])*10 ) ),0)</f>
        <v>99</v>
      </c>
      <c r="BE823" s="337">
        <f>MAX(ROUNDDOWN( IF(tabItens[[#This Row],[Abaixo]] &gt; 0,   tabItens[[#This Row],[Abaixo]] + (tabItens[[#This Row],[PontoMês]] * IF( OR( ISBLANK(tabItens[[#This Row],[ATA Nº/ANO]]), tabItens[[#This Row],[ATA Nº/ANO]] = ""),BE$2,BE$1)),0),0),0)</f>
        <v>0</v>
      </c>
      <c r="BF82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3" s="338">
        <f>SUMIF(Consumo!$C$3:$C$862,tabItens[[#This Row],[CÓDIGO]],Consumo!$E$3:$E$862)</f>
        <v>0</v>
      </c>
      <c r="BH823" s="339">
        <f>IF(AND(tabItens[[#This Row],[Pend]] &gt; 0,tabItens[[#This Row],[Consumo]] &lt;&gt; 0), tabItens[[#This Row],[Pend]] / tabItens[[#This Row],[Consumo]], 0 )</f>
        <v>0</v>
      </c>
      <c r="BI823" s="338"/>
      <c r="BJ823" s="338"/>
      <c r="BK823" s="340" t="s">
        <v>2086</v>
      </c>
    </row>
    <row r="824" spans="1:63" hidden="1" x14ac:dyDescent="0.3">
      <c r="A824" s="301">
        <v>36031</v>
      </c>
      <c r="B824" s="302" t="s">
        <v>1263</v>
      </c>
      <c r="C824" s="303" t="s">
        <v>1264</v>
      </c>
      <c r="D824" s="304">
        <v>12.4</v>
      </c>
      <c r="E824" s="305"/>
      <c r="F824" s="305"/>
      <c r="G824" s="305" t="s">
        <v>889</v>
      </c>
      <c r="H824" s="306">
        <v>2616</v>
      </c>
      <c r="I824" s="307">
        <v>103003</v>
      </c>
      <c r="J824" s="308">
        <v>12.4</v>
      </c>
      <c r="K824" s="309">
        <v>38</v>
      </c>
      <c r="L824" s="310">
        <f>IF(tabItens[[#This Row],[Média]] &gt; 0, tabItens[[#This Row],[QTDE ATUAL]] / tabItens[[#This Row],[Média]],999.9)</f>
        <v>896.91428571428571</v>
      </c>
      <c r="M824" s="311">
        <v>0</v>
      </c>
      <c r="N824" s="312">
        <f>tabItens[[#This Row],[VALOR UNIT.]] * tabItens[[#This Row],[LC]]</f>
        <v>0</v>
      </c>
      <c r="O824" s="313"/>
      <c r="P824" s="314"/>
      <c r="Q824" s="315"/>
      <c r="R824" s="312"/>
      <c r="S824" s="316"/>
      <c r="T824" s="317">
        <f>ROUNDDOWN(IFERROR(tabItens[[#This Row],[ATA DT.VALID.]] - $D$1,0) / 30,0)</f>
        <v>-1474</v>
      </c>
      <c r="U824" s="302" t="s">
        <v>991</v>
      </c>
      <c r="V824" s="318">
        <v>1</v>
      </c>
      <c r="W824" s="319" t="s">
        <v>2071</v>
      </c>
      <c r="X824" s="320">
        <v>67</v>
      </c>
      <c r="Y824" s="321">
        <v>6</v>
      </c>
      <c r="Z824" s="322"/>
      <c r="AA824" s="323"/>
      <c r="AB824" s="324"/>
      <c r="AC824" s="324"/>
      <c r="AD824" s="323"/>
      <c r="AE824" s="324"/>
      <c r="AF824" s="317"/>
      <c r="AG824" s="325" t="s">
        <v>2072</v>
      </c>
      <c r="AH824" s="326"/>
      <c r="AI824" s="317">
        <v>14</v>
      </c>
      <c r="AJ824" s="326">
        <v>43847</v>
      </c>
      <c r="AK824" s="326" t="s">
        <v>889</v>
      </c>
      <c r="AL824" s="326">
        <v>45175</v>
      </c>
      <c r="AM824" s="316"/>
      <c r="AN824" s="305"/>
      <c r="AO824" s="327" t="str">
        <f>_xlfn.IFNA(IF(VLOOKUP(tabItens[[#This Row],[CÓDIGO]],tabExcluirDoEstoque[#Data],1,FALSE),"sim",""),"")</f>
        <v/>
      </c>
      <c r="AP824" s="328" t="str">
        <f ca="1">IF(OR(ISBLANK(tabItens[[#This Row],[ATA DT.VALID.]]),tabItens[[#This Row],[ATA DT.VALID.]]="",tabItens[[#This Row],[ATA DT.VALID.]]=" "),"",IF(TYPE(tabItens[[#This Row],[ATA DT.VALID.]])=1,ROUNDUP((tabItens[[#This Row],[ATA DT.VALID.]]-TODAY())/7,0),""))</f>
        <v/>
      </c>
      <c r="AQ824" s="329"/>
      <c r="AR824" s="330" t="str">
        <f>IF(ISBLANK(tabItens[[#This Row],[CÓDIGO]]),"",IFERROR(VLOOKUP(tabItens[[#This Row],[CÓDIGO]],Consumo!$C$2:$AC$862,26,FALSE),0))</f>
        <v>09.2023</v>
      </c>
      <c r="AS824" s="331">
        <f>SUMIF(Consumo!$C$3:$C$862,tabItens[[#This Row],[CÓDIGO]],Consumo!$N$3:$N$862) + SUMIF(Consumo!$C$3:$C$862,tabItens[[#This Row],[CÓDIGO]],Consumo!$O$3:$O$862) + SUMIF(Consumo!$C$3:$C$862,tabItens[[#This Row],[CÓDIGO]],Consumo!$P$3:$P$862) + SUMIF(Consumo!$C$3:$C$862,tabItens[[#This Row],[CÓDIGO]],Consumo!$Q$3:$Q$862)</f>
        <v>20</v>
      </c>
      <c r="AT824" s="331">
        <f>SUMIF(Consumo!$C$3:$C$862,tabItens[[#This Row],[CÓDIGO]],Consumo!$Z$3:$Z$862)</f>
        <v>40</v>
      </c>
      <c r="AU824" s="332">
        <f>SUMIF(Consumo!$C$3:$C$862,tabItens[[#This Row],[CÓDIGO]],Consumo!$AA$3:$AA$862)</f>
        <v>20</v>
      </c>
      <c r="AV824" s="333">
        <f>SUMIF(Consumo!$C$3:$C$862,tabItens[[#This Row],[CÓDIGO]],Consumo!$Y$3:$Y$862)</f>
        <v>2.9166666666666665</v>
      </c>
      <c r="AW824" s="306">
        <f>tabItens[[#This Row],[QTDE ATUAL]] + tabItens[[#This Row],[RC QTDE]] + tabItens[[#This Row],[AF SALDO]] + tabItens[[#This Row],[Recentes]]</f>
        <v>2616</v>
      </c>
      <c r="AX824" s="334">
        <v>107</v>
      </c>
      <c r="AY824" s="334">
        <v>4</v>
      </c>
      <c r="AZ824" s="334">
        <f>IF(ISBLANK(tabItens[[#This Row],[CÓDIGO]]),"",tabItens[[#This Row],[PontoMês]] * (AZ$2+tabItens[[#This Row],[PontoQtM]]))</f>
        <v>428</v>
      </c>
      <c r="BA824" s="333">
        <f>tabItens[[#This Row],[PontoPed]] - tabItens[[#This Row],[Saldo]] + (1/10)</f>
        <v>-2187.9</v>
      </c>
      <c r="BB824" s="333">
        <f xml:space="preserve"> tabItens[[#This Row],[PontoMês]] * BB$2 - tabItens[[#This Row],[QTDE ATUAL]] - (1/10)</f>
        <v>-2509.1</v>
      </c>
      <c r="BC824" s="335">
        <f>IF( tabItens[[#This Row],[PontoPed]]&gt;0, IF(tabItens[[#This Row],[PontoPed]]&lt;1, 1, IF( tabItens[[#This Row],[Saldo]]&gt;tabItens[[#This Row],[PontoPed]], 0, (tabItens[[#This Row],[PontoPed]]-tabItens[[#This Row],[Saldo]])/tabItens[[#This Row],[PontoPed]] ) ), 0 )</f>
        <v>0</v>
      </c>
      <c r="BD824" s="336">
        <f>ROUNDDOWN(IF( OR( AND(tabItens[[#This Row],[PontoPed]]&lt;tabItens[[#This Row],[Saldo]],tabItens[[#This Row],[Saldo]]&gt;0), tabItens[[#This Row],[PontoPed]]=0), 99, IF(AND(tabItens[[#This Row],[Saldo]]=0,tabItens[[#This Row],[PontoPed]]&gt;0), 0, (1-tabItens[[#This Row],[PctAb]])*10 ) ),0)</f>
        <v>99</v>
      </c>
      <c r="BE824" s="337">
        <f>MAX(ROUNDDOWN( IF(tabItens[[#This Row],[Abaixo]] &gt; 0,   tabItens[[#This Row],[Abaixo]] + (tabItens[[#This Row],[PontoMês]] * IF( OR( ISBLANK(tabItens[[#This Row],[ATA Nº/ANO]]), tabItens[[#This Row],[ATA Nº/ANO]] = ""),BE$2,BE$1)),0),0),0)</f>
        <v>0</v>
      </c>
      <c r="BF82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4" s="338">
        <f>SUMIF(Consumo!$C$3:$C$862,tabItens[[#This Row],[CÓDIGO]],Consumo!$E$3:$E$862)</f>
        <v>0</v>
      </c>
      <c r="BH824" s="339">
        <f>IF(AND(tabItens[[#This Row],[Pend]] &gt; 0,tabItens[[#This Row],[Consumo]] &lt;&gt; 0), tabItens[[#This Row],[Pend]] / tabItens[[#This Row],[Consumo]], 0 )</f>
        <v>0</v>
      </c>
      <c r="BI824" s="338"/>
      <c r="BJ824" s="338"/>
      <c r="BK824" s="340" t="s">
        <v>2086</v>
      </c>
    </row>
    <row r="825" spans="1:63" hidden="1" x14ac:dyDescent="0.3">
      <c r="A825" s="301">
        <v>49858</v>
      </c>
      <c r="B825" s="302" t="s">
        <v>1296</v>
      </c>
      <c r="C825" s="303" t="s">
        <v>1264</v>
      </c>
      <c r="D825" s="304">
        <v>2.0499999999999998</v>
      </c>
      <c r="E825" s="305"/>
      <c r="F825" s="305"/>
      <c r="G825" s="305" t="s">
        <v>889</v>
      </c>
      <c r="H825" s="306">
        <v>185</v>
      </c>
      <c r="I825" s="307">
        <v>103003</v>
      </c>
      <c r="J825" s="308">
        <v>2.0499999999999998</v>
      </c>
      <c r="K825" s="309">
        <v>10</v>
      </c>
      <c r="L825" s="310">
        <f>IF(tabItens[[#This Row],[Média]] &gt; 0, tabItens[[#This Row],[QTDE ATUAL]] / tabItens[[#This Row],[Média]],999.9)</f>
        <v>370</v>
      </c>
      <c r="M825" s="311">
        <v>0</v>
      </c>
      <c r="N825" s="312">
        <f>tabItens[[#This Row],[VALOR UNIT.]] * tabItens[[#This Row],[LC]]</f>
        <v>0</v>
      </c>
      <c r="O825" s="313"/>
      <c r="P825" s="314"/>
      <c r="Q825" s="315"/>
      <c r="R825" s="312"/>
      <c r="S825" s="316"/>
      <c r="T825" s="317">
        <f>ROUNDDOWN(IFERROR(tabItens[[#This Row],[ATA DT.VALID.]] - $D$1,0) / 30,0)</f>
        <v>-1474</v>
      </c>
      <c r="U825" s="302" t="s">
        <v>991</v>
      </c>
      <c r="V825" s="318">
        <v>1</v>
      </c>
      <c r="W825" s="319" t="s">
        <v>2071</v>
      </c>
      <c r="X825" s="320">
        <v>67</v>
      </c>
      <c r="Y825" s="321">
        <v>6</v>
      </c>
      <c r="Z825" s="322"/>
      <c r="AA825" s="323"/>
      <c r="AB825" s="324"/>
      <c r="AC825" s="324"/>
      <c r="AD825" s="323"/>
      <c r="AE825" s="324"/>
      <c r="AF825" s="317"/>
      <c r="AG825" s="325" t="s">
        <v>2072</v>
      </c>
      <c r="AH825" s="326"/>
      <c r="AI825" s="317">
        <v>4</v>
      </c>
      <c r="AJ825" s="326">
        <v>41556</v>
      </c>
      <c r="AK825" s="326" t="s">
        <v>889</v>
      </c>
      <c r="AL825" s="326">
        <v>42041</v>
      </c>
      <c r="AM825" s="316"/>
      <c r="AN825" s="305"/>
      <c r="AO825" s="327" t="str">
        <f>_xlfn.IFNA(IF(VLOOKUP(tabItens[[#This Row],[CÓDIGO]],tabExcluirDoEstoque[#Data],1,FALSE),"sim",""),"")</f>
        <v/>
      </c>
      <c r="AP825" s="328" t="str">
        <f ca="1">IF(OR(ISBLANK(tabItens[[#This Row],[ATA DT.VALID.]]),tabItens[[#This Row],[ATA DT.VALID.]]="",tabItens[[#This Row],[ATA DT.VALID.]]=" "),"",IF(TYPE(tabItens[[#This Row],[ATA DT.VALID.]])=1,ROUNDUP((tabItens[[#This Row],[ATA DT.VALID.]]-TODAY())/7,0),""))</f>
        <v/>
      </c>
      <c r="AQ825" s="329"/>
      <c r="AR825" s="330" t="str">
        <f>IF(ISBLANK(tabItens[[#This Row],[CÓDIGO]]),"",IFERROR(VLOOKUP(tabItens[[#This Row],[CÓDIGO]],Consumo!$C$2:$AC$862,26,FALSE),0))</f>
        <v>05.2023</v>
      </c>
      <c r="AS825" s="331">
        <f>SUMIF(Consumo!$C$3:$C$862,tabItens[[#This Row],[CÓDIGO]],Consumo!$N$3:$N$862) + SUMIF(Consumo!$C$3:$C$862,tabItens[[#This Row],[CÓDIGO]],Consumo!$O$3:$O$862) + SUMIF(Consumo!$C$3:$C$862,tabItens[[#This Row],[CÓDIGO]],Consumo!$P$3:$P$862) + SUMIF(Consumo!$C$3:$C$862,tabItens[[#This Row],[CÓDIGO]],Consumo!$Q$3:$Q$862)</f>
        <v>0</v>
      </c>
      <c r="AT825" s="331">
        <f>SUMIF(Consumo!$C$3:$C$862,tabItens[[#This Row],[CÓDIGO]],Consumo!$Z$3:$Z$862)</f>
        <v>10</v>
      </c>
      <c r="AU825" s="332">
        <f>SUMIF(Consumo!$C$3:$C$862,tabItens[[#This Row],[CÓDIGO]],Consumo!$AA$3:$AA$862)</f>
        <v>10</v>
      </c>
      <c r="AV825" s="333">
        <f>SUMIF(Consumo!$C$3:$C$862,tabItens[[#This Row],[CÓDIGO]],Consumo!$Y$3:$Y$862)</f>
        <v>0.5</v>
      </c>
      <c r="AW825" s="306">
        <f>tabItens[[#This Row],[QTDE ATUAL]] + tabItens[[#This Row],[RC QTDE]] + tabItens[[#This Row],[AF SALDO]] + tabItens[[#This Row],[Recentes]]</f>
        <v>185</v>
      </c>
      <c r="AX825" s="334">
        <v>1</v>
      </c>
      <c r="AY825" s="334">
        <v>4</v>
      </c>
      <c r="AZ825" s="334">
        <f>IF(ISBLANK(tabItens[[#This Row],[CÓDIGO]]),"",tabItens[[#This Row],[PontoMês]] * (AZ$2+tabItens[[#This Row],[PontoQtM]]))</f>
        <v>4</v>
      </c>
      <c r="BA825" s="333">
        <f>tabItens[[#This Row],[PontoPed]] - tabItens[[#This Row],[Saldo]] + (1/10)</f>
        <v>-180.9</v>
      </c>
      <c r="BB825" s="333">
        <f xml:space="preserve"> tabItens[[#This Row],[PontoMês]] * BB$2 - tabItens[[#This Row],[QTDE ATUAL]] - (1/10)</f>
        <v>-184.1</v>
      </c>
      <c r="BC825" s="335">
        <f>IF( tabItens[[#This Row],[PontoPed]]&gt;0, IF(tabItens[[#This Row],[PontoPed]]&lt;1, 1, IF( tabItens[[#This Row],[Saldo]]&gt;tabItens[[#This Row],[PontoPed]], 0, (tabItens[[#This Row],[PontoPed]]-tabItens[[#This Row],[Saldo]])/tabItens[[#This Row],[PontoPed]] ) ), 0 )</f>
        <v>0</v>
      </c>
      <c r="BD825" s="336">
        <f>ROUNDDOWN(IF( OR( AND(tabItens[[#This Row],[PontoPed]]&lt;tabItens[[#This Row],[Saldo]],tabItens[[#This Row],[Saldo]]&gt;0), tabItens[[#This Row],[PontoPed]]=0), 99, IF(AND(tabItens[[#This Row],[Saldo]]=0,tabItens[[#This Row],[PontoPed]]&gt;0), 0, (1-tabItens[[#This Row],[PctAb]])*10 ) ),0)</f>
        <v>99</v>
      </c>
      <c r="BE825" s="337">
        <f>MAX(ROUNDDOWN( IF(tabItens[[#This Row],[Abaixo]] &gt; 0,   tabItens[[#This Row],[Abaixo]] + (tabItens[[#This Row],[PontoMês]] * IF( OR( ISBLANK(tabItens[[#This Row],[ATA Nº/ANO]]), tabItens[[#This Row],[ATA Nº/ANO]] = ""),BE$2,BE$1)),0),0),0)</f>
        <v>0</v>
      </c>
      <c r="BF82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5" s="338">
        <f>SUMIF(Consumo!$C$3:$C$862,tabItens[[#This Row],[CÓDIGO]],Consumo!$E$3:$E$862)</f>
        <v>0</v>
      </c>
      <c r="BH825" s="339">
        <f>IF(AND(tabItens[[#This Row],[Pend]] &gt; 0,tabItens[[#This Row],[Consumo]] &lt;&gt; 0), tabItens[[#This Row],[Pend]] / tabItens[[#This Row],[Consumo]], 0 )</f>
        <v>0</v>
      </c>
      <c r="BI825" s="338"/>
      <c r="BJ825" s="338"/>
      <c r="BK825" s="340" t="s">
        <v>2086</v>
      </c>
    </row>
    <row r="826" spans="1:63" hidden="1" x14ac:dyDescent="0.3">
      <c r="A826" s="301">
        <v>20554</v>
      </c>
      <c r="B826" s="302" t="s">
        <v>1168</v>
      </c>
      <c r="C826" s="303" t="s">
        <v>263</v>
      </c>
      <c r="D826" s="304">
        <v>0.13</v>
      </c>
      <c r="E826" s="305"/>
      <c r="F826" s="305"/>
      <c r="G826" s="305" t="s">
        <v>889</v>
      </c>
      <c r="H826" s="306">
        <v>12260</v>
      </c>
      <c r="I826" s="307">
        <v>103003</v>
      </c>
      <c r="J826" s="308">
        <v>0.13</v>
      </c>
      <c r="K826" s="309">
        <v>7010</v>
      </c>
      <c r="L826" s="310">
        <f>IF(tabItens[[#This Row],[Média]] &gt; 0, tabItens[[#This Row],[QTDE ATUAL]] / tabItens[[#This Row],[Média]],999.9)</f>
        <v>16.580637890228786</v>
      </c>
      <c r="M826" s="311">
        <v>0</v>
      </c>
      <c r="N826" s="312">
        <f>tabItens[[#This Row],[VALOR UNIT.]] * tabItens[[#This Row],[LC]]</f>
        <v>0</v>
      </c>
      <c r="O826" s="313"/>
      <c r="P826" s="314"/>
      <c r="Q826" s="315"/>
      <c r="R826" s="312"/>
      <c r="S826" s="316"/>
      <c r="T826" s="317">
        <f>ROUNDDOWN(IFERROR(tabItens[[#This Row],[ATA DT.VALID.]] - $D$1,0) / 30,0)</f>
        <v>-1474</v>
      </c>
      <c r="U826" s="302" t="s">
        <v>1169</v>
      </c>
      <c r="V826" s="318">
        <v>1</v>
      </c>
      <c r="W826" s="319" t="s">
        <v>2078</v>
      </c>
      <c r="X826" s="320">
        <v>67</v>
      </c>
      <c r="Y826" s="321">
        <v>7</v>
      </c>
      <c r="Z826" s="322"/>
      <c r="AA826" s="323"/>
      <c r="AB826" s="324"/>
      <c r="AC826" s="324"/>
      <c r="AD826" s="323"/>
      <c r="AE826" s="324"/>
      <c r="AF826" s="317"/>
      <c r="AG826" s="325" t="s">
        <v>2072</v>
      </c>
      <c r="AH826" s="326"/>
      <c r="AI826" s="317">
        <v>3310</v>
      </c>
      <c r="AJ826" s="326">
        <v>45201</v>
      </c>
      <c r="AK826" s="326" t="s">
        <v>889</v>
      </c>
      <c r="AL826" s="326">
        <v>45189</v>
      </c>
      <c r="AM826" s="316"/>
      <c r="AN826" s="305"/>
      <c r="AO826" s="327" t="str">
        <f>_xlfn.IFNA(IF(VLOOKUP(tabItens[[#This Row],[CÓDIGO]],tabExcluirDoEstoque[#Data],1,FALSE),"sim",""),"")</f>
        <v/>
      </c>
      <c r="AP826" s="328" t="str">
        <f ca="1">IF(OR(ISBLANK(tabItens[[#This Row],[ATA DT.VALID.]]),tabItens[[#This Row],[ATA DT.VALID.]]="",tabItens[[#This Row],[ATA DT.VALID.]]=" "),"",IF(TYPE(tabItens[[#This Row],[ATA DT.VALID.]])=1,ROUNDUP((tabItens[[#This Row],[ATA DT.VALID.]]-TODAY())/7,0),""))</f>
        <v/>
      </c>
      <c r="AQ826" s="329"/>
      <c r="AR826" s="330" t="str">
        <f>IF(ISBLANK(tabItens[[#This Row],[CÓDIGO]]),"",IFERROR(VLOOKUP(tabItens[[#This Row],[CÓDIGO]],Consumo!$C$2:$AC$862,26,FALSE),0))</f>
        <v>09.2023</v>
      </c>
      <c r="AS826" s="331">
        <f>SUMIF(Consumo!$C$3:$C$862,tabItens[[#This Row],[CÓDIGO]],Consumo!$N$3:$N$862) + SUMIF(Consumo!$C$3:$C$862,tabItens[[#This Row],[CÓDIGO]],Consumo!$O$3:$O$862) + SUMIF(Consumo!$C$3:$C$862,tabItens[[#This Row],[CÓDIGO]],Consumo!$P$3:$P$862) + SUMIF(Consumo!$C$3:$C$862,tabItens[[#This Row],[CÓDIGO]],Consumo!$Q$3:$Q$862)</f>
        <v>1630</v>
      </c>
      <c r="AT826" s="331">
        <f>SUMIF(Consumo!$C$3:$C$862,tabItens[[#This Row],[CÓDIGO]],Consumo!$Z$3:$Z$862)</f>
        <v>9040</v>
      </c>
      <c r="AU826" s="332">
        <f>SUMIF(Consumo!$C$3:$C$862,tabItens[[#This Row],[CÓDIGO]],Consumo!$AA$3:$AA$862)</f>
        <v>2100</v>
      </c>
      <c r="AV826" s="333">
        <f>SUMIF(Consumo!$C$3:$C$862,tabItens[[#This Row],[CÓDIGO]],Consumo!$Y$3:$Y$862)</f>
        <v>739.41666666666663</v>
      </c>
      <c r="AW826" s="306">
        <f>tabItens[[#This Row],[QTDE ATUAL]] + tabItens[[#This Row],[RC QTDE]] + tabItens[[#This Row],[AF SALDO]] + tabItens[[#This Row],[Recentes]]</f>
        <v>12260</v>
      </c>
      <c r="AX826" s="334">
        <v>1321</v>
      </c>
      <c r="AY826" s="334">
        <v>4</v>
      </c>
      <c r="AZ826" s="334">
        <f>IF(ISBLANK(tabItens[[#This Row],[CÓDIGO]]),"",tabItens[[#This Row],[PontoMês]] * (AZ$2+tabItens[[#This Row],[PontoQtM]]))</f>
        <v>5284</v>
      </c>
      <c r="BA826" s="333">
        <f>tabItens[[#This Row],[PontoPed]] - tabItens[[#This Row],[Saldo]] + (1/10)</f>
        <v>-6975.9</v>
      </c>
      <c r="BB826" s="333">
        <f xml:space="preserve"> tabItens[[#This Row],[PontoMês]] * BB$2 - tabItens[[#This Row],[QTDE ATUAL]] - (1/10)</f>
        <v>-10939.1</v>
      </c>
      <c r="BC826" s="335">
        <f>IF( tabItens[[#This Row],[PontoPed]]&gt;0, IF(tabItens[[#This Row],[PontoPed]]&lt;1, 1, IF( tabItens[[#This Row],[Saldo]]&gt;tabItens[[#This Row],[PontoPed]], 0, (tabItens[[#This Row],[PontoPed]]-tabItens[[#This Row],[Saldo]])/tabItens[[#This Row],[PontoPed]] ) ), 0 )</f>
        <v>0</v>
      </c>
      <c r="BD826" s="336">
        <f>ROUNDDOWN(IF( OR( AND(tabItens[[#This Row],[PontoPed]]&lt;tabItens[[#This Row],[Saldo]],tabItens[[#This Row],[Saldo]]&gt;0), tabItens[[#This Row],[PontoPed]]=0), 99, IF(AND(tabItens[[#This Row],[Saldo]]=0,tabItens[[#This Row],[PontoPed]]&gt;0), 0, (1-tabItens[[#This Row],[PctAb]])*10 ) ),0)</f>
        <v>99</v>
      </c>
      <c r="BE826" s="337">
        <f>MAX(ROUNDDOWN( IF(tabItens[[#This Row],[Abaixo]] &gt; 0,   tabItens[[#This Row],[Abaixo]] + (tabItens[[#This Row],[PontoMês]] * IF( OR( ISBLANK(tabItens[[#This Row],[ATA Nº/ANO]]), tabItens[[#This Row],[ATA Nº/ANO]] = ""),BE$2,BE$1)),0),0),0)</f>
        <v>0</v>
      </c>
      <c r="BF82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6" s="338">
        <f>SUMIF(Consumo!$C$3:$C$862,tabItens[[#This Row],[CÓDIGO]],Consumo!$E$3:$E$862)</f>
        <v>50</v>
      </c>
      <c r="BH826" s="339">
        <f>IF(AND(tabItens[[#This Row],[Pend]] &gt; 0,tabItens[[#This Row],[Consumo]] &lt;&gt; 0), tabItens[[#This Row],[Pend]] / tabItens[[#This Row],[Consumo]], 0 )</f>
        <v>5.5309734513274336E-3</v>
      </c>
      <c r="BI826" s="338"/>
      <c r="BJ826" s="338"/>
      <c r="BK826" s="340" t="s">
        <v>2086</v>
      </c>
    </row>
    <row r="827" spans="1:63" hidden="1" x14ac:dyDescent="0.3">
      <c r="A827" s="301">
        <v>20558</v>
      </c>
      <c r="B827" s="302" t="s">
        <v>1170</v>
      </c>
      <c r="C827" s="303" t="s">
        <v>263</v>
      </c>
      <c r="D827" s="304">
        <v>0.08</v>
      </c>
      <c r="E827" s="305"/>
      <c r="F827" s="305"/>
      <c r="G827" s="305" t="s">
        <v>889</v>
      </c>
      <c r="H827" s="306">
        <v>9000</v>
      </c>
      <c r="I827" s="307">
        <v>103003</v>
      </c>
      <c r="J827" s="308">
        <v>0.08</v>
      </c>
      <c r="K827" s="309">
        <v>7405</v>
      </c>
      <c r="L827" s="310">
        <f>IF(tabItens[[#This Row],[Média]] &gt; 0, tabItens[[#This Row],[QTDE ATUAL]] / tabItens[[#This Row],[Média]],999.9)</f>
        <v>10.713222894554111</v>
      </c>
      <c r="M827" s="311">
        <v>0</v>
      </c>
      <c r="N827" s="312">
        <f>tabItens[[#This Row],[VALOR UNIT.]] * tabItens[[#This Row],[LC]]</f>
        <v>0</v>
      </c>
      <c r="O827" s="313"/>
      <c r="P827" s="314"/>
      <c r="Q827" s="315"/>
      <c r="R827" s="312"/>
      <c r="S827" s="316"/>
      <c r="T827" s="317">
        <f>ROUNDDOWN(IFERROR(tabItens[[#This Row],[ATA DT.VALID.]] - $D$1,0) / 30,0)</f>
        <v>-1474</v>
      </c>
      <c r="U827" s="302" t="s">
        <v>1169</v>
      </c>
      <c r="V827" s="318">
        <v>1</v>
      </c>
      <c r="W827" s="319" t="s">
        <v>2078</v>
      </c>
      <c r="X827" s="320">
        <v>67</v>
      </c>
      <c r="Y827" s="321">
        <v>7</v>
      </c>
      <c r="Z827" s="322"/>
      <c r="AA827" s="323"/>
      <c r="AB827" s="324"/>
      <c r="AC827" s="324"/>
      <c r="AD827" s="323"/>
      <c r="AE827" s="324"/>
      <c r="AF827" s="317"/>
      <c r="AG827" s="325" t="s">
        <v>2072</v>
      </c>
      <c r="AH827" s="326"/>
      <c r="AI827" s="317">
        <v>2810</v>
      </c>
      <c r="AJ827" s="326">
        <v>45201</v>
      </c>
      <c r="AK827" s="326" t="s">
        <v>889</v>
      </c>
      <c r="AL827" s="326">
        <v>45189</v>
      </c>
      <c r="AM827" s="316"/>
      <c r="AN827" s="305"/>
      <c r="AO827" s="327" t="str">
        <f>_xlfn.IFNA(IF(VLOOKUP(tabItens[[#This Row],[CÓDIGO]],tabExcluirDoEstoque[#Data],1,FALSE),"sim",""),"")</f>
        <v/>
      </c>
      <c r="AP827" s="328" t="str">
        <f ca="1">IF(OR(ISBLANK(tabItens[[#This Row],[ATA DT.VALID.]]),tabItens[[#This Row],[ATA DT.VALID.]]="",tabItens[[#This Row],[ATA DT.VALID.]]=" "),"",IF(TYPE(tabItens[[#This Row],[ATA DT.VALID.]])=1,ROUNDUP((tabItens[[#This Row],[ATA DT.VALID.]]-TODAY())/7,0),""))</f>
        <v/>
      </c>
      <c r="AQ827" s="329"/>
      <c r="AR827" s="330" t="str">
        <f>IF(ISBLANK(tabItens[[#This Row],[CÓDIGO]]),"",IFERROR(VLOOKUP(tabItens[[#This Row],[CÓDIGO]],Consumo!$C$2:$AC$862,26,FALSE),0))</f>
        <v>09.2023</v>
      </c>
      <c r="AS827" s="331">
        <f>SUMIF(Consumo!$C$3:$C$862,tabItens[[#This Row],[CÓDIGO]],Consumo!$N$3:$N$862) + SUMIF(Consumo!$C$3:$C$862,tabItens[[#This Row],[CÓDIGO]],Consumo!$O$3:$O$862) + SUMIF(Consumo!$C$3:$C$862,tabItens[[#This Row],[CÓDIGO]],Consumo!$P$3:$P$862) + SUMIF(Consumo!$C$3:$C$862,tabItens[[#This Row],[CÓDIGO]],Consumo!$Q$3:$Q$862)</f>
        <v>627</v>
      </c>
      <c r="AT827" s="331">
        <f>SUMIF(Consumo!$C$3:$C$862,tabItens[[#This Row],[CÓDIGO]],Consumo!$Z$3:$Z$862)</f>
        <v>10160</v>
      </c>
      <c r="AU827" s="332">
        <f>SUMIF(Consumo!$C$3:$C$862,tabItens[[#This Row],[CÓDIGO]],Consumo!$AA$3:$AA$862)</f>
        <v>2400</v>
      </c>
      <c r="AV827" s="333">
        <f>SUMIF(Consumo!$C$3:$C$862,tabItens[[#This Row],[CÓDIGO]],Consumo!$Y$3:$Y$862)</f>
        <v>840.08333333333337</v>
      </c>
      <c r="AW827" s="306">
        <f>tabItens[[#This Row],[QTDE ATUAL]] + tabItens[[#This Row],[RC QTDE]] + tabItens[[#This Row],[AF SALDO]] + tabItens[[#This Row],[Recentes]]</f>
        <v>9000</v>
      </c>
      <c r="AX827" s="334">
        <v>650</v>
      </c>
      <c r="AY827" s="334">
        <v>4</v>
      </c>
      <c r="AZ827" s="334">
        <f>IF(ISBLANK(tabItens[[#This Row],[CÓDIGO]]),"",tabItens[[#This Row],[PontoMês]] * (AZ$2+tabItens[[#This Row],[PontoQtM]]))</f>
        <v>2600</v>
      </c>
      <c r="BA827" s="333">
        <f>tabItens[[#This Row],[PontoPed]] - tabItens[[#This Row],[Saldo]] + (1/10)</f>
        <v>-6399.9</v>
      </c>
      <c r="BB827" s="333">
        <f xml:space="preserve"> tabItens[[#This Row],[PontoMês]] * BB$2 - tabItens[[#This Row],[QTDE ATUAL]] - (1/10)</f>
        <v>-8350.1</v>
      </c>
      <c r="BC827" s="335">
        <f>IF( tabItens[[#This Row],[PontoPed]]&gt;0, IF(tabItens[[#This Row],[PontoPed]]&lt;1, 1, IF( tabItens[[#This Row],[Saldo]]&gt;tabItens[[#This Row],[PontoPed]], 0, (tabItens[[#This Row],[PontoPed]]-tabItens[[#This Row],[Saldo]])/tabItens[[#This Row],[PontoPed]] ) ), 0 )</f>
        <v>0</v>
      </c>
      <c r="BD827" s="336">
        <f>ROUNDDOWN(IF( OR( AND(tabItens[[#This Row],[PontoPed]]&lt;tabItens[[#This Row],[Saldo]],tabItens[[#This Row],[Saldo]]&gt;0), tabItens[[#This Row],[PontoPed]]=0), 99, IF(AND(tabItens[[#This Row],[Saldo]]=0,tabItens[[#This Row],[PontoPed]]&gt;0), 0, (1-tabItens[[#This Row],[PctAb]])*10 ) ),0)</f>
        <v>99</v>
      </c>
      <c r="BE827" s="337">
        <f>MAX(ROUNDDOWN( IF(tabItens[[#This Row],[Abaixo]] &gt; 0,   tabItens[[#This Row],[Abaixo]] + (tabItens[[#This Row],[PontoMês]] * IF( OR( ISBLANK(tabItens[[#This Row],[ATA Nº/ANO]]), tabItens[[#This Row],[ATA Nº/ANO]] = ""),BE$2,BE$1)),0),0),0)</f>
        <v>0</v>
      </c>
      <c r="BF82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7" s="338">
        <f>SUMIF(Consumo!$C$3:$C$862,tabItens[[#This Row],[CÓDIGO]],Consumo!$E$3:$E$862)</f>
        <v>1728</v>
      </c>
      <c r="BH827" s="339">
        <f>IF(AND(tabItens[[#This Row],[Pend]] &gt; 0,tabItens[[#This Row],[Consumo]] &lt;&gt; 0), tabItens[[#This Row],[Pend]] / tabItens[[#This Row],[Consumo]], 0 )</f>
        <v>0.17007874015748031</v>
      </c>
      <c r="BI827" s="338"/>
      <c r="BJ827" s="338"/>
      <c r="BK827" s="340" t="s">
        <v>2086</v>
      </c>
    </row>
    <row r="828" spans="1:63" hidden="1" x14ac:dyDescent="0.3">
      <c r="A828" s="301">
        <v>20576</v>
      </c>
      <c r="B828" s="302" t="s">
        <v>1171</v>
      </c>
      <c r="C828" s="303" t="s">
        <v>263</v>
      </c>
      <c r="D828" s="304">
        <v>0.08</v>
      </c>
      <c r="E828" s="305"/>
      <c r="F828" s="305"/>
      <c r="G828" s="305" t="s">
        <v>889</v>
      </c>
      <c r="H828" s="306">
        <v>7415</v>
      </c>
      <c r="I828" s="307">
        <v>103003</v>
      </c>
      <c r="J828" s="308">
        <v>0.08</v>
      </c>
      <c r="K828" s="309">
        <v>4800</v>
      </c>
      <c r="L828" s="310">
        <f>IF(tabItens[[#This Row],[Média]] &gt; 0, tabItens[[#This Row],[QTDE ATUAL]] / tabItens[[#This Row],[Média]],999.9)</f>
        <v>21.322789360172539</v>
      </c>
      <c r="M828" s="311">
        <v>0</v>
      </c>
      <c r="N828" s="312">
        <f>tabItens[[#This Row],[VALOR UNIT.]] * tabItens[[#This Row],[LC]]</f>
        <v>0</v>
      </c>
      <c r="O828" s="313"/>
      <c r="P828" s="314"/>
      <c r="Q828" s="315"/>
      <c r="R828" s="312"/>
      <c r="S828" s="316"/>
      <c r="T828" s="317">
        <f>ROUNDDOWN(IFERROR(tabItens[[#This Row],[ATA DT.VALID.]] - $D$1,0) / 30,0)</f>
        <v>-1474</v>
      </c>
      <c r="U828" s="302" t="s">
        <v>1169</v>
      </c>
      <c r="V828" s="318">
        <v>1</v>
      </c>
      <c r="W828" s="319" t="s">
        <v>2078</v>
      </c>
      <c r="X828" s="320">
        <v>67</v>
      </c>
      <c r="Y828" s="321">
        <v>7</v>
      </c>
      <c r="Z828" s="322"/>
      <c r="AA828" s="323"/>
      <c r="AB828" s="324"/>
      <c r="AC828" s="324"/>
      <c r="AD828" s="323"/>
      <c r="AE828" s="324"/>
      <c r="AF828" s="317"/>
      <c r="AG828" s="325" t="s">
        <v>2072</v>
      </c>
      <c r="AH828" s="326"/>
      <c r="AI828" s="317">
        <v>1634</v>
      </c>
      <c r="AJ828" s="326">
        <v>44092</v>
      </c>
      <c r="AK828" s="326" t="s">
        <v>889</v>
      </c>
      <c r="AL828" s="326">
        <v>44040</v>
      </c>
      <c r="AM828" s="316"/>
      <c r="AN828" s="305"/>
      <c r="AO828" s="327" t="str">
        <f>_xlfn.IFNA(IF(VLOOKUP(tabItens[[#This Row],[CÓDIGO]],tabExcluirDoEstoque[#Data],1,FALSE),"sim",""),"")</f>
        <v/>
      </c>
      <c r="AP828" s="328" t="str">
        <f ca="1">IF(OR(ISBLANK(tabItens[[#This Row],[ATA DT.VALID.]]),tabItens[[#This Row],[ATA DT.VALID.]]="",tabItens[[#This Row],[ATA DT.VALID.]]=" "),"",IF(TYPE(tabItens[[#This Row],[ATA DT.VALID.]])=1,ROUNDUP((tabItens[[#This Row],[ATA DT.VALID.]]-TODAY())/7,0),""))</f>
        <v/>
      </c>
      <c r="AQ828" s="329"/>
      <c r="AR828" s="330" t="str">
        <f>IF(ISBLANK(tabItens[[#This Row],[CÓDIGO]]),"",IFERROR(VLOOKUP(tabItens[[#This Row],[CÓDIGO]],Consumo!$C$2:$AC$862,26,FALSE),0))</f>
        <v>05.2023</v>
      </c>
      <c r="AS828" s="331">
        <f>SUMIF(Consumo!$C$3:$C$862,tabItens[[#This Row],[CÓDIGO]],Consumo!$N$3:$N$862) + SUMIF(Consumo!$C$3:$C$862,tabItens[[#This Row],[CÓDIGO]],Consumo!$O$3:$O$862) + SUMIF(Consumo!$C$3:$C$862,tabItens[[#This Row],[CÓDIGO]],Consumo!$P$3:$P$862) + SUMIF(Consumo!$C$3:$C$862,tabItens[[#This Row],[CÓDIGO]],Consumo!$Q$3:$Q$862)</f>
        <v>0</v>
      </c>
      <c r="AT828" s="331">
        <f>SUMIF(Consumo!$C$3:$C$862,tabItens[[#This Row],[CÓDIGO]],Consumo!$Z$3:$Z$862)</f>
        <v>4900</v>
      </c>
      <c r="AU828" s="332">
        <f>SUMIF(Consumo!$C$3:$C$862,tabItens[[#This Row],[CÓDIGO]],Consumo!$AA$3:$AA$862)</f>
        <v>2650</v>
      </c>
      <c r="AV828" s="333">
        <f>SUMIF(Consumo!$C$3:$C$862,tabItens[[#This Row],[CÓDIGO]],Consumo!$Y$3:$Y$862)</f>
        <v>347.75</v>
      </c>
      <c r="AW828" s="306">
        <f>tabItens[[#This Row],[QTDE ATUAL]] + tabItens[[#This Row],[RC QTDE]] + tabItens[[#This Row],[AF SALDO]] + tabItens[[#This Row],[Recentes]]</f>
        <v>7415</v>
      </c>
      <c r="AX828" s="334">
        <v>384</v>
      </c>
      <c r="AY828" s="334">
        <v>4</v>
      </c>
      <c r="AZ828" s="334">
        <f>IF(ISBLANK(tabItens[[#This Row],[CÓDIGO]]),"",tabItens[[#This Row],[PontoMês]] * (AZ$2+tabItens[[#This Row],[PontoQtM]]))</f>
        <v>1536</v>
      </c>
      <c r="BA828" s="333">
        <f>tabItens[[#This Row],[PontoPed]] - tabItens[[#This Row],[Saldo]] + (1/10)</f>
        <v>-5878.9</v>
      </c>
      <c r="BB828" s="333">
        <f xml:space="preserve"> tabItens[[#This Row],[PontoMês]] * BB$2 - tabItens[[#This Row],[QTDE ATUAL]] - (1/10)</f>
        <v>-7031.1</v>
      </c>
      <c r="BC828" s="335">
        <f>IF( tabItens[[#This Row],[PontoPed]]&gt;0, IF(tabItens[[#This Row],[PontoPed]]&lt;1, 1, IF( tabItens[[#This Row],[Saldo]]&gt;tabItens[[#This Row],[PontoPed]], 0, (tabItens[[#This Row],[PontoPed]]-tabItens[[#This Row],[Saldo]])/tabItens[[#This Row],[PontoPed]] ) ), 0 )</f>
        <v>0</v>
      </c>
      <c r="BD828" s="336">
        <f>ROUNDDOWN(IF( OR( AND(tabItens[[#This Row],[PontoPed]]&lt;tabItens[[#This Row],[Saldo]],tabItens[[#This Row],[Saldo]]&gt;0), tabItens[[#This Row],[PontoPed]]=0), 99, IF(AND(tabItens[[#This Row],[Saldo]]=0,tabItens[[#This Row],[PontoPed]]&gt;0), 0, (1-tabItens[[#This Row],[PctAb]])*10 ) ),0)</f>
        <v>99</v>
      </c>
      <c r="BE828" s="337">
        <f>MAX(ROUNDDOWN( IF(tabItens[[#This Row],[Abaixo]] &gt; 0,   tabItens[[#This Row],[Abaixo]] + (tabItens[[#This Row],[PontoMês]] * IF( OR( ISBLANK(tabItens[[#This Row],[ATA Nº/ANO]]), tabItens[[#This Row],[ATA Nº/ANO]] = ""),BE$2,BE$1)),0),0),0)</f>
        <v>0</v>
      </c>
      <c r="BF82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8" s="338">
        <f>SUMIF(Consumo!$C$3:$C$862,tabItens[[#This Row],[CÓDIGO]],Consumo!$E$3:$E$862)</f>
        <v>0</v>
      </c>
      <c r="BH828" s="339">
        <f>IF(AND(tabItens[[#This Row],[Pend]] &gt; 0,tabItens[[#This Row],[Consumo]] &lt;&gt; 0), tabItens[[#This Row],[Pend]] / tabItens[[#This Row],[Consumo]], 0 )</f>
        <v>0</v>
      </c>
      <c r="BI828" s="338"/>
      <c r="BJ828" s="338"/>
      <c r="BK828" s="340" t="s">
        <v>2086</v>
      </c>
    </row>
    <row r="829" spans="1:63" hidden="1" x14ac:dyDescent="0.3">
      <c r="A829" s="301">
        <v>20583</v>
      </c>
      <c r="B829" s="302" t="s">
        <v>1172</v>
      </c>
      <c r="C829" s="303" t="s">
        <v>263</v>
      </c>
      <c r="D829" s="304">
        <v>0.09</v>
      </c>
      <c r="E829" s="305"/>
      <c r="F829" s="305"/>
      <c r="G829" s="305" t="s">
        <v>889</v>
      </c>
      <c r="H829" s="306">
        <v>13063</v>
      </c>
      <c r="I829" s="307">
        <v>103003</v>
      </c>
      <c r="J829" s="308">
        <v>0.09</v>
      </c>
      <c r="K829" s="309">
        <v>2950</v>
      </c>
      <c r="L829" s="310">
        <f>IF(tabItens[[#This Row],[Média]] &gt; 0, tabItens[[#This Row],[QTDE ATUAL]] / tabItens[[#This Row],[Média]],999.9)</f>
        <v>67.625539257981018</v>
      </c>
      <c r="M829" s="311">
        <v>0</v>
      </c>
      <c r="N829" s="312">
        <f>tabItens[[#This Row],[VALOR UNIT.]] * tabItens[[#This Row],[LC]]</f>
        <v>0</v>
      </c>
      <c r="O829" s="313"/>
      <c r="P829" s="314"/>
      <c r="Q829" s="315"/>
      <c r="R829" s="312"/>
      <c r="S829" s="316"/>
      <c r="T829" s="317">
        <f>ROUNDDOWN(IFERROR(tabItens[[#This Row],[ATA DT.VALID.]] - $D$1,0) / 30,0)</f>
        <v>-1474</v>
      </c>
      <c r="U829" s="302" t="s">
        <v>1169</v>
      </c>
      <c r="V829" s="318">
        <v>1</v>
      </c>
      <c r="W829" s="319" t="s">
        <v>2078</v>
      </c>
      <c r="X829" s="320">
        <v>67</v>
      </c>
      <c r="Y829" s="321">
        <v>7</v>
      </c>
      <c r="Z829" s="322"/>
      <c r="AA829" s="323"/>
      <c r="AB829" s="324"/>
      <c r="AC829" s="324"/>
      <c r="AD829" s="323"/>
      <c r="AE829" s="324"/>
      <c r="AF829" s="317"/>
      <c r="AG829" s="325" t="s">
        <v>2072</v>
      </c>
      <c r="AH829" s="326"/>
      <c r="AI829" s="317">
        <v>984</v>
      </c>
      <c r="AJ829" s="326">
        <v>43853</v>
      </c>
      <c r="AK829" s="326" t="s">
        <v>889</v>
      </c>
      <c r="AL829" s="326">
        <v>43826</v>
      </c>
      <c r="AM829" s="316"/>
      <c r="AN829" s="305"/>
      <c r="AO829" s="327" t="str">
        <f>_xlfn.IFNA(IF(VLOOKUP(tabItens[[#This Row],[CÓDIGO]],tabExcluirDoEstoque[#Data],1,FALSE),"sim",""),"")</f>
        <v/>
      </c>
      <c r="AP829" s="328" t="str">
        <f ca="1">IF(OR(ISBLANK(tabItens[[#This Row],[ATA DT.VALID.]]),tabItens[[#This Row],[ATA DT.VALID.]]="",tabItens[[#This Row],[ATA DT.VALID.]]=" "),"",IF(TYPE(tabItens[[#This Row],[ATA DT.VALID.]])=1,ROUNDUP((tabItens[[#This Row],[ATA DT.VALID.]]-TODAY())/7,0),""))</f>
        <v/>
      </c>
      <c r="AQ829" s="329"/>
      <c r="AR829" s="330" t="str">
        <f>IF(ISBLANK(tabItens[[#This Row],[CÓDIGO]]),"",IFERROR(VLOOKUP(tabItens[[#This Row],[CÓDIGO]],Consumo!$C$2:$AC$862,26,FALSE),0))</f>
        <v>04.2023</v>
      </c>
      <c r="AS829" s="331">
        <f>SUMIF(Consumo!$C$3:$C$862,tabItens[[#This Row],[CÓDIGO]],Consumo!$N$3:$N$862) + SUMIF(Consumo!$C$3:$C$862,tabItens[[#This Row],[CÓDIGO]],Consumo!$O$3:$O$862) + SUMIF(Consumo!$C$3:$C$862,tabItens[[#This Row],[CÓDIGO]],Consumo!$P$3:$P$862) + SUMIF(Consumo!$C$3:$C$862,tabItens[[#This Row],[CÓDIGO]],Consumo!$Q$3:$Q$862)</f>
        <v>0</v>
      </c>
      <c r="AT829" s="331">
        <f>SUMIF(Consumo!$C$3:$C$862,tabItens[[#This Row],[CÓDIGO]],Consumo!$Z$3:$Z$862)</f>
        <v>3000</v>
      </c>
      <c r="AU829" s="332">
        <f>SUMIF(Consumo!$C$3:$C$862,tabItens[[#This Row],[CÓDIGO]],Consumo!$AA$3:$AA$862)</f>
        <v>2100</v>
      </c>
      <c r="AV829" s="333">
        <f>SUMIF(Consumo!$C$3:$C$862,tabItens[[#This Row],[CÓDIGO]],Consumo!$Y$3:$Y$862)</f>
        <v>193.16666666666666</v>
      </c>
      <c r="AW829" s="306">
        <f>tabItens[[#This Row],[QTDE ATUAL]] + tabItens[[#This Row],[RC QTDE]] + tabItens[[#This Row],[AF SALDO]] + tabItens[[#This Row],[Recentes]]</f>
        <v>13063</v>
      </c>
      <c r="AX829" s="334">
        <v>710</v>
      </c>
      <c r="AY829" s="334">
        <v>4</v>
      </c>
      <c r="AZ829" s="334">
        <f>IF(ISBLANK(tabItens[[#This Row],[CÓDIGO]]),"",tabItens[[#This Row],[PontoMês]] * (AZ$2+tabItens[[#This Row],[PontoQtM]]))</f>
        <v>2840</v>
      </c>
      <c r="BA829" s="333">
        <f>tabItens[[#This Row],[PontoPed]] - tabItens[[#This Row],[Saldo]] + (1/10)</f>
        <v>-10222.9</v>
      </c>
      <c r="BB829" s="333">
        <f xml:space="preserve"> tabItens[[#This Row],[PontoMês]] * BB$2 - tabItens[[#This Row],[QTDE ATUAL]] - (1/10)</f>
        <v>-12353.1</v>
      </c>
      <c r="BC829" s="335">
        <f>IF( tabItens[[#This Row],[PontoPed]]&gt;0, IF(tabItens[[#This Row],[PontoPed]]&lt;1, 1, IF( tabItens[[#This Row],[Saldo]]&gt;tabItens[[#This Row],[PontoPed]], 0, (tabItens[[#This Row],[PontoPed]]-tabItens[[#This Row],[Saldo]])/tabItens[[#This Row],[PontoPed]] ) ), 0 )</f>
        <v>0</v>
      </c>
      <c r="BD829" s="336">
        <f>ROUNDDOWN(IF( OR( AND(tabItens[[#This Row],[PontoPed]]&lt;tabItens[[#This Row],[Saldo]],tabItens[[#This Row],[Saldo]]&gt;0), tabItens[[#This Row],[PontoPed]]=0), 99, IF(AND(tabItens[[#This Row],[Saldo]]=0,tabItens[[#This Row],[PontoPed]]&gt;0), 0, (1-tabItens[[#This Row],[PctAb]])*10 ) ),0)</f>
        <v>99</v>
      </c>
      <c r="BE829" s="337">
        <f>MAX(ROUNDDOWN( IF(tabItens[[#This Row],[Abaixo]] &gt; 0,   tabItens[[#This Row],[Abaixo]] + (tabItens[[#This Row],[PontoMês]] * IF( OR( ISBLANK(tabItens[[#This Row],[ATA Nº/ANO]]), tabItens[[#This Row],[ATA Nº/ANO]] = ""),BE$2,BE$1)),0),0),0)</f>
        <v>0</v>
      </c>
      <c r="BF82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9" s="338">
        <f>SUMIF(Consumo!$C$3:$C$862,tabItens[[#This Row],[CÓDIGO]],Consumo!$E$3:$E$862)</f>
        <v>50</v>
      </c>
      <c r="BH829" s="339">
        <f>IF(AND(tabItens[[#This Row],[Pend]] &gt; 0,tabItens[[#This Row],[Consumo]] &lt;&gt; 0), tabItens[[#This Row],[Pend]] / tabItens[[#This Row],[Consumo]], 0 )</f>
        <v>1.6666666666666666E-2</v>
      </c>
      <c r="BI829" s="338"/>
      <c r="BJ829" s="338"/>
      <c r="BK829" s="340" t="s">
        <v>2086</v>
      </c>
    </row>
    <row r="830" spans="1:63" hidden="1" x14ac:dyDescent="0.3">
      <c r="A830" s="301">
        <v>20584</v>
      </c>
      <c r="B830" s="302" t="s">
        <v>1173</v>
      </c>
      <c r="C830" s="303" t="s">
        <v>263</v>
      </c>
      <c r="D830" s="304">
        <v>0.09</v>
      </c>
      <c r="E830" s="305"/>
      <c r="F830" s="305"/>
      <c r="G830" s="305" t="s">
        <v>889</v>
      </c>
      <c r="H830" s="306">
        <v>24460</v>
      </c>
      <c r="I830" s="307">
        <v>103003</v>
      </c>
      <c r="J830" s="308">
        <v>0.09</v>
      </c>
      <c r="K830" s="309">
        <v>1850</v>
      </c>
      <c r="L830" s="310">
        <f>IF(tabItens[[#This Row],[Média]] &gt; 0, tabItens[[#This Row],[QTDE ATUAL]] / tabItens[[#This Row],[Média]],999.9)</f>
        <v>179.30360415394014</v>
      </c>
      <c r="M830" s="311">
        <v>0</v>
      </c>
      <c r="N830" s="312">
        <f>tabItens[[#This Row],[VALOR UNIT.]] * tabItens[[#This Row],[LC]]</f>
        <v>0</v>
      </c>
      <c r="O830" s="313"/>
      <c r="P830" s="314"/>
      <c r="Q830" s="315"/>
      <c r="R830" s="312"/>
      <c r="S830" s="316"/>
      <c r="T830" s="317">
        <f>ROUNDDOWN(IFERROR(tabItens[[#This Row],[ATA DT.VALID.]] - $D$1,0) / 30,0)</f>
        <v>-1474</v>
      </c>
      <c r="U830" s="302" t="s">
        <v>1169</v>
      </c>
      <c r="V830" s="318">
        <v>1</v>
      </c>
      <c r="W830" s="319" t="s">
        <v>2078</v>
      </c>
      <c r="X830" s="320">
        <v>67</v>
      </c>
      <c r="Y830" s="321">
        <v>7</v>
      </c>
      <c r="Z830" s="322"/>
      <c r="AA830" s="323"/>
      <c r="AB830" s="324"/>
      <c r="AC830" s="324"/>
      <c r="AD830" s="323"/>
      <c r="AE830" s="324"/>
      <c r="AF830" s="317"/>
      <c r="AG830" s="325" t="s">
        <v>2072</v>
      </c>
      <c r="AH830" s="326"/>
      <c r="AI830" s="317">
        <v>1010</v>
      </c>
      <c r="AJ830" s="326">
        <v>43754</v>
      </c>
      <c r="AK830" s="326" t="s">
        <v>889</v>
      </c>
      <c r="AL830" s="326">
        <v>43747</v>
      </c>
      <c r="AM830" s="316"/>
      <c r="AN830" s="305"/>
      <c r="AO830" s="327" t="str">
        <f>_xlfn.IFNA(IF(VLOOKUP(tabItens[[#This Row],[CÓDIGO]],tabExcluirDoEstoque[#Data],1,FALSE),"sim",""),"")</f>
        <v/>
      </c>
      <c r="AP830" s="328" t="str">
        <f ca="1">IF(OR(ISBLANK(tabItens[[#This Row],[ATA DT.VALID.]]),tabItens[[#This Row],[ATA DT.VALID.]]="",tabItens[[#This Row],[ATA DT.VALID.]]=" "),"",IF(TYPE(tabItens[[#This Row],[ATA DT.VALID.]])=1,ROUNDUP((tabItens[[#This Row],[ATA DT.VALID.]]-TODAY())/7,0),""))</f>
        <v/>
      </c>
      <c r="AQ830" s="329"/>
      <c r="AR830" s="330" t="str">
        <f>IF(ISBLANK(tabItens[[#This Row],[CÓDIGO]]),"",IFERROR(VLOOKUP(tabItens[[#This Row],[CÓDIGO]],Consumo!$C$2:$AC$862,26,FALSE),0))</f>
        <v>06.2023</v>
      </c>
      <c r="AS830" s="331">
        <f>SUMIF(Consumo!$C$3:$C$862,tabItens[[#This Row],[CÓDIGO]],Consumo!$N$3:$N$862) + SUMIF(Consumo!$C$3:$C$862,tabItens[[#This Row],[CÓDIGO]],Consumo!$O$3:$O$862) + SUMIF(Consumo!$C$3:$C$862,tabItens[[#This Row],[CÓDIGO]],Consumo!$P$3:$P$862) + SUMIF(Consumo!$C$3:$C$862,tabItens[[#This Row],[CÓDIGO]],Consumo!$Q$3:$Q$862)</f>
        <v>500</v>
      </c>
      <c r="AT830" s="331">
        <f>SUMIF(Consumo!$C$3:$C$862,tabItens[[#This Row],[CÓDIGO]],Consumo!$Z$3:$Z$862)</f>
        <v>1900</v>
      </c>
      <c r="AU830" s="332">
        <f>SUMIF(Consumo!$C$3:$C$862,tabItens[[#This Row],[CÓDIGO]],Consumo!$AA$3:$AA$862)</f>
        <v>1000</v>
      </c>
      <c r="AV830" s="333">
        <f>SUMIF(Consumo!$C$3:$C$862,tabItens[[#This Row],[CÓDIGO]],Consumo!$Y$3:$Y$862)</f>
        <v>136.41666666666666</v>
      </c>
      <c r="AW830" s="306">
        <f>tabItens[[#This Row],[QTDE ATUAL]] + tabItens[[#This Row],[RC QTDE]] + tabItens[[#This Row],[AF SALDO]] + tabItens[[#This Row],[Recentes]]</f>
        <v>24460</v>
      </c>
      <c r="AX830" s="334">
        <v>255</v>
      </c>
      <c r="AY830" s="334">
        <v>4</v>
      </c>
      <c r="AZ830" s="334">
        <f>IF(ISBLANK(tabItens[[#This Row],[CÓDIGO]]),"",tabItens[[#This Row],[PontoMês]] * (AZ$2+tabItens[[#This Row],[PontoQtM]]))</f>
        <v>1020</v>
      </c>
      <c r="BA830" s="333">
        <f>tabItens[[#This Row],[PontoPed]] - tabItens[[#This Row],[Saldo]] + (1/10)</f>
        <v>-23439.9</v>
      </c>
      <c r="BB830" s="333">
        <f xml:space="preserve"> tabItens[[#This Row],[PontoMês]] * BB$2 - tabItens[[#This Row],[QTDE ATUAL]] - (1/10)</f>
        <v>-24205.1</v>
      </c>
      <c r="BC830" s="335">
        <f>IF( tabItens[[#This Row],[PontoPed]]&gt;0, IF(tabItens[[#This Row],[PontoPed]]&lt;1, 1, IF( tabItens[[#This Row],[Saldo]]&gt;tabItens[[#This Row],[PontoPed]], 0, (tabItens[[#This Row],[PontoPed]]-tabItens[[#This Row],[Saldo]])/tabItens[[#This Row],[PontoPed]] ) ), 0 )</f>
        <v>0</v>
      </c>
      <c r="BD830" s="336">
        <f>ROUNDDOWN(IF( OR( AND(tabItens[[#This Row],[PontoPed]]&lt;tabItens[[#This Row],[Saldo]],tabItens[[#This Row],[Saldo]]&gt;0), tabItens[[#This Row],[PontoPed]]=0), 99, IF(AND(tabItens[[#This Row],[Saldo]]=0,tabItens[[#This Row],[PontoPed]]&gt;0), 0, (1-tabItens[[#This Row],[PctAb]])*10 ) ),0)</f>
        <v>99</v>
      </c>
      <c r="BE830" s="337">
        <f>MAX(ROUNDDOWN( IF(tabItens[[#This Row],[Abaixo]] &gt; 0,   tabItens[[#This Row],[Abaixo]] + (tabItens[[#This Row],[PontoMês]] * IF( OR( ISBLANK(tabItens[[#This Row],[ATA Nº/ANO]]), tabItens[[#This Row],[ATA Nº/ANO]] = ""),BE$2,BE$1)),0),0),0)</f>
        <v>0</v>
      </c>
      <c r="BF83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0" s="338">
        <f>SUMIF(Consumo!$C$3:$C$862,tabItens[[#This Row],[CÓDIGO]],Consumo!$E$3:$E$862)</f>
        <v>50</v>
      </c>
      <c r="BH830" s="339">
        <f>IF(AND(tabItens[[#This Row],[Pend]] &gt; 0,tabItens[[#This Row],[Consumo]] &lt;&gt; 0), tabItens[[#This Row],[Pend]] / tabItens[[#This Row],[Consumo]], 0 )</f>
        <v>2.6315789473684209E-2</v>
      </c>
      <c r="BI830" s="338"/>
      <c r="BJ830" s="338"/>
      <c r="BK830" s="340" t="s">
        <v>2086</v>
      </c>
    </row>
    <row r="831" spans="1:63" hidden="1" x14ac:dyDescent="0.3">
      <c r="A831" s="301">
        <v>123349</v>
      </c>
      <c r="B831" s="302" t="s">
        <v>1757</v>
      </c>
      <c r="C831" s="303" t="s">
        <v>269</v>
      </c>
      <c r="D831" s="304">
        <v>12.78</v>
      </c>
      <c r="E831" s="305"/>
      <c r="F831" s="305"/>
      <c r="G831" s="305" t="s">
        <v>889</v>
      </c>
      <c r="H831" s="306">
        <v>164</v>
      </c>
      <c r="I831" s="307">
        <v>103003</v>
      </c>
      <c r="J831" s="308">
        <v>12.78</v>
      </c>
      <c r="K831" s="309"/>
      <c r="L831" s="310">
        <f>IF(tabItens[[#This Row],[Média]] &gt; 0, tabItens[[#This Row],[QTDE ATUAL]] / tabItens[[#This Row],[Média]],999.9)</f>
        <v>999.9</v>
      </c>
      <c r="M831" s="311">
        <v>0</v>
      </c>
      <c r="N831" s="312">
        <f>tabItens[[#This Row],[VALOR UNIT.]] * tabItens[[#This Row],[LC]]</f>
        <v>0</v>
      </c>
      <c r="O831" s="313"/>
      <c r="P831" s="314"/>
      <c r="Q831" s="315"/>
      <c r="R831" s="312"/>
      <c r="S831" s="316"/>
      <c r="T831" s="317">
        <f>ROUNDDOWN(IFERROR(tabItens[[#This Row],[ATA DT.VALID.]] - $D$1,0) / 30,0)</f>
        <v>-1474</v>
      </c>
      <c r="U831" s="302" t="s">
        <v>1169</v>
      </c>
      <c r="V831" s="318">
        <v>1</v>
      </c>
      <c r="W831" s="319" t="s">
        <v>2078</v>
      </c>
      <c r="X831" s="320">
        <v>67</v>
      </c>
      <c r="Y831" s="321">
        <v>7</v>
      </c>
      <c r="Z831" s="322"/>
      <c r="AA831" s="323"/>
      <c r="AB831" s="324"/>
      <c r="AC831" s="324"/>
      <c r="AD831" s="323"/>
      <c r="AE831" s="324"/>
      <c r="AF831" s="317"/>
      <c r="AG831" s="325" t="s">
        <v>2072</v>
      </c>
      <c r="AH831" s="326"/>
      <c r="AI831" s="317">
        <v>0</v>
      </c>
      <c r="AJ831" s="326">
        <v>44055</v>
      </c>
      <c r="AK831" s="326">
        <v>41096</v>
      </c>
      <c r="AL831" s="326">
        <v>44040</v>
      </c>
      <c r="AM831" s="316"/>
      <c r="AN831" s="305"/>
      <c r="AO831" s="327" t="str">
        <f>_xlfn.IFNA(IF(VLOOKUP(tabItens[[#This Row],[CÓDIGO]],tabExcluirDoEstoque[#Data],1,FALSE),"sim",""),"")</f>
        <v/>
      </c>
      <c r="AP831" s="328" t="str">
        <f ca="1">IF(OR(ISBLANK(tabItens[[#This Row],[ATA DT.VALID.]]),tabItens[[#This Row],[ATA DT.VALID.]]="",tabItens[[#This Row],[ATA DT.VALID.]]=" "),"",IF(TYPE(tabItens[[#This Row],[ATA DT.VALID.]])=1,ROUNDUP((tabItens[[#This Row],[ATA DT.VALID.]]-TODAY())/7,0),""))</f>
        <v/>
      </c>
      <c r="AQ831" s="329"/>
      <c r="AR831" s="330">
        <f>IF(ISBLANK(tabItens[[#This Row],[CÓDIGO]]),"",IFERROR(VLOOKUP(tabItens[[#This Row],[CÓDIGO]],Consumo!$C$2:$AC$862,26,FALSE),0))</f>
        <v>0</v>
      </c>
      <c r="AS831" s="331">
        <f>SUMIF(Consumo!$C$3:$C$862,tabItens[[#This Row],[CÓDIGO]],Consumo!$N$3:$N$862) + SUMIF(Consumo!$C$3:$C$862,tabItens[[#This Row],[CÓDIGO]],Consumo!$O$3:$O$862) + SUMIF(Consumo!$C$3:$C$862,tabItens[[#This Row],[CÓDIGO]],Consumo!$P$3:$P$862) + SUMIF(Consumo!$C$3:$C$862,tabItens[[#This Row],[CÓDIGO]],Consumo!$Q$3:$Q$862)</f>
        <v>0</v>
      </c>
      <c r="AT831" s="331">
        <f>SUMIF(Consumo!$C$3:$C$862,tabItens[[#This Row],[CÓDIGO]],Consumo!$Z$3:$Z$862)</f>
        <v>0</v>
      </c>
      <c r="AU831" s="332">
        <f>SUMIF(Consumo!$C$3:$C$862,tabItens[[#This Row],[CÓDIGO]],Consumo!$AA$3:$AA$862)</f>
        <v>0</v>
      </c>
      <c r="AV831" s="333">
        <f>SUMIF(Consumo!$C$3:$C$862,tabItens[[#This Row],[CÓDIGO]],Consumo!$Y$3:$Y$862)</f>
        <v>0</v>
      </c>
      <c r="AW831" s="306">
        <f>tabItens[[#This Row],[QTDE ATUAL]] + tabItens[[#This Row],[RC QTDE]] + tabItens[[#This Row],[AF SALDO]] + tabItens[[#This Row],[Recentes]]</f>
        <v>164</v>
      </c>
      <c r="AX831" s="334">
        <v>3</v>
      </c>
      <c r="AY831" s="334">
        <v>4</v>
      </c>
      <c r="AZ831" s="334">
        <f>IF(ISBLANK(tabItens[[#This Row],[CÓDIGO]]),"",tabItens[[#This Row],[PontoMês]] * (AZ$2+tabItens[[#This Row],[PontoQtM]]))</f>
        <v>12</v>
      </c>
      <c r="BA831" s="333">
        <f>tabItens[[#This Row],[PontoPed]] - tabItens[[#This Row],[Saldo]] + (1/10)</f>
        <v>-151.9</v>
      </c>
      <c r="BB831" s="333">
        <f xml:space="preserve"> tabItens[[#This Row],[PontoMês]] * BB$2 - tabItens[[#This Row],[QTDE ATUAL]] - (1/10)</f>
        <v>-161.1</v>
      </c>
      <c r="BC831" s="335">
        <f>IF( tabItens[[#This Row],[PontoPed]]&gt;0, IF(tabItens[[#This Row],[PontoPed]]&lt;1, 1, IF( tabItens[[#This Row],[Saldo]]&gt;tabItens[[#This Row],[PontoPed]], 0, (tabItens[[#This Row],[PontoPed]]-tabItens[[#This Row],[Saldo]])/tabItens[[#This Row],[PontoPed]] ) ), 0 )</f>
        <v>0</v>
      </c>
      <c r="BD831" s="336">
        <f>ROUNDDOWN(IF( OR( AND(tabItens[[#This Row],[PontoPed]]&lt;tabItens[[#This Row],[Saldo]],tabItens[[#This Row],[Saldo]]&gt;0), tabItens[[#This Row],[PontoPed]]=0), 99, IF(AND(tabItens[[#This Row],[Saldo]]=0,tabItens[[#This Row],[PontoPed]]&gt;0), 0, (1-tabItens[[#This Row],[PctAb]])*10 ) ),0)</f>
        <v>99</v>
      </c>
      <c r="BE831" s="337">
        <f>MAX(ROUNDDOWN( IF(tabItens[[#This Row],[Abaixo]] &gt; 0,   tabItens[[#This Row],[Abaixo]] + (tabItens[[#This Row],[PontoMês]] * IF( OR( ISBLANK(tabItens[[#This Row],[ATA Nº/ANO]]), tabItens[[#This Row],[ATA Nº/ANO]] = ""),BE$2,BE$1)),0),0),0)</f>
        <v>0</v>
      </c>
      <c r="BF83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1" s="338">
        <f>SUMIF(Consumo!$C$3:$C$862,tabItens[[#This Row],[CÓDIGO]],Consumo!$E$3:$E$862)</f>
        <v>0</v>
      </c>
      <c r="BH831" s="339">
        <f>IF(AND(tabItens[[#This Row],[Pend]] &gt; 0,tabItens[[#This Row],[Consumo]] &lt;&gt; 0), tabItens[[#This Row],[Pend]] / tabItens[[#This Row],[Consumo]], 0 )</f>
        <v>0</v>
      </c>
      <c r="BI831" s="338"/>
      <c r="BJ831" s="338"/>
      <c r="BK831" s="340" t="s">
        <v>2086</v>
      </c>
    </row>
    <row r="832" spans="1:63" hidden="1" x14ac:dyDescent="0.3">
      <c r="A832" s="301">
        <v>123350</v>
      </c>
      <c r="B832" s="302" t="s">
        <v>1758</v>
      </c>
      <c r="C832" s="303" t="s">
        <v>269</v>
      </c>
      <c r="D832" s="304">
        <v>20.47</v>
      </c>
      <c r="E832" s="305"/>
      <c r="F832" s="305"/>
      <c r="G832" s="305" t="s">
        <v>889</v>
      </c>
      <c r="H832" s="306">
        <v>91</v>
      </c>
      <c r="I832" s="307">
        <v>103003</v>
      </c>
      <c r="J832" s="308">
        <v>20.47</v>
      </c>
      <c r="K832" s="309"/>
      <c r="L832" s="310">
        <f>IF(tabItens[[#This Row],[Média]] &gt; 0, tabItens[[#This Row],[QTDE ATUAL]] / tabItens[[#This Row],[Média]],999.9)</f>
        <v>999.9</v>
      </c>
      <c r="M832" s="311">
        <v>0</v>
      </c>
      <c r="N832" s="312">
        <f>tabItens[[#This Row],[VALOR UNIT.]] * tabItens[[#This Row],[LC]]</f>
        <v>0</v>
      </c>
      <c r="O832" s="313"/>
      <c r="P832" s="314"/>
      <c r="Q832" s="315"/>
      <c r="R832" s="312"/>
      <c r="S832" s="316"/>
      <c r="T832" s="317">
        <f>ROUNDDOWN(IFERROR(tabItens[[#This Row],[ATA DT.VALID.]] - $D$1,0) / 30,0)</f>
        <v>-1474</v>
      </c>
      <c r="U832" s="302" t="s">
        <v>1169</v>
      </c>
      <c r="V832" s="318">
        <v>1</v>
      </c>
      <c r="W832" s="319" t="s">
        <v>2078</v>
      </c>
      <c r="X832" s="320">
        <v>67</v>
      </c>
      <c r="Y832" s="321">
        <v>7</v>
      </c>
      <c r="Z832" s="322"/>
      <c r="AA832" s="323"/>
      <c r="AB832" s="324"/>
      <c r="AC832" s="324"/>
      <c r="AD832" s="323"/>
      <c r="AE832" s="324"/>
      <c r="AF832" s="317"/>
      <c r="AG832" s="325" t="s">
        <v>2072</v>
      </c>
      <c r="AH832" s="326"/>
      <c r="AI832" s="317">
        <v>0</v>
      </c>
      <c r="AJ832" s="326">
        <v>43560</v>
      </c>
      <c r="AK832" s="326">
        <v>41096</v>
      </c>
      <c r="AL832" s="326">
        <v>43524</v>
      </c>
      <c r="AM832" s="316"/>
      <c r="AN832" s="305"/>
      <c r="AO832" s="327" t="str">
        <f>_xlfn.IFNA(IF(VLOOKUP(tabItens[[#This Row],[CÓDIGO]],tabExcluirDoEstoque[#Data],1,FALSE),"sim",""),"")</f>
        <v/>
      </c>
      <c r="AP832" s="328" t="str">
        <f ca="1">IF(OR(ISBLANK(tabItens[[#This Row],[ATA DT.VALID.]]),tabItens[[#This Row],[ATA DT.VALID.]]="",tabItens[[#This Row],[ATA DT.VALID.]]=" "),"",IF(TYPE(tabItens[[#This Row],[ATA DT.VALID.]])=1,ROUNDUP((tabItens[[#This Row],[ATA DT.VALID.]]-TODAY())/7,0),""))</f>
        <v/>
      </c>
      <c r="AQ832" s="329"/>
      <c r="AR832" s="330">
        <f>IF(ISBLANK(tabItens[[#This Row],[CÓDIGO]]),"",IFERROR(VLOOKUP(tabItens[[#This Row],[CÓDIGO]],Consumo!$C$2:$AC$862,26,FALSE),0))</f>
        <v>0</v>
      </c>
      <c r="AS832" s="331">
        <f>SUMIF(Consumo!$C$3:$C$862,tabItens[[#This Row],[CÓDIGO]],Consumo!$N$3:$N$862) + SUMIF(Consumo!$C$3:$C$862,tabItens[[#This Row],[CÓDIGO]],Consumo!$O$3:$O$862) + SUMIF(Consumo!$C$3:$C$862,tabItens[[#This Row],[CÓDIGO]],Consumo!$P$3:$P$862) + SUMIF(Consumo!$C$3:$C$862,tabItens[[#This Row],[CÓDIGO]],Consumo!$Q$3:$Q$862)</f>
        <v>0</v>
      </c>
      <c r="AT832" s="331">
        <f>SUMIF(Consumo!$C$3:$C$862,tabItens[[#This Row],[CÓDIGO]],Consumo!$Z$3:$Z$862)</f>
        <v>0</v>
      </c>
      <c r="AU832" s="332">
        <f>SUMIF(Consumo!$C$3:$C$862,tabItens[[#This Row],[CÓDIGO]],Consumo!$AA$3:$AA$862)</f>
        <v>0</v>
      </c>
      <c r="AV832" s="333">
        <f>SUMIF(Consumo!$C$3:$C$862,tabItens[[#This Row],[CÓDIGO]],Consumo!$Y$3:$Y$862)</f>
        <v>0</v>
      </c>
      <c r="AW832" s="306">
        <f>tabItens[[#This Row],[QTDE ATUAL]] + tabItens[[#This Row],[RC QTDE]] + tabItens[[#This Row],[AF SALDO]] + tabItens[[#This Row],[Recentes]]</f>
        <v>91</v>
      </c>
      <c r="AX832" s="334">
        <v>0</v>
      </c>
      <c r="AY832" s="334">
        <v>4</v>
      </c>
      <c r="AZ832" s="334">
        <f>IF(ISBLANK(tabItens[[#This Row],[CÓDIGO]]),"",tabItens[[#This Row],[PontoMês]] * (AZ$2+tabItens[[#This Row],[PontoQtM]]))</f>
        <v>0</v>
      </c>
      <c r="BA832" s="333">
        <f>tabItens[[#This Row],[PontoPed]] - tabItens[[#This Row],[Saldo]] + (1/10)</f>
        <v>-90.9</v>
      </c>
      <c r="BB832" s="333">
        <f xml:space="preserve"> tabItens[[#This Row],[PontoMês]] * BB$2 - tabItens[[#This Row],[QTDE ATUAL]] - (1/10)</f>
        <v>-91.1</v>
      </c>
      <c r="BC832" s="335">
        <f>IF( tabItens[[#This Row],[PontoPed]]&gt;0, IF(tabItens[[#This Row],[PontoPed]]&lt;1, 1, IF( tabItens[[#This Row],[Saldo]]&gt;tabItens[[#This Row],[PontoPed]], 0, (tabItens[[#This Row],[PontoPed]]-tabItens[[#This Row],[Saldo]])/tabItens[[#This Row],[PontoPed]] ) ), 0 )</f>
        <v>0</v>
      </c>
      <c r="BD832" s="336">
        <f>ROUNDDOWN(IF( OR( AND(tabItens[[#This Row],[PontoPed]]&lt;tabItens[[#This Row],[Saldo]],tabItens[[#This Row],[Saldo]]&gt;0), tabItens[[#This Row],[PontoPed]]=0), 99, IF(AND(tabItens[[#This Row],[Saldo]]=0,tabItens[[#This Row],[PontoPed]]&gt;0), 0, (1-tabItens[[#This Row],[PctAb]])*10 ) ),0)</f>
        <v>99</v>
      </c>
      <c r="BE832" s="337">
        <f>MAX(ROUNDDOWN( IF(tabItens[[#This Row],[Abaixo]] &gt; 0,   tabItens[[#This Row],[Abaixo]] + (tabItens[[#This Row],[PontoMês]] * IF( OR( ISBLANK(tabItens[[#This Row],[ATA Nº/ANO]]), tabItens[[#This Row],[ATA Nº/ANO]] = ""),BE$2,BE$1)),0),0),0)</f>
        <v>0</v>
      </c>
      <c r="BF83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2" s="338">
        <f>SUMIF(Consumo!$C$3:$C$862,tabItens[[#This Row],[CÓDIGO]],Consumo!$E$3:$E$862)</f>
        <v>0</v>
      </c>
      <c r="BH832" s="339">
        <f>IF(AND(tabItens[[#This Row],[Pend]] &gt; 0,tabItens[[#This Row],[Consumo]] &lt;&gt; 0), tabItens[[#This Row],[Pend]] / tabItens[[#This Row],[Consumo]], 0 )</f>
        <v>0</v>
      </c>
      <c r="BI832" s="338"/>
      <c r="BJ832" s="338"/>
      <c r="BK832" s="340" t="s">
        <v>2086</v>
      </c>
    </row>
    <row r="833" spans="1:63" hidden="1" x14ac:dyDescent="0.3">
      <c r="A833" s="301">
        <v>133366</v>
      </c>
      <c r="B833" s="302" t="s">
        <v>1853</v>
      </c>
      <c r="C833" s="303" t="s">
        <v>263</v>
      </c>
      <c r="D833" s="304">
        <v>0</v>
      </c>
      <c r="E833" s="305"/>
      <c r="F833" s="305"/>
      <c r="G833" s="305" t="s">
        <v>889</v>
      </c>
      <c r="H833" s="306">
        <v>28282</v>
      </c>
      <c r="I833" s="307">
        <v>103003</v>
      </c>
      <c r="J833" s="308">
        <v>0</v>
      </c>
      <c r="K833" s="309">
        <v>3010</v>
      </c>
      <c r="L833" s="310">
        <f>IF(tabItens[[#This Row],[Média]] &gt; 0, tabItens[[#This Row],[QTDE ATUAL]] / tabItens[[#This Row],[Média]],999.9)</f>
        <v>116.98862461220268</v>
      </c>
      <c r="M833" s="311">
        <v>0</v>
      </c>
      <c r="N833" s="312">
        <f>tabItens[[#This Row],[VALOR UNIT.]] * tabItens[[#This Row],[LC]]</f>
        <v>0</v>
      </c>
      <c r="O833" s="313"/>
      <c r="P833" s="314"/>
      <c r="Q833" s="315"/>
      <c r="R833" s="312"/>
      <c r="S833" s="316"/>
      <c r="T833" s="317">
        <f>ROUNDDOWN(IFERROR(tabItens[[#This Row],[ATA DT.VALID.]] - $D$1,0) / 30,0)</f>
        <v>-1474</v>
      </c>
      <c r="U833" s="302" t="s">
        <v>1018</v>
      </c>
      <c r="V833" s="318">
        <v>1</v>
      </c>
      <c r="W833" s="319" t="s">
        <v>2071</v>
      </c>
      <c r="X833" s="320">
        <v>67</v>
      </c>
      <c r="Y833" s="321">
        <v>9</v>
      </c>
      <c r="Z833" s="322"/>
      <c r="AA833" s="323"/>
      <c r="AB833" s="324"/>
      <c r="AC833" s="324"/>
      <c r="AD833" s="323"/>
      <c r="AE833" s="324"/>
      <c r="AF833" s="317"/>
      <c r="AG833" s="325" t="s">
        <v>2072</v>
      </c>
      <c r="AH833" s="326"/>
      <c r="AI833" s="317">
        <v>1020</v>
      </c>
      <c r="AJ833" s="326" t="s">
        <v>889</v>
      </c>
      <c r="AK833" s="326">
        <v>42982</v>
      </c>
      <c r="AL833" s="326" t="s">
        <v>889</v>
      </c>
      <c r="AM833" s="316"/>
      <c r="AN833" s="305"/>
      <c r="AO833" s="327" t="str">
        <f>_xlfn.IFNA(IF(VLOOKUP(tabItens[[#This Row],[CÓDIGO]],tabExcluirDoEstoque[#Data],1,FALSE),"sim",""),"")</f>
        <v/>
      </c>
      <c r="AP833" s="328" t="str">
        <f ca="1">IF(OR(ISBLANK(tabItens[[#This Row],[ATA DT.VALID.]]),tabItens[[#This Row],[ATA DT.VALID.]]="",tabItens[[#This Row],[ATA DT.VALID.]]=" "),"",IF(TYPE(tabItens[[#This Row],[ATA DT.VALID.]])=1,ROUNDUP((tabItens[[#This Row],[ATA DT.VALID.]]-TODAY())/7,0),""))</f>
        <v/>
      </c>
      <c r="AQ833" s="329"/>
      <c r="AR833" s="330" t="str">
        <f>IF(ISBLANK(tabItens[[#This Row],[CÓDIGO]]),"",IFERROR(VLOOKUP(tabItens[[#This Row],[CÓDIGO]],Consumo!$C$2:$AC$862,26,FALSE),0))</f>
        <v>07.2023</v>
      </c>
      <c r="AS833" s="331">
        <f>SUMIF(Consumo!$C$3:$C$862,tabItens[[#This Row],[CÓDIGO]],Consumo!$N$3:$N$862) + SUMIF(Consumo!$C$3:$C$862,tabItens[[#This Row],[CÓDIGO]],Consumo!$O$3:$O$862) + SUMIF(Consumo!$C$3:$C$862,tabItens[[#This Row],[CÓDIGO]],Consumo!$P$3:$P$862) + SUMIF(Consumo!$C$3:$C$862,tabItens[[#This Row],[CÓDIGO]],Consumo!$Q$3:$Q$862)</f>
        <v>1100</v>
      </c>
      <c r="AT833" s="331">
        <f>SUMIF(Consumo!$C$3:$C$862,tabItens[[#This Row],[CÓDIGO]],Consumo!$Z$3:$Z$862)</f>
        <v>3060</v>
      </c>
      <c r="AU833" s="332">
        <f>SUMIF(Consumo!$C$3:$C$862,tabItens[[#This Row],[CÓDIGO]],Consumo!$AA$3:$AA$862)</f>
        <v>1100</v>
      </c>
      <c r="AV833" s="333">
        <f>SUMIF(Consumo!$C$3:$C$862,tabItens[[#This Row],[CÓDIGO]],Consumo!$Y$3:$Y$862)</f>
        <v>241.75</v>
      </c>
      <c r="AW833" s="306">
        <f>tabItens[[#This Row],[QTDE ATUAL]] + tabItens[[#This Row],[RC QTDE]] + tabItens[[#This Row],[AF SALDO]] + tabItens[[#This Row],[Recentes]]</f>
        <v>28282</v>
      </c>
      <c r="AX833" s="334">
        <v>320</v>
      </c>
      <c r="AY833" s="334">
        <v>4</v>
      </c>
      <c r="AZ833" s="334">
        <f>IF(ISBLANK(tabItens[[#This Row],[CÓDIGO]]),"",tabItens[[#This Row],[PontoMês]] * (AZ$2+tabItens[[#This Row],[PontoQtM]]))</f>
        <v>1280</v>
      </c>
      <c r="BA833" s="333">
        <f>tabItens[[#This Row],[PontoPed]] - tabItens[[#This Row],[Saldo]] + (1/10)</f>
        <v>-27001.9</v>
      </c>
      <c r="BB833" s="333">
        <f xml:space="preserve"> tabItens[[#This Row],[PontoMês]] * BB$2 - tabItens[[#This Row],[QTDE ATUAL]] - (1/10)</f>
        <v>-27962.1</v>
      </c>
      <c r="BC833" s="335">
        <f>IF( tabItens[[#This Row],[PontoPed]]&gt;0, IF(tabItens[[#This Row],[PontoPed]]&lt;1, 1, IF( tabItens[[#This Row],[Saldo]]&gt;tabItens[[#This Row],[PontoPed]], 0, (tabItens[[#This Row],[PontoPed]]-tabItens[[#This Row],[Saldo]])/tabItens[[#This Row],[PontoPed]] ) ), 0 )</f>
        <v>0</v>
      </c>
      <c r="BD833" s="336">
        <f>ROUNDDOWN(IF( OR( AND(tabItens[[#This Row],[PontoPed]]&lt;tabItens[[#This Row],[Saldo]],tabItens[[#This Row],[Saldo]]&gt;0), tabItens[[#This Row],[PontoPed]]=0), 99, IF(AND(tabItens[[#This Row],[Saldo]]=0,tabItens[[#This Row],[PontoPed]]&gt;0), 0, (1-tabItens[[#This Row],[PctAb]])*10 ) ),0)</f>
        <v>99</v>
      </c>
      <c r="BE833" s="337">
        <f>MAX(ROUNDDOWN( IF(tabItens[[#This Row],[Abaixo]] &gt; 0,   tabItens[[#This Row],[Abaixo]] + (tabItens[[#This Row],[PontoMês]] * IF( OR( ISBLANK(tabItens[[#This Row],[ATA Nº/ANO]]), tabItens[[#This Row],[ATA Nº/ANO]] = ""),BE$2,BE$1)),0),0),0)</f>
        <v>0</v>
      </c>
      <c r="BF83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3" s="338">
        <f>SUMIF(Consumo!$C$3:$C$862,tabItens[[#This Row],[CÓDIGO]],Consumo!$E$3:$E$862)</f>
        <v>0</v>
      </c>
      <c r="BH833" s="339">
        <f>IF(AND(tabItens[[#This Row],[Pend]] &gt; 0,tabItens[[#This Row],[Consumo]] &lt;&gt; 0), tabItens[[#This Row],[Pend]] / tabItens[[#This Row],[Consumo]], 0 )</f>
        <v>0</v>
      </c>
      <c r="BI833" s="338"/>
      <c r="BJ833" s="338"/>
      <c r="BK833" s="340" t="s">
        <v>2086</v>
      </c>
    </row>
    <row r="834" spans="1:63" hidden="1" x14ac:dyDescent="0.3">
      <c r="A834" s="301">
        <v>77788</v>
      </c>
      <c r="B834" s="302" t="s">
        <v>1435</v>
      </c>
      <c r="C834" s="303" t="s">
        <v>263</v>
      </c>
      <c r="D834" s="304">
        <v>14.2</v>
      </c>
      <c r="E834" s="305"/>
      <c r="F834" s="305"/>
      <c r="G834" s="305" t="s">
        <v>889</v>
      </c>
      <c r="H834" s="306">
        <v>776</v>
      </c>
      <c r="I834" s="307">
        <v>103003</v>
      </c>
      <c r="J834" s="308">
        <v>14.2</v>
      </c>
      <c r="K834" s="309">
        <v>49</v>
      </c>
      <c r="L834" s="310">
        <f>IF(tabItens[[#This Row],[Média]] &gt; 0, tabItens[[#This Row],[QTDE ATUAL]] / tabItens[[#This Row],[Média]],999.9)</f>
        <v>198.12765957446808</v>
      </c>
      <c r="M834" s="311">
        <v>0</v>
      </c>
      <c r="N834" s="312">
        <f>tabItens[[#This Row],[VALOR UNIT.]] * tabItens[[#This Row],[LC]]</f>
        <v>0</v>
      </c>
      <c r="O834" s="313"/>
      <c r="P834" s="314"/>
      <c r="Q834" s="315"/>
      <c r="R834" s="312"/>
      <c r="S834" s="316"/>
      <c r="T834" s="317">
        <f>ROUNDDOWN(IFERROR(tabItens[[#This Row],[ATA DT.VALID.]] - $D$1,0) / 30,0)</f>
        <v>-1474</v>
      </c>
      <c r="U834" s="302" t="s">
        <v>1436</v>
      </c>
      <c r="V834" s="318">
        <v>1</v>
      </c>
      <c r="W834" s="319" t="s">
        <v>2073</v>
      </c>
      <c r="X834" s="320">
        <v>67</v>
      </c>
      <c r="Y834" s="321">
        <v>13</v>
      </c>
      <c r="Z834" s="322"/>
      <c r="AA834" s="323"/>
      <c r="AB834" s="324"/>
      <c r="AC834" s="324"/>
      <c r="AD834" s="323"/>
      <c r="AE834" s="324"/>
      <c r="AF834" s="317"/>
      <c r="AG834" s="325" t="s">
        <v>2072</v>
      </c>
      <c r="AH834" s="326"/>
      <c r="AI834" s="317">
        <v>16</v>
      </c>
      <c r="AJ834" s="326">
        <v>43622</v>
      </c>
      <c r="AK834" s="326">
        <v>38064</v>
      </c>
      <c r="AL834" s="326">
        <v>45117</v>
      </c>
      <c r="AM834" s="316"/>
      <c r="AN834" s="305"/>
      <c r="AO834" s="327" t="str">
        <f>_xlfn.IFNA(IF(VLOOKUP(tabItens[[#This Row],[CÓDIGO]],tabExcluirDoEstoque[#Data],1,FALSE),"sim",""),"")</f>
        <v/>
      </c>
      <c r="AP834" s="328" t="str">
        <f ca="1">IF(OR(ISBLANK(tabItens[[#This Row],[ATA DT.VALID.]]),tabItens[[#This Row],[ATA DT.VALID.]]="",tabItens[[#This Row],[ATA DT.VALID.]]=" "),"",IF(TYPE(tabItens[[#This Row],[ATA DT.VALID.]])=1,ROUNDUP((tabItens[[#This Row],[ATA DT.VALID.]]-TODAY())/7,0),""))</f>
        <v/>
      </c>
      <c r="AQ834" s="329"/>
      <c r="AR834" s="330" t="str">
        <f>IF(ISBLANK(tabItens[[#This Row],[CÓDIGO]]),"",IFERROR(VLOOKUP(tabItens[[#This Row],[CÓDIGO]],Consumo!$C$2:$AC$862,26,FALSE),0))</f>
        <v>06.2023</v>
      </c>
      <c r="AS834" s="331">
        <f>SUMIF(Consumo!$C$3:$C$862,tabItens[[#This Row],[CÓDIGO]],Consumo!$N$3:$N$862) + SUMIF(Consumo!$C$3:$C$862,tabItens[[#This Row],[CÓDIGO]],Consumo!$O$3:$O$862) + SUMIF(Consumo!$C$3:$C$862,tabItens[[#This Row],[CÓDIGO]],Consumo!$P$3:$P$862) + SUMIF(Consumo!$C$3:$C$862,tabItens[[#This Row],[CÓDIGO]],Consumo!$Q$3:$Q$862)</f>
        <v>18</v>
      </c>
      <c r="AT834" s="331">
        <f>SUMIF(Consumo!$C$3:$C$862,tabItens[[#This Row],[CÓDIGO]],Consumo!$Z$3:$Z$862)</f>
        <v>49</v>
      </c>
      <c r="AU834" s="332">
        <f>SUMIF(Consumo!$C$3:$C$862,tabItens[[#This Row],[CÓDIGO]],Consumo!$AA$3:$AA$862)</f>
        <v>18</v>
      </c>
      <c r="AV834" s="333">
        <f>SUMIF(Consumo!$C$3:$C$862,tabItens[[#This Row],[CÓDIGO]],Consumo!$Y$3:$Y$862)</f>
        <v>3.9166666666666665</v>
      </c>
      <c r="AW834" s="306">
        <f>tabItens[[#This Row],[QTDE ATUAL]] + tabItens[[#This Row],[RC QTDE]] + tabItens[[#This Row],[AF SALDO]] + tabItens[[#This Row],[Recentes]]</f>
        <v>776</v>
      </c>
      <c r="AX834" s="334">
        <v>50</v>
      </c>
      <c r="AY834" s="334">
        <v>4</v>
      </c>
      <c r="AZ834" s="334">
        <f>IF(ISBLANK(tabItens[[#This Row],[CÓDIGO]]),"",tabItens[[#This Row],[PontoMês]] * (AZ$2+tabItens[[#This Row],[PontoQtM]]))</f>
        <v>200</v>
      </c>
      <c r="BA834" s="333">
        <f>tabItens[[#This Row],[PontoPed]] - tabItens[[#This Row],[Saldo]] + (1/10)</f>
        <v>-575.9</v>
      </c>
      <c r="BB834" s="333">
        <f xml:space="preserve"> tabItens[[#This Row],[PontoMês]] * BB$2 - tabItens[[#This Row],[QTDE ATUAL]] - (1/10)</f>
        <v>-726.1</v>
      </c>
      <c r="BC834" s="335">
        <f>IF( tabItens[[#This Row],[PontoPed]]&gt;0, IF(tabItens[[#This Row],[PontoPed]]&lt;1, 1, IF( tabItens[[#This Row],[Saldo]]&gt;tabItens[[#This Row],[PontoPed]], 0, (tabItens[[#This Row],[PontoPed]]-tabItens[[#This Row],[Saldo]])/tabItens[[#This Row],[PontoPed]] ) ), 0 )</f>
        <v>0</v>
      </c>
      <c r="BD834" s="336">
        <f>ROUNDDOWN(IF( OR( AND(tabItens[[#This Row],[PontoPed]]&lt;tabItens[[#This Row],[Saldo]],tabItens[[#This Row],[Saldo]]&gt;0), tabItens[[#This Row],[PontoPed]]=0), 99, IF(AND(tabItens[[#This Row],[Saldo]]=0,tabItens[[#This Row],[PontoPed]]&gt;0), 0, (1-tabItens[[#This Row],[PctAb]])*10 ) ),0)</f>
        <v>99</v>
      </c>
      <c r="BE834" s="337">
        <f>MAX(ROUNDDOWN( IF(tabItens[[#This Row],[Abaixo]] &gt; 0,   tabItens[[#This Row],[Abaixo]] + (tabItens[[#This Row],[PontoMês]] * IF( OR( ISBLANK(tabItens[[#This Row],[ATA Nº/ANO]]), tabItens[[#This Row],[ATA Nº/ANO]] = ""),BE$2,BE$1)),0),0),0)</f>
        <v>0</v>
      </c>
      <c r="BF83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4" s="338">
        <f>SUMIF(Consumo!$C$3:$C$862,tabItens[[#This Row],[CÓDIGO]],Consumo!$E$3:$E$862)</f>
        <v>0</v>
      </c>
      <c r="BH834" s="339">
        <f>IF(AND(tabItens[[#This Row],[Pend]] &gt; 0,tabItens[[#This Row],[Consumo]] &lt;&gt; 0), tabItens[[#This Row],[Pend]] / tabItens[[#This Row],[Consumo]], 0 )</f>
        <v>0</v>
      </c>
      <c r="BI834" s="338"/>
      <c r="BJ834" s="338"/>
      <c r="BK834" s="340" t="s">
        <v>2086</v>
      </c>
    </row>
    <row r="835" spans="1:63" hidden="1" x14ac:dyDescent="0.3">
      <c r="A835" s="301">
        <v>33609</v>
      </c>
      <c r="B835" s="302" t="s">
        <v>1251</v>
      </c>
      <c r="C835" s="303" t="s">
        <v>320</v>
      </c>
      <c r="D835" s="304">
        <v>16.13</v>
      </c>
      <c r="E835" s="305"/>
      <c r="F835" s="305"/>
      <c r="G835" s="305" t="s">
        <v>889</v>
      </c>
      <c r="H835" s="306">
        <v>145</v>
      </c>
      <c r="I835" s="307">
        <v>103003</v>
      </c>
      <c r="J835" s="308">
        <v>16.13</v>
      </c>
      <c r="K835" s="309">
        <v>5</v>
      </c>
      <c r="L835" s="310">
        <f>IF(tabItens[[#This Row],[Média]] &gt; 0, tabItens[[#This Row],[QTDE ATUAL]] / tabItens[[#This Row],[Média]],999.9)</f>
        <v>435</v>
      </c>
      <c r="M835" s="311">
        <v>0</v>
      </c>
      <c r="N835" s="312">
        <f>tabItens[[#This Row],[VALOR UNIT.]] * tabItens[[#This Row],[LC]]</f>
        <v>0</v>
      </c>
      <c r="O835" s="313"/>
      <c r="P835" s="314"/>
      <c r="Q835" s="315"/>
      <c r="R835" s="312"/>
      <c r="S835" s="316"/>
      <c r="T835" s="317">
        <f>ROUNDDOWN(IFERROR(tabItens[[#This Row],[ATA DT.VALID.]] - $D$1,0) / 30,0)</f>
        <v>-1474</v>
      </c>
      <c r="U835" s="302" t="s">
        <v>1252</v>
      </c>
      <c r="V835" s="318">
        <v>1</v>
      </c>
      <c r="W835" s="319" t="s">
        <v>2071</v>
      </c>
      <c r="X835" s="320">
        <v>67</v>
      </c>
      <c r="Y835" s="321">
        <v>14</v>
      </c>
      <c r="Z835" s="322"/>
      <c r="AA835" s="323"/>
      <c r="AB835" s="324"/>
      <c r="AC835" s="324"/>
      <c r="AD835" s="323"/>
      <c r="AE835" s="324"/>
      <c r="AF835" s="317"/>
      <c r="AG835" s="325" t="s">
        <v>2072</v>
      </c>
      <c r="AH835" s="326"/>
      <c r="AI835" s="317">
        <v>2</v>
      </c>
      <c r="AJ835" s="326">
        <v>43689</v>
      </c>
      <c r="AK835" s="326" t="s">
        <v>889</v>
      </c>
      <c r="AL835" s="326">
        <v>44921</v>
      </c>
      <c r="AM835" s="316"/>
      <c r="AN835" s="305"/>
      <c r="AO835" s="327" t="str">
        <f>_xlfn.IFNA(IF(VLOOKUP(tabItens[[#This Row],[CÓDIGO]],tabExcluirDoEstoque[#Data],1,FALSE),"sim",""),"")</f>
        <v/>
      </c>
      <c r="AP835" s="328" t="str">
        <f ca="1">IF(OR(ISBLANK(tabItens[[#This Row],[ATA DT.VALID.]]),tabItens[[#This Row],[ATA DT.VALID.]]="",tabItens[[#This Row],[ATA DT.VALID.]]=" "),"",IF(TYPE(tabItens[[#This Row],[ATA DT.VALID.]])=1,ROUNDUP((tabItens[[#This Row],[ATA DT.VALID.]]-TODAY())/7,0),""))</f>
        <v/>
      </c>
      <c r="AQ835" s="329"/>
      <c r="AR835" s="330" t="str">
        <f>IF(ISBLANK(tabItens[[#This Row],[CÓDIGO]]),"",IFERROR(VLOOKUP(tabItens[[#This Row],[CÓDIGO]],Consumo!$C$2:$AC$862,26,FALSE),0))</f>
        <v>11.2022</v>
      </c>
      <c r="AS835" s="331">
        <f>SUMIF(Consumo!$C$3:$C$862,tabItens[[#This Row],[CÓDIGO]],Consumo!$N$3:$N$862) + SUMIF(Consumo!$C$3:$C$862,tabItens[[#This Row],[CÓDIGO]],Consumo!$O$3:$O$862) + SUMIF(Consumo!$C$3:$C$862,tabItens[[#This Row],[CÓDIGO]],Consumo!$P$3:$P$862) + SUMIF(Consumo!$C$3:$C$862,tabItens[[#This Row],[CÓDIGO]],Consumo!$Q$3:$Q$862)</f>
        <v>0</v>
      </c>
      <c r="AT835" s="331">
        <f>SUMIF(Consumo!$C$3:$C$862,tabItens[[#This Row],[CÓDIGO]],Consumo!$Z$3:$Z$862)</f>
        <v>5</v>
      </c>
      <c r="AU835" s="332">
        <f>SUMIF(Consumo!$C$3:$C$862,tabItens[[#This Row],[CÓDIGO]],Consumo!$AA$3:$AA$862)</f>
        <v>3</v>
      </c>
      <c r="AV835" s="333">
        <f>SUMIF(Consumo!$C$3:$C$862,tabItens[[#This Row],[CÓDIGO]],Consumo!$Y$3:$Y$862)</f>
        <v>0.33333333333333331</v>
      </c>
      <c r="AW835" s="306">
        <f>tabItens[[#This Row],[QTDE ATUAL]] + tabItens[[#This Row],[RC QTDE]] + tabItens[[#This Row],[AF SALDO]] + tabItens[[#This Row],[Recentes]]</f>
        <v>145</v>
      </c>
      <c r="AX835" s="334">
        <v>1</v>
      </c>
      <c r="AY835" s="334">
        <v>4</v>
      </c>
      <c r="AZ835" s="334">
        <f>IF(ISBLANK(tabItens[[#This Row],[CÓDIGO]]),"",tabItens[[#This Row],[PontoMês]] * (AZ$2+tabItens[[#This Row],[PontoQtM]]))</f>
        <v>4</v>
      </c>
      <c r="BA835" s="333">
        <f>tabItens[[#This Row],[PontoPed]] - tabItens[[#This Row],[Saldo]] + (1/10)</f>
        <v>-140.9</v>
      </c>
      <c r="BB835" s="333">
        <f xml:space="preserve"> tabItens[[#This Row],[PontoMês]] * BB$2 - tabItens[[#This Row],[QTDE ATUAL]] - (1/10)</f>
        <v>-144.1</v>
      </c>
      <c r="BC835" s="335">
        <f>IF( tabItens[[#This Row],[PontoPed]]&gt;0, IF(tabItens[[#This Row],[PontoPed]]&lt;1, 1, IF( tabItens[[#This Row],[Saldo]]&gt;tabItens[[#This Row],[PontoPed]], 0, (tabItens[[#This Row],[PontoPed]]-tabItens[[#This Row],[Saldo]])/tabItens[[#This Row],[PontoPed]] ) ), 0 )</f>
        <v>0</v>
      </c>
      <c r="BD835" s="336">
        <f>ROUNDDOWN(IF( OR( AND(tabItens[[#This Row],[PontoPed]]&lt;tabItens[[#This Row],[Saldo]],tabItens[[#This Row],[Saldo]]&gt;0), tabItens[[#This Row],[PontoPed]]=0), 99, IF(AND(tabItens[[#This Row],[Saldo]]=0,tabItens[[#This Row],[PontoPed]]&gt;0), 0, (1-tabItens[[#This Row],[PctAb]])*10 ) ),0)</f>
        <v>99</v>
      </c>
      <c r="BE835" s="337">
        <f>MAX(ROUNDDOWN( IF(tabItens[[#This Row],[Abaixo]] &gt; 0,   tabItens[[#This Row],[Abaixo]] + (tabItens[[#This Row],[PontoMês]] * IF( OR( ISBLANK(tabItens[[#This Row],[ATA Nº/ANO]]), tabItens[[#This Row],[ATA Nº/ANO]] = ""),BE$2,BE$1)),0),0),0)</f>
        <v>0</v>
      </c>
      <c r="BF83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5" s="338">
        <f>SUMIF(Consumo!$C$3:$C$862,tabItens[[#This Row],[CÓDIGO]],Consumo!$E$3:$E$862)</f>
        <v>0</v>
      </c>
      <c r="BH835" s="339">
        <f>IF(AND(tabItens[[#This Row],[Pend]] &gt; 0,tabItens[[#This Row],[Consumo]] &lt;&gt; 0), tabItens[[#This Row],[Pend]] / tabItens[[#This Row],[Consumo]], 0 )</f>
        <v>0</v>
      </c>
      <c r="BI835" s="338"/>
      <c r="BJ835" s="338"/>
      <c r="BK835" s="340" t="s">
        <v>2086</v>
      </c>
    </row>
    <row r="836" spans="1:63" hidden="1" x14ac:dyDescent="0.3">
      <c r="A836" s="301">
        <v>33612</v>
      </c>
      <c r="B836" s="302" t="s">
        <v>1253</v>
      </c>
      <c r="C836" s="303" t="s">
        <v>320</v>
      </c>
      <c r="D836" s="304">
        <v>17.55</v>
      </c>
      <c r="E836" s="305"/>
      <c r="F836" s="305"/>
      <c r="G836" s="305" t="s">
        <v>889</v>
      </c>
      <c r="H836" s="306">
        <v>325</v>
      </c>
      <c r="I836" s="307">
        <v>103003</v>
      </c>
      <c r="J836" s="308">
        <v>17.55</v>
      </c>
      <c r="K836" s="309">
        <v>61</v>
      </c>
      <c r="L836" s="310">
        <f>IF(tabItens[[#This Row],[Média]] &gt; 0, tabItens[[#This Row],[QTDE ATUAL]] / tabItens[[#This Row],[Média]],999.9)</f>
        <v>65</v>
      </c>
      <c r="M836" s="311">
        <v>0</v>
      </c>
      <c r="N836" s="312">
        <f>tabItens[[#This Row],[VALOR UNIT.]] * tabItens[[#This Row],[LC]]</f>
        <v>0</v>
      </c>
      <c r="O836" s="313"/>
      <c r="P836" s="314"/>
      <c r="Q836" s="315"/>
      <c r="R836" s="312"/>
      <c r="S836" s="316"/>
      <c r="T836" s="317">
        <f>ROUNDDOWN(IFERROR(tabItens[[#This Row],[ATA DT.VALID.]] - $D$1,0) / 30,0)</f>
        <v>-1474</v>
      </c>
      <c r="U836" s="302" t="s">
        <v>1252</v>
      </c>
      <c r="V836" s="318">
        <v>1</v>
      </c>
      <c r="W836" s="319" t="s">
        <v>2071</v>
      </c>
      <c r="X836" s="320">
        <v>67</v>
      </c>
      <c r="Y836" s="321">
        <v>14</v>
      </c>
      <c r="Z836" s="322"/>
      <c r="AA836" s="323"/>
      <c r="AB836" s="324"/>
      <c r="AC836" s="324"/>
      <c r="AD836" s="323"/>
      <c r="AE836" s="324"/>
      <c r="AF836" s="317"/>
      <c r="AG836" s="325" t="s">
        <v>2072</v>
      </c>
      <c r="AH836" s="326"/>
      <c r="AI836" s="317">
        <v>22</v>
      </c>
      <c r="AJ836" s="326">
        <v>43860</v>
      </c>
      <c r="AK836" s="326" t="s">
        <v>889</v>
      </c>
      <c r="AL836" s="326">
        <v>45105</v>
      </c>
      <c r="AM836" s="316"/>
      <c r="AN836" s="305"/>
      <c r="AO836" s="327" t="str">
        <f>_xlfn.IFNA(IF(VLOOKUP(tabItens[[#This Row],[CÓDIGO]],tabExcluirDoEstoque[#Data],1,FALSE),"sim",""),"")</f>
        <v/>
      </c>
      <c r="AP836" s="328" t="str">
        <f ca="1">IF(OR(ISBLANK(tabItens[[#This Row],[ATA DT.VALID.]]),tabItens[[#This Row],[ATA DT.VALID.]]="",tabItens[[#This Row],[ATA DT.VALID.]]=" "),"",IF(TYPE(tabItens[[#This Row],[ATA DT.VALID.]])=1,ROUNDUP((tabItens[[#This Row],[ATA DT.VALID.]]-TODAY())/7,0),""))</f>
        <v/>
      </c>
      <c r="AQ836" s="329"/>
      <c r="AR836" s="330" t="str">
        <f>IF(ISBLANK(tabItens[[#This Row],[CÓDIGO]]),"",IFERROR(VLOOKUP(tabItens[[#This Row],[CÓDIGO]],Consumo!$C$2:$AC$862,26,FALSE),0))</f>
        <v>07.2023</v>
      </c>
      <c r="AS836" s="331">
        <f>SUMIF(Consumo!$C$3:$C$862,tabItens[[#This Row],[CÓDIGO]],Consumo!$N$3:$N$862) + SUMIF(Consumo!$C$3:$C$862,tabItens[[#This Row],[CÓDIGO]],Consumo!$O$3:$O$862) + SUMIF(Consumo!$C$3:$C$862,tabItens[[#This Row],[CÓDIGO]],Consumo!$P$3:$P$862) + SUMIF(Consumo!$C$3:$C$862,tabItens[[#This Row],[CÓDIGO]],Consumo!$Q$3:$Q$862)</f>
        <v>15</v>
      </c>
      <c r="AT836" s="331">
        <f>SUMIF(Consumo!$C$3:$C$862,tabItens[[#This Row],[CÓDIGO]],Consumo!$Z$3:$Z$862)</f>
        <v>64</v>
      </c>
      <c r="AU836" s="332">
        <f>SUMIF(Consumo!$C$3:$C$862,tabItens[[#This Row],[CÓDIGO]],Consumo!$AA$3:$AA$862)</f>
        <v>22</v>
      </c>
      <c r="AV836" s="333">
        <f>SUMIF(Consumo!$C$3:$C$862,tabItens[[#This Row],[CÓDIGO]],Consumo!$Y$3:$Y$862)</f>
        <v>5</v>
      </c>
      <c r="AW836" s="306">
        <f>tabItens[[#This Row],[QTDE ATUAL]] + tabItens[[#This Row],[RC QTDE]] + tabItens[[#This Row],[AF SALDO]] + tabItens[[#This Row],[Recentes]]</f>
        <v>325</v>
      </c>
      <c r="AX836" s="334">
        <v>6</v>
      </c>
      <c r="AY836" s="334">
        <v>4</v>
      </c>
      <c r="AZ836" s="334">
        <f>IF(ISBLANK(tabItens[[#This Row],[CÓDIGO]]),"",tabItens[[#This Row],[PontoMês]] * (AZ$2+tabItens[[#This Row],[PontoQtM]]))</f>
        <v>24</v>
      </c>
      <c r="BA836" s="333">
        <f>tabItens[[#This Row],[PontoPed]] - tabItens[[#This Row],[Saldo]] + (1/10)</f>
        <v>-300.89999999999998</v>
      </c>
      <c r="BB836" s="333">
        <f xml:space="preserve"> tabItens[[#This Row],[PontoMês]] * BB$2 - tabItens[[#This Row],[QTDE ATUAL]] - (1/10)</f>
        <v>-319.10000000000002</v>
      </c>
      <c r="BC836" s="335">
        <f>IF( tabItens[[#This Row],[PontoPed]]&gt;0, IF(tabItens[[#This Row],[PontoPed]]&lt;1, 1, IF( tabItens[[#This Row],[Saldo]]&gt;tabItens[[#This Row],[PontoPed]], 0, (tabItens[[#This Row],[PontoPed]]-tabItens[[#This Row],[Saldo]])/tabItens[[#This Row],[PontoPed]] ) ), 0 )</f>
        <v>0</v>
      </c>
      <c r="BD836" s="336">
        <f>ROUNDDOWN(IF( OR( AND(tabItens[[#This Row],[PontoPed]]&lt;tabItens[[#This Row],[Saldo]],tabItens[[#This Row],[Saldo]]&gt;0), tabItens[[#This Row],[PontoPed]]=0), 99, IF(AND(tabItens[[#This Row],[Saldo]]=0,tabItens[[#This Row],[PontoPed]]&gt;0), 0, (1-tabItens[[#This Row],[PctAb]])*10 ) ),0)</f>
        <v>99</v>
      </c>
      <c r="BE836" s="337">
        <f>MAX(ROUNDDOWN( IF(tabItens[[#This Row],[Abaixo]] &gt; 0,   tabItens[[#This Row],[Abaixo]] + (tabItens[[#This Row],[PontoMês]] * IF( OR( ISBLANK(tabItens[[#This Row],[ATA Nº/ANO]]), tabItens[[#This Row],[ATA Nº/ANO]] = ""),BE$2,BE$1)),0),0),0)</f>
        <v>0</v>
      </c>
      <c r="BF83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6" s="338">
        <f>SUMIF(Consumo!$C$3:$C$862,tabItens[[#This Row],[CÓDIGO]],Consumo!$E$3:$E$862)</f>
        <v>0</v>
      </c>
      <c r="BH836" s="339">
        <f>IF(AND(tabItens[[#This Row],[Pend]] &gt; 0,tabItens[[#This Row],[Consumo]] &lt;&gt; 0), tabItens[[#This Row],[Pend]] / tabItens[[#This Row],[Consumo]], 0 )</f>
        <v>0</v>
      </c>
      <c r="BI836" s="338"/>
      <c r="BJ836" s="338"/>
      <c r="BK836" s="340" t="s">
        <v>2086</v>
      </c>
    </row>
    <row r="837" spans="1:63" hidden="1" x14ac:dyDescent="0.3">
      <c r="A837" s="301">
        <v>33623</v>
      </c>
      <c r="B837" s="302" t="s">
        <v>1254</v>
      </c>
      <c r="C837" s="303" t="s">
        <v>320</v>
      </c>
      <c r="D837" s="304">
        <v>14</v>
      </c>
      <c r="E837" s="305"/>
      <c r="F837" s="305"/>
      <c r="G837" s="305" t="s">
        <v>889</v>
      </c>
      <c r="H837" s="306">
        <v>408</v>
      </c>
      <c r="I837" s="307">
        <v>103003</v>
      </c>
      <c r="J837" s="308">
        <v>14</v>
      </c>
      <c r="K837" s="309">
        <v>275</v>
      </c>
      <c r="L837" s="310">
        <f>IF(tabItens[[#This Row],[Média]] &gt; 0, tabItens[[#This Row],[QTDE ATUAL]] / tabItens[[#This Row],[Média]],999.9)</f>
        <v>14.315789473684211</v>
      </c>
      <c r="M837" s="311">
        <v>0</v>
      </c>
      <c r="N837" s="312">
        <f>tabItens[[#This Row],[VALOR UNIT.]] * tabItens[[#This Row],[LC]]</f>
        <v>0</v>
      </c>
      <c r="O837" s="313"/>
      <c r="P837" s="314"/>
      <c r="Q837" s="315"/>
      <c r="R837" s="312"/>
      <c r="S837" s="316"/>
      <c r="T837" s="317">
        <f>ROUNDDOWN(IFERROR(tabItens[[#This Row],[ATA DT.VALID.]] - $D$1,0) / 30,0)</f>
        <v>-1474</v>
      </c>
      <c r="U837" s="302" t="s">
        <v>1252</v>
      </c>
      <c r="V837" s="318">
        <v>1</v>
      </c>
      <c r="W837" s="319" t="s">
        <v>2071</v>
      </c>
      <c r="X837" s="320">
        <v>67</v>
      </c>
      <c r="Y837" s="321">
        <v>14</v>
      </c>
      <c r="Z837" s="322"/>
      <c r="AA837" s="323"/>
      <c r="AB837" s="324"/>
      <c r="AC837" s="324"/>
      <c r="AD837" s="323"/>
      <c r="AE837" s="324"/>
      <c r="AF837" s="317"/>
      <c r="AG837" s="325" t="s">
        <v>2072</v>
      </c>
      <c r="AH837" s="326"/>
      <c r="AI837" s="317">
        <v>114</v>
      </c>
      <c r="AJ837" s="326">
        <v>45215</v>
      </c>
      <c r="AK837" s="326" t="s">
        <v>889</v>
      </c>
      <c r="AL837" s="326">
        <v>45189</v>
      </c>
      <c r="AM837" s="316"/>
      <c r="AN837" s="305"/>
      <c r="AO837" s="327" t="str">
        <f>_xlfn.IFNA(IF(VLOOKUP(tabItens[[#This Row],[CÓDIGO]],tabExcluirDoEstoque[#Data],1,FALSE),"sim",""),"")</f>
        <v/>
      </c>
      <c r="AP837" s="328" t="str">
        <f ca="1">IF(OR(ISBLANK(tabItens[[#This Row],[ATA DT.VALID.]]),tabItens[[#This Row],[ATA DT.VALID.]]="",tabItens[[#This Row],[ATA DT.VALID.]]=" "),"",IF(TYPE(tabItens[[#This Row],[ATA DT.VALID.]])=1,ROUNDUP((tabItens[[#This Row],[ATA DT.VALID.]]-TODAY())/7,0),""))</f>
        <v/>
      </c>
      <c r="AQ837" s="329"/>
      <c r="AR837" s="330" t="str">
        <f>IF(ISBLANK(tabItens[[#This Row],[CÓDIGO]]),"",IFERROR(VLOOKUP(tabItens[[#This Row],[CÓDIGO]],Consumo!$C$2:$AC$862,26,FALSE),0))</f>
        <v>09.2023</v>
      </c>
      <c r="AS837" s="331">
        <f>SUMIF(Consumo!$C$3:$C$862,tabItens[[#This Row],[CÓDIGO]],Consumo!$N$3:$N$862) + SUMIF(Consumo!$C$3:$C$862,tabItens[[#This Row],[CÓDIGO]],Consumo!$O$3:$O$862) + SUMIF(Consumo!$C$3:$C$862,tabItens[[#This Row],[CÓDIGO]],Consumo!$P$3:$P$862) + SUMIF(Consumo!$C$3:$C$862,tabItens[[#This Row],[CÓDIGO]],Consumo!$Q$3:$Q$862)</f>
        <v>61</v>
      </c>
      <c r="AT837" s="331">
        <f>SUMIF(Consumo!$C$3:$C$862,tabItens[[#This Row],[CÓDIGO]],Consumo!$Z$3:$Z$862)</f>
        <v>342</v>
      </c>
      <c r="AU837" s="332">
        <f>SUMIF(Consumo!$C$3:$C$862,tabItens[[#This Row],[CÓDIGO]],Consumo!$AA$3:$AA$862)</f>
        <v>74</v>
      </c>
      <c r="AV837" s="333">
        <f>SUMIF(Consumo!$C$3:$C$862,tabItens[[#This Row],[CÓDIGO]],Consumo!$Y$3:$Y$862)</f>
        <v>28.5</v>
      </c>
      <c r="AW837" s="306">
        <f>tabItens[[#This Row],[QTDE ATUAL]] + tabItens[[#This Row],[RC QTDE]] + tabItens[[#This Row],[AF SALDO]] + tabItens[[#This Row],[Recentes]]</f>
        <v>408</v>
      </c>
      <c r="AX837" s="334">
        <v>32</v>
      </c>
      <c r="AY837" s="334">
        <v>4</v>
      </c>
      <c r="AZ837" s="334">
        <f>IF(ISBLANK(tabItens[[#This Row],[CÓDIGO]]),"",tabItens[[#This Row],[PontoMês]] * (AZ$2+tabItens[[#This Row],[PontoQtM]]))</f>
        <v>128</v>
      </c>
      <c r="BA837" s="333">
        <f>tabItens[[#This Row],[PontoPed]] - tabItens[[#This Row],[Saldo]] + (1/10)</f>
        <v>-279.89999999999998</v>
      </c>
      <c r="BB837" s="333">
        <f xml:space="preserve"> tabItens[[#This Row],[PontoMês]] * BB$2 - tabItens[[#This Row],[QTDE ATUAL]] - (1/10)</f>
        <v>-376.1</v>
      </c>
      <c r="BC837" s="335">
        <f>IF( tabItens[[#This Row],[PontoPed]]&gt;0, IF(tabItens[[#This Row],[PontoPed]]&lt;1, 1, IF( tabItens[[#This Row],[Saldo]]&gt;tabItens[[#This Row],[PontoPed]], 0, (tabItens[[#This Row],[PontoPed]]-tabItens[[#This Row],[Saldo]])/tabItens[[#This Row],[PontoPed]] ) ), 0 )</f>
        <v>0</v>
      </c>
      <c r="BD837" s="336">
        <f>ROUNDDOWN(IF( OR( AND(tabItens[[#This Row],[PontoPed]]&lt;tabItens[[#This Row],[Saldo]],tabItens[[#This Row],[Saldo]]&gt;0), tabItens[[#This Row],[PontoPed]]=0), 99, IF(AND(tabItens[[#This Row],[Saldo]]=0,tabItens[[#This Row],[PontoPed]]&gt;0), 0, (1-tabItens[[#This Row],[PctAb]])*10 ) ),0)</f>
        <v>99</v>
      </c>
      <c r="BE837" s="337">
        <f>MAX(ROUNDDOWN( IF(tabItens[[#This Row],[Abaixo]] &gt; 0,   tabItens[[#This Row],[Abaixo]] + (tabItens[[#This Row],[PontoMês]] * IF( OR( ISBLANK(tabItens[[#This Row],[ATA Nº/ANO]]), tabItens[[#This Row],[ATA Nº/ANO]] = ""),BE$2,BE$1)),0),0),0)</f>
        <v>0</v>
      </c>
      <c r="BF83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7" s="338">
        <f>SUMIF(Consumo!$C$3:$C$862,tabItens[[#This Row],[CÓDIGO]],Consumo!$E$3:$E$862)</f>
        <v>0</v>
      </c>
      <c r="BH837" s="339">
        <f>IF(AND(tabItens[[#This Row],[Pend]] &gt; 0,tabItens[[#This Row],[Consumo]] &lt;&gt; 0), tabItens[[#This Row],[Pend]] / tabItens[[#This Row],[Consumo]], 0 )</f>
        <v>0</v>
      </c>
      <c r="BI837" s="338"/>
      <c r="BJ837" s="338"/>
      <c r="BK837" s="340" t="s">
        <v>2086</v>
      </c>
    </row>
    <row r="838" spans="1:63" hidden="1" x14ac:dyDescent="0.3">
      <c r="A838" s="301">
        <v>81514</v>
      </c>
      <c r="B838" s="302" t="s">
        <v>1479</v>
      </c>
      <c r="C838" s="303" t="s">
        <v>263</v>
      </c>
      <c r="D838" s="304">
        <v>0.02</v>
      </c>
      <c r="E838" s="305"/>
      <c r="F838" s="305"/>
      <c r="G838" s="305" t="s">
        <v>889</v>
      </c>
      <c r="H838" s="306">
        <v>131012</v>
      </c>
      <c r="I838" s="307">
        <v>103003</v>
      </c>
      <c r="J838" s="308">
        <v>0.02</v>
      </c>
      <c r="K838" s="309">
        <v>34753</v>
      </c>
      <c r="L838" s="310">
        <f>IF(tabItens[[#This Row],[Média]] &gt; 0, tabItens[[#This Row],[QTDE ATUAL]] / tabItens[[#This Row],[Média]],999.9)</f>
        <v>38.895200395843638</v>
      </c>
      <c r="M838" s="311">
        <v>0</v>
      </c>
      <c r="N838" s="312">
        <f>tabItens[[#This Row],[VALOR UNIT.]] * tabItens[[#This Row],[LC]]</f>
        <v>0</v>
      </c>
      <c r="O838" s="313"/>
      <c r="P838" s="314"/>
      <c r="Q838" s="315"/>
      <c r="R838" s="312"/>
      <c r="S838" s="316"/>
      <c r="T838" s="317">
        <f>ROUNDDOWN(IFERROR(tabItens[[#This Row],[ATA DT.VALID.]] - $D$1,0) / 30,0)</f>
        <v>-1474</v>
      </c>
      <c r="U838" s="302" t="s">
        <v>1480</v>
      </c>
      <c r="V838" s="318">
        <v>1</v>
      </c>
      <c r="W838" s="319" t="s">
        <v>2079</v>
      </c>
      <c r="X838" s="320">
        <v>67</v>
      </c>
      <c r="Y838" s="321">
        <v>15</v>
      </c>
      <c r="Z838" s="322"/>
      <c r="AA838" s="323"/>
      <c r="AB838" s="324"/>
      <c r="AC838" s="324"/>
      <c r="AD838" s="323"/>
      <c r="AE838" s="324"/>
      <c r="AF838" s="317"/>
      <c r="AG838" s="325" t="s">
        <v>2072</v>
      </c>
      <c r="AH838" s="326"/>
      <c r="AI838" s="317">
        <v>13678</v>
      </c>
      <c r="AJ838" s="326">
        <v>43864</v>
      </c>
      <c r="AK838" s="326">
        <v>38226</v>
      </c>
      <c r="AL838" s="326">
        <v>43826</v>
      </c>
      <c r="AM838" s="316"/>
      <c r="AN838" s="305"/>
      <c r="AO838" s="327" t="str">
        <f>_xlfn.IFNA(IF(VLOOKUP(tabItens[[#This Row],[CÓDIGO]],tabExcluirDoEstoque[#Data],1,FALSE),"sim",""),"")</f>
        <v/>
      </c>
      <c r="AP838" s="328" t="str">
        <f ca="1">IF(OR(ISBLANK(tabItens[[#This Row],[ATA DT.VALID.]]),tabItens[[#This Row],[ATA DT.VALID.]]="",tabItens[[#This Row],[ATA DT.VALID.]]=" "),"",IF(TYPE(tabItens[[#This Row],[ATA DT.VALID.]])=1,ROUNDUP((tabItens[[#This Row],[ATA DT.VALID.]]-TODAY())/7,0),""))</f>
        <v/>
      </c>
      <c r="AQ838" s="329"/>
      <c r="AR838" s="330" t="str">
        <f>IF(ISBLANK(tabItens[[#This Row],[CÓDIGO]]),"",IFERROR(VLOOKUP(tabItens[[#This Row],[CÓDIGO]],Consumo!$C$2:$AC$862,26,FALSE),0))</f>
        <v>09.2023</v>
      </c>
      <c r="AS838" s="331">
        <f>SUMIF(Consumo!$C$3:$C$862,tabItens[[#This Row],[CÓDIGO]],Consumo!$N$3:$N$862) + SUMIF(Consumo!$C$3:$C$862,tabItens[[#This Row],[CÓDIGO]],Consumo!$O$3:$O$862) + SUMIF(Consumo!$C$3:$C$862,tabItens[[#This Row],[CÓDIGO]],Consumo!$P$3:$P$862) + SUMIF(Consumo!$C$3:$C$862,tabItens[[#This Row],[CÓDIGO]],Consumo!$Q$3:$Q$862)</f>
        <v>20000</v>
      </c>
      <c r="AT838" s="331">
        <f>SUMIF(Consumo!$C$3:$C$862,tabItens[[#This Row],[CÓDIGO]],Consumo!$Z$3:$Z$862)</f>
        <v>41033</v>
      </c>
      <c r="AU838" s="332">
        <f>SUMIF(Consumo!$C$3:$C$862,tabItens[[#This Row],[CÓDIGO]],Consumo!$AA$3:$AA$862)</f>
        <v>10000</v>
      </c>
      <c r="AV838" s="333">
        <f>SUMIF(Consumo!$C$3:$C$862,tabItens[[#This Row],[CÓDIGO]],Consumo!$Y$3:$Y$862)</f>
        <v>3368.3333333333335</v>
      </c>
      <c r="AW838" s="306">
        <f>tabItens[[#This Row],[QTDE ATUAL]] + tabItens[[#This Row],[RC QTDE]] + tabItens[[#This Row],[AF SALDO]] + tabItens[[#This Row],[Recentes]]</f>
        <v>131012</v>
      </c>
      <c r="AX838" s="334">
        <v>6564</v>
      </c>
      <c r="AY838" s="334">
        <v>4</v>
      </c>
      <c r="AZ838" s="334">
        <f>IF(ISBLANK(tabItens[[#This Row],[CÓDIGO]]),"",tabItens[[#This Row],[PontoMês]] * (AZ$2+tabItens[[#This Row],[PontoQtM]]))</f>
        <v>26256</v>
      </c>
      <c r="BA838" s="333">
        <f>tabItens[[#This Row],[PontoPed]] - tabItens[[#This Row],[Saldo]] + (1/10)</f>
        <v>-104755.9</v>
      </c>
      <c r="BB838" s="333">
        <f xml:space="preserve"> tabItens[[#This Row],[PontoMês]] * BB$2 - tabItens[[#This Row],[QTDE ATUAL]] - (1/10)</f>
        <v>-124448.1</v>
      </c>
      <c r="BC838" s="335">
        <f>IF( tabItens[[#This Row],[PontoPed]]&gt;0, IF(tabItens[[#This Row],[PontoPed]]&lt;1, 1, IF( tabItens[[#This Row],[Saldo]]&gt;tabItens[[#This Row],[PontoPed]], 0, (tabItens[[#This Row],[PontoPed]]-tabItens[[#This Row],[Saldo]])/tabItens[[#This Row],[PontoPed]] ) ), 0 )</f>
        <v>0</v>
      </c>
      <c r="BD838" s="336">
        <f>ROUNDDOWN(IF( OR( AND(tabItens[[#This Row],[PontoPed]]&lt;tabItens[[#This Row],[Saldo]],tabItens[[#This Row],[Saldo]]&gt;0), tabItens[[#This Row],[PontoPed]]=0), 99, IF(AND(tabItens[[#This Row],[Saldo]]=0,tabItens[[#This Row],[PontoPed]]&gt;0), 0, (1-tabItens[[#This Row],[PctAb]])*10 ) ),0)</f>
        <v>99</v>
      </c>
      <c r="BE838" s="337">
        <f>MAX(ROUNDDOWN( IF(tabItens[[#This Row],[Abaixo]] &gt; 0,   tabItens[[#This Row],[Abaixo]] + (tabItens[[#This Row],[PontoMês]] * IF( OR( ISBLANK(tabItens[[#This Row],[ATA Nº/ANO]]), tabItens[[#This Row],[ATA Nº/ANO]] = ""),BE$2,BE$1)),0),0),0)</f>
        <v>0</v>
      </c>
      <c r="BF83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8" s="338">
        <f>SUMIF(Consumo!$C$3:$C$862,tabItens[[#This Row],[CÓDIGO]],Consumo!$E$3:$E$862)</f>
        <v>0</v>
      </c>
      <c r="BH838" s="339">
        <f>IF(AND(tabItens[[#This Row],[Pend]] &gt; 0,tabItens[[#This Row],[Consumo]] &lt;&gt; 0), tabItens[[#This Row],[Pend]] / tabItens[[#This Row],[Consumo]], 0 )</f>
        <v>0</v>
      </c>
      <c r="BI838" s="338"/>
      <c r="BJ838" s="338"/>
      <c r="BK838" s="340" t="s">
        <v>2086</v>
      </c>
    </row>
    <row r="839" spans="1:63" hidden="1" x14ac:dyDescent="0.3">
      <c r="A839" s="301">
        <v>78418</v>
      </c>
      <c r="B839" s="302" t="s">
        <v>1452</v>
      </c>
      <c r="C839" s="303" t="s">
        <v>263</v>
      </c>
      <c r="D839" s="304">
        <v>2.75</v>
      </c>
      <c r="E839" s="305"/>
      <c r="F839" s="305"/>
      <c r="G839" s="305" t="s">
        <v>889</v>
      </c>
      <c r="H839" s="306">
        <v>255</v>
      </c>
      <c r="I839" s="307">
        <v>103003</v>
      </c>
      <c r="J839" s="308">
        <v>2.75</v>
      </c>
      <c r="K839" s="309">
        <v>60</v>
      </c>
      <c r="L839" s="310">
        <f>IF(tabItens[[#This Row],[Média]] &gt; 0, tabItens[[#This Row],[QTDE ATUAL]] / tabItens[[#This Row],[Média]],999.9)</f>
        <v>71.16279069767441</v>
      </c>
      <c r="M839" s="311">
        <v>0</v>
      </c>
      <c r="N839" s="312">
        <f>tabItens[[#This Row],[VALOR UNIT.]] * tabItens[[#This Row],[LC]]</f>
        <v>0</v>
      </c>
      <c r="O839" s="313"/>
      <c r="P839" s="314"/>
      <c r="Q839" s="315"/>
      <c r="R839" s="312"/>
      <c r="S839" s="316"/>
      <c r="T839" s="317">
        <f>ROUNDDOWN(IFERROR(tabItens[[#This Row],[ATA DT.VALID.]] - $D$1,0) / 30,0)</f>
        <v>-1474</v>
      </c>
      <c r="U839" s="302" t="s">
        <v>1453</v>
      </c>
      <c r="V839" s="318">
        <v>1</v>
      </c>
      <c r="W839" s="319" t="s">
        <v>2078</v>
      </c>
      <c r="X839" s="320">
        <v>67</v>
      </c>
      <c r="Y839" s="321">
        <v>16</v>
      </c>
      <c r="Z839" s="322"/>
      <c r="AA839" s="323"/>
      <c r="AB839" s="324"/>
      <c r="AC839" s="324"/>
      <c r="AD839" s="323"/>
      <c r="AE839" s="324"/>
      <c r="AF839" s="317"/>
      <c r="AG839" s="325" t="s">
        <v>2072</v>
      </c>
      <c r="AH839" s="326"/>
      <c r="AI839" s="317">
        <v>20</v>
      </c>
      <c r="AJ839" s="326">
        <v>45201</v>
      </c>
      <c r="AK839" s="326">
        <v>38097</v>
      </c>
      <c r="AL839" s="326">
        <v>45189</v>
      </c>
      <c r="AM839" s="316"/>
      <c r="AN839" s="305"/>
      <c r="AO839" s="327" t="str">
        <f>_xlfn.IFNA(IF(VLOOKUP(tabItens[[#This Row],[CÓDIGO]],tabExcluirDoEstoque[#Data],1,FALSE),"sim",""),"")</f>
        <v/>
      </c>
      <c r="AP839" s="328" t="str">
        <f ca="1">IF(OR(ISBLANK(tabItens[[#This Row],[ATA DT.VALID.]]),tabItens[[#This Row],[ATA DT.VALID.]]="",tabItens[[#This Row],[ATA DT.VALID.]]=" "),"",IF(TYPE(tabItens[[#This Row],[ATA DT.VALID.]])=1,ROUNDUP((tabItens[[#This Row],[ATA DT.VALID.]]-TODAY())/7,0),""))</f>
        <v/>
      </c>
      <c r="AQ839" s="329"/>
      <c r="AR839" s="330" t="str">
        <f>IF(ISBLANK(tabItens[[#This Row],[CÓDIGO]]),"",IFERROR(VLOOKUP(tabItens[[#This Row],[CÓDIGO]],Consumo!$C$2:$AC$862,26,FALSE),0))</f>
        <v>03.2023</v>
      </c>
      <c r="AS839" s="331">
        <f>SUMIF(Consumo!$C$3:$C$862,tabItens[[#This Row],[CÓDIGO]],Consumo!$N$3:$N$862) + SUMIF(Consumo!$C$3:$C$862,tabItens[[#This Row],[CÓDIGO]],Consumo!$O$3:$O$862) + SUMIF(Consumo!$C$3:$C$862,tabItens[[#This Row],[CÓDIGO]],Consumo!$P$3:$P$862) + SUMIF(Consumo!$C$3:$C$862,tabItens[[#This Row],[CÓDIGO]],Consumo!$Q$3:$Q$862)</f>
        <v>0</v>
      </c>
      <c r="AT839" s="331">
        <f>SUMIF(Consumo!$C$3:$C$862,tabItens[[#This Row],[CÓDIGO]],Consumo!$Z$3:$Z$862)</f>
        <v>60</v>
      </c>
      <c r="AU839" s="332">
        <f>SUMIF(Consumo!$C$3:$C$862,tabItens[[#This Row],[CÓDIGO]],Consumo!$AA$3:$AA$862)</f>
        <v>50</v>
      </c>
      <c r="AV839" s="333">
        <f>SUMIF(Consumo!$C$3:$C$862,tabItens[[#This Row],[CÓDIGO]],Consumo!$Y$3:$Y$862)</f>
        <v>3.5833333333333335</v>
      </c>
      <c r="AW839" s="306">
        <f>tabItens[[#This Row],[QTDE ATUAL]] + tabItens[[#This Row],[RC QTDE]] + tabItens[[#This Row],[AF SALDO]] + tabItens[[#This Row],[Recentes]]</f>
        <v>255</v>
      </c>
      <c r="AX839" s="334">
        <v>9</v>
      </c>
      <c r="AY839" s="334">
        <v>4</v>
      </c>
      <c r="AZ839" s="334">
        <f>IF(ISBLANK(tabItens[[#This Row],[CÓDIGO]]),"",tabItens[[#This Row],[PontoMês]] * (AZ$2+tabItens[[#This Row],[PontoQtM]]))</f>
        <v>36</v>
      </c>
      <c r="BA839" s="333">
        <f>tabItens[[#This Row],[PontoPed]] - tabItens[[#This Row],[Saldo]] + (1/10)</f>
        <v>-218.9</v>
      </c>
      <c r="BB839" s="333">
        <f xml:space="preserve"> tabItens[[#This Row],[PontoMês]] * BB$2 - tabItens[[#This Row],[QTDE ATUAL]] - (1/10)</f>
        <v>-246.1</v>
      </c>
      <c r="BC839" s="335">
        <f>IF( tabItens[[#This Row],[PontoPed]]&gt;0, IF(tabItens[[#This Row],[PontoPed]]&lt;1, 1, IF( tabItens[[#This Row],[Saldo]]&gt;tabItens[[#This Row],[PontoPed]], 0, (tabItens[[#This Row],[PontoPed]]-tabItens[[#This Row],[Saldo]])/tabItens[[#This Row],[PontoPed]] ) ), 0 )</f>
        <v>0</v>
      </c>
      <c r="BD839" s="336">
        <f>ROUNDDOWN(IF( OR( AND(tabItens[[#This Row],[PontoPed]]&lt;tabItens[[#This Row],[Saldo]],tabItens[[#This Row],[Saldo]]&gt;0), tabItens[[#This Row],[PontoPed]]=0), 99, IF(AND(tabItens[[#This Row],[Saldo]]=0,tabItens[[#This Row],[PontoPed]]&gt;0), 0, (1-tabItens[[#This Row],[PctAb]])*10 ) ),0)</f>
        <v>99</v>
      </c>
      <c r="BE839" s="337">
        <f>MAX(ROUNDDOWN( IF(tabItens[[#This Row],[Abaixo]] &gt; 0,   tabItens[[#This Row],[Abaixo]] + (tabItens[[#This Row],[PontoMês]] * IF( OR( ISBLANK(tabItens[[#This Row],[ATA Nº/ANO]]), tabItens[[#This Row],[ATA Nº/ANO]] = ""),BE$2,BE$1)),0),0),0)</f>
        <v>0</v>
      </c>
      <c r="BF83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9" s="338">
        <f>SUMIF(Consumo!$C$3:$C$862,tabItens[[#This Row],[CÓDIGO]],Consumo!$E$3:$E$862)</f>
        <v>0</v>
      </c>
      <c r="BH839" s="339">
        <f>IF(AND(tabItens[[#This Row],[Pend]] &gt; 0,tabItens[[#This Row],[Consumo]] &lt;&gt; 0), tabItens[[#This Row],[Pend]] / tabItens[[#This Row],[Consumo]], 0 )</f>
        <v>0</v>
      </c>
      <c r="BI839" s="338"/>
      <c r="BJ839" s="338"/>
      <c r="BK839" s="340" t="s">
        <v>2086</v>
      </c>
    </row>
    <row r="840" spans="1:63" hidden="1" x14ac:dyDescent="0.3">
      <c r="A840" s="301">
        <v>104655</v>
      </c>
      <c r="B840" s="302" t="s">
        <v>1604</v>
      </c>
      <c r="C840" s="303" t="s">
        <v>263</v>
      </c>
      <c r="D840" s="304">
        <v>0.25</v>
      </c>
      <c r="E840" s="305"/>
      <c r="F840" s="305"/>
      <c r="G840" s="305" t="s">
        <v>889</v>
      </c>
      <c r="H840" s="306">
        <v>12374</v>
      </c>
      <c r="I840" s="307">
        <v>103003</v>
      </c>
      <c r="J840" s="308">
        <v>0.25</v>
      </c>
      <c r="K840" s="309">
        <v>2200</v>
      </c>
      <c r="L840" s="310">
        <f>IF(tabItens[[#This Row],[Média]] &gt; 0, tabItens[[#This Row],[QTDE ATUAL]] / tabItens[[#This Row],[Média]],999.9)</f>
        <v>97.050980392156859</v>
      </c>
      <c r="M840" s="311">
        <v>0</v>
      </c>
      <c r="N840" s="312">
        <f>tabItens[[#This Row],[VALOR UNIT.]] * tabItens[[#This Row],[LC]]</f>
        <v>0</v>
      </c>
      <c r="O840" s="313"/>
      <c r="P840" s="314"/>
      <c r="Q840" s="315"/>
      <c r="R840" s="312"/>
      <c r="S840" s="316"/>
      <c r="T840" s="317">
        <f>ROUNDDOWN(IFERROR(tabItens[[#This Row],[ATA DT.VALID.]] - $D$1,0) / 30,0)</f>
        <v>-1474</v>
      </c>
      <c r="U840" s="302" t="s">
        <v>1605</v>
      </c>
      <c r="V840" s="318">
        <v>1</v>
      </c>
      <c r="W840" s="319" t="s">
        <v>2078</v>
      </c>
      <c r="X840" s="320">
        <v>67</v>
      </c>
      <c r="Y840" s="321">
        <v>17</v>
      </c>
      <c r="Z840" s="322"/>
      <c r="AA840" s="323"/>
      <c r="AB840" s="324"/>
      <c r="AC840" s="324"/>
      <c r="AD840" s="323"/>
      <c r="AE840" s="324"/>
      <c r="AF840" s="317"/>
      <c r="AG840" s="325" t="s">
        <v>2072</v>
      </c>
      <c r="AH840" s="326"/>
      <c r="AI840" s="317">
        <v>734</v>
      </c>
      <c r="AJ840" s="326">
        <v>44055</v>
      </c>
      <c r="AK840" s="326">
        <v>39471</v>
      </c>
      <c r="AL840" s="326">
        <v>44040</v>
      </c>
      <c r="AM840" s="316"/>
      <c r="AN840" s="305"/>
      <c r="AO840" s="327" t="str">
        <f>_xlfn.IFNA(IF(VLOOKUP(tabItens[[#This Row],[CÓDIGO]],tabExcluirDoEstoque[#Data],1,FALSE),"sim",""),"")</f>
        <v/>
      </c>
      <c r="AP840" s="328" t="str">
        <f ca="1">IF(OR(ISBLANK(tabItens[[#This Row],[ATA DT.VALID.]]),tabItens[[#This Row],[ATA DT.VALID.]]="",tabItens[[#This Row],[ATA DT.VALID.]]=" "),"",IF(TYPE(tabItens[[#This Row],[ATA DT.VALID.]])=1,ROUNDUP((tabItens[[#This Row],[ATA DT.VALID.]]-TODAY())/7,0),""))</f>
        <v/>
      </c>
      <c r="AQ840" s="329"/>
      <c r="AR840" s="330" t="str">
        <f>IF(ISBLANK(tabItens[[#This Row],[CÓDIGO]]),"",IFERROR(VLOOKUP(tabItens[[#This Row],[CÓDIGO]],Consumo!$C$2:$AC$862,26,FALSE),0))</f>
        <v>04.2023</v>
      </c>
      <c r="AS840" s="331">
        <f>SUMIF(Consumo!$C$3:$C$862,tabItens[[#This Row],[CÓDIGO]],Consumo!$N$3:$N$862) + SUMIF(Consumo!$C$3:$C$862,tabItens[[#This Row],[CÓDIGO]],Consumo!$O$3:$O$862) + SUMIF(Consumo!$C$3:$C$862,tabItens[[#This Row],[CÓDIGO]],Consumo!$P$3:$P$862) + SUMIF(Consumo!$C$3:$C$862,tabItens[[#This Row],[CÓDIGO]],Consumo!$Q$3:$Q$862)</f>
        <v>0</v>
      </c>
      <c r="AT840" s="331">
        <f>SUMIF(Consumo!$C$3:$C$862,tabItens[[#This Row],[CÓDIGO]],Consumo!$Z$3:$Z$862)</f>
        <v>2200</v>
      </c>
      <c r="AU840" s="332">
        <f>SUMIF(Consumo!$C$3:$C$862,tabItens[[#This Row],[CÓDIGO]],Consumo!$AA$3:$AA$862)</f>
        <v>2000</v>
      </c>
      <c r="AV840" s="333">
        <f>SUMIF(Consumo!$C$3:$C$862,tabItens[[#This Row],[CÓDIGO]],Consumo!$Y$3:$Y$862)</f>
        <v>127.5</v>
      </c>
      <c r="AW840" s="306">
        <f>tabItens[[#This Row],[QTDE ATUAL]] + tabItens[[#This Row],[RC QTDE]] + tabItens[[#This Row],[AF SALDO]] + tabItens[[#This Row],[Recentes]]</f>
        <v>12374</v>
      </c>
      <c r="AX840" s="334">
        <v>0</v>
      </c>
      <c r="AY840" s="334">
        <v>4</v>
      </c>
      <c r="AZ840" s="334">
        <f>IF(ISBLANK(tabItens[[#This Row],[CÓDIGO]]),"",tabItens[[#This Row],[PontoMês]] * (AZ$2+tabItens[[#This Row],[PontoQtM]]))</f>
        <v>0</v>
      </c>
      <c r="BA840" s="333">
        <f>tabItens[[#This Row],[PontoPed]] - tabItens[[#This Row],[Saldo]] + (1/10)</f>
        <v>-12373.9</v>
      </c>
      <c r="BB840" s="333">
        <f xml:space="preserve"> tabItens[[#This Row],[PontoMês]] * BB$2 - tabItens[[#This Row],[QTDE ATUAL]] - (1/10)</f>
        <v>-12374.1</v>
      </c>
      <c r="BC840" s="335">
        <f>IF( tabItens[[#This Row],[PontoPed]]&gt;0, IF(tabItens[[#This Row],[PontoPed]]&lt;1, 1, IF( tabItens[[#This Row],[Saldo]]&gt;tabItens[[#This Row],[PontoPed]], 0, (tabItens[[#This Row],[PontoPed]]-tabItens[[#This Row],[Saldo]])/tabItens[[#This Row],[PontoPed]] ) ), 0 )</f>
        <v>0</v>
      </c>
      <c r="BD840" s="336">
        <f>ROUNDDOWN(IF( OR( AND(tabItens[[#This Row],[PontoPed]]&lt;tabItens[[#This Row],[Saldo]],tabItens[[#This Row],[Saldo]]&gt;0), tabItens[[#This Row],[PontoPed]]=0), 99, IF(AND(tabItens[[#This Row],[Saldo]]=0,tabItens[[#This Row],[PontoPed]]&gt;0), 0, (1-tabItens[[#This Row],[PctAb]])*10 ) ),0)</f>
        <v>99</v>
      </c>
      <c r="BE840" s="337">
        <f>MAX(ROUNDDOWN( IF(tabItens[[#This Row],[Abaixo]] &gt; 0,   tabItens[[#This Row],[Abaixo]] + (tabItens[[#This Row],[PontoMês]] * IF( OR( ISBLANK(tabItens[[#This Row],[ATA Nº/ANO]]), tabItens[[#This Row],[ATA Nº/ANO]] = ""),BE$2,BE$1)),0),0),0)</f>
        <v>0</v>
      </c>
      <c r="BF84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0" s="338">
        <f>SUMIF(Consumo!$C$3:$C$862,tabItens[[#This Row],[CÓDIGO]],Consumo!$E$3:$E$862)</f>
        <v>0</v>
      </c>
      <c r="BH840" s="339">
        <f>IF(AND(tabItens[[#This Row],[Pend]] &gt; 0,tabItens[[#This Row],[Consumo]] &lt;&gt; 0), tabItens[[#This Row],[Pend]] / tabItens[[#This Row],[Consumo]], 0 )</f>
        <v>0</v>
      </c>
      <c r="BI840" s="338"/>
      <c r="BJ840" s="338"/>
      <c r="BK840" s="340" t="s">
        <v>2086</v>
      </c>
    </row>
    <row r="841" spans="1:63" hidden="1" x14ac:dyDescent="0.3">
      <c r="A841" s="301">
        <v>78416</v>
      </c>
      <c r="B841" s="302" t="s">
        <v>1450</v>
      </c>
      <c r="C841" s="303" t="s">
        <v>263</v>
      </c>
      <c r="D841" s="304">
        <v>3.49</v>
      </c>
      <c r="E841" s="305"/>
      <c r="F841" s="305"/>
      <c r="G841" s="305" t="s">
        <v>889</v>
      </c>
      <c r="H841" s="306">
        <v>1019</v>
      </c>
      <c r="I841" s="307">
        <v>103003</v>
      </c>
      <c r="J841" s="308">
        <v>3.49</v>
      </c>
      <c r="K841" s="309">
        <v>315</v>
      </c>
      <c r="L841" s="310">
        <f>IF(tabItens[[#This Row],[Média]] &gt; 0, tabItens[[#This Row],[QTDE ATUAL]] / tabItens[[#This Row],[Média]],999.9)</f>
        <v>54.10619469026549</v>
      </c>
      <c r="M841" s="311">
        <v>0</v>
      </c>
      <c r="N841" s="312">
        <f>tabItens[[#This Row],[VALOR UNIT.]] * tabItens[[#This Row],[LC]]</f>
        <v>0</v>
      </c>
      <c r="O841" s="313"/>
      <c r="P841" s="314"/>
      <c r="Q841" s="315"/>
      <c r="R841" s="312"/>
      <c r="S841" s="316"/>
      <c r="T841" s="317">
        <f>ROUNDDOWN(IFERROR(tabItens[[#This Row],[ATA DT.VALID.]] - $D$1,0) / 30,0)</f>
        <v>-1474</v>
      </c>
      <c r="U841" s="302" t="s">
        <v>1451</v>
      </c>
      <c r="V841" s="318">
        <v>1</v>
      </c>
      <c r="W841" s="319" t="s">
        <v>2079</v>
      </c>
      <c r="X841" s="320">
        <v>67</v>
      </c>
      <c r="Y841" s="321">
        <v>18</v>
      </c>
      <c r="Z841" s="322"/>
      <c r="AA841" s="323"/>
      <c r="AB841" s="324"/>
      <c r="AC841" s="324"/>
      <c r="AD841" s="323"/>
      <c r="AE841" s="324"/>
      <c r="AF841" s="317"/>
      <c r="AG841" s="325" t="s">
        <v>2072</v>
      </c>
      <c r="AH841" s="326"/>
      <c r="AI841" s="317">
        <v>106</v>
      </c>
      <c r="AJ841" s="326">
        <v>44071</v>
      </c>
      <c r="AK841" s="326">
        <v>38097</v>
      </c>
      <c r="AL841" s="326">
        <v>44040</v>
      </c>
      <c r="AM841" s="316"/>
      <c r="AN841" s="305"/>
      <c r="AO841" s="327" t="str">
        <f>_xlfn.IFNA(IF(VLOOKUP(tabItens[[#This Row],[CÓDIGO]],tabExcluirDoEstoque[#Data],1,FALSE),"sim",""),"")</f>
        <v/>
      </c>
      <c r="AP841" s="328" t="str">
        <f ca="1">IF(OR(ISBLANK(tabItens[[#This Row],[ATA DT.VALID.]]),tabItens[[#This Row],[ATA DT.VALID.]]="",tabItens[[#This Row],[ATA DT.VALID.]]=" "),"",IF(TYPE(tabItens[[#This Row],[ATA DT.VALID.]])=1,ROUNDUP((tabItens[[#This Row],[ATA DT.VALID.]]-TODAY())/7,0),""))</f>
        <v/>
      </c>
      <c r="AQ841" s="329"/>
      <c r="AR841" s="330" t="str">
        <f>IF(ISBLANK(tabItens[[#This Row],[CÓDIGO]]),"",IFERROR(VLOOKUP(tabItens[[#This Row],[CÓDIGO]],Consumo!$C$2:$AC$862,26,FALSE),0))</f>
        <v>05.2023</v>
      </c>
      <c r="AS841" s="331">
        <f>SUMIF(Consumo!$C$3:$C$862,tabItens[[#This Row],[CÓDIGO]],Consumo!$N$3:$N$862) + SUMIF(Consumo!$C$3:$C$862,tabItens[[#This Row],[CÓDIGO]],Consumo!$O$3:$O$862) + SUMIF(Consumo!$C$3:$C$862,tabItens[[#This Row],[CÓDIGO]],Consumo!$P$3:$P$862) + SUMIF(Consumo!$C$3:$C$862,tabItens[[#This Row],[CÓDIGO]],Consumo!$Q$3:$Q$862)</f>
        <v>0</v>
      </c>
      <c r="AT841" s="331">
        <f>SUMIF(Consumo!$C$3:$C$862,tabItens[[#This Row],[CÓDIGO]],Consumo!$Z$3:$Z$862)</f>
        <v>315</v>
      </c>
      <c r="AU841" s="332">
        <f>SUMIF(Consumo!$C$3:$C$862,tabItens[[#This Row],[CÓDIGO]],Consumo!$AA$3:$AA$862)</f>
        <v>270</v>
      </c>
      <c r="AV841" s="333">
        <f>SUMIF(Consumo!$C$3:$C$862,tabItens[[#This Row],[CÓDIGO]],Consumo!$Y$3:$Y$862)</f>
        <v>18.833333333333332</v>
      </c>
      <c r="AW841" s="306">
        <f>tabItens[[#This Row],[QTDE ATUAL]] + tabItens[[#This Row],[RC QTDE]] + tabItens[[#This Row],[AF SALDO]] + tabItens[[#This Row],[Recentes]]</f>
        <v>1019</v>
      </c>
      <c r="AX841" s="334">
        <v>43</v>
      </c>
      <c r="AY841" s="334">
        <v>4</v>
      </c>
      <c r="AZ841" s="334">
        <f>IF(ISBLANK(tabItens[[#This Row],[CÓDIGO]]),"",tabItens[[#This Row],[PontoMês]] * (AZ$2+tabItens[[#This Row],[PontoQtM]]))</f>
        <v>172</v>
      </c>
      <c r="BA841" s="333">
        <f>tabItens[[#This Row],[PontoPed]] - tabItens[[#This Row],[Saldo]] + (1/10)</f>
        <v>-846.9</v>
      </c>
      <c r="BB841" s="333">
        <f xml:space="preserve"> tabItens[[#This Row],[PontoMês]] * BB$2 - tabItens[[#This Row],[QTDE ATUAL]] - (1/10)</f>
        <v>-976.1</v>
      </c>
      <c r="BC841" s="335">
        <f>IF( tabItens[[#This Row],[PontoPed]]&gt;0, IF(tabItens[[#This Row],[PontoPed]]&lt;1, 1, IF( tabItens[[#This Row],[Saldo]]&gt;tabItens[[#This Row],[PontoPed]], 0, (tabItens[[#This Row],[PontoPed]]-tabItens[[#This Row],[Saldo]])/tabItens[[#This Row],[PontoPed]] ) ), 0 )</f>
        <v>0</v>
      </c>
      <c r="BD841" s="336">
        <f>ROUNDDOWN(IF( OR( AND(tabItens[[#This Row],[PontoPed]]&lt;tabItens[[#This Row],[Saldo]],tabItens[[#This Row],[Saldo]]&gt;0), tabItens[[#This Row],[PontoPed]]=0), 99, IF(AND(tabItens[[#This Row],[Saldo]]=0,tabItens[[#This Row],[PontoPed]]&gt;0), 0, (1-tabItens[[#This Row],[PctAb]])*10 ) ),0)</f>
        <v>99</v>
      </c>
      <c r="BE841" s="337">
        <f>MAX(ROUNDDOWN( IF(tabItens[[#This Row],[Abaixo]] &gt; 0,   tabItens[[#This Row],[Abaixo]] + (tabItens[[#This Row],[PontoMês]] * IF( OR( ISBLANK(tabItens[[#This Row],[ATA Nº/ANO]]), tabItens[[#This Row],[ATA Nº/ANO]] = ""),BE$2,BE$1)),0),0),0)</f>
        <v>0</v>
      </c>
      <c r="BF84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1" s="338">
        <f>SUMIF(Consumo!$C$3:$C$862,tabItens[[#This Row],[CÓDIGO]],Consumo!$E$3:$E$862)</f>
        <v>0</v>
      </c>
      <c r="BH841" s="339">
        <f>IF(AND(tabItens[[#This Row],[Pend]] &gt; 0,tabItens[[#This Row],[Consumo]] &lt;&gt; 0), tabItens[[#This Row],[Pend]] / tabItens[[#This Row],[Consumo]], 0 )</f>
        <v>0</v>
      </c>
      <c r="BI841" s="338"/>
      <c r="BJ841" s="338"/>
      <c r="BK841" s="340" t="s">
        <v>2086</v>
      </c>
    </row>
    <row r="842" spans="1:63" hidden="1" x14ac:dyDescent="0.3">
      <c r="A842" s="301">
        <v>114923</v>
      </c>
      <c r="B842" s="302" t="s">
        <v>1711</v>
      </c>
      <c r="C842" s="303" t="s">
        <v>263</v>
      </c>
      <c r="D842" s="304">
        <v>0.24</v>
      </c>
      <c r="E842" s="305"/>
      <c r="F842" s="305"/>
      <c r="G842" s="305" t="s">
        <v>889</v>
      </c>
      <c r="H842" s="306">
        <v>5742</v>
      </c>
      <c r="I842" s="307">
        <v>103003</v>
      </c>
      <c r="J842" s="308">
        <v>0.24</v>
      </c>
      <c r="K842" s="309">
        <v>1318</v>
      </c>
      <c r="L842" s="310">
        <f>IF(tabItens[[#This Row],[Média]] &gt; 0, tabItens[[#This Row],[QTDE ATUAL]] / tabItens[[#This Row],[Média]],999.9)</f>
        <v>53.705378020265002</v>
      </c>
      <c r="M842" s="311">
        <v>0</v>
      </c>
      <c r="N842" s="312">
        <f>tabItens[[#This Row],[VALOR UNIT.]] * tabItens[[#This Row],[LC]]</f>
        <v>0</v>
      </c>
      <c r="O842" s="313"/>
      <c r="P842" s="314"/>
      <c r="Q842" s="315"/>
      <c r="R842" s="312"/>
      <c r="S842" s="316"/>
      <c r="T842" s="317">
        <f>ROUNDDOWN(IFERROR(tabItens[[#This Row],[ATA DT.VALID.]] - $D$1,0) / 30,0)</f>
        <v>-1474</v>
      </c>
      <c r="U842" s="302" t="s">
        <v>1451</v>
      </c>
      <c r="V842" s="318">
        <v>1</v>
      </c>
      <c r="W842" s="319" t="s">
        <v>2079</v>
      </c>
      <c r="X842" s="320">
        <v>67</v>
      </c>
      <c r="Y842" s="321">
        <v>18</v>
      </c>
      <c r="Z842" s="322"/>
      <c r="AA842" s="323"/>
      <c r="AB842" s="324"/>
      <c r="AC842" s="324"/>
      <c r="AD842" s="323"/>
      <c r="AE842" s="324"/>
      <c r="AF842" s="317"/>
      <c r="AG842" s="325" t="s">
        <v>2072</v>
      </c>
      <c r="AH842" s="326"/>
      <c r="AI842" s="317">
        <v>478</v>
      </c>
      <c r="AJ842" s="326">
        <v>44071</v>
      </c>
      <c r="AK842" s="326">
        <v>40288</v>
      </c>
      <c r="AL842" s="326">
        <v>44040</v>
      </c>
      <c r="AM842" s="316"/>
      <c r="AN842" s="305"/>
      <c r="AO842" s="327" t="str">
        <f>_xlfn.IFNA(IF(VLOOKUP(tabItens[[#This Row],[CÓDIGO]],tabExcluirDoEstoque[#Data],1,FALSE),"sim",""),"")</f>
        <v/>
      </c>
      <c r="AP842" s="328" t="str">
        <f ca="1">IF(OR(ISBLANK(tabItens[[#This Row],[ATA DT.VALID.]]),tabItens[[#This Row],[ATA DT.VALID.]]="",tabItens[[#This Row],[ATA DT.VALID.]]=" "),"",IF(TYPE(tabItens[[#This Row],[ATA DT.VALID.]])=1,ROUNDUP((tabItens[[#This Row],[ATA DT.VALID.]]-TODAY())/7,0),""))</f>
        <v/>
      </c>
      <c r="AQ842" s="329"/>
      <c r="AR842" s="330" t="str">
        <f>IF(ISBLANK(tabItens[[#This Row],[CÓDIGO]]),"",IFERROR(VLOOKUP(tabItens[[#This Row],[CÓDIGO]],Consumo!$C$2:$AC$862,26,FALSE),0))</f>
        <v>08.2023</v>
      </c>
      <c r="AS842" s="331">
        <f>SUMIF(Consumo!$C$3:$C$862,tabItens[[#This Row],[CÓDIGO]],Consumo!$N$3:$N$862) + SUMIF(Consumo!$C$3:$C$862,tabItens[[#This Row],[CÓDIGO]],Consumo!$O$3:$O$862) + SUMIF(Consumo!$C$3:$C$862,tabItens[[#This Row],[CÓDIGO]],Consumo!$P$3:$P$862) + SUMIF(Consumo!$C$3:$C$862,tabItens[[#This Row],[CÓDIGO]],Consumo!$Q$3:$Q$862)</f>
        <v>800</v>
      </c>
      <c r="AT842" s="331">
        <f>SUMIF(Consumo!$C$3:$C$862,tabItens[[#This Row],[CÓDIGO]],Consumo!$Z$3:$Z$862)</f>
        <v>1428</v>
      </c>
      <c r="AU842" s="332">
        <f>SUMIF(Consumo!$C$3:$C$862,tabItens[[#This Row],[CÓDIGO]],Consumo!$AA$3:$AA$862)</f>
        <v>600</v>
      </c>
      <c r="AV842" s="333">
        <f>SUMIF(Consumo!$C$3:$C$862,tabItens[[#This Row],[CÓDIGO]],Consumo!$Y$3:$Y$862)</f>
        <v>106.91666666666667</v>
      </c>
      <c r="AW842" s="306">
        <f>tabItens[[#This Row],[QTDE ATUAL]] + tabItens[[#This Row],[RC QTDE]] + tabItens[[#This Row],[AF SALDO]] + tabItens[[#This Row],[Recentes]]</f>
        <v>5742</v>
      </c>
      <c r="AX842" s="334">
        <v>172</v>
      </c>
      <c r="AY842" s="334">
        <v>4</v>
      </c>
      <c r="AZ842" s="334">
        <f>IF(ISBLANK(tabItens[[#This Row],[CÓDIGO]]),"",tabItens[[#This Row],[PontoMês]] * (AZ$2+tabItens[[#This Row],[PontoQtM]]))</f>
        <v>688</v>
      </c>
      <c r="BA842" s="333">
        <f>tabItens[[#This Row],[PontoPed]] - tabItens[[#This Row],[Saldo]] + (1/10)</f>
        <v>-5053.8999999999996</v>
      </c>
      <c r="BB842" s="333">
        <f xml:space="preserve"> tabItens[[#This Row],[PontoMês]] * BB$2 - tabItens[[#This Row],[QTDE ATUAL]] - (1/10)</f>
        <v>-5570.1</v>
      </c>
      <c r="BC842" s="335">
        <f>IF( tabItens[[#This Row],[PontoPed]]&gt;0, IF(tabItens[[#This Row],[PontoPed]]&lt;1, 1, IF( tabItens[[#This Row],[Saldo]]&gt;tabItens[[#This Row],[PontoPed]], 0, (tabItens[[#This Row],[PontoPed]]-tabItens[[#This Row],[Saldo]])/tabItens[[#This Row],[PontoPed]] ) ), 0 )</f>
        <v>0</v>
      </c>
      <c r="BD842" s="336">
        <f>ROUNDDOWN(IF( OR( AND(tabItens[[#This Row],[PontoPed]]&lt;tabItens[[#This Row],[Saldo]],tabItens[[#This Row],[Saldo]]&gt;0), tabItens[[#This Row],[PontoPed]]=0), 99, IF(AND(tabItens[[#This Row],[Saldo]]=0,tabItens[[#This Row],[PontoPed]]&gt;0), 0, (1-tabItens[[#This Row],[PctAb]])*10 ) ),0)</f>
        <v>99</v>
      </c>
      <c r="BE842" s="337">
        <f>MAX(ROUNDDOWN( IF(tabItens[[#This Row],[Abaixo]] &gt; 0,   tabItens[[#This Row],[Abaixo]] + (tabItens[[#This Row],[PontoMês]] * IF( OR( ISBLANK(tabItens[[#This Row],[ATA Nº/ANO]]), tabItens[[#This Row],[ATA Nº/ANO]] = ""),BE$2,BE$1)),0),0),0)</f>
        <v>0</v>
      </c>
      <c r="BF84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2" s="338">
        <f>SUMIF(Consumo!$C$3:$C$862,tabItens[[#This Row],[CÓDIGO]],Consumo!$E$3:$E$862)</f>
        <v>0</v>
      </c>
      <c r="BH842" s="339">
        <f>IF(AND(tabItens[[#This Row],[Pend]] &gt; 0,tabItens[[#This Row],[Consumo]] &lt;&gt; 0), tabItens[[#This Row],[Pend]] / tabItens[[#This Row],[Consumo]], 0 )</f>
        <v>0</v>
      </c>
      <c r="BI842" s="338"/>
      <c r="BJ842" s="338"/>
      <c r="BK842" s="340" t="s">
        <v>2086</v>
      </c>
    </row>
    <row r="843" spans="1:63" hidden="1" x14ac:dyDescent="0.3">
      <c r="A843" s="301">
        <v>126059</v>
      </c>
      <c r="B843" s="302" t="s">
        <v>1773</v>
      </c>
      <c r="C843" s="303" t="s">
        <v>269</v>
      </c>
      <c r="D843" s="304">
        <v>13</v>
      </c>
      <c r="E843" s="305"/>
      <c r="F843" s="305"/>
      <c r="G843" s="305" t="s">
        <v>889</v>
      </c>
      <c r="H843" s="306">
        <v>0</v>
      </c>
      <c r="I843" s="307">
        <v>103003</v>
      </c>
      <c r="J843" s="308">
        <v>13</v>
      </c>
      <c r="K843" s="309">
        <v>38</v>
      </c>
      <c r="L843" s="310">
        <f>IF(tabItens[[#This Row],[Média]] &gt; 0, tabItens[[#This Row],[QTDE ATUAL]] / tabItens[[#This Row],[Média]],999.9)</f>
        <v>0</v>
      </c>
      <c r="M843" s="311">
        <v>0</v>
      </c>
      <c r="N843" s="312">
        <f>tabItens[[#This Row],[VALOR UNIT.]] * tabItens[[#This Row],[LC]]</f>
        <v>0</v>
      </c>
      <c r="O843" s="313"/>
      <c r="P843" s="314"/>
      <c r="Q843" s="315"/>
      <c r="R843" s="312"/>
      <c r="S843" s="316"/>
      <c r="T843" s="317">
        <f>ROUNDDOWN(IFERROR(tabItens[[#This Row],[ATA DT.VALID.]] - $D$1,0) / 30,0)</f>
        <v>-1474</v>
      </c>
      <c r="U843" s="302" t="s">
        <v>1451</v>
      </c>
      <c r="V843" s="318">
        <v>1</v>
      </c>
      <c r="W843" s="319" t="s">
        <v>2079</v>
      </c>
      <c r="X843" s="320">
        <v>67</v>
      </c>
      <c r="Y843" s="321">
        <v>18</v>
      </c>
      <c r="Z843" s="322"/>
      <c r="AA843" s="323"/>
      <c r="AB843" s="324"/>
      <c r="AC843" s="324">
        <v>11883</v>
      </c>
      <c r="AD843" s="323">
        <v>2023</v>
      </c>
      <c r="AE843" s="324">
        <v>100</v>
      </c>
      <c r="AF843" s="317">
        <v>100</v>
      </c>
      <c r="AG843" s="325" t="s">
        <v>2066</v>
      </c>
      <c r="AH843" s="326">
        <v>45209</v>
      </c>
      <c r="AI843" s="317">
        <v>14</v>
      </c>
      <c r="AJ843" s="326">
        <v>43882</v>
      </c>
      <c r="AK843" s="326">
        <v>41509</v>
      </c>
      <c r="AL843" s="326">
        <v>45189</v>
      </c>
      <c r="AM843" s="316"/>
      <c r="AN843" s="305"/>
      <c r="AO843" s="327" t="str">
        <f>_xlfn.IFNA(IF(VLOOKUP(tabItens[[#This Row],[CÓDIGO]],tabExcluirDoEstoque[#Data],1,FALSE),"sim",""),"")</f>
        <v/>
      </c>
      <c r="AP843" s="328" t="str">
        <f ca="1">IF(OR(ISBLANK(tabItens[[#This Row],[ATA DT.VALID.]]),tabItens[[#This Row],[ATA DT.VALID.]]="",tabItens[[#This Row],[ATA DT.VALID.]]=" "),"",IF(TYPE(tabItens[[#This Row],[ATA DT.VALID.]])=1,ROUNDUP((tabItens[[#This Row],[ATA DT.VALID.]]-TODAY())/7,0),""))</f>
        <v/>
      </c>
      <c r="AQ843" s="329"/>
      <c r="AR843" s="330" t="str">
        <f>IF(ISBLANK(tabItens[[#This Row],[CÓDIGO]]),"",IFERROR(VLOOKUP(tabItens[[#This Row],[CÓDIGO]],Consumo!$C$2:$AC$862,26,FALSE),0))</f>
        <v>04.2023</v>
      </c>
      <c r="AS843" s="331">
        <f>SUMIF(Consumo!$C$3:$C$862,tabItens[[#This Row],[CÓDIGO]],Consumo!$N$3:$N$862) + SUMIF(Consumo!$C$3:$C$862,tabItens[[#This Row],[CÓDIGO]],Consumo!$O$3:$O$862) + SUMIF(Consumo!$C$3:$C$862,tabItens[[#This Row],[CÓDIGO]],Consumo!$P$3:$P$862) + SUMIF(Consumo!$C$3:$C$862,tabItens[[#This Row],[CÓDIGO]],Consumo!$Q$3:$Q$862)</f>
        <v>0</v>
      </c>
      <c r="AT843" s="331">
        <f>SUMIF(Consumo!$C$3:$C$862,tabItens[[#This Row],[CÓDIGO]],Consumo!$Z$3:$Z$862)</f>
        <v>74</v>
      </c>
      <c r="AU843" s="332">
        <f>SUMIF(Consumo!$C$3:$C$862,tabItens[[#This Row],[CÓDIGO]],Consumo!$AA$3:$AA$862)</f>
        <v>10</v>
      </c>
      <c r="AV843" s="333">
        <f>SUMIF(Consumo!$C$3:$C$862,tabItens[[#This Row],[CÓDIGO]],Consumo!$Y$3:$Y$862)</f>
        <v>6.166666666666667</v>
      </c>
      <c r="AW843" s="306">
        <f>tabItens[[#This Row],[QTDE ATUAL]] + tabItens[[#This Row],[RC QTDE]] + tabItens[[#This Row],[AF SALDO]] + tabItens[[#This Row],[Recentes]]</f>
        <v>100</v>
      </c>
      <c r="AX843" s="334">
        <v>2</v>
      </c>
      <c r="AY843" s="334">
        <v>4</v>
      </c>
      <c r="AZ843" s="334">
        <f>IF(ISBLANK(tabItens[[#This Row],[CÓDIGO]]),"",tabItens[[#This Row],[PontoMês]] * (AZ$2+tabItens[[#This Row],[PontoQtM]]))</f>
        <v>8</v>
      </c>
      <c r="BA843" s="333">
        <f>tabItens[[#This Row],[PontoPed]] - tabItens[[#This Row],[Saldo]] + (1/10)</f>
        <v>-91.9</v>
      </c>
      <c r="BB843" s="333">
        <f xml:space="preserve"> tabItens[[#This Row],[PontoMês]] * BB$2 - tabItens[[#This Row],[QTDE ATUAL]] - (1/10)</f>
        <v>1.9</v>
      </c>
      <c r="BC843" s="335">
        <f>IF( tabItens[[#This Row],[PontoPed]]&gt;0, IF(tabItens[[#This Row],[PontoPed]]&lt;1, 1, IF( tabItens[[#This Row],[Saldo]]&gt;tabItens[[#This Row],[PontoPed]], 0, (tabItens[[#This Row],[PontoPed]]-tabItens[[#This Row],[Saldo]])/tabItens[[#This Row],[PontoPed]] ) ), 0 )</f>
        <v>0</v>
      </c>
      <c r="BD843" s="336">
        <f>ROUNDDOWN(IF( OR( AND(tabItens[[#This Row],[PontoPed]]&lt;tabItens[[#This Row],[Saldo]],tabItens[[#This Row],[Saldo]]&gt;0), tabItens[[#This Row],[PontoPed]]=0), 99, IF(AND(tabItens[[#This Row],[Saldo]]=0,tabItens[[#This Row],[PontoPed]]&gt;0), 0, (1-tabItens[[#This Row],[PctAb]])*10 ) ),0)</f>
        <v>99</v>
      </c>
      <c r="BE843" s="337">
        <f>MAX(ROUNDDOWN( IF(tabItens[[#This Row],[Abaixo]] &gt; 0,   tabItens[[#This Row],[Abaixo]] + (tabItens[[#This Row],[PontoMês]] * IF( OR( ISBLANK(tabItens[[#This Row],[ATA Nº/ANO]]), tabItens[[#This Row],[ATA Nº/ANO]] = ""),BE$2,BE$1)),0),0),0)</f>
        <v>0</v>
      </c>
      <c r="BF84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3" s="338">
        <f>SUMIF(Consumo!$C$3:$C$862,tabItens[[#This Row],[CÓDIGO]],Consumo!$E$3:$E$862)</f>
        <v>33</v>
      </c>
      <c r="BH843" s="339">
        <f>IF(AND(tabItens[[#This Row],[Pend]] &gt; 0,tabItens[[#This Row],[Consumo]] &lt;&gt; 0), tabItens[[#This Row],[Pend]] / tabItens[[#This Row],[Consumo]], 0 )</f>
        <v>0.44594594594594594</v>
      </c>
      <c r="BI843" s="338"/>
      <c r="BJ843" s="338"/>
      <c r="BK843" s="340" t="s">
        <v>2086</v>
      </c>
    </row>
    <row r="844" spans="1:63" hidden="1" x14ac:dyDescent="0.3">
      <c r="A844" s="301">
        <v>126060</v>
      </c>
      <c r="B844" s="302" t="s">
        <v>1774</v>
      </c>
      <c r="C844" s="303" t="s">
        <v>269</v>
      </c>
      <c r="D844" s="304">
        <v>15.06</v>
      </c>
      <c r="E844" s="305"/>
      <c r="F844" s="305"/>
      <c r="G844" s="305" t="s">
        <v>889</v>
      </c>
      <c r="H844" s="306">
        <v>107</v>
      </c>
      <c r="I844" s="307">
        <v>103003</v>
      </c>
      <c r="J844" s="308">
        <v>15.06</v>
      </c>
      <c r="K844" s="309">
        <v>146</v>
      </c>
      <c r="L844" s="310">
        <f>IF(tabItens[[#This Row],[Média]] &gt; 0, tabItens[[#This Row],[QTDE ATUAL]] / tabItens[[#This Row],[Média]],999.9)</f>
        <v>9.0422535211267601</v>
      </c>
      <c r="M844" s="311">
        <v>0</v>
      </c>
      <c r="N844" s="312">
        <f>tabItens[[#This Row],[VALOR UNIT.]] * tabItens[[#This Row],[LC]]</f>
        <v>0</v>
      </c>
      <c r="O844" s="313"/>
      <c r="P844" s="314"/>
      <c r="Q844" s="315"/>
      <c r="R844" s="312"/>
      <c r="S844" s="316"/>
      <c r="T844" s="317">
        <f>ROUNDDOWN(IFERROR(tabItens[[#This Row],[ATA DT.VALID.]] - $D$1,0) / 30,0)</f>
        <v>-1474</v>
      </c>
      <c r="U844" s="302" t="s">
        <v>1451</v>
      </c>
      <c r="V844" s="318">
        <v>1</v>
      </c>
      <c r="W844" s="319" t="s">
        <v>2079</v>
      </c>
      <c r="X844" s="320">
        <v>67</v>
      </c>
      <c r="Y844" s="321">
        <v>18</v>
      </c>
      <c r="Z844" s="322"/>
      <c r="AA844" s="323"/>
      <c r="AB844" s="324"/>
      <c r="AC844" s="324">
        <v>11884</v>
      </c>
      <c r="AD844" s="323">
        <v>2023</v>
      </c>
      <c r="AE844" s="324">
        <v>150</v>
      </c>
      <c r="AF844" s="317">
        <v>150</v>
      </c>
      <c r="AG844" s="325" t="s">
        <v>2066</v>
      </c>
      <c r="AH844" s="326">
        <v>45209</v>
      </c>
      <c r="AI844" s="317">
        <v>50</v>
      </c>
      <c r="AJ844" s="326">
        <v>45019</v>
      </c>
      <c r="AK844" s="326">
        <v>41509</v>
      </c>
      <c r="AL844" s="326">
        <v>45189</v>
      </c>
      <c r="AM844" s="316"/>
      <c r="AN844" s="305"/>
      <c r="AO844" s="327" t="str">
        <f>_xlfn.IFNA(IF(VLOOKUP(tabItens[[#This Row],[CÓDIGO]],tabExcluirDoEstoque[#Data],1,FALSE),"sim",""),"")</f>
        <v/>
      </c>
      <c r="AP844" s="328" t="str">
        <f ca="1">IF(OR(ISBLANK(tabItens[[#This Row],[ATA DT.VALID.]]),tabItens[[#This Row],[ATA DT.VALID.]]="",tabItens[[#This Row],[ATA DT.VALID.]]=" "),"",IF(TYPE(tabItens[[#This Row],[ATA DT.VALID.]])=1,ROUNDUP((tabItens[[#This Row],[ATA DT.VALID.]]-TODAY())/7,0),""))</f>
        <v/>
      </c>
      <c r="AQ844" s="329"/>
      <c r="AR844" s="330" t="str">
        <f>IF(ISBLANK(tabItens[[#This Row],[CÓDIGO]]),"",IFERROR(VLOOKUP(tabItens[[#This Row],[CÓDIGO]],Consumo!$C$2:$AC$862,26,FALSE),0))</f>
        <v>04.2023</v>
      </c>
      <c r="AS844" s="331">
        <f>SUMIF(Consumo!$C$3:$C$862,tabItens[[#This Row],[CÓDIGO]],Consumo!$N$3:$N$862) + SUMIF(Consumo!$C$3:$C$862,tabItens[[#This Row],[CÓDIGO]],Consumo!$O$3:$O$862) + SUMIF(Consumo!$C$3:$C$862,tabItens[[#This Row],[CÓDIGO]],Consumo!$P$3:$P$862) + SUMIF(Consumo!$C$3:$C$862,tabItens[[#This Row],[CÓDIGO]],Consumo!$Q$3:$Q$862)</f>
        <v>0</v>
      </c>
      <c r="AT844" s="331">
        <f>SUMIF(Consumo!$C$3:$C$862,tabItens[[#This Row],[CÓDIGO]],Consumo!$Z$3:$Z$862)</f>
        <v>148</v>
      </c>
      <c r="AU844" s="332">
        <f>SUMIF(Consumo!$C$3:$C$862,tabItens[[#This Row],[CÓDIGO]],Consumo!$AA$3:$AA$862)</f>
        <v>54</v>
      </c>
      <c r="AV844" s="333">
        <f>SUMIF(Consumo!$C$3:$C$862,tabItens[[#This Row],[CÓDIGO]],Consumo!$Y$3:$Y$862)</f>
        <v>11.833333333333334</v>
      </c>
      <c r="AW844" s="306">
        <f>tabItens[[#This Row],[QTDE ATUAL]] + tabItens[[#This Row],[RC QTDE]] + tabItens[[#This Row],[AF SALDO]] + tabItens[[#This Row],[Recentes]]</f>
        <v>257</v>
      </c>
      <c r="AX844" s="334">
        <v>9</v>
      </c>
      <c r="AY844" s="334">
        <v>4</v>
      </c>
      <c r="AZ844" s="334">
        <f>IF(ISBLANK(tabItens[[#This Row],[CÓDIGO]]),"",tabItens[[#This Row],[PontoMês]] * (AZ$2+tabItens[[#This Row],[PontoQtM]]))</f>
        <v>36</v>
      </c>
      <c r="BA844" s="333">
        <f>tabItens[[#This Row],[PontoPed]] - tabItens[[#This Row],[Saldo]] + (1/10)</f>
        <v>-220.9</v>
      </c>
      <c r="BB844" s="333">
        <f xml:space="preserve"> tabItens[[#This Row],[PontoMês]] * BB$2 - tabItens[[#This Row],[QTDE ATUAL]] - (1/10)</f>
        <v>-98.1</v>
      </c>
      <c r="BC844" s="335">
        <f>IF( tabItens[[#This Row],[PontoPed]]&gt;0, IF(tabItens[[#This Row],[PontoPed]]&lt;1, 1, IF( tabItens[[#This Row],[Saldo]]&gt;tabItens[[#This Row],[PontoPed]], 0, (tabItens[[#This Row],[PontoPed]]-tabItens[[#This Row],[Saldo]])/tabItens[[#This Row],[PontoPed]] ) ), 0 )</f>
        <v>0</v>
      </c>
      <c r="BD844" s="336">
        <f>ROUNDDOWN(IF( OR( AND(tabItens[[#This Row],[PontoPed]]&lt;tabItens[[#This Row],[Saldo]],tabItens[[#This Row],[Saldo]]&gt;0), tabItens[[#This Row],[PontoPed]]=0), 99, IF(AND(tabItens[[#This Row],[Saldo]]=0,tabItens[[#This Row],[PontoPed]]&gt;0), 0, (1-tabItens[[#This Row],[PctAb]])*10 ) ),0)</f>
        <v>99</v>
      </c>
      <c r="BE844" s="337">
        <f>MAX(ROUNDDOWN( IF(tabItens[[#This Row],[Abaixo]] &gt; 0,   tabItens[[#This Row],[Abaixo]] + (tabItens[[#This Row],[PontoMês]] * IF( OR( ISBLANK(tabItens[[#This Row],[ATA Nº/ANO]]), tabItens[[#This Row],[ATA Nº/ANO]] = ""),BE$2,BE$1)),0),0),0)</f>
        <v>0</v>
      </c>
      <c r="BF84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4" s="338">
        <f>SUMIF(Consumo!$C$3:$C$862,tabItens[[#This Row],[CÓDIGO]],Consumo!$E$3:$E$862)</f>
        <v>0</v>
      </c>
      <c r="BH844" s="339">
        <f>IF(AND(tabItens[[#This Row],[Pend]] &gt; 0,tabItens[[#This Row],[Consumo]] &lt;&gt; 0), tabItens[[#This Row],[Pend]] / tabItens[[#This Row],[Consumo]], 0 )</f>
        <v>0</v>
      </c>
      <c r="BI844" s="338"/>
      <c r="BJ844" s="338"/>
      <c r="BK844" s="340" t="s">
        <v>2086</v>
      </c>
    </row>
    <row r="845" spans="1:63" hidden="1" x14ac:dyDescent="0.3">
      <c r="A845" s="301">
        <v>134566</v>
      </c>
      <c r="B845" s="302" t="s">
        <v>1899</v>
      </c>
      <c r="C845" s="303" t="s">
        <v>263</v>
      </c>
      <c r="D845" s="304">
        <v>0.23</v>
      </c>
      <c r="E845" s="305"/>
      <c r="F845" s="305"/>
      <c r="G845" s="305" t="s">
        <v>889</v>
      </c>
      <c r="H845" s="306">
        <v>19783</v>
      </c>
      <c r="I845" s="307">
        <v>103003</v>
      </c>
      <c r="J845" s="308">
        <v>0.23</v>
      </c>
      <c r="K845" s="309">
        <v>1562</v>
      </c>
      <c r="L845" s="310">
        <f>IF(tabItens[[#This Row],[Média]] &gt; 0, tabItens[[#This Row],[QTDE ATUAL]] / tabItens[[#This Row],[Média]],999.9)</f>
        <v>178.76204819277109</v>
      </c>
      <c r="M845" s="311">
        <v>0</v>
      </c>
      <c r="N845" s="312">
        <f>tabItens[[#This Row],[VALOR UNIT.]] * tabItens[[#This Row],[LC]]</f>
        <v>0</v>
      </c>
      <c r="O845" s="313"/>
      <c r="P845" s="314"/>
      <c r="Q845" s="315"/>
      <c r="R845" s="312"/>
      <c r="S845" s="316"/>
      <c r="T845" s="317">
        <f>ROUNDDOWN(IFERROR(tabItens[[#This Row],[ATA DT.VALID.]] - $D$1,0) / 30,0)</f>
        <v>-1474</v>
      </c>
      <c r="U845" s="302" t="s">
        <v>1451</v>
      </c>
      <c r="V845" s="318">
        <v>1</v>
      </c>
      <c r="W845" s="319" t="s">
        <v>2079</v>
      </c>
      <c r="X845" s="320">
        <v>67</v>
      </c>
      <c r="Y845" s="321">
        <v>18</v>
      </c>
      <c r="Z845" s="322"/>
      <c r="AA845" s="323"/>
      <c r="AB845" s="324"/>
      <c r="AC845" s="324"/>
      <c r="AD845" s="323"/>
      <c r="AE845" s="324"/>
      <c r="AF845" s="317"/>
      <c r="AG845" s="325" t="s">
        <v>2072</v>
      </c>
      <c r="AH845" s="326"/>
      <c r="AI845" s="317">
        <v>536</v>
      </c>
      <c r="AJ845" s="326">
        <v>43857</v>
      </c>
      <c r="AK845" s="326">
        <v>43174</v>
      </c>
      <c r="AL845" s="326">
        <v>43826</v>
      </c>
      <c r="AM845" s="316"/>
      <c r="AN845" s="305"/>
      <c r="AO845" s="327" t="str">
        <f>_xlfn.IFNA(IF(VLOOKUP(tabItens[[#This Row],[CÓDIGO]],tabExcluirDoEstoque[#Data],1,FALSE),"sim",""),"")</f>
        <v/>
      </c>
      <c r="AP845" s="328" t="str">
        <f ca="1">IF(OR(ISBLANK(tabItens[[#This Row],[ATA DT.VALID.]]),tabItens[[#This Row],[ATA DT.VALID.]]="",tabItens[[#This Row],[ATA DT.VALID.]]=" "),"",IF(TYPE(tabItens[[#This Row],[ATA DT.VALID.]])=1,ROUNDUP((tabItens[[#This Row],[ATA DT.VALID.]]-TODAY())/7,0),""))</f>
        <v/>
      </c>
      <c r="AQ845" s="329"/>
      <c r="AR845" s="330" t="str">
        <f>IF(ISBLANK(tabItens[[#This Row],[CÓDIGO]]),"",IFERROR(VLOOKUP(tabItens[[#This Row],[CÓDIGO]],Consumo!$C$2:$AC$862,26,FALSE),0))</f>
        <v>07.2023</v>
      </c>
      <c r="AS845" s="331">
        <f>SUMIF(Consumo!$C$3:$C$862,tabItens[[#This Row],[CÓDIGO]],Consumo!$N$3:$N$862) + SUMIF(Consumo!$C$3:$C$862,tabItens[[#This Row],[CÓDIGO]],Consumo!$O$3:$O$862) + SUMIF(Consumo!$C$3:$C$862,tabItens[[#This Row],[CÓDIGO]],Consumo!$P$3:$P$862) + SUMIF(Consumo!$C$3:$C$862,tabItens[[#This Row],[CÓDIGO]],Consumo!$Q$3:$Q$862)</f>
        <v>60</v>
      </c>
      <c r="AT845" s="331">
        <f>SUMIF(Consumo!$C$3:$C$862,tabItens[[#This Row],[CÓDIGO]],Consumo!$Z$3:$Z$862)</f>
        <v>1610</v>
      </c>
      <c r="AU845" s="332">
        <f>SUMIF(Consumo!$C$3:$C$862,tabItens[[#This Row],[CÓDIGO]],Consumo!$AA$3:$AA$862)</f>
        <v>950</v>
      </c>
      <c r="AV845" s="333">
        <f>SUMIF(Consumo!$C$3:$C$862,tabItens[[#This Row],[CÓDIGO]],Consumo!$Y$3:$Y$862)</f>
        <v>110.66666666666667</v>
      </c>
      <c r="AW845" s="306">
        <f>tabItens[[#This Row],[QTDE ATUAL]] + tabItens[[#This Row],[RC QTDE]] + tabItens[[#This Row],[AF SALDO]] + tabItens[[#This Row],[Recentes]]</f>
        <v>19783</v>
      </c>
      <c r="AX845" s="334">
        <v>91</v>
      </c>
      <c r="AY845" s="334">
        <v>4</v>
      </c>
      <c r="AZ845" s="334">
        <f>IF(ISBLANK(tabItens[[#This Row],[CÓDIGO]]),"",tabItens[[#This Row],[PontoMês]] * (AZ$2+tabItens[[#This Row],[PontoQtM]]))</f>
        <v>364</v>
      </c>
      <c r="BA845" s="333">
        <f>tabItens[[#This Row],[PontoPed]] - tabItens[[#This Row],[Saldo]] + (1/10)</f>
        <v>-19418.900000000001</v>
      </c>
      <c r="BB845" s="333">
        <f xml:space="preserve"> tabItens[[#This Row],[PontoMês]] * BB$2 - tabItens[[#This Row],[QTDE ATUAL]] - (1/10)</f>
        <v>-19692.099999999999</v>
      </c>
      <c r="BC845" s="335">
        <f>IF( tabItens[[#This Row],[PontoPed]]&gt;0, IF(tabItens[[#This Row],[PontoPed]]&lt;1, 1, IF( tabItens[[#This Row],[Saldo]]&gt;tabItens[[#This Row],[PontoPed]], 0, (tabItens[[#This Row],[PontoPed]]-tabItens[[#This Row],[Saldo]])/tabItens[[#This Row],[PontoPed]] ) ), 0 )</f>
        <v>0</v>
      </c>
      <c r="BD845" s="336">
        <f>ROUNDDOWN(IF( OR( AND(tabItens[[#This Row],[PontoPed]]&lt;tabItens[[#This Row],[Saldo]],tabItens[[#This Row],[Saldo]]&gt;0), tabItens[[#This Row],[PontoPed]]=0), 99, IF(AND(tabItens[[#This Row],[Saldo]]=0,tabItens[[#This Row],[PontoPed]]&gt;0), 0, (1-tabItens[[#This Row],[PctAb]])*10 ) ),0)</f>
        <v>99</v>
      </c>
      <c r="BE845" s="337">
        <f>MAX(ROUNDDOWN( IF(tabItens[[#This Row],[Abaixo]] &gt; 0,   tabItens[[#This Row],[Abaixo]] + (tabItens[[#This Row],[PontoMês]] * IF( OR( ISBLANK(tabItens[[#This Row],[ATA Nº/ANO]]), tabItens[[#This Row],[ATA Nº/ANO]] = ""),BE$2,BE$1)),0),0),0)</f>
        <v>0</v>
      </c>
      <c r="BF84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5" s="338">
        <f>SUMIF(Consumo!$C$3:$C$862,tabItens[[#This Row],[CÓDIGO]],Consumo!$E$3:$E$862)</f>
        <v>0</v>
      </c>
      <c r="BH845" s="339">
        <f>IF(AND(tabItens[[#This Row],[Pend]] &gt; 0,tabItens[[#This Row],[Consumo]] &lt;&gt; 0), tabItens[[#This Row],[Pend]] / tabItens[[#This Row],[Consumo]], 0 )</f>
        <v>0</v>
      </c>
      <c r="BI845" s="338"/>
      <c r="BJ845" s="338"/>
      <c r="BK845" s="340" t="s">
        <v>2086</v>
      </c>
    </row>
    <row r="846" spans="1:63" hidden="1" x14ac:dyDescent="0.3">
      <c r="A846" s="301">
        <v>102690</v>
      </c>
      <c r="B846" s="302" t="s">
        <v>1588</v>
      </c>
      <c r="C846" s="303" t="s">
        <v>263</v>
      </c>
      <c r="D846" s="304">
        <v>85.67</v>
      </c>
      <c r="E846" s="305"/>
      <c r="F846" s="305"/>
      <c r="G846" s="305" t="s">
        <v>889</v>
      </c>
      <c r="H846" s="306">
        <v>412</v>
      </c>
      <c r="I846" s="307">
        <v>103003</v>
      </c>
      <c r="J846" s="308">
        <v>85.67</v>
      </c>
      <c r="K846" s="309">
        <v>76</v>
      </c>
      <c r="L846" s="310">
        <f>IF(tabItens[[#This Row],[Média]] &gt; 0, tabItens[[#This Row],[QTDE ATUAL]] / tabItens[[#This Row],[Média]],999.9)</f>
        <v>61.037037037037038</v>
      </c>
      <c r="M846" s="311">
        <v>0</v>
      </c>
      <c r="N846" s="312">
        <f>tabItens[[#This Row],[VALOR UNIT.]] * tabItens[[#This Row],[LC]]</f>
        <v>0</v>
      </c>
      <c r="O846" s="313"/>
      <c r="P846" s="314"/>
      <c r="Q846" s="315"/>
      <c r="R846" s="312"/>
      <c r="S846" s="316"/>
      <c r="T846" s="317">
        <f>ROUNDDOWN(IFERROR(tabItens[[#This Row],[ATA DT.VALID.]] - $D$1,0) / 30,0)</f>
        <v>-1474</v>
      </c>
      <c r="U846" s="302" t="s">
        <v>1589</v>
      </c>
      <c r="V846" s="318">
        <v>1</v>
      </c>
      <c r="W846" s="319" t="s">
        <v>2077</v>
      </c>
      <c r="X846" s="320">
        <v>69</v>
      </c>
      <c r="Y846" s="321">
        <v>5</v>
      </c>
      <c r="Z846" s="322"/>
      <c r="AA846" s="323"/>
      <c r="AB846" s="324"/>
      <c r="AC846" s="324"/>
      <c r="AD846" s="323"/>
      <c r="AE846" s="324"/>
      <c r="AF846" s="317"/>
      <c r="AG846" s="325" t="s">
        <v>2072</v>
      </c>
      <c r="AH846" s="326"/>
      <c r="AI846" s="317">
        <v>26</v>
      </c>
      <c r="AJ846" s="326">
        <v>44965</v>
      </c>
      <c r="AK846" s="326">
        <v>39371</v>
      </c>
      <c r="AL846" s="326">
        <v>44916</v>
      </c>
      <c r="AM846" s="316"/>
      <c r="AN846" s="305"/>
      <c r="AO846" s="327" t="str">
        <f>_xlfn.IFNA(IF(VLOOKUP(tabItens[[#This Row],[CÓDIGO]],tabExcluirDoEstoque[#Data],1,FALSE),"sim",""),"")</f>
        <v/>
      </c>
      <c r="AP846" s="328" t="str">
        <f ca="1">IF(OR(ISBLANK(tabItens[[#This Row],[ATA DT.VALID.]]),tabItens[[#This Row],[ATA DT.VALID.]]="",tabItens[[#This Row],[ATA DT.VALID.]]=" "),"",IF(TYPE(tabItens[[#This Row],[ATA DT.VALID.]])=1,ROUNDUP((tabItens[[#This Row],[ATA DT.VALID.]]-TODAY())/7,0),""))</f>
        <v/>
      </c>
      <c r="AQ846" s="329"/>
      <c r="AR846" s="330" t="str">
        <f>IF(ISBLANK(tabItens[[#This Row],[CÓDIGO]]),"",IFERROR(VLOOKUP(tabItens[[#This Row],[CÓDIGO]],Consumo!$C$2:$AC$862,26,FALSE),0))</f>
        <v>04.2023</v>
      </c>
      <c r="AS846" s="331">
        <f>SUMIF(Consumo!$C$3:$C$862,tabItens[[#This Row],[CÓDIGO]],Consumo!$N$3:$N$862) + SUMIF(Consumo!$C$3:$C$862,tabItens[[#This Row],[CÓDIGO]],Consumo!$O$3:$O$862) + SUMIF(Consumo!$C$3:$C$862,tabItens[[#This Row],[CÓDIGO]],Consumo!$P$3:$P$862) + SUMIF(Consumo!$C$3:$C$862,tabItens[[#This Row],[CÓDIGO]],Consumo!$Q$3:$Q$862)</f>
        <v>0</v>
      </c>
      <c r="AT846" s="331">
        <f>SUMIF(Consumo!$C$3:$C$862,tabItens[[#This Row],[CÓDIGO]],Consumo!$Z$3:$Z$862)</f>
        <v>83</v>
      </c>
      <c r="AU846" s="332">
        <f>SUMIF(Consumo!$C$3:$C$862,tabItens[[#This Row],[CÓDIGO]],Consumo!$AA$3:$AA$862)</f>
        <v>26</v>
      </c>
      <c r="AV846" s="333">
        <f>SUMIF(Consumo!$C$3:$C$862,tabItens[[#This Row],[CÓDIGO]],Consumo!$Y$3:$Y$862)</f>
        <v>6.75</v>
      </c>
      <c r="AW846" s="306">
        <f>tabItens[[#This Row],[QTDE ATUAL]] + tabItens[[#This Row],[RC QTDE]] + tabItens[[#This Row],[AF SALDO]] + tabItens[[#This Row],[Recentes]]</f>
        <v>412</v>
      </c>
      <c r="AX846" s="334">
        <v>2</v>
      </c>
      <c r="AY846" s="334">
        <v>4</v>
      </c>
      <c r="AZ846" s="334">
        <f>IF(ISBLANK(tabItens[[#This Row],[CÓDIGO]]),"",tabItens[[#This Row],[PontoMês]] * (AZ$2+tabItens[[#This Row],[PontoQtM]]))</f>
        <v>8</v>
      </c>
      <c r="BA846" s="333">
        <f>tabItens[[#This Row],[PontoPed]] - tabItens[[#This Row],[Saldo]] + (1/10)</f>
        <v>-403.9</v>
      </c>
      <c r="BB846" s="333">
        <f xml:space="preserve"> tabItens[[#This Row],[PontoMês]] * BB$2 - tabItens[[#This Row],[QTDE ATUAL]] - (1/10)</f>
        <v>-410.1</v>
      </c>
      <c r="BC846" s="335">
        <f>IF( tabItens[[#This Row],[PontoPed]]&gt;0, IF(tabItens[[#This Row],[PontoPed]]&lt;1, 1, IF( tabItens[[#This Row],[Saldo]]&gt;tabItens[[#This Row],[PontoPed]], 0, (tabItens[[#This Row],[PontoPed]]-tabItens[[#This Row],[Saldo]])/tabItens[[#This Row],[PontoPed]] ) ), 0 )</f>
        <v>0</v>
      </c>
      <c r="BD846" s="336">
        <f>ROUNDDOWN(IF( OR( AND(tabItens[[#This Row],[PontoPed]]&lt;tabItens[[#This Row],[Saldo]],tabItens[[#This Row],[Saldo]]&gt;0), tabItens[[#This Row],[PontoPed]]=0), 99, IF(AND(tabItens[[#This Row],[Saldo]]=0,tabItens[[#This Row],[PontoPed]]&gt;0), 0, (1-tabItens[[#This Row],[PctAb]])*10 ) ),0)</f>
        <v>99</v>
      </c>
      <c r="BE846" s="337">
        <f>MAX(ROUNDDOWN( IF(tabItens[[#This Row],[Abaixo]] &gt; 0,   tabItens[[#This Row],[Abaixo]] + (tabItens[[#This Row],[PontoMês]] * IF( OR( ISBLANK(tabItens[[#This Row],[ATA Nº/ANO]]), tabItens[[#This Row],[ATA Nº/ANO]] = ""),BE$2,BE$1)),0),0),0)</f>
        <v>0</v>
      </c>
      <c r="BF84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6" s="338">
        <f>SUMIF(Consumo!$C$3:$C$862,tabItens[[#This Row],[CÓDIGO]],Consumo!$E$3:$E$862)</f>
        <v>7</v>
      </c>
      <c r="BH846" s="339">
        <f>IF(AND(tabItens[[#This Row],[Pend]] &gt; 0,tabItens[[#This Row],[Consumo]] &lt;&gt; 0), tabItens[[#This Row],[Pend]] / tabItens[[#This Row],[Consumo]], 0 )</f>
        <v>8.4337349397590355E-2</v>
      </c>
      <c r="BI846" s="338"/>
      <c r="BJ846" s="338"/>
      <c r="BK846" s="340" t="s">
        <v>2086</v>
      </c>
    </row>
    <row r="847" spans="1:63" hidden="1" x14ac:dyDescent="0.3">
      <c r="A847" s="301">
        <v>102694</v>
      </c>
      <c r="B847" s="302" t="s">
        <v>1590</v>
      </c>
      <c r="C847" s="303" t="s">
        <v>263</v>
      </c>
      <c r="D847" s="304">
        <v>4</v>
      </c>
      <c r="E847" s="305"/>
      <c r="F847" s="305"/>
      <c r="G847" s="305" t="s">
        <v>889</v>
      </c>
      <c r="H847" s="306">
        <v>215</v>
      </c>
      <c r="I847" s="307">
        <v>103003</v>
      </c>
      <c r="J847" s="308">
        <v>4</v>
      </c>
      <c r="K847" s="309">
        <v>62</v>
      </c>
      <c r="L847" s="310">
        <f>IF(tabItens[[#This Row],[Média]] &gt; 0, tabItens[[#This Row],[QTDE ATUAL]] / tabItens[[#This Row],[Média]],999.9)</f>
        <v>42.295081967213115</v>
      </c>
      <c r="M847" s="311">
        <v>0</v>
      </c>
      <c r="N847" s="312">
        <f>tabItens[[#This Row],[VALOR UNIT.]] * tabItens[[#This Row],[LC]]</f>
        <v>0</v>
      </c>
      <c r="O847" s="313"/>
      <c r="P847" s="314"/>
      <c r="Q847" s="315"/>
      <c r="R847" s="312"/>
      <c r="S847" s="316"/>
      <c r="T847" s="317">
        <f>ROUNDDOWN(IFERROR(tabItens[[#This Row],[ATA DT.VALID.]] - $D$1,0) / 30,0)</f>
        <v>-1474</v>
      </c>
      <c r="U847" s="302" t="s">
        <v>1589</v>
      </c>
      <c r="V847" s="318">
        <v>1</v>
      </c>
      <c r="W847" s="319" t="s">
        <v>2077</v>
      </c>
      <c r="X847" s="320">
        <v>69</v>
      </c>
      <c r="Y847" s="321">
        <v>5</v>
      </c>
      <c r="Z847" s="322" t="s">
        <v>2080</v>
      </c>
      <c r="AA847" s="323">
        <v>2023</v>
      </c>
      <c r="AB847" s="324">
        <v>110</v>
      </c>
      <c r="AC847" s="324"/>
      <c r="AD847" s="323"/>
      <c r="AE847" s="324"/>
      <c r="AF847" s="317"/>
      <c r="AG847" s="325" t="s">
        <v>2072</v>
      </c>
      <c r="AH847" s="326"/>
      <c r="AI847" s="317">
        <v>20</v>
      </c>
      <c r="AJ847" s="326">
        <v>44965</v>
      </c>
      <c r="AK847" s="326">
        <v>39371</v>
      </c>
      <c r="AL847" s="326">
        <v>44916</v>
      </c>
      <c r="AM847" s="316"/>
      <c r="AN847" s="305"/>
      <c r="AO847" s="327" t="str">
        <f>_xlfn.IFNA(IF(VLOOKUP(tabItens[[#This Row],[CÓDIGO]],tabExcluirDoEstoque[#Data],1,FALSE),"sim",""),"")</f>
        <v/>
      </c>
      <c r="AP847" s="328" t="str">
        <f ca="1">IF(OR(ISBLANK(tabItens[[#This Row],[ATA DT.VALID.]]),tabItens[[#This Row],[ATA DT.VALID.]]="",tabItens[[#This Row],[ATA DT.VALID.]]=" "),"",IF(TYPE(tabItens[[#This Row],[ATA DT.VALID.]])=1,ROUNDUP((tabItens[[#This Row],[ATA DT.VALID.]]-TODAY())/7,0),""))</f>
        <v/>
      </c>
      <c r="AQ847" s="329"/>
      <c r="AR847" s="330" t="str">
        <f>IF(ISBLANK(tabItens[[#This Row],[CÓDIGO]]),"",IFERROR(VLOOKUP(tabItens[[#This Row],[CÓDIGO]],Consumo!$C$2:$AC$862,26,FALSE),0))</f>
        <v>05.2023</v>
      </c>
      <c r="AS847" s="331">
        <f>SUMIF(Consumo!$C$3:$C$862,tabItens[[#This Row],[CÓDIGO]],Consumo!$N$3:$N$862) + SUMIF(Consumo!$C$3:$C$862,tabItens[[#This Row],[CÓDIGO]],Consumo!$O$3:$O$862) + SUMIF(Consumo!$C$3:$C$862,tabItens[[#This Row],[CÓDIGO]],Consumo!$P$3:$P$862) + SUMIF(Consumo!$C$3:$C$862,tabItens[[#This Row],[CÓDIGO]],Consumo!$Q$3:$Q$862)</f>
        <v>0</v>
      </c>
      <c r="AT847" s="331">
        <f>SUMIF(Consumo!$C$3:$C$862,tabItens[[#This Row],[CÓDIGO]],Consumo!$Z$3:$Z$862)</f>
        <v>65</v>
      </c>
      <c r="AU847" s="332">
        <f>SUMIF(Consumo!$C$3:$C$862,tabItens[[#This Row],[CÓDIGO]],Consumo!$AA$3:$AA$862)</f>
        <v>27</v>
      </c>
      <c r="AV847" s="333">
        <f>SUMIF(Consumo!$C$3:$C$862,tabItens[[#This Row],[CÓDIGO]],Consumo!$Y$3:$Y$862)</f>
        <v>5.083333333333333</v>
      </c>
      <c r="AW847" s="306">
        <f>tabItens[[#This Row],[QTDE ATUAL]] + tabItens[[#This Row],[RC QTDE]] + tabItens[[#This Row],[AF SALDO]] + tabItens[[#This Row],[Recentes]]</f>
        <v>325</v>
      </c>
      <c r="AX847" s="334">
        <v>3</v>
      </c>
      <c r="AY847" s="334">
        <v>4</v>
      </c>
      <c r="AZ847" s="334">
        <f>IF(ISBLANK(tabItens[[#This Row],[CÓDIGO]]),"",tabItens[[#This Row],[PontoMês]] * (AZ$2+tabItens[[#This Row],[PontoQtM]]))</f>
        <v>12</v>
      </c>
      <c r="BA847" s="333">
        <f>tabItens[[#This Row],[PontoPed]] - tabItens[[#This Row],[Saldo]] + (1/10)</f>
        <v>-312.89999999999998</v>
      </c>
      <c r="BB847" s="333">
        <f xml:space="preserve"> tabItens[[#This Row],[PontoMês]] * BB$2 - tabItens[[#This Row],[QTDE ATUAL]] - (1/10)</f>
        <v>-212.1</v>
      </c>
      <c r="BC847" s="335">
        <f>IF( tabItens[[#This Row],[PontoPed]]&gt;0, IF(tabItens[[#This Row],[PontoPed]]&lt;1, 1, IF( tabItens[[#This Row],[Saldo]]&gt;tabItens[[#This Row],[PontoPed]], 0, (tabItens[[#This Row],[PontoPed]]-tabItens[[#This Row],[Saldo]])/tabItens[[#This Row],[PontoPed]] ) ), 0 )</f>
        <v>0</v>
      </c>
      <c r="BD847" s="336">
        <f>ROUNDDOWN(IF( OR( AND(tabItens[[#This Row],[PontoPed]]&lt;tabItens[[#This Row],[Saldo]],tabItens[[#This Row],[Saldo]]&gt;0), tabItens[[#This Row],[PontoPed]]=0), 99, IF(AND(tabItens[[#This Row],[Saldo]]=0,tabItens[[#This Row],[PontoPed]]&gt;0), 0, (1-tabItens[[#This Row],[PctAb]])*10 ) ),0)</f>
        <v>99</v>
      </c>
      <c r="BE847" s="337">
        <f>MAX(ROUNDDOWN( IF(tabItens[[#This Row],[Abaixo]] &gt; 0,   tabItens[[#This Row],[Abaixo]] + (tabItens[[#This Row],[PontoMês]] * IF( OR( ISBLANK(tabItens[[#This Row],[ATA Nº/ANO]]), tabItens[[#This Row],[ATA Nº/ANO]] = ""),BE$2,BE$1)),0),0),0)</f>
        <v>0</v>
      </c>
      <c r="BF84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7" s="338">
        <f>SUMIF(Consumo!$C$3:$C$862,tabItens[[#This Row],[CÓDIGO]],Consumo!$E$3:$E$862)</f>
        <v>3</v>
      </c>
      <c r="BH847" s="339">
        <f>IF(AND(tabItens[[#This Row],[Pend]] &gt; 0,tabItens[[#This Row],[Consumo]] &lt;&gt; 0), tabItens[[#This Row],[Pend]] / tabItens[[#This Row],[Consumo]], 0 )</f>
        <v>4.6153846153846156E-2</v>
      </c>
      <c r="BI847" s="338"/>
      <c r="BJ847" s="338"/>
      <c r="BK847" s="340" t="s">
        <v>2086</v>
      </c>
    </row>
    <row r="848" spans="1:63" hidden="1" x14ac:dyDescent="0.3">
      <c r="A848" s="301">
        <v>102723</v>
      </c>
      <c r="B848" s="302" t="s">
        <v>1591</v>
      </c>
      <c r="C848" s="303" t="s">
        <v>263</v>
      </c>
      <c r="D848" s="304">
        <v>38.33</v>
      </c>
      <c r="E848" s="305"/>
      <c r="F848" s="305"/>
      <c r="G848" s="305" t="s">
        <v>889</v>
      </c>
      <c r="H848" s="306">
        <v>245</v>
      </c>
      <c r="I848" s="307">
        <v>103003</v>
      </c>
      <c r="J848" s="308">
        <v>38.33</v>
      </c>
      <c r="K848" s="309">
        <v>111</v>
      </c>
      <c r="L848" s="310">
        <f>IF(tabItens[[#This Row],[Média]] &gt; 0, tabItens[[#This Row],[QTDE ATUAL]] / tabItens[[#This Row],[Média]],999.9)</f>
        <v>26.486486486486488</v>
      </c>
      <c r="M848" s="311">
        <v>0</v>
      </c>
      <c r="N848" s="312">
        <f>tabItens[[#This Row],[VALOR UNIT.]] * tabItens[[#This Row],[LC]]</f>
        <v>0</v>
      </c>
      <c r="O848" s="313"/>
      <c r="P848" s="314"/>
      <c r="Q848" s="315"/>
      <c r="R848" s="312"/>
      <c r="S848" s="316"/>
      <c r="T848" s="317">
        <f>ROUNDDOWN(IFERROR(tabItens[[#This Row],[ATA DT.VALID.]] - $D$1,0) / 30,0)</f>
        <v>-1474</v>
      </c>
      <c r="U848" s="302" t="s">
        <v>1589</v>
      </c>
      <c r="V848" s="318">
        <v>1</v>
      </c>
      <c r="W848" s="319" t="s">
        <v>2077</v>
      </c>
      <c r="X848" s="320">
        <v>69</v>
      </c>
      <c r="Y848" s="321">
        <v>5</v>
      </c>
      <c r="Z848" s="322">
        <v>2221</v>
      </c>
      <c r="AA848" s="323">
        <v>2023</v>
      </c>
      <c r="AB848" s="324">
        <v>100</v>
      </c>
      <c r="AC848" s="324"/>
      <c r="AD848" s="323"/>
      <c r="AE848" s="324"/>
      <c r="AF848" s="317"/>
      <c r="AG848" s="325" t="s">
        <v>2072</v>
      </c>
      <c r="AH848" s="326"/>
      <c r="AI848" s="317">
        <v>38</v>
      </c>
      <c r="AJ848" s="326">
        <v>44965</v>
      </c>
      <c r="AK848" s="326">
        <v>39371</v>
      </c>
      <c r="AL848" s="326">
        <v>44916</v>
      </c>
      <c r="AM848" s="316"/>
      <c r="AN848" s="305"/>
      <c r="AO848" s="327" t="str">
        <f>_xlfn.IFNA(IF(VLOOKUP(tabItens[[#This Row],[CÓDIGO]],tabExcluirDoEstoque[#Data],1,FALSE),"sim",""),"")</f>
        <v/>
      </c>
      <c r="AP848" s="328" t="str">
        <f ca="1">IF(OR(ISBLANK(tabItens[[#This Row],[ATA DT.VALID.]]),tabItens[[#This Row],[ATA DT.VALID.]]="",tabItens[[#This Row],[ATA DT.VALID.]]=" "),"",IF(TYPE(tabItens[[#This Row],[ATA DT.VALID.]])=1,ROUNDUP((tabItens[[#This Row],[ATA DT.VALID.]]-TODAY())/7,0),""))</f>
        <v/>
      </c>
      <c r="AQ848" s="329"/>
      <c r="AR848" s="330" t="str">
        <f>IF(ISBLANK(tabItens[[#This Row],[CÓDIGO]]),"",IFERROR(VLOOKUP(tabItens[[#This Row],[CÓDIGO]],Consumo!$C$2:$AC$862,26,FALSE),0))</f>
        <v>07.2023</v>
      </c>
      <c r="AS848" s="331">
        <f>SUMIF(Consumo!$C$3:$C$862,tabItens[[#This Row],[CÓDIGO]],Consumo!$N$3:$N$862) + SUMIF(Consumo!$C$3:$C$862,tabItens[[#This Row],[CÓDIGO]],Consumo!$O$3:$O$862) + SUMIF(Consumo!$C$3:$C$862,tabItens[[#This Row],[CÓDIGO]],Consumo!$P$3:$P$862) + SUMIF(Consumo!$C$3:$C$862,tabItens[[#This Row],[CÓDIGO]],Consumo!$Q$3:$Q$862)</f>
        <v>40</v>
      </c>
      <c r="AT848" s="331">
        <f>SUMIF(Consumo!$C$3:$C$862,tabItens[[#This Row],[CÓDIGO]],Consumo!$Z$3:$Z$862)</f>
        <v>111</v>
      </c>
      <c r="AU848" s="332">
        <f>SUMIF(Consumo!$C$3:$C$862,tabItens[[#This Row],[CÓDIGO]],Consumo!$AA$3:$AA$862)</f>
        <v>29</v>
      </c>
      <c r="AV848" s="333">
        <f>SUMIF(Consumo!$C$3:$C$862,tabItens[[#This Row],[CÓDIGO]],Consumo!$Y$3:$Y$862)</f>
        <v>9.25</v>
      </c>
      <c r="AW848" s="306">
        <f>tabItens[[#This Row],[QTDE ATUAL]] + tabItens[[#This Row],[RC QTDE]] + tabItens[[#This Row],[AF SALDO]] + tabItens[[#This Row],[Recentes]]</f>
        <v>345</v>
      </c>
      <c r="AX848" s="334">
        <v>0</v>
      </c>
      <c r="AY848" s="334">
        <v>4</v>
      </c>
      <c r="AZ848" s="334">
        <f>IF(ISBLANK(tabItens[[#This Row],[CÓDIGO]]),"",tabItens[[#This Row],[PontoMês]] * (AZ$2+tabItens[[#This Row],[PontoQtM]]))</f>
        <v>0</v>
      </c>
      <c r="BA848" s="333">
        <f>tabItens[[#This Row],[PontoPed]] - tabItens[[#This Row],[Saldo]] + (1/10)</f>
        <v>-344.9</v>
      </c>
      <c r="BB848" s="333">
        <f xml:space="preserve"> tabItens[[#This Row],[PontoMês]] * BB$2 - tabItens[[#This Row],[QTDE ATUAL]] - (1/10)</f>
        <v>-245.1</v>
      </c>
      <c r="BC848" s="335">
        <f>IF( tabItens[[#This Row],[PontoPed]]&gt;0, IF(tabItens[[#This Row],[PontoPed]]&lt;1, 1, IF( tabItens[[#This Row],[Saldo]]&gt;tabItens[[#This Row],[PontoPed]], 0, (tabItens[[#This Row],[PontoPed]]-tabItens[[#This Row],[Saldo]])/tabItens[[#This Row],[PontoPed]] ) ), 0 )</f>
        <v>0</v>
      </c>
      <c r="BD848" s="336">
        <f>ROUNDDOWN(IF( OR( AND(tabItens[[#This Row],[PontoPed]]&lt;tabItens[[#This Row],[Saldo]],tabItens[[#This Row],[Saldo]]&gt;0), tabItens[[#This Row],[PontoPed]]=0), 99, IF(AND(tabItens[[#This Row],[Saldo]]=0,tabItens[[#This Row],[PontoPed]]&gt;0), 0, (1-tabItens[[#This Row],[PctAb]])*10 ) ),0)</f>
        <v>99</v>
      </c>
      <c r="BE848" s="337">
        <f>MAX(ROUNDDOWN( IF(tabItens[[#This Row],[Abaixo]] &gt; 0,   tabItens[[#This Row],[Abaixo]] + (tabItens[[#This Row],[PontoMês]] * IF( OR( ISBLANK(tabItens[[#This Row],[ATA Nº/ANO]]), tabItens[[#This Row],[ATA Nº/ANO]] = ""),BE$2,BE$1)),0),0),0)</f>
        <v>0</v>
      </c>
      <c r="BF84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8" s="338">
        <f>SUMIF(Consumo!$C$3:$C$862,tabItens[[#This Row],[CÓDIGO]],Consumo!$E$3:$E$862)</f>
        <v>0</v>
      </c>
      <c r="BH848" s="339">
        <f>IF(AND(tabItens[[#This Row],[Pend]] &gt; 0,tabItens[[#This Row],[Consumo]] &lt;&gt; 0), tabItens[[#This Row],[Pend]] / tabItens[[#This Row],[Consumo]], 0 )</f>
        <v>0</v>
      </c>
      <c r="BI848" s="338"/>
      <c r="BJ848" s="338"/>
      <c r="BK848" s="340" t="s">
        <v>2086</v>
      </c>
    </row>
    <row r="849" spans="1:63" hidden="1" x14ac:dyDescent="0.3">
      <c r="A849" s="301">
        <v>102728</v>
      </c>
      <c r="B849" s="302" t="s">
        <v>1592</v>
      </c>
      <c r="C849" s="303" t="s">
        <v>263</v>
      </c>
      <c r="D849" s="304">
        <v>2.97</v>
      </c>
      <c r="E849" s="305"/>
      <c r="F849" s="305"/>
      <c r="G849" s="305" t="s">
        <v>889</v>
      </c>
      <c r="H849" s="306">
        <v>224</v>
      </c>
      <c r="I849" s="307">
        <v>103003</v>
      </c>
      <c r="J849" s="308">
        <v>2.97</v>
      </c>
      <c r="K849" s="309">
        <v>360</v>
      </c>
      <c r="L849" s="310">
        <f>IF(tabItens[[#This Row],[Média]] &gt; 0, tabItens[[#This Row],[QTDE ATUAL]] / tabItens[[#This Row],[Média]],999.9)</f>
        <v>8.0238805970149247</v>
      </c>
      <c r="M849" s="311">
        <v>0</v>
      </c>
      <c r="N849" s="312">
        <f>tabItens[[#This Row],[VALOR UNIT.]] * tabItens[[#This Row],[LC]]</f>
        <v>0</v>
      </c>
      <c r="O849" s="313"/>
      <c r="P849" s="314"/>
      <c r="Q849" s="315"/>
      <c r="R849" s="312"/>
      <c r="S849" s="316"/>
      <c r="T849" s="317">
        <f>ROUNDDOWN(IFERROR(tabItens[[#This Row],[ATA DT.VALID.]] - $D$1,0) / 30,0)</f>
        <v>-1474</v>
      </c>
      <c r="U849" s="302" t="s">
        <v>1347</v>
      </c>
      <c r="V849" s="318">
        <v>1</v>
      </c>
      <c r="W849" s="319" t="s">
        <v>2071</v>
      </c>
      <c r="X849" s="320">
        <v>69</v>
      </c>
      <c r="Y849" s="321">
        <v>8</v>
      </c>
      <c r="Z849" s="322">
        <v>2496</v>
      </c>
      <c r="AA849" s="323">
        <v>2023</v>
      </c>
      <c r="AB849" s="324">
        <v>50</v>
      </c>
      <c r="AC849" s="324"/>
      <c r="AD849" s="323"/>
      <c r="AE849" s="324"/>
      <c r="AF849" s="317"/>
      <c r="AG849" s="325" t="s">
        <v>2072</v>
      </c>
      <c r="AH849" s="326"/>
      <c r="AI849" s="317">
        <v>122</v>
      </c>
      <c r="AJ849" s="326">
        <v>44943</v>
      </c>
      <c r="AK849" s="326">
        <v>39371</v>
      </c>
      <c r="AL849" s="326">
        <v>44917</v>
      </c>
      <c r="AM849" s="316"/>
      <c r="AN849" s="305"/>
      <c r="AO849" s="327" t="str">
        <f>_xlfn.IFNA(IF(VLOOKUP(tabItens[[#This Row],[CÓDIGO]],tabExcluirDoEstoque[#Data],1,FALSE),"sim",""),"")</f>
        <v/>
      </c>
      <c r="AP849" s="328" t="str">
        <f ca="1">IF(OR(ISBLANK(tabItens[[#This Row],[ATA DT.VALID.]]),tabItens[[#This Row],[ATA DT.VALID.]]="",tabItens[[#This Row],[ATA DT.VALID.]]=" "),"",IF(TYPE(tabItens[[#This Row],[ATA DT.VALID.]])=1,ROUNDUP((tabItens[[#This Row],[ATA DT.VALID.]]-TODAY())/7,0),""))</f>
        <v/>
      </c>
      <c r="AQ849" s="329"/>
      <c r="AR849" s="330" t="str">
        <f>IF(ISBLANK(tabItens[[#This Row],[CÓDIGO]]),"",IFERROR(VLOOKUP(tabItens[[#This Row],[CÓDIGO]],Consumo!$C$2:$AC$862,26,FALSE),0))</f>
        <v>07.2023</v>
      </c>
      <c r="AS849" s="331">
        <f>SUMIF(Consumo!$C$3:$C$862,tabItens[[#This Row],[CÓDIGO]],Consumo!$N$3:$N$862) + SUMIF(Consumo!$C$3:$C$862,tabItens[[#This Row],[CÓDIGO]],Consumo!$O$3:$O$862) + SUMIF(Consumo!$C$3:$C$862,tabItens[[#This Row],[CÓDIGO]],Consumo!$P$3:$P$862) + SUMIF(Consumo!$C$3:$C$862,tabItens[[#This Row],[CÓDIGO]],Consumo!$Q$3:$Q$862)</f>
        <v>20</v>
      </c>
      <c r="AT849" s="331">
        <f>SUMIF(Consumo!$C$3:$C$862,tabItens[[#This Row],[CÓDIGO]],Consumo!$Z$3:$Z$862)</f>
        <v>360</v>
      </c>
      <c r="AU849" s="332">
        <f>SUMIF(Consumo!$C$3:$C$862,tabItens[[#This Row],[CÓDIGO]],Consumo!$AA$3:$AA$862)</f>
        <v>150</v>
      </c>
      <c r="AV849" s="333">
        <f>SUMIF(Consumo!$C$3:$C$862,tabItens[[#This Row],[CÓDIGO]],Consumo!$Y$3:$Y$862)</f>
        <v>27.916666666666668</v>
      </c>
      <c r="AW849" s="306">
        <f>tabItens[[#This Row],[QTDE ATUAL]] + tabItens[[#This Row],[RC QTDE]] + tabItens[[#This Row],[AF SALDO]] + tabItens[[#This Row],[Recentes]]</f>
        <v>274</v>
      </c>
      <c r="AX849" s="334">
        <v>7</v>
      </c>
      <c r="AY849" s="334">
        <v>4</v>
      </c>
      <c r="AZ849" s="334">
        <f>IF(ISBLANK(tabItens[[#This Row],[CÓDIGO]]),"",tabItens[[#This Row],[PontoMês]] * (AZ$2+tabItens[[#This Row],[PontoQtM]]))</f>
        <v>28</v>
      </c>
      <c r="BA849" s="333">
        <f>tabItens[[#This Row],[PontoPed]] - tabItens[[#This Row],[Saldo]] + (1/10)</f>
        <v>-245.9</v>
      </c>
      <c r="BB849" s="333">
        <f xml:space="preserve"> tabItens[[#This Row],[PontoMês]] * BB$2 - tabItens[[#This Row],[QTDE ATUAL]] - (1/10)</f>
        <v>-217.1</v>
      </c>
      <c r="BC849" s="335">
        <f>IF( tabItens[[#This Row],[PontoPed]]&gt;0, IF(tabItens[[#This Row],[PontoPed]]&lt;1, 1, IF( tabItens[[#This Row],[Saldo]]&gt;tabItens[[#This Row],[PontoPed]], 0, (tabItens[[#This Row],[PontoPed]]-tabItens[[#This Row],[Saldo]])/tabItens[[#This Row],[PontoPed]] ) ), 0 )</f>
        <v>0</v>
      </c>
      <c r="BD849" s="336">
        <f>ROUNDDOWN(IF( OR( AND(tabItens[[#This Row],[PontoPed]]&lt;tabItens[[#This Row],[Saldo]],tabItens[[#This Row],[Saldo]]&gt;0), tabItens[[#This Row],[PontoPed]]=0), 99, IF(AND(tabItens[[#This Row],[Saldo]]=0,tabItens[[#This Row],[PontoPed]]&gt;0), 0, (1-tabItens[[#This Row],[PctAb]])*10 ) ),0)</f>
        <v>99</v>
      </c>
      <c r="BE849" s="337">
        <f>MAX(ROUNDDOWN( IF(tabItens[[#This Row],[Abaixo]] &gt; 0,   tabItens[[#This Row],[Abaixo]] + (tabItens[[#This Row],[PontoMês]] * IF( OR( ISBLANK(tabItens[[#This Row],[ATA Nº/ANO]]), tabItens[[#This Row],[ATA Nº/ANO]] = ""),BE$2,BE$1)),0),0),0)</f>
        <v>0</v>
      </c>
      <c r="BF84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9" s="338">
        <f>SUMIF(Consumo!$C$3:$C$862,tabItens[[#This Row],[CÓDIGO]],Consumo!$E$3:$E$862)</f>
        <v>0</v>
      </c>
      <c r="BH849" s="339">
        <f>IF(AND(tabItens[[#This Row],[Pend]] &gt; 0,tabItens[[#This Row],[Consumo]] &lt;&gt; 0), tabItens[[#This Row],[Pend]] / tabItens[[#This Row],[Consumo]], 0 )</f>
        <v>0</v>
      </c>
      <c r="BI849" s="338"/>
      <c r="BJ849" s="338"/>
      <c r="BK849" s="340" t="s">
        <v>2086</v>
      </c>
    </row>
    <row r="850" spans="1:63" hidden="1" x14ac:dyDescent="0.3">
      <c r="A850" s="301">
        <v>134558</v>
      </c>
      <c r="B850" s="302" t="s">
        <v>1890</v>
      </c>
      <c r="C850" s="303" t="s">
        <v>263</v>
      </c>
      <c r="D850" s="304">
        <v>0.25</v>
      </c>
      <c r="E850" s="305"/>
      <c r="F850" s="305"/>
      <c r="G850" s="305" t="s">
        <v>889</v>
      </c>
      <c r="H850" s="306">
        <v>17660</v>
      </c>
      <c r="I850" s="307">
        <v>103003</v>
      </c>
      <c r="J850" s="308">
        <v>0.25</v>
      </c>
      <c r="K850" s="309">
        <v>200</v>
      </c>
      <c r="L850" s="310">
        <f>IF(tabItens[[#This Row],[Média]] &gt; 0, tabItens[[#This Row],[QTDE ATUAL]] / tabItens[[#This Row],[Média]],999.9)</f>
        <v>1605.4545454545455</v>
      </c>
      <c r="M850" s="311">
        <v>0</v>
      </c>
      <c r="N850" s="312">
        <f>tabItens[[#This Row],[VALOR UNIT.]] * tabItens[[#This Row],[LC]]</f>
        <v>0</v>
      </c>
      <c r="O850" s="313"/>
      <c r="P850" s="314"/>
      <c r="Q850" s="315"/>
      <c r="R850" s="312"/>
      <c r="S850" s="316"/>
      <c r="T850" s="317">
        <f>ROUNDDOWN(IFERROR(tabItens[[#This Row],[ATA DT.VALID.]] - $D$1,0) / 30,0)</f>
        <v>-1474</v>
      </c>
      <c r="U850" s="302" t="s">
        <v>1891</v>
      </c>
      <c r="V850" s="318">
        <v>1</v>
      </c>
      <c r="W850" s="319" t="s">
        <v>2078</v>
      </c>
      <c r="X850" s="320">
        <v>70</v>
      </c>
      <c r="Y850" s="321">
        <v>16</v>
      </c>
      <c r="Z850" s="322"/>
      <c r="AA850" s="323"/>
      <c r="AB850" s="324"/>
      <c r="AC850" s="324"/>
      <c r="AD850" s="323"/>
      <c r="AE850" s="324"/>
      <c r="AF850" s="317"/>
      <c r="AG850" s="325" t="s">
        <v>2072</v>
      </c>
      <c r="AH850" s="326"/>
      <c r="AI850" s="317">
        <v>66</v>
      </c>
      <c r="AJ850" s="326">
        <v>43689</v>
      </c>
      <c r="AK850" s="326">
        <v>43174</v>
      </c>
      <c r="AL850" s="326">
        <v>43683</v>
      </c>
      <c r="AM850" s="316"/>
      <c r="AN850" s="305"/>
      <c r="AO850" s="327" t="str">
        <f>_xlfn.IFNA(IF(VLOOKUP(tabItens[[#This Row],[CÓDIGO]],tabExcluirDoEstoque[#Data],1,FALSE),"sim",""),"")</f>
        <v/>
      </c>
      <c r="AP850" s="328" t="str">
        <f ca="1">IF(OR(ISBLANK(tabItens[[#This Row],[ATA DT.VALID.]]),tabItens[[#This Row],[ATA DT.VALID.]]="",tabItens[[#This Row],[ATA DT.VALID.]]=" "),"",IF(TYPE(tabItens[[#This Row],[ATA DT.VALID.]])=1,ROUNDUP((tabItens[[#This Row],[ATA DT.VALID.]]-TODAY())/7,0),""))</f>
        <v/>
      </c>
      <c r="AQ850" s="329"/>
      <c r="AR850" s="330" t="str">
        <f>IF(ISBLANK(tabItens[[#This Row],[CÓDIGO]]),"",IFERROR(VLOOKUP(tabItens[[#This Row],[CÓDIGO]],Consumo!$C$2:$AC$862,26,FALSE),0))</f>
        <v>03.2023</v>
      </c>
      <c r="AS850" s="331">
        <f>SUMIF(Consumo!$C$3:$C$862,tabItens[[#This Row],[CÓDIGO]],Consumo!$N$3:$N$862) + SUMIF(Consumo!$C$3:$C$862,tabItens[[#This Row],[CÓDIGO]],Consumo!$O$3:$O$862) + SUMIF(Consumo!$C$3:$C$862,tabItens[[#This Row],[CÓDIGO]],Consumo!$P$3:$P$862) + SUMIF(Consumo!$C$3:$C$862,tabItens[[#This Row],[CÓDIGO]],Consumo!$Q$3:$Q$862)</f>
        <v>0</v>
      </c>
      <c r="AT850" s="331">
        <f>SUMIF(Consumo!$C$3:$C$862,tabItens[[#This Row],[CÓDIGO]],Consumo!$Z$3:$Z$862)</f>
        <v>200</v>
      </c>
      <c r="AU850" s="332">
        <f>SUMIF(Consumo!$C$3:$C$862,tabItens[[#This Row],[CÓDIGO]],Consumo!$AA$3:$AA$862)</f>
        <v>200</v>
      </c>
      <c r="AV850" s="333">
        <f>SUMIF(Consumo!$C$3:$C$862,tabItens[[#This Row],[CÓDIGO]],Consumo!$Y$3:$Y$862)</f>
        <v>11</v>
      </c>
      <c r="AW850" s="306">
        <f>tabItens[[#This Row],[QTDE ATUAL]] + tabItens[[#This Row],[RC QTDE]] + tabItens[[#This Row],[AF SALDO]] + tabItens[[#This Row],[Recentes]]</f>
        <v>17660</v>
      </c>
      <c r="AX850" s="334">
        <v>45</v>
      </c>
      <c r="AY850" s="334">
        <v>4</v>
      </c>
      <c r="AZ850" s="334">
        <f>IF(ISBLANK(tabItens[[#This Row],[CÓDIGO]]),"",tabItens[[#This Row],[PontoMês]] * (AZ$2+tabItens[[#This Row],[PontoQtM]]))</f>
        <v>180</v>
      </c>
      <c r="BA850" s="333">
        <f>tabItens[[#This Row],[PontoPed]] - tabItens[[#This Row],[Saldo]] + (1/10)</f>
        <v>-17479.900000000001</v>
      </c>
      <c r="BB850" s="333">
        <f xml:space="preserve"> tabItens[[#This Row],[PontoMês]] * BB$2 - tabItens[[#This Row],[QTDE ATUAL]] - (1/10)</f>
        <v>-17615.099999999999</v>
      </c>
      <c r="BC850" s="335">
        <f>IF( tabItens[[#This Row],[PontoPed]]&gt;0, IF(tabItens[[#This Row],[PontoPed]]&lt;1, 1, IF( tabItens[[#This Row],[Saldo]]&gt;tabItens[[#This Row],[PontoPed]], 0, (tabItens[[#This Row],[PontoPed]]-tabItens[[#This Row],[Saldo]])/tabItens[[#This Row],[PontoPed]] ) ), 0 )</f>
        <v>0</v>
      </c>
      <c r="BD850" s="336">
        <f>ROUNDDOWN(IF( OR( AND(tabItens[[#This Row],[PontoPed]]&lt;tabItens[[#This Row],[Saldo]],tabItens[[#This Row],[Saldo]]&gt;0), tabItens[[#This Row],[PontoPed]]=0), 99, IF(AND(tabItens[[#This Row],[Saldo]]=0,tabItens[[#This Row],[PontoPed]]&gt;0), 0, (1-tabItens[[#This Row],[PctAb]])*10 ) ),0)</f>
        <v>99</v>
      </c>
      <c r="BE850" s="337">
        <f>MAX(ROUNDDOWN( IF(tabItens[[#This Row],[Abaixo]] &gt; 0,   tabItens[[#This Row],[Abaixo]] + (tabItens[[#This Row],[PontoMês]] * IF( OR( ISBLANK(tabItens[[#This Row],[ATA Nº/ANO]]), tabItens[[#This Row],[ATA Nº/ANO]] = ""),BE$2,BE$1)),0),0),0)</f>
        <v>0</v>
      </c>
      <c r="BF85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0" s="338">
        <f>SUMIF(Consumo!$C$3:$C$862,tabItens[[#This Row],[CÓDIGO]],Consumo!$E$3:$E$862)</f>
        <v>0</v>
      </c>
      <c r="BH850" s="339">
        <f>IF(AND(tabItens[[#This Row],[Pend]] &gt; 0,tabItens[[#This Row],[Consumo]] &lt;&gt; 0), tabItens[[#This Row],[Pend]] / tabItens[[#This Row],[Consumo]], 0 )</f>
        <v>0</v>
      </c>
      <c r="BI850" s="338"/>
      <c r="BJ850" s="338"/>
      <c r="BK850" s="340" t="s">
        <v>2086</v>
      </c>
    </row>
    <row r="851" spans="1:63" hidden="1" x14ac:dyDescent="0.3">
      <c r="A851" s="301">
        <v>134559</v>
      </c>
      <c r="B851" s="302" t="s">
        <v>1892</v>
      </c>
      <c r="C851" s="303" t="s">
        <v>263</v>
      </c>
      <c r="D851" s="304">
        <v>0.6</v>
      </c>
      <c r="E851" s="305"/>
      <c r="F851" s="305"/>
      <c r="G851" s="305" t="s">
        <v>889</v>
      </c>
      <c r="H851" s="306">
        <v>14800</v>
      </c>
      <c r="I851" s="307">
        <v>103003</v>
      </c>
      <c r="J851" s="308">
        <v>0.20522000000000001</v>
      </c>
      <c r="K851" s="309">
        <v>2900</v>
      </c>
      <c r="L851" s="310">
        <f>IF(tabItens[[#This Row],[Média]] &gt; 0, tabItens[[#This Row],[QTDE ATUAL]] / tabItens[[#This Row],[Média]],999.9)</f>
        <v>61.241379310344833</v>
      </c>
      <c r="M851" s="311">
        <v>0</v>
      </c>
      <c r="N851" s="312">
        <f>tabItens[[#This Row],[VALOR UNIT.]] * tabItens[[#This Row],[LC]]</f>
        <v>0</v>
      </c>
      <c r="O851" s="313"/>
      <c r="P851" s="314"/>
      <c r="Q851" s="315"/>
      <c r="R851" s="312"/>
      <c r="S851" s="316"/>
      <c r="T851" s="317">
        <f>ROUNDDOWN(IFERROR(tabItens[[#This Row],[ATA DT.VALID.]] - $D$1,0) / 30,0)</f>
        <v>-1474</v>
      </c>
      <c r="U851" s="302" t="s">
        <v>1891</v>
      </c>
      <c r="V851" s="318">
        <v>1</v>
      </c>
      <c r="W851" s="319" t="s">
        <v>2078</v>
      </c>
      <c r="X851" s="320">
        <v>70</v>
      </c>
      <c r="Y851" s="321">
        <v>16</v>
      </c>
      <c r="Z851" s="322"/>
      <c r="AA851" s="323"/>
      <c r="AB851" s="324"/>
      <c r="AC851" s="324"/>
      <c r="AD851" s="323"/>
      <c r="AE851" s="324"/>
      <c r="AF851" s="317"/>
      <c r="AG851" s="325" t="s">
        <v>2072</v>
      </c>
      <c r="AH851" s="326"/>
      <c r="AI851" s="317">
        <v>966</v>
      </c>
      <c r="AJ851" s="326">
        <v>43641</v>
      </c>
      <c r="AK851" s="326">
        <v>43174</v>
      </c>
      <c r="AL851" s="326">
        <v>43619</v>
      </c>
      <c r="AM851" s="316"/>
      <c r="AN851" s="305"/>
      <c r="AO851" s="327" t="str">
        <f>_xlfn.IFNA(IF(VLOOKUP(tabItens[[#This Row],[CÓDIGO]],tabExcluirDoEstoque[#Data],1,FALSE),"sim",""),"")</f>
        <v/>
      </c>
      <c r="AP851" s="328" t="str">
        <f ca="1">IF(OR(ISBLANK(tabItens[[#This Row],[ATA DT.VALID.]]),tabItens[[#This Row],[ATA DT.VALID.]]="",tabItens[[#This Row],[ATA DT.VALID.]]=" "),"",IF(TYPE(tabItens[[#This Row],[ATA DT.VALID.]])=1,ROUNDUP((tabItens[[#This Row],[ATA DT.VALID.]]-TODAY())/7,0),""))</f>
        <v/>
      </c>
      <c r="AQ851" s="329"/>
      <c r="AR851" s="330" t="str">
        <f>IF(ISBLANK(tabItens[[#This Row],[CÓDIGO]]),"",IFERROR(VLOOKUP(tabItens[[#This Row],[CÓDIGO]],Consumo!$C$2:$AC$862,26,FALSE),0))</f>
        <v>08.2023</v>
      </c>
      <c r="AS851" s="331">
        <f>SUMIF(Consumo!$C$3:$C$862,tabItens[[#This Row],[CÓDIGO]],Consumo!$N$3:$N$862) + SUMIF(Consumo!$C$3:$C$862,tabItens[[#This Row],[CÓDIGO]],Consumo!$O$3:$O$862) + SUMIF(Consumo!$C$3:$C$862,tabItens[[#This Row],[CÓDIGO]],Consumo!$P$3:$P$862) + SUMIF(Consumo!$C$3:$C$862,tabItens[[#This Row],[CÓDIGO]],Consumo!$Q$3:$Q$862)</f>
        <v>2000</v>
      </c>
      <c r="AT851" s="331">
        <f>SUMIF(Consumo!$C$3:$C$862,tabItens[[#This Row],[CÓDIGO]],Consumo!$Z$3:$Z$862)</f>
        <v>2900</v>
      </c>
      <c r="AU851" s="332">
        <f>SUMIF(Consumo!$C$3:$C$862,tabItens[[#This Row],[CÓDIGO]],Consumo!$AA$3:$AA$862)</f>
        <v>1000</v>
      </c>
      <c r="AV851" s="333">
        <f>SUMIF(Consumo!$C$3:$C$862,tabItens[[#This Row],[CÓDIGO]],Consumo!$Y$3:$Y$862)</f>
        <v>241.66666666666666</v>
      </c>
      <c r="AW851" s="306">
        <f>tabItens[[#This Row],[QTDE ATUAL]] + tabItens[[#This Row],[RC QTDE]] + tabItens[[#This Row],[AF SALDO]] + tabItens[[#This Row],[Recentes]]</f>
        <v>14800</v>
      </c>
      <c r="AX851" s="334">
        <v>67</v>
      </c>
      <c r="AY851" s="334">
        <v>4</v>
      </c>
      <c r="AZ851" s="334">
        <f>IF(ISBLANK(tabItens[[#This Row],[CÓDIGO]]),"",tabItens[[#This Row],[PontoMês]] * (AZ$2+tabItens[[#This Row],[PontoQtM]]))</f>
        <v>268</v>
      </c>
      <c r="BA851" s="333">
        <f>tabItens[[#This Row],[PontoPed]] - tabItens[[#This Row],[Saldo]] + (1/10)</f>
        <v>-14531.9</v>
      </c>
      <c r="BB851" s="333">
        <f xml:space="preserve"> tabItens[[#This Row],[PontoMês]] * BB$2 - tabItens[[#This Row],[QTDE ATUAL]] - (1/10)</f>
        <v>-14733.1</v>
      </c>
      <c r="BC851" s="335">
        <f>IF( tabItens[[#This Row],[PontoPed]]&gt;0, IF(tabItens[[#This Row],[PontoPed]]&lt;1, 1, IF( tabItens[[#This Row],[Saldo]]&gt;tabItens[[#This Row],[PontoPed]], 0, (tabItens[[#This Row],[PontoPed]]-tabItens[[#This Row],[Saldo]])/tabItens[[#This Row],[PontoPed]] ) ), 0 )</f>
        <v>0</v>
      </c>
      <c r="BD851" s="336">
        <f>ROUNDDOWN(IF( OR( AND(tabItens[[#This Row],[PontoPed]]&lt;tabItens[[#This Row],[Saldo]],tabItens[[#This Row],[Saldo]]&gt;0), tabItens[[#This Row],[PontoPed]]=0), 99, IF(AND(tabItens[[#This Row],[Saldo]]=0,tabItens[[#This Row],[PontoPed]]&gt;0), 0, (1-tabItens[[#This Row],[PctAb]])*10 ) ),0)</f>
        <v>99</v>
      </c>
      <c r="BE851" s="337">
        <f>MAX(ROUNDDOWN( IF(tabItens[[#This Row],[Abaixo]] &gt; 0,   tabItens[[#This Row],[Abaixo]] + (tabItens[[#This Row],[PontoMês]] * IF( OR( ISBLANK(tabItens[[#This Row],[ATA Nº/ANO]]), tabItens[[#This Row],[ATA Nº/ANO]] = ""),BE$2,BE$1)),0),0),0)</f>
        <v>0</v>
      </c>
      <c r="BF85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1" s="338">
        <f>SUMIF(Consumo!$C$3:$C$862,tabItens[[#This Row],[CÓDIGO]],Consumo!$E$3:$E$862)</f>
        <v>0</v>
      </c>
      <c r="BH851" s="339">
        <f>IF(AND(tabItens[[#This Row],[Pend]] &gt; 0,tabItens[[#This Row],[Consumo]] &lt;&gt; 0), tabItens[[#This Row],[Pend]] / tabItens[[#This Row],[Consumo]], 0 )</f>
        <v>0</v>
      </c>
      <c r="BI851" s="338"/>
      <c r="BJ851" s="338"/>
      <c r="BK851" s="340" t="s">
        <v>2086</v>
      </c>
    </row>
    <row r="852" spans="1:63" hidden="1" x14ac:dyDescent="0.3">
      <c r="A852" s="301">
        <v>17946</v>
      </c>
      <c r="B852" s="302" t="s">
        <v>1143</v>
      </c>
      <c r="C852" s="303" t="s">
        <v>263</v>
      </c>
      <c r="D852" s="304">
        <v>5.29</v>
      </c>
      <c r="E852" s="305"/>
      <c r="F852" s="305"/>
      <c r="G852" s="305" t="s">
        <v>889</v>
      </c>
      <c r="H852" s="306">
        <v>2316</v>
      </c>
      <c r="I852" s="307">
        <v>103003</v>
      </c>
      <c r="J852" s="308">
        <v>5.29</v>
      </c>
      <c r="K852" s="309">
        <v>20</v>
      </c>
      <c r="L852" s="310">
        <f>IF(tabItens[[#This Row],[Média]] &gt; 0, tabItens[[#This Row],[QTDE ATUAL]] / tabItens[[#This Row],[Média]],999.9)</f>
        <v>2137.8461538461538</v>
      </c>
      <c r="M852" s="311">
        <v>0</v>
      </c>
      <c r="N852" s="312">
        <f>tabItens[[#This Row],[VALOR UNIT.]] * tabItens[[#This Row],[LC]]</f>
        <v>0</v>
      </c>
      <c r="O852" s="313"/>
      <c r="P852" s="314"/>
      <c r="Q852" s="315"/>
      <c r="R852" s="312"/>
      <c r="S852" s="316"/>
      <c r="T852" s="317">
        <f>ROUNDDOWN(IFERROR(tabItens[[#This Row],[ATA DT.VALID.]] - $D$1,0) / 30,0)</f>
        <v>-1474</v>
      </c>
      <c r="U852" s="302" t="s">
        <v>890</v>
      </c>
      <c r="V852" s="318">
        <v>1</v>
      </c>
      <c r="W852" s="319" t="s">
        <v>2071</v>
      </c>
      <c r="X852" s="320">
        <v>70</v>
      </c>
      <c r="Y852" s="321">
        <v>17</v>
      </c>
      <c r="Z852" s="322"/>
      <c r="AA852" s="323"/>
      <c r="AB852" s="324"/>
      <c r="AC852" s="324"/>
      <c r="AD852" s="323"/>
      <c r="AE852" s="324"/>
      <c r="AF852" s="317"/>
      <c r="AG852" s="325" t="s">
        <v>2072</v>
      </c>
      <c r="AH852" s="326"/>
      <c r="AI852" s="317">
        <v>6</v>
      </c>
      <c r="AJ852" s="326">
        <v>43105</v>
      </c>
      <c r="AK852" s="326" t="s">
        <v>889</v>
      </c>
      <c r="AL852" s="326">
        <v>43045</v>
      </c>
      <c r="AM852" s="316"/>
      <c r="AN852" s="305"/>
      <c r="AO852" s="327" t="str">
        <f>_xlfn.IFNA(IF(VLOOKUP(tabItens[[#This Row],[CÓDIGO]],tabExcluirDoEstoque[#Data],1,FALSE),"sim",""),"")</f>
        <v/>
      </c>
      <c r="AP852" s="328" t="str">
        <f ca="1">IF(OR(ISBLANK(tabItens[[#This Row],[ATA DT.VALID.]]),tabItens[[#This Row],[ATA DT.VALID.]]="",tabItens[[#This Row],[ATA DT.VALID.]]=" "),"",IF(TYPE(tabItens[[#This Row],[ATA DT.VALID.]])=1,ROUNDUP((tabItens[[#This Row],[ATA DT.VALID.]]-TODAY())/7,0),""))</f>
        <v/>
      </c>
      <c r="AQ852" s="329"/>
      <c r="AR852" s="330" t="str">
        <f>IF(ISBLANK(tabItens[[#This Row],[CÓDIGO]]),"",IFERROR(VLOOKUP(tabItens[[#This Row],[CÓDIGO]],Consumo!$C$2:$AC$862,26,FALSE),0))</f>
        <v>05.2023</v>
      </c>
      <c r="AS852" s="331">
        <f>SUMIF(Consumo!$C$3:$C$862,tabItens[[#This Row],[CÓDIGO]],Consumo!$N$3:$N$862) + SUMIF(Consumo!$C$3:$C$862,tabItens[[#This Row],[CÓDIGO]],Consumo!$O$3:$O$862) + SUMIF(Consumo!$C$3:$C$862,tabItens[[#This Row],[CÓDIGO]],Consumo!$P$3:$P$862) + SUMIF(Consumo!$C$3:$C$862,tabItens[[#This Row],[CÓDIGO]],Consumo!$Q$3:$Q$862)</f>
        <v>0</v>
      </c>
      <c r="AT852" s="331">
        <f>SUMIF(Consumo!$C$3:$C$862,tabItens[[#This Row],[CÓDIGO]],Consumo!$Z$3:$Z$862)</f>
        <v>20</v>
      </c>
      <c r="AU852" s="332">
        <f>SUMIF(Consumo!$C$3:$C$862,tabItens[[#This Row],[CÓDIGO]],Consumo!$AA$3:$AA$862)</f>
        <v>20</v>
      </c>
      <c r="AV852" s="333">
        <f>SUMIF(Consumo!$C$3:$C$862,tabItens[[#This Row],[CÓDIGO]],Consumo!$Y$3:$Y$862)</f>
        <v>1.0833333333333333</v>
      </c>
      <c r="AW852" s="306">
        <f>tabItens[[#This Row],[QTDE ATUAL]] + tabItens[[#This Row],[RC QTDE]] + tabItens[[#This Row],[AF SALDO]] + tabItens[[#This Row],[Recentes]]</f>
        <v>2316</v>
      </c>
      <c r="AX852" s="334">
        <v>1</v>
      </c>
      <c r="AY852" s="334">
        <v>4</v>
      </c>
      <c r="AZ852" s="334">
        <f>IF(ISBLANK(tabItens[[#This Row],[CÓDIGO]]),"",tabItens[[#This Row],[PontoMês]] * (AZ$2+tabItens[[#This Row],[PontoQtM]]))</f>
        <v>4</v>
      </c>
      <c r="BA852" s="333">
        <f>tabItens[[#This Row],[PontoPed]] - tabItens[[#This Row],[Saldo]] + (1/10)</f>
        <v>-2311.9</v>
      </c>
      <c r="BB852" s="333">
        <f xml:space="preserve"> tabItens[[#This Row],[PontoMês]] * BB$2 - tabItens[[#This Row],[QTDE ATUAL]] - (1/10)</f>
        <v>-2315.1</v>
      </c>
      <c r="BC852" s="335">
        <f>IF( tabItens[[#This Row],[PontoPed]]&gt;0, IF(tabItens[[#This Row],[PontoPed]]&lt;1, 1, IF( tabItens[[#This Row],[Saldo]]&gt;tabItens[[#This Row],[PontoPed]], 0, (tabItens[[#This Row],[PontoPed]]-tabItens[[#This Row],[Saldo]])/tabItens[[#This Row],[PontoPed]] ) ), 0 )</f>
        <v>0</v>
      </c>
      <c r="BD852" s="336">
        <f>ROUNDDOWN(IF( OR( AND(tabItens[[#This Row],[PontoPed]]&lt;tabItens[[#This Row],[Saldo]],tabItens[[#This Row],[Saldo]]&gt;0), tabItens[[#This Row],[PontoPed]]=0), 99, IF(AND(tabItens[[#This Row],[Saldo]]=0,tabItens[[#This Row],[PontoPed]]&gt;0), 0, (1-tabItens[[#This Row],[PctAb]])*10 ) ),0)</f>
        <v>99</v>
      </c>
      <c r="BE852" s="337">
        <f>MAX(ROUNDDOWN( IF(tabItens[[#This Row],[Abaixo]] &gt; 0,   tabItens[[#This Row],[Abaixo]] + (tabItens[[#This Row],[PontoMês]] * IF( OR( ISBLANK(tabItens[[#This Row],[ATA Nº/ANO]]), tabItens[[#This Row],[ATA Nº/ANO]] = ""),BE$2,BE$1)),0),0),0)</f>
        <v>0</v>
      </c>
      <c r="BF85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2" s="338">
        <f>SUMIF(Consumo!$C$3:$C$862,tabItens[[#This Row],[CÓDIGO]],Consumo!$E$3:$E$862)</f>
        <v>0</v>
      </c>
      <c r="BH852" s="339">
        <f>IF(AND(tabItens[[#This Row],[Pend]] &gt; 0,tabItens[[#This Row],[Consumo]] &lt;&gt; 0), tabItens[[#This Row],[Pend]] / tabItens[[#This Row],[Consumo]], 0 )</f>
        <v>0</v>
      </c>
      <c r="BI852" s="338"/>
      <c r="BJ852" s="338"/>
      <c r="BK852" s="340" t="s">
        <v>2086</v>
      </c>
    </row>
    <row r="853" spans="1:63" hidden="1" x14ac:dyDescent="0.3">
      <c r="A853" s="301">
        <v>134570</v>
      </c>
      <c r="B853" s="302" t="s">
        <v>1903</v>
      </c>
      <c r="C853" s="303" t="s">
        <v>263</v>
      </c>
      <c r="D853" s="304">
        <v>3.04</v>
      </c>
      <c r="E853" s="305"/>
      <c r="F853" s="305"/>
      <c r="G853" s="305" t="s">
        <v>889</v>
      </c>
      <c r="H853" s="306">
        <v>0</v>
      </c>
      <c r="I853" s="307">
        <v>103003</v>
      </c>
      <c r="J853" s="308">
        <v>3.04</v>
      </c>
      <c r="K853" s="309">
        <v>106</v>
      </c>
      <c r="L853" s="310">
        <f>IF(tabItens[[#This Row],[Média]] &gt; 0, tabItens[[#This Row],[QTDE ATUAL]] / tabItens[[#This Row],[Média]],999.9)</f>
        <v>0</v>
      </c>
      <c r="M853" s="311">
        <v>0</v>
      </c>
      <c r="N853" s="312">
        <f>tabItens[[#This Row],[VALOR UNIT.]] * tabItens[[#This Row],[LC]]</f>
        <v>0</v>
      </c>
      <c r="O853" s="313"/>
      <c r="P853" s="314"/>
      <c r="Q853" s="315"/>
      <c r="R853" s="312"/>
      <c r="S853" s="316"/>
      <c r="T853" s="317">
        <f>ROUNDDOWN(IFERROR(tabItens[[#This Row],[ATA DT.VALID.]] - $D$1,0) / 30,0)</f>
        <v>-1474</v>
      </c>
      <c r="U853" s="302" t="s">
        <v>1904</v>
      </c>
      <c r="V853" s="318">
        <v>1</v>
      </c>
      <c r="W853" s="319" t="s">
        <v>2079</v>
      </c>
      <c r="X853" s="320">
        <v>70</v>
      </c>
      <c r="Y853" s="321">
        <v>25</v>
      </c>
      <c r="Z853" s="322"/>
      <c r="AA853" s="323"/>
      <c r="AB853" s="324"/>
      <c r="AC853" s="324"/>
      <c r="AD853" s="323"/>
      <c r="AE853" s="324"/>
      <c r="AF853" s="317"/>
      <c r="AG853" s="325" t="s">
        <v>2072</v>
      </c>
      <c r="AH853" s="326"/>
      <c r="AI853" s="317">
        <v>36</v>
      </c>
      <c r="AJ853" s="326">
        <v>44550</v>
      </c>
      <c r="AK853" s="326">
        <v>43174</v>
      </c>
      <c r="AL853" s="326">
        <v>44536</v>
      </c>
      <c r="AM853" s="316"/>
      <c r="AN853" s="305"/>
      <c r="AO853" s="327" t="str">
        <f>_xlfn.IFNA(IF(VLOOKUP(tabItens[[#This Row],[CÓDIGO]],tabExcluirDoEstoque[#Data],1,FALSE),"sim",""),"")</f>
        <v/>
      </c>
      <c r="AP853" s="328" t="str">
        <f ca="1">IF(OR(ISBLANK(tabItens[[#This Row],[ATA DT.VALID.]]),tabItens[[#This Row],[ATA DT.VALID.]]="",tabItens[[#This Row],[ATA DT.VALID.]]=" "),"",IF(TYPE(tabItens[[#This Row],[ATA DT.VALID.]])=1,ROUNDUP((tabItens[[#This Row],[ATA DT.VALID.]]-TODAY())/7,0),""))</f>
        <v/>
      </c>
      <c r="AQ853" s="329"/>
      <c r="AR853" s="330" t="str">
        <f>IF(ISBLANK(tabItens[[#This Row],[CÓDIGO]]),"",IFERROR(VLOOKUP(tabItens[[#This Row],[CÓDIGO]],Consumo!$C$2:$AC$862,26,FALSE),0))</f>
        <v>02.2023</v>
      </c>
      <c r="AS853" s="331">
        <f>SUMIF(Consumo!$C$3:$C$862,tabItens[[#This Row],[CÓDIGO]],Consumo!$N$3:$N$862) + SUMIF(Consumo!$C$3:$C$862,tabItens[[#This Row],[CÓDIGO]],Consumo!$O$3:$O$862) + SUMIF(Consumo!$C$3:$C$862,tabItens[[#This Row],[CÓDIGO]],Consumo!$P$3:$P$862) + SUMIF(Consumo!$C$3:$C$862,tabItens[[#This Row],[CÓDIGO]],Consumo!$Q$3:$Q$862)</f>
        <v>0</v>
      </c>
      <c r="AT853" s="331">
        <f>SUMIF(Consumo!$C$3:$C$862,tabItens[[#This Row],[CÓDIGO]],Consumo!$Z$3:$Z$862)</f>
        <v>140</v>
      </c>
      <c r="AU853" s="332">
        <f>SUMIF(Consumo!$C$3:$C$862,tabItens[[#This Row],[CÓDIGO]],Consumo!$AA$3:$AA$862)</f>
        <v>40</v>
      </c>
      <c r="AV853" s="333">
        <f>SUMIF(Consumo!$C$3:$C$862,tabItens[[#This Row],[CÓDIGO]],Consumo!$Y$3:$Y$862)</f>
        <v>11.666666666666666</v>
      </c>
      <c r="AW853" s="306">
        <f>tabItens[[#This Row],[QTDE ATUAL]] + tabItens[[#This Row],[RC QTDE]] + tabItens[[#This Row],[AF SALDO]] + tabItens[[#This Row],[Recentes]]</f>
        <v>0</v>
      </c>
      <c r="AX853" s="334">
        <v>3</v>
      </c>
      <c r="AY853" s="334">
        <v>4</v>
      </c>
      <c r="AZ853" s="334">
        <f>IF(ISBLANK(tabItens[[#This Row],[CÓDIGO]]),"",tabItens[[#This Row],[PontoMês]] * (AZ$2+tabItens[[#This Row],[PontoQtM]]))</f>
        <v>12</v>
      </c>
      <c r="BA853" s="333">
        <f>tabItens[[#This Row],[PontoPed]] - tabItens[[#This Row],[Saldo]] + (1/10)</f>
        <v>12.1</v>
      </c>
      <c r="BB853" s="333">
        <f xml:space="preserve"> tabItens[[#This Row],[PontoMês]] * BB$2 - tabItens[[#This Row],[QTDE ATUAL]] - (1/10)</f>
        <v>2.9</v>
      </c>
      <c r="BC853" s="335">
        <f>IF( tabItens[[#This Row],[PontoPed]]&gt;0, IF(tabItens[[#This Row],[PontoPed]]&lt;1, 1, IF( tabItens[[#This Row],[Saldo]]&gt;tabItens[[#This Row],[PontoPed]], 0, (tabItens[[#This Row],[PontoPed]]-tabItens[[#This Row],[Saldo]])/tabItens[[#This Row],[PontoPed]] ) ), 0 )</f>
        <v>1</v>
      </c>
      <c r="BD853" s="336">
        <f>ROUNDDOWN(IF( OR( AND(tabItens[[#This Row],[PontoPed]]&lt;tabItens[[#This Row],[Saldo]],tabItens[[#This Row],[Saldo]]&gt;0), tabItens[[#This Row],[PontoPed]]=0), 99, IF(AND(tabItens[[#This Row],[Saldo]]=0,tabItens[[#This Row],[PontoPed]]&gt;0), 0, (1-tabItens[[#This Row],[PctAb]])*10 ) ),0)</f>
        <v>0</v>
      </c>
      <c r="BE853" s="337">
        <f>MAX(ROUNDDOWN( IF(tabItens[[#This Row],[Abaixo]] &gt; 0,   tabItens[[#This Row],[Abaixo]] + (tabItens[[#This Row],[PontoMês]] * IF( OR( ISBLANK(tabItens[[#This Row],[ATA Nº/ANO]]), tabItens[[#This Row],[ATA Nº/ANO]] = ""),BE$2,BE$1)),0),0),0)</f>
        <v>30</v>
      </c>
      <c r="BF85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853" s="338">
        <f>SUMIF(Consumo!$C$3:$C$862,tabItens[[#This Row],[CÓDIGO]],Consumo!$E$3:$E$862)</f>
        <v>34</v>
      </c>
      <c r="BH853" s="339">
        <f>IF(AND(tabItens[[#This Row],[Pend]] &gt; 0,tabItens[[#This Row],[Consumo]] &lt;&gt; 0), tabItens[[#This Row],[Pend]] / tabItens[[#This Row],[Consumo]], 0 )</f>
        <v>0.24285714285714285</v>
      </c>
      <c r="BI853" s="338"/>
      <c r="BJ853" s="338"/>
      <c r="BK853" s="340" t="s">
        <v>2086</v>
      </c>
    </row>
    <row r="854" spans="1:63" hidden="1" x14ac:dyDescent="0.3">
      <c r="A854" s="301">
        <v>19882</v>
      </c>
      <c r="B854" s="302" t="s">
        <v>1153</v>
      </c>
      <c r="C854" s="303" t="s">
        <v>263</v>
      </c>
      <c r="D854" s="304">
        <v>3.98</v>
      </c>
      <c r="E854" s="305"/>
      <c r="F854" s="305"/>
      <c r="G854" s="305" t="s">
        <v>889</v>
      </c>
      <c r="H854" s="306">
        <v>224</v>
      </c>
      <c r="I854" s="307">
        <v>103003</v>
      </c>
      <c r="J854" s="308">
        <v>3.9693100000000001</v>
      </c>
      <c r="K854" s="309">
        <v>34</v>
      </c>
      <c r="L854" s="310">
        <f>IF(tabItens[[#This Row],[Média]] &gt; 0, tabItens[[#This Row],[QTDE ATUAL]] / tabItens[[#This Row],[Média]],999.9)</f>
        <v>96</v>
      </c>
      <c r="M854" s="311">
        <v>0</v>
      </c>
      <c r="N854" s="312">
        <f>tabItens[[#This Row],[VALOR UNIT.]] * tabItens[[#This Row],[LC]]</f>
        <v>0</v>
      </c>
      <c r="O854" s="313"/>
      <c r="P854" s="314"/>
      <c r="Q854" s="315"/>
      <c r="R854" s="312"/>
      <c r="S854" s="316"/>
      <c r="T854" s="317">
        <f>ROUNDDOWN(IFERROR(tabItens[[#This Row],[ATA DT.VALID.]] - $D$1,0) / 30,0)</f>
        <v>-1474</v>
      </c>
      <c r="U854" s="302" t="s">
        <v>1152</v>
      </c>
      <c r="V854" s="318">
        <v>1</v>
      </c>
      <c r="W854" s="319" t="s">
        <v>2078</v>
      </c>
      <c r="X854" s="320">
        <v>70</v>
      </c>
      <c r="Y854" s="321">
        <v>31</v>
      </c>
      <c r="Z854" s="322"/>
      <c r="AA854" s="323"/>
      <c r="AB854" s="324"/>
      <c r="AC854" s="324"/>
      <c r="AD854" s="323"/>
      <c r="AE854" s="324"/>
      <c r="AF854" s="317"/>
      <c r="AG854" s="325" t="s">
        <v>2072</v>
      </c>
      <c r="AH854" s="326"/>
      <c r="AI854" s="317">
        <v>12</v>
      </c>
      <c r="AJ854" s="326">
        <v>43748</v>
      </c>
      <c r="AK854" s="326" t="s">
        <v>889</v>
      </c>
      <c r="AL854" s="326">
        <v>43619</v>
      </c>
      <c r="AM854" s="316"/>
      <c r="AN854" s="305"/>
      <c r="AO854" s="327" t="str">
        <f>_xlfn.IFNA(IF(VLOOKUP(tabItens[[#This Row],[CÓDIGO]],tabExcluirDoEstoque[#Data],1,FALSE),"sim",""),"")</f>
        <v/>
      </c>
      <c r="AP854" s="328" t="str">
        <f ca="1">IF(OR(ISBLANK(tabItens[[#This Row],[ATA DT.VALID.]]),tabItens[[#This Row],[ATA DT.VALID.]]="",tabItens[[#This Row],[ATA DT.VALID.]]=" "),"",IF(TYPE(tabItens[[#This Row],[ATA DT.VALID.]])=1,ROUNDUP((tabItens[[#This Row],[ATA DT.VALID.]]-TODAY())/7,0),""))</f>
        <v/>
      </c>
      <c r="AQ854" s="329"/>
      <c r="AR854" s="330" t="str">
        <f>IF(ISBLANK(tabItens[[#This Row],[CÓDIGO]]),"",IFERROR(VLOOKUP(tabItens[[#This Row],[CÓDIGO]],Consumo!$C$2:$AC$862,26,FALSE),0))</f>
        <v>04.2023</v>
      </c>
      <c r="AS854" s="331">
        <f>SUMIF(Consumo!$C$3:$C$862,tabItens[[#This Row],[CÓDIGO]],Consumo!$N$3:$N$862) + SUMIF(Consumo!$C$3:$C$862,tabItens[[#This Row],[CÓDIGO]],Consumo!$O$3:$O$862) + SUMIF(Consumo!$C$3:$C$862,tabItens[[#This Row],[CÓDIGO]],Consumo!$P$3:$P$862) + SUMIF(Consumo!$C$3:$C$862,tabItens[[#This Row],[CÓDIGO]],Consumo!$Q$3:$Q$862)</f>
        <v>0</v>
      </c>
      <c r="AT854" s="331">
        <f>SUMIF(Consumo!$C$3:$C$862,tabItens[[#This Row],[CÓDIGO]],Consumo!$Z$3:$Z$862)</f>
        <v>34</v>
      </c>
      <c r="AU854" s="332">
        <f>SUMIF(Consumo!$C$3:$C$862,tabItens[[#This Row],[CÓDIGO]],Consumo!$AA$3:$AA$862)</f>
        <v>20</v>
      </c>
      <c r="AV854" s="333">
        <f>SUMIF(Consumo!$C$3:$C$862,tabItens[[#This Row],[CÓDIGO]],Consumo!$Y$3:$Y$862)</f>
        <v>2.3333333333333335</v>
      </c>
      <c r="AW854" s="306">
        <f>tabItens[[#This Row],[QTDE ATUAL]] + tabItens[[#This Row],[RC QTDE]] + tabItens[[#This Row],[AF SALDO]] + tabItens[[#This Row],[Recentes]]</f>
        <v>224</v>
      </c>
      <c r="AX854" s="334">
        <v>3</v>
      </c>
      <c r="AY854" s="334">
        <v>4</v>
      </c>
      <c r="AZ854" s="334">
        <f>IF(ISBLANK(tabItens[[#This Row],[CÓDIGO]]),"",tabItens[[#This Row],[PontoMês]] * (AZ$2+tabItens[[#This Row],[PontoQtM]]))</f>
        <v>12</v>
      </c>
      <c r="BA854" s="333">
        <f>tabItens[[#This Row],[PontoPed]] - tabItens[[#This Row],[Saldo]] + (1/10)</f>
        <v>-211.9</v>
      </c>
      <c r="BB854" s="333">
        <f xml:space="preserve"> tabItens[[#This Row],[PontoMês]] * BB$2 - tabItens[[#This Row],[QTDE ATUAL]] - (1/10)</f>
        <v>-221.1</v>
      </c>
      <c r="BC854" s="335">
        <f>IF( tabItens[[#This Row],[PontoPed]]&gt;0, IF(tabItens[[#This Row],[PontoPed]]&lt;1, 1, IF( tabItens[[#This Row],[Saldo]]&gt;tabItens[[#This Row],[PontoPed]], 0, (tabItens[[#This Row],[PontoPed]]-tabItens[[#This Row],[Saldo]])/tabItens[[#This Row],[PontoPed]] ) ), 0 )</f>
        <v>0</v>
      </c>
      <c r="BD854" s="336">
        <f>ROUNDDOWN(IF( OR( AND(tabItens[[#This Row],[PontoPed]]&lt;tabItens[[#This Row],[Saldo]],tabItens[[#This Row],[Saldo]]&gt;0), tabItens[[#This Row],[PontoPed]]=0), 99, IF(AND(tabItens[[#This Row],[Saldo]]=0,tabItens[[#This Row],[PontoPed]]&gt;0), 0, (1-tabItens[[#This Row],[PctAb]])*10 ) ),0)</f>
        <v>99</v>
      </c>
      <c r="BE854" s="337">
        <f>MAX(ROUNDDOWN( IF(tabItens[[#This Row],[Abaixo]] &gt; 0,   tabItens[[#This Row],[Abaixo]] + (tabItens[[#This Row],[PontoMês]] * IF( OR( ISBLANK(tabItens[[#This Row],[ATA Nº/ANO]]), tabItens[[#This Row],[ATA Nº/ANO]] = ""),BE$2,BE$1)),0),0),0)</f>
        <v>0</v>
      </c>
      <c r="BF85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4" s="338">
        <f>SUMIF(Consumo!$C$3:$C$862,tabItens[[#This Row],[CÓDIGO]],Consumo!$E$3:$E$862)</f>
        <v>0</v>
      </c>
      <c r="BH854" s="339">
        <f>IF(AND(tabItens[[#This Row],[Pend]] &gt; 0,tabItens[[#This Row],[Consumo]] &lt;&gt; 0), tabItens[[#This Row],[Pend]] / tabItens[[#This Row],[Consumo]], 0 )</f>
        <v>0</v>
      </c>
      <c r="BI854" s="338"/>
      <c r="BJ854" s="338"/>
      <c r="BK854" s="340" t="s">
        <v>2086</v>
      </c>
    </row>
    <row r="855" spans="1:63" hidden="1" x14ac:dyDescent="0.3">
      <c r="A855" s="301">
        <v>19883</v>
      </c>
      <c r="B855" s="302" t="s">
        <v>1154</v>
      </c>
      <c r="C855" s="303" t="s">
        <v>263</v>
      </c>
      <c r="D855" s="304">
        <v>3.45</v>
      </c>
      <c r="E855" s="305"/>
      <c r="F855" s="305"/>
      <c r="G855" s="305" t="s">
        <v>889</v>
      </c>
      <c r="H855" s="306">
        <v>547</v>
      </c>
      <c r="I855" s="307">
        <v>103003</v>
      </c>
      <c r="J855" s="308">
        <v>3.45</v>
      </c>
      <c r="K855" s="309">
        <v>38</v>
      </c>
      <c r="L855" s="310">
        <f>IF(tabItens[[#This Row],[Média]] &gt; 0, tabItens[[#This Row],[QTDE ATUAL]] / tabItens[[#This Row],[Média]],999.9)</f>
        <v>211.74193548387095</v>
      </c>
      <c r="M855" s="311">
        <v>0</v>
      </c>
      <c r="N855" s="312">
        <f>tabItens[[#This Row],[VALOR UNIT.]] * tabItens[[#This Row],[LC]]</f>
        <v>0</v>
      </c>
      <c r="O855" s="313"/>
      <c r="P855" s="314"/>
      <c r="Q855" s="315"/>
      <c r="R855" s="312"/>
      <c r="S855" s="316"/>
      <c r="T855" s="317">
        <f>ROUNDDOWN(IFERROR(tabItens[[#This Row],[ATA DT.VALID.]] - $D$1,0) / 30,0)</f>
        <v>-1474</v>
      </c>
      <c r="U855" s="302" t="s">
        <v>1152</v>
      </c>
      <c r="V855" s="318">
        <v>1</v>
      </c>
      <c r="W855" s="319" t="s">
        <v>2078</v>
      </c>
      <c r="X855" s="320">
        <v>70</v>
      </c>
      <c r="Y855" s="321">
        <v>31</v>
      </c>
      <c r="Z855" s="322"/>
      <c r="AA855" s="323"/>
      <c r="AB855" s="324"/>
      <c r="AC855" s="324"/>
      <c r="AD855" s="323"/>
      <c r="AE855" s="324"/>
      <c r="AF855" s="317"/>
      <c r="AG855" s="325" t="s">
        <v>2072</v>
      </c>
      <c r="AH855" s="326"/>
      <c r="AI855" s="317">
        <v>12</v>
      </c>
      <c r="AJ855" s="326">
        <v>44571</v>
      </c>
      <c r="AK855" s="326" t="s">
        <v>889</v>
      </c>
      <c r="AL855" s="326">
        <v>44536</v>
      </c>
      <c r="AM855" s="316"/>
      <c r="AN855" s="305"/>
      <c r="AO855" s="327" t="str">
        <f>_xlfn.IFNA(IF(VLOOKUP(tabItens[[#This Row],[CÓDIGO]],tabExcluirDoEstoque[#Data],1,FALSE),"sim",""),"")</f>
        <v/>
      </c>
      <c r="AP855" s="328" t="str">
        <f ca="1">IF(OR(ISBLANK(tabItens[[#This Row],[ATA DT.VALID.]]),tabItens[[#This Row],[ATA DT.VALID.]]="",tabItens[[#This Row],[ATA DT.VALID.]]=" "),"",IF(TYPE(tabItens[[#This Row],[ATA DT.VALID.]])=1,ROUNDUP((tabItens[[#This Row],[ATA DT.VALID.]]-TODAY())/7,0),""))</f>
        <v/>
      </c>
      <c r="AQ855" s="329"/>
      <c r="AR855" s="330" t="str">
        <f>IF(ISBLANK(tabItens[[#This Row],[CÓDIGO]]),"",IFERROR(VLOOKUP(tabItens[[#This Row],[CÓDIGO]],Consumo!$C$2:$AC$862,26,FALSE),0))</f>
        <v>04.2023</v>
      </c>
      <c r="AS855" s="331">
        <f>SUMIF(Consumo!$C$3:$C$862,tabItens[[#This Row],[CÓDIGO]],Consumo!$N$3:$N$862) + SUMIF(Consumo!$C$3:$C$862,tabItens[[#This Row],[CÓDIGO]],Consumo!$O$3:$O$862) + SUMIF(Consumo!$C$3:$C$862,tabItens[[#This Row],[CÓDIGO]],Consumo!$P$3:$P$862) + SUMIF(Consumo!$C$3:$C$862,tabItens[[#This Row],[CÓDIGO]],Consumo!$Q$3:$Q$862)</f>
        <v>0</v>
      </c>
      <c r="AT855" s="331">
        <f>SUMIF(Consumo!$C$3:$C$862,tabItens[[#This Row],[CÓDIGO]],Consumo!$Z$3:$Z$862)</f>
        <v>38</v>
      </c>
      <c r="AU855" s="332">
        <f>SUMIF(Consumo!$C$3:$C$862,tabItens[[#This Row],[CÓDIGO]],Consumo!$AA$3:$AA$862)</f>
        <v>22</v>
      </c>
      <c r="AV855" s="333">
        <f>SUMIF(Consumo!$C$3:$C$862,tabItens[[#This Row],[CÓDIGO]],Consumo!$Y$3:$Y$862)</f>
        <v>2.5833333333333335</v>
      </c>
      <c r="AW855" s="306">
        <f>tabItens[[#This Row],[QTDE ATUAL]] + tabItens[[#This Row],[RC QTDE]] + tabItens[[#This Row],[AF SALDO]] + tabItens[[#This Row],[Recentes]]</f>
        <v>547</v>
      </c>
      <c r="AX855" s="334">
        <v>4</v>
      </c>
      <c r="AY855" s="334">
        <v>4</v>
      </c>
      <c r="AZ855" s="334">
        <f>IF(ISBLANK(tabItens[[#This Row],[CÓDIGO]]),"",tabItens[[#This Row],[PontoMês]] * (AZ$2+tabItens[[#This Row],[PontoQtM]]))</f>
        <v>16</v>
      </c>
      <c r="BA855" s="333">
        <f>tabItens[[#This Row],[PontoPed]] - tabItens[[#This Row],[Saldo]] + (1/10)</f>
        <v>-530.9</v>
      </c>
      <c r="BB855" s="333">
        <f xml:space="preserve"> tabItens[[#This Row],[PontoMês]] * BB$2 - tabItens[[#This Row],[QTDE ATUAL]] - (1/10)</f>
        <v>-543.1</v>
      </c>
      <c r="BC855" s="335">
        <f>IF( tabItens[[#This Row],[PontoPed]]&gt;0, IF(tabItens[[#This Row],[PontoPed]]&lt;1, 1, IF( tabItens[[#This Row],[Saldo]]&gt;tabItens[[#This Row],[PontoPed]], 0, (tabItens[[#This Row],[PontoPed]]-tabItens[[#This Row],[Saldo]])/tabItens[[#This Row],[PontoPed]] ) ), 0 )</f>
        <v>0</v>
      </c>
      <c r="BD855" s="336">
        <f>ROUNDDOWN(IF( OR( AND(tabItens[[#This Row],[PontoPed]]&lt;tabItens[[#This Row],[Saldo]],tabItens[[#This Row],[Saldo]]&gt;0), tabItens[[#This Row],[PontoPed]]=0), 99, IF(AND(tabItens[[#This Row],[Saldo]]=0,tabItens[[#This Row],[PontoPed]]&gt;0), 0, (1-tabItens[[#This Row],[PctAb]])*10 ) ),0)</f>
        <v>99</v>
      </c>
      <c r="BE855" s="337">
        <f>MAX(ROUNDDOWN( IF(tabItens[[#This Row],[Abaixo]] &gt; 0,   tabItens[[#This Row],[Abaixo]] + (tabItens[[#This Row],[PontoMês]] * IF( OR( ISBLANK(tabItens[[#This Row],[ATA Nº/ANO]]), tabItens[[#This Row],[ATA Nº/ANO]] = ""),BE$2,BE$1)),0),0),0)</f>
        <v>0</v>
      </c>
      <c r="BF85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5" s="338">
        <f>SUMIF(Consumo!$C$3:$C$862,tabItens[[#This Row],[CÓDIGO]],Consumo!$E$3:$E$862)</f>
        <v>0</v>
      </c>
      <c r="BH855" s="339">
        <f>IF(AND(tabItens[[#This Row],[Pend]] &gt; 0,tabItens[[#This Row],[Consumo]] &lt;&gt; 0), tabItens[[#This Row],[Pend]] / tabItens[[#This Row],[Consumo]], 0 )</f>
        <v>0</v>
      </c>
      <c r="BI855" s="338"/>
      <c r="BJ855" s="338"/>
      <c r="BK855" s="340" t="s">
        <v>2086</v>
      </c>
    </row>
    <row r="856" spans="1:63" hidden="1" x14ac:dyDescent="0.3">
      <c r="A856" s="301">
        <v>104911</v>
      </c>
      <c r="B856" s="302" t="s">
        <v>1609</v>
      </c>
      <c r="C856" s="303" t="s">
        <v>31</v>
      </c>
      <c r="D856" s="304">
        <v>92</v>
      </c>
      <c r="E856" s="305"/>
      <c r="F856" s="305"/>
      <c r="G856" s="305" t="s">
        <v>889</v>
      </c>
      <c r="H856" s="306">
        <v>95</v>
      </c>
      <c r="I856" s="307">
        <v>103003</v>
      </c>
      <c r="J856" s="308">
        <v>92</v>
      </c>
      <c r="K856" s="309">
        <v>46</v>
      </c>
      <c r="L856" s="310">
        <f>IF(tabItens[[#This Row],[Média]] &gt; 0, tabItens[[#This Row],[QTDE ATUAL]] / tabItens[[#This Row],[Média]],999.9)</f>
        <v>27.142857142857142</v>
      </c>
      <c r="M856" s="311">
        <v>0</v>
      </c>
      <c r="N856" s="312">
        <f>tabItens[[#This Row],[VALOR UNIT.]] * tabItens[[#This Row],[LC]]</f>
        <v>0</v>
      </c>
      <c r="O856" s="313"/>
      <c r="P856" s="314"/>
      <c r="Q856" s="315"/>
      <c r="R856" s="312"/>
      <c r="S856" s="316"/>
      <c r="T856" s="317">
        <f>ROUNDDOWN(IFERROR(tabItens[[#This Row],[ATA DT.VALID.]] - $D$1,0) / 30,0)</f>
        <v>-1474</v>
      </c>
      <c r="U856" s="302" t="s">
        <v>1610</v>
      </c>
      <c r="V856" s="318">
        <v>1</v>
      </c>
      <c r="W856" s="319" t="s">
        <v>2078</v>
      </c>
      <c r="X856" s="320">
        <v>70</v>
      </c>
      <c r="Y856" s="321">
        <v>45</v>
      </c>
      <c r="Z856" s="322"/>
      <c r="AA856" s="323"/>
      <c r="AB856" s="324"/>
      <c r="AC856" s="324"/>
      <c r="AD856" s="323"/>
      <c r="AE856" s="324"/>
      <c r="AF856" s="317"/>
      <c r="AG856" s="325" t="s">
        <v>2072</v>
      </c>
      <c r="AH856" s="326"/>
      <c r="AI856" s="317">
        <v>22</v>
      </c>
      <c r="AJ856" s="326">
        <v>40423</v>
      </c>
      <c r="AK856" s="326">
        <v>39490</v>
      </c>
      <c r="AL856" s="326">
        <v>40387</v>
      </c>
      <c r="AM856" s="316"/>
      <c r="AN856" s="305"/>
      <c r="AO856" s="327" t="str">
        <f>_xlfn.IFNA(IF(VLOOKUP(tabItens[[#This Row],[CÓDIGO]],tabExcluirDoEstoque[#Data],1,FALSE),"sim",""),"")</f>
        <v/>
      </c>
      <c r="AP856" s="328" t="str">
        <f ca="1">IF(OR(ISBLANK(tabItens[[#This Row],[ATA DT.VALID.]]),tabItens[[#This Row],[ATA DT.VALID.]]="",tabItens[[#This Row],[ATA DT.VALID.]]=" "),"",IF(TYPE(tabItens[[#This Row],[ATA DT.VALID.]])=1,ROUNDUP((tabItens[[#This Row],[ATA DT.VALID.]]-TODAY())/7,0),""))</f>
        <v/>
      </c>
      <c r="AQ856" s="329"/>
      <c r="AR856" s="330" t="str">
        <f>IF(ISBLANK(tabItens[[#This Row],[CÓDIGO]]),"",IFERROR(VLOOKUP(tabItens[[#This Row],[CÓDIGO]],Consumo!$C$2:$AC$862,26,FALSE),0))</f>
        <v>07.2023</v>
      </c>
      <c r="AS856" s="331">
        <f>SUMIF(Consumo!$C$3:$C$862,tabItens[[#This Row],[CÓDIGO]],Consumo!$N$3:$N$862) + SUMIF(Consumo!$C$3:$C$862,tabItens[[#This Row],[CÓDIGO]],Consumo!$O$3:$O$862) + SUMIF(Consumo!$C$3:$C$862,tabItens[[#This Row],[CÓDIGO]],Consumo!$P$3:$P$862) + SUMIF(Consumo!$C$3:$C$862,tabItens[[#This Row],[CÓDIGO]],Consumo!$Q$3:$Q$862)</f>
        <v>20</v>
      </c>
      <c r="AT856" s="331">
        <f>SUMIF(Consumo!$C$3:$C$862,tabItens[[#This Row],[CÓDIGO]],Consumo!$Z$3:$Z$862)</f>
        <v>46</v>
      </c>
      <c r="AU856" s="332">
        <f>SUMIF(Consumo!$C$3:$C$862,tabItens[[#This Row],[CÓDIGO]],Consumo!$AA$3:$AA$862)</f>
        <v>20</v>
      </c>
      <c r="AV856" s="333">
        <f>SUMIF(Consumo!$C$3:$C$862,tabItens[[#This Row],[CÓDIGO]],Consumo!$Y$3:$Y$862)</f>
        <v>3.5</v>
      </c>
      <c r="AW856" s="306">
        <f>tabItens[[#This Row],[QTDE ATUAL]] + tabItens[[#This Row],[RC QTDE]] + tabItens[[#This Row],[AF SALDO]] + tabItens[[#This Row],[Recentes]]</f>
        <v>95</v>
      </c>
      <c r="AX856" s="334">
        <v>2</v>
      </c>
      <c r="AY856" s="334">
        <v>4</v>
      </c>
      <c r="AZ856" s="334">
        <f>IF(ISBLANK(tabItens[[#This Row],[CÓDIGO]]),"",tabItens[[#This Row],[PontoMês]] * (AZ$2+tabItens[[#This Row],[PontoQtM]]))</f>
        <v>8</v>
      </c>
      <c r="BA856" s="333">
        <f>tabItens[[#This Row],[PontoPed]] - tabItens[[#This Row],[Saldo]] + (1/10)</f>
        <v>-86.9</v>
      </c>
      <c r="BB856" s="333">
        <f xml:space="preserve"> tabItens[[#This Row],[PontoMês]] * BB$2 - tabItens[[#This Row],[QTDE ATUAL]] - (1/10)</f>
        <v>-93.1</v>
      </c>
      <c r="BC856" s="335">
        <f>IF( tabItens[[#This Row],[PontoPed]]&gt;0, IF(tabItens[[#This Row],[PontoPed]]&lt;1, 1, IF( tabItens[[#This Row],[Saldo]]&gt;tabItens[[#This Row],[PontoPed]], 0, (tabItens[[#This Row],[PontoPed]]-tabItens[[#This Row],[Saldo]])/tabItens[[#This Row],[PontoPed]] ) ), 0 )</f>
        <v>0</v>
      </c>
      <c r="BD856" s="336">
        <f>ROUNDDOWN(IF( OR( AND(tabItens[[#This Row],[PontoPed]]&lt;tabItens[[#This Row],[Saldo]],tabItens[[#This Row],[Saldo]]&gt;0), tabItens[[#This Row],[PontoPed]]=0), 99, IF(AND(tabItens[[#This Row],[Saldo]]=0,tabItens[[#This Row],[PontoPed]]&gt;0), 0, (1-tabItens[[#This Row],[PctAb]])*10 ) ),0)</f>
        <v>99</v>
      </c>
      <c r="BE856" s="337">
        <f>MAX(ROUNDDOWN( IF(tabItens[[#This Row],[Abaixo]] &gt; 0,   tabItens[[#This Row],[Abaixo]] + (tabItens[[#This Row],[PontoMês]] * IF( OR( ISBLANK(tabItens[[#This Row],[ATA Nº/ANO]]), tabItens[[#This Row],[ATA Nº/ANO]] = ""),BE$2,BE$1)),0),0),0)</f>
        <v>0</v>
      </c>
      <c r="BF85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6" s="338">
        <f>SUMIF(Consumo!$C$3:$C$862,tabItens[[#This Row],[CÓDIGO]],Consumo!$E$3:$E$862)</f>
        <v>0</v>
      </c>
      <c r="BH856" s="339">
        <f>IF(AND(tabItens[[#This Row],[Pend]] &gt; 0,tabItens[[#This Row],[Consumo]] &lt;&gt; 0), tabItens[[#This Row],[Pend]] / tabItens[[#This Row],[Consumo]], 0 )</f>
        <v>0</v>
      </c>
      <c r="BI856" s="338"/>
      <c r="BJ856" s="338"/>
      <c r="BK856" s="340" t="s">
        <v>2086</v>
      </c>
    </row>
    <row r="857" spans="1:63" hidden="1" x14ac:dyDescent="0.3">
      <c r="A857" s="301">
        <v>81370</v>
      </c>
      <c r="B857" s="302" t="s">
        <v>1473</v>
      </c>
      <c r="C857" s="303" t="s">
        <v>335</v>
      </c>
      <c r="D857" s="304">
        <v>1.61</v>
      </c>
      <c r="E857" s="305"/>
      <c r="F857" s="305"/>
      <c r="G857" s="305" t="s">
        <v>889</v>
      </c>
      <c r="H857" s="306">
        <v>0</v>
      </c>
      <c r="I857" s="307">
        <v>103003</v>
      </c>
      <c r="J857" s="308">
        <v>1.61</v>
      </c>
      <c r="K857" s="309">
        <v>2865</v>
      </c>
      <c r="L857" s="310">
        <f>IF(tabItens[[#This Row],[Média]] &gt; 0, tabItens[[#This Row],[QTDE ATUAL]] / tabItens[[#This Row],[Média]],999.9)</f>
        <v>0</v>
      </c>
      <c r="M857" s="311">
        <v>0</v>
      </c>
      <c r="N857" s="312">
        <f>tabItens[[#This Row],[VALOR UNIT.]] * tabItens[[#This Row],[LC]]</f>
        <v>0</v>
      </c>
      <c r="O857" s="313"/>
      <c r="P857" s="314"/>
      <c r="Q857" s="315"/>
      <c r="R857" s="312"/>
      <c r="S857" s="316"/>
      <c r="T857" s="317">
        <f>ROUNDDOWN(IFERROR(tabItens[[#This Row],[ATA DT.VALID.]] - $D$1,0) / 30,0)</f>
        <v>-1474</v>
      </c>
      <c r="U857" s="302" t="s">
        <v>1474</v>
      </c>
      <c r="V857" s="318">
        <v>1</v>
      </c>
      <c r="W857" s="319" t="s">
        <v>2074</v>
      </c>
      <c r="X857" s="320">
        <v>71</v>
      </c>
      <c r="Y857" s="321">
        <v>33</v>
      </c>
      <c r="Z857" s="322">
        <v>6219</v>
      </c>
      <c r="AA857" s="323">
        <v>2023</v>
      </c>
      <c r="AB857" s="324">
        <v>1700</v>
      </c>
      <c r="AC857" s="324"/>
      <c r="AD857" s="323"/>
      <c r="AE857" s="324"/>
      <c r="AF857" s="317"/>
      <c r="AG857" s="325" t="s">
        <v>2072</v>
      </c>
      <c r="AH857" s="326"/>
      <c r="AI857" s="317">
        <v>1234</v>
      </c>
      <c r="AJ857" s="326">
        <v>45027</v>
      </c>
      <c r="AK857" s="326">
        <v>38217</v>
      </c>
      <c r="AL857" s="326">
        <v>44998</v>
      </c>
      <c r="AM857" s="316"/>
      <c r="AN857" s="305"/>
      <c r="AO857" s="327" t="str">
        <f>_xlfn.IFNA(IF(VLOOKUP(tabItens[[#This Row],[CÓDIGO]],tabExcluirDoEstoque[#Data],1,FALSE),"sim",""),"")</f>
        <v/>
      </c>
      <c r="AP857" s="328" t="str">
        <f ca="1">IF(OR(ISBLANK(tabItens[[#This Row],[ATA DT.VALID.]]),tabItens[[#This Row],[ATA DT.VALID.]]="",tabItens[[#This Row],[ATA DT.VALID.]]=" "),"",IF(TYPE(tabItens[[#This Row],[ATA DT.VALID.]])=1,ROUNDUP((tabItens[[#This Row],[ATA DT.VALID.]]-TODAY())/7,0),""))</f>
        <v/>
      </c>
      <c r="AQ857" s="329"/>
      <c r="AR857" s="330" t="str">
        <f>IF(ISBLANK(tabItens[[#This Row],[CÓDIGO]]),"",IFERROR(VLOOKUP(tabItens[[#This Row],[CÓDIGO]],Consumo!$C$2:$AC$862,26,FALSE),0))</f>
        <v>09.2023</v>
      </c>
      <c r="AS857" s="331">
        <f>SUMIF(Consumo!$C$3:$C$862,tabItens[[#This Row],[CÓDIGO]],Consumo!$N$3:$N$862) + SUMIF(Consumo!$C$3:$C$862,tabItens[[#This Row],[CÓDIGO]],Consumo!$O$3:$O$862) + SUMIF(Consumo!$C$3:$C$862,tabItens[[#This Row],[CÓDIGO]],Consumo!$P$3:$P$862) + SUMIF(Consumo!$C$3:$C$862,tabItens[[#This Row],[CÓDIGO]],Consumo!$Q$3:$Q$862)</f>
        <v>739</v>
      </c>
      <c r="AT857" s="331">
        <f>SUMIF(Consumo!$C$3:$C$862,tabItens[[#This Row],[CÓDIGO]],Consumo!$Z$3:$Z$862)</f>
        <v>3887</v>
      </c>
      <c r="AU857" s="332">
        <f>SUMIF(Consumo!$C$3:$C$862,tabItens[[#This Row],[CÓDIGO]],Consumo!$AA$3:$AA$862)</f>
        <v>1694</v>
      </c>
      <c r="AV857" s="333">
        <f>SUMIF(Consumo!$C$3:$C$862,tabItens[[#This Row],[CÓDIGO]],Consumo!$Y$3:$Y$862)</f>
        <v>280.16666666666669</v>
      </c>
      <c r="AW857" s="306">
        <f>tabItens[[#This Row],[QTDE ATUAL]] + tabItens[[#This Row],[RC QTDE]] + tabItens[[#This Row],[AF SALDO]] + tabItens[[#This Row],[Recentes]]</f>
        <v>1700</v>
      </c>
      <c r="AX857" s="334">
        <v>354</v>
      </c>
      <c r="AY857" s="334">
        <v>4</v>
      </c>
      <c r="AZ857" s="334">
        <f>IF(ISBLANK(tabItens[[#This Row],[CÓDIGO]]),"",tabItens[[#This Row],[PontoMês]] * (AZ$2+tabItens[[#This Row],[PontoQtM]]))</f>
        <v>1416</v>
      </c>
      <c r="BA857" s="333">
        <f>tabItens[[#This Row],[PontoPed]] - tabItens[[#This Row],[Saldo]] + (1/10)</f>
        <v>-283.89999999999998</v>
      </c>
      <c r="BB857" s="333">
        <f xml:space="preserve"> tabItens[[#This Row],[PontoMês]] * BB$2 - tabItens[[#This Row],[QTDE ATUAL]] - (1/10)</f>
        <v>353.9</v>
      </c>
      <c r="BC857" s="335">
        <f>IF( tabItens[[#This Row],[PontoPed]]&gt;0, IF(tabItens[[#This Row],[PontoPed]]&lt;1, 1, IF( tabItens[[#This Row],[Saldo]]&gt;tabItens[[#This Row],[PontoPed]], 0, (tabItens[[#This Row],[PontoPed]]-tabItens[[#This Row],[Saldo]])/tabItens[[#This Row],[PontoPed]] ) ), 0 )</f>
        <v>0</v>
      </c>
      <c r="BD857" s="336">
        <f>ROUNDDOWN(IF( OR( AND(tabItens[[#This Row],[PontoPed]]&lt;tabItens[[#This Row],[Saldo]],tabItens[[#This Row],[Saldo]]&gt;0), tabItens[[#This Row],[PontoPed]]=0), 99, IF(AND(tabItens[[#This Row],[Saldo]]=0,tabItens[[#This Row],[PontoPed]]&gt;0), 0, (1-tabItens[[#This Row],[PctAb]])*10 ) ),0)</f>
        <v>99</v>
      </c>
      <c r="BE857" s="337">
        <f>MAX(ROUNDDOWN( IF(tabItens[[#This Row],[Abaixo]] &gt; 0,   tabItens[[#This Row],[Abaixo]] + (tabItens[[#This Row],[PontoMês]] * IF( OR( ISBLANK(tabItens[[#This Row],[ATA Nº/ANO]]), tabItens[[#This Row],[ATA Nº/ANO]] = ""),BE$2,BE$1)),0),0),0)</f>
        <v>0</v>
      </c>
      <c r="BF85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7" s="338">
        <f>SUMIF(Consumo!$C$3:$C$862,tabItens[[#This Row],[CÓDIGO]],Consumo!$E$3:$E$862)</f>
        <v>183</v>
      </c>
      <c r="BH857" s="339">
        <f>IF(AND(tabItens[[#This Row],[Pend]] &gt; 0,tabItens[[#This Row],[Consumo]] &lt;&gt; 0), tabItens[[#This Row],[Pend]] / tabItens[[#This Row],[Consumo]], 0 )</f>
        <v>4.7080010290712633E-2</v>
      </c>
      <c r="BI857" s="338"/>
      <c r="BJ857" s="338"/>
      <c r="BK857" s="340" t="s">
        <v>2086</v>
      </c>
    </row>
    <row r="858" spans="1:63" hidden="1" x14ac:dyDescent="0.3">
      <c r="A858" s="301">
        <v>81371</v>
      </c>
      <c r="B858" s="302" t="s">
        <v>1475</v>
      </c>
      <c r="C858" s="303" t="s">
        <v>335</v>
      </c>
      <c r="D858" s="304">
        <v>1.61</v>
      </c>
      <c r="E858" s="305"/>
      <c r="F858" s="305"/>
      <c r="G858" s="305" t="s">
        <v>889</v>
      </c>
      <c r="H858" s="306">
        <v>0</v>
      </c>
      <c r="I858" s="307">
        <v>103003</v>
      </c>
      <c r="J858" s="308">
        <v>1.61</v>
      </c>
      <c r="K858" s="309">
        <v>2819</v>
      </c>
      <c r="L858" s="310">
        <f>IF(tabItens[[#This Row],[Média]] &gt; 0, tabItens[[#This Row],[QTDE ATUAL]] / tabItens[[#This Row],[Média]],999.9)</f>
        <v>0</v>
      </c>
      <c r="M858" s="311">
        <v>0</v>
      </c>
      <c r="N858" s="312">
        <f>tabItens[[#This Row],[VALOR UNIT.]] * tabItens[[#This Row],[LC]]</f>
        <v>0</v>
      </c>
      <c r="O858" s="313"/>
      <c r="P858" s="314"/>
      <c r="Q858" s="315"/>
      <c r="R858" s="312"/>
      <c r="S858" s="316"/>
      <c r="T858" s="317">
        <f>ROUNDDOWN(IFERROR(tabItens[[#This Row],[ATA DT.VALID.]] - $D$1,0) / 30,0)</f>
        <v>-1474</v>
      </c>
      <c r="U858" s="302" t="s">
        <v>1474</v>
      </c>
      <c r="V858" s="318">
        <v>1</v>
      </c>
      <c r="W858" s="319" t="s">
        <v>2074</v>
      </c>
      <c r="X858" s="320">
        <v>71</v>
      </c>
      <c r="Y858" s="321">
        <v>33</v>
      </c>
      <c r="Z858" s="322">
        <v>6219</v>
      </c>
      <c r="AA858" s="323">
        <v>2023</v>
      </c>
      <c r="AB858" s="324">
        <v>1700</v>
      </c>
      <c r="AC858" s="324"/>
      <c r="AD858" s="323"/>
      <c r="AE858" s="324"/>
      <c r="AF858" s="317"/>
      <c r="AG858" s="325" t="s">
        <v>2072</v>
      </c>
      <c r="AH858" s="326"/>
      <c r="AI858" s="317">
        <v>1188</v>
      </c>
      <c r="AJ858" s="326">
        <v>45027</v>
      </c>
      <c r="AK858" s="326">
        <v>38217</v>
      </c>
      <c r="AL858" s="326">
        <v>44998</v>
      </c>
      <c r="AM858" s="316"/>
      <c r="AN858" s="305"/>
      <c r="AO858" s="327" t="str">
        <f>_xlfn.IFNA(IF(VLOOKUP(tabItens[[#This Row],[CÓDIGO]],tabExcluirDoEstoque[#Data],1,FALSE),"sim",""),"")</f>
        <v/>
      </c>
      <c r="AP858" s="328" t="str">
        <f ca="1">IF(OR(ISBLANK(tabItens[[#This Row],[ATA DT.VALID.]]),tabItens[[#This Row],[ATA DT.VALID.]]="",tabItens[[#This Row],[ATA DT.VALID.]]=" "),"",IF(TYPE(tabItens[[#This Row],[ATA DT.VALID.]])=1,ROUNDUP((tabItens[[#This Row],[ATA DT.VALID.]]-TODAY())/7,0),""))</f>
        <v/>
      </c>
      <c r="AQ858" s="329"/>
      <c r="AR858" s="330" t="str">
        <f>IF(ISBLANK(tabItens[[#This Row],[CÓDIGO]]),"",IFERROR(VLOOKUP(tabItens[[#This Row],[CÓDIGO]],Consumo!$C$2:$AC$862,26,FALSE),0))</f>
        <v>08.2023</v>
      </c>
      <c r="AS858" s="331">
        <f>SUMIF(Consumo!$C$3:$C$862,tabItens[[#This Row],[CÓDIGO]],Consumo!$N$3:$N$862) + SUMIF(Consumo!$C$3:$C$862,tabItens[[#This Row],[CÓDIGO]],Consumo!$O$3:$O$862) + SUMIF(Consumo!$C$3:$C$862,tabItens[[#This Row],[CÓDIGO]],Consumo!$P$3:$P$862) + SUMIF(Consumo!$C$3:$C$862,tabItens[[#This Row],[CÓDIGO]],Consumo!$Q$3:$Q$862)</f>
        <v>592</v>
      </c>
      <c r="AT858" s="331">
        <f>SUMIF(Consumo!$C$3:$C$862,tabItens[[#This Row],[CÓDIGO]],Consumo!$Z$3:$Z$862)</f>
        <v>3743</v>
      </c>
      <c r="AU858" s="332">
        <f>SUMIF(Consumo!$C$3:$C$862,tabItens[[#This Row],[CÓDIGO]],Consumo!$AA$3:$AA$862)</f>
        <v>1704</v>
      </c>
      <c r="AV858" s="333">
        <f>SUMIF(Consumo!$C$3:$C$862,tabItens[[#This Row],[CÓDIGO]],Consumo!$Y$3:$Y$862)</f>
        <v>267.66666666666669</v>
      </c>
      <c r="AW858" s="306">
        <f>tabItens[[#This Row],[QTDE ATUAL]] + tabItens[[#This Row],[RC QTDE]] + tabItens[[#This Row],[AF SALDO]] + tabItens[[#This Row],[Recentes]]</f>
        <v>1700</v>
      </c>
      <c r="AX858" s="334">
        <v>358</v>
      </c>
      <c r="AY858" s="334">
        <v>4</v>
      </c>
      <c r="AZ858" s="334">
        <f>IF(ISBLANK(tabItens[[#This Row],[CÓDIGO]]),"",tabItens[[#This Row],[PontoMês]] * (AZ$2+tabItens[[#This Row],[PontoQtM]]))</f>
        <v>1432</v>
      </c>
      <c r="BA858" s="333">
        <f>tabItens[[#This Row],[PontoPed]] - tabItens[[#This Row],[Saldo]] + (1/10)</f>
        <v>-267.89999999999998</v>
      </c>
      <c r="BB858" s="333">
        <f xml:space="preserve"> tabItens[[#This Row],[PontoMês]] * BB$2 - tabItens[[#This Row],[QTDE ATUAL]] - (1/10)</f>
        <v>357.9</v>
      </c>
      <c r="BC858" s="335">
        <f>IF( tabItens[[#This Row],[PontoPed]]&gt;0, IF(tabItens[[#This Row],[PontoPed]]&lt;1, 1, IF( tabItens[[#This Row],[Saldo]]&gt;tabItens[[#This Row],[PontoPed]], 0, (tabItens[[#This Row],[PontoPed]]-tabItens[[#This Row],[Saldo]])/tabItens[[#This Row],[PontoPed]] ) ), 0 )</f>
        <v>0</v>
      </c>
      <c r="BD858" s="336">
        <f>ROUNDDOWN(IF( OR( AND(tabItens[[#This Row],[PontoPed]]&lt;tabItens[[#This Row],[Saldo]],tabItens[[#This Row],[Saldo]]&gt;0), tabItens[[#This Row],[PontoPed]]=0), 99, IF(AND(tabItens[[#This Row],[Saldo]]=0,tabItens[[#This Row],[PontoPed]]&gt;0), 0, (1-tabItens[[#This Row],[PctAb]])*10 ) ),0)</f>
        <v>99</v>
      </c>
      <c r="BE858" s="337">
        <f>MAX(ROUNDDOWN( IF(tabItens[[#This Row],[Abaixo]] &gt; 0,   tabItens[[#This Row],[Abaixo]] + (tabItens[[#This Row],[PontoMês]] * IF( OR( ISBLANK(tabItens[[#This Row],[ATA Nº/ANO]]), tabItens[[#This Row],[ATA Nº/ANO]] = ""),BE$2,BE$1)),0),0),0)</f>
        <v>0</v>
      </c>
      <c r="BF85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8" s="338">
        <f>SUMIF(Consumo!$C$3:$C$862,tabItens[[#This Row],[CÓDIGO]],Consumo!$E$3:$E$862)</f>
        <v>180</v>
      </c>
      <c r="BH858" s="339">
        <f>IF(AND(tabItens[[#This Row],[Pend]] &gt; 0,tabItens[[#This Row],[Consumo]] &lt;&gt; 0), tabItens[[#This Row],[Pend]] / tabItens[[#This Row],[Consumo]], 0 )</f>
        <v>4.8089767566123431E-2</v>
      </c>
      <c r="BI858" s="338"/>
      <c r="BJ858" s="338"/>
      <c r="BK858" s="340" t="s">
        <v>2086</v>
      </c>
    </row>
    <row r="859" spans="1:63" hidden="1" x14ac:dyDescent="0.3">
      <c r="A859" s="301">
        <v>132400</v>
      </c>
      <c r="B859" s="302" t="s">
        <v>1834</v>
      </c>
      <c r="C859" s="303" t="s">
        <v>335</v>
      </c>
      <c r="D859" s="304">
        <v>1.61</v>
      </c>
      <c r="E859" s="305"/>
      <c r="F859" s="305"/>
      <c r="G859" s="305" t="s">
        <v>889</v>
      </c>
      <c r="H859" s="306">
        <v>0</v>
      </c>
      <c r="I859" s="307">
        <v>103003</v>
      </c>
      <c r="J859" s="308">
        <v>1.61</v>
      </c>
      <c r="K859" s="309">
        <v>2822</v>
      </c>
      <c r="L859" s="310">
        <f>IF(tabItens[[#This Row],[Média]] &gt; 0, tabItens[[#This Row],[QTDE ATUAL]] / tabItens[[#This Row],[Média]],999.9)</f>
        <v>0</v>
      </c>
      <c r="M859" s="311">
        <v>0</v>
      </c>
      <c r="N859" s="312">
        <f>tabItens[[#This Row],[VALOR UNIT.]] * tabItens[[#This Row],[LC]]</f>
        <v>0</v>
      </c>
      <c r="O859" s="313"/>
      <c r="P859" s="314"/>
      <c r="Q859" s="315"/>
      <c r="R859" s="312"/>
      <c r="S859" s="316"/>
      <c r="T859" s="317">
        <f>ROUNDDOWN(IFERROR(tabItens[[#This Row],[ATA DT.VALID.]] - $D$1,0) / 30,0)</f>
        <v>-1474</v>
      </c>
      <c r="U859" s="302" t="s">
        <v>1474</v>
      </c>
      <c r="V859" s="318">
        <v>1</v>
      </c>
      <c r="W859" s="319" t="s">
        <v>2074</v>
      </c>
      <c r="X859" s="320">
        <v>71</v>
      </c>
      <c r="Y859" s="321">
        <v>33</v>
      </c>
      <c r="Z859" s="322">
        <v>6219</v>
      </c>
      <c r="AA859" s="323">
        <v>2023</v>
      </c>
      <c r="AB859" s="324">
        <v>1700</v>
      </c>
      <c r="AC859" s="324"/>
      <c r="AD859" s="323"/>
      <c r="AE859" s="324"/>
      <c r="AF859" s="317"/>
      <c r="AG859" s="325" t="s">
        <v>2072</v>
      </c>
      <c r="AH859" s="326"/>
      <c r="AI859" s="317">
        <v>1196</v>
      </c>
      <c r="AJ859" s="326">
        <v>45027</v>
      </c>
      <c r="AK859" s="326">
        <v>42765</v>
      </c>
      <c r="AL859" s="326">
        <v>44998</v>
      </c>
      <c r="AM859" s="316"/>
      <c r="AN859" s="305"/>
      <c r="AO859" s="327" t="str">
        <f>_xlfn.IFNA(IF(VLOOKUP(tabItens[[#This Row],[CÓDIGO]],tabExcluirDoEstoque[#Data],1,FALSE),"sim",""),"")</f>
        <v/>
      </c>
      <c r="AP859" s="328" t="str">
        <f ca="1">IF(OR(ISBLANK(tabItens[[#This Row],[ATA DT.VALID.]]),tabItens[[#This Row],[ATA DT.VALID.]]="",tabItens[[#This Row],[ATA DT.VALID.]]=" "),"",IF(TYPE(tabItens[[#This Row],[ATA DT.VALID.]])=1,ROUNDUP((tabItens[[#This Row],[ATA DT.VALID.]]-TODAY())/7,0),""))</f>
        <v/>
      </c>
      <c r="AQ859" s="329"/>
      <c r="AR859" s="330" t="str">
        <f>IF(ISBLANK(tabItens[[#This Row],[CÓDIGO]]),"",IFERROR(VLOOKUP(tabItens[[#This Row],[CÓDIGO]],Consumo!$C$2:$AC$862,26,FALSE),0))</f>
        <v>08.2023</v>
      </c>
      <c r="AS859" s="331">
        <f>SUMIF(Consumo!$C$3:$C$862,tabItens[[#This Row],[CÓDIGO]],Consumo!$N$3:$N$862) + SUMIF(Consumo!$C$3:$C$862,tabItens[[#This Row],[CÓDIGO]],Consumo!$O$3:$O$862) + SUMIF(Consumo!$C$3:$C$862,tabItens[[#This Row],[CÓDIGO]],Consumo!$P$3:$P$862) + SUMIF(Consumo!$C$3:$C$862,tabItens[[#This Row],[CÓDIGO]],Consumo!$Q$3:$Q$862)</f>
        <v>602</v>
      </c>
      <c r="AT859" s="331">
        <f>SUMIF(Consumo!$C$3:$C$862,tabItens[[#This Row],[CÓDIGO]],Consumo!$Z$3:$Z$862)</f>
        <v>3768</v>
      </c>
      <c r="AU859" s="332">
        <f>SUMIF(Consumo!$C$3:$C$862,tabItens[[#This Row],[CÓDIGO]],Consumo!$AA$3:$AA$862)</f>
        <v>1701</v>
      </c>
      <c r="AV859" s="333">
        <f>SUMIF(Consumo!$C$3:$C$862,tabItens[[#This Row],[CÓDIGO]],Consumo!$Y$3:$Y$862)</f>
        <v>269.91666666666669</v>
      </c>
      <c r="AW859" s="306">
        <f>tabItens[[#This Row],[QTDE ATUAL]] + tabItens[[#This Row],[RC QTDE]] + tabItens[[#This Row],[AF SALDO]] + tabItens[[#This Row],[Recentes]]</f>
        <v>1700</v>
      </c>
      <c r="AX859" s="334">
        <v>359</v>
      </c>
      <c r="AY859" s="334">
        <v>4</v>
      </c>
      <c r="AZ859" s="334">
        <f>IF(ISBLANK(tabItens[[#This Row],[CÓDIGO]]),"",tabItens[[#This Row],[PontoMês]] * (AZ$2+tabItens[[#This Row],[PontoQtM]]))</f>
        <v>1436</v>
      </c>
      <c r="BA859" s="333">
        <f>tabItens[[#This Row],[PontoPed]] - tabItens[[#This Row],[Saldo]] + (1/10)</f>
        <v>-263.89999999999998</v>
      </c>
      <c r="BB859" s="333">
        <f xml:space="preserve"> tabItens[[#This Row],[PontoMês]] * BB$2 - tabItens[[#This Row],[QTDE ATUAL]] - (1/10)</f>
        <v>358.9</v>
      </c>
      <c r="BC859" s="335">
        <f>IF( tabItens[[#This Row],[PontoPed]]&gt;0, IF(tabItens[[#This Row],[PontoPed]]&lt;1, 1, IF( tabItens[[#This Row],[Saldo]]&gt;tabItens[[#This Row],[PontoPed]], 0, (tabItens[[#This Row],[PontoPed]]-tabItens[[#This Row],[Saldo]])/tabItens[[#This Row],[PontoPed]] ) ), 0 )</f>
        <v>0</v>
      </c>
      <c r="BD859" s="336">
        <f>ROUNDDOWN(IF( OR( AND(tabItens[[#This Row],[PontoPed]]&lt;tabItens[[#This Row],[Saldo]],tabItens[[#This Row],[Saldo]]&gt;0), tabItens[[#This Row],[PontoPed]]=0), 99, IF(AND(tabItens[[#This Row],[Saldo]]=0,tabItens[[#This Row],[PontoPed]]&gt;0), 0, (1-tabItens[[#This Row],[PctAb]])*10 ) ),0)</f>
        <v>99</v>
      </c>
      <c r="BE859" s="337">
        <f>MAX(ROUNDDOWN( IF(tabItens[[#This Row],[Abaixo]] &gt; 0,   tabItens[[#This Row],[Abaixo]] + (tabItens[[#This Row],[PontoMês]] * IF( OR( ISBLANK(tabItens[[#This Row],[ATA Nº/ANO]]), tabItens[[#This Row],[ATA Nº/ANO]] = ""),BE$2,BE$1)),0),0),0)</f>
        <v>0</v>
      </c>
      <c r="BF85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9" s="338">
        <f>SUMIF(Consumo!$C$3:$C$862,tabItens[[#This Row],[CÓDIGO]],Consumo!$E$3:$E$862)</f>
        <v>179</v>
      </c>
      <c r="BH859" s="339">
        <f>IF(AND(tabItens[[#This Row],[Pend]] &gt; 0,tabItens[[#This Row],[Consumo]] &lt;&gt; 0), tabItens[[#This Row],[Pend]] / tabItens[[#This Row],[Consumo]], 0 )</f>
        <v>4.750530785562633E-2</v>
      </c>
      <c r="BI859" s="338"/>
      <c r="BJ859" s="338"/>
      <c r="BK859" s="340" t="s">
        <v>2086</v>
      </c>
    </row>
    <row r="860" spans="1:63" hidden="1" x14ac:dyDescent="0.3">
      <c r="A860" s="301">
        <v>133191</v>
      </c>
      <c r="B860" s="302" t="s">
        <v>1851</v>
      </c>
      <c r="C860" s="303" t="s">
        <v>31</v>
      </c>
      <c r="D860" s="304">
        <v>7.0000000000000007E-2</v>
      </c>
      <c r="E860" s="305"/>
      <c r="F860" s="305"/>
      <c r="G860" s="305" t="s">
        <v>889</v>
      </c>
      <c r="H860" s="306">
        <v>178050</v>
      </c>
      <c r="I860" s="307">
        <v>103003</v>
      </c>
      <c r="J860" s="308">
        <v>7.0000000000000007E-2</v>
      </c>
      <c r="K860" s="309">
        <v>333857</v>
      </c>
      <c r="L860" s="310">
        <f>IF(tabItens[[#This Row],[Média]] &gt; 0, tabItens[[#This Row],[QTDE ATUAL]] / tabItens[[#This Row],[Média]],999.9)</f>
        <v>7.8529817146007534</v>
      </c>
      <c r="M860" s="311">
        <v>0</v>
      </c>
      <c r="N860" s="312">
        <f>tabItens[[#This Row],[VALOR UNIT.]] * tabItens[[#This Row],[LC]]</f>
        <v>0</v>
      </c>
      <c r="O860" s="313"/>
      <c r="P860" s="314"/>
      <c r="Q860" s="315"/>
      <c r="R860" s="312"/>
      <c r="S860" s="316"/>
      <c r="T860" s="317">
        <f>ROUNDDOWN(IFERROR(tabItens[[#This Row],[ATA DT.VALID.]] - $D$1,0) / 30,0)</f>
        <v>-1474</v>
      </c>
      <c r="U860" s="302" t="s">
        <v>898</v>
      </c>
      <c r="V860" s="318">
        <v>1</v>
      </c>
      <c r="W860" s="319" t="s">
        <v>2073</v>
      </c>
      <c r="X860" s="320">
        <v>72</v>
      </c>
      <c r="Y860" s="321">
        <v>6</v>
      </c>
      <c r="Z860" s="322"/>
      <c r="AA860" s="323"/>
      <c r="AB860" s="324"/>
      <c r="AC860" s="324"/>
      <c r="AD860" s="323"/>
      <c r="AE860" s="324"/>
      <c r="AF860" s="317"/>
      <c r="AG860" s="325" t="s">
        <v>2072</v>
      </c>
      <c r="AH860" s="326"/>
      <c r="AI860" s="317">
        <v>115562</v>
      </c>
      <c r="AJ860" s="326">
        <v>43040</v>
      </c>
      <c r="AK860" s="326">
        <v>42968</v>
      </c>
      <c r="AL860" s="326">
        <v>43031</v>
      </c>
      <c r="AM860" s="316"/>
      <c r="AN860" s="305"/>
      <c r="AO860" s="327" t="str">
        <f>_xlfn.IFNA(IF(VLOOKUP(tabItens[[#This Row],[CÓDIGO]],tabExcluirDoEstoque[#Data],1,FALSE),"sim",""),"")</f>
        <v/>
      </c>
      <c r="AP860" s="328" t="str">
        <f ca="1">IF(OR(ISBLANK(tabItens[[#This Row],[ATA DT.VALID.]]),tabItens[[#This Row],[ATA DT.VALID.]]="",tabItens[[#This Row],[ATA DT.VALID.]]=" "),"",IF(TYPE(tabItens[[#This Row],[ATA DT.VALID.]])=1,ROUNDUP((tabItens[[#This Row],[ATA DT.VALID.]]-TODAY())/7,0),""))</f>
        <v/>
      </c>
      <c r="AQ860" s="329"/>
      <c r="AR860" s="330" t="str">
        <f>IF(ISBLANK(tabItens[[#This Row],[CÓDIGO]]),"",IFERROR(VLOOKUP(tabItens[[#This Row],[CÓDIGO]],Consumo!$C$2:$AC$862,26,FALSE),0))</f>
        <v>09.2023</v>
      </c>
      <c r="AS860" s="331">
        <f>SUMIF(Consumo!$C$3:$C$862,tabItens[[#This Row],[CÓDIGO]],Consumo!$N$3:$N$862) + SUMIF(Consumo!$C$3:$C$862,tabItens[[#This Row],[CÓDIGO]],Consumo!$O$3:$O$862) + SUMIF(Consumo!$C$3:$C$862,tabItens[[#This Row],[CÓDIGO]],Consumo!$P$3:$P$862) + SUMIF(Consumo!$C$3:$C$862,tabItens[[#This Row],[CÓDIGO]],Consumo!$Q$3:$Q$862)</f>
        <v>10771</v>
      </c>
      <c r="AT860" s="331">
        <f>SUMIF(Consumo!$C$3:$C$862,tabItens[[#This Row],[CÓDIGO]],Consumo!$Z$3:$Z$862)</f>
        <v>346688</v>
      </c>
      <c r="AU860" s="332">
        <f>SUMIF(Consumo!$C$3:$C$862,tabItens[[#This Row],[CÓDIGO]],Consumo!$AA$3:$AA$862)</f>
        <v>246270</v>
      </c>
      <c r="AV860" s="333">
        <f>SUMIF(Consumo!$C$3:$C$862,tabItens[[#This Row],[CÓDIGO]],Consumo!$Y$3:$Y$862)</f>
        <v>22672.916666666668</v>
      </c>
      <c r="AW860" s="306">
        <f>tabItens[[#This Row],[QTDE ATUAL]] + tabItens[[#This Row],[RC QTDE]] + tabItens[[#This Row],[AF SALDO]] + tabItens[[#This Row],[Recentes]]</f>
        <v>178050</v>
      </c>
      <c r="AX860" s="334">
        <v>9247</v>
      </c>
      <c r="AY860" s="334">
        <v>4</v>
      </c>
      <c r="AZ860" s="334">
        <f>IF(ISBLANK(tabItens[[#This Row],[CÓDIGO]]),"",tabItens[[#This Row],[PontoMês]] * (AZ$2+tabItens[[#This Row],[PontoQtM]]))</f>
        <v>36988</v>
      </c>
      <c r="BA860" s="333">
        <f>tabItens[[#This Row],[PontoPed]] - tabItens[[#This Row],[Saldo]] + (1/10)</f>
        <v>-141061.9</v>
      </c>
      <c r="BB860" s="333">
        <f xml:space="preserve"> tabItens[[#This Row],[PontoMês]] * BB$2 - tabItens[[#This Row],[QTDE ATUAL]] - (1/10)</f>
        <v>-168803.1</v>
      </c>
      <c r="BC860" s="335">
        <f>IF( tabItens[[#This Row],[PontoPed]]&gt;0, IF(tabItens[[#This Row],[PontoPed]]&lt;1, 1, IF( tabItens[[#This Row],[Saldo]]&gt;tabItens[[#This Row],[PontoPed]], 0, (tabItens[[#This Row],[PontoPed]]-tabItens[[#This Row],[Saldo]])/tabItens[[#This Row],[PontoPed]] ) ), 0 )</f>
        <v>0</v>
      </c>
      <c r="BD860" s="336">
        <f>ROUNDDOWN(IF( OR( AND(tabItens[[#This Row],[PontoPed]]&lt;tabItens[[#This Row],[Saldo]],tabItens[[#This Row],[Saldo]]&gt;0), tabItens[[#This Row],[PontoPed]]=0), 99, IF(AND(tabItens[[#This Row],[Saldo]]=0,tabItens[[#This Row],[PontoPed]]&gt;0), 0, (1-tabItens[[#This Row],[PctAb]])*10 ) ),0)</f>
        <v>99</v>
      </c>
      <c r="BE860" s="337">
        <f>MAX(ROUNDDOWN( IF(tabItens[[#This Row],[Abaixo]] &gt; 0,   tabItens[[#This Row],[Abaixo]] + (tabItens[[#This Row],[PontoMês]] * IF( OR( ISBLANK(tabItens[[#This Row],[ATA Nº/ANO]]), tabItens[[#This Row],[ATA Nº/ANO]] = ""),BE$2,BE$1)),0),0),0)</f>
        <v>0</v>
      </c>
      <c r="BF86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0" s="338">
        <f>SUMIF(Consumo!$C$3:$C$862,tabItens[[#This Row],[CÓDIGO]],Consumo!$E$3:$E$862)</f>
        <v>0</v>
      </c>
      <c r="BH860" s="339">
        <f>IF(AND(tabItens[[#This Row],[Pend]] &gt; 0,tabItens[[#This Row],[Consumo]] &lt;&gt; 0), tabItens[[#This Row],[Pend]] / tabItens[[#This Row],[Consumo]], 0 )</f>
        <v>0</v>
      </c>
      <c r="BI860" s="338"/>
      <c r="BJ860" s="338"/>
      <c r="BK860" s="340" t="s">
        <v>2086</v>
      </c>
    </row>
    <row r="861" spans="1:63" hidden="1" x14ac:dyDescent="0.3">
      <c r="A861" s="301">
        <v>49254</v>
      </c>
      <c r="B861" s="302" t="s">
        <v>1294</v>
      </c>
      <c r="C861" s="303" t="s">
        <v>272</v>
      </c>
      <c r="D861" s="304">
        <v>10.199999999999999</v>
      </c>
      <c r="E861" s="305"/>
      <c r="F861" s="305"/>
      <c r="G861" s="305" t="s">
        <v>889</v>
      </c>
      <c r="H861" s="306">
        <v>0</v>
      </c>
      <c r="I861" s="307">
        <v>103003</v>
      </c>
      <c r="J861" s="308">
        <v>10.199999999999999</v>
      </c>
      <c r="K861" s="309">
        <v>1586</v>
      </c>
      <c r="L861" s="310">
        <f>IF(tabItens[[#This Row],[Média]] &gt; 0, tabItens[[#This Row],[QTDE ATUAL]] / tabItens[[#This Row],[Média]],999.9)</f>
        <v>0</v>
      </c>
      <c r="M861" s="311">
        <v>0</v>
      </c>
      <c r="N861" s="312">
        <f>tabItens[[#This Row],[VALOR UNIT.]] * tabItens[[#This Row],[LC]]</f>
        <v>0</v>
      </c>
      <c r="O861" s="313"/>
      <c r="P861" s="314"/>
      <c r="Q861" s="315"/>
      <c r="R861" s="312"/>
      <c r="S861" s="316"/>
      <c r="T861" s="317">
        <f>ROUNDDOWN(IFERROR(tabItens[[#This Row],[ATA DT.VALID.]] - $D$1,0) / 30,0)</f>
        <v>-1474</v>
      </c>
      <c r="U861" s="302" t="s">
        <v>956</v>
      </c>
      <c r="V861" s="318">
        <v>1</v>
      </c>
      <c r="W861" s="319" t="s">
        <v>2073</v>
      </c>
      <c r="X861" s="320">
        <v>72</v>
      </c>
      <c r="Y861" s="321">
        <v>7</v>
      </c>
      <c r="Z861" s="322">
        <v>5540</v>
      </c>
      <c r="AA861" s="323">
        <v>2023</v>
      </c>
      <c r="AB861" s="324">
        <v>600</v>
      </c>
      <c r="AC861" s="324"/>
      <c r="AD861" s="323"/>
      <c r="AE861" s="324"/>
      <c r="AF861" s="317"/>
      <c r="AG861" s="325" t="s">
        <v>2072</v>
      </c>
      <c r="AH861" s="326"/>
      <c r="AI861" s="317">
        <v>684</v>
      </c>
      <c r="AJ861" s="326">
        <v>45069</v>
      </c>
      <c r="AK861" s="326" t="s">
        <v>889</v>
      </c>
      <c r="AL861" s="326">
        <v>44998</v>
      </c>
      <c r="AM861" s="316"/>
      <c r="AN861" s="305"/>
      <c r="AO861" s="327" t="str">
        <f>_xlfn.IFNA(IF(VLOOKUP(tabItens[[#This Row],[CÓDIGO]],tabExcluirDoEstoque[#Data],1,FALSE),"sim",""),"")</f>
        <v/>
      </c>
      <c r="AP861" s="328" t="str">
        <f ca="1">IF(OR(ISBLANK(tabItens[[#This Row],[ATA DT.VALID.]]),tabItens[[#This Row],[ATA DT.VALID.]]="",tabItens[[#This Row],[ATA DT.VALID.]]=" "),"",IF(TYPE(tabItens[[#This Row],[ATA DT.VALID.]])=1,ROUNDUP((tabItens[[#This Row],[ATA DT.VALID.]]-TODAY())/7,0),""))</f>
        <v/>
      </c>
      <c r="AQ861" s="329"/>
      <c r="AR861" s="330" t="str">
        <f>IF(ISBLANK(tabItens[[#This Row],[CÓDIGO]]),"",IFERROR(VLOOKUP(tabItens[[#This Row],[CÓDIGO]],Consumo!$C$2:$AC$862,26,FALSE),0))</f>
        <v>09.2023</v>
      </c>
      <c r="AS861" s="331">
        <f>SUMIF(Consumo!$C$3:$C$862,tabItens[[#This Row],[CÓDIGO]],Consumo!$N$3:$N$862) + SUMIF(Consumo!$C$3:$C$862,tabItens[[#This Row],[CÓDIGO]],Consumo!$O$3:$O$862) + SUMIF(Consumo!$C$3:$C$862,tabItens[[#This Row],[CÓDIGO]],Consumo!$P$3:$P$862) + SUMIF(Consumo!$C$3:$C$862,tabItens[[#This Row],[CÓDIGO]],Consumo!$Q$3:$Q$862)</f>
        <v>955</v>
      </c>
      <c r="AT861" s="331">
        <f>SUMIF(Consumo!$C$3:$C$862,tabItens[[#This Row],[CÓDIGO]],Consumo!$Z$3:$Z$862)</f>
        <v>2074</v>
      </c>
      <c r="AU861" s="332">
        <f>SUMIF(Consumo!$C$3:$C$862,tabItens[[#This Row],[CÓDIGO]],Consumo!$AA$3:$AA$862)</f>
        <v>342</v>
      </c>
      <c r="AV861" s="333">
        <f>SUMIF(Consumo!$C$3:$C$862,tabItens[[#This Row],[CÓDIGO]],Consumo!$Y$3:$Y$862)</f>
        <v>172.83333333333334</v>
      </c>
      <c r="AW861" s="306">
        <f>tabItens[[#This Row],[QTDE ATUAL]] + tabItens[[#This Row],[RC QTDE]] + tabItens[[#This Row],[AF SALDO]] + tabItens[[#This Row],[Recentes]]</f>
        <v>600</v>
      </c>
      <c r="AX861" s="334">
        <v>121</v>
      </c>
      <c r="AY861" s="334">
        <v>4</v>
      </c>
      <c r="AZ861" s="334">
        <f>IF(ISBLANK(tabItens[[#This Row],[CÓDIGO]]),"",tabItens[[#This Row],[PontoMês]] * (AZ$2+tabItens[[#This Row],[PontoQtM]]))</f>
        <v>484</v>
      </c>
      <c r="BA861" s="333">
        <f>tabItens[[#This Row],[PontoPed]] - tabItens[[#This Row],[Saldo]] + (1/10)</f>
        <v>-115.9</v>
      </c>
      <c r="BB861" s="333">
        <f xml:space="preserve"> tabItens[[#This Row],[PontoMês]] * BB$2 - tabItens[[#This Row],[QTDE ATUAL]] - (1/10)</f>
        <v>120.9</v>
      </c>
      <c r="BC861" s="335">
        <f>IF( tabItens[[#This Row],[PontoPed]]&gt;0, IF(tabItens[[#This Row],[PontoPed]]&lt;1, 1, IF( tabItens[[#This Row],[Saldo]]&gt;tabItens[[#This Row],[PontoPed]], 0, (tabItens[[#This Row],[PontoPed]]-tabItens[[#This Row],[Saldo]])/tabItens[[#This Row],[PontoPed]] ) ), 0 )</f>
        <v>0</v>
      </c>
      <c r="BD861" s="336">
        <f>ROUNDDOWN(IF( OR( AND(tabItens[[#This Row],[PontoPed]]&lt;tabItens[[#This Row],[Saldo]],tabItens[[#This Row],[Saldo]]&gt;0), tabItens[[#This Row],[PontoPed]]=0), 99, IF(AND(tabItens[[#This Row],[Saldo]]=0,tabItens[[#This Row],[PontoPed]]&gt;0), 0, (1-tabItens[[#This Row],[PctAb]])*10 ) ),0)</f>
        <v>99</v>
      </c>
      <c r="BE861" s="337">
        <f>MAX(ROUNDDOWN( IF(tabItens[[#This Row],[Abaixo]] &gt; 0,   tabItens[[#This Row],[Abaixo]] + (tabItens[[#This Row],[PontoMês]] * IF( OR( ISBLANK(tabItens[[#This Row],[ATA Nº/ANO]]), tabItens[[#This Row],[ATA Nº/ANO]] = ""),BE$2,BE$1)),0),0),0)</f>
        <v>0</v>
      </c>
      <c r="BF86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1" s="338">
        <f>SUMIF(Consumo!$C$3:$C$862,tabItens[[#This Row],[CÓDIGO]],Consumo!$E$3:$E$862)</f>
        <v>24</v>
      </c>
      <c r="BH861" s="339">
        <f>IF(AND(tabItens[[#This Row],[Pend]] &gt; 0,tabItens[[#This Row],[Consumo]] &lt;&gt; 0), tabItens[[#This Row],[Pend]] / tabItens[[#This Row],[Consumo]], 0 )</f>
        <v>1.1571841851494697E-2</v>
      </c>
      <c r="BI861" s="338"/>
      <c r="BJ861" s="338"/>
      <c r="BK861" s="340" t="s">
        <v>2086</v>
      </c>
    </row>
    <row r="862" spans="1:63" hidden="1" x14ac:dyDescent="0.3">
      <c r="A862" s="301">
        <v>63252</v>
      </c>
      <c r="B862" s="302" t="s">
        <v>1359</v>
      </c>
      <c r="C862" s="303" t="s">
        <v>31</v>
      </c>
      <c r="D862" s="304">
        <v>7.7</v>
      </c>
      <c r="E862" s="305"/>
      <c r="F862" s="305"/>
      <c r="G862" s="305" t="s">
        <v>889</v>
      </c>
      <c r="H862" s="306">
        <v>0</v>
      </c>
      <c r="I862" s="307">
        <v>103003</v>
      </c>
      <c r="J862" s="308">
        <v>7.7</v>
      </c>
      <c r="K862" s="309">
        <v>179</v>
      </c>
      <c r="L862" s="310">
        <f>IF(tabItens[[#This Row],[Média]] &gt; 0, tabItens[[#This Row],[QTDE ATUAL]] / tabItens[[#This Row],[Média]],999.9)</f>
        <v>0</v>
      </c>
      <c r="M862" s="311">
        <v>0</v>
      </c>
      <c r="N862" s="312">
        <f>tabItens[[#This Row],[VALOR UNIT.]] * tabItens[[#This Row],[LC]]</f>
        <v>0</v>
      </c>
      <c r="O862" s="313"/>
      <c r="P862" s="314"/>
      <c r="Q862" s="315"/>
      <c r="R862" s="312"/>
      <c r="S862" s="316"/>
      <c r="T862" s="317">
        <f>ROUNDDOWN(IFERROR(tabItens[[#This Row],[ATA DT.VALID.]] - $D$1,0) / 30,0)</f>
        <v>-1474</v>
      </c>
      <c r="U862" s="302" t="s">
        <v>1360</v>
      </c>
      <c r="V862" s="318">
        <v>1</v>
      </c>
      <c r="W862" s="319" t="s">
        <v>2082</v>
      </c>
      <c r="X862" s="320">
        <v>72</v>
      </c>
      <c r="Y862" s="321">
        <v>13</v>
      </c>
      <c r="Z862" s="322"/>
      <c r="AA862" s="323"/>
      <c r="AB862" s="324"/>
      <c r="AC862" s="324"/>
      <c r="AD862" s="323"/>
      <c r="AE862" s="324"/>
      <c r="AF862" s="317"/>
      <c r="AG862" s="325" t="s">
        <v>2072</v>
      </c>
      <c r="AH862" s="326"/>
      <c r="AI862" s="317">
        <v>64</v>
      </c>
      <c r="AJ862" s="326">
        <v>45188</v>
      </c>
      <c r="AK862" s="326" t="s">
        <v>889</v>
      </c>
      <c r="AL862" s="326">
        <v>45173</v>
      </c>
      <c r="AM862" s="316"/>
      <c r="AN862" s="305"/>
      <c r="AO862" s="327" t="str">
        <f>_xlfn.IFNA(IF(VLOOKUP(tabItens[[#This Row],[CÓDIGO]],tabExcluirDoEstoque[#Data],1,FALSE),"sim",""),"")</f>
        <v/>
      </c>
      <c r="AP862" s="328" t="str">
        <f ca="1">IF(OR(ISBLANK(tabItens[[#This Row],[ATA DT.VALID.]]),tabItens[[#This Row],[ATA DT.VALID.]]="",tabItens[[#This Row],[ATA DT.VALID.]]=" "),"",IF(TYPE(tabItens[[#This Row],[ATA DT.VALID.]])=1,ROUNDUP((tabItens[[#This Row],[ATA DT.VALID.]]-TODAY())/7,0),""))</f>
        <v/>
      </c>
      <c r="AQ862" s="329"/>
      <c r="AR862" s="330" t="str">
        <f>IF(ISBLANK(tabItens[[#This Row],[CÓDIGO]]),"",IFERROR(VLOOKUP(tabItens[[#This Row],[CÓDIGO]],Consumo!$C$2:$AC$862,26,FALSE),0))</f>
        <v>09.2023</v>
      </c>
      <c r="AS862" s="331">
        <f>SUMIF(Consumo!$C$3:$C$862,tabItens[[#This Row],[CÓDIGO]],Consumo!$N$3:$N$862) + SUMIF(Consumo!$C$3:$C$862,tabItens[[#This Row],[CÓDIGO]],Consumo!$O$3:$O$862) + SUMIF(Consumo!$C$3:$C$862,tabItens[[#This Row],[CÓDIGO]],Consumo!$P$3:$P$862) + SUMIF(Consumo!$C$3:$C$862,tabItens[[#This Row],[CÓDIGO]],Consumo!$Q$3:$Q$862)</f>
        <v>50</v>
      </c>
      <c r="AT862" s="331">
        <f>SUMIF(Consumo!$C$3:$C$862,tabItens[[#This Row],[CÓDIGO]],Consumo!$Z$3:$Z$862)</f>
        <v>269</v>
      </c>
      <c r="AU862" s="332">
        <f>SUMIF(Consumo!$C$3:$C$862,tabItens[[#This Row],[CÓDIGO]],Consumo!$AA$3:$AA$862)</f>
        <v>61</v>
      </c>
      <c r="AV862" s="333">
        <f>SUMIF(Consumo!$C$3:$C$862,tabItens[[#This Row],[CÓDIGO]],Consumo!$Y$3:$Y$862)</f>
        <v>22.416666666666668</v>
      </c>
      <c r="AW862" s="306">
        <f>tabItens[[#This Row],[QTDE ATUAL]] + tabItens[[#This Row],[RC QTDE]] + tabItens[[#This Row],[AF SALDO]] + tabItens[[#This Row],[Recentes]]</f>
        <v>0</v>
      </c>
      <c r="AX862" s="334">
        <v>8</v>
      </c>
      <c r="AY862" s="334">
        <v>4</v>
      </c>
      <c r="AZ862" s="334">
        <f>IF(ISBLANK(tabItens[[#This Row],[CÓDIGO]]),"",tabItens[[#This Row],[PontoMês]] * (AZ$2+tabItens[[#This Row],[PontoQtM]]))</f>
        <v>32</v>
      </c>
      <c r="BA862" s="333">
        <f>tabItens[[#This Row],[PontoPed]] - tabItens[[#This Row],[Saldo]] + (1/10)</f>
        <v>32.1</v>
      </c>
      <c r="BB862" s="333">
        <f xml:space="preserve"> tabItens[[#This Row],[PontoMês]] * BB$2 - tabItens[[#This Row],[QTDE ATUAL]] - (1/10)</f>
        <v>7.9</v>
      </c>
      <c r="BC862" s="335">
        <f>IF( tabItens[[#This Row],[PontoPed]]&gt;0, IF(tabItens[[#This Row],[PontoPed]]&lt;1, 1, IF( tabItens[[#This Row],[Saldo]]&gt;tabItens[[#This Row],[PontoPed]], 0, (tabItens[[#This Row],[PontoPed]]-tabItens[[#This Row],[Saldo]])/tabItens[[#This Row],[PontoPed]] ) ), 0 )</f>
        <v>1</v>
      </c>
      <c r="BD862" s="336">
        <f>ROUNDDOWN(IF( OR( AND(tabItens[[#This Row],[PontoPed]]&lt;tabItens[[#This Row],[Saldo]],tabItens[[#This Row],[Saldo]]&gt;0), tabItens[[#This Row],[PontoPed]]=0), 99, IF(AND(tabItens[[#This Row],[Saldo]]=0,tabItens[[#This Row],[PontoPed]]&gt;0), 0, (1-tabItens[[#This Row],[PctAb]])*10 ) ),0)</f>
        <v>0</v>
      </c>
      <c r="BE862" s="337">
        <f>MAX(ROUNDDOWN( IF(tabItens[[#This Row],[Abaixo]] &gt; 0,   tabItens[[#This Row],[Abaixo]] + (tabItens[[#This Row],[PontoMês]] * IF( OR( ISBLANK(tabItens[[#This Row],[ATA Nº/ANO]]), tabItens[[#This Row],[ATA Nº/ANO]] = ""),BE$2,BE$1)),0),0),0)</f>
        <v>80</v>
      </c>
      <c r="BF86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80</v>
      </c>
      <c r="BG862" s="338">
        <f>SUMIF(Consumo!$C$3:$C$862,tabItens[[#This Row],[CÓDIGO]],Consumo!$E$3:$E$862)</f>
        <v>79</v>
      </c>
      <c r="BH862" s="339">
        <f>IF(AND(tabItens[[#This Row],[Pend]] &gt; 0,tabItens[[#This Row],[Consumo]] &lt;&gt; 0), tabItens[[#This Row],[Pend]] / tabItens[[#This Row],[Consumo]], 0 )</f>
        <v>0.29368029739776952</v>
      </c>
      <c r="BI862" s="338"/>
      <c r="BJ862" s="338"/>
      <c r="BK862" s="340" t="s">
        <v>2086</v>
      </c>
    </row>
    <row r="863" spans="1:63" hidden="1" x14ac:dyDescent="0.3">
      <c r="A863" s="301">
        <v>81152</v>
      </c>
      <c r="B863" s="302" t="s">
        <v>1471</v>
      </c>
      <c r="C863" s="303" t="s">
        <v>267</v>
      </c>
      <c r="D863" s="304">
        <v>132.19999999999999</v>
      </c>
      <c r="E863" s="305"/>
      <c r="F863" s="305"/>
      <c r="G863" s="305" t="s">
        <v>889</v>
      </c>
      <c r="H863" s="306">
        <v>609</v>
      </c>
      <c r="I863" s="307">
        <v>103003</v>
      </c>
      <c r="J863" s="308">
        <v>132.19999999999999</v>
      </c>
      <c r="K863" s="309">
        <v>13</v>
      </c>
      <c r="L863" s="310">
        <f>IF(tabItens[[#This Row],[Média]] &gt; 0, tabItens[[#This Row],[QTDE ATUAL]] / tabItens[[#This Row],[Média]],999.9)</f>
        <v>456.75</v>
      </c>
      <c r="M863" s="311">
        <v>0</v>
      </c>
      <c r="N863" s="312">
        <f>tabItens[[#This Row],[VALOR UNIT.]] * tabItens[[#This Row],[LC]]</f>
        <v>0</v>
      </c>
      <c r="O863" s="313"/>
      <c r="P863" s="314"/>
      <c r="Q863" s="315"/>
      <c r="R863" s="312"/>
      <c r="S863" s="316"/>
      <c r="T863" s="317">
        <f>ROUNDDOWN(IFERROR(tabItens[[#This Row],[ATA DT.VALID.]] - $D$1,0) / 30,0)</f>
        <v>-1474</v>
      </c>
      <c r="U863" s="302" t="s">
        <v>1472</v>
      </c>
      <c r="V863" s="318">
        <v>1</v>
      </c>
      <c r="W863" s="319" t="s">
        <v>2073</v>
      </c>
      <c r="X863" s="320">
        <v>73</v>
      </c>
      <c r="Y863" s="321">
        <v>1</v>
      </c>
      <c r="Z863" s="322"/>
      <c r="AA863" s="323"/>
      <c r="AB863" s="324"/>
      <c r="AC863" s="324"/>
      <c r="AD863" s="323"/>
      <c r="AE863" s="324"/>
      <c r="AF863" s="317"/>
      <c r="AG863" s="325" t="s">
        <v>2072</v>
      </c>
      <c r="AH863" s="326"/>
      <c r="AI863" s="317">
        <v>6</v>
      </c>
      <c r="AJ863" s="326">
        <v>44426</v>
      </c>
      <c r="AK863" s="326">
        <v>38208</v>
      </c>
      <c r="AL863" s="326">
        <v>44405</v>
      </c>
      <c r="AM863" s="316"/>
      <c r="AN863" s="305"/>
      <c r="AO863" s="327" t="str">
        <f>_xlfn.IFNA(IF(VLOOKUP(tabItens[[#This Row],[CÓDIGO]],tabExcluirDoEstoque[#Data],1,FALSE),"sim",""),"")</f>
        <v/>
      </c>
      <c r="AP863" s="328" t="str">
        <f ca="1">IF(OR(ISBLANK(tabItens[[#This Row],[ATA DT.VALID.]]),tabItens[[#This Row],[ATA DT.VALID.]]="",tabItens[[#This Row],[ATA DT.VALID.]]=" "),"",IF(TYPE(tabItens[[#This Row],[ATA DT.VALID.]])=1,ROUNDUP((tabItens[[#This Row],[ATA DT.VALID.]]-TODAY())/7,0),""))</f>
        <v/>
      </c>
      <c r="AQ863" s="329"/>
      <c r="AR863" s="330" t="str">
        <f>IF(ISBLANK(tabItens[[#This Row],[CÓDIGO]]),"",IFERROR(VLOOKUP(tabItens[[#This Row],[CÓDIGO]],Consumo!$C$2:$AC$862,26,FALSE),0))</f>
        <v>09.2023</v>
      </c>
      <c r="AS863" s="331">
        <f>SUMIF(Consumo!$C$3:$C$862,tabItens[[#This Row],[CÓDIGO]],Consumo!$N$3:$N$862) + SUMIF(Consumo!$C$3:$C$862,tabItens[[#This Row],[CÓDIGO]],Consumo!$O$3:$O$862) + SUMIF(Consumo!$C$3:$C$862,tabItens[[#This Row],[CÓDIGO]],Consumo!$P$3:$P$862) + SUMIF(Consumo!$C$3:$C$862,tabItens[[#This Row],[CÓDIGO]],Consumo!$Q$3:$Q$862)</f>
        <v>6</v>
      </c>
      <c r="AT863" s="331">
        <f>SUMIF(Consumo!$C$3:$C$862,tabItens[[#This Row],[CÓDIGO]],Consumo!$Z$3:$Z$862)</f>
        <v>17</v>
      </c>
      <c r="AU863" s="332">
        <f>SUMIF(Consumo!$C$3:$C$862,tabItens[[#This Row],[CÓDIGO]],Consumo!$AA$3:$AA$862)</f>
        <v>4</v>
      </c>
      <c r="AV863" s="333">
        <f>SUMIF(Consumo!$C$3:$C$862,tabItens[[#This Row],[CÓDIGO]],Consumo!$Y$3:$Y$862)</f>
        <v>1.3333333333333333</v>
      </c>
      <c r="AW863" s="306">
        <f>tabItens[[#This Row],[QTDE ATUAL]] + tabItens[[#This Row],[RC QTDE]] + tabItens[[#This Row],[AF SALDO]] + tabItens[[#This Row],[Recentes]]</f>
        <v>609</v>
      </c>
      <c r="AX863" s="334">
        <v>2</v>
      </c>
      <c r="AY863" s="334">
        <v>4</v>
      </c>
      <c r="AZ863" s="334">
        <f>IF(ISBLANK(tabItens[[#This Row],[CÓDIGO]]),"",tabItens[[#This Row],[PontoMês]] * (AZ$2+tabItens[[#This Row],[PontoQtM]]))</f>
        <v>8</v>
      </c>
      <c r="BA863" s="333">
        <f>tabItens[[#This Row],[PontoPed]] - tabItens[[#This Row],[Saldo]] + (1/10)</f>
        <v>-600.9</v>
      </c>
      <c r="BB863" s="333">
        <f xml:space="preserve"> tabItens[[#This Row],[PontoMês]] * BB$2 - tabItens[[#This Row],[QTDE ATUAL]] - (1/10)</f>
        <v>-607.1</v>
      </c>
      <c r="BC863" s="335">
        <f>IF( tabItens[[#This Row],[PontoPed]]&gt;0, IF(tabItens[[#This Row],[PontoPed]]&lt;1, 1, IF( tabItens[[#This Row],[Saldo]]&gt;tabItens[[#This Row],[PontoPed]], 0, (tabItens[[#This Row],[PontoPed]]-tabItens[[#This Row],[Saldo]])/tabItens[[#This Row],[PontoPed]] ) ), 0 )</f>
        <v>0</v>
      </c>
      <c r="BD863" s="336">
        <f>ROUNDDOWN(IF( OR( AND(tabItens[[#This Row],[PontoPed]]&lt;tabItens[[#This Row],[Saldo]],tabItens[[#This Row],[Saldo]]&gt;0), tabItens[[#This Row],[PontoPed]]=0), 99, IF(AND(tabItens[[#This Row],[Saldo]]=0,tabItens[[#This Row],[PontoPed]]&gt;0), 0, (1-tabItens[[#This Row],[PctAb]])*10 ) ),0)</f>
        <v>99</v>
      </c>
      <c r="BE863" s="337">
        <f>MAX(ROUNDDOWN( IF(tabItens[[#This Row],[Abaixo]] &gt; 0,   tabItens[[#This Row],[Abaixo]] + (tabItens[[#This Row],[PontoMês]] * IF( OR( ISBLANK(tabItens[[#This Row],[ATA Nº/ANO]]), tabItens[[#This Row],[ATA Nº/ANO]] = ""),BE$2,BE$1)),0),0),0)</f>
        <v>0</v>
      </c>
      <c r="BF86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3" s="338">
        <f>SUMIF(Consumo!$C$3:$C$862,tabItens[[#This Row],[CÓDIGO]],Consumo!$E$3:$E$862)</f>
        <v>0</v>
      </c>
      <c r="BH863" s="339">
        <f>IF(AND(tabItens[[#This Row],[Pend]] &gt; 0,tabItens[[#This Row],[Consumo]] &lt;&gt; 0), tabItens[[#This Row],[Pend]] / tabItens[[#This Row],[Consumo]], 0 )</f>
        <v>0</v>
      </c>
      <c r="BI863" s="338"/>
      <c r="BJ863" s="338"/>
      <c r="BK863" s="340" t="s">
        <v>2086</v>
      </c>
    </row>
    <row r="864" spans="1:63" hidden="1" x14ac:dyDescent="0.3">
      <c r="A864" s="301">
        <v>100907</v>
      </c>
      <c r="B864" s="302" t="s">
        <v>1577</v>
      </c>
      <c r="C864" s="303" t="s">
        <v>320</v>
      </c>
      <c r="D864" s="304">
        <v>7.6</v>
      </c>
      <c r="E864" s="305"/>
      <c r="F864" s="305"/>
      <c r="G864" s="305" t="s">
        <v>889</v>
      </c>
      <c r="H864" s="306">
        <v>103</v>
      </c>
      <c r="I864" s="307">
        <v>103003</v>
      </c>
      <c r="J864" s="308">
        <v>7.6</v>
      </c>
      <c r="K864" s="309">
        <v>96</v>
      </c>
      <c r="L864" s="310">
        <f>IF(tabItens[[#This Row],[Média]] &gt; 0, tabItens[[#This Row],[QTDE ATUAL]] / tabItens[[#This Row],[Média]],999.9)</f>
        <v>9.2932330827067666</v>
      </c>
      <c r="M864" s="311">
        <v>0</v>
      </c>
      <c r="N864" s="312">
        <f>tabItens[[#This Row],[VALOR UNIT.]] * tabItens[[#This Row],[LC]]</f>
        <v>0</v>
      </c>
      <c r="O864" s="313"/>
      <c r="P864" s="314"/>
      <c r="Q864" s="315"/>
      <c r="R864" s="312"/>
      <c r="S864" s="316"/>
      <c r="T864" s="317">
        <f>ROUNDDOWN(IFERROR(tabItens[[#This Row],[ATA DT.VALID.]] - $D$1,0) / 30,0)</f>
        <v>-1474</v>
      </c>
      <c r="U864" s="302" t="s">
        <v>1472</v>
      </c>
      <c r="V864" s="318">
        <v>1</v>
      </c>
      <c r="W864" s="319" t="s">
        <v>2073</v>
      </c>
      <c r="X864" s="320">
        <v>73</v>
      </c>
      <c r="Y864" s="321">
        <v>1</v>
      </c>
      <c r="Z864" s="322"/>
      <c r="AA864" s="323"/>
      <c r="AB864" s="324"/>
      <c r="AC864" s="324"/>
      <c r="AD864" s="323"/>
      <c r="AE864" s="324"/>
      <c r="AF864" s="317"/>
      <c r="AG864" s="325" t="s">
        <v>2072</v>
      </c>
      <c r="AH864" s="326"/>
      <c r="AI864" s="317">
        <v>44</v>
      </c>
      <c r="AJ864" s="326">
        <v>44027</v>
      </c>
      <c r="AK864" s="326">
        <v>39281</v>
      </c>
      <c r="AL864" s="326">
        <v>44025</v>
      </c>
      <c r="AM864" s="316"/>
      <c r="AN864" s="305"/>
      <c r="AO864" s="327" t="str">
        <f>_xlfn.IFNA(IF(VLOOKUP(tabItens[[#This Row],[CÓDIGO]],tabExcluirDoEstoque[#Data],1,FALSE),"sim",""),"")</f>
        <v/>
      </c>
      <c r="AP864" s="328" t="str">
        <f ca="1">IF(OR(ISBLANK(tabItens[[#This Row],[ATA DT.VALID.]]),tabItens[[#This Row],[ATA DT.VALID.]]="",tabItens[[#This Row],[ATA DT.VALID.]]=" "),"",IF(TYPE(tabItens[[#This Row],[ATA DT.VALID.]])=1,ROUNDUP((tabItens[[#This Row],[ATA DT.VALID.]]-TODAY())/7,0),""))</f>
        <v/>
      </c>
      <c r="AQ864" s="329"/>
      <c r="AR864" s="330" t="str">
        <f>IF(ISBLANK(tabItens[[#This Row],[CÓDIGO]]),"",IFERROR(VLOOKUP(tabItens[[#This Row],[CÓDIGO]],Consumo!$C$2:$AC$862,26,FALSE),0))</f>
        <v>09.2023</v>
      </c>
      <c r="AS864" s="331">
        <f>SUMIF(Consumo!$C$3:$C$862,tabItens[[#This Row],[CÓDIGO]],Consumo!$N$3:$N$862) + SUMIF(Consumo!$C$3:$C$862,tabItens[[#This Row],[CÓDIGO]],Consumo!$O$3:$O$862) + SUMIF(Consumo!$C$3:$C$862,tabItens[[#This Row],[CÓDIGO]],Consumo!$P$3:$P$862) + SUMIF(Consumo!$C$3:$C$862,tabItens[[#This Row],[CÓDIGO]],Consumo!$Q$3:$Q$862)</f>
        <v>34</v>
      </c>
      <c r="AT864" s="331">
        <f>SUMIF(Consumo!$C$3:$C$862,tabItens[[#This Row],[CÓDIGO]],Consumo!$Z$3:$Z$862)</f>
        <v>133</v>
      </c>
      <c r="AU864" s="332">
        <f>SUMIF(Consumo!$C$3:$C$862,tabItens[[#This Row],[CÓDIGO]],Consumo!$AA$3:$AA$862)</f>
        <v>20</v>
      </c>
      <c r="AV864" s="333">
        <f>SUMIF(Consumo!$C$3:$C$862,tabItens[[#This Row],[CÓDIGO]],Consumo!$Y$3:$Y$862)</f>
        <v>11.083333333333334</v>
      </c>
      <c r="AW864" s="306">
        <f>tabItens[[#This Row],[QTDE ATUAL]] + tabItens[[#This Row],[RC QTDE]] + tabItens[[#This Row],[AF SALDO]] + tabItens[[#This Row],[Recentes]]</f>
        <v>103</v>
      </c>
      <c r="AX864" s="334">
        <v>24</v>
      </c>
      <c r="AY864" s="334">
        <v>4</v>
      </c>
      <c r="AZ864" s="334">
        <f>IF(ISBLANK(tabItens[[#This Row],[CÓDIGO]]),"",tabItens[[#This Row],[PontoMês]] * (AZ$2+tabItens[[#This Row],[PontoQtM]]))</f>
        <v>96</v>
      </c>
      <c r="BA864" s="333">
        <f>tabItens[[#This Row],[PontoPed]] - tabItens[[#This Row],[Saldo]] + (1/10)</f>
        <v>-6.9</v>
      </c>
      <c r="BB864" s="333">
        <f xml:space="preserve"> tabItens[[#This Row],[PontoMês]] * BB$2 - tabItens[[#This Row],[QTDE ATUAL]] - (1/10)</f>
        <v>-79.099999999999994</v>
      </c>
      <c r="BC864" s="335">
        <f>IF( tabItens[[#This Row],[PontoPed]]&gt;0, IF(tabItens[[#This Row],[PontoPed]]&lt;1, 1, IF( tabItens[[#This Row],[Saldo]]&gt;tabItens[[#This Row],[PontoPed]], 0, (tabItens[[#This Row],[PontoPed]]-tabItens[[#This Row],[Saldo]])/tabItens[[#This Row],[PontoPed]] ) ), 0 )</f>
        <v>0</v>
      </c>
      <c r="BD864" s="336">
        <f>ROUNDDOWN(IF( OR( AND(tabItens[[#This Row],[PontoPed]]&lt;tabItens[[#This Row],[Saldo]],tabItens[[#This Row],[Saldo]]&gt;0), tabItens[[#This Row],[PontoPed]]=0), 99, IF(AND(tabItens[[#This Row],[Saldo]]=0,tabItens[[#This Row],[PontoPed]]&gt;0), 0, (1-tabItens[[#This Row],[PctAb]])*10 ) ),0)</f>
        <v>99</v>
      </c>
      <c r="BE864" s="337">
        <f>MAX(ROUNDDOWN( IF(tabItens[[#This Row],[Abaixo]] &gt; 0,   tabItens[[#This Row],[Abaixo]] + (tabItens[[#This Row],[PontoMês]] * IF( OR( ISBLANK(tabItens[[#This Row],[ATA Nº/ANO]]), tabItens[[#This Row],[ATA Nº/ANO]] = ""),BE$2,BE$1)),0),0),0)</f>
        <v>0</v>
      </c>
      <c r="BF86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4" s="338">
        <f>SUMIF(Consumo!$C$3:$C$862,tabItens[[#This Row],[CÓDIGO]],Consumo!$E$3:$E$862)</f>
        <v>0</v>
      </c>
      <c r="BH864" s="339">
        <f>IF(AND(tabItens[[#This Row],[Pend]] &gt; 0,tabItens[[#This Row],[Consumo]] &lt;&gt; 0), tabItens[[#This Row],[Pend]] / tabItens[[#This Row],[Consumo]], 0 )</f>
        <v>0</v>
      </c>
      <c r="BI864" s="338"/>
      <c r="BJ864" s="338"/>
      <c r="BK864" s="340" t="s">
        <v>2086</v>
      </c>
    </row>
    <row r="865" spans="1:63" hidden="1" x14ac:dyDescent="0.3">
      <c r="A865" s="301">
        <v>89194</v>
      </c>
      <c r="B865" s="302" t="s">
        <v>1524</v>
      </c>
      <c r="C865" s="303" t="s">
        <v>263</v>
      </c>
      <c r="D865" s="304">
        <v>69.900000000000006</v>
      </c>
      <c r="E865" s="305"/>
      <c r="F865" s="305"/>
      <c r="G865" s="305" t="s">
        <v>889</v>
      </c>
      <c r="H865" s="306">
        <v>0</v>
      </c>
      <c r="I865" s="307">
        <v>103003</v>
      </c>
      <c r="J865" s="308">
        <v>69.900000000000006</v>
      </c>
      <c r="K865" s="309">
        <v>711</v>
      </c>
      <c r="L865" s="310">
        <f>IF(tabItens[[#This Row],[Média]] &gt; 0, tabItens[[#This Row],[QTDE ATUAL]] / tabItens[[#This Row],[Média]],999.9)</f>
        <v>0</v>
      </c>
      <c r="M865" s="311">
        <v>0</v>
      </c>
      <c r="N865" s="312">
        <f>tabItens[[#This Row],[VALOR UNIT.]] * tabItens[[#This Row],[LC]]</f>
        <v>0</v>
      </c>
      <c r="O865" s="313"/>
      <c r="P865" s="314"/>
      <c r="Q865" s="315"/>
      <c r="R865" s="312"/>
      <c r="S865" s="316"/>
      <c r="T865" s="317">
        <f>ROUNDDOWN(IFERROR(tabItens[[#This Row],[ATA DT.VALID.]] - $D$1,0) / 30,0)</f>
        <v>-1474</v>
      </c>
      <c r="U865" s="302" t="s">
        <v>1525</v>
      </c>
      <c r="V865" s="318">
        <v>1</v>
      </c>
      <c r="W865" s="319" t="s">
        <v>2073</v>
      </c>
      <c r="X865" s="320">
        <v>73</v>
      </c>
      <c r="Y865" s="321">
        <v>4</v>
      </c>
      <c r="Z865" s="322">
        <v>6284</v>
      </c>
      <c r="AA865" s="323">
        <v>2023</v>
      </c>
      <c r="AB865" s="324">
        <v>500</v>
      </c>
      <c r="AC865" s="324"/>
      <c r="AD865" s="323"/>
      <c r="AE865" s="324"/>
      <c r="AF865" s="317"/>
      <c r="AG865" s="325" t="s">
        <v>2072</v>
      </c>
      <c r="AH865" s="326"/>
      <c r="AI865" s="317">
        <v>298</v>
      </c>
      <c r="AJ865" s="326">
        <v>44796</v>
      </c>
      <c r="AK865" s="326">
        <v>38688</v>
      </c>
      <c r="AL865" s="326">
        <v>45190</v>
      </c>
      <c r="AM865" s="316"/>
      <c r="AN865" s="305"/>
      <c r="AO865" s="327" t="str">
        <f>_xlfn.IFNA(IF(VLOOKUP(tabItens[[#This Row],[CÓDIGO]],tabExcluirDoEstoque[#Data],1,FALSE),"sim",""),"")</f>
        <v/>
      </c>
      <c r="AP865" s="328" t="str">
        <f ca="1">IF(OR(ISBLANK(tabItens[[#This Row],[ATA DT.VALID.]]),tabItens[[#This Row],[ATA DT.VALID.]]="",tabItens[[#This Row],[ATA DT.VALID.]]=" "),"",IF(TYPE(tabItens[[#This Row],[ATA DT.VALID.]])=1,ROUNDUP((tabItens[[#This Row],[ATA DT.VALID.]]-TODAY())/7,0),""))</f>
        <v/>
      </c>
      <c r="AQ865" s="329"/>
      <c r="AR865" s="330" t="str">
        <f>IF(ISBLANK(tabItens[[#This Row],[CÓDIGO]]),"",IFERROR(VLOOKUP(tabItens[[#This Row],[CÓDIGO]],Consumo!$C$2:$AC$862,26,FALSE),0))</f>
        <v>06.2023</v>
      </c>
      <c r="AS865" s="331">
        <f>SUMIF(Consumo!$C$3:$C$862,tabItens[[#This Row],[CÓDIGO]],Consumo!$N$3:$N$862) + SUMIF(Consumo!$C$3:$C$862,tabItens[[#This Row],[CÓDIGO]],Consumo!$O$3:$O$862) + SUMIF(Consumo!$C$3:$C$862,tabItens[[#This Row],[CÓDIGO]],Consumo!$P$3:$P$862) + SUMIF(Consumo!$C$3:$C$862,tabItens[[#This Row],[CÓDIGO]],Consumo!$Q$3:$Q$862)</f>
        <v>29</v>
      </c>
      <c r="AT865" s="331">
        <f>SUMIF(Consumo!$C$3:$C$862,tabItens[[#This Row],[CÓDIGO]],Consumo!$Z$3:$Z$862)</f>
        <v>940</v>
      </c>
      <c r="AU865" s="332">
        <f>SUMIF(Consumo!$C$3:$C$862,tabItens[[#This Row],[CÓDIGO]],Consumo!$AA$3:$AA$862)</f>
        <v>147</v>
      </c>
      <c r="AV865" s="333">
        <f>SUMIF(Consumo!$C$3:$C$862,tabItens[[#This Row],[CÓDIGO]],Consumo!$Y$3:$Y$862)</f>
        <v>78.333333333333329</v>
      </c>
      <c r="AW865" s="306">
        <f>tabItens[[#This Row],[QTDE ATUAL]] + tabItens[[#This Row],[RC QTDE]] + tabItens[[#This Row],[AF SALDO]] + tabItens[[#This Row],[Recentes]]</f>
        <v>500</v>
      </c>
      <c r="AX865" s="334">
        <v>0</v>
      </c>
      <c r="AY865" s="334">
        <v>0</v>
      </c>
      <c r="AZ865" s="334">
        <f>IF(ISBLANK(tabItens[[#This Row],[CÓDIGO]]),"",tabItens[[#This Row],[PontoMês]] * (AZ$2+tabItens[[#This Row],[PontoQtM]]))</f>
        <v>0</v>
      </c>
      <c r="BA865" s="333">
        <f>tabItens[[#This Row],[PontoPed]] - tabItens[[#This Row],[Saldo]] + (1/10)</f>
        <v>-499.9</v>
      </c>
      <c r="BB865" s="333">
        <f xml:space="preserve"> tabItens[[#This Row],[PontoMês]] * BB$2 - tabItens[[#This Row],[QTDE ATUAL]] - (1/10)</f>
        <v>-0.1</v>
      </c>
      <c r="BC865" s="335">
        <f>IF( tabItens[[#This Row],[PontoPed]]&gt;0, IF(tabItens[[#This Row],[PontoPed]]&lt;1, 1, IF( tabItens[[#This Row],[Saldo]]&gt;tabItens[[#This Row],[PontoPed]], 0, (tabItens[[#This Row],[PontoPed]]-tabItens[[#This Row],[Saldo]])/tabItens[[#This Row],[PontoPed]] ) ), 0 )</f>
        <v>0</v>
      </c>
      <c r="BD865" s="336">
        <f>ROUNDDOWN(IF( OR( AND(tabItens[[#This Row],[PontoPed]]&lt;tabItens[[#This Row],[Saldo]],tabItens[[#This Row],[Saldo]]&gt;0), tabItens[[#This Row],[PontoPed]]=0), 99, IF(AND(tabItens[[#This Row],[Saldo]]=0,tabItens[[#This Row],[PontoPed]]&gt;0), 0, (1-tabItens[[#This Row],[PctAb]])*10 ) ),0)</f>
        <v>99</v>
      </c>
      <c r="BE865" s="337">
        <f>MAX(ROUNDDOWN( IF(tabItens[[#This Row],[Abaixo]] &gt; 0,   tabItens[[#This Row],[Abaixo]] + (tabItens[[#This Row],[PontoMês]] * IF( OR( ISBLANK(tabItens[[#This Row],[ATA Nº/ANO]]), tabItens[[#This Row],[ATA Nº/ANO]] = ""),BE$2,BE$1)),0),0),0)</f>
        <v>0</v>
      </c>
      <c r="BF86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5" s="338">
        <f>SUMIF(Consumo!$C$3:$C$862,tabItens[[#This Row],[CÓDIGO]],Consumo!$E$3:$E$862)</f>
        <v>49</v>
      </c>
      <c r="BH865" s="339">
        <f>IF(AND(tabItens[[#This Row],[Pend]] &gt; 0,tabItens[[#This Row],[Consumo]] &lt;&gt; 0), tabItens[[#This Row],[Pend]] / tabItens[[#This Row],[Consumo]], 0 )</f>
        <v>5.2127659574468084E-2</v>
      </c>
      <c r="BI865" s="338"/>
      <c r="BJ865" s="338"/>
      <c r="BK865" s="340" t="s">
        <v>2086</v>
      </c>
    </row>
    <row r="866" spans="1:63" hidden="1" x14ac:dyDescent="0.3">
      <c r="A866" s="301">
        <v>121086</v>
      </c>
      <c r="B866" s="302" t="s">
        <v>1748</v>
      </c>
      <c r="C866" s="303" t="s">
        <v>301</v>
      </c>
      <c r="D866" s="304">
        <v>162</v>
      </c>
      <c r="E866" s="305"/>
      <c r="F866" s="305"/>
      <c r="G866" s="305" t="s">
        <v>889</v>
      </c>
      <c r="H866" s="306">
        <v>0</v>
      </c>
      <c r="I866" s="307">
        <v>103003</v>
      </c>
      <c r="J866" s="308">
        <v>162</v>
      </c>
      <c r="K866" s="309">
        <v>14</v>
      </c>
      <c r="L866" s="310">
        <f>IF(tabItens[[#This Row],[Média]] &gt; 0, tabItens[[#This Row],[QTDE ATUAL]] / tabItens[[#This Row],[Média]],999.9)</f>
        <v>0</v>
      </c>
      <c r="M866" s="311">
        <v>0</v>
      </c>
      <c r="N866" s="312">
        <f>tabItens[[#This Row],[VALOR UNIT.]] * tabItens[[#This Row],[LC]]</f>
        <v>0</v>
      </c>
      <c r="O866" s="313"/>
      <c r="P866" s="314"/>
      <c r="Q866" s="315"/>
      <c r="R866" s="312"/>
      <c r="S866" s="316"/>
      <c r="T866" s="317">
        <f>ROUNDDOWN(IFERROR(tabItens[[#This Row],[ATA DT.VALID.]] - $D$1,0) / 30,0)</f>
        <v>-1474</v>
      </c>
      <c r="U866" s="302" t="s">
        <v>1749</v>
      </c>
      <c r="V866" s="318">
        <v>1</v>
      </c>
      <c r="W866" s="319" t="s">
        <v>2084</v>
      </c>
      <c r="X866" s="320">
        <v>75</v>
      </c>
      <c r="Y866" s="321">
        <v>5</v>
      </c>
      <c r="Z866" s="322"/>
      <c r="AA866" s="323"/>
      <c r="AB866" s="324"/>
      <c r="AC866" s="324"/>
      <c r="AD866" s="323"/>
      <c r="AE866" s="324"/>
      <c r="AF866" s="317"/>
      <c r="AG866" s="325" t="s">
        <v>2072</v>
      </c>
      <c r="AH866" s="326"/>
      <c r="AI866" s="317">
        <v>6</v>
      </c>
      <c r="AJ866" s="326">
        <v>45184</v>
      </c>
      <c r="AK866" s="326">
        <v>40807</v>
      </c>
      <c r="AL866" s="326">
        <v>45173</v>
      </c>
      <c r="AM866" s="316"/>
      <c r="AN866" s="305"/>
      <c r="AO866" s="327" t="str">
        <f>_xlfn.IFNA(IF(VLOOKUP(tabItens[[#This Row],[CÓDIGO]],tabExcluirDoEstoque[#Data],1,FALSE),"sim",""),"")</f>
        <v/>
      </c>
      <c r="AP866" s="328" t="str">
        <f ca="1">IF(OR(ISBLANK(tabItens[[#This Row],[ATA DT.VALID.]]),tabItens[[#This Row],[ATA DT.VALID.]]="",tabItens[[#This Row],[ATA DT.VALID.]]=" "),"",IF(TYPE(tabItens[[#This Row],[ATA DT.VALID.]])=1,ROUNDUP((tabItens[[#This Row],[ATA DT.VALID.]]-TODAY())/7,0),""))</f>
        <v/>
      </c>
      <c r="AQ866" s="329"/>
      <c r="AR866" s="330" t="str">
        <f>IF(ISBLANK(tabItens[[#This Row],[CÓDIGO]]),"",IFERROR(VLOOKUP(tabItens[[#This Row],[CÓDIGO]],Consumo!$C$2:$AC$862,26,FALSE),0))</f>
        <v>09.2023</v>
      </c>
      <c r="AS866" s="331">
        <f>SUMIF(Consumo!$C$3:$C$862,tabItens[[#This Row],[CÓDIGO]],Consumo!$N$3:$N$862) + SUMIF(Consumo!$C$3:$C$862,tabItens[[#This Row],[CÓDIGO]],Consumo!$O$3:$O$862) + SUMIF(Consumo!$C$3:$C$862,tabItens[[#This Row],[CÓDIGO]],Consumo!$P$3:$P$862) + SUMIF(Consumo!$C$3:$C$862,tabItens[[#This Row],[CÓDIGO]],Consumo!$Q$3:$Q$862)</f>
        <v>7</v>
      </c>
      <c r="AT866" s="331">
        <f>SUMIF(Consumo!$C$3:$C$862,tabItens[[#This Row],[CÓDIGO]],Consumo!$Z$3:$Z$862)</f>
        <v>43</v>
      </c>
      <c r="AU866" s="332">
        <f>SUMIF(Consumo!$C$3:$C$862,tabItens[[#This Row],[CÓDIGO]],Consumo!$AA$3:$AA$862)</f>
        <v>5</v>
      </c>
      <c r="AV866" s="333">
        <f>SUMIF(Consumo!$C$3:$C$862,tabItens[[#This Row],[CÓDIGO]],Consumo!$Y$3:$Y$862)</f>
        <v>3.5833333333333335</v>
      </c>
      <c r="AW866" s="306">
        <f>tabItens[[#This Row],[QTDE ATUAL]] + tabItens[[#This Row],[RC QTDE]] + tabItens[[#This Row],[AF SALDO]] + tabItens[[#This Row],[Recentes]]</f>
        <v>0</v>
      </c>
      <c r="AX866" s="334">
        <v>1</v>
      </c>
      <c r="AY866" s="334">
        <v>4</v>
      </c>
      <c r="AZ866" s="334">
        <f>IF(ISBLANK(tabItens[[#This Row],[CÓDIGO]]),"",tabItens[[#This Row],[PontoMês]] * (AZ$2+tabItens[[#This Row],[PontoQtM]]))</f>
        <v>4</v>
      </c>
      <c r="BA866" s="333">
        <f>tabItens[[#This Row],[PontoPed]] - tabItens[[#This Row],[Saldo]] + (1/10)</f>
        <v>4.0999999999999996</v>
      </c>
      <c r="BB866" s="333">
        <f xml:space="preserve"> tabItens[[#This Row],[PontoMês]] * BB$2 - tabItens[[#This Row],[QTDE ATUAL]] - (1/10)</f>
        <v>0.9</v>
      </c>
      <c r="BC866" s="335">
        <f>IF( tabItens[[#This Row],[PontoPed]]&gt;0, IF(tabItens[[#This Row],[PontoPed]]&lt;1, 1, IF( tabItens[[#This Row],[Saldo]]&gt;tabItens[[#This Row],[PontoPed]], 0, (tabItens[[#This Row],[PontoPed]]-tabItens[[#This Row],[Saldo]])/tabItens[[#This Row],[PontoPed]] ) ), 0 )</f>
        <v>1</v>
      </c>
      <c r="BD866" s="336">
        <f>ROUNDDOWN(IF( OR( AND(tabItens[[#This Row],[PontoPed]]&lt;tabItens[[#This Row],[Saldo]],tabItens[[#This Row],[Saldo]]&gt;0), tabItens[[#This Row],[PontoPed]]=0), 99, IF(AND(tabItens[[#This Row],[Saldo]]=0,tabItens[[#This Row],[PontoPed]]&gt;0), 0, (1-tabItens[[#This Row],[PctAb]])*10 ) ),0)</f>
        <v>0</v>
      </c>
      <c r="BE866" s="337">
        <f>MAX(ROUNDDOWN( IF(tabItens[[#This Row],[Abaixo]] &gt; 0,   tabItens[[#This Row],[Abaixo]] + (tabItens[[#This Row],[PontoMês]] * IF( OR( ISBLANK(tabItens[[#This Row],[ATA Nº/ANO]]), tabItens[[#This Row],[ATA Nº/ANO]] = ""),BE$2,BE$1)),0),0),0)</f>
        <v>10</v>
      </c>
      <c r="BF86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866" s="338">
        <f>SUMIF(Consumo!$C$3:$C$862,tabItens[[#This Row],[CÓDIGO]],Consumo!$E$3:$E$862)</f>
        <v>28</v>
      </c>
      <c r="BH866" s="339">
        <f>IF(AND(tabItens[[#This Row],[Pend]] &gt; 0,tabItens[[#This Row],[Consumo]] &lt;&gt; 0), tabItens[[#This Row],[Pend]] / tabItens[[#This Row],[Consumo]], 0 )</f>
        <v>0.65116279069767447</v>
      </c>
      <c r="BI866" s="338"/>
      <c r="BJ866" s="338"/>
      <c r="BK866" s="340" t="s">
        <v>2086</v>
      </c>
    </row>
    <row r="867" spans="1:63" hidden="1" x14ac:dyDescent="0.3">
      <c r="A867" s="301">
        <v>141265</v>
      </c>
      <c r="B867" s="302" t="s">
        <v>2032</v>
      </c>
      <c r="C867" s="303" t="s">
        <v>301</v>
      </c>
      <c r="D867" s="304">
        <v>75.5</v>
      </c>
      <c r="E867" s="305"/>
      <c r="F867" s="305"/>
      <c r="G867" s="305" t="s">
        <v>889</v>
      </c>
      <c r="H867" s="306">
        <v>74</v>
      </c>
      <c r="I867" s="307">
        <v>103003</v>
      </c>
      <c r="J867" s="308">
        <v>71.779300000000006</v>
      </c>
      <c r="K867" s="309">
        <v>81</v>
      </c>
      <c r="L867" s="310">
        <f>IF(tabItens[[#This Row],[Média]] &gt; 0, tabItens[[#This Row],[QTDE ATUAL]] / tabItens[[#This Row],[Média]],999.9)</f>
        <v>9.5483870967741939</v>
      </c>
      <c r="M867" s="311">
        <v>0</v>
      </c>
      <c r="N867" s="312">
        <f>tabItens[[#This Row],[VALOR UNIT.]] * tabItens[[#This Row],[LC]]</f>
        <v>0</v>
      </c>
      <c r="O867" s="313"/>
      <c r="P867" s="314"/>
      <c r="Q867" s="315"/>
      <c r="R867" s="312"/>
      <c r="S867" s="316"/>
      <c r="T867" s="317">
        <f>ROUNDDOWN(IFERROR(tabItens[[#This Row],[ATA DT.VALID.]] - $D$1,0) / 30,0)</f>
        <v>-1474</v>
      </c>
      <c r="U867" s="302" t="s">
        <v>2033</v>
      </c>
      <c r="V867" s="318">
        <v>1</v>
      </c>
      <c r="W867" s="319" t="s">
        <v>2075</v>
      </c>
      <c r="X867" s="320">
        <v>76</v>
      </c>
      <c r="Y867" s="321">
        <v>3</v>
      </c>
      <c r="Z867" s="322"/>
      <c r="AA867" s="323"/>
      <c r="AB867" s="324"/>
      <c r="AC867" s="324"/>
      <c r="AD867" s="323"/>
      <c r="AE867" s="324"/>
      <c r="AF867" s="317"/>
      <c r="AG867" s="325" t="s">
        <v>2072</v>
      </c>
      <c r="AH867" s="326"/>
      <c r="AI867" s="317">
        <v>32</v>
      </c>
      <c r="AJ867" s="326">
        <v>44784</v>
      </c>
      <c r="AK867" s="326">
        <v>44355</v>
      </c>
      <c r="AL867" s="326">
        <v>44586</v>
      </c>
      <c r="AM867" s="316"/>
      <c r="AN867" s="305"/>
      <c r="AO867" s="327" t="str">
        <f>_xlfn.IFNA(IF(VLOOKUP(tabItens[[#This Row],[CÓDIGO]],tabExcluirDoEstoque[#Data],1,FALSE),"sim",""),"")</f>
        <v/>
      </c>
      <c r="AP867" s="328" t="str">
        <f ca="1">IF(OR(ISBLANK(tabItens[[#This Row],[ATA DT.VALID.]]),tabItens[[#This Row],[ATA DT.VALID.]]="",tabItens[[#This Row],[ATA DT.VALID.]]=" "),"",IF(TYPE(tabItens[[#This Row],[ATA DT.VALID.]])=1,ROUNDUP((tabItens[[#This Row],[ATA DT.VALID.]]-TODAY())/7,0),""))</f>
        <v/>
      </c>
      <c r="AQ867" s="329"/>
      <c r="AR867" s="330" t="str">
        <f>IF(ISBLANK(tabItens[[#This Row],[CÓDIGO]]),"",IFERROR(VLOOKUP(tabItens[[#This Row],[CÓDIGO]],Consumo!$C$2:$AC$862,26,FALSE),0))</f>
        <v>09.2023</v>
      </c>
      <c r="AS867" s="331">
        <f>SUMIF(Consumo!$C$3:$C$862,tabItens[[#This Row],[CÓDIGO]],Consumo!$N$3:$N$862) + SUMIF(Consumo!$C$3:$C$862,tabItens[[#This Row],[CÓDIGO]],Consumo!$O$3:$O$862) + SUMIF(Consumo!$C$3:$C$862,tabItens[[#This Row],[CÓDIGO]],Consumo!$P$3:$P$862) + SUMIF(Consumo!$C$3:$C$862,tabItens[[#This Row],[CÓDIGO]],Consumo!$Q$3:$Q$862)</f>
        <v>31</v>
      </c>
      <c r="AT867" s="331">
        <f>SUMIF(Consumo!$C$3:$C$862,tabItens[[#This Row],[CÓDIGO]],Consumo!$Z$3:$Z$862)</f>
        <v>93</v>
      </c>
      <c r="AU867" s="332">
        <f>SUMIF(Consumo!$C$3:$C$862,tabItens[[#This Row],[CÓDIGO]],Consumo!$AA$3:$AA$862)</f>
        <v>20</v>
      </c>
      <c r="AV867" s="333">
        <f>SUMIF(Consumo!$C$3:$C$862,tabItens[[#This Row],[CÓDIGO]],Consumo!$Y$3:$Y$862)</f>
        <v>7.75</v>
      </c>
      <c r="AW867" s="306">
        <f>tabItens[[#This Row],[QTDE ATUAL]] + tabItens[[#This Row],[RC QTDE]] + tabItens[[#This Row],[AF SALDO]] + tabItens[[#This Row],[Recentes]]</f>
        <v>74</v>
      </c>
      <c r="AX867" s="334">
        <v>46</v>
      </c>
      <c r="AY867" s="334">
        <v>4</v>
      </c>
      <c r="AZ867" s="334">
        <f>IF(ISBLANK(tabItens[[#This Row],[CÓDIGO]]),"",tabItens[[#This Row],[PontoMês]] * (AZ$2+tabItens[[#This Row],[PontoQtM]]))</f>
        <v>184</v>
      </c>
      <c r="BA867" s="333">
        <f>tabItens[[#This Row],[PontoPed]] - tabItens[[#This Row],[Saldo]] + (1/10)</f>
        <v>110.1</v>
      </c>
      <c r="BB867" s="333">
        <f xml:space="preserve"> tabItens[[#This Row],[PontoMês]] * BB$2 - tabItens[[#This Row],[QTDE ATUAL]] - (1/10)</f>
        <v>-28.1</v>
      </c>
      <c r="BC867" s="335">
        <f>IF( tabItens[[#This Row],[PontoPed]]&gt;0, IF(tabItens[[#This Row],[PontoPed]]&lt;1, 1, IF( tabItens[[#This Row],[Saldo]]&gt;tabItens[[#This Row],[PontoPed]], 0, (tabItens[[#This Row],[PontoPed]]-tabItens[[#This Row],[Saldo]])/tabItens[[#This Row],[PontoPed]] ) ), 0 )</f>
        <v>0.59782608695652173</v>
      </c>
      <c r="BD867" s="336">
        <f>ROUNDDOWN(IF( OR( AND(tabItens[[#This Row],[PontoPed]]&lt;tabItens[[#This Row],[Saldo]],tabItens[[#This Row],[Saldo]]&gt;0), tabItens[[#This Row],[PontoPed]]=0), 99, IF(AND(tabItens[[#This Row],[Saldo]]=0,tabItens[[#This Row],[PontoPed]]&gt;0), 0, (1-tabItens[[#This Row],[PctAb]])*10 ) ),0)</f>
        <v>4</v>
      </c>
      <c r="BE867" s="337">
        <f>MAX(ROUNDDOWN( IF(tabItens[[#This Row],[Abaixo]] &gt; 0,   tabItens[[#This Row],[Abaixo]] + (tabItens[[#This Row],[PontoMês]] * IF( OR( ISBLANK(tabItens[[#This Row],[ATA Nº/ANO]]), tabItens[[#This Row],[ATA Nº/ANO]] = ""),BE$2,BE$1)),0),0),0)</f>
        <v>386</v>
      </c>
      <c r="BF86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386</v>
      </c>
      <c r="BG867" s="338">
        <f>SUMIF(Consumo!$C$3:$C$862,tabItens[[#This Row],[CÓDIGO]],Consumo!$E$3:$E$862)</f>
        <v>0</v>
      </c>
      <c r="BH867" s="339">
        <f>IF(AND(tabItens[[#This Row],[Pend]] &gt; 0,tabItens[[#This Row],[Consumo]] &lt;&gt; 0), tabItens[[#This Row],[Pend]] / tabItens[[#This Row],[Consumo]], 0 )</f>
        <v>0</v>
      </c>
      <c r="BI867" s="338"/>
      <c r="BJ867" s="338"/>
      <c r="BK867" s="340" t="s">
        <v>2086</v>
      </c>
    </row>
    <row r="868" spans="1:63" hidden="1" x14ac:dyDescent="0.3">
      <c r="A868" s="301">
        <v>141266</v>
      </c>
      <c r="B868" s="302" t="s">
        <v>2034</v>
      </c>
      <c r="C868" s="303" t="s">
        <v>301</v>
      </c>
      <c r="D868" s="304">
        <v>65</v>
      </c>
      <c r="E868" s="305"/>
      <c r="F868" s="305"/>
      <c r="G868" s="305" t="s">
        <v>889</v>
      </c>
      <c r="H868" s="306">
        <v>109</v>
      </c>
      <c r="I868" s="307">
        <v>103003</v>
      </c>
      <c r="J868" s="308">
        <v>65</v>
      </c>
      <c r="K868" s="309">
        <v>61</v>
      </c>
      <c r="L868" s="310">
        <f>IF(tabItens[[#This Row],[Média]] &gt; 0, tabItens[[#This Row],[QTDE ATUAL]] / tabItens[[#This Row],[Média]],999.9)</f>
        <v>20.4375</v>
      </c>
      <c r="M868" s="311">
        <v>0</v>
      </c>
      <c r="N868" s="312">
        <f>tabItens[[#This Row],[VALOR UNIT.]] * tabItens[[#This Row],[LC]]</f>
        <v>0</v>
      </c>
      <c r="O868" s="313"/>
      <c r="P868" s="314"/>
      <c r="Q868" s="315"/>
      <c r="R868" s="312"/>
      <c r="S868" s="316"/>
      <c r="T868" s="317">
        <f>ROUNDDOWN(IFERROR(tabItens[[#This Row],[ATA DT.VALID.]] - $D$1,0) / 30,0)</f>
        <v>-1474</v>
      </c>
      <c r="U868" s="302" t="s">
        <v>2033</v>
      </c>
      <c r="V868" s="318">
        <v>1</v>
      </c>
      <c r="W868" s="319" t="s">
        <v>2075</v>
      </c>
      <c r="X868" s="320">
        <v>76</v>
      </c>
      <c r="Y868" s="321">
        <v>3</v>
      </c>
      <c r="Z868" s="322"/>
      <c r="AA868" s="323"/>
      <c r="AB868" s="324"/>
      <c r="AC868" s="324">
        <v>11620</v>
      </c>
      <c r="AD868" s="323">
        <v>2023</v>
      </c>
      <c r="AE868" s="324">
        <v>50</v>
      </c>
      <c r="AF868" s="317">
        <v>50</v>
      </c>
      <c r="AG868" s="325" t="s">
        <v>2059</v>
      </c>
      <c r="AH868" s="326">
        <v>45247</v>
      </c>
      <c r="AI868" s="317">
        <v>22</v>
      </c>
      <c r="AJ868" s="326">
        <v>44635</v>
      </c>
      <c r="AK868" s="326">
        <v>44355</v>
      </c>
      <c r="AL868" s="326">
        <v>45181</v>
      </c>
      <c r="AM868" s="316"/>
      <c r="AN868" s="305"/>
      <c r="AO868" s="327" t="str">
        <f>_xlfn.IFNA(IF(VLOOKUP(tabItens[[#This Row],[CÓDIGO]],tabExcluirDoEstoque[#Data],1,FALSE),"sim",""),"")</f>
        <v/>
      </c>
      <c r="AP868" s="328" t="str">
        <f ca="1">IF(OR(ISBLANK(tabItens[[#This Row],[ATA DT.VALID.]]),tabItens[[#This Row],[ATA DT.VALID.]]="",tabItens[[#This Row],[ATA DT.VALID.]]=" "),"",IF(TYPE(tabItens[[#This Row],[ATA DT.VALID.]])=1,ROUNDUP((tabItens[[#This Row],[ATA DT.VALID.]]-TODAY())/7,0),""))</f>
        <v/>
      </c>
      <c r="AQ868" s="329"/>
      <c r="AR868" s="330" t="str">
        <f>IF(ISBLANK(tabItens[[#This Row],[CÓDIGO]]),"",IFERROR(VLOOKUP(tabItens[[#This Row],[CÓDIGO]],Consumo!$C$2:$AC$862,26,FALSE),0))</f>
        <v>09.2023</v>
      </c>
      <c r="AS868" s="331">
        <f>SUMIF(Consumo!$C$3:$C$862,tabItens[[#This Row],[CÓDIGO]],Consumo!$N$3:$N$862) + SUMIF(Consumo!$C$3:$C$862,tabItens[[#This Row],[CÓDIGO]],Consumo!$O$3:$O$862) + SUMIF(Consumo!$C$3:$C$862,tabItens[[#This Row],[CÓDIGO]],Consumo!$P$3:$P$862) + SUMIF(Consumo!$C$3:$C$862,tabItens[[#This Row],[CÓDIGO]],Consumo!$Q$3:$Q$862)</f>
        <v>33</v>
      </c>
      <c r="AT868" s="331">
        <f>SUMIF(Consumo!$C$3:$C$862,tabItens[[#This Row],[CÓDIGO]],Consumo!$Z$3:$Z$862)</f>
        <v>67</v>
      </c>
      <c r="AU868" s="332">
        <f>SUMIF(Consumo!$C$3:$C$862,tabItens[[#This Row],[CÓDIGO]],Consumo!$AA$3:$AA$862)</f>
        <v>22</v>
      </c>
      <c r="AV868" s="333">
        <f>SUMIF(Consumo!$C$3:$C$862,tabItens[[#This Row],[CÓDIGO]],Consumo!$Y$3:$Y$862)</f>
        <v>5.333333333333333</v>
      </c>
      <c r="AW868" s="306">
        <f>tabItens[[#This Row],[QTDE ATUAL]] + tabItens[[#This Row],[RC QTDE]] + tabItens[[#This Row],[AF SALDO]] + tabItens[[#This Row],[Recentes]]</f>
        <v>159</v>
      </c>
      <c r="AX868" s="334">
        <v>83</v>
      </c>
      <c r="AY868" s="334">
        <v>4</v>
      </c>
      <c r="AZ868" s="334">
        <f>IF(ISBLANK(tabItens[[#This Row],[CÓDIGO]]),"",tabItens[[#This Row],[PontoMês]] * (AZ$2+tabItens[[#This Row],[PontoQtM]]))</f>
        <v>332</v>
      </c>
      <c r="BA868" s="333">
        <f>tabItens[[#This Row],[PontoPed]] - tabItens[[#This Row],[Saldo]] + (1/10)</f>
        <v>173.1</v>
      </c>
      <c r="BB868" s="333">
        <f xml:space="preserve"> tabItens[[#This Row],[PontoMês]] * BB$2 - tabItens[[#This Row],[QTDE ATUAL]] - (1/10)</f>
        <v>-26.1</v>
      </c>
      <c r="BC868" s="335">
        <f>IF( tabItens[[#This Row],[PontoPed]]&gt;0, IF(tabItens[[#This Row],[PontoPed]]&lt;1, 1, IF( tabItens[[#This Row],[Saldo]]&gt;tabItens[[#This Row],[PontoPed]], 0, (tabItens[[#This Row],[PontoPed]]-tabItens[[#This Row],[Saldo]])/tabItens[[#This Row],[PontoPed]] ) ), 0 )</f>
        <v>0.52108433734939763</v>
      </c>
      <c r="BD868" s="336">
        <f>ROUNDDOWN(IF( OR( AND(tabItens[[#This Row],[PontoPed]]&lt;tabItens[[#This Row],[Saldo]],tabItens[[#This Row],[Saldo]]&gt;0), tabItens[[#This Row],[PontoPed]]=0), 99, IF(AND(tabItens[[#This Row],[Saldo]]=0,tabItens[[#This Row],[PontoPed]]&gt;0), 0, (1-tabItens[[#This Row],[PctAb]])*10 ) ),0)</f>
        <v>4</v>
      </c>
      <c r="BE868" s="337">
        <f>MAX(ROUNDDOWN( IF(tabItens[[#This Row],[Abaixo]] &gt; 0,   tabItens[[#This Row],[Abaixo]] + (tabItens[[#This Row],[PontoMês]] * IF( OR( ISBLANK(tabItens[[#This Row],[ATA Nº/ANO]]), tabItens[[#This Row],[ATA Nº/ANO]] = ""),BE$2,BE$1)),0),0),0)</f>
        <v>671</v>
      </c>
      <c r="BF86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671</v>
      </c>
      <c r="BG868" s="338">
        <f>SUMIF(Consumo!$C$3:$C$862,tabItens[[#This Row],[CÓDIGO]],Consumo!$E$3:$E$862)</f>
        <v>0</v>
      </c>
      <c r="BH868" s="339">
        <f>IF(AND(tabItens[[#This Row],[Pend]] &gt; 0,tabItens[[#This Row],[Consumo]] &lt;&gt; 0), tabItens[[#This Row],[Pend]] / tabItens[[#This Row],[Consumo]], 0 )</f>
        <v>0</v>
      </c>
      <c r="BI868" s="338"/>
      <c r="BJ868" s="338"/>
      <c r="BK868" s="340" t="s">
        <v>2086</v>
      </c>
    </row>
    <row r="869" spans="1:63" hidden="1" x14ac:dyDescent="0.3">
      <c r="A869" s="301">
        <v>141268</v>
      </c>
      <c r="B869" s="302" t="s">
        <v>2035</v>
      </c>
      <c r="C869" s="303" t="s">
        <v>301</v>
      </c>
      <c r="D869" s="304">
        <v>68.39</v>
      </c>
      <c r="E869" s="305"/>
      <c r="F869" s="305"/>
      <c r="G869" s="305" t="s">
        <v>889</v>
      </c>
      <c r="H869" s="306">
        <v>354</v>
      </c>
      <c r="I869" s="307">
        <v>103003</v>
      </c>
      <c r="J869" s="308">
        <v>68.39</v>
      </c>
      <c r="K869" s="309">
        <v>615</v>
      </c>
      <c r="L869" s="310">
        <f>IF(tabItens[[#This Row],[Média]] &gt; 0, tabItens[[#This Row],[QTDE ATUAL]] / tabItens[[#This Row],[Média]],999.9)</f>
        <v>4.6477024070021882</v>
      </c>
      <c r="M869" s="311">
        <v>0</v>
      </c>
      <c r="N869" s="312">
        <f>tabItens[[#This Row],[VALOR UNIT.]] * tabItens[[#This Row],[LC]]</f>
        <v>0</v>
      </c>
      <c r="O869" s="313"/>
      <c r="P869" s="314"/>
      <c r="Q869" s="315"/>
      <c r="R869" s="312"/>
      <c r="S869" s="316"/>
      <c r="T869" s="317">
        <f>ROUNDDOWN(IFERROR(tabItens[[#This Row],[ATA DT.VALID.]] - $D$1,0) / 30,0)</f>
        <v>-1474</v>
      </c>
      <c r="U869" s="302" t="s">
        <v>2033</v>
      </c>
      <c r="V869" s="318">
        <v>1</v>
      </c>
      <c r="W869" s="319" t="s">
        <v>2075</v>
      </c>
      <c r="X869" s="320">
        <v>76</v>
      </c>
      <c r="Y869" s="321">
        <v>3</v>
      </c>
      <c r="Z869" s="322"/>
      <c r="AA869" s="323"/>
      <c r="AB869" s="324"/>
      <c r="AC869" s="324">
        <v>11623</v>
      </c>
      <c r="AD869" s="323">
        <v>2023</v>
      </c>
      <c r="AE869" s="324">
        <v>500</v>
      </c>
      <c r="AF869" s="317">
        <v>500</v>
      </c>
      <c r="AG869" s="325" t="s">
        <v>2059</v>
      </c>
      <c r="AH869" s="326">
        <v>45247</v>
      </c>
      <c r="AI869" s="317">
        <v>310</v>
      </c>
      <c r="AJ869" s="326">
        <v>44628</v>
      </c>
      <c r="AK869" s="326">
        <v>44355</v>
      </c>
      <c r="AL869" s="326">
        <v>45182</v>
      </c>
      <c r="AM869" s="316"/>
      <c r="AN869" s="305"/>
      <c r="AO869" s="327" t="str">
        <f>_xlfn.IFNA(IF(VLOOKUP(tabItens[[#This Row],[CÓDIGO]],tabExcluirDoEstoque[#Data],1,FALSE),"sim",""),"")</f>
        <v/>
      </c>
      <c r="AP869" s="328" t="str">
        <f ca="1">IF(OR(ISBLANK(tabItens[[#This Row],[ATA DT.VALID.]]),tabItens[[#This Row],[ATA DT.VALID.]]="",tabItens[[#This Row],[ATA DT.VALID.]]=" "),"",IF(TYPE(tabItens[[#This Row],[ATA DT.VALID.]])=1,ROUNDUP((tabItens[[#This Row],[ATA DT.VALID.]]-TODAY())/7,0),""))</f>
        <v/>
      </c>
      <c r="AQ869" s="329"/>
      <c r="AR869" s="330" t="str">
        <f>IF(ISBLANK(tabItens[[#This Row],[CÓDIGO]]),"",IFERROR(VLOOKUP(tabItens[[#This Row],[CÓDIGO]],Consumo!$C$2:$AC$862,26,FALSE),0))</f>
        <v>09.2023</v>
      </c>
      <c r="AS869" s="331">
        <f>SUMIF(Consumo!$C$3:$C$862,tabItens[[#This Row],[CÓDIGO]],Consumo!$N$3:$N$862) + SUMIF(Consumo!$C$3:$C$862,tabItens[[#This Row],[CÓDIGO]],Consumo!$O$3:$O$862) + SUMIF(Consumo!$C$3:$C$862,tabItens[[#This Row],[CÓDIGO]],Consumo!$P$3:$P$862) + SUMIF(Consumo!$C$3:$C$862,tabItens[[#This Row],[CÓDIGO]],Consumo!$Q$3:$Q$862)</f>
        <v>306</v>
      </c>
      <c r="AT869" s="331">
        <f>SUMIF(Consumo!$C$3:$C$862,tabItens[[#This Row],[CÓDIGO]],Consumo!$Z$3:$Z$862)</f>
        <v>932</v>
      </c>
      <c r="AU869" s="332">
        <f>SUMIF(Consumo!$C$3:$C$862,tabItens[[#This Row],[CÓDIGO]],Consumo!$AA$3:$AA$862)</f>
        <v>168</v>
      </c>
      <c r="AV869" s="333">
        <f>SUMIF(Consumo!$C$3:$C$862,tabItens[[#This Row],[CÓDIGO]],Consumo!$Y$3:$Y$862)</f>
        <v>76.166666666666671</v>
      </c>
      <c r="AW869" s="306">
        <f>tabItens[[#This Row],[QTDE ATUAL]] + tabItens[[#This Row],[RC QTDE]] + tabItens[[#This Row],[AF SALDO]] + tabItens[[#This Row],[Recentes]]</f>
        <v>854</v>
      </c>
      <c r="AX869" s="334">
        <v>725</v>
      </c>
      <c r="AY869" s="334">
        <v>4</v>
      </c>
      <c r="AZ869" s="334">
        <f>IF(ISBLANK(tabItens[[#This Row],[CÓDIGO]]),"",tabItens[[#This Row],[PontoMês]] * (AZ$2+tabItens[[#This Row],[PontoQtM]]))</f>
        <v>2900</v>
      </c>
      <c r="BA869" s="333">
        <f>tabItens[[#This Row],[PontoPed]] - tabItens[[#This Row],[Saldo]] + (1/10)</f>
        <v>2046.1</v>
      </c>
      <c r="BB869" s="333">
        <f xml:space="preserve"> tabItens[[#This Row],[PontoMês]] * BB$2 - tabItens[[#This Row],[QTDE ATUAL]] - (1/10)</f>
        <v>370.9</v>
      </c>
      <c r="BC869" s="335">
        <f>IF( tabItens[[#This Row],[PontoPed]]&gt;0, IF(tabItens[[#This Row],[PontoPed]]&lt;1, 1, IF( tabItens[[#This Row],[Saldo]]&gt;tabItens[[#This Row],[PontoPed]], 0, (tabItens[[#This Row],[PontoPed]]-tabItens[[#This Row],[Saldo]])/tabItens[[#This Row],[PontoPed]] ) ), 0 )</f>
        <v>0.70551724137931038</v>
      </c>
      <c r="BD869" s="336">
        <f>ROUNDDOWN(IF( OR( AND(tabItens[[#This Row],[PontoPed]]&lt;tabItens[[#This Row],[Saldo]],tabItens[[#This Row],[Saldo]]&gt;0), tabItens[[#This Row],[PontoPed]]=0), 99, IF(AND(tabItens[[#This Row],[Saldo]]=0,tabItens[[#This Row],[PontoPed]]&gt;0), 0, (1-tabItens[[#This Row],[PctAb]])*10 ) ),0)</f>
        <v>2</v>
      </c>
      <c r="BE869" s="337">
        <f>MAX(ROUNDDOWN( IF(tabItens[[#This Row],[Abaixo]] &gt; 0,   tabItens[[#This Row],[Abaixo]] + (tabItens[[#This Row],[PontoMês]] * IF( OR( ISBLANK(tabItens[[#This Row],[ATA Nº/ANO]]), tabItens[[#This Row],[ATA Nº/ANO]] = ""),BE$2,BE$1)),0),0),0)</f>
        <v>6396</v>
      </c>
      <c r="BF86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6396</v>
      </c>
      <c r="BG869" s="338">
        <f>SUMIF(Consumo!$C$3:$C$862,tabItens[[#This Row],[CÓDIGO]],Consumo!$E$3:$E$862)</f>
        <v>0</v>
      </c>
      <c r="BH869" s="339">
        <f>IF(AND(tabItens[[#This Row],[Pend]] &gt; 0,tabItens[[#This Row],[Consumo]] &lt;&gt; 0), tabItens[[#This Row],[Pend]] / tabItens[[#This Row],[Consumo]], 0 )</f>
        <v>0</v>
      </c>
      <c r="BI869" s="338"/>
      <c r="BJ869" s="338"/>
      <c r="BK869" s="340" t="s">
        <v>2086</v>
      </c>
    </row>
    <row r="870" spans="1:63" hidden="1" x14ac:dyDescent="0.3">
      <c r="A870" s="301">
        <v>141679</v>
      </c>
      <c r="B870" s="302" t="s">
        <v>2042</v>
      </c>
      <c r="C870" s="303" t="s">
        <v>301</v>
      </c>
      <c r="D870" s="304">
        <v>90</v>
      </c>
      <c r="E870" s="305"/>
      <c r="F870" s="305"/>
      <c r="G870" s="305" t="s">
        <v>889</v>
      </c>
      <c r="H870" s="306">
        <v>143</v>
      </c>
      <c r="I870" s="307">
        <v>103003</v>
      </c>
      <c r="J870" s="308">
        <v>90</v>
      </c>
      <c r="K870" s="309">
        <v>45</v>
      </c>
      <c r="L870" s="310">
        <f>IF(tabItens[[#This Row],[Média]] &gt; 0, tabItens[[#This Row],[QTDE ATUAL]] / tabItens[[#This Row],[Média]],999.9)</f>
        <v>33.647058823529413</v>
      </c>
      <c r="M870" s="311">
        <v>0</v>
      </c>
      <c r="N870" s="312">
        <f>tabItens[[#This Row],[VALOR UNIT.]] * tabItens[[#This Row],[LC]]</f>
        <v>0</v>
      </c>
      <c r="O870" s="313"/>
      <c r="P870" s="314"/>
      <c r="Q870" s="315"/>
      <c r="R870" s="312"/>
      <c r="S870" s="316"/>
      <c r="T870" s="317">
        <f>ROUNDDOWN(IFERROR(tabItens[[#This Row],[ATA DT.VALID.]] - $D$1,0) / 30,0)</f>
        <v>-1474</v>
      </c>
      <c r="U870" s="302" t="s">
        <v>2033</v>
      </c>
      <c r="V870" s="318">
        <v>1</v>
      </c>
      <c r="W870" s="319" t="s">
        <v>2075</v>
      </c>
      <c r="X870" s="320">
        <v>76</v>
      </c>
      <c r="Y870" s="321">
        <v>3</v>
      </c>
      <c r="Z870" s="322"/>
      <c r="AA870" s="323"/>
      <c r="AB870" s="324"/>
      <c r="AC870" s="324">
        <v>11621</v>
      </c>
      <c r="AD870" s="323">
        <v>2023</v>
      </c>
      <c r="AE870" s="324">
        <v>50</v>
      </c>
      <c r="AF870" s="317">
        <v>50</v>
      </c>
      <c r="AG870" s="325" t="s">
        <v>2059</v>
      </c>
      <c r="AH870" s="326">
        <v>45247</v>
      </c>
      <c r="AI870" s="317">
        <v>22</v>
      </c>
      <c r="AJ870" s="326">
        <v>44652</v>
      </c>
      <c r="AK870" s="326">
        <v>44375</v>
      </c>
      <c r="AL870" s="326">
        <v>45181</v>
      </c>
      <c r="AM870" s="316"/>
      <c r="AN870" s="305"/>
      <c r="AO870" s="327" t="str">
        <f>_xlfn.IFNA(IF(VLOOKUP(tabItens[[#This Row],[CÓDIGO]],tabExcluirDoEstoque[#Data],1,FALSE),"sim",""),"")</f>
        <v/>
      </c>
      <c r="AP870" s="328" t="str">
        <f ca="1">IF(OR(ISBLANK(tabItens[[#This Row],[ATA DT.VALID.]]),tabItens[[#This Row],[ATA DT.VALID.]]="",tabItens[[#This Row],[ATA DT.VALID.]]=" "),"",IF(TYPE(tabItens[[#This Row],[ATA DT.VALID.]])=1,ROUNDUP((tabItens[[#This Row],[ATA DT.VALID.]]-TODAY())/7,0),""))</f>
        <v/>
      </c>
      <c r="AQ870" s="329"/>
      <c r="AR870" s="330" t="str">
        <f>IF(ISBLANK(tabItens[[#This Row],[CÓDIGO]]),"",IFERROR(VLOOKUP(tabItens[[#This Row],[CÓDIGO]],Consumo!$C$2:$AC$862,26,FALSE),0))</f>
        <v>09.2023</v>
      </c>
      <c r="AS870" s="331">
        <f>SUMIF(Consumo!$C$3:$C$862,tabItens[[#This Row],[CÓDIGO]],Consumo!$N$3:$N$862) + SUMIF(Consumo!$C$3:$C$862,tabItens[[#This Row],[CÓDIGO]],Consumo!$O$3:$O$862) + SUMIF(Consumo!$C$3:$C$862,tabItens[[#This Row],[CÓDIGO]],Consumo!$P$3:$P$862) + SUMIF(Consumo!$C$3:$C$862,tabItens[[#This Row],[CÓDIGO]],Consumo!$Q$3:$Q$862)</f>
        <v>18</v>
      </c>
      <c r="AT870" s="331">
        <f>SUMIF(Consumo!$C$3:$C$862,tabItens[[#This Row],[CÓDIGO]],Consumo!$Z$3:$Z$862)</f>
        <v>53</v>
      </c>
      <c r="AU870" s="332">
        <f>SUMIF(Consumo!$C$3:$C$862,tabItens[[#This Row],[CÓDIGO]],Consumo!$AA$3:$AA$862)</f>
        <v>14</v>
      </c>
      <c r="AV870" s="333">
        <f>SUMIF(Consumo!$C$3:$C$862,tabItens[[#This Row],[CÓDIGO]],Consumo!$Y$3:$Y$862)</f>
        <v>4.25</v>
      </c>
      <c r="AW870" s="306">
        <f>tabItens[[#This Row],[QTDE ATUAL]] + tabItens[[#This Row],[RC QTDE]] + tabItens[[#This Row],[AF SALDO]] + tabItens[[#This Row],[Recentes]]</f>
        <v>193</v>
      </c>
      <c r="AX870" s="334">
        <v>90</v>
      </c>
      <c r="AY870" s="334">
        <v>4</v>
      </c>
      <c r="AZ870" s="334">
        <f>IF(ISBLANK(tabItens[[#This Row],[CÓDIGO]]),"",tabItens[[#This Row],[PontoMês]] * (AZ$2+tabItens[[#This Row],[PontoQtM]]))</f>
        <v>360</v>
      </c>
      <c r="BA870" s="333">
        <f>tabItens[[#This Row],[PontoPed]] - tabItens[[#This Row],[Saldo]] + (1/10)</f>
        <v>167.1</v>
      </c>
      <c r="BB870" s="333">
        <f xml:space="preserve"> tabItens[[#This Row],[PontoMês]] * BB$2 - tabItens[[#This Row],[QTDE ATUAL]] - (1/10)</f>
        <v>-53.1</v>
      </c>
      <c r="BC870" s="335">
        <f>IF( tabItens[[#This Row],[PontoPed]]&gt;0, IF(tabItens[[#This Row],[PontoPed]]&lt;1, 1, IF( tabItens[[#This Row],[Saldo]]&gt;tabItens[[#This Row],[PontoPed]], 0, (tabItens[[#This Row],[PontoPed]]-tabItens[[#This Row],[Saldo]])/tabItens[[#This Row],[PontoPed]] ) ), 0 )</f>
        <v>0.46388888888888891</v>
      </c>
      <c r="BD870" s="336">
        <f>ROUNDDOWN(IF( OR( AND(tabItens[[#This Row],[PontoPed]]&lt;tabItens[[#This Row],[Saldo]],tabItens[[#This Row],[Saldo]]&gt;0), tabItens[[#This Row],[PontoPed]]=0), 99, IF(AND(tabItens[[#This Row],[Saldo]]=0,tabItens[[#This Row],[PontoPed]]&gt;0), 0, (1-tabItens[[#This Row],[PctAb]])*10 ) ),0)</f>
        <v>5</v>
      </c>
      <c r="BE870" s="337">
        <f>MAX(ROUNDDOWN( IF(tabItens[[#This Row],[Abaixo]] &gt; 0,   tabItens[[#This Row],[Abaixo]] + (tabItens[[#This Row],[PontoMês]] * IF( OR( ISBLANK(tabItens[[#This Row],[ATA Nº/ANO]]), tabItens[[#This Row],[ATA Nº/ANO]] = ""),BE$2,BE$1)),0),0),0)</f>
        <v>707</v>
      </c>
      <c r="BF87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707</v>
      </c>
      <c r="BG870" s="338">
        <f>SUMIF(Consumo!$C$3:$C$862,tabItens[[#This Row],[CÓDIGO]],Consumo!$E$3:$E$862)</f>
        <v>0</v>
      </c>
      <c r="BH870" s="339">
        <f>IF(AND(tabItens[[#This Row],[Pend]] &gt; 0,tabItens[[#This Row],[Consumo]] &lt;&gt; 0), tabItens[[#This Row],[Pend]] / tabItens[[#This Row],[Consumo]], 0 )</f>
        <v>0</v>
      </c>
      <c r="BI870" s="338"/>
      <c r="BJ870" s="338"/>
      <c r="BK870" s="340" t="s">
        <v>2086</v>
      </c>
    </row>
    <row r="871" spans="1:63" hidden="1" x14ac:dyDescent="0.3">
      <c r="A871" s="301">
        <v>141680</v>
      </c>
      <c r="B871" s="302" t="s">
        <v>2043</v>
      </c>
      <c r="C871" s="303" t="s">
        <v>301</v>
      </c>
      <c r="D871" s="304">
        <v>119.9</v>
      </c>
      <c r="E871" s="305"/>
      <c r="F871" s="305"/>
      <c r="G871" s="305" t="s">
        <v>889</v>
      </c>
      <c r="H871" s="306">
        <v>430</v>
      </c>
      <c r="I871" s="307">
        <v>103003</v>
      </c>
      <c r="J871" s="308">
        <v>119.9</v>
      </c>
      <c r="K871" s="309">
        <v>582</v>
      </c>
      <c r="L871" s="310">
        <f>IF(tabItens[[#This Row],[Média]] &gt; 0, tabItens[[#This Row],[QTDE ATUAL]] / tabItens[[#This Row],[Média]],999.9)</f>
        <v>6.7362924281984329</v>
      </c>
      <c r="M871" s="311">
        <v>0</v>
      </c>
      <c r="N871" s="312">
        <f>tabItens[[#This Row],[VALOR UNIT.]] * tabItens[[#This Row],[LC]]</f>
        <v>0</v>
      </c>
      <c r="O871" s="313"/>
      <c r="P871" s="314"/>
      <c r="Q871" s="315"/>
      <c r="R871" s="312"/>
      <c r="S871" s="316"/>
      <c r="T871" s="317">
        <f>ROUNDDOWN(IFERROR(tabItens[[#This Row],[ATA DT.VALID.]] - $D$1,0) / 30,0)</f>
        <v>-1474</v>
      </c>
      <c r="U871" s="302" t="s">
        <v>2033</v>
      </c>
      <c r="V871" s="318">
        <v>1</v>
      </c>
      <c r="W871" s="319" t="s">
        <v>2075</v>
      </c>
      <c r="X871" s="320">
        <v>76</v>
      </c>
      <c r="Y871" s="321">
        <v>3</v>
      </c>
      <c r="Z871" s="322"/>
      <c r="AA871" s="323"/>
      <c r="AB871" s="324"/>
      <c r="AC871" s="324">
        <v>11626</v>
      </c>
      <c r="AD871" s="323">
        <v>2023</v>
      </c>
      <c r="AE871" s="324">
        <v>200</v>
      </c>
      <c r="AF871" s="317">
        <v>200</v>
      </c>
      <c r="AG871" s="325" t="s">
        <v>2059</v>
      </c>
      <c r="AH871" s="326">
        <v>45247</v>
      </c>
      <c r="AI871" s="317">
        <v>255</v>
      </c>
      <c r="AJ871" s="326">
        <v>44784</v>
      </c>
      <c r="AK871" s="326">
        <v>44375</v>
      </c>
      <c r="AL871" s="326">
        <v>45173</v>
      </c>
      <c r="AM871" s="316"/>
      <c r="AN871" s="305"/>
      <c r="AO871" s="327" t="str">
        <f>_xlfn.IFNA(IF(VLOOKUP(tabItens[[#This Row],[CÓDIGO]],tabExcluirDoEstoque[#Data],1,FALSE),"sim",""),"")</f>
        <v/>
      </c>
      <c r="AP871" s="328" t="str">
        <f ca="1">IF(OR(ISBLANK(tabItens[[#This Row],[ATA DT.VALID.]]),tabItens[[#This Row],[ATA DT.VALID.]]="",tabItens[[#This Row],[ATA DT.VALID.]]=" "),"",IF(TYPE(tabItens[[#This Row],[ATA DT.VALID.]])=1,ROUNDUP((tabItens[[#This Row],[ATA DT.VALID.]]-TODAY())/7,0),""))</f>
        <v/>
      </c>
      <c r="AQ871" s="329"/>
      <c r="AR871" s="330" t="str">
        <f>IF(ISBLANK(tabItens[[#This Row],[CÓDIGO]]),"",IFERROR(VLOOKUP(tabItens[[#This Row],[CÓDIGO]],Consumo!$C$2:$AC$862,26,FALSE),0))</f>
        <v>09.2023</v>
      </c>
      <c r="AS871" s="331">
        <f>SUMIF(Consumo!$C$3:$C$862,tabItens[[#This Row],[CÓDIGO]],Consumo!$N$3:$N$862) + SUMIF(Consumo!$C$3:$C$862,tabItens[[#This Row],[CÓDIGO]],Consumo!$O$3:$O$862) + SUMIF(Consumo!$C$3:$C$862,tabItens[[#This Row],[CÓDIGO]],Consumo!$P$3:$P$862) + SUMIF(Consumo!$C$3:$C$862,tabItens[[#This Row],[CÓDIGO]],Consumo!$Q$3:$Q$862)</f>
        <v>394</v>
      </c>
      <c r="AT871" s="331">
        <f>SUMIF(Consumo!$C$3:$C$862,tabItens[[#This Row],[CÓDIGO]],Consumo!$Z$3:$Z$862)</f>
        <v>766</v>
      </c>
      <c r="AU871" s="332">
        <f>SUMIF(Consumo!$C$3:$C$862,tabItens[[#This Row],[CÓDIGO]],Consumo!$AA$3:$AA$862)</f>
        <v>139</v>
      </c>
      <c r="AV871" s="333">
        <f>SUMIF(Consumo!$C$3:$C$862,tabItens[[#This Row],[CÓDIGO]],Consumo!$Y$3:$Y$862)</f>
        <v>63.833333333333336</v>
      </c>
      <c r="AW871" s="306">
        <f>tabItens[[#This Row],[QTDE ATUAL]] + tabItens[[#This Row],[RC QTDE]] + tabItens[[#This Row],[AF SALDO]] + tabItens[[#This Row],[Recentes]]</f>
        <v>630</v>
      </c>
      <c r="AX871" s="334">
        <v>706</v>
      </c>
      <c r="AY871" s="334">
        <v>4</v>
      </c>
      <c r="AZ871" s="334">
        <f>IF(ISBLANK(tabItens[[#This Row],[CÓDIGO]]),"",tabItens[[#This Row],[PontoMês]] * (AZ$2+tabItens[[#This Row],[PontoQtM]]))</f>
        <v>2824</v>
      </c>
      <c r="BA871" s="333">
        <f>tabItens[[#This Row],[PontoPed]] - tabItens[[#This Row],[Saldo]] + (1/10)</f>
        <v>2194.1</v>
      </c>
      <c r="BB871" s="333">
        <f xml:space="preserve"> tabItens[[#This Row],[PontoMês]] * BB$2 - tabItens[[#This Row],[QTDE ATUAL]] - (1/10)</f>
        <v>275.89999999999998</v>
      </c>
      <c r="BC871" s="335">
        <f>IF( tabItens[[#This Row],[PontoPed]]&gt;0, IF(tabItens[[#This Row],[PontoPed]]&lt;1, 1, IF( tabItens[[#This Row],[Saldo]]&gt;tabItens[[#This Row],[PontoPed]], 0, (tabItens[[#This Row],[PontoPed]]-tabItens[[#This Row],[Saldo]])/tabItens[[#This Row],[PontoPed]] ) ), 0 )</f>
        <v>0.77691218130311612</v>
      </c>
      <c r="BD871" s="336">
        <f>ROUNDDOWN(IF( OR( AND(tabItens[[#This Row],[PontoPed]]&lt;tabItens[[#This Row],[Saldo]],tabItens[[#This Row],[Saldo]]&gt;0), tabItens[[#This Row],[PontoPed]]=0), 99, IF(AND(tabItens[[#This Row],[Saldo]]=0,tabItens[[#This Row],[PontoPed]]&gt;0), 0, (1-tabItens[[#This Row],[PctAb]])*10 ) ),0)</f>
        <v>2</v>
      </c>
      <c r="BE871" s="337">
        <f>MAX(ROUNDDOWN( IF(tabItens[[#This Row],[Abaixo]] &gt; 0,   tabItens[[#This Row],[Abaixo]] + (tabItens[[#This Row],[PontoMês]] * IF( OR( ISBLANK(tabItens[[#This Row],[ATA Nº/ANO]]), tabItens[[#This Row],[ATA Nº/ANO]] = ""),BE$2,BE$1)),0),0),0)</f>
        <v>6430</v>
      </c>
      <c r="BF87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6430</v>
      </c>
      <c r="BG871" s="338">
        <f>SUMIF(Consumo!$C$3:$C$862,tabItens[[#This Row],[CÓDIGO]],Consumo!$E$3:$E$862)</f>
        <v>0</v>
      </c>
      <c r="BH871" s="339">
        <f>IF(AND(tabItens[[#This Row],[Pend]] &gt; 0,tabItens[[#This Row],[Consumo]] &lt;&gt; 0), tabItens[[#This Row],[Pend]] / tabItens[[#This Row],[Consumo]], 0 )</f>
        <v>0</v>
      </c>
      <c r="BI871" s="338"/>
      <c r="BJ871" s="338"/>
      <c r="BK871" s="340" t="s">
        <v>2086</v>
      </c>
    </row>
    <row r="872" spans="1:63" hidden="1" x14ac:dyDescent="0.3">
      <c r="A872" s="301">
        <v>141681</v>
      </c>
      <c r="B872" s="302" t="s">
        <v>2044</v>
      </c>
      <c r="C872" s="303" t="s">
        <v>301</v>
      </c>
      <c r="D872" s="304">
        <v>75</v>
      </c>
      <c r="E872" s="305"/>
      <c r="F872" s="305"/>
      <c r="G872" s="305" t="s">
        <v>889</v>
      </c>
      <c r="H872" s="306">
        <v>113</v>
      </c>
      <c r="I872" s="307">
        <v>103003</v>
      </c>
      <c r="J872" s="308">
        <v>88.772729999999996</v>
      </c>
      <c r="K872" s="309">
        <v>25</v>
      </c>
      <c r="L872" s="310">
        <f>IF(tabItens[[#This Row],[Média]] &gt; 0, tabItens[[#This Row],[QTDE ATUAL]] / tabItens[[#This Row],[Média]],999.9)</f>
        <v>54.239999999999995</v>
      </c>
      <c r="M872" s="311">
        <v>0</v>
      </c>
      <c r="N872" s="312">
        <f>tabItens[[#This Row],[VALOR UNIT.]] * tabItens[[#This Row],[LC]]</f>
        <v>0</v>
      </c>
      <c r="O872" s="313"/>
      <c r="P872" s="314"/>
      <c r="Q872" s="315"/>
      <c r="R872" s="312"/>
      <c r="S872" s="316"/>
      <c r="T872" s="317">
        <f>ROUNDDOWN(IFERROR(tabItens[[#This Row],[ATA DT.VALID.]] - $D$1,0) / 30,0)</f>
        <v>-1474</v>
      </c>
      <c r="U872" s="302" t="s">
        <v>2033</v>
      </c>
      <c r="V872" s="318">
        <v>1</v>
      </c>
      <c r="W872" s="319" t="s">
        <v>2075</v>
      </c>
      <c r="X872" s="320">
        <v>76</v>
      </c>
      <c r="Y872" s="321">
        <v>3</v>
      </c>
      <c r="Z872" s="322"/>
      <c r="AA872" s="323"/>
      <c r="AB872" s="324"/>
      <c r="AC872" s="324"/>
      <c r="AD872" s="323"/>
      <c r="AE872" s="324"/>
      <c r="AF872" s="317"/>
      <c r="AG872" s="325" t="s">
        <v>2072</v>
      </c>
      <c r="AH872" s="326"/>
      <c r="AI872" s="317">
        <v>8</v>
      </c>
      <c r="AJ872" s="326">
        <v>44676</v>
      </c>
      <c r="AK872" s="326">
        <v>44375</v>
      </c>
      <c r="AL872" s="326">
        <v>44586</v>
      </c>
      <c r="AM872" s="316"/>
      <c r="AN872" s="305"/>
      <c r="AO872" s="327" t="str">
        <f>_xlfn.IFNA(IF(VLOOKUP(tabItens[[#This Row],[CÓDIGO]],tabExcluirDoEstoque[#Data],1,FALSE),"sim",""),"")</f>
        <v/>
      </c>
      <c r="AP872" s="328" t="str">
        <f ca="1">IF(OR(ISBLANK(tabItens[[#This Row],[ATA DT.VALID.]]),tabItens[[#This Row],[ATA DT.VALID.]]="",tabItens[[#This Row],[ATA DT.VALID.]]=" "),"",IF(TYPE(tabItens[[#This Row],[ATA DT.VALID.]])=1,ROUNDUP((tabItens[[#This Row],[ATA DT.VALID.]]-TODAY())/7,0),""))</f>
        <v/>
      </c>
      <c r="AQ872" s="329"/>
      <c r="AR872" s="330" t="str">
        <f>IF(ISBLANK(tabItens[[#This Row],[CÓDIGO]]),"",IFERROR(VLOOKUP(tabItens[[#This Row],[CÓDIGO]],Consumo!$C$2:$AC$862,26,FALSE),0))</f>
        <v>08.2023</v>
      </c>
      <c r="AS872" s="331">
        <f>SUMIF(Consumo!$C$3:$C$862,tabItens[[#This Row],[CÓDIGO]],Consumo!$N$3:$N$862) + SUMIF(Consumo!$C$3:$C$862,tabItens[[#This Row],[CÓDIGO]],Consumo!$O$3:$O$862) + SUMIF(Consumo!$C$3:$C$862,tabItens[[#This Row],[CÓDIGO]],Consumo!$P$3:$P$862) + SUMIF(Consumo!$C$3:$C$862,tabItens[[#This Row],[CÓDIGO]],Consumo!$Q$3:$Q$862)</f>
        <v>15</v>
      </c>
      <c r="AT872" s="331">
        <f>SUMIF(Consumo!$C$3:$C$862,tabItens[[#This Row],[CÓDIGO]],Consumo!$Z$3:$Z$862)</f>
        <v>26</v>
      </c>
      <c r="AU872" s="332">
        <f>SUMIF(Consumo!$C$3:$C$862,tabItens[[#This Row],[CÓDIGO]],Consumo!$AA$3:$AA$862)</f>
        <v>8</v>
      </c>
      <c r="AV872" s="333">
        <f>SUMIF(Consumo!$C$3:$C$862,tabItens[[#This Row],[CÓDIGO]],Consumo!$Y$3:$Y$862)</f>
        <v>2.0833333333333335</v>
      </c>
      <c r="AW872" s="306">
        <f>tabItens[[#This Row],[QTDE ATUAL]] + tabItens[[#This Row],[RC QTDE]] + tabItens[[#This Row],[AF SALDO]] + tabItens[[#This Row],[Recentes]]</f>
        <v>113</v>
      </c>
      <c r="AX872" s="334">
        <v>66</v>
      </c>
      <c r="AY872" s="334">
        <v>4</v>
      </c>
      <c r="AZ872" s="334">
        <f>IF(ISBLANK(tabItens[[#This Row],[CÓDIGO]]),"",tabItens[[#This Row],[PontoMês]] * (AZ$2+tabItens[[#This Row],[PontoQtM]]))</f>
        <v>264</v>
      </c>
      <c r="BA872" s="333">
        <f>tabItens[[#This Row],[PontoPed]] - tabItens[[#This Row],[Saldo]] + (1/10)</f>
        <v>151.1</v>
      </c>
      <c r="BB872" s="333">
        <f xml:space="preserve"> tabItens[[#This Row],[PontoMês]] * BB$2 - tabItens[[#This Row],[QTDE ATUAL]] - (1/10)</f>
        <v>-47.1</v>
      </c>
      <c r="BC872" s="335">
        <f>IF( tabItens[[#This Row],[PontoPed]]&gt;0, IF(tabItens[[#This Row],[PontoPed]]&lt;1, 1, IF( tabItens[[#This Row],[Saldo]]&gt;tabItens[[#This Row],[PontoPed]], 0, (tabItens[[#This Row],[PontoPed]]-tabItens[[#This Row],[Saldo]])/tabItens[[#This Row],[PontoPed]] ) ), 0 )</f>
        <v>0.57196969696969702</v>
      </c>
      <c r="BD872" s="336">
        <f>ROUNDDOWN(IF( OR( AND(tabItens[[#This Row],[PontoPed]]&lt;tabItens[[#This Row],[Saldo]],tabItens[[#This Row],[Saldo]]&gt;0), tabItens[[#This Row],[PontoPed]]=0), 99, IF(AND(tabItens[[#This Row],[Saldo]]=0,tabItens[[#This Row],[PontoPed]]&gt;0), 0, (1-tabItens[[#This Row],[PctAb]])*10 ) ),0)</f>
        <v>4</v>
      </c>
      <c r="BE872" s="337">
        <f>MAX(ROUNDDOWN( IF(tabItens[[#This Row],[Abaixo]] &gt; 0,   tabItens[[#This Row],[Abaixo]] + (tabItens[[#This Row],[PontoMês]] * IF( OR( ISBLANK(tabItens[[#This Row],[ATA Nº/ANO]]), tabItens[[#This Row],[ATA Nº/ANO]] = ""),BE$2,BE$1)),0),0),0)</f>
        <v>547</v>
      </c>
      <c r="BF87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547</v>
      </c>
      <c r="BG872" s="338">
        <f>SUMIF(Consumo!$C$3:$C$862,tabItens[[#This Row],[CÓDIGO]],Consumo!$E$3:$E$862)</f>
        <v>0</v>
      </c>
      <c r="BH872" s="339">
        <f>IF(AND(tabItens[[#This Row],[Pend]] &gt; 0,tabItens[[#This Row],[Consumo]] &lt;&gt; 0), tabItens[[#This Row],[Pend]] / tabItens[[#This Row],[Consumo]], 0 )</f>
        <v>0</v>
      </c>
      <c r="BI872" s="338"/>
      <c r="BJ872" s="338"/>
      <c r="BK872" s="340" t="s">
        <v>2086</v>
      </c>
    </row>
    <row r="873" spans="1:63" hidden="1" x14ac:dyDescent="0.3">
      <c r="A873" s="301">
        <v>141270</v>
      </c>
      <c r="B873" s="302" t="s">
        <v>2036</v>
      </c>
      <c r="C873" s="303" t="s">
        <v>301</v>
      </c>
      <c r="D873" s="304">
        <v>96.26</v>
      </c>
      <c r="E873" s="305"/>
      <c r="F873" s="305"/>
      <c r="G873" s="305" t="s">
        <v>889</v>
      </c>
      <c r="H873" s="306">
        <v>22</v>
      </c>
      <c r="I873" s="307">
        <v>103003</v>
      </c>
      <c r="J873" s="308">
        <v>96.26</v>
      </c>
      <c r="K873" s="309">
        <v>40</v>
      </c>
      <c r="L873" s="310">
        <f>IF(tabItens[[#This Row],[Média]] &gt; 0, tabItens[[#This Row],[QTDE ATUAL]] / tabItens[[#This Row],[Média]],999.9)</f>
        <v>9.7777777777777786</v>
      </c>
      <c r="M873" s="311">
        <v>0</v>
      </c>
      <c r="N873" s="312">
        <f>tabItens[[#This Row],[VALOR UNIT.]] * tabItens[[#This Row],[LC]]</f>
        <v>0</v>
      </c>
      <c r="O873" s="313"/>
      <c r="P873" s="314"/>
      <c r="Q873" s="315"/>
      <c r="R873" s="312"/>
      <c r="S873" s="316"/>
      <c r="T873" s="317">
        <f>ROUNDDOWN(IFERROR(tabItens[[#This Row],[ATA DT.VALID.]] - $D$1,0) / 30,0)</f>
        <v>-1474</v>
      </c>
      <c r="U873" s="302" t="s">
        <v>1071</v>
      </c>
      <c r="V873" s="318">
        <v>1</v>
      </c>
      <c r="W873" s="319" t="s">
        <v>2075</v>
      </c>
      <c r="X873" s="320">
        <v>76</v>
      </c>
      <c r="Y873" s="321">
        <v>5</v>
      </c>
      <c r="Z873" s="322"/>
      <c r="AA873" s="323"/>
      <c r="AB873" s="324"/>
      <c r="AC873" s="324"/>
      <c r="AD873" s="323"/>
      <c r="AE873" s="324"/>
      <c r="AF873" s="317"/>
      <c r="AG873" s="325" t="s">
        <v>2072</v>
      </c>
      <c r="AH873" s="326"/>
      <c r="AI873" s="317">
        <v>14</v>
      </c>
      <c r="AJ873" s="326">
        <v>45201</v>
      </c>
      <c r="AK873" s="326">
        <v>44355</v>
      </c>
      <c r="AL873" s="326">
        <v>45181</v>
      </c>
      <c r="AM873" s="316"/>
      <c r="AN873" s="305"/>
      <c r="AO873" s="327" t="str">
        <f>_xlfn.IFNA(IF(VLOOKUP(tabItens[[#This Row],[CÓDIGO]],tabExcluirDoEstoque[#Data],1,FALSE),"sim",""),"")</f>
        <v/>
      </c>
      <c r="AP873" s="328" t="str">
        <f ca="1">IF(OR(ISBLANK(tabItens[[#This Row],[ATA DT.VALID.]]),tabItens[[#This Row],[ATA DT.VALID.]]="",tabItens[[#This Row],[ATA DT.VALID.]]=" "),"",IF(TYPE(tabItens[[#This Row],[ATA DT.VALID.]])=1,ROUNDUP((tabItens[[#This Row],[ATA DT.VALID.]]-TODAY())/7,0),""))</f>
        <v/>
      </c>
      <c r="AQ873" s="329"/>
      <c r="AR873" s="330" t="str">
        <f>IF(ISBLANK(tabItens[[#This Row],[CÓDIGO]]),"",IFERROR(VLOOKUP(tabItens[[#This Row],[CÓDIGO]],Consumo!$C$2:$AC$862,26,FALSE),0))</f>
        <v>02.2023</v>
      </c>
      <c r="AS873" s="331">
        <f>SUMIF(Consumo!$C$3:$C$862,tabItens[[#This Row],[CÓDIGO]],Consumo!$N$3:$N$862) + SUMIF(Consumo!$C$3:$C$862,tabItens[[#This Row],[CÓDIGO]],Consumo!$O$3:$O$862) + SUMIF(Consumo!$C$3:$C$862,tabItens[[#This Row],[CÓDIGO]],Consumo!$P$3:$P$862) + SUMIF(Consumo!$C$3:$C$862,tabItens[[#This Row],[CÓDIGO]],Consumo!$Q$3:$Q$862)</f>
        <v>0</v>
      </c>
      <c r="AT873" s="331">
        <f>SUMIF(Consumo!$C$3:$C$862,tabItens[[#This Row],[CÓDIGO]],Consumo!$Z$3:$Z$862)</f>
        <v>40</v>
      </c>
      <c r="AU873" s="332">
        <f>SUMIF(Consumo!$C$3:$C$862,tabItens[[#This Row],[CÓDIGO]],Consumo!$AA$3:$AA$862)</f>
        <v>38</v>
      </c>
      <c r="AV873" s="333">
        <f>SUMIF(Consumo!$C$3:$C$862,tabItens[[#This Row],[CÓDIGO]],Consumo!$Y$3:$Y$862)</f>
        <v>2.25</v>
      </c>
      <c r="AW873" s="306">
        <f>tabItens[[#This Row],[QTDE ATUAL]] + tabItens[[#This Row],[RC QTDE]] + tabItens[[#This Row],[AF SALDO]] + tabItens[[#This Row],[Recentes]]</f>
        <v>22</v>
      </c>
      <c r="AX873" s="334">
        <v>15</v>
      </c>
      <c r="AY873" s="334">
        <v>4</v>
      </c>
      <c r="AZ873" s="334">
        <f>IF(ISBLANK(tabItens[[#This Row],[CÓDIGO]]),"",tabItens[[#This Row],[PontoMês]] * (AZ$2+tabItens[[#This Row],[PontoQtM]]))</f>
        <v>60</v>
      </c>
      <c r="BA873" s="333">
        <f>tabItens[[#This Row],[PontoPed]] - tabItens[[#This Row],[Saldo]] + (1/10)</f>
        <v>38.1</v>
      </c>
      <c r="BB873" s="333">
        <f xml:space="preserve"> tabItens[[#This Row],[PontoMês]] * BB$2 - tabItens[[#This Row],[QTDE ATUAL]] - (1/10)</f>
        <v>-7.1</v>
      </c>
      <c r="BC873" s="335">
        <f>IF( tabItens[[#This Row],[PontoPed]]&gt;0, IF(tabItens[[#This Row],[PontoPed]]&lt;1, 1, IF( tabItens[[#This Row],[Saldo]]&gt;tabItens[[#This Row],[PontoPed]], 0, (tabItens[[#This Row],[PontoPed]]-tabItens[[#This Row],[Saldo]])/tabItens[[#This Row],[PontoPed]] ) ), 0 )</f>
        <v>0.6333333333333333</v>
      </c>
      <c r="BD873" s="336">
        <f>ROUNDDOWN(IF( OR( AND(tabItens[[#This Row],[PontoPed]]&lt;tabItens[[#This Row],[Saldo]],tabItens[[#This Row],[Saldo]]&gt;0), tabItens[[#This Row],[PontoPed]]=0), 99, IF(AND(tabItens[[#This Row],[Saldo]]=0,tabItens[[#This Row],[PontoPed]]&gt;0), 0, (1-tabItens[[#This Row],[PctAb]])*10 ) ),0)</f>
        <v>3</v>
      </c>
      <c r="BE873" s="337">
        <f>MAX(ROUNDDOWN( IF(tabItens[[#This Row],[Abaixo]] &gt; 0,   tabItens[[#This Row],[Abaixo]] + (tabItens[[#This Row],[PontoMês]] * IF( OR( ISBLANK(tabItens[[#This Row],[ATA Nº/ANO]]), tabItens[[#This Row],[ATA Nº/ANO]] = ""),BE$2,BE$1)),0),0),0)</f>
        <v>128</v>
      </c>
      <c r="BF87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128</v>
      </c>
      <c r="BG873" s="338">
        <f>SUMIF(Consumo!$C$3:$C$862,tabItens[[#This Row],[CÓDIGO]],Consumo!$E$3:$E$862)</f>
        <v>0</v>
      </c>
      <c r="BH873" s="339">
        <f>IF(AND(tabItens[[#This Row],[Pend]] &gt; 0,tabItens[[#This Row],[Consumo]] &lt;&gt; 0), tabItens[[#This Row],[Pend]] / tabItens[[#This Row],[Consumo]], 0 )</f>
        <v>0</v>
      </c>
      <c r="BI873" s="338"/>
      <c r="BJ873" s="338"/>
      <c r="BK873" s="340" t="s">
        <v>2086</v>
      </c>
    </row>
    <row r="874" spans="1:63" hidden="1" x14ac:dyDescent="0.3">
      <c r="A874" s="301">
        <v>141608</v>
      </c>
      <c r="B874" s="302" t="s">
        <v>2040</v>
      </c>
      <c r="C874" s="303" t="s">
        <v>287</v>
      </c>
      <c r="D874" s="304">
        <v>303</v>
      </c>
      <c r="E874" s="305"/>
      <c r="F874" s="305"/>
      <c r="G874" s="305" t="s">
        <v>889</v>
      </c>
      <c r="H874" s="306">
        <v>55</v>
      </c>
      <c r="I874" s="307">
        <v>103003</v>
      </c>
      <c r="J874" s="308">
        <v>303</v>
      </c>
      <c r="K874" s="309">
        <v>33</v>
      </c>
      <c r="L874" s="310">
        <f>IF(tabItens[[#This Row],[Média]] &gt; 0, tabItens[[#This Row],[QTDE ATUAL]] / tabItens[[#This Row],[Média]],999.9)</f>
        <v>25.384615384615387</v>
      </c>
      <c r="M874" s="311">
        <v>0</v>
      </c>
      <c r="N874" s="312">
        <f>tabItens[[#This Row],[VALOR UNIT.]] * tabItens[[#This Row],[LC]]</f>
        <v>0</v>
      </c>
      <c r="O874" s="313"/>
      <c r="P874" s="314"/>
      <c r="Q874" s="315"/>
      <c r="R874" s="312"/>
      <c r="S874" s="316"/>
      <c r="T874" s="317">
        <f>ROUNDDOWN(IFERROR(tabItens[[#This Row],[ATA DT.VALID.]] - $D$1,0) / 30,0)</f>
        <v>-1474</v>
      </c>
      <c r="U874" s="302" t="s">
        <v>1391</v>
      </c>
      <c r="V874" s="318">
        <v>1</v>
      </c>
      <c r="W874" s="319" t="s">
        <v>2075</v>
      </c>
      <c r="X874" s="320">
        <v>76</v>
      </c>
      <c r="Y874" s="321">
        <v>9</v>
      </c>
      <c r="Z874" s="322"/>
      <c r="AA874" s="323"/>
      <c r="AB874" s="324"/>
      <c r="AC874" s="324"/>
      <c r="AD874" s="323"/>
      <c r="AE874" s="324"/>
      <c r="AF874" s="317"/>
      <c r="AG874" s="325" t="s">
        <v>2072</v>
      </c>
      <c r="AH874" s="326"/>
      <c r="AI874" s="317">
        <v>12</v>
      </c>
      <c r="AJ874" s="326">
        <v>44799</v>
      </c>
      <c r="AK874" s="326">
        <v>44371</v>
      </c>
      <c r="AL874" s="326">
        <v>44915</v>
      </c>
      <c r="AM874" s="316"/>
      <c r="AN874" s="305"/>
      <c r="AO874" s="327" t="str">
        <f>_xlfn.IFNA(IF(VLOOKUP(tabItens[[#This Row],[CÓDIGO]],tabExcluirDoEstoque[#Data],1,FALSE),"sim",""),"")</f>
        <v/>
      </c>
      <c r="AP874" s="328" t="str">
        <f ca="1">IF(OR(ISBLANK(tabItens[[#This Row],[ATA DT.VALID.]]),tabItens[[#This Row],[ATA DT.VALID.]]="",tabItens[[#This Row],[ATA DT.VALID.]]=" "),"",IF(TYPE(tabItens[[#This Row],[ATA DT.VALID.]])=1,ROUNDUP((tabItens[[#This Row],[ATA DT.VALID.]]-TODAY())/7,0),""))</f>
        <v/>
      </c>
      <c r="AQ874" s="329"/>
      <c r="AR874" s="330" t="str">
        <f>IF(ISBLANK(tabItens[[#This Row],[CÓDIGO]]),"",IFERROR(VLOOKUP(tabItens[[#This Row],[CÓDIGO]],Consumo!$C$2:$AC$862,26,FALSE),0))</f>
        <v>09.2023</v>
      </c>
      <c r="AS874" s="331">
        <f>SUMIF(Consumo!$C$3:$C$862,tabItens[[#This Row],[CÓDIGO]],Consumo!$N$3:$N$862) + SUMIF(Consumo!$C$3:$C$862,tabItens[[#This Row],[CÓDIGO]],Consumo!$O$3:$O$862) + SUMIF(Consumo!$C$3:$C$862,tabItens[[#This Row],[CÓDIGO]],Consumo!$P$3:$P$862) + SUMIF(Consumo!$C$3:$C$862,tabItens[[#This Row],[CÓDIGO]],Consumo!$Q$3:$Q$862)</f>
        <v>25</v>
      </c>
      <c r="AT874" s="331">
        <f>SUMIF(Consumo!$C$3:$C$862,tabItens[[#This Row],[CÓDIGO]],Consumo!$Z$3:$Z$862)</f>
        <v>33</v>
      </c>
      <c r="AU874" s="332">
        <f>SUMIF(Consumo!$C$3:$C$862,tabItens[[#This Row],[CÓDIGO]],Consumo!$AA$3:$AA$862)</f>
        <v>21</v>
      </c>
      <c r="AV874" s="333">
        <f>SUMIF(Consumo!$C$3:$C$862,tabItens[[#This Row],[CÓDIGO]],Consumo!$Y$3:$Y$862)</f>
        <v>2.1666666666666665</v>
      </c>
      <c r="AW874" s="306">
        <f>tabItens[[#This Row],[QTDE ATUAL]] + tabItens[[#This Row],[RC QTDE]] + tabItens[[#This Row],[AF SALDO]] + tabItens[[#This Row],[Recentes]]</f>
        <v>55</v>
      </c>
      <c r="AX874" s="334">
        <v>18</v>
      </c>
      <c r="AY874" s="334">
        <v>4</v>
      </c>
      <c r="AZ874" s="334">
        <f>IF(ISBLANK(tabItens[[#This Row],[CÓDIGO]]),"",tabItens[[#This Row],[PontoMês]] * (AZ$2+tabItens[[#This Row],[PontoQtM]]))</f>
        <v>72</v>
      </c>
      <c r="BA874" s="333">
        <f>tabItens[[#This Row],[PontoPed]] - tabItens[[#This Row],[Saldo]] + (1/10)</f>
        <v>17.100000000000001</v>
      </c>
      <c r="BB874" s="333">
        <f xml:space="preserve"> tabItens[[#This Row],[PontoMês]] * BB$2 - tabItens[[#This Row],[QTDE ATUAL]] - (1/10)</f>
        <v>-37.1</v>
      </c>
      <c r="BC874" s="335">
        <f>IF( tabItens[[#This Row],[PontoPed]]&gt;0, IF(tabItens[[#This Row],[PontoPed]]&lt;1, 1, IF( tabItens[[#This Row],[Saldo]]&gt;tabItens[[#This Row],[PontoPed]], 0, (tabItens[[#This Row],[PontoPed]]-tabItens[[#This Row],[Saldo]])/tabItens[[#This Row],[PontoPed]] ) ), 0 )</f>
        <v>0.2361111111111111</v>
      </c>
      <c r="BD874" s="336">
        <f>ROUNDDOWN(IF( OR( AND(tabItens[[#This Row],[PontoPed]]&lt;tabItens[[#This Row],[Saldo]],tabItens[[#This Row],[Saldo]]&gt;0), tabItens[[#This Row],[PontoPed]]=0), 99, IF(AND(tabItens[[#This Row],[Saldo]]=0,tabItens[[#This Row],[PontoPed]]&gt;0), 0, (1-tabItens[[#This Row],[PctAb]])*10 ) ),0)</f>
        <v>7</v>
      </c>
      <c r="BE874" s="337">
        <f>MAX(ROUNDDOWN( IF(tabItens[[#This Row],[Abaixo]] &gt; 0,   tabItens[[#This Row],[Abaixo]] + (tabItens[[#This Row],[PontoMês]] * IF( OR( ISBLANK(tabItens[[#This Row],[ATA Nº/ANO]]), tabItens[[#This Row],[ATA Nº/ANO]] = ""),BE$2,BE$1)),0),0),0)</f>
        <v>125</v>
      </c>
      <c r="BF87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125</v>
      </c>
      <c r="BG874" s="338">
        <f>SUMIF(Consumo!$C$3:$C$862,tabItens[[#This Row],[CÓDIGO]],Consumo!$E$3:$E$862)</f>
        <v>0</v>
      </c>
      <c r="BH874" s="339">
        <f>IF(AND(tabItens[[#This Row],[Pend]] &gt; 0,tabItens[[#This Row],[Consumo]] &lt;&gt; 0), tabItens[[#This Row],[Pend]] / tabItens[[#This Row],[Consumo]], 0 )</f>
        <v>0</v>
      </c>
      <c r="BI874" s="338"/>
      <c r="BJ874" s="338"/>
      <c r="BK874" s="340" t="s">
        <v>2086</v>
      </c>
    </row>
    <row r="875" spans="1:63" hidden="1" x14ac:dyDescent="0.3">
      <c r="A875" s="301">
        <v>141615</v>
      </c>
      <c r="B875" s="302" t="s">
        <v>2041</v>
      </c>
      <c r="C875" s="303" t="s">
        <v>287</v>
      </c>
      <c r="D875" s="304">
        <v>299.98</v>
      </c>
      <c r="E875" s="305"/>
      <c r="F875" s="305"/>
      <c r="G875" s="305" t="s">
        <v>889</v>
      </c>
      <c r="H875" s="306">
        <v>61</v>
      </c>
      <c r="I875" s="307">
        <v>103003</v>
      </c>
      <c r="J875" s="308">
        <v>299.98</v>
      </c>
      <c r="K875" s="309">
        <v>55</v>
      </c>
      <c r="L875" s="310">
        <f>IF(tabItens[[#This Row],[Média]] &gt; 0, tabItens[[#This Row],[QTDE ATUAL]] / tabItens[[#This Row],[Média]],999.9)</f>
        <v>12.620689655172415</v>
      </c>
      <c r="M875" s="311">
        <v>0</v>
      </c>
      <c r="N875" s="312">
        <f>tabItens[[#This Row],[VALOR UNIT.]] * tabItens[[#This Row],[LC]]</f>
        <v>0</v>
      </c>
      <c r="O875" s="313"/>
      <c r="P875" s="314"/>
      <c r="Q875" s="315"/>
      <c r="R875" s="312"/>
      <c r="S875" s="316"/>
      <c r="T875" s="317">
        <f>ROUNDDOWN(IFERROR(tabItens[[#This Row],[ATA DT.VALID.]] - $D$1,0) / 30,0)</f>
        <v>-1474</v>
      </c>
      <c r="U875" s="302" t="s">
        <v>974</v>
      </c>
      <c r="V875" s="318">
        <v>1</v>
      </c>
      <c r="W875" s="319" t="s">
        <v>2075</v>
      </c>
      <c r="X875" s="320">
        <v>76</v>
      </c>
      <c r="Y875" s="321">
        <v>10</v>
      </c>
      <c r="Z875" s="322"/>
      <c r="AA875" s="323"/>
      <c r="AB875" s="324"/>
      <c r="AC875" s="324">
        <v>11620</v>
      </c>
      <c r="AD875" s="323">
        <v>2023</v>
      </c>
      <c r="AE875" s="324">
        <v>50</v>
      </c>
      <c r="AF875" s="317">
        <v>50</v>
      </c>
      <c r="AG875" s="325" t="s">
        <v>2059</v>
      </c>
      <c r="AH875" s="326">
        <v>45247</v>
      </c>
      <c r="AI875" s="317">
        <v>22</v>
      </c>
      <c r="AJ875" s="326">
        <v>44838</v>
      </c>
      <c r="AK875" s="326">
        <v>44371</v>
      </c>
      <c r="AL875" s="326">
        <v>45181</v>
      </c>
      <c r="AM875" s="316"/>
      <c r="AN875" s="305"/>
      <c r="AO875" s="327" t="str">
        <f>_xlfn.IFNA(IF(VLOOKUP(tabItens[[#This Row],[CÓDIGO]],tabExcluirDoEstoque[#Data],1,FALSE),"sim",""),"")</f>
        <v/>
      </c>
      <c r="AP875" s="328" t="str">
        <f ca="1">IF(OR(ISBLANK(tabItens[[#This Row],[ATA DT.VALID.]]),tabItens[[#This Row],[ATA DT.VALID.]]="",tabItens[[#This Row],[ATA DT.VALID.]]=" "),"",IF(TYPE(tabItens[[#This Row],[ATA DT.VALID.]])=1,ROUNDUP((tabItens[[#This Row],[ATA DT.VALID.]]-TODAY())/7,0),""))</f>
        <v/>
      </c>
      <c r="AQ875" s="329">
        <v>0</v>
      </c>
      <c r="AR875" s="330" t="str">
        <f>IF(ISBLANK(tabItens[[#This Row],[CÓDIGO]]),"",IFERROR(VLOOKUP(tabItens[[#This Row],[CÓDIGO]],Consumo!$C$2:$AC$862,26,FALSE),0))</f>
        <v>09.2023</v>
      </c>
      <c r="AS875" s="331">
        <f>SUMIF(Consumo!$C$3:$C$862,tabItens[[#This Row],[CÓDIGO]],Consumo!$N$3:$N$862) + SUMIF(Consumo!$C$3:$C$862,tabItens[[#This Row],[CÓDIGO]],Consumo!$O$3:$O$862) + SUMIF(Consumo!$C$3:$C$862,tabItens[[#This Row],[CÓDIGO]],Consumo!$P$3:$P$862) + SUMIF(Consumo!$C$3:$C$862,tabItens[[#This Row],[CÓDIGO]],Consumo!$Q$3:$Q$862)</f>
        <v>36</v>
      </c>
      <c r="AT875" s="331">
        <f>SUMIF(Consumo!$C$3:$C$862,tabItens[[#This Row],[CÓDIGO]],Consumo!$Z$3:$Z$862)</f>
        <v>63</v>
      </c>
      <c r="AU875" s="332">
        <f>SUMIF(Consumo!$C$3:$C$862,tabItens[[#This Row],[CÓDIGO]],Consumo!$AA$3:$AA$862)</f>
        <v>24</v>
      </c>
      <c r="AV875" s="333">
        <f>SUMIF(Consumo!$C$3:$C$862,tabItens[[#This Row],[CÓDIGO]],Consumo!$Y$3:$Y$862)</f>
        <v>4.833333333333333</v>
      </c>
      <c r="AW875" s="306">
        <f>tabItens[[#This Row],[QTDE ATUAL]] + tabItens[[#This Row],[RC QTDE]] + tabItens[[#This Row],[AF SALDO]] + tabItens[[#This Row],[Recentes]]</f>
        <v>111</v>
      </c>
      <c r="AX875" s="334">
        <v>60</v>
      </c>
      <c r="AY875" s="334">
        <v>4</v>
      </c>
      <c r="AZ875" s="334">
        <f>IF(ISBLANK(tabItens[[#This Row],[CÓDIGO]]),"",tabItens[[#This Row],[PontoMês]] * (AZ$2+tabItens[[#This Row],[PontoQtM]]))</f>
        <v>240</v>
      </c>
      <c r="BA875" s="333">
        <f>tabItens[[#This Row],[PontoPed]] - tabItens[[#This Row],[Saldo]] + (1/10)</f>
        <v>129.1</v>
      </c>
      <c r="BB875" s="333">
        <f xml:space="preserve"> tabItens[[#This Row],[PontoMês]] * BB$2 - tabItens[[#This Row],[QTDE ATUAL]] - (1/10)</f>
        <v>-1.1000000000000001</v>
      </c>
      <c r="BC875" s="335">
        <f>IF( tabItens[[#This Row],[PontoPed]]&gt;0, IF(tabItens[[#This Row],[PontoPed]]&lt;1, 1, IF( tabItens[[#This Row],[Saldo]]&gt;tabItens[[#This Row],[PontoPed]], 0, (tabItens[[#This Row],[PontoPed]]-tabItens[[#This Row],[Saldo]])/tabItens[[#This Row],[PontoPed]] ) ), 0 )</f>
        <v>0.53749999999999998</v>
      </c>
      <c r="BD875" s="336">
        <f>ROUNDDOWN(IF( OR( AND(tabItens[[#This Row],[PontoPed]]&lt;tabItens[[#This Row],[Saldo]],tabItens[[#This Row],[Saldo]]&gt;0), tabItens[[#This Row],[PontoPed]]=0), 99, IF(AND(tabItens[[#This Row],[Saldo]]=0,tabItens[[#This Row],[PontoPed]]&gt;0), 0, (1-tabItens[[#This Row],[PctAb]])*10 ) ),0)</f>
        <v>4</v>
      </c>
      <c r="BE875" s="337">
        <f>MAX(ROUNDDOWN( IF(tabItens[[#This Row],[Abaixo]] &gt; 0,   tabItens[[#This Row],[Abaixo]] + (tabItens[[#This Row],[PontoMês]] * IF( OR( ISBLANK(tabItens[[#This Row],[ATA Nº/ANO]]), tabItens[[#This Row],[ATA Nº/ANO]] = ""),BE$2,BE$1)),0),0),0)</f>
        <v>489</v>
      </c>
      <c r="BF87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489</v>
      </c>
      <c r="BG875" s="338">
        <f>SUMIF(Consumo!$C$3:$C$862,tabItens[[#This Row],[CÓDIGO]],Consumo!$E$3:$E$862)</f>
        <v>0</v>
      </c>
      <c r="BH875" s="339">
        <f>IF(AND(tabItens[[#This Row],[Pend]] &gt; 0,tabItens[[#This Row],[Consumo]] &lt;&gt; 0), tabItens[[#This Row],[Pend]] / tabItens[[#This Row],[Consumo]], 0 )</f>
        <v>0</v>
      </c>
      <c r="BI875" s="338"/>
      <c r="BJ875" s="338"/>
      <c r="BK875" s="340" t="s">
        <v>2086</v>
      </c>
    </row>
    <row r="876" spans="1:63" hidden="1" x14ac:dyDescent="0.3">
      <c r="A876" s="301">
        <v>141786</v>
      </c>
      <c r="B876" s="302" t="s">
        <v>2045</v>
      </c>
      <c r="C876" s="303" t="s">
        <v>287</v>
      </c>
      <c r="D876" s="304">
        <v>535</v>
      </c>
      <c r="E876" s="305"/>
      <c r="F876" s="305"/>
      <c r="G876" s="305" t="s">
        <v>889</v>
      </c>
      <c r="H876" s="306">
        <v>243</v>
      </c>
      <c r="I876" s="307">
        <v>103003</v>
      </c>
      <c r="J876" s="308">
        <v>515.79926</v>
      </c>
      <c r="K876" s="309">
        <v>24</v>
      </c>
      <c r="L876" s="310">
        <f>IF(tabItens[[#This Row],[Média]] &gt; 0, tabItens[[#This Row],[QTDE ATUAL]] / tabItens[[#This Row],[Média]],999.9)</f>
        <v>104.14285714285714</v>
      </c>
      <c r="M876" s="311">
        <v>0</v>
      </c>
      <c r="N876" s="312">
        <f>tabItens[[#This Row],[VALOR UNIT.]] * tabItens[[#This Row],[LC]]</f>
        <v>0</v>
      </c>
      <c r="O876" s="313"/>
      <c r="P876" s="314"/>
      <c r="Q876" s="315"/>
      <c r="R876" s="312"/>
      <c r="S876" s="316"/>
      <c r="T876" s="317">
        <f>ROUNDDOWN(IFERROR(tabItens[[#This Row],[ATA DT.VALID.]] - $D$1,0) / 30,0)</f>
        <v>-1474</v>
      </c>
      <c r="U876" s="302" t="s">
        <v>974</v>
      </c>
      <c r="V876" s="318">
        <v>1</v>
      </c>
      <c r="W876" s="319" t="s">
        <v>2075</v>
      </c>
      <c r="X876" s="320">
        <v>76</v>
      </c>
      <c r="Y876" s="321">
        <v>10</v>
      </c>
      <c r="Z876" s="322"/>
      <c r="AA876" s="323"/>
      <c r="AB876" s="324"/>
      <c r="AC876" s="324"/>
      <c r="AD876" s="323"/>
      <c r="AE876" s="324"/>
      <c r="AF876" s="317"/>
      <c r="AG876" s="325" t="s">
        <v>2072</v>
      </c>
      <c r="AH876" s="326"/>
      <c r="AI876" s="317">
        <v>12</v>
      </c>
      <c r="AJ876" s="326">
        <v>44613</v>
      </c>
      <c r="AK876" s="326">
        <v>44375</v>
      </c>
      <c r="AL876" s="326">
        <v>44586</v>
      </c>
      <c r="AM876" s="316"/>
      <c r="AN876" s="305"/>
      <c r="AO876" s="327" t="str">
        <f>_xlfn.IFNA(IF(VLOOKUP(tabItens[[#This Row],[CÓDIGO]],tabExcluirDoEstoque[#Data],1,FALSE),"sim",""),"")</f>
        <v/>
      </c>
      <c r="AP876" s="328" t="str">
        <f ca="1">IF(OR(ISBLANK(tabItens[[#This Row],[ATA DT.VALID.]]),tabItens[[#This Row],[ATA DT.VALID.]]="",tabItens[[#This Row],[ATA DT.VALID.]]=" "),"",IF(TYPE(tabItens[[#This Row],[ATA DT.VALID.]])=1,ROUNDUP((tabItens[[#This Row],[ATA DT.VALID.]]-TODAY())/7,0),""))</f>
        <v/>
      </c>
      <c r="AQ876" s="329"/>
      <c r="AR876" s="330" t="str">
        <f>IF(ISBLANK(tabItens[[#This Row],[CÓDIGO]]),"",IFERROR(VLOOKUP(tabItens[[#This Row],[CÓDIGO]],Consumo!$C$2:$AC$862,26,FALSE),0))</f>
        <v>09.2023</v>
      </c>
      <c r="AS876" s="331">
        <f>SUMIF(Consumo!$C$3:$C$862,tabItens[[#This Row],[CÓDIGO]],Consumo!$N$3:$N$862) + SUMIF(Consumo!$C$3:$C$862,tabItens[[#This Row],[CÓDIGO]],Consumo!$O$3:$O$862) + SUMIF(Consumo!$C$3:$C$862,tabItens[[#This Row],[CÓDIGO]],Consumo!$P$3:$P$862) + SUMIF(Consumo!$C$3:$C$862,tabItens[[#This Row],[CÓDIGO]],Consumo!$Q$3:$Q$862)</f>
        <v>4</v>
      </c>
      <c r="AT876" s="331">
        <f>SUMIF(Consumo!$C$3:$C$862,tabItens[[#This Row],[CÓDIGO]],Consumo!$Z$3:$Z$862)</f>
        <v>29</v>
      </c>
      <c r="AU876" s="332">
        <f>SUMIF(Consumo!$C$3:$C$862,tabItens[[#This Row],[CÓDIGO]],Consumo!$AA$3:$AA$862)</f>
        <v>8</v>
      </c>
      <c r="AV876" s="333">
        <f>SUMIF(Consumo!$C$3:$C$862,tabItens[[#This Row],[CÓDIGO]],Consumo!$Y$3:$Y$862)</f>
        <v>2.3333333333333335</v>
      </c>
      <c r="AW876" s="306">
        <f>tabItens[[#This Row],[QTDE ATUAL]] + tabItens[[#This Row],[RC QTDE]] + tabItens[[#This Row],[AF SALDO]] + tabItens[[#This Row],[Recentes]]</f>
        <v>243</v>
      </c>
      <c r="AX876" s="334">
        <v>69</v>
      </c>
      <c r="AY876" s="334">
        <v>4</v>
      </c>
      <c r="AZ876" s="334">
        <f>IF(ISBLANK(tabItens[[#This Row],[CÓDIGO]]),"",tabItens[[#This Row],[PontoMês]] * (AZ$2+tabItens[[#This Row],[PontoQtM]]))</f>
        <v>276</v>
      </c>
      <c r="BA876" s="333">
        <f>tabItens[[#This Row],[PontoPed]] - tabItens[[#This Row],[Saldo]] + (1/10)</f>
        <v>33.1</v>
      </c>
      <c r="BB876" s="333">
        <f xml:space="preserve"> tabItens[[#This Row],[PontoMês]] * BB$2 - tabItens[[#This Row],[QTDE ATUAL]] - (1/10)</f>
        <v>-174.1</v>
      </c>
      <c r="BC876" s="335">
        <f>IF( tabItens[[#This Row],[PontoPed]]&gt;0, IF(tabItens[[#This Row],[PontoPed]]&lt;1, 1, IF( tabItens[[#This Row],[Saldo]]&gt;tabItens[[#This Row],[PontoPed]], 0, (tabItens[[#This Row],[PontoPed]]-tabItens[[#This Row],[Saldo]])/tabItens[[#This Row],[PontoPed]] ) ), 0 )</f>
        <v>0.11956521739130435</v>
      </c>
      <c r="BD876" s="336">
        <f>ROUNDDOWN(IF( OR( AND(tabItens[[#This Row],[PontoPed]]&lt;tabItens[[#This Row],[Saldo]],tabItens[[#This Row],[Saldo]]&gt;0), tabItens[[#This Row],[PontoPed]]=0), 99, IF(AND(tabItens[[#This Row],[Saldo]]=0,tabItens[[#This Row],[PontoPed]]&gt;0), 0, (1-tabItens[[#This Row],[PctAb]])*10 ) ),0)</f>
        <v>8</v>
      </c>
      <c r="BE876" s="337">
        <f>MAX(ROUNDDOWN( IF(tabItens[[#This Row],[Abaixo]] &gt; 0,   tabItens[[#This Row],[Abaixo]] + (tabItens[[#This Row],[PontoMês]] * IF( OR( ISBLANK(tabItens[[#This Row],[ATA Nº/ANO]]), tabItens[[#This Row],[ATA Nº/ANO]] = ""),BE$2,BE$1)),0),0),0)</f>
        <v>447</v>
      </c>
      <c r="BF87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447</v>
      </c>
      <c r="BG876" s="338">
        <f>SUMIF(Consumo!$C$3:$C$862,tabItens[[#This Row],[CÓDIGO]],Consumo!$E$3:$E$862)</f>
        <v>0</v>
      </c>
      <c r="BH876" s="339">
        <f>IF(AND(tabItens[[#This Row],[Pend]] &gt; 0,tabItens[[#This Row],[Consumo]] &lt;&gt; 0), tabItens[[#This Row],[Pend]] / tabItens[[#This Row],[Consumo]], 0 )</f>
        <v>0</v>
      </c>
      <c r="BI876" s="338"/>
      <c r="BJ876" s="338"/>
      <c r="BK876" s="340" t="s">
        <v>2086</v>
      </c>
    </row>
    <row r="877" spans="1:63" hidden="1" x14ac:dyDescent="0.3">
      <c r="A877" s="301">
        <v>141787</v>
      </c>
      <c r="B877" s="302" t="s">
        <v>2046</v>
      </c>
      <c r="C877" s="303" t="s">
        <v>287</v>
      </c>
      <c r="D877" s="304">
        <v>692.83</v>
      </c>
      <c r="E877" s="305"/>
      <c r="F877" s="305"/>
      <c r="G877" s="305" t="s">
        <v>889</v>
      </c>
      <c r="H877" s="306">
        <v>271</v>
      </c>
      <c r="I877" s="307">
        <v>103003</v>
      </c>
      <c r="J877" s="308">
        <v>692.83</v>
      </c>
      <c r="K877" s="309">
        <v>233</v>
      </c>
      <c r="L877" s="310">
        <f>IF(tabItens[[#This Row],[Média]] &gt; 0, tabItens[[#This Row],[QTDE ATUAL]] / tabItens[[#This Row],[Média]],999.9)</f>
        <v>10.068111455108358</v>
      </c>
      <c r="M877" s="311">
        <v>0</v>
      </c>
      <c r="N877" s="312">
        <f>tabItens[[#This Row],[VALOR UNIT.]] * tabItens[[#This Row],[LC]]</f>
        <v>0</v>
      </c>
      <c r="O877" s="313"/>
      <c r="P877" s="314"/>
      <c r="Q877" s="315"/>
      <c r="R877" s="312"/>
      <c r="S877" s="316"/>
      <c r="T877" s="317">
        <f>ROUNDDOWN(IFERROR(tabItens[[#This Row],[ATA DT.VALID.]] - $D$1,0) / 30,0)</f>
        <v>-1474</v>
      </c>
      <c r="U877" s="302" t="s">
        <v>974</v>
      </c>
      <c r="V877" s="318">
        <v>1</v>
      </c>
      <c r="W877" s="319" t="s">
        <v>2075</v>
      </c>
      <c r="X877" s="320">
        <v>76</v>
      </c>
      <c r="Y877" s="321">
        <v>10</v>
      </c>
      <c r="Z877" s="322"/>
      <c r="AA877" s="323"/>
      <c r="AB877" s="324"/>
      <c r="AC877" s="324">
        <v>11623</v>
      </c>
      <c r="AD877" s="323">
        <v>2023</v>
      </c>
      <c r="AE877" s="324">
        <v>50</v>
      </c>
      <c r="AF877" s="317">
        <v>50</v>
      </c>
      <c r="AG877" s="325" t="s">
        <v>2059</v>
      </c>
      <c r="AH877" s="326">
        <v>45247</v>
      </c>
      <c r="AI877" s="317">
        <v>114</v>
      </c>
      <c r="AJ877" s="326">
        <v>44616</v>
      </c>
      <c r="AK877" s="326">
        <v>44375</v>
      </c>
      <c r="AL877" s="326">
        <v>45182</v>
      </c>
      <c r="AM877" s="316"/>
      <c r="AN877" s="305"/>
      <c r="AO877" s="327" t="str">
        <f>_xlfn.IFNA(IF(VLOOKUP(tabItens[[#This Row],[CÓDIGO]],tabExcluirDoEstoque[#Data],1,FALSE),"sim",""),"")</f>
        <v/>
      </c>
      <c r="AP877" s="328" t="str">
        <f ca="1">IF(OR(ISBLANK(tabItens[[#This Row],[ATA DT.VALID.]]),tabItens[[#This Row],[ATA DT.VALID.]]="",tabItens[[#This Row],[ATA DT.VALID.]]=" "),"",IF(TYPE(tabItens[[#This Row],[ATA DT.VALID.]])=1,ROUNDUP((tabItens[[#This Row],[ATA DT.VALID.]]-TODAY())/7,0),""))</f>
        <v/>
      </c>
      <c r="AQ877" s="329"/>
      <c r="AR877" s="330" t="str">
        <f>IF(ISBLANK(tabItens[[#This Row],[CÓDIGO]]),"",IFERROR(VLOOKUP(tabItens[[#This Row],[CÓDIGO]],Consumo!$C$2:$AC$862,26,FALSE),0))</f>
        <v>09.2023</v>
      </c>
      <c r="AS877" s="331">
        <f>SUMIF(Consumo!$C$3:$C$862,tabItens[[#This Row],[CÓDIGO]],Consumo!$N$3:$N$862) + SUMIF(Consumo!$C$3:$C$862,tabItens[[#This Row],[CÓDIGO]],Consumo!$O$3:$O$862) + SUMIF(Consumo!$C$3:$C$862,tabItens[[#This Row],[CÓDIGO]],Consumo!$P$3:$P$862) + SUMIF(Consumo!$C$3:$C$862,tabItens[[#This Row],[CÓDIGO]],Consumo!$Q$3:$Q$862)</f>
        <v>115</v>
      </c>
      <c r="AT877" s="331">
        <f>SUMIF(Consumo!$C$3:$C$862,tabItens[[#This Row],[CÓDIGO]],Consumo!$Z$3:$Z$862)</f>
        <v>333</v>
      </c>
      <c r="AU877" s="332">
        <f>SUMIF(Consumo!$C$3:$C$862,tabItens[[#This Row],[CÓDIGO]],Consumo!$AA$3:$AA$862)</f>
        <v>72</v>
      </c>
      <c r="AV877" s="333">
        <f>SUMIF(Consumo!$C$3:$C$862,tabItens[[#This Row],[CÓDIGO]],Consumo!$Y$3:$Y$862)</f>
        <v>26.916666666666668</v>
      </c>
      <c r="AW877" s="306">
        <f>tabItens[[#This Row],[QTDE ATUAL]] + tabItens[[#This Row],[RC QTDE]] + tabItens[[#This Row],[AF SALDO]] + tabItens[[#This Row],[Recentes]]</f>
        <v>321</v>
      </c>
      <c r="AX877" s="334">
        <v>293</v>
      </c>
      <c r="AY877" s="334">
        <v>4</v>
      </c>
      <c r="AZ877" s="334">
        <f>IF(ISBLANK(tabItens[[#This Row],[CÓDIGO]]),"",tabItens[[#This Row],[PontoMês]] * (AZ$2+tabItens[[#This Row],[PontoQtM]]))</f>
        <v>1172</v>
      </c>
      <c r="BA877" s="333">
        <f>tabItens[[#This Row],[PontoPed]] - tabItens[[#This Row],[Saldo]] + (1/10)</f>
        <v>851.1</v>
      </c>
      <c r="BB877" s="333">
        <f xml:space="preserve"> tabItens[[#This Row],[PontoMês]] * BB$2 - tabItens[[#This Row],[QTDE ATUAL]] - (1/10)</f>
        <v>21.9</v>
      </c>
      <c r="BC877" s="335">
        <f>IF( tabItens[[#This Row],[PontoPed]]&gt;0, IF(tabItens[[#This Row],[PontoPed]]&lt;1, 1, IF( tabItens[[#This Row],[Saldo]]&gt;tabItens[[#This Row],[PontoPed]], 0, (tabItens[[#This Row],[PontoPed]]-tabItens[[#This Row],[Saldo]])/tabItens[[#This Row],[PontoPed]] ) ), 0 )</f>
        <v>0.72610921501706482</v>
      </c>
      <c r="BD877" s="336">
        <f>ROUNDDOWN(IF( OR( AND(tabItens[[#This Row],[PontoPed]]&lt;tabItens[[#This Row],[Saldo]],tabItens[[#This Row],[Saldo]]&gt;0), tabItens[[#This Row],[PontoPed]]=0), 99, IF(AND(tabItens[[#This Row],[Saldo]]=0,tabItens[[#This Row],[PontoPed]]&gt;0), 0, (1-tabItens[[#This Row],[PctAb]])*10 ) ),0)</f>
        <v>2</v>
      </c>
      <c r="BE877" s="337">
        <f>MAX(ROUNDDOWN( IF(tabItens[[#This Row],[Abaixo]] &gt; 0,   tabItens[[#This Row],[Abaixo]] + (tabItens[[#This Row],[PontoMês]] * IF( OR( ISBLANK(tabItens[[#This Row],[ATA Nº/ANO]]), tabItens[[#This Row],[ATA Nº/ANO]] = ""),BE$2,BE$1)),0),0),0)</f>
        <v>2609</v>
      </c>
      <c r="BF87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2609</v>
      </c>
      <c r="BG877" s="338">
        <f>SUMIF(Consumo!$C$3:$C$862,tabItens[[#This Row],[CÓDIGO]],Consumo!$E$3:$E$862)</f>
        <v>0</v>
      </c>
      <c r="BH877" s="339">
        <f>IF(AND(tabItens[[#This Row],[Pend]] &gt; 0,tabItens[[#This Row],[Consumo]] &lt;&gt; 0), tabItens[[#This Row],[Pend]] / tabItens[[#This Row],[Consumo]], 0 )</f>
        <v>0</v>
      </c>
      <c r="BI877" s="338"/>
      <c r="BJ877" s="338"/>
      <c r="BK877" s="340" t="s">
        <v>2086</v>
      </c>
    </row>
    <row r="878" spans="1:63" hidden="1" x14ac:dyDescent="0.3">
      <c r="A878" s="301">
        <v>141418</v>
      </c>
      <c r="B878" s="302" t="s">
        <v>2037</v>
      </c>
      <c r="C878" s="303" t="s">
        <v>263</v>
      </c>
      <c r="D878" s="304">
        <v>31.07</v>
      </c>
      <c r="E878" s="305"/>
      <c r="F878" s="305"/>
      <c r="G878" s="305" t="s">
        <v>889</v>
      </c>
      <c r="H878" s="306">
        <v>857</v>
      </c>
      <c r="I878" s="307">
        <v>103003</v>
      </c>
      <c r="J878" s="308">
        <v>31.07</v>
      </c>
      <c r="K878" s="309">
        <v>388</v>
      </c>
      <c r="L878" s="310">
        <f>IF(tabItens[[#This Row],[Média]] &gt; 0, tabItens[[#This Row],[QTDE ATUAL]] / tabItens[[#This Row],[Média]],999.9)</f>
        <v>16.507223113964688</v>
      </c>
      <c r="M878" s="311">
        <v>0</v>
      </c>
      <c r="N878" s="312">
        <f>tabItens[[#This Row],[VALOR UNIT.]] * tabItens[[#This Row],[LC]]</f>
        <v>0</v>
      </c>
      <c r="O878" s="313"/>
      <c r="P878" s="314"/>
      <c r="Q878" s="315"/>
      <c r="R878" s="312"/>
      <c r="S878" s="316"/>
      <c r="T878" s="317">
        <f>ROUNDDOWN(IFERROR(tabItens[[#This Row],[ATA DT.VALID.]] - $D$1,0) / 30,0)</f>
        <v>-1474</v>
      </c>
      <c r="U878" s="302" t="s">
        <v>964</v>
      </c>
      <c r="V878" s="318">
        <v>1</v>
      </c>
      <c r="W878" s="319" t="s">
        <v>2075</v>
      </c>
      <c r="X878" s="320">
        <v>76</v>
      </c>
      <c r="Y878" s="321">
        <v>11</v>
      </c>
      <c r="Z878" s="322"/>
      <c r="AA878" s="323"/>
      <c r="AB878" s="324"/>
      <c r="AC878" s="324"/>
      <c r="AD878" s="323"/>
      <c r="AE878" s="324"/>
      <c r="AF878" s="317"/>
      <c r="AG878" s="325" t="s">
        <v>2072</v>
      </c>
      <c r="AH878" s="326"/>
      <c r="AI878" s="317">
        <v>342</v>
      </c>
      <c r="AJ878" s="326">
        <v>44924</v>
      </c>
      <c r="AK878" s="326">
        <v>44362</v>
      </c>
      <c r="AL878" s="326">
        <v>45119</v>
      </c>
      <c r="AM878" s="316"/>
      <c r="AN878" s="305"/>
      <c r="AO878" s="327" t="str">
        <f>_xlfn.IFNA(IF(VLOOKUP(tabItens[[#This Row],[CÓDIGO]],tabExcluirDoEstoque[#Data],1,FALSE),"sim",""),"")</f>
        <v/>
      </c>
      <c r="AP878" s="328" t="str">
        <f ca="1">IF(OR(ISBLANK(tabItens[[#This Row],[ATA DT.VALID.]]),tabItens[[#This Row],[ATA DT.VALID.]]="",tabItens[[#This Row],[ATA DT.VALID.]]=" "),"",IF(TYPE(tabItens[[#This Row],[ATA DT.VALID.]])=1,ROUNDUP((tabItens[[#This Row],[ATA DT.VALID.]]-TODAY())/7,0),""))</f>
        <v/>
      </c>
      <c r="AQ878" s="329"/>
      <c r="AR878" s="330" t="str">
        <f>IF(ISBLANK(tabItens[[#This Row],[CÓDIGO]]),"",IFERROR(VLOOKUP(tabItens[[#This Row],[CÓDIGO]],Consumo!$C$2:$AC$862,26,FALSE),0))</f>
        <v>09.2023</v>
      </c>
      <c r="AS878" s="331">
        <f>SUMIF(Consumo!$C$3:$C$862,tabItens[[#This Row],[CÓDIGO]],Consumo!$N$3:$N$862) + SUMIF(Consumo!$C$3:$C$862,tabItens[[#This Row],[CÓDIGO]],Consumo!$O$3:$O$862) + SUMIF(Consumo!$C$3:$C$862,tabItens[[#This Row],[CÓDIGO]],Consumo!$P$3:$P$862) + SUMIF(Consumo!$C$3:$C$862,tabItens[[#This Row],[CÓDIGO]],Consumo!$Q$3:$Q$862)</f>
        <v>217</v>
      </c>
      <c r="AT878" s="331">
        <f>SUMIF(Consumo!$C$3:$C$862,tabItens[[#This Row],[CÓDIGO]],Consumo!$Z$3:$Z$862)</f>
        <v>623</v>
      </c>
      <c r="AU878" s="332">
        <f>SUMIF(Consumo!$C$3:$C$862,tabItens[[#This Row],[CÓDIGO]],Consumo!$AA$3:$AA$862)</f>
        <v>78</v>
      </c>
      <c r="AV878" s="333">
        <f>SUMIF(Consumo!$C$3:$C$862,tabItens[[#This Row],[CÓDIGO]],Consumo!$Y$3:$Y$862)</f>
        <v>51.916666666666664</v>
      </c>
      <c r="AW878" s="306">
        <f>tabItens[[#This Row],[QTDE ATUAL]] + tabItens[[#This Row],[RC QTDE]] + tabItens[[#This Row],[AF SALDO]] + tabItens[[#This Row],[Recentes]]</f>
        <v>857</v>
      </c>
      <c r="AX878" s="334">
        <v>474</v>
      </c>
      <c r="AY878" s="334">
        <v>4</v>
      </c>
      <c r="AZ878" s="334">
        <f>IF(ISBLANK(tabItens[[#This Row],[CÓDIGO]]),"",tabItens[[#This Row],[PontoMês]] * (AZ$2+tabItens[[#This Row],[PontoQtM]]))</f>
        <v>1896</v>
      </c>
      <c r="BA878" s="333">
        <f>tabItens[[#This Row],[PontoPed]] - tabItens[[#This Row],[Saldo]] + (1/10)</f>
        <v>1039.0999999999999</v>
      </c>
      <c r="BB878" s="333">
        <f xml:space="preserve"> tabItens[[#This Row],[PontoMês]] * BB$2 - tabItens[[#This Row],[QTDE ATUAL]] - (1/10)</f>
        <v>-383.1</v>
      </c>
      <c r="BC878" s="335">
        <f>IF( tabItens[[#This Row],[PontoPed]]&gt;0, IF(tabItens[[#This Row],[PontoPed]]&lt;1, 1, IF( tabItens[[#This Row],[Saldo]]&gt;tabItens[[#This Row],[PontoPed]], 0, (tabItens[[#This Row],[PontoPed]]-tabItens[[#This Row],[Saldo]])/tabItens[[#This Row],[PontoPed]] ) ), 0 )</f>
        <v>0.5479957805907173</v>
      </c>
      <c r="BD878" s="336">
        <f>ROUNDDOWN(IF( OR( AND(tabItens[[#This Row],[PontoPed]]&lt;tabItens[[#This Row],[Saldo]],tabItens[[#This Row],[Saldo]]&gt;0), tabItens[[#This Row],[PontoPed]]=0), 99, IF(AND(tabItens[[#This Row],[Saldo]]=0,tabItens[[#This Row],[PontoPed]]&gt;0), 0, (1-tabItens[[#This Row],[PctAb]])*10 ) ),0)</f>
        <v>4</v>
      </c>
      <c r="BE878" s="337">
        <f>MAX(ROUNDDOWN( IF(tabItens[[#This Row],[Abaixo]] &gt; 0,   tabItens[[#This Row],[Abaixo]] + (tabItens[[#This Row],[PontoMês]] * IF( OR( ISBLANK(tabItens[[#This Row],[ATA Nº/ANO]]), tabItens[[#This Row],[ATA Nº/ANO]] = ""),BE$2,BE$1)),0),0),0)</f>
        <v>3883</v>
      </c>
      <c r="BF87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3883</v>
      </c>
      <c r="BG878" s="338">
        <f>SUMIF(Consumo!$C$3:$C$862,tabItens[[#This Row],[CÓDIGO]],Consumo!$E$3:$E$862)</f>
        <v>0</v>
      </c>
      <c r="BH878" s="339">
        <f>IF(AND(tabItens[[#This Row],[Pend]] &gt; 0,tabItens[[#This Row],[Consumo]] &lt;&gt; 0), tabItens[[#This Row],[Pend]] / tabItens[[#This Row],[Consumo]], 0 )</f>
        <v>0</v>
      </c>
      <c r="BI878" s="338"/>
      <c r="BJ878" s="338"/>
      <c r="BK878" s="340" t="s">
        <v>2086</v>
      </c>
    </row>
    <row r="879" spans="1:63" hidden="1" x14ac:dyDescent="0.3">
      <c r="A879" s="301">
        <v>141253</v>
      </c>
      <c r="B879" s="302" t="s">
        <v>2031</v>
      </c>
      <c r="C879" s="303" t="s">
        <v>301</v>
      </c>
      <c r="D879" s="304">
        <v>138.5</v>
      </c>
      <c r="E879" s="305"/>
      <c r="F879" s="305"/>
      <c r="G879" s="305" t="s">
        <v>889</v>
      </c>
      <c r="H879" s="306">
        <v>190</v>
      </c>
      <c r="I879" s="307">
        <v>103003</v>
      </c>
      <c r="J879" s="308">
        <v>138.5</v>
      </c>
      <c r="K879" s="309">
        <v>157</v>
      </c>
      <c r="L879" s="310">
        <f>IF(tabItens[[#This Row],[Média]] &gt; 0, tabItens[[#This Row],[QTDE ATUAL]] / tabItens[[#This Row],[Média]],999.9)</f>
        <v>12.258064516129032</v>
      </c>
      <c r="M879" s="311">
        <v>0</v>
      </c>
      <c r="N879" s="312">
        <f>tabItens[[#This Row],[VALOR UNIT.]] * tabItens[[#This Row],[LC]]</f>
        <v>0</v>
      </c>
      <c r="O879" s="313"/>
      <c r="P879" s="314"/>
      <c r="Q879" s="315"/>
      <c r="R879" s="312"/>
      <c r="S879" s="316"/>
      <c r="T879" s="317">
        <f>ROUNDDOWN(IFERROR(tabItens[[#This Row],[ATA DT.VALID.]] - $D$1,0) / 30,0)</f>
        <v>-1474</v>
      </c>
      <c r="U879" s="302" t="s">
        <v>1520</v>
      </c>
      <c r="V879" s="318">
        <v>1</v>
      </c>
      <c r="W879" s="319" t="s">
        <v>2075</v>
      </c>
      <c r="X879" s="320">
        <v>76</v>
      </c>
      <c r="Y879" s="321">
        <v>13</v>
      </c>
      <c r="Z879" s="322"/>
      <c r="AA879" s="323"/>
      <c r="AB879" s="324"/>
      <c r="AC879" s="324"/>
      <c r="AD879" s="323"/>
      <c r="AE879" s="324"/>
      <c r="AF879" s="317"/>
      <c r="AG879" s="325" t="s">
        <v>2072</v>
      </c>
      <c r="AH879" s="326"/>
      <c r="AI879" s="317">
        <v>60</v>
      </c>
      <c r="AJ879" s="326">
        <v>45201</v>
      </c>
      <c r="AK879" s="326">
        <v>44355</v>
      </c>
      <c r="AL879" s="326">
        <v>45181</v>
      </c>
      <c r="AM879" s="316"/>
      <c r="AN879" s="305"/>
      <c r="AO879" s="327" t="str">
        <f>_xlfn.IFNA(IF(VLOOKUP(tabItens[[#This Row],[CÓDIGO]],tabExcluirDoEstoque[#Data],1,FALSE),"sim",""),"")</f>
        <v/>
      </c>
      <c r="AP879" s="328" t="str">
        <f ca="1">IF(OR(ISBLANK(tabItens[[#This Row],[ATA DT.VALID.]]),tabItens[[#This Row],[ATA DT.VALID.]]="",tabItens[[#This Row],[ATA DT.VALID.]]=" "),"",IF(TYPE(tabItens[[#This Row],[ATA DT.VALID.]])=1,ROUNDUP((tabItens[[#This Row],[ATA DT.VALID.]]-TODAY())/7,0),""))</f>
        <v/>
      </c>
      <c r="AQ879" s="329"/>
      <c r="AR879" s="330" t="str">
        <f>IF(ISBLANK(tabItens[[#This Row],[CÓDIGO]]),"",IFERROR(VLOOKUP(tabItens[[#This Row],[CÓDIGO]],Consumo!$C$2:$AC$862,26,FALSE),0))</f>
        <v>06.2023</v>
      </c>
      <c r="AS879" s="331">
        <f>SUMIF(Consumo!$C$3:$C$862,tabItens[[#This Row],[CÓDIGO]],Consumo!$N$3:$N$862) + SUMIF(Consumo!$C$3:$C$862,tabItens[[#This Row],[CÓDIGO]],Consumo!$O$3:$O$862) + SUMIF(Consumo!$C$3:$C$862,tabItens[[#This Row],[CÓDIGO]],Consumo!$P$3:$P$862) + SUMIF(Consumo!$C$3:$C$862,tabItens[[#This Row],[CÓDIGO]],Consumo!$Q$3:$Q$862)</f>
        <v>38</v>
      </c>
      <c r="AT879" s="331">
        <f>SUMIF(Consumo!$C$3:$C$862,tabItens[[#This Row],[CÓDIGO]],Consumo!$Z$3:$Z$862)</f>
        <v>186</v>
      </c>
      <c r="AU879" s="332">
        <f>SUMIF(Consumo!$C$3:$C$862,tabItens[[#This Row],[CÓDIGO]],Consumo!$AA$3:$AA$862)</f>
        <v>38</v>
      </c>
      <c r="AV879" s="333">
        <f>SUMIF(Consumo!$C$3:$C$862,tabItens[[#This Row],[CÓDIGO]],Consumo!$Y$3:$Y$862)</f>
        <v>15.5</v>
      </c>
      <c r="AW879" s="306">
        <f>tabItens[[#This Row],[QTDE ATUAL]] + tabItens[[#This Row],[RC QTDE]] + tabItens[[#This Row],[AF SALDO]] + tabItens[[#This Row],[Recentes]]</f>
        <v>190</v>
      </c>
      <c r="AX879" s="334">
        <v>161</v>
      </c>
      <c r="AY879" s="334">
        <v>4</v>
      </c>
      <c r="AZ879" s="334">
        <f>IF(ISBLANK(tabItens[[#This Row],[CÓDIGO]]),"",tabItens[[#This Row],[PontoMês]] * (AZ$2+tabItens[[#This Row],[PontoQtM]]))</f>
        <v>644</v>
      </c>
      <c r="BA879" s="333">
        <f>tabItens[[#This Row],[PontoPed]] - tabItens[[#This Row],[Saldo]] + (1/10)</f>
        <v>454.1</v>
      </c>
      <c r="BB879" s="333">
        <f xml:space="preserve"> tabItens[[#This Row],[PontoMês]] * BB$2 - tabItens[[#This Row],[QTDE ATUAL]] - (1/10)</f>
        <v>-29.1</v>
      </c>
      <c r="BC879" s="335">
        <f>IF( tabItens[[#This Row],[PontoPed]]&gt;0, IF(tabItens[[#This Row],[PontoPed]]&lt;1, 1, IF( tabItens[[#This Row],[Saldo]]&gt;tabItens[[#This Row],[PontoPed]], 0, (tabItens[[#This Row],[PontoPed]]-tabItens[[#This Row],[Saldo]])/tabItens[[#This Row],[PontoPed]] ) ), 0 )</f>
        <v>0.70496894409937894</v>
      </c>
      <c r="BD879" s="336">
        <f>ROUNDDOWN(IF( OR( AND(tabItens[[#This Row],[PontoPed]]&lt;tabItens[[#This Row],[Saldo]],tabItens[[#This Row],[Saldo]]&gt;0), tabItens[[#This Row],[PontoPed]]=0), 99, IF(AND(tabItens[[#This Row],[Saldo]]=0,tabItens[[#This Row],[PontoPed]]&gt;0), 0, (1-tabItens[[#This Row],[PctAb]])*10 ) ),0)</f>
        <v>2</v>
      </c>
      <c r="BE879" s="337">
        <f>MAX(ROUNDDOWN( IF(tabItens[[#This Row],[Abaixo]] &gt; 0,   tabItens[[#This Row],[Abaixo]] + (tabItens[[#This Row],[PontoMês]] * IF( OR( ISBLANK(tabItens[[#This Row],[ATA Nº/ANO]]), tabItens[[#This Row],[ATA Nº/ANO]] = ""),BE$2,BE$1)),0),0),0)</f>
        <v>1420</v>
      </c>
      <c r="BF87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1420</v>
      </c>
      <c r="BG879" s="338">
        <f>SUMIF(Consumo!$C$3:$C$862,tabItens[[#This Row],[CÓDIGO]],Consumo!$E$3:$E$862)</f>
        <v>8</v>
      </c>
      <c r="BH879" s="339">
        <f>IF(AND(tabItens[[#This Row],[Pend]] &gt; 0,tabItens[[#This Row],[Consumo]] &lt;&gt; 0), tabItens[[#This Row],[Pend]] / tabItens[[#This Row],[Consumo]], 0 )</f>
        <v>4.3010752688172046E-2</v>
      </c>
      <c r="BI879" s="338"/>
      <c r="BJ879" s="338"/>
      <c r="BK879" s="340" t="s">
        <v>2086</v>
      </c>
    </row>
    <row r="880" spans="1:63" hidden="1" x14ac:dyDescent="0.3">
      <c r="A880" s="301">
        <v>55836</v>
      </c>
      <c r="B880" s="302" t="s">
        <v>1328</v>
      </c>
      <c r="C880" s="303" t="s">
        <v>263</v>
      </c>
      <c r="D880" s="304">
        <v>0.51</v>
      </c>
      <c r="E880" s="305"/>
      <c r="F880" s="305"/>
      <c r="G880" s="305" t="s">
        <v>889</v>
      </c>
      <c r="H880" s="306">
        <v>9108</v>
      </c>
      <c r="I880" s="307">
        <v>103003</v>
      </c>
      <c r="J880" s="308">
        <v>0.51</v>
      </c>
      <c r="K880" s="309"/>
      <c r="L880" s="310">
        <f>IF(tabItens[[#This Row],[Média]] &gt; 0, tabItens[[#This Row],[QTDE ATUAL]] / tabItens[[#This Row],[Média]],999.9)</f>
        <v>999.9</v>
      </c>
      <c r="M880" s="311">
        <v>0</v>
      </c>
      <c r="N880" s="312">
        <f>tabItens[[#This Row],[VALOR UNIT.]] * tabItens[[#This Row],[LC]]</f>
        <v>0</v>
      </c>
      <c r="O880" s="313"/>
      <c r="P880" s="314"/>
      <c r="Q880" s="315"/>
      <c r="R880" s="312"/>
      <c r="S880" s="316"/>
      <c r="T880" s="317">
        <f>ROUNDDOWN(IFERROR(tabItens[[#This Row],[ATA DT.VALID.]] - $D$1,0) / 30,0)</f>
        <v>-1474</v>
      </c>
      <c r="U880" s="302" t="s">
        <v>1076</v>
      </c>
      <c r="V880" s="318">
        <v>1</v>
      </c>
      <c r="W880" s="319" t="s">
        <v>2079</v>
      </c>
      <c r="X880" s="320">
        <v>78</v>
      </c>
      <c r="Y880" s="321">
        <v>2</v>
      </c>
      <c r="Z880" s="322"/>
      <c r="AA880" s="323"/>
      <c r="AB880" s="324"/>
      <c r="AC880" s="324"/>
      <c r="AD880" s="323"/>
      <c r="AE880" s="324"/>
      <c r="AF880" s="317"/>
      <c r="AG880" s="325" t="s">
        <v>2072</v>
      </c>
      <c r="AH880" s="326"/>
      <c r="AI880" s="317">
        <v>0</v>
      </c>
      <c r="AJ880" s="326">
        <v>40555</v>
      </c>
      <c r="AK880" s="326" t="s">
        <v>889</v>
      </c>
      <c r="AL880" s="326">
        <v>42571</v>
      </c>
      <c r="AM880" s="316"/>
      <c r="AN880" s="305"/>
      <c r="AO880" s="327" t="str">
        <f>_xlfn.IFNA(IF(VLOOKUP(tabItens[[#This Row],[CÓDIGO]],tabExcluirDoEstoque[#Data],1,FALSE),"sim",""),"")</f>
        <v/>
      </c>
      <c r="AP880" s="328" t="str">
        <f ca="1">IF(OR(ISBLANK(tabItens[[#This Row],[ATA DT.VALID.]]),tabItens[[#This Row],[ATA DT.VALID.]]="",tabItens[[#This Row],[ATA DT.VALID.]]=" "),"",IF(TYPE(tabItens[[#This Row],[ATA DT.VALID.]])=1,ROUNDUP((tabItens[[#This Row],[ATA DT.VALID.]]-TODAY())/7,0),""))</f>
        <v/>
      </c>
      <c r="AQ880" s="329"/>
      <c r="AR880" s="330">
        <f>IF(ISBLANK(tabItens[[#This Row],[CÓDIGO]]),"",IFERROR(VLOOKUP(tabItens[[#This Row],[CÓDIGO]],Consumo!$C$2:$AC$862,26,FALSE),0))</f>
        <v>0</v>
      </c>
      <c r="AS880" s="331">
        <f>SUMIF(Consumo!$C$3:$C$862,tabItens[[#This Row],[CÓDIGO]],Consumo!$N$3:$N$862) + SUMIF(Consumo!$C$3:$C$862,tabItens[[#This Row],[CÓDIGO]],Consumo!$O$3:$O$862) + SUMIF(Consumo!$C$3:$C$862,tabItens[[#This Row],[CÓDIGO]],Consumo!$P$3:$P$862) + SUMIF(Consumo!$C$3:$C$862,tabItens[[#This Row],[CÓDIGO]],Consumo!$Q$3:$Q$862)</f>
        <v>0</v>
      </c>
      <c r="AT880" s="331">
        <f>SUMIF(Consumo!$C$3:$C$862,tabItens[[#This Row],[CÓDIGO]],Consumo!$Z$3:$Z$862)</f>
        <v>0</v>
      </c>
      <c r="AU880" s="332">
        <f>SUMIF(Consumo!$C$3:$C$862,tabItens[[#This Row],[CÓDIGO]],Consumo!$AA$3:$AA$862)</f>
        <v>0</v>
      </c>
      <c r="AV880" s="333">
        <f>SUMIF(Consumo!$C$3:$C$862,tabItens[[#This Row],[CÓDIGO]],Consumo!$Y$3:$Y$862)</f>
        <v>0</v>
      </c>
      <c r="AW880" s="306">
        <f>tabItens[[#This Row],[QTDE ATUAL]] + tabItens[[#This Row],[RC QTDE]] + tabItens[[#This Row],[AF SALDO]] + tabItens[[#This Row],[Recentes]]</f>
        <v>9108</v>
      </c>
      <c r="AX880" s="334">
        <v>114</v>
      </c>
      <c r="AY880" s="334">
        <v>4</v>
      </c>
      <c r="AZ880" s="334">
        <f>IF(ISBLANK(tabItens[[#This Row],[CÓDIGO]]),"",tabItens[[#This Row],[PontoMês]] * (AZ$2+tabItens[[#This Row],[PontoQtM]]))</f>
        <v>456</v>
      </c>
      <c r="BA880" s="333">
        <f>tabItens[[#This Row],[PontoPed]] - tabItens[[#This Row],[Saldo]] + (1/10)</f>
        <v>-8651.9</v>
      </c>
      <c r="BB880" s="333">
        <f xml:space="preserve"> tabItens[[#This Row],[PontoMês]] * BB$2 - tabItens[[#This Row],[QTDE ATUAL]] - (1/10)</f>
        <v>-8994.1</v>
      </c>
      <c r="BC880" s="335">
        <f>IF( tabItens[[#This Row],[PontoPed]]&gt;0, IF(tabItens[[#This Row],[PontoPed]]&lt;1, 1, IF( tabItens[[#This Row],[Saldo]]&gt;tabItens[[#This Row],[PontoPed]], 0, (tabItens[[#This Row],[PontoPed]]-tabItens[[#This Row],[Saldo]])/tabItens[[#This Row],[PontoPed]] ) ), 0 )</f>
        <v>0</v>
      </c>
      <c r="BD880" s="336">
        <f>ROUNDDOWN(IF( OR( AND(tabItens[[#This Row],[PontoPed]]&lt;tabItens[[#This Row],[Saldo]],tabItens[[#This Row],[Saldo]]&gt;0), tabItens[[#This Row],[PontoPed]]=0), 99, IF(AND(tabItens[[#This Row],[Saldo]]=0,tabItens[[#This Row],[PontoPed]]&gt;0), 0, (1-tabItens[[#This Row],[PctAb]])*10 ) ),0)</f>
        <v>99</v>
      </c>
      <c r="BE880" s="337">
        <f>MAX(ROUNDDOWN( IF(tabItens[[#This Row],[Abaixo]] &gt; 0,   tabItens[[#This Row],[Abaixo]] + (tabItens[[#This Row],[PontoMês]] * IF( OR( ISBLANK(tabItens[[#This Row],[ATA Nº/ANO]]), tabItens[[#This Row],[ATA Nº/ANO]] = ""),BE$2,BE$1)),0),0),0)</f>
        <v>0</v>
      </c>
      <c r="BF88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0" s="338">
        <f>SUMIF(Consumo!$C$3:$C$862,tabItens[[#This Row],[CÓDIGO]],Consumo!$E$3:$E$862)</f>
        <v>0</v>
      </c>
      <c r="BH880" s="339">
        <f>IF(AND(tabItens[[#This Row],[Pend]] &gt; 0,tabItens[[#This Row],[Consumo]] &lt;&gt; 0), tabItens[[#This Row],[Pend]] / tabItens[[#This Row],[Consumo]], 0 )</f>
        <v>0</v>
      </c>
      <c r="BI880" s="338"/>
      <c r="BJ880" s="338"/>
      <c r="BK880" s="340" t="s">
        <v>2086</v>
      </c>
    </row>
    <row r="881" spans="1:63" hidden="1" x14ac:dyDescent="0.3">
      <c r="A881" s="301">
        <v>64646</v>
      </c>
      <c r="B881" s="302" t="s">
        <v>1387</v>
      </c>
      <c r="C881" s="303" t="s">
        <v>263</v>
      </c>
      <c r="D881" s="304">
        <v>2.6</v>
      </c>
      <c r="E881" s="305"/>
      <c r="F881" s="305"/>
      <c r="G881" s="305" t="s">
        <v>889</v>
      </c>
      <c r="H881" s="306">
        <v>1080</v>
      </c>
      <c r="I881" s="307">
        <v>103003</v>
      </c>
      <c r="J881" s="308">
        <v>2.6</v>
      </c>
      <c r="K881" s="309">
        <v>660</v>
      </c>
      <c r="L881" s="310">
        <f>IF(tabItens[[#This Row],[Média]] &gt; 0, tabItens[[#This Row],[QTDE ATUAL]] / tabItens[[#This Row],[Média]],999.9)</f>
        <v>25.714285714285715</v>
      </c>
      <c r="M881" s="311">
        <v>0</v>
      </c>
      <c r="N881" s="312">
        <f>tabItens[[#This Row],[VALOR UNIT.]] * tabItens[[#This Row],[LC]]</f>
        <v>0</v>
      </c>
      <c r="O881" s="313"/>
      <c r="P881" s="314"/>
      <c r="Q881" s="315"/>
      <c r="R881" s="312"/>
      <c r="S881" s="316"/>
      <c r="T881" s="317">
        <f>ROUNDDOWN(IFERROR(tabItens[[#This Row],[ATA DT.VALID.]] - $D$1,0) / 30,0)</f>
        <v>-1474</v>
      </c>
      <c r="U881" s="302" t="s">
        <v>1076</v>
      </c>
      <c r="V881" s="318">
        <v>1</v>
      </c>
      <c r="W881" s="319" t="s">
        <v>2079</v>
      </c>
      <c r="X881" s="320">
        <v>78</v>
      </c>
      <c r="Y881" s="321">
        <v>2</v>
      </c>
      <c r="Z881" s="322"/>
      <c r="AA881" s="323"/>
      <c r="AB881" s="324"/>
      <c r="AC881" s="324"/>
      <c r="AD881" s="323"/>
      <c r="AE881" s="324"/>
      <c r="AF881" s="317"/>
      <c r="AG881" s="325" t="s">
        <v>2072</v>
      </c>
      <c r="AH881" s="326"/>
      <c r="AI881" s="317">
        <v>220</v>
      </c>
      <c r="AJ881" s="326">
        <v>45201</v>
      </c>
      <c r="AK881" s="326" t="s">
        <v>889</v>
      </c>
      <c r="AL881" s="326">
        <v>45189</v>
      </c>
      <c r="AM881" s="316"/>
      <c r="AN881" s="305"/>
      <c r="AO881" s="327" t="str">
        <f>_xlfn.IFNA(IF(VLOOKUP(tabItens[[#This Row],[CÓDIGO]],tabExcluirDoEstoque[#Data],1,FALSE),"sim",""),"")</f>
        <v/>
      </c>
      <c r="AP881" s="328" t="str">
        <f ca="1">IF(OR(ISBLANK(tabItens[[#This Row],[ATA DT.VALID.]]),tabItens[[#This Row],[ATA DT.VALID.]]="",tabItens[[#This Row],[ATA DT.VALID.]]=" "),"",IF(TYPE(tabItens[[#This Row],[ATA DT.VALID.]])=1,ROUNDUP((tabItens[[#This Row],[ATA DT.VALID.]]-TODAY())/7,0),""))</f>
        <v/>
      </c>
      <c r="AQ881" s="329"/>
      <c r="AR881" s="330" t="str">
        <f>IF(ISBLANK(tabItens[[#This Row],[CÓDIGO]]),"",IFERROR(VLOOKUP(tabItens[[#This Row],[CÓDIGO]],Consumo!$C$2:$AC$862,26,FALSE),0))</f>
        <v>04.2023</v>
      </c>
      <c r="AS881" s="331">
        <f>SUMIF(Consumo!$C$3:$C$862,tabItens[[#This Row],[CÓDIGO]],Consumo!$N$3:$N$862) + SUMIF(Consumo!$C$3:$C$862,tabItens[[#This Row],[CÓDIGO]],Consumo!$O$3:$O$862) + SUMIF(Consumo!$C$3:$C$862,tabItens[[#This Row],[CÓDIGO]],Consumo!$P$3:$P$862) + SUMIF(Consumo!$C$3:$C$862,tabItens[[#This Row],[CÓDIGO]],Consumo!$Q$3:$Q$862)</f>
        <v>0</v>
      </c>
      <c r="AT881" s="331">
        <f>SUMIF(Consumo!$C$3:$C$862,tabItens[[#This Row],[CÓDIGO]],Consumo!$Z$3:$Z$862)</f>
        <v>660</v>
      </c>
      <c r="AU881" s="332">
        <f>SUMIF(Consumo!$C$3:$C$862,tabItens[[#This Row],[CÓDIGO]],Consumo!$AA$3:$AA$862)</f>
        <v>500</v>
      </c>
      <c r="AV881" s="333">
        <f>SUMIF(Consumo!$C$3:$C$862,tabItens[[#This Row],[CÓDIGO]],Consumo!$Y$3:$Y$862)</f>
        <v>42</v>
      </c>
      <c r="AW881" s="306">
        <f>tabItens[[#This Row],[QTDE ATUAL]] + tabItens[[#This Row],[RC QTDE]] + tabItens[[#This Row],[AF SALDO]] + tabItens[[#This Row],[Recentes]]</f>
        <v>1080</v>
      </c>
      <c r="AX881" s="334">
        <v>71</v>
      </c>
      <c r="AY881" s="334">
        <v>4</v>
      </c>
      <c r="AZ881" s="334">
        <f>IF(ISBLANK(tabItens[[#This Row],[CÓDIGO]]),"",tabItens[[#This Row],[PontoMês]] * (AZ$2+tabItens[[#This Row],[PontoQtM]]))</f>
        <v>284</v>
      </c>
      <c r="BA881" s="333">
        <f>tabItens[[#This Row],[PontoPed]] - tabItens[[#This Row],[Saldo]] + (1/10)</f>
        <v>-795.9</v>
      </c>
      <c r="BB881" s="333">
        <f xml:space="preserve"> tabItens[[#This Row],[PontoMês]] * BB$2 - tabItens[[#This Row],[QTDE ATUAL]] - (1/10)</f>
        <v>-1009.1</v>
      </c>
      <c r="BC881" s="335">
        <f>IF( tabItens[[#This Row],[PontoPed]]&gt;0, IF(tabItens[[#This Row],[PontoPed]]&lt;1, 1, IF( tabItens[[#This Row],[Saldo]]&gt;tabItens[[#This Row],[PontoPed]], 0, (tabItens[[#This Row],[PontoPed]]-tabItens[[#This Row],[Saldo]])/tabItens[[#This Row],[PontoPed]] ) ), 0 )</f>
        <v>0</v>
      </c>
      <c r="BD881" s="336">
        <f>ROUNDDOWN(IF( OR( AND(tabItens[[#This Row],[PontoPed]]&lt;tabItens[[#This Row],[Saldo]],tabItens[[#This Row],[Saldo]]&gt;0), tabItens[[#This Row],[PontoPed]]=0), 99, IF(AND(tabItens[[#This Row],[Saldo]]=0,tabItens[[#This Row],[PontoPed]]&gt;0), 0, (1-tabItens[[#This Row],[PctAb]])*10 ) ),0)</f>
        <v>99</v>
      </c>
      <c r="BE881" s="337">
        <f>MAX(ROUNDDOWN( IF(tabItens[[#This Row],[Abaixo]] &gt; 0,   tabItens[[#This Row],[Abaixo]] + (tabItens[[#This Row],[PontoMês]] * IF( OR( ISBLANK(tabItens[[#This Row],[ATA Nº/ANO]]), tabItens[[#This Row],[ATA Nº/ANO]] = ""),BE$2,BE$1)),0),0),0)</f>
        <v>0</v>
      </c>
      <c r="BF88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1" s="338">
        <f>SUMIF(Consumo!$C$3:$C$862,tabItens[[#This Row],[CÓDIGO]],Consumo!$E$3:$E$862)</f>
        <v>0</v>
      </c>
      <c r="BH881" s="339">
        <f>IF(AND(tabItens[[#This Row],[Pend]] &gt; 0,tabItens[[#This Row],[Consumo]] &lt;&gt; 0), tabItens[[#This Row],[Pend]] / tabItens[[#This Row],[Consumo]], 0 )</f>
        <v>0</v>
      </c>
      <c r="BI881" s="338"/>
      <c r="BJ881" s="338"/>
      <c r="BK881" s="340" t="s">
        <v>2086</v>
      </c>
    </row>
    <row r="882" spans="1:63" hidden="1" x14ac:dyDescent="0.3">
      <c r="A882" s="301">
        <v>78055</v>
      </c>
      <c r="B882" s="302" t="s">
        <v>1441</v>
      </c>
      <c r="C882" s="303" t="s">
        <v>436</v>
      </c>
      <c r="D882" s="304">
        <v>31.07</v>
      </c>
      <c r="E882" s="305"/>
      <c r="F882" s="305"/>
      <c r="G882" s="305" t="s">
        <v>889</v>
      </c>
      <c r="H882" s="306">
        <v>0</v>
      </c>
      <c r="I882" s="307">
        <v>103003</v>
      </c>
      <c r="J882" s="308">
        <v>31.07</v>
      </c>
      <c r="K882" s="309">
        <v>261</v>
      </c>
      <c r="L882" s="310">
        <f>IF(tabItens[[#This Row],[Média]] &gt; 0, tabItens[[#This Row],[QTDE ATUAL]] / tabItens[[#This Row],[Média]],999.9)</f>
        <v>0</v>
      </c>
      <c r="M882" s="311">
        <v>0</v>
      </c>
      <c r="N882" s="312">
        <f>tabItens[[#This Row],[VALOR UNIT.]] * tabItens[[#This Row],[LC]]</f>
        <v>0</v>
      </c>
      <c r="O882" s="313"/>
      <c r="P882" s="314"/>
      <c r="Q882" s="315"/>
      <c r="R882" s="312"/>
      <c r="S882" s="316"/>
      <c r="T882" s="317">
        <f>ROUNDDOWN(IFERROR(tabItens[[#This Row],[ATA DT.VALID.]] - $D$1,0) / 30,0)</f>
        <v>-1474</v>
      </c>
      <c r="U882" s="302" t="s">
        <v>1076</v>
      </c>
      <c r="V882" s="318">
        <v>1</v>
      </c>
      <c r="W882" s="319" t="s">
        <v>2079</v>
      </c>
      <c r="X882" s="320">
        <v>78</v>
      </c>
      <c r="Y882" s="321">
        <v>2</v>
      </c>
      <c r="Z882" s="322"/>
      <c r="AA882" s="323"/>
      <c r="AB882" s="324"/>
      <c r="AC882" s="324"/>
      <c r="AD882" s="323"/>
      <c r="AE882" s="324"/>
      <c r="AF882" s="317"/>
      <c r="AG882" s="325" t="s">
        <v>2072</v>
      </c>
      <c r="AH882" s="326"/>
      <c r="AI882" s="317">
        <v>88</v>
      </c>
      <c r="AJ882" s="326">
        <v>45209</v>
      </c>
      <c r="AK882" s="326">
        <v>38072</v>
      </c>
      <c r="AL882" s="326">
        <v>45189</v>
      </c>
      <c r="AM882" s="316"/>
      <c r="AN882" s="305"/>
      <c r="AO882" s="327" t="str">
        <f>_xlfn.IFNA(IF(VLOOKUP(tabItens[[#This Row],[CÓDIGO]],tabExcluirDoEstoque[#Data],1,FALSE),"sim",""),"")</f>
        <v/>
      </c>
      <c r="AP882" s="328" t="str">
        <f ca="1">IF(OR(ISBLANK(tabItens[[#This Row],[ATA DT.VALID.]]),tabItens[[#This Row],[ATA DT.VALID.]]="",tabItens[[#This Row],[ATA DT.VALID.]]=" "),"",IF(TYPE(tabItens[[#This Row],[ATA DT.VALID.]])=1,ROUNDUP((tabItens[[#This Row],[ATA DT.VALID.]]-TODAY())/7,0),""))</f>
        <v/>
      </c>
      <c r="AQ882" s="329"/>
      <c r="AR882" s="330" t="str">
        <f>IF(ISBLANK(tabItens[[#This Row],[CÓDIGO]]),"",IFERROR(VLOOKUP(tabItens[[#This Row],[CÓDIGO]],Consumo!$C$2:$AC$862,26,FALSE),0))</f>
        <v>04.2023</v>
      </c>
      <c r="AS882" s="331">
        <f>SUMIF(Consumo!$C$3:$C$862,tabItens[[#This Row],[CÓDIGO]],Consumo!$N$3:$N$862) + SUMIF(Consumo!$C$3:$C$862,tabItens[[#This Row],[CÓDIGO]],Consumo!$O$3:$O$862) + SUMIF(Consumo!$C$3:$C$862,tabItens[[#This Row],[CÓDIGO]],Consumo!$P$3:$P$862) + SUMIF(Consumo!$C$3:$C$862,tabItens[[#This Row],[CÓDIGO]],Consumo!$Q$3:$Q$862)</f>
        <v>0</v>
      </c>
      <c r="AT882" s="331">
        <f>SUMIF(Consumo!$C$3:$C$862,tabItens[[#This Row],[CÓDIGO]],Consumo!$Z$3:$Z$862)</f>
        <v>261</v>
      </c>
      <c r="AU882" s="332">
        <f>SUMIF(Consumo!$C$3:$C$862,tabItens[[#This Row],[CÓDIGO]],Consumo!$AA$3:$AA$862)</f>
        <v>218</v>
      </c>
      <c r="AV882" s="333">
        <f>SUMIF(Consumo!$C$3:$C$862,tabItens[[#This Row],[CÓDIGO]],Consumo!$Y$3:$Y$862)</f>
        <v>15.75</v>
      </c>
      <c r="AW882" s="306">
        <f>tabItens[[#This Row],[QTDE ATUAL]] + tabItens[[#This Row],[RC QTDE]] + tabItens[[#This Row],[AF SALDO]] + tabItens[[#This Row],[Recentes]]</f>
        <v>0</v>
      </c>
      <c r="AX882" s="334">
        <v>11</v>
      </c>
      <c r="AY882" s="334">
        <v>4</v>
      </c>
      <c r="AZ882" s="334">
        <f>IF(ISBLANK(tabItens[[#This Row],[CÓDIGO]]),"",tabItens[[#This Row],[PontoMês]] * (AZ$2+tabItens[[#This Row],[PontoQtM]]))</f>
        <v>44</v>
      </c>
      <c r="BA882" s="333">
        <f>tabItens[[#This Row],[PontoPed]] - tabItens[[#This Row],[Saldo]] + (1/10)</f>
        <v>44.1</v>
      </c>
      <c r="BB882" s="333">
        <f xml:space="preserve"> tabItens[[#This Row],[PontoMês]] * BB$2 - tabItens[[#This Row],[QTDE ATUAL]] - (1/10)</f>
        <v>10.9</v>
      </c>
      <c r="BC882" s="335">
        <f>IF( tabItens[[#This Row],[PontoPed]]&gt;0, IF(tabItens[[#This Row],[PontoPed]]&lt;1, 1, IF( tabItens[[#This Row],[Saldo]]&gt;tabItens[[#This Row],[PontoPed]], 0, (tabItens[[#This Row],[PontoPed]]-tabItens[[#This Row],[Saldo]])/tabItens[[#This Row],[PontoPed]] ) ), 0 )</f>
        <v>1</v>
      </c>
      <c r="BD882" s="336">
        <f>ROUNDDOWN(IF( OR( AND(tabItens[[#This Row],[PontoPed]]&lt;tabItens[[#This Row],[Saldo]],tabItens[[#This Row],[Saldo]]&gt;0), tabItens[[#This Row],[PontoPed]]=0), 99, IF(AND(tabItens[[#This Row],[Saldo]]=0,tabItens[[#This Row],[PontoPed]]&gt;0), 0, (1-tabItens[[#This Row],[PctAb]])*10 ) ),0)</f>
        <v>0</v>
      </c>
      <c r="BE882" s="337">
        <f>MAX(ROUNDDOWN( IF(tabItens[[#This Row],[Abaixo]] &gt; 0,   tabItens[[#This Row],[Abaixo]] + (tabItens[[#This Row],[PontoMês]] * IF( OR( ISBLANK(tabItens[[#This Row],[ATA Nº/ANO]]), tabItens[[#This Row],[ATA Nº/ANO]] = ""),BE$2,BE$1)),0),0),0)</f>
        <v>110</v>
      </c>
      <c r="BF88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110</v>
      </c>
      <c r="BG882" s="338">
        <f>SUMIF(Consumo!$C$3:$C$862,tabItens[[#This Row],[CÓDIGO]],Consumo!$E$3:$E$862)</f>
        <v>0</v>
      </c>
      <c r="BH882" s="339">
        <f>IF(AND(tabItens[[#This Row],[Pend]] &gt; 0,tabItens[[#This Row],[Consumo]] &lt;&gt; 0), tabItens[[#This Row],[Pend]] / tabItens[[#This Row],[Consumo]], 0 )</f>
        <v>0</v>
      </c>
      <c r="BI882" s="338"/>
      <c r="BJ882" s="338"/>
      <c r="BK882" s="340" t="s">
        <v>2086</v>
      </c>
    </row>
    <row r="883" spans="1:63" hidden="1" x14ac:dyDescent="0.3">
      <c r="A883" s="301">
        <v>78057</v>
      </c>
      <c r="B883" s="302" t="s">
        <v>1442</v>
      </c>
      <c r="C883" s="303" t="s">
        <v>267</v>
      </c>
      <c r="D883" s="304">
        <v>15</v>
      </c>
      <c r="E883" s="305"/>
      <c r="F883" s="305"/>
      <c r="G883" s="305" t="s">
        <v>889</v>
      </c>
      <c r="H883" s="306">
        <v>0</v>
      </c>
      <c r="I883" s="307">
        <v>103003</v>
      </c>
      <c r="J883" s="308">
        <v>15</v>
      </c>
      <c r="K883" s="309">
        <v>294</v>
      </c>
      <c r="L883" s="310">
        <f>IF(tabItens[[#This Row],[Média]] &gt; 0, tabItens[[#This Row],[QTDE ATUAL]] / tabItens[[#This Row],[Média]],999.9)</f>
        <v>0</v>
      </c>
      <c r="M883" s="311">
        <v>0</v>
      </c>
      <c r="N883" s="312">
        <f>tabItens[[#This Row],[VALOR UNIT.]] * tabItens[[#This Row],[LC]]</f>
        <v>0</v>
      </c>
      <c r="O883" s="313"/>
      <c r="P883" s="314"/>
      <c r="Q883" s="315"/>
      <c r="R883" s="312"/>
      <c r="S883" s="316"/>
      <c r="T883" s="317">
        <f>ROUNDDOWN(IFERROR(tabItens[[#This Row],[ATA DT.VALID.]] - $D$1,0) / 30,0)</f>
        <v>-1474</v>
      </c>
      <c r="U883" s="302" t="s">
        <v>1076</v>
      </c>
      <c r="V883" s="318">
        <v>1</v>
      </c>
      <c r="W883" s="319" t="s">
        <v>2079</v>
      </c>
      <c r="X883" s="320">
        <v>78</v>
      </c>
      <c r="Y883" s="321">
        <v>2</v>
      </c>
      <c r="Z883" s="322">
        <v>7339</v>
      </c>
      <c r="AA883" s="323">
        <v>2023</v>
      </c>
      <c r="AB883" s="324">
        <v>150</v>
      </c>
      <c r="AC883" s="324"/>
      <c r="AD883" s="323"/>
      <c r="AE883" s="324"/>
      <c r="AF883" s="317"/>
      <c r="AG883" s="325" t="s">
        <v>2072</v>
      </c>
      <c r="AH883" s="326"/>
      <c r="AI883" s="317">
        <v>132</v>
      </c>
      <c r="AJ883" s="326">
        <v>44931</v>
      </c>
      <c r="AK883" s="326">
        <v>38072</v>
      </c>
      <c r="AL883" s="326">
        <v>44970</v>
      </c>
      <c r="AM883" s="316"/>
      <c r="AN883" s="305"/>
      <c r="AO883" s="327" t="str">
        <f>_xlfn.IFNA(IF(VLOOKUP(tabItens[[#This Row],[CÓDIGO]],tabExcluirDoEstoque[#Data],1,FALSE),"sim",""),"")</f>
        <v/>
      </c>
      <c r="AP883" s="328" t="str">
        <f ca="1">IF(OR(ISBLANK(tabItens[[#This Row],[ATA DT.VALID.]]),tabItens[[#This Row],[ATA DT.VALID.]]="",tabItens[[#This Row],[ATA DT.VALID.]]=" "),"",IF(TYPE(tabItens[[#This Row],[ATA DT.VALID.]])=1,ROUNDUP((tabItens[[#This Row],[ATA DT.VALID.]]-TODAY())/7,0),""))</f>
        <v/>
      </c>
      <c r="AQ883" s="329"/>
      <c r="AR883" s="330" t="str">
        <f>IF(ISBLANK(tabItens[[#This Row],[CÓDIGO]]),"",IFERROR(VLOOKUP(tabItens[[#This Row],[CÓDIGO]],Consumo!$C$2:$AC$862,26,FALSE),0))</f>
        <v>05.2023</v>
      </c>
      <c r="AS883" s="331">
        <f>SUMIF(Consumo!$C$3:$C$862,tabItens[[#This Row],[CÓDIGO]],Consumo!$N$3:$N$862) + SUMIF(Consumo!$C$3:$C$862,tabItens[[#This Row],[CÓDIGO]],Consumo!$O$3:$O$862) + SUMIF(Consumo!$C$3:$C$862,tabItens[[#This Row],[CÓDIGO]],Consumo!$P$3:$P$862) + SUMIF(Consumo!$C$3:$C$862,tabItens[[#This Row],[CÓDIGO]],Consumo!$Q$3:$Q$862)</f>
        <v>0</v>
      </c>
      <c r="AT883" s="331">
        <f>SUMIF(Consumo!$C$3:$C$862,tabItens[[#This Row],[CÓDIGO]],Consumo!$Z$3:$Z$862)</f>
        <v>1009</v>
      </c>
      <c r="AU883" s="332">
        <f>SUMIF(Consumo!$C$3:$C$862,tabItens[[#This Row],[CÓDIGO]],Consumo!$AA$3:$AA$862)</f>
        <v>285</v>
      </c>
      <c r="AV883" s="333">
        <f>SUMIF(Consumo!$C$3:$C$862,tabItens[[#This Row],[CÓDIGO]],Consumo!$Y$3:$Y$862)</f>
        <v>84.083333333333329</v>
      </c>
      <c r="AW883" s="306">
        <f>tabItens[[#This Row],[QTDE ATUAL]] + tabItens[[#This Row],[RC QTDE]] + tabItens[[#This Row],[AF SALDO]] + tabItens[[#This Row],[Recentes]]</f>
        <v>150</v>
      </c>
      <c r="AX883" s="334">
        <v>2</v>
      </c>
      <c r="AY883" s="334">
        <v>4</v>
      </c>
      <c r="AZ883" s="334">
        <f>IF(ISBLANK(tabItens[[#This Row],[CÓDIGO]]),"",tabItens[[#This Row],[PontoMês]] * (AZ$2+tabItens[[#This Row],[PontoQtM]]))</f>
        <v>8</v>
      </c>
      <c r="BA883" s="333">
        <f>tabItens[[#This Row],[PontoPed]] - tabItens[[#This Row],[Saldo]] + (1/10)</f>
        <v>-141.9</v>
      </c>
      <c r="BB883" s="333">
        <f xml:space="preserve"> tabItens[[#This Row],[PontoMês]] * BB$2 - tabItens[[#This Row],[QTDE ATUAL]] - (1/10)</f>
        <v>1.9</v>
      </c>
      <c r="BC883" s="335">
        <f>IF( tabItens[[#This Row],[PontoPed]]&gt;0, IF(tabItens[[#This Row],[PontoPed]]&lt;1, 1, IF( tabItens[[#This Row],[Saldo]]&gt;tabItens[[#This Row],[PontoPed]], 0, (tabItens[[#This Row],[PontoPed]]-tabItens[[#This Row],[Saldo]])/tabItens[[#This Row],[PontoPed]] ) ), 0 )</f>
        <v>0</v>
      </c>
      <c r="BD883" s="336">
        <f>ROUNDDOWN(IF( OR( AND(tabItens[[#This Row],[PontoPed]]&lt;tabItens[[#This Row],[Saldo]],tabItens[[#This Row],[Saldo]]&gt;0), tabItens[[#This Row],[PontoPed]]=0), 99, IF(AND(tabItens[[#This Row],[Saldo]]=0,tabItens[[#This Row],[PontoPed]]&gt;0), 0, (1-tabItens[[#This Row],[PctAb]])*10 ) ),0)</f>
        <v>99</v>
      </c>
      <c r="BE883" s="337">
        <f>MAX(ROUNDDOWN( IF(tabItens[[#This Row],[Abaixo]] &gt; 0,   tabItens[[#This Row],[Abaixo]] + (tabItens[[#This Row],[PontoMês]] * IF( OR( ISBLANK(tabItens[[#This Row],[ATA Nº/ANO]]), tabItens[[#This Row],[ATA Nº/ANO]] = ""),BE$2,BE$1)),0),0),0)</f>
        <v>0</v>
      </c>
      <c r="BF88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3" s="338">
        <f>SUMIF(Consumo!$C$3:$C$862,tabItens[[#This Row],[CÓDIGO]],Consumo!$E$3:$E$862)</f>
        <v>715</v>
      </c>
      <c r="BH883" s="339">
        <f>IF(AND(tabItens[[#This Row],[Pend]] &gt; 0,tabItens[[#This Row],[Consumo]] &lt;&gt; 0), tabItens[[#This Row],[Pend]] / tabItens[[#This Row],[Consumo]], 0 )</f>
        <v>0.70862239841427155</v>
      </c>
      <c r="BI883" s="338"/>
      <c r="BJ883" s="338"/>
      <c r="BK883" s="340" t="s">
        <v>2086</v>
      </c>
    </row>
    <row r="884" spans="1:63" hidden="1" x14ac:dyDescent="0.3">
      <c r="A884" s="301">
        <v>107926</v>
      </c>
      <c r="B884" s="302" t="s">
        <v>1657</v>
      </c>
      <c r="C884" s="303" t="s">
        <v>263</v>
      </c>
      <c r="D884" s="304">
        <v>0.88</v>
      </c>
      <c r="E884" s="305"/>
      <c r="F884" s="305"/>
      <c r="G884" s="305" t="s">
        <v>889</v>
      </c>
      <c r="H884" s="306">
        <v>4424</v>
      </c>
      <c r="I884" s="307">
        <v>103003</v>
      </c>
      <c r="J884" s="308">
        <v>0.88</v>
      </c>
      <c r="K884" s="309">
        <v>4076</v>
      </c>
      <c r="L884" s="310">
        <f>IF(tabItens[[#This Row],[Média]] &gt; 0, tabItens[[#This Row],[QTDE ATUAL]] / tabItens[[#This Row],[Média]],999.9)</f>
        <v>14.689540675152186</v>
      </c>
      <c r="M884" s="311">
        <v>0</v>
      </c>
      <c r="N884" s="312">
        <f>tabItens[[#This Row],[VALOR UNIT.]] * tabItens[[#This Row],[LC]]</f>
        <v>0</v>
      </c>
      <c r="O884" s="313"/>
      <c r="P884" s="314"/>
      <c r="Q884" s="315"/>
      <c r="R884" s="312"/>
      <c r="S884" s="316"/>
      <c r="T884" s="317">
        <f>ROUNDDOWN(IFERROR(tabItens[[#This Row],[ATA DT.VALID.]] - $D$1,0) / 30,0)</f>
        <v>-1474</v>
      </c>
      <c r="U884" s="302" t="s">
        <v>1076</v>
      </c>
      <c r="V884" s="318">
        <v>1</v>
      </c>
      <c r="W884" s="319" t="s">
        <v>2079</v>
      </c>
      <c r="X884" s="320">
        <v>78</v>
      </c>
      <c r="Y884" s="321">
        <v>2</v>
      </c>
      <c r="Z884" s="322"/>
      <c r="AA884" s="323"/>
      <c r="AB884" s="324"/>
      <c r="AC884" s="324"/>
      <c r="AD884" s="323"/>
      <c r="AE884" s="324"/>
      <c r="AF884" s="317"/>
      <c r="AG884" s="325" t="s">
        <v>2072</v>
      </c>
      <c r="AH884" s="326"/>
      <c r="AI884" s="317">
        <v>1358</v>
      </c>
      <c r="AJ884" s="326">
        <v>45201</v>
      </c>
      <c r="AK884" s="326">
        <v>39710</v>
      </c>
      <c r="AL884" s="326">
        <v>45189</v>
      </c>
      <c r="AM884" s="316"/>
      <c r="AN884" s="305"/>
      <c r="AO884" s="327" t="str">
        <f>_xlfn.IFNA(IF(VLOOKUP(tabItens[[#This Row],[CÓDIGO]],tabExcluirDoEstoque[#Data],1,FALSE),"sim",""),"")</f>
        <v/>
      </c>
      <c r="AP884" s="328" t="str">
        <f ca="1">IF(OR(ISBLANK(tabItens[[#This Row],[ATA DT.VALID.]]),tabItens[[#This Row],[ATA DT.VALID.]]="",tabItens[[#This Row],[ATA DT.VALID.]]=" "),"",IF(TYPE(tabItens[[#This Row],[ATA DT.VALID.]])=1,ROUNDUP((tabItens[[#This Row],[ATA DT.VALID.]]-TODAY())/7,0),""))</f>
        <v/>
      </c>
      <c r="AQ884" s="329"/>
      <c r="AR884" s="330" t="str">
        <f>IF(ISBLANK(tabItens[[#This Row],[CÓDIGO]]),"",IFERROR(VLOOKUP(tabItens[[#This Row],[CÓDIGO]],Consumo!$C$2:$AC$862,26,FALSE),0))</f>
        <v>09.2023</v>
      </c>
      <c r="AS884" s="331">
        <f>SUMIF(Consumo!$C$3:$C$862,tabItens[[#This Row],[CÓDIGO]],Consumo!$N$3:$N$862) + SUMIF(Consumo!$C$3:$C$862,tabItens[[#This Row],[CÓDIGO]],Consumo!$O$3:$O$862) + SUMIF(Consumo!$C$3:$C$862,tabItens[[#This Row],[CÓDIGO]],Consumo!$P$3:$P$862) + SUMIF(Consumo!$C$3:$C$862,tabItens[[#This Row],[CÓDIGO]],Consumo!$Q$3:$Q$862)</f>
        <v>1016</v>
      </c>
      <c r="AT884" s="331">
        <f>SUMIF(Consumo!$C$3:$C$862,tabItens[[#This Row],[CÓDIGO]],Consumo!$Z$3:$Z$862)</f>
        <v>4076</v>
      </c>
      <c r="AU884" s="332">
        <f>SUMIF(Consumo!$C$3:$C$862,tabItens[[#This Row],[CÓDIGO]],Consumo!$AA$3:$AA$862)</f>
        <v>2060</v>
      </c>
      <c r="AV884" s="333">
        <f>SUMIF(Consumo!$C$3:$C$862,tabItens[[#This Row],[CÓDIGO]],Consumo!$Y$3:$Y$862)</f>
        <v>301.16666666666669</v>
      </c>
      <c r="AW884" s="306">
        <f>tabItens[[#This Row],[QTDE ATUAL]] + tabItens[[#This Row],[RC QTDE]] + tabItens[[#This Row],[AF SALDO]] + tabItens[[#This Row],[Recentes]]</f>
        <v>4424</v>
      </c>
      <c r="AX884" s="334">
        <v>209</v>
      </c>
      <c r="AY884" s="334">
        <v>4</v>
      </c>
      <c r="AZ884" s="334">
        <f>IF(ISBLANK(tabItens[[#This Row],[CÓDIGO]]),"",tabItens[[#This Row],[PontoMês]] * (AZ$2+tabItens[[#This Row],[PontoQtM]]))</f>
        <v>836</v>
      </c>
      <c r="BA884" s="333">
        <f>tabItens[[#This Row],[PontoPed]] - tabItens[[#This Row],[Saldo]] + (1/10)</f>
        <v>-3587.9</v>
      </c>
      <c r="BB884" s="333">
        <f xml:space="preserve"> tabItens[[#This Row],[PontoMês]] * BB$2 - tabItens[[#This Row],[QTDE ATUAL]] - (1/10)</f>
        <v>-4215.1000000000004</v>
      </c>
      <c r="BC884" s="335">
        <f>IF( tabItens[[#This Row],[PontoPed]]&gt;0, IF(tabItens[[#This Row],[PontoPed]]&lt;1, 1, IF( tabItens[[#This Row],[Saldo]]&gt;tabItens[[#This Row],[PontoPed]], 0, (tabItens[[#This Row],[PontoPed]]-tabItens[[#This Row],[Saldo]])/tabItens[[#This Row],[PontoPed]] ) ), 0 )</f>
        <v>0</v>
      </c>
      <c r="BD884" s="336">
        <f>ROUNDDOWN(IF( OR( AND(tabItens[[#This Row],[PontoPed]]&lt;tabItens[[#This Row],[Saldo]],tabItens[[#This Row],[Saldo]]&gt;0), tabItens[[#This Row],[PontoPed]]=0), 99, IF(AND(tabItens[[#This Row],[Saldo]]=0,tabItens[[#This Row],[PontoPed]]&gt;0), 0, (1-tabItens[[#This Row],[PctAb]])*10 ) ),0)</f>
        <v>99</v>
      </c>
      <c r="BE884" s="337">
        <f>MAX(ROUNDDOWN( IF(tabItens[[#This Row],[Abaixo]] &gt; 0,   tabItens[[#This Row],[Abaixo]] + (tabItens[[#This Row],[PontoMês]] * IF( OR( ISBLANK(tabItens[[#This Row],[ATA Nº/ANO]]), tabItens[[#This Row],[ATA Nº/ANO]] = ""),BE$2,BE$1)),0),0),0)</f>
        <v>0</v>
      </c>
      <c r="BF88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4" s="338">
        <f>SUMIF(Consumo!$C$3:$C$862,tabItens[[#This Row],[CÓDIGO]],Consumo!$E$3:$E$862)</f>
        <v>0</v>
      </c>
      <c r="BH884" s="339">
        <f>IF(AND(tabItens[[#This Row],[Pend]] &gt; 0,tabItens[[#This Row],[Consumo]] &lt;&gt; 0), tabItens[[#This Row],[Pend]] / tabItens[[#This Row],[Consumo]], 0 )</f>
        <v>0</v>
      </c>
      <c r="BI884" s="338"/>
      <c r="BJ884" s="338"/>
      <c r="BK884" s="340" t="s">
        <v>2086</v>
      </c>
    </row>
    <row r="885" spans="1:63" hidden="1" x14ac:dyDescent="0.3">
      <c r="A885" s="301">
        <v>126837</v>
      </c>
      <c r="B885" s="302" t="s">
        <v>1777</v>
      </c>
      <c r="C885" s="303" t="s">
        <v>31</v>
      </c>
      <c r="D885" s="304">
        <v>10</v>
      </c>
      <c r="E885" s="305"/>
      <c r="F885" s="305"/>
      <c r="G885" s="305" t="s">
        <v>889</v>
      </c>
      <c r="H885" s="306">
        <v>3515</v>
      </c>
      <c r="I885" s="307">
        <v>103003</v>
      </c>
      <c r="J885" s="308">
        <v>10</v>
      </c>
      <c r="K885" s="309">
        <v>866</v>
      </c>
      <c r="L885" s="310">
        <f>IF(tabItens[[#This Row],[Média]] &gt; 0, tabItens[[#This Row],[QTDE ATUAL]] / tabItens[[#This Row],[Média]],999.9)</f>
        <v>74.522968197879862</v>
      </c>
      <c r="M885" s="311">
        <v>0</v>
      </c>
      <c r="N885" s="312">
        <f>tabItens[[#This Row],[VALOR UNIT.]] * tabItens[[#This Row],[LC]]</f>
        <v>0</v>
      </c>
      <c r="O885" s="313"/>
      <c r="P885" s="314"/>
      <c r="Q885" s="315"/>
      <c r="R885" s="312"/>
      <c r="S885" s="316"/>
      <c r="T885" s="317">
        <f>ROUNDDOWN(IFERROR(tabItens[[#This Row],[ATA DT.VALID.]] - $D$1,0) / 30,0)</f>
        <v>-1474</v>
      </c>
      <c r="U885" s="302" t="s">
        <v>1076</v>
      </c>
      <c r="V885" s="318">
        <v>1</v>
      </c>
      <c r="W885" s="319" t="s">
        <v>2079</v>
      </c>
      <c r="X885" s="320">
        <v>78</v>
      </c>
      <c r="Y885" s="321">
        <v>2</v>
      </c>
      <c r="Z885" s="322"/>
      <c r="AA885" s="323"/>
      <c r="AB885" s="324"/>
      <c r="AC885" s="324"/>
      <c r="AD885" s="323"/>
      <c r="AE885" s="324"/>
      <c r="AF885" s="317"/>
      <c r="AG885" s="325" t="s">
        <v>2072</v>
      </c>
      <c r="AH885" s="326"/>
      <c r="AI885" s="317">
        <v>222</v>
      </c>
      <c r="AJ885" s="326">
        <v>43845</v>
      </c>
      <c r="AK885" s="326">
        <v>41596</v>
      </c>
      <c r="AL885" s="326">
        <v>44785</v>
      </c>
      <c r="AM885" s="316"/>
      <c r="AN885" s="305"/>
      <c r="AO885" s="327" t="str">
        <f>_xlfn.IFNA(IF(VLOOKUP(tabItens[[#This Row],[CÓDIGO]],tabExcluirDoEstoque[#Data],1,FALSE),"sim",""),"")</f>
        <v/>
      </c>
      <c r="AP885" s="328" t="str">
        <f ca="1">IF(OR(ISBLANK(tabItens[[#This Row],[ATA DT.VALID.]]),tabItens[[#This Row],[ATA DT.VALID.]]="",tabItens[[#This Row],[ATA DT.VALID.]]=" "),"",IF(TYPE(tabItens[[#This Row],[ATA DT.VALID.]])=1,ROUNDUP((tabItens[[#This Row],[ATA DT.VALID.]]-TODAY())/7,0),""))</f>
        <v/>
      </c>
      <c r="AQ885" s="329"/>
      <c r="AR885" s="330" t="str">
        <f>IF(ISBLANK(tabItens[[#This Row],[CÓDIGO]]),"",IFERROR(VLOOKUP(tabItens[[#This Row],[CÓDIGO]],Consumo!$C$2:$AC$862,26,FALSE),0))</f>
        <v>09.2023</v>
      </c>
      <c r="AS885" s="331">
        <f>SUMIF(Consumo!$C$3:$C$862,tabItens[[#This Row],[CÓDIGO]],Consumo!$N$3:$N$862) + SUMIF(Consumo!$C$3:$C$862,tabItens[[#This Row],[CÓDIGO]],Consumo!$O$3:$O$862) + SUMIF(Consumo!$C$3:$C$862,tabItens[[#This Row],[CÓDIGO]],Consumo!$P$3:$P$862) + SUMIF(Consumo!$C$3:$C$862,tabItens[[#This Row],[CÓDIGO]],Consumo!$Q$3:$Q$862)</f>
        <v>4</v>
      </c>
      <c r="AT885" s="331">
        <f>SUMIF(Consumo!$C$3:$C$862,tabItens[[#This Row],[CÓDIGO]],Consumo!$Z$3:$Z$862)</f>
        <v>666</v>
      </c>
      <c r="AU885" s="332">
        <f>SUMIF(Consumo!$C$3:$C$862,tabItens[[#This Row],[CÓDIGO]],Consumo!$AA$3:$AA$862)</f>
        <v>400</v>
      </c>
      <c r="AV885" s="333">
        <f>SUMIF(Consumo!$C$3:$C$862,tabItens[[#This Row],[CÓDIGO]],Consumo!$Y$3:$Y$862)</f>
        <v>47.166666666666664</v>
      </c>
      <c r="AW885" s="306">
        <f>tabItens[[#This Row],[QTDE ATUAL]] + tabItens[[#This Row],[RC QTDE]] + tabItens[[#This Row],[AF SALDO]] + tabItens[[#This Row],[Recentes]]</f>
        <v>3515</v>
      </c>
      <c r="AX885" s="334">
        <v>138</v>
      </c>
      <c r="AY885" s="334">
        <v>4</v>
      </c>
      <c r="AZ885" s="334">
        <f>IF(ISBLANK(tabItens[[#This Row],[CÓDIGO]]),"",tabItens[[#This Row],[PontoMês]] * (AZ$2+tabItens[[#This Row],[PontoQtM]]))</f>
        <v>552</v>
      </c>
      <c r="BA885" s="333">
        <f>tabItens[[#This Row],[PontoPed]] - tabItens[[#This Row],[Saldo]] + (1/10)</f>
        <v>-2962.9</v>
      </c>
      <c r="BB885" s="333">
        <f xml:space="preserve"> tabItens[[#This Row],[PontoMês]] * BB$2 - tabItens[[#This Row],[QTDE ATUAL]] - (1/10)</f>
        <v>-3377.1</v>
      </c>
      <c r="BC885" s="335">
        <f>IF( tabItens[[#This Row],[PontoPed]]&gt;0, IF(tabItens[[#This Row],[PontoPed]]&lt;1, 1, IF( tabItens[[#This Row],[Saldo]]&gt;tabItens[[#This Row],[PontoPed]], 0, (tabItens[[#This Row],[PontoPed]]-tabItens[[#This Row],[Saldo]])/tabItens[[#This Row],[PontoPed]] ) ), 0 )</f>
        <v>0</v>
      </c>
      <c r="BD885" s="336">
        <f>ROUNDDOWN(IF( OR( AND(tabItens[[#This Row],[PontoPed]]&lt;tabItens[[#This Row],[Saldo]],tabItens[[#This Row],[Saldo]]&gt;0), tabItens[[#This Row],[PontoPed]]=0), 99, IF(AND(tabItens[[#This Row],[Saldo]]=0,tabItens[[#This Row],[PontoPed]]&gt;0), 0, (1-tabItens[[#This Row],[PctAb]])*10 ) ),0)</f>
        <v>99</v>
      </c>
      <c r="BE885" s="337">
        <f>MAX(ROUNDDOWN( IF(tabItens[[#This Row],[Abaixo]] &gt; 0,   tabItens[[#This Row],[Abaixo]] + (tabItens[[#This Row],[PontoMês]] * IF( OR( ISBLANK(tabItens[[#This Row],[ATA Nº/ANO]]), tabItens[[#This Row],[ATA Nº/ANO]] = ""),BE$2,BE$1)),0),0),0)</f>
        <v>0</v>
      </c>
      <c r="BF88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5" s="338">
        <f>SUMIF(Consumo!$C$3:$C$862,tabItens[[#This Row],[CÓDIGO]],Consumo!$E$3:$E$862)</f>
        <v>0</v>
      </c>
      <c r="BH885" s="339">
        <f>IF(AND(tabItens[[#This Row],[Pend]] &gt; 0,tabItens[[#This Row],[Consumo]] &lt;&gt; 0), tabItens[[#This Row],[Pend]] / tabItens[[#This Row],[Consumo]], 0 )</f>
        <v>0</v>
      </c>
      <c r="BI885" s="338"/>
      <c r="BJ885" s="338"/>
      <c r="BK885" s="340" t="s">
        <v>2086</v>
      </c>
    </row>
    <row r="886" spans="1:63" hidden="1" x14ac:dyDescent="0.3">
      <c r="A886" s="301">
        <v>128782</v>
      </c>
      <c r="B886" s="302" t="s">
        <v>1793</v>
      </c>
      <c r="C886" s="303" t="s">
        <v>260</v>
      </c>
      <c r="D886" s="304">
        <v>188</v>
      </c>
      <c r="E886" s="305"/>
      <c r="F886" s="305"/>
      <c r="G886" s="305" t="s">
        <v>889</v>
      </c>
      <c r="H886" s="306">
        <v>97</v>
      </c>
      <c r="I886" s="307">
        <v>103003</v>
      </c>
      <c r="J886" s="308">
        <v>188</v>
      </c>
      <c r="K886" s="309"/>
      <c r="L886" s="310">
        <f>IF(tabItens[[#This Row],[Média]] &gt; 0, tabItens[[#This Row],[QTDE ATUAL]] / tabItens[[#This Row],[Média]],999.9)</f>
        <v>999.9</v>
      </c>
      <c r="M886" s="311">
        <v>0</v>
      </c>
      <c r="N886" s="312">
        <f>tabItens[[#This Row],[VALOR UNIT.]] * tabItens[[#This Row],[LC]]</f>
        <v>0</v>
      </c>
      <c r="O886" s="313"/>
      <c r="P886" s="314"/>
      <c r="Q886" s="315"/>
      <c r="R886" s="312"/>
      <c r="S886" s="316"/>
      <c r="T886" s="317">
        <f>ROUNDDOWN(IFERROR(tabItens[[#This Row],[ATA DT.VALID.]] - $D$1,0) / 30,0)</f>
        <v>-1474</v>
      </c>
      <c r="U886" s="302" t="s">
        <v>1076</v>
      </c>
      <c r="V886" s="318">
        <v>1</v>
      </c>
      <c r="W886" s="319" t="s">
        <v>2079</v>
      </c>
      <c r="X886" s="320">
        <v>78</v>
      </c>
      <c r="Y886" s="321">
        <v>2</v>
      </c>
      <c r="Z886" s="322"/>
      <c r="AA886" s="323"/>
      <c r="AB886" s="324"/>
      <c r="AC886" s="324"/>
      <c r="AD886" s="323"/>
      <c r="AE886" s="324"/>
      <c r="AF886" s="317"/>
      <c r="AG886" s="325" t="s">
        <v>2072</v>
      </c>
      <c r="AH886" s="326"/>
      <c r="AI886" s="317">
        <v>0</v>
      </c>
      <c r="AJ886" s="326">
        <v>42522</v>
      </c>
      <c r="AK886" s="326">
        <v>41914</v>
      </c>
      <c r="AL886" s="326">
        <v>42893</v>
      </c>
      <c r="AM886" s="316"/>
      <c r="AN886" s="305"/>
      <c r="AO886" s="327" t="str">
        <f>_xlfn.IFNA(IF(VLOOKUP(tabItens[[#This Row],[CÓDIGO]],tabExcluirDoEstoque[#Data],1,FALSE),"sim",""),"")</f>
        <v/>
      </c>
      <c r="AP886" s="328" t="str">
        <f ca="1">IF(OR(ISBLANK(tabItens[[#This Row],[ATA DT.VALID.]]),tabItens[[#This Row],[ATA DT.VALID.]]="",tabItens[[#This Row],[ATA DT.VALID.]]=" "),"",IF(TYPE(tabItens[[#This Row],[ATA DT.VALID.]])=1,ROUNDUP((tabItens[[#This Row],[ATA DT.VALID.]]-TODAY())/7,0),""))</f>
        <v/>
      </c>
      <c r="AQ886" s="329"/>
      <c r="AR886" s="330">
        <f>IF(ISBLANK(tabItens[[#This Row],[CÓDIGO]]),"",IFERROR(VLOOKUP(tabItens[[#This Row],[CÓDIGO]],Consumo!$C$2:$AC$862,26,FALSE),0))</f>
        <v>0</v>
      </c>
      <c r="AS886" s="331">
        <f>SUMIF(Consumo!$C$3:$C$862,tabItens[[#This Row],[CÓDIGO]],Consumo!$N$3:$N$862) + SUMIF(Consumo!$C$3:$C$862,tabItens[[#This Row],[CÓDIGO]],Consumo!$O$3:$O$862) + SUMIF(Consumo!$C$3:$C$862,tabItens[[#This Row],[CÓDIGO]],Consumo!$P$3:$P$862) + SUMIF(Consumo!$C$3:$C$862,tabItens[[#This Row],[CÓDIGO]],Consumo!$Q$3:$Q$862)</f>
        <v>0</v>
      </c>
      <c r="AT886" s="331">
        <f>SUMIF(Consumo!$C$3:$C$862,tabItens[[#This Row],[CÓDIGO]],Consumo!$Z$3:$Z$862)</f>
        <v>0</v>
      </c>
      <c r="AU886" s="332">
        <f>SUMIF(Consumo!$C$3:$C$862,tabItens[[#This Row],[CÓDIGO]],Consumo!$AA$3:$AA$862)</f>
        <v>0</v>
      </c>
      <c r="AV886" s="333">
        <f>SUMIF(Consumo!$C$3:$C$862,tabItens[[#This Row],[CÓDIGO]],Consumo!$Y$3:$Y$862)</f>
        <v>0</v>
      </c>
      <c r="AW886" s="306">
        <f>tabItens[[#This Row],[QTDE ATUAL]] + tabItens[[#This Row],[RC QTDE]] + tabItens[[#This Row],[AF SALDO]] + tabItens[[#This Row],[Recentes]]</f>
        <v>97</v>
      </c>
      <c r="AX886" s="334">
        <v>0</v>
      </c>
      <c r="AY886" s="334">
        <v>4</v>
      </c>
      <c r="AZ886" s="334">
        <f>IF(ISBLANK(tabItens[[#This Row],[CÓDIGO]]),"",tabItens[[#This Row],[PontoMês]] * (AZ$2+tabItens[[#This Row],[PontoQtM]]))</f>
        <v>0</v>
      </c>
      <c r="BA886" s="333">
        <f>tabItens[[#This Row],[PontoPed]] - tabItens[[#This Row],[Saldo]] + (1/10)</f>
        <v>-96.9</v>
      </c>
      <c r="BB886" s="333">
        <f xml:space="preserve"> tabItens[[#This Row],[PontoMês]] * BB$2 - tabItens[[#This Row],[QTDE ATUAL]] - (1/10)</f>
        <v>-97.1</v>
      </c>
      <c r="BC886" s="335">
        <f>IF( tabItens[[#This Row],[PontoPed]]&gt;0, IF(tabItens[[#This Row],[PontoPed]]&lt;1, 1, IF( tabItens[[#This Row],[Saldo]]&gt;tabItens[[#This Row],[PontoPed]], 0, (tabItens[[#This Row],[PontoPed]]-tabItens[[#This Row],[Saldo]])/tabItens[[#This Row],[PontoPed]] ) ), 0 )</f>
        <v>0</v>
      </c>
      <c r="BD886" s="336">
        <f>ROUNDDOWN(IF( OR( AND(tabItens[[#This Row],[PontoPed]]&lt;tabItens[[#This Row],[Saldo]],tabItens[[#This Row],[Saldo]]&gt;0), tabItens[[#This Row],[PontoPed]]=0), 99, IF(AND(tabItens[[#This Row],[Saldo]]=0,tabItens[[#This Row],[PontoPed]]&gt;0), 0, (1-tabItens[[#This Row],[PctAb]])*10 ) ),0)</f>
        <v>99</v>
      </c>
      <c r="BE886" s="337">
        <f>MAX(ROUNDDOWN( IF(tabItens[[#This Row],[Abaixo]] &gt; 0,   tabItens[[#This Row],[Abaixo]] + (tabItens[[#This Row],[PontoMês]] * IF( OR( ISBLANK(tabItens[[#This Row],[ATA Nº/ANO]]), tabItens[[#This Row],[ATA Nº/ANO]] = ""),BE$2,BE$1)),0),0),0)</f>
        <v>0</v>
      </c>
      <c r="BF88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6" s="338">
        <f>SUMIF(Consumo!$C$3:$C$862,tabItens[[#This Row],[CÓDIGO]],Consumo!$E$3:$E$862)</f>
        <v>0</v>
      </c>
      <c r="BH886" s="339">
        <f>IF(AND(tabItens[[#This Row],[Pend]] &gt; 0,tabItens[[#This Row],[Consumo]] &lt;&gt; 0), tabItens[[#This Row],[Pend]] / tabItens[[#This Row],[Consumo]], 0 )</f>
        <v>0</v>
      </c>
      <c r="BI886" s="338"/>
      <c r="BJ886" s="338"/>
      <c r="BK886" s="340" t="s">
        <v>2086</v>
      </c>
    </row>
    <row r="887" spans="1:63" hidden="1" x14ac:dyDescent="0.3">
      <c r="A887" s="301">
        <v>130618</v>
      </c>
      <c r="B887" s="302" t="s">
        <v>1806</v>
      </c>
      <c r="C887" s="303" t="s">
        <v>260</v>
      </c>
      <c r="D887" s="304">
        <v>67.42</v>
      </c>
      <c r="E887" s="305"/>
      <c r="F887" s="305"/>
      <c r="G887" s="305" t="s">
        <v>889</v>
      </c>
      <c r="H887" s="306">
        <v>0</v>
      </c>
      <c r="I887" s="307">
        <v>103003</v>
      </c>
      <c r="J887" s="308">
        <v>67.42</v>
      </c>
      <c r="K887" s="309">
        <v>71</v>
      </c>
      <c r="L887" s="310">
        <f>IF(tabItens[[#This Row],[Média]] &gt; 0, tabItens[[#This Row],[QTDE ATUAL]] / tabItens[[#This Row],[Média]],999.9)</f>
        <v>0</v>
      </c>
      <c r="M887" s="311">
        <v>0</v>
      </c>
      <c r="N887" s="312">
        <f>tabItens[[#This Row],[VALOR UNIT.]] * tabItens[[#This Row],[LC]]</f>
        <v>0</v>
      </c>
      <c r="O887" s="313"/>
      <c r="P887" s="314"/>
      <c r="Q887" s="315"/>
      <c r="R887" s="312"/>
      <c r="S887" s="316"/>
      <c r="T887" s="317">
        <f>ROUNDDOWN(IFERROR(tabItens[[#This Row],[ATA DT.VALID.]] - $D$1,0) / 30,0)</f>
        <v>-1474</v>
      </c>
      <c r="U887" s="302" t="s">
        <v>1076</v>
      </c>
      <c r="V887" s="318">
        <v>1</v>
      </c>
      <c r="W887" s="319" t="s">
        <v>2079</v>
      </c>
      <c r="X887" s="320">
        <v>78</v>
      </c>
      <c r="Y887" s="321">
        <v>2</v>
      </c>
      <c r="Z887" s="322"/>
      <c r="AA887" s="323"/>
      <c r="AB887" s="324"/>
      <c r="AC887" s="324"/>
      <c r="AD887" s="323"/>
      <c r="AE887" s="324"/>
      <c r="AF887" s="317"/>
      <c r="AG887" s="325" t="s">
        <v>2072</v>
      </c>
      <c r="AH887" s="326"/>
      <c r="AI887" s="317">
        <v>24</v>
      </c>
      <c r="AJ887" s="326">
        <v>42535</v>
      </c>
      <c r="AK887" s="326">
        <v>42201</v>
      </c>
      <c r="AL887" s="326">
        <v>45210</v>
      </c>
      <c r="AM887" s="316"/>
      <c r="AN887" s="305"/>
      <c r="AO887" s="327" t="str">
        <f>_xlfn.IFNA(IF(VLOOKUP(tabItens[[#This Row],[CÓDIGO]],tabExcluirDoEstoque[#Data],1,FALSE),"sim",""),"")</f>
        <v/>
      </c>
      <c r="AP887" s="328" t="str">
        <f ca="1">IF(OR(ISBLANK(tabItens[[#This Row],[ATA DT.VALID.]]),tabItens[[#This Row],[ATA DT.VALID.]]="",tabItens[[#This Row],[ATA DT.VALID.]]=" "),"",IF(TYPE(tabItens[[#This Row],[ATA DT.VALID.]])=1,ROUNDUP((tabItens[[#This Row],[ATA DT.VALID.]]-TODAY())/7,0),""))</f>
        <v/>
      </c>
      <c r="AQ887" s="329"/>
      <c r="AR887" s="330" t="str">
        <f>IF(ISBLANK(tabItens[[#This Row],[CÓDIGO]]),"",IFERROR(VLOOKUP(tabItens[[#This Row],[CÓDIGO]],Consumo!$C$2:$AC$862,26,FALSE),0))</f>
        <v>02.2023</v>
      </c>
      <c r="AS887" s="331">
        <f>SUMIF(Consumo!$C$3:$C$862,tabItens[[#This Row],[CÓDIGO]],Consumo!$N$3:$N$862) + SUMIF(Consumo!$C$3:$C$862,tabItens[[#This Row],[CÓDIGO]],Consumo!$O$3:$O$862) + SUMIF(Consumo!$C$3:$C$862,tabItens[[#This Row],[CÓDIGO]],Consumo!$P$3:$P$862) + SUMIF(Consumo!$C$3:$C$862,tabItens[[#This Row],[CÓDIGO]],Consumo!$Q$3:$Q$862)</f>
        <v>0</v>
      </c>
      <c r="AT887" s="331">
        <f>SUMIF(Consumo!$C$3:$C$862,tabItens[[#This Row],[CÓDIGO]],Consumo!$Z$3:$Z$862)</f>
        <v>100</v>
      </c>
      <c r="AU887" s="332">
        <f>SUMIF(Consumo!$C$3:$C$862,tabItens[[#This Row],[CÓDIGO]],Consumo!$AA$3:$AA$862)</f>
        <v>31</v>
      </c>
      <c r="AV887" s="333">
        <f>SUMIF(Consumo!$C$3:$C$862,tabItens[[#This Row],[CÓDIGO]],Consumo!$Y$3:$Y$862)</f>
        <v>8.3333333333333339</v>
      </c>
      <c r="AW887" s="306">
        <f>tabItens[[#This Row],[QTDE ATUAL]] + tabItens[[#This Row],[RC QTDE]] + tabItens[[#This Row],[AF SALDO]] + tabItens[[#This Row],[Recentes]]</f>
        <v>0</v>
      </c>
      <c r="AX887" s="334">
        <v>1</v>
      </c>
      <c r="AY887" s="334">
        <v>4</v>
      </c>
      <c r="AZ887" s="334">
        <f>IF(ISBLANK(tabItens[[#This Row],[CÓDIGO]]),"",tabItens[[#This Row],[PontoMês]] * (AZ$2+tabItens[[#This Row],[PontoQtM]]))</f>
        <v>4</v>
      </c>
      <c r="BA887" s="333">
        <f>tabItens[[#This Row],[PontoPed]] - tabItens[[#This Row],[Saldo]] + (1/10)</f>
        <v>4.0999999999999996</v>
      </c>
      <c r="BB887" s="333">
        <f xml:space="preserve"> tabItens[[#This Row],[PontoMês]] * BB$2 - tabItens[[#This Row],[QTDE ATUAL]] - (1/10)</f>
        <v>0.9</v>
      </c>
      <c r="BC887" s="335">
        <f>IF( tabItens[[#This Row],[PontoPed]]&gt;0, IF(tabItens[[#This Row],[PontoPed]]&lt;1, 1, IF( tabItens[[#This Row],[Saldo]]&gt;tabItens[[#This Row],[PontoPed]], 0, (tabItens[[#This Row],[PontoPed]]-tabItens[[#This Row],[Saldo]])/tabItens[[#This Row],[PontoPed]] ) ), 0 )</f>
        <v>1</v>
      </c>
      <c r="BD887" s="336">
        <f>ROUNDDOWN(IF( OR( AND(tabItens[[#This Row],[PontoPed]]&lt;tabItens[[#This Row],[Saldo]],tabItens[[#This Row],[Saldo]]&gt;0), tabItens[[#This Row],[PontoPed]]=0), 99, IF(AND(tabItens[[#This Row],[Saldo]]=0,tabItens[[#This Row],[PontoPed]]&gt;0), 0, (1-tabItens[[#This Row],[PctAb]])*10 ) ),0)</f>
        <v>0</v>
      </c>
      <c r="BE887" s="337">
        <f>MAX(ROUNDDOWN( IF(tabItens[[#This Row],[Abaixo]] &gt; 0,   tabItens[[#This Row],[Abaixo]] + (tabItens[[#This Row],[PontoMês]] * IF( OR( ISBLANK(tabItens[[#This Row],[ATA Nº/ANO]]), tabItens[[#This Row],[ATA Nº/ANO]] = ""),BE$2,BE$1)),0),0),0)</f>
        <v>10</v>
      </c>
      <c r="BF88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887" s="338">
        <f>SUMIF(Consumo!$C$3:$C$862,tabItens[[#This Row],[CÓDIGO]],Consumo!$E$3:$E$862)</f>
        <v>29</v>
      </c>
      <c r="BH887" s="339">
        <f>IF(AND(tabItens[[#This Row],[Pend]] &gt; 0,tabItens[[#This Row],[Consumo]] &lt;&gt; 0), tabItens[[#This Row],[Pend]] / tabItens[[#This Row],[Consumo]], 0 )</f>
        <v>0.28999999999999998</v>
      </c>
      <c r="BI887" s="338"/>
      <c r="BJ887" s="338"/>
      <c r="BK887" s="340" t="s">
        <v>2086</v>
      </c>
    </row>
    <row r="888" spans="1:63" hidden="1" x14ac:dyDescent="0.3">
      <c r="A888" s="301">
        <v>134569</v>
      </c>
      <c r="B888" s="302" t="s">
        <v>1902</v>
      </c>
      <c r="C888" s="303" t="s">
        <v>436</v>
      </c>
      <c r="D888" s="304">
        <v>19</v>
      </c>
      <c r="E888" s="305"/>
      <c r="F888" s="305"/>
      <c r="G888" s="305" t="s">
        <v>889</v>
      </c>
      <c r="H888" s="306">
        <v>100</v>
      </c>
      <c r="I888" s="307">
        <v>103003</v>
      </c>
      <c r="J888" s="308">
        <v>19</v>
      </c>
      <c r="K888" s="309">
        <v>279</v>
      </c>
      <c r="L888" s="310">
        <f>IF(tabItens[[#This Row],[Média]] &gt; 0, tabItens[[#This Row],[QTDE ATUAL]] / tabItens[[#This Row],[Média]],999.9)</f>
        <v>4.4117647058823524</v>
      </c>
      <c r="M888" s="311">
        <v>0</v>
      </c>
      <c r="N888" s="312">
        <f>tabItens[[#This Row],[VALOR UNIT.]] * tabItens[[#This Row],[LC]]</f>
        <v>0</v>
      </c>
      <c r="O888" s="313"/>
      <c r="P888" s="314"/>
      <c r="Q888" s="315"/>
      <c r="R888" s="312"/>
      <c r="S888" s="316"/>
      <c r="T888" s="317">
        <f>ROUNDDOWN(IFERROR(tabItens[[#This Row],[ATA DT.VALID.]] - $D$1,0) / 30,0)</f>
        <v>-1474</v>
      </c>
      <c r="U888" s="302" t="s">
        <v>1076</v>
      </c>
      <c r="V888" s="318">
        <v>1</v>
      </c>
      <c r="W888" s="319" t="s">
        <v>2079</v>
      </c>
      <c r="X888" s="320">
        <v>78</v>
      </c>
      <c r="Y888" s="321">
        <v>2</v>
      </c>
      <c r="Z888" s="322"/>
      <c r="AA888" s="323"/>
      <c r="AB888" s="324"/>
      <c r="AC888" s="324"/>
      <c r="AD888" s="323"/>
      <c r="AE888" s="324"/>
      <c r="AF888" s="317"/>
      <c r="AG888" s="325" t="s">
        <v>2072</v>
      </c>
      <c r="AH888" s="326"/>
      <c r="AI888" s="317">
        <v>94</v>
      </c>
      <c r="AJ888" s="326">
        <v>45209</v>
      </c>
      <c r="AK888" s="326">
        <v>43174</v>
      </c>
      <c r="AL888" s="326">
        <v>45189</v>
      </c>
      <c r="AM888" s="316"/>
      <c r="AN888" s="305"/>
      <c r="AO888" s="327" t="str">
        <f>_xlfn.IFNA(IF(VLOOKUP(tabItens[[#This Row],[CÓDIGO]],tabExcluirDoEstoque[#Data],1,FALSE),"sim",""),"")</f>
        <v/>
      </c>
      <c r="AP888" s="328" t="str">
        <f ca="1">IF(OR(ISBLANK(tabItens[[#This Row],[ATA DT.VALID.]]),tabItens[[#This Row],[ATA DT.VALID.]]="",tabItens[[#This Row],[ATA DT.VALID.]]=" "),"",IF(TYPE(tabItens[[#This Row],[ATA DT.VALID.]])=1,ROUNDUP((tabItens[[#This Row],[ATA DT.VALID.]]-TODAY())/7,0),""))</f>
        <v/>
      </c>
      <c r="AQ888" s="329"/>
      <c r="AR888" s="330" t="str">
        <f>IF(ISBLANK(tabItens[[#This Row],[CÓDIGO]]),"",IFERROR(VLOOKUP(tabItens[[#This Row],[CÓDIGO]],Consumo!$C$2:$AC$862,26,FALSE),0))</f>
        <v>05.2023</v>
      </c>
      <c r="AS888" s="331">
        <f>SUMIF(Consumo!$C$3:$C$862,tabItens[[#This Row],[CÓDIGO]],Consumo!$N$3:$N$862) + SUMIF(Consumo!$C$3:$C$862,tabItens[[#This Row],[CÓDIGO]],Consumo!$O$3:$O$862) + SUMIF(Consumo!$C$3:$C$862,tabItens[[#This Row],[CÓDIGO]],Consumo!$P$3:$P$862) + SUMIF(Consumo!$C$3:$C$862,tabItens[[#This Row],[CÓDIGO]],Consumo!$Q$3:$Q$862)</f>
        <v>0</v>
      </c>
      <c r="AT888" s="331">
        <f>SUMIF(Consumo!$C$3:$C$862,tabItens[[#This Row],[CÓDIGO]],Consumo!$Z$3:$Z$862)</f>
        <v>279</v>
      </c>
      <c r="AU888" s="332">
        <f>SUMIF(Consumo!$C$3:$C$862,tabItens[[#This Row],[CÓDIGO]],Consumo!$AA$3:$AA$862)</f>
        <v>100</v>
      </c>
      <c r="AV888" s="333">
        <f>SUMIF(Consumo!$C$3:$C$862,tabItens[[#This Row],[CÓDIGO]],Consumo!$Y$3:$Y$862)</f>
        <v>22.666666666666668</v>
      </c>
      <c r="AW888" s="306">
        <f>tabItens[[#This Row],[QTDE ATUAL]] + tabItens[[#This Row],[RC QTDE]] + tabItens[[#This Row],[AF SALDO]] + tabItens[[#This Row],[Recentes]]</f>
        <v>100</v>
      </c>
      <c r="AX888" s="334">
        <v>8</v>
      </c>
      <c r="AY888" s="334">
        <v>4</v>
      </c>
      <c r="AZ888" s="334">
        <f>IF(ISBLANK(tabItens[[#This Row],[CÓDIGO]]),"",tabItens[[#This Row],[PontoMês]] * (AZ$2+tabItens[[#This Row],[PontoQtM]]))</f>
        <v>32</v>
      </c>
      <c r="BA888" s="333">
        <f>tabItens[[#This Row],[PontoPed]] - tabItens[[#This Row],[Saldo]] + (1/10)</f>
        <v>-67.900000000000006</v>
      </c>
      <c r="BB888" s="333">
        <f xml:space="preserve"> tabItens[[#This Row],[PontoMês]] * BB$2 - tabItens[[#This Row],[QTDE ATUAL]] - (1/10)</f>
        <v>-92.1</v>
      </c>
      <c r="BC888" s="335">
        <f>IF( tabItens[[#This Row],[PontoPed]]&gt;0, IF(tabItens[[#This Row],[PontoPed]]&lt;1, 1, IF( tabItens[[#This Row],[Saldo]]&gt;tabItens[[#This Row],[PontoPed]], 0, (tabItens[[#This Row],[PontoPed]]-tabItens[[#This Row],[Saldo]])/tabItens[[#This Row],[PontoPed]] ) ), 0 )</f>
        <v>0</v>
      </c>
      <c r="BD888" s="336">
        <f>ROUNDDOWN(IF( OR( AND(tabItens[[#This Row],[PontoPed]]&lt;tabItens[[#This Row],[Saldo]],tabItens[[#This Row],[Saldo]]&gt;0), tabItens[[#This Row],[PontoPed]]=0), 99, IF(AND(tabItens[[#This Row],[Saldo]]=0,tabItens[[#This Row],[PontoPed]]&gt;0), 0, (1-tabItens[[#This Row],[PctAb]])*10 ) ),0)</f>
        <v>99</v>
      </c>
      <c r="BE888" s="337">
        <f>MAX(ROUNDDOWN( IF(tabItens[[#This Row],[Abaixo]] &gt; 0,   tabItens[[#This Row],[Abaixo]] + (tabItens[[#This Row],[PontoMês]] * IF( OR( ISBLANK(tabItens[[#This Row],[ATA Nº/ANO]]), tabItens[[#This Row],[ATA Nº/ANO]] = ""),BE$2,BE$1)),0),0),0)</f>
        <v>0</v>
      </c>
      <c r="BF88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8" s="338">
        <f>SUMIF(Consumo!$C$3:$C$862,tabItens[[#This Row],[CÓDIGO]],Consumo!$E$3:$E$862)</f>
        <v>0</v>
      </c>
      <c r="BH888" s="339">
        <f>IF(AND(tabItens[[#This Row],[Pend]] &gt; 0,tabItens[[#This Row],[Consumo]] &lt;&gt; 0), tabItens[[#This Row],[Pend]] / tabItens[[#This Row],[Consumo]], 0 )</f>
        <v>0</v>
      </c>
      <c r="BI888" s="338"/>
      <c r="BJ888" s="338"/>
      <c r="BK888" s="340" t="s">
        <v>2086</v>
      </c>
    </row>
    <row r="889" spans="1:63" hidden="1" x14ac:dyDescent="0.3">
      <c r="A889" s="301">
        <v>138528</v>
      </c>
      <c r="B889" s="302" t="s">
        <v>1980</v>
      </c>
      <c r="C889" s="303" t="s">
        <v>31</v>
      </c>
      <c r="D889" s="304">
        <v>184</v>
      </c>
      <c r="E889" s="305"/>
      <c r="F889" s="305"/>
      <c r="G889" s="305" t="s">
        <v>889</v>
      </c>
      <c r="H889" s="306">
        <v>29</v>
      </c>
      <c r="I889" s="307">
        <v>103003</v>
      </c>
      <c r="J889" s="308">
        <v>184</v>
      </c>
      <c r="K889" s="309"/>
      <c r="L889" s="310">
        <f>IF(tabItens[[#This Row],[Média]] &gt; 0, tabItens[[#This Row],[QTDE ATUAL]] / tabItens[[#This Row],[Média]],999.9)</f>
        <v>999.9</v>
      </c>
      <c r="M889" s="311">
        <v>0</v>
      </c>
      <c r="N889" s="312">
        <f>tabItens[[#This Row],[VALOR UNIT.]] * tabItens[[#This Row],[LC]]</f>
        <v>0</v>
      </c>
      <c r="O889" s="313"/>
      <c r="P889" s="314"/>
      <c r="Q889" s="315"/>
      <c r="R889" s="312"/>
      <c r="S889" s="316"/>
      <c r="T889" s="317">
        <f>ROUNDDOWN(IFERROR(tabItens[[#This Row],[ATA DT.VALID.]] - $D$1,0) / 30,0)</f>
        <v>-1474</v>
      </c>
      <c r="U889" s="302" t="s">
        <v>1981</v>
      </c>
      <c r="V889" s="318">
        <v>1</v>
      </c>
      <c r="W889" s="319" t="s">
        <v>2079</v>
      </c>
      <c r="X889" s="320">
        <v>78</v>
      </c>
      <c r="Y889" s="321">
        <v>4</v>
      </c>
      <c r="Z889" s="322"/>
      <c r="AA889" s="323"/>
      <c r="AB889" s="324"/>
      <c r="AC889" s="324"/>
      <c r="AD889" s="323"/>
      <c r="AE889" s="324"/>
      <c r="AF889" s="317"/>
      <c r="AG889" s="325" t="s">
        <v>2072</v>
      </c>
      <c r="AH889" s="326"/>
      <c r="AI889" s="317">
        <v>0</v>
      </c>
      <c r="AJ889" s="326">
        <v>43847</v>
      </c>
      <c r="AK889" s="326">
        <v>43727</v>
      </c>
      <c r="AL889" s="326">
        <v>43809</v>
      </c>
      <c r="AM889" s="316"/>
      <c r="AN889" s="305"/>
      <c r="AO889" s="327" t="str">
        <f>_xlfn.IFNA(IF(VLOOKUP(tabItens[[#This Row],[CÓDIGO]],tabExcluirDoEstoque[#Data],1,FALSE),"sim",""),"")</f>
        <v/>
      </c>
      <c r="AP889" s="328" t="str">
        <f ca="1">IF(OR(ISBLANK(tabItens[[#This Row],[ATA DT.VALID.]]),tabItens[[#This Row],[ATA DT.VALID.]]="",tabItens[[#This Row],[ATA DT.VALID.]]=" "),"",IF(TYPE(tabItens[[#This Row],[ATA DT.VALID.]])=1,ROUNDUP((tabItens[[#This Row],[ATA DT.VALID.]]-TODAY())/7,0),""))</f>
        <v/>
      </c>
      <c r="AQ889" s="329"/>
      <c r="AR889" s="330">
        <f>IF(ISBLANK(tabItens[[#This Row],[CÓDIGO]]),"",IFERROR(VLOOKUP(tabItens[[#This Row],[CÓDIGO]],Consumo!$C$2:$AC$862,26,FALSE),0))</f>
        <v>0</v>
      </c>
      <c r="AS889" s="331">
        <f>SUMIF(Consumo!$C$3:$C$862,tabItens[[#This Row],[CÓDIGO]],Consumo!$N$3:$N$862) + SUMIF(Consumo!$C$3:$C$862,tabItens[[#This Row],[CÓDIGO]],Consumo!$O$3:$O$862) + SUMIF(Consumo!$C$3:$C$862,tabItens[[#This Row],[CÓDIGO]],Consumo!$P$3:$P$862) + SUMIF(Consumo!$C$3:$C$862,tabItens[[#This Row],[CÓDIGO]],Consumo!$Q$3:$Q$862)</f>
        <v>0</v>
      </c>
      <c r="AT889" s="331">
        <f>SUMIF(Consumo!$C$3:$C$862,tabItens[[#This Row],[CÓDIGO]],Consumo!$Z$3:$Z$862)</f>
        <v>0</v>
      </c>
      <c r="AU889" s="332">
        <f>SUMIF(Consumo!$C$3:$C$862,tabItens[[#This Row],[CÓDIGO]],Consumo!$AA$3:$AA$862)</f>
        <v>0</v>
      </c>
      <c r="AV889" s="333">
        <f>SUMIF(Consumo!$C$3:$C$862,tabItens[[#This Row],[CÓDIGO]],Consumo!$Y$3:$Y$862)</f>
        <v>0</v>
      </c>
      <c r="AW889" s="306">
        <f>tabItens[[#This Row],[QTDE ATUAL]] + tabItens[[#This Row],[RC QTDE]] + tabItens[[#This Row],[AF SALDO]] + tabItens[[#This Row],[Recentes]]</f>
        <v>29</v>
      </c>
      <c r="AX889" s="334">
        <v>0</v>
      </c>
      <c r="AY889" s="334">
        <v>4</v>
      </c>
      <c r="AZ889" s="334">
        <f>IF(ISBLANK(tabItens[[#This Row],[CÓDIGO]]),"",tabItens[[#This Row],[PontoMês]] * (AZ$2+tabItens[[#This Row],[PontoQtM]]))</f>
        <v>0</v>
      </c>
      <c r="BA889" s="333">
        <f>tabItens[[#This Row],[PontoPed]] - tabItens[[#This Row],[Saldo]] + (1/10)</f>
        <v>-28.9</v>
      </c>
      <c r="BB889" s="333">
        <f xml:space="preserve"> tabItens[[#This Row],[PontoMês]] * BB$2 - tabItens[[#This Row],[QTDE ATUAL]] - (1/10)</f>
        <v>-29.1</v>
      </c>
      <c r="BC889" s="335">
        <f>IF( tabItens[[#This Row],[PontoPed]]&gt;0, IF(tabItens[[#This Row],[PontoPed]]&lt;1, 1, IF( tabItens[[#This Row],[Saldo]]&gt;tabItens[[#This Row],[PontoPed]], 0, (tabItens[[#This Row],[PontoPed]]-tabItens[[#This Row],[Saldo]])/tabItens[[#This Row],[PontoPed]] ) ), 0 )</f>
        <v>0</v>
      </c>
      <c r="BD889" s="336">
        <f>ROUNDDOWN(IF( OR( AND(tabItens[[#This Row],[PontoPed]]&lt;tabItens[[#This Row],[Saldo]],tabItens[[#This Row],[Saldo]]&gt;0), tabItens[[#This Row],[PontoPed]]=0), 99, IF(AND(tabItens[[#This Row],[Saldo]]=0,tabItens[[#This Row],[PontoPed]]&gt;0), 0, (1-tabItens[[#This Row],[PctAb]])*10 ) ),0)</f>
        <v>99</v>
      </c>
      <c r="BE889" s="337">
        <f>MAX(ROUNDDOWN( IF(tabItens[[#This Row],[Abaixo]] &gt; 0,   tabItens[[#This Row],[Abaixo]] + (tabItens[[#This Row],[PontoMês]] * IF( OR( ISBLANK(tabItens[[#This Row],[ATA Nº/ANO]]), tabItens[[#This Row],[ATA Nº/ANO]] = ""),BE$2,BE$1)),0),0),0)</f>
        <v>0</v>
      </c>
      <c r="BF88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9" s="338">
        <f>SUMIF(Consumo!$C$3:$C$862,tabItens[[#This Row],[CÓDIGO]],Consumo!$E$3:$E$862)</f>
        <v>0</v>
      </c>
      <c r="BH889" s="339">
        <f>IF(AND(tabItens[[#This Row],[Pend]] &gt; 0,tabItens[[#This Row],[Consumo]] &lt;&gt; 0), tabItens[[#This Row],[Pend]] / tabItens[[#This Row],[Consumo]], 0 )</f>
        <v>0</v>
      </c>
      <c r="BI889" s="338"/>
      <c r="BJ889" s="338"/>
      <c r="BK889" s="340" t="s">
        <v>2086</v>
      </c>
    </row>
    <row r="890" spans="1:63" hidden="1" x14ac:dyDescent="0.3">
      <c r="A890" s="301">
        <v>20167</v>
      </c>
      <c r="B890" s="302" t="s">
        <v>1165</v>
      </c>
      <c r="C890" s="303" t="s">
        <v>263</v>
      </c>
      <c r="D890" s="304">
        <v>390</v>
      </c>
      <c r="E890" s="305"/>
      <c r="F890" s="305"/>
      <c r="G890" s="305" t="s">
        <v>889</v>
      </c>
      <c r="H890" s="306">
        <v>0</v>
      </c>
      <c r="I890" s="307">
        <v>103003</v>
      </c>
      <c r="J890" s="308">
        <v>390</v>
      </c>
      <c r="K890" s="309">
        <v>13</v>
      </c>
      <c r="L890" s="310">
        <f>IF(tabItens[[#This Row],[Média]] &gt; 0, tabItens[[#This Row],[QTDE ATUAL]] / tabItens[[#This Row],[Média]],999.9)</f>
        <v>0</v>
      </c>
      <c r="M890" s="311">
        <v>0</v>
      </c>
      <c r="N890" s="312">
        <f>tabItens[[#This Row],[VALOR UNIT.]] * tabItens[[#This Row],[LC]]</f>
        <v>0</v>
      </c>
      <c r="O890" s="313"/>
      <c r="P890" s="314"/>
      <c r="Q890" s="315"/>
      <c r="R890" s="312"/>
      <c r="S890" s="316"/>
      <c r="T890" s="317">
        <f>ROUNDDOWN(IFERROR(tabItens[[#This Row],[ATA DT.VALID.]] - $D$1,0) / 30,0)</f>
        <v>-1474</v>
      </c>
      <c r="U890" s="302" t="s">
        <v>1166</v>
      </c>
      <c r="V890" s="318">
        <v>1</v>
      </c>
      <c r="W890" s="319" t="s">
        <v>2082</v>
      </c>
      <c r="X890" s="320">
        <v>79</v>
      </c>
      <c r="Y890" s="321">
        <v>5</v>
      </c>
      <c r="Z890" s="322"/>
      <c r="AA890" s="323"/>
      <c r="AB890" s="324"/>
      <c r="AC890" s="324"/>
      <c r="AD890" s="323"/>
      <c r="AE890" s="324"/>
      <c r="AF890" s="317"/>
      <c r="AG890" s="325" t="s">
        <v>2072</v>
      </c>
      <c r="AH890" s="326"/>
      <c r="AI890" s="317">
        <v>4</v>
      </c>
      <c r="AJ890" s="326">
        <v>44582</v>
      </c>
      <c r="AK890" s="326" t="s">
        <v>889</v>
      </c>
      <c r="AL890" s="326">
        <v>44567</v>
      </c>
      <c r="AM890" s="316"/>
      <c r="AN890" s="305"/>
      <c r="AO890" s="327" t="str">
        <f>_xlfn.IFNA(IF(VLOOKUP(tabItens[[#This Row],[CÓDIGO]],tabExcluirDoEstoque[#Data],1,FALSE),"sim",""),"")</f>
        <v/>
      </c>
      <c r="AP890" s="328" t="str">
        <f ca="1">IF(OR(ISBLANK(tabItens[[#This Row],[ATA DT.VALID.]]),tabItens[[#This Row],[ATA DT.VALID.]]="",tabItens[[#This Row],[ATA DT.VALID.]]=" "),"",IF(TYPE(tabItens[[#This Row],[ATA DT.VALID.]])=1,ROUNDUP((tabItens[[#This Row],[ATA DT.VALID.]]-TODAY())/7,0),""))</f>
        <v/>
      </c>
      <c r="AQ890" s="329"/>
      <c r="AR890" s="330" t="str">
        <f>IF(ISBLANK(tabItens[[#This Row],[CÓDIGO]]),"",IFERROR(VLOOKUP(tabItens[[#This Row],[CÓDIGO]],Consumo!$C$2:$AC$862,26,FALSE),0))</f>
        <v>05.2023</v>
      </c>
      <c r="AS890" s="331">
        <f>SUMIF(Consumo!$C$3:$C$862,tabItens[[#This Row],[CÓDIGO]],Consumo!$N$3:$N$862) + SUMIF(Consumo!$C$3:$C$862,tabItens[[#This Row],[CÓDIGO]],Consumo!$O$3:$O$862) + SUMIF(Consumo!$C$3:$C$862,tabItens[[#This Row],[CÓDIGO]],Consumo!$P$3:$P$862) + SUMIF(Consumo!$C$3:$C$862,tabItens[[#This Row],[CÓDIGO]],Consumo!$Q$3:$Q$862)</f>
        <v>0</v>
      </c>
      <c r="AT890" s="331">
        <f>SUMIF(Consumo!$C$3:$C$862,tabItens[[#This Row],[CÓDIGO]],Consumo!$Z$3:$Z$862)</f>
        <v>15</v>
      </c>
      <c r="AU890" s="332">
        <f>SUMIF(Consumo!$C$3:$C$862,tabItens[[#This Row],[CÓDIGO]],Consumo!$AA$3:$AA$862)</f>
        <v>5</v>
      </c>
      <c r="AV890" s="333">
        <f>SUMIF(Consumo!$C$3:$C$862,tabItens[[#This Row],[CÓDIGO]],Consumo!$Y$3:$Y$862)</f>
        <v>1.1666666666666667</v>
      </c>
      <c r="AW890" s="306">
        <f>tabItens[[#This Row],[QTDE ATUAL]] + tabItens[[#This Row],[RC QTDE]] + tabItens[[#This Row],[AF SALDO]] + tabItens[[#This Row],[Recentes]]</f>
        <v>0</v>
      </c>
      <c r="AX890" s="334">
        <v>2</v>
      </c>
      <c r="AY890" s="334">
        <v>4</v>
      </c>
      <c r="AZ890" s="334">
        <f>IF(ISBLANK(tabItens[[#This Row],[CÓDIGO]]),"",tabItens[[#This Row],[PontoMês]] * (AZ$2+tabItens[[#This Row],[PontoQtM]]))</f>
        <v>8</v>
      </c>
      <c r="BA890" s="333">
        <f>tabItens[[#This Row],[PontoPed]] - tabItens[[#This Row],[Saldo]] + (1/10)</f>
        <v>8.1</v>
      </c>
      <c r="BB890" s="333">
        <f xml:space="preserve"> tabItens[[#This Row],[PontoMês]] * BB$2 - tabItens[[#This Row],[QTDE ATUAL]] - (1/10)</f>
        <v>1.9</v>
      </c>
      <c r="BC890" s="335">
        <f>IF( tabItens[[#This Row],[PontoPed]]&gt;0, IF(tabItens[[#This Row],[PontoPed]]&lt;1, 1, IF( tabItens[[#This Row],[Saldo]]&gt;tabItens[[#This Row],[PontoPed]], 0, (tabItens[[#This Row],[PontoPed]]-tabItens[[#This Row],[Saldo]])/tabItens[[#This Row],[PontoPed]] ) ), 0 )</f>
        <v>1</v>
      </c>
      <c r="BD890" s="336">
        <f>ROUNDDOWN(IF( OR( AND(tabItens[[#This Row],[PontoPed]]&lt;tabItens[[#This Row],[Saldo]],tabItens[[#This Row],[Saldo]]&gt;0), tabItens[[#This Row],[PontoPed]]=0), 99, IF(AND(tabItens[[#This Row],[Saldo]]=0,tabItens[[#This Row],[PontoPed]]&gt;0), 0, (1-tabItens[[#This Row],[PctAb]])*10 ) ),0)</f>
        <v>0</v>
      </c>
      <c r="BE890" s="337">
        <f>MAX(ROUNDDOWN( IF(tabItens[[#This Row],[Abaixo]] &gt; 0,   tabItens[[#This Row],[Abaixo]] + (tabItens[[#This Row],[PontoMês]] * IF( OR( ISBLANK(tabItens[[#This Row],[ATA Nº/ANO]]), tabItens[[#This Row],[ATA Nº/ANO]] = ""),BE$2,BE$1)),0),0),0)</f>
        <v>20</v>
      </c>
      <c r="BF89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890" s="338">
        <f>SUMIF(Consumo!$C$3:$C$862,tabItens[[#This Row],[CÓDIGO]],Consumo!$E$3:$E$862)</f>
        <v>2</v>
      </c>
      <c r="BH890" s="339">
        <f>IF(AND(tabItens[[#This Row],[Pend]] &gt; 0,tabItens[[#This Row],[Consumo]] &lt;&gt; 0), tabItens[[#This Row],[Pend]] / tabItens[[#This Row],[Consumo]], 0 )</f>
        <v>0.13333333333333333</v>
      </c>
      <c r="BI890" s="338"/>
      <c r="BJ890" s="338"/>
      <c r="BK890" s="340" t="s">
        <v>2086</v>
      </c>
    </row>
    <row r="891" spans="1:63" hidden="1" x14ac:dyDescent="0.3">
      <c r="A891" s="301">
        <v>24219</v>
      </c>
      <c r="B891" s="302" t="s">
        <v>1193</v>
      </c>
      <c r="C891" s="303" t="s">
        <v>263</v>
      </c>
      <c r="D891" s="304">
        <v>47</v>
      </c>
      <c r="E891" s="305"/>
      <c r="F891" s="305"/>
      <c r="G891" s="305" t="s">
        <v>889</v>
      </c>
      <c r="H891" s="306">
        <v>387</v>
      </c>
      <c r="I891" s="307">
        <v>103003</v>
      </c>
      <c r="J891" s="308">
        <v>47</v>
      </c>
      <c r="K891" s="309">
        <v>207</v>
      </c>
      <c r="L891" s="310">
        <f>IF(tabItens[[#This Row],[Média]] &gt; 0, tabItens[[#This Row],[QTDE ATUAL]] / tabItens[[#This Row],[Média]],999.9)</f>
        <v>14.030211480362539</v>
      </c>
      <c r="M891" s="311">
        <v>0</v>
      </c>
      <c r="N891" s="312">
        <f>tabItens[[#This Row],[VALOR UNIT.]] * tabItens[[#This Row],[LC]]</f>
        <v>0</v>
      </c>
      <c r="O891" s="313"/>
      <c r="P891" s="314"/>
      <c r="Q891" s="315"/>
      <c r="R891" s="312"/>
      <c r="S891" s="316"/>
      <c r="T891" s="317">
        <f>ROUNDDOWN(IFERROR(tabItens[[#This Row],[ATA DT.VALID.]] - $D$1,0) / 30,0)</f>
        <v>-1474</v>
      </c>
      <c r="U891" s="302" t="s">
        <v>1194</v>
      </c>
      <c r="V891" s="318">
        <v>1</v>
      </c>
      <c r="W891" s="319" t="s">
        <v>2073</v>
      </c>
      <c r="X891" s="320">
        <v>79</v>
      </c>
      <c r="Y891" s="321">
        <v>6</v>
      </c>
      <c r="Z891" s="322"/>
      <c r="AA891" s="323"/>
      <c r="AB891" s="324"/>
      <c r="AC891" s="324"/>
      <c r="AD891" s="323"/>
      <c r="AE891" s="324"/>
      <c r="AF891" s="317"/>
      <c r="AG891" s="325" t="s">
        <v>2072</v>
      </c>
      <c r="AH891" s="326"/>
      <c r="AI891" s="317">
        <v>110</v>
      </c>
      <c r="AJ891" s="326">
        <v>44610</v>
      </c>
      <c r="AK891" s="326" t="s">
        <v>889</v>
      </c>
      <c r="AL891" s="326">
        <v>44582</v>
      </c>
      <c r="AM891" s="316"/>
      <c r="AN891" s="305"/>
      <c r="AO891" s="327" t="str">
        <f>_xlfn.IFNA(IF(VLOOKUP(tabItens[[#This Row],[CÓDIGO]],tabExcluirDoEstoque[#Data],1,FALSE),"sim",""),"")</f>
        <v/>
      </c>
      <c r="AP891" s="328" t="str">
        <f ca="1">IF(OR(ISBLANK(tabItens[[#This Row],[ATA DT.VALID.]]),tabItens[[#This Row],[ATA DT.VALID.]]="",tabItens[[#This Row],[ATA DT.VALID.]]=" "),"",IF(TYPE(tabItens[[#This Row],[ATA DT.VALID.]])=1,ROUNDUP((tabItens[[#This Row],[ATA DT.VALID.]]-TODAY())/7,0),""))</f>
        <v/>
      </c>
      <c r="AQ891" s="329"/>
      <c r="AR891" s="330" t="str">
        <f>IF(ISBLANK(tabItens[[#This Row],[CÓDIGO]]),"",IFERROR(VLOOKUP(tabItens[[#This Row],[CÓDIGO]],Consumo!$C$2:$AC$862,26,FALSE),0))</f>
        <v>09.2023</v>
      </c>
      <c r="AS891" s="331">
        <f>SUMIF(Consumo!$C$3:$C$862,tabItens[[#This Row],[CÓDIGO]],Consumo!$N$3:$N$862) + SUMIF(Consumo!$C$3:$C$862,tabItens[[#This Row],[CÓDIGO]],Consumo!$O$3:$O$862) + SUMIF(Consumo!$C$3:$C$862,tabItens[[#This Row],[CÓDIGO]],Consumo!$P$3:$P$862) + SUMIF(Consumo!$C$3:$C$862,tabItens[[#This Row],[CÓDIGO]],Consumo!$Q$3:$Q$862)</f>
        <v>127</v>
      </c>
      <c r="AT891" s="331">
        <f>SUMIF(Consumo!$C$3:$C$862,tabItens[[#This Row],[CÓDIGO]],Consumo!$Z$3:$Z$862)</f>
        <v>331</v>
      </c>
      <c r="AU891" s="332">
        <f>SUMIF(Consumo!$C$3:$C$862,tabItens[[#This Row],[CÓDIGO]],Consumo!$AA$3:$AA$862)</f>
        <v>43</v>
      </c>
      <c r="AV891" s="333">
        <f>SUMIF(Consumo!$C$3:$C$862,tabItens[[#This Row],[CÓDIGO]],Consumo!$Y$3:$Y$862)</f>
        <v>27.583333333333332</v>
      </c>
      <c r="AW891" s="306">
        <f>tabItens[[#This Row],[QTDE ATUAL]] + tabItens[[#This Row],[RC QTDE]] + tabItens[[#This Row],[AF SALDO]] + tabItens[[#This Row],[Recentes]]</f>
        <v>387</v>
      </c>
      <c r="AX891" s="334">
        <v>30</v>
      </c>
      <c r="AY891" s="334">
        <v>4</v>
      </c>
      <c r="AZ891" s="334">
        <f>IF(ISBLANK(tabItens[[#This Row],[CÓDIGO]]),"",tabItens[[#This Row],[PontoMês]] * (AZ$2+tabItens[[#This Row],[PontoQtM]]))</f>
        <v>120</v>
      </c>
      <c r="BA891" s="333">
        <f>tabItens[[#This Row],[PontoPed]] - tabItens[[#This Row],[Saldo]] + (1/10)</f>
        <v>-266.89999999999998</v>
      </c>
      <c r="BB891" s="333">
        <f xml:space="preserve"> tabItens[[#This Row],[PontoMês]] * BB$2 - tabItens[[#This Row],[QTDE ATUAL]] - (1/10)</f>
        <v>-357.1</v>
      </c>
      <c r="BC891" s="335">
        <f>IF( tabItens[[#This Row],[PontoPed]]&gt;0, IF(tabItens[[#This Row],[PontoPed]]&lt;1, 1, IF( tabItens[[#This Row],[Saldo]]&gt;tabItens[[#This Row],[PontoPed]], 0, (tabItens[[#This Row],[PontoPed]]-tabItens[[#This Row],[Saldo]])/tabItens[[#This Row],[PontoPed]] ) ), 0 )</f>
        <v>0</v>
      </c>
      <c r="BD891" s="336">
        <f>ROUNDDOWN(IF( OR( AND(tabItens[[#This Row],[PontoPed]]&lt;tabItens[[#This Row],[Saldo]],tabItens[[#This Row],[Saldo]]&gt;0), tabItens[[#This Row],[PontoPed]]=0), 99, IF(AND(tabItens[[#This Row],[Saldo]]=0,tabItens[[#This Row],[PontoPed]]&gt;0), 0, (1-tabItens[[#This Row],[PctAb]])*10 ) ),0)</f>
        <v>99</v>
      </c>
      <c r="BE891" s="337">
        <f>MAX(ROUNDDOWN( IF(tabItens[[#This Row],[Abaixo]] &gt; 0,   tabItens[[#This Row],[Abaixo]] + (tabItens[[#This Row],[PontoMês]] * IF( OR( ISBLANK(tabItens[[#This Row],[ATA Nº/ANO]]), tabItens[[#This Row],[ATA Nº/ANO]] = ""),BE$2,BE$1)),0),0),0)</f>
        <v>0</v>
      </c>
      <c r="BF89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1" s="338">
        <f>SUMIF(Consumo!$C$3:$C$862,tabItens[[#This Row],[CÓDIGO]],Consumo!$E$3:$E$862)</f>
        <v>1</v>
      </c>
      <c r="BH891" s="339">
        <f>IF(AND(tabItens[[#This Row],[Pend]] &gt; 0,tabItens[[#This Row],[Consumo]] &lt;&gt; 0), tabItens[[#This Row],[Pend]] / tabItens[[#This Row],[Consumo]], 0 )</f>
        <v>3.0211480362537764E-3</v>
      </c>
      <c r="BI891" s="338"/>
      <c r="BJ891" s="338"/>
      <c r="BK891" s="340" t="s">
        <v>2086</v>
      </c>
    </row>
    <row r="892" spans="1:63" hidden="1" x14ac:dyDescent="0.3">
      <c r="A892" s="301">
        <v>120615</v>
      </c>
      <c r="B892" s="302" t="s">
        <v>1744</v>
      </c>
      <c r="C892" s="303" t="s">
        <v>272</v>
      </c>
      <c r="D892" s="304">
        <v>1.05</v>
      </c>
      <c r="E892" s="305"/>
      <c r="F892" s="305"/>
      <c r="G892" s="305" t="s">
        <v>889</v>
      </c>
      <c r="H892" s="306">
        <v>1276</v>
      </c>
      <c r="I892" s="307">
        <v>103003</v>
      </c>
      <c r="J892" s="308">
        <v>1.05</v>
      </c>
      <c r="K892" s="309"/>
      <c r="L892" s="310">
        <f>IF(tabItens[[#This Row],[Média]] &gt; 0, tabItens[[#This Row],[QTDE ATUAL]] / tabItens[[#This Row],[Média]],999.9)</f>
        <v>999.9</v>
      </c>
      <c r="M892" s="311">
        <v>0</v>
      </c>
      <c r="N892" s="312">
        <f>tabItens[[#This Row],[VALOR UNIT.]] * tabItens[[#This Row],[LC]]</f>
        <v>0</v>
      </c>
      <c r="O892" s="313"/>
      <c r="P892" s="314"/>
      <c r="Q892" s="315"/>
      <c r="R892" s="312"/>
      <c r="S892" s="316"/>
      <c r="T892" s="317">
        <f>ROUNDDOWN(IFERROR(tabItens[[#This Row],[ATA DT.VALID.]] - $D$1,0) / 30,0)</f>
        <v>-1474</v>
      </c>
      <c r="U892" s="302" t="s">
        <v>1745</v>
      </c>
      <c r="V892" s="318">
        <v>1</v>
      </c>
      <c r="W892" s="319" t="s">
        <v>2078</v>
      </c>
      <c r="X892" s="320">
        <v>80</v>
      </c>
      <c r="Y892" s="321">
        <v>13</v>
      </c>
      <c r="Z892" s="322"/>
      <c r="AA892" s="323"/>
      <c r="AB892" s="324"/>
      <c r="AC892" s="324"/>
      <c r="AD892" s="323"/>
      <c r="AE892" s="324"/>
      <c r="AF892" s="317"/>
      <c r="AG892" s="325" t="s">
        <v>2072</v>
      </c>
      <c r="AH892" s="326"/>
      <c r="AI892" s="317">
        <v>0</v>
      </c>
      <c r="AJ892" s="326">
        <v>42333</v>
      </c>
      <c r="AK892" s="326">
        <v>40756</v>
      </c>
      <c r="AL892" s="326">
        <v>42297</v>
      </c>
      <c r="AM892" s="316"/>
      <c r="AN892" s="305"/>
      <c r="AO892" s="327" t="str">
        <f>_xlfn.IFNA(IF(VLOOKUP(tabItens[[#This Row],[CÓDIGO]],tabExcluirDoEstoque[#Data],1,FALSE),"sim",""),"")</f>
        <v/>
      </c>
      <c r="AP892" s="328" t="str">
        <f ca="1">IF(OR(ISBLANK(tabItens[[#This Row],[ATA DT.VALID.]]),tabItens[[#This Row],[ATA DT.VALID.]]="",tabItens[[#This Row],[ATA DT.VALID.]]=" "),"",IF(TYPE(tabItens[[#This Row],[ATA DT.VALID.]])=1,ROUNDUP((tabItens[[#This Row],[ATA DT.VALID.]]-TODAY())/7,0),""))</f>
        <v/>
      </c>
      <c r="AQ892" s="329"/>
      <c r="AR892" s="330">
        <f>IF(ISBLANK(tabItens[[#This Row],[CÓDIGO]]),"",IFERROR(VLOOKUP(tabItens[[#This Row],[CÓDIGO]],Consumo!$C$2:$AC$862,26,FALSE),0))</f>
        <v>0</v>
      </c>
      <c r="AS892" s="331">
        <f>SUMIF(Consumo!$C$3:$C$862,tabItens[[#This Row],[CÓDIGO]],Consumo!$N$3:$N$862) + SUMIF(Consumo!$C$3:$C$862,tabItens[[#This Row],[CÓDIGO]],Consumo!$O$3:$O$862) + SUMIF(Consumo!$C$3:$C$862,tabItens[[#This Row],[CÓDIGO]],Consumo!$P$3:$P$862) + SUMIF(Consumo!$C$3:$C$862,tabItens[[#This Row],[CÓDIGO]],Consumo!$Q$3:$Q$862)</f>
        <v>0</v>
      </c>
      <c r="AT892" s="331">
        <f>SUMIF(Consumo!$C$3:$C$862,tabItens[[#This Row],[CÓDIGO]],Consumo!$Z$3:$Z$862)</f>
        <v>0</v>
      </c>
      <c r="AU892" s="332">
        <f>SUMIF(Consumo!$C$3:$C$862,tabItens[[#This Row],[CÓDIGO]],Consumo!$AA$3:$AA$862)</f>
        <v>0</v>
      </c>
      <c r="AV892" s="333">
        <f>SUMIF(Consumo!$C$3:$C$862,tabItens[[#This Row],[CÓDIGO]],Consumo!$Y$3:$Y$862)</f>
        <v>0</v>
      </c>
      <c r="AW892" s="306">
        <f>tabItens[[#This Row],[QTDE ATUAL]] + tabItens[[#This Row],[RC QTDE]] + tabItens[[#This Row],[AF SALDO]] + tabItens[[#This Row],[Recentes]]</f>
        <v>1276</v>
      </c>
      <c r="AX892" s="334">
        <v>21</v>
      </c>
      <c r="AY892" s="334">
        <v>4</v>
      </c>
      <c r="AZ892" s="334">
        <f>IF(ISBLANK(tabItens[[#This Row],[CÓDIGO]]),"",tabItens[[#This Row],[PontoMês]] * (AZ$2+tabItens[[#This Row],[PontoQtM]]))</f>
        <v>84</v>
      </c>
      <c r="BA892" s="333">
        <f>tabItens[[#This Row],[PontoPed]] - tabItens[[#This Row],[Saldo]] + (1/10)</f>
        <v>-1191.9000000000001</v>
      </c>
      <c r="BB892" s="333">
        <f xml:space="preserve"> tabItens[[#This Row],[PontoMês]] * BB$2 - tabItens[[#This Row],[QTDE ATUAL]] - (1/10)</f>
        <v>-1255.0999999999999</v>
      </c>
      <c r="BC892" s="335">
        <f>IF( tabItens[[#This Row],[PontoPed]]&gt;0, IF(tabItens[[#This Row],[PontoPed]]&lt;1, 1, IF( tabItens[[#This Row],[Saldo]]&gt;tabItens[[#This Row],[PontoPed]], 0, (tabItens[[#This Row],[PontoPed]]-tabItens[[#This Row],[Saldo]])/tabItens[[#This Row],[PontoPed]] ) ), 0 )</f>
        <v>0</v>
      </c>
      <c r="BD892" s="336">
        <f>ROUNDDOWN(IF( OR( AND(tabItens[[#This Row],[PontoPed]]&lt;tabItens[[#This Row],[Saldo]],tabItens[[#This Row],[Saldo]]&gt;0), tabItens[[#This Row],[PontoPed]]=0), 99, IF(AND(tabItens[[#This Row],[Saldo]]=0,tabItens[[#This Row],[PontoPed]]&gt;0), 0, (1-tabItens[[#This Row],[PctAb]])*10 ) ),0)</f>
        <v>99</v>
      </c>
      <c r="BE892" s="337">
        <f>MAX(ROUNDDOWN( IF(tabItens[[#This Row],[Abaixo]] &gt; 0,   tabItens[[#This Row],[Abaixo]] + (tabItens[[#This Row],[PontoMês]] * IF( OR( ISBLANK(tabItens[[#This Row],[ATA Nº/ANO]]), tabItens[[#This Row],[ATA Nº/ANO]] = ""),BE$2,BE$1)),0),0),0)</f>
        <v>0</v>
      </c>
      <c r="BF89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2" s="338">
        <f>SUMIF(Consumo!$C$3:$C$862,tabItens[[#This Row],[CÓDIGO]],Consumo!$E$3:$E$862)</f>
        <v>0</v>
      </c>
      <c r="BH892" s="339">
        <f>IF(AND(tabItens[[#This Row],[Pend]] &gt; 0,tabItens[[#This Row],[Consumo]] &lt;&gt; 0), tabItens[[#This Row],[Pend]] / tabItens[[#This Row],[Consumo]], 0 )</f>
        <v>0</v>
      </c>
      <c r="BI892" s="338"/>
      <c r="BJ892" s="338"/>
      <c r="BK892" s="340" t="s">
        <v>2086</v>
      </c>
    </row>
    <row r="893" spans="1:63" hidden="1" x14ac:dyDescent="0.3">
      <c r="A893" s="301">
        <v>24551</v>
      </c>
      <c r="B893" s="302" t="s">
        <v>1202</v>
      </c>
      <c r="C893" s="303" t="s">
        <v>263</v>
      </c>
      <c r="D893" s="304">
        <v>5.2</v>
      </c>
      <c r="E893" s="305"/>
      <c r="F893" s="305"/>
      <c r="G893" s="305" t="s">
        <v>889</v>
      </c>
      <c r="H893" s="306">
        <v>0</v>
      </c>
      <c r="I893" s="307">
        <v>103003</v>
      </c>
      <c r="J893" s="308">
        <v>5.2</v>
      </c>
      <c r="K893" s="309">
        <v>34</v>
      </c>
      <c r="L893" s="310">
        <f>IF(tabItens[[#This Row],[Média]] &gt; 0, tabItens[[#This Row],[QTDE ATUAL]] / tabItens[[#This Row],[Média]],999.9)</f>
        <v>0</v>
      </c>
      <c r="M893" s="311">
        <v>0</v>
      </c>
      <c r="N893" s="312">
        <f>tabItens[[#This Row],[VALOR UNIT.]] * tabItens[[#This Row],[LC]]</f>
        <v>0</v>
      </c>
      <c r="O893" s="313"/>
      <c r="P893" s="314"/>
      <c r="Q893" s="315"/>
      <c r="R893" s="312"/>
      <c r="S893" s="316"/>
      <c r="T893" s="317">
        <f>ROUNDDOWN(IFERROR(tabItens[[#This Row],[ATA DT.VALID.]] - $D$1,0) / 30,0)</f>
        <v>-1474</v>
      </c>
      <c r="U893" s="302" t="s">
        <v>1203</v>
      </c>
      <c r="V893" s="318">
        <v>1</v>
      </c>
      <c r="W893" s="319" t="s">
        <v>2079</v>
      </c>
      <c r="X893" s="320">
        <v>83</v>
      </c>
      <c r="Y893" s="321">
        <v>3</v>
      </c>
      <c r="Z893" s="322"/>
      <c r="AA893" s="323"/>
      <c r="AB893" s="324"/>
      <c r="AC893" s="324"/>
      <c r="AD893" s="323"/>
      <c r="AE893" s="324"/>
      <c r="AF893" s="317"/>
      <c r="AG893" s="325" t="s">
        <v>2072</v>
      </c>
      <c r="AH893" s="326"/>
      <c r="AI893" s="317">
        <v>12</v>
      </c>
      <c r="AJ893" s="326">
        <v>43889</v>
      </c>
      <c r="AK893" s="326" t="s">
        <v>889</v>
      </c>
      <c r="AL893" s="326">
        <v>43826</v>
      </c>
      <c r="AM893" s="316"/>
      <c r="AN893" s="305"/>
      <c r="AO893" s="327" t="str">
        <f>_xlfn.IFNA(IF(VLOOKUP(tabItens[[#This Row],[CÓDIGO]],tabExcluirDoEstoque[#Data],1,FALSE),"sim",""),"")</f>
        <v/>
      </c>
      <c r="AP893" s="328" t="str">
        <f ca="1">IF(OR(ISBLANK(tabItens[[#This Row],[ATA DT.VALID.]]),tabItens[[#This Row],[ATA DT.VALID.]]="",tabItens[[#This Row],[ATA DT.VALID.]]=" "),"",IF(TYPE(tabItens[[#This Row],[ATA DT.VALID.]])=1,ROUNDUP((tabItens[[#This Row],[ATA DT.VALID.]]-TODAY())/7,0),""))</f>
        <v/>
      </c>
      <c r="AQ893" s="329"/>
      <c r="AR893" s="330" t="str">
        <f>IF(ISBLANK(tabItens[[#This Row],[CÓDIGO]]),"",IFERROR(VLOOKUP(tabItens[[#This Row],[CÓDIGO]],Consumo!$C$2:$AC$862,26,FALSE),0))</f>
        <v>01.2023</v>
      </c>
      <c r="AS893" s="331">
        <f>SUMIF(Consumo!$C$3:$C$862,tabItens[[#This Row],[CÓDIGO]],Consumo!$N$3:$N$862) + SUMIF(Consumo!$C$3:$C$862,tabItens[[#This Row],[CÓDIGO]],Consumo!$O$3:$O$862) + SUMIF(Consumo!$C$3:$C$862,tabItens[[#This Row],[CÓDIGO]],Consumo!$P$3:$P$862) + SUMIF(Consumo!$C$3:$C$862,tabItens[[#This Row],[CÓDIGO]],Consumo!$Q$3:$Q$862)</f>
        <v>0</v>
      </c>
      <c r="AT893" s="331">
        <f>SUMIF(Consumo!$C$3:$C$862,tabItens[[#This Row],[CÓDIGO]],Consumo!$Z$3:$Z$862)</f>
        <v>56</v>
      </c>
      <c r="AU893" s="332">
        <f>SUMIF(Consumo!$C$3:$C$862,tabItens[[#This Row],[CÓDIGO]],Consumo!$AA$3:$AA$862)</f>
        <v>18</v>
      </c>
      <c r="AV893" s="333">
        <f>SUMIF(Consumo!$C$3:$C$862,tabItens[[#This Row],[CÓDIGO]],Consumo!$Y$3:$Y$862)</f>
        <v>4.666666666666667</v>
      </c>
      <c r="AW893" s="306">
        <f>tabItens[[#This Row],[QTDE ATUAL]] + tabItens[[#This Row],[RC QTDE]] + tabItens[[#This Row],[AF SALDO]] + tabItens[[#This Row],[Recentes]]</f>
        <v>0</v>
      </c>
      <c r="AX893" s="334">
        <v>4</v>
      </c>
      <c r="AY893" s="334">
        <v>4</v>
      </c>
      <c r="AZ893" s="334">
        <f>IF(ISBLANK(tabItens[[#This Row],[CÓDIGO]]),"",tabItens[[#This Row],[PontoMês]] * (AZ$2+tabItens[[#This Row],[PontoQtM]]))</f>
        <v>16</v>
      </c>
      <c r="BA893" s="333">
        <f>tabItens[[#This Row],[PontoPed]] - tabItens[[#This Row],[Saldo]] + (1/10)</f>
        <v>16.100000000000001</v>
      </c>
      <c r="BB893" s="333">
        <f xml:space="preserve"> tabItens[[#This Row],[PontoMês]] * BB$2 - tabItens[[#This Row],[QTDE ATUAL]] - (1/10)</f>
        <v>3.9</v>
      </c>
      <c r="BC893" s="335">
        <f>IF( tabItens[[#This Row],[PontoPed]]&gt;0, IF(tabItens[[#This Row],[PontoPed]]&lt;1, 1, IF( tabItens[[#This Row],[Saldo]]&gt;tabItens[[#This Row],[PontoPed]], 0, (tabItens[[#This Row],[PontoPed]]-tabItens[[#This Row],[Saldo]])/tabItens[[#This Row],[PontoPed]] ) ), 0 )</f>
        <v>1</v>
      </c>
      <c r="BD893" s="336">
        <f>ROUNDDOWN(IF( OR( AND(tabItens[[#This Row],[PontoPed]]&lt;tabItens[[#This Row],[Saldo]],tabItens[[#This Row],[Saldo]]&gt;0), tabItens[[#This Row],[PontoPed]]=0), 99, IF(AND(tabItens[[#This Row],[Saldo]]=0,tabItens[[#This Row],[PontoPed]]&gt;0), 0, (1-tabItens[[#This Row],[PctAb]])*10 ) ),0)</f>
        <v>0</v>
      </c>
      <c r="BE893" s="337">
        <f>MAX(ROUNDDOWN( IF(tabItens[[#This Row],[Abaixo]] &gt; 0,   tabItens[[#This Row],[Abaixo]] + (tabItens[[#This Row],[PontoMês]] * IF( OR( ISBLANK(tabItens[[#This Row],[ATA Nº/ANO]]), tabItens[[#This Row],[ATA Nº/ANO]] = ""),BE$2,BE$1)),0),0),0)</f>
        <v>40</v>
      </c>
      <c r="BF89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v>
      </c>
      <c r="BG893" s="338">
        <f>SUMIF(Consumo!$C$3:$C$862,tabItens[[#This Row],[CÓDIGO]],Consumo!$E$3:$E$862)</f>
        <v>22</v>
      </c>
      <c r="BH893" s="339">
        <f>IF(AND(tabItens[[#This Row],[Pend]] &gt; 0,tabItens[[#This Row],[Consumo]] &lt;&gt; 0), tabItens[[#This Row],[Pend]] / tabItens[[#This Row],[Consumo]], 0 )</f>
        <v>0.39285714285714285</v>
      </c>
      <c r="BI893" s="338"/>
      <c r="BJ893" s="338"/>
      <c r="BK893" s="340" t="s">
        <v>2086</v>
      </c>
    </row>
    <row r="894" spans="1:63" hidden="1" x14ac:dyDescent="0.3">
      <c r="A894" s="301">
        <v>60973</v>
      </c>
      <c r="B894" s="302" t="s">
        <v>1354</v>
      </c>
      <c r="C894" s="303" t="s">
        <v>263</v>
      </c>
      <c r="D894" s="304">
        <v>9.0299999999999994</v>
      </c>
      <c r="E894" s="305"/>
      <c r="F894" s="305"/>
      <c r="G894" s="305" t="s">
        <v>889</v>
      </c>
      <c r="H894" s="306">
        <v>50</v>
      </c>
      <c r="I894" s="307">
        <v>103003</v>
      </c>
      <c r="J894" s="308">
        <v>9.0299999999999994</v>
      </c>
      <c r="K894" s="309">
        <v>63</v>
      </c>
      <c r="L894" s="310">
        <f>IF(tabItens[[#This Row],[Média]] &gt; 0, tabItens[[#This Row],[QTDE ATUAL]] / tabItens[[#This Row],[Média]],999.9)</f>
        <v>9.375</v>
      </c>
      <c r="M894" s="311">
        <v>0</v>
      </c>
      <c r="N894" s="312">
        <f>tabItens[[#This Row],[VALOR UNIT.]] * tabItens[[#This Row],[LC]]</f>
        <v>0</v>
      </c>
      <c r="O894" s="313"/>
      <c r="P894" s="314"/>
      <c r="Q894" s="315"/>
      <c r="R894" s="312"/>
      <c r="S894" s="316"/>
      <c r="T894" s="317">
        <f>ROUNDDOWN(IFERROR(tabItens[[#This Row],[ATA DT.VALID.]] - $D$1,0) / 30,0)</f>
        <v>-1474</v>
      </c>
      <c r="U894" s="302" t="s">
        <v>1203</v>
      </c>
      <c r="V894" s="318">
        <v>1</v>
      </c>
      <c r="W894" s="319" t="s">
        <v>2079</v>
      </c>
      <c r="X894" s="320">
        <v>83</v>
      </c>
      <c r="Y894" s="321">
        <v>3</v>
      </c>
      <c r="Z894" s="322"/>
      <c r="AA894" s="323"/>
      <c r="AB894" s="324"/>
      <c r="AC894" s="324"/>
      <c r="AD894" s="323"/>
      <c r="AE894" s="324"/>
      <c r="AF894" s="317"/>
      <c r="AG894" s="325" t="s">
        <v>2072</v>
      </c>
      <c r="AH894" s="326"/>
      <c r="AI894" s="317">
        <v>22</v>
      </c>
      <c r="AJ894" s="326">
        <v>45203</v>
      </c>
      <c r="AK894" s="326" t="s">
        <v>889</v>
      </c>
      <c r="AL894" s="326">
        <v>45189</v>
      </c>
      <c r="AM894" s="316"/>
      <c r="AN894" s="305"/>
      <c r="AO894" s="327" t="str">
        <f>_xlfn.IFNA(IF(VLOOKUP(tabItens[[#This Row],[CÓDIGO]],tabExcluirDoEstoque[#Data],1,FALSE),"sim",""),"")</f>
        <v/>
      </c>
      <c r="AP894" s="328" t="str">
        <f ca="1">IF(OR(ISBLANK(tabItens[[#This Row],[ATA DT.VALID.]]),tabItens[[#This Row],[ATA DT.VALID.]]="",tabItens[[#This Row],[ATA DT.VALID.]]=" "),"",IF(TYPE(tabItens[[#This Row],[ATA DT.VALID.]])=1,ROUNDUP((tabItens[[#This Row],[ATA DT.VALID.]]-TODAY())/7,0),""))</f>
        <v/>
      </c>
      <c r="AQ894" s="329"/>
      <c r="AR894" s="330" t="str">
        <f>IF(ISBLANK(tabItens[[#This Row],[CÓDIGO]]),"",IFERROR(VLOOKUP(tabItens[[#This Row],[CÓDIGO]],Consumo!$C$2:$AC$862,26,FALSE),0))</f>
        <v>02.2023</v>
      </c>
      <c r="AS894" s="331">
        <f>SUMIF(Consumo!$C$3:$C$862,tabItens[[#This Row],[CÓDIGO]],Consumo!$N$3:$N$862) + SUMIF(Consumo!$C$3:$C$862,tabItens[[#This Row],[CÓDIGO]],Consumo!$O$3:$O$862) + SUMIF(Consumo!$C$3:$C$862,tabItens[[#This Row],[CÓDIGO]],Consumo!$P$3:$P$862) + SUMIF(Consumo!$C$3:$C$862,tabItens[[#This Row],[CÓDIGO]],Consumo!$Q$3:$Q$862)</f>
        <v>0</v>
      </c>
      <c r="AT894" s="331">
        <f>SUMIF(Consumo!$C$3:$C$862,tabItens[[#This Row],[CÓDIGO]],Consumo!$Z$3:$Z$862)</f>
        <v>68</v>
      </c>
      <c r="AU894" s="332">
        <f>SUMIF(Consumo!$C$3:$C$862,tabItens[[#This Row],[CÓDIGO]],Consumo!$AA$3:$AA$862)</f>
        <v>27</v>
      </c>
      <c r="AV894" s="333">
        <f>SUMIF(Consumo!$C$3:$C$862,tabItens[[#This Row],[CÓDIGO]],Consumo!$Y$3:$Y$862)</f>
        <v>5.333333333333333</v>
      </c>
      <c r="AW894" s="306">
        <f>tabItens[[#This Row],[QTDE ATUAL]] + tabItens[[#This Row],[RC QTDE]] + tabItens[[#This Row],[AF SALDO]] + tabItens[[#This Row],[Recentes]]</f>
        <v>50</v>
      </c>
      <c r="AX894" s="334">
        <v>2</v>
      </c>
      <c r="AY894" s="334">
        <v>4</v>
      </c>
      <c r="AZ894" s="334">
        <f>IF(ISBLANK(tabItens[[#This Row],[CÓDIGO]]),"",tabItens[[#This Row],[PontoMês]] * (AZ$2+tabItens[[#This Row],[PontoQtM]]))</f>
        <v>8</v>
      </c>
      <c r="BA894" s="333">
        <f>tabItens[[#This Row],[PontoPed]] - tabItens[[#This Row],[Saldo]] + (1/10)</f>
        <v>-41.9</v>
      </c>
      <c r="BB894" s="333">
        <f xml:space="preserve"> tabItens[[#This Row],[PontoMês]] * BB$2 - tabItens[[#This Row],[QTDE ATUAL]] - (1/10)</f>
        <v>-48.1</v>
      </c>
      <c r="BC894" s="335">
        <f>IF( tabItens[[#This Row],[PontoPed]]&gt;0, IF(tabItens[[#This Row],[PontoPed]]&lt;1, 1, IF( tabItens[[#This Row],[Saldo]]&gt;tabItens[[#This Row],[PontoPed]], 0, (tabItens[[#This Row],[PontoPed]]-tabItens[[#This Row],[Saldo]])/tabItens[[#This Row],[PontoPed]] ) ), 0 )</f>
        <v>0</v>
      </c>
      <c r="BD894" s="336">
        <f>ROUNDDOWN(IF( OR( AND(tabItens[[#This Row],[PontoPed]]&lt;tabItens[[#This Row],[Saldo]],tabItens[[#This Row],[Saldo]]&gt;0), tabItens[[#This Row],[PontoPed]]=0), 99, IF(AND(tabItens[[#This Row],[Saldo]]=0,tabItens[[#This Row],[PontoPed]]&gt;0), 0, (1-tabItens[[#This Row],[PctAb]])*10 ) ),0)</f>
        <v>99</v>
      </c>
      <c r="BE894" s="337">
        <f>MAX(ROUNDDOWN( IF(tabItens[[#This Row],[Abaixo]] &gt; 0,   tabItens[[#This Row],[Abaixo]] + (tabItens[[#This Row],[PontoMês]] * IF( OR( ISBLANK(tabItens[[#This Row],[ATA Nº/ANO]]), tabItens[[#This Row],[ATA Nº/ANO]] = ""),BE$2,BE$1)),0),0),0)</f>
        <v>0</v>
      </c>
      <c r="BF89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4" s="338">
        <f>SUMIF(Consumo!$C$3:$C$862,tabItens[[#This Row],[CÓDIGO]],Consumo!$E$3:$E$862)</f>
        <v>5</v>
      </c>
      <c r="BH894" s="339">
        <f>IF(AND(tabItens[[#This Row],[Pend]] &gt; 0,tabItens[[#This Row],[Consumo]] &lt;&gt; 0), tabItens[[#This Row],[Pend]] / tabItens[[#This Row],[Consumo]], 0 )</f>
        <v>7.3529411764705885E-2</v>
      </c>
      <c r="BI894" s="338"/>
      <c r="BJ894" s="338"/>
      <c r="BK894" s="340" t="s">
        <v>2086</v>
      </c>
    </row>
    <row r="895" spans="1:63" hidden="1" x14ac:dyDescent="0.3">
      <c r="A895" s="301">
        <v>139545</v>
      </c>
      <c r="B895" s="302" t="s">
        <v>1990</v>
      </c>
      <c r="C895" s="303" t="s">
        <v>31</v>
      </c>
      <c r="D895" s="304">
        <v>4.28</v>
      </c>
      <c r="E895" s="305"/>
      <c r="F895" s="305"/>
      <c r="G895" s="305" t="s">
        <v>889</v>
      </c>
      <c r="H895" s="306">
        <v>0</v>
      </c>
      <c r="I895" s="307">
        <v>103003</v>
      </c>
      <c r="J895" s="308">
        <v>4.28</v>
      </c>
      <c r="K895" s="309">
        <v>77</v>
      </c>
      <c r="L895" s="310">
        <f>IF(tabItens[[#This Row],[Média]] &gt; 0, tabItens[[#This Row],[QTDE ATUAL]] / tabItens[[#This Row],[Média]],999.9)</f>
        <v>0</v>
      </c>
      <c r="M895" s="311">
        <v>0</v>
      </c>
      <c r="N895" s="312">
        <f>tabItens[[#This Row],[VALOR UNIT.]] * tabItens[[#This Row],[LC]]</f>
        <v>0</v>
      </c>
      <c r="O895" s="313"/>
      <c r="P895" s="314"/>
      <c r="Q895" s="315"/>
      <c r="R895" s="312"/>
      <c r="S895" s="316"/>
      <c r="T895" s="317">
        <f>ROUNDDOWN(IFERROR(tabItens[[#This Row],[ATA DT.VALID.]] - $D$1,0) / 30,0)</f>
        <v>-1474</v>
      </c>
      <c r="U895" s="302" t="s">
        <v>1276</v>
      </c>
      <c r="V895" s="318">
        <v>1</v>
      </c>
      <c r="W895" s="319" t="s">
        <v>2078</v>
      </c>
      <c r="X895" s="320">
        <v>83</v>
      </c>
      <c r="Y895" s="321">
        <v>4</v>
      </c>
      <c r="Z895" s="322"/>
      <c r="AA895" s="323"/>
      <c r="AB895" s="324"/>
      <c r="AC895" s="324"/>
      <c r="AD895" s="323"/>
      <c r="AE895" s="324"/>
      <c r="AF895" s="317"/>
      <c r="AG895" s="325" t="s">
        <v>2072</v>
      </c>
      <c r="AH895" s="326"/>
      <c r="AI895" s="317">
        <v>26</v>
      </c>
      <c r="AJ895" s="326">
        <v>44166</v>
      </c>
      <c r="AK895" s="326">
        <v>43983</v>
      </c>
      <c r="AL895" s="326">
        <v>44125</v>
      </c>
      <c r="AM895" s="316"/>
      <c r="AN895" s="305"/>
      <c r="AO895" s="327" t="str">
        <f>_xlfn.IFNA(IF(VLOOKUP(tabItens[[#This Row],[CÓDIGO]],tabExcluirDoEstoque[#Data],1,FALSE),"sim",""),"")</f>
        <v/>
      </c>
      <c r="AP895" s="328" t="str">
        <f ca="1">IF(OR(ISBLANK(tabItens[[#This Row],[ATA DT.VALID.]]),tabItens[[#This Row],[ATA DT.VALID.]]="",tabItens[[#This Row],[ATA DT.VALID.]]=" "),"",IF(TYPE(tabItens[[#This Row],[ATA DT.VALID.]])=1,ROUNDUP((tabItens[[#This Row],[ATA DT.VALID.]]-TODAY())/7,0),""))</f>
        <v/>
      </c>
      <c r="AQ895" s="329"/>
      <c r="AR895" s="330" t="str">
        <f>IF(ISBLANK(tabItens[[#This Row],[CÓDIGO]]),"",IFERROR(VLOOKUP(tabItens[[#This Row],[CÓDIGO]],Consumo!$C$2:$AC$862,26,FALSE),0))</f>
        <v>04.2023</v>
      </c>
      <c r="AS895" s="331">
        <f>SUMIF(Consumo!$C$3:$C$862,tabItens[[#This Row],[CÓDIGO]],Consumo!$N$3:$N$862) + SUMIF(Consumo!$C$3:$C$862,tabItens[[#This Row],[CÓDIGO]],Consumo!$O$3:$O$862) + SUMIF(Consumo!$C$3:$C$862,tabItens[[#This Row],[CÓDIGO]],Consumo!$P$3:$P$862) + SUMIF(Consumo!$C$3:$C$862,tabItens[[#This Row],[CÓDIGO]],Consumo!$Q$3:$Q$862)</f>
        <v>0</v>
      </c>
      <c r="AT895" s="331">
        <f>SUMIF(Consumo!$C$3:$C$862,tabItens[[#This Row],[CÓDIGO]],Consumo!$Z$3:$Z$862)</f>
        <v>79</v>
      </c>
      <c r="AU895" s="332">
        <f>SUMIF(Consumo!$C$3:$C$862,tabItens[[#This Row],[CÓDIGO]],Consumo!$AA$3:$AA$862)</f>
        <v>50</v>
      </c>
      <c r="AV895" s="333">
        <f>SUMIF(Consumo!$C$3:$C$862,tabItens[[#This Row],[CÓDIGO]],Consumo!$Y$3:$Y$862)</f>
        <v>5.5</v>
      </c>
      <c r="AW895" s="306">
        <f>tabItens[[#This Row],[QTDE ATUAL]] + tabItens[[#This Row],[RC QTDE]] + tabItens[[#This Row],[AF SALDO]] + tabItens[[#This Row],[Recentes]]</f>
        <v>0</v>
      </c>
      <c r="AX895" s="334">
        <v>3</v>
      </c>
      <c r="AY895" s="334">
        <v>4</v>
      </c>
      <c r="AZ895" s="334">
        <f>IF(ISBLANK(tabItens[[#This Row],[CÓDIGO]]),"",tabItens[[#This Row],[PontoMês]] * (AZ$2+tabItens[[#This Row],[PontoQtM]]))</f>
        <v>12</v>
      </c>
      <c r="BA895" s="333">
        <f>tabItens[[#This Row],[PontoPed]] - tabItens[[#This Row],[Saldo]] + (1/10)</f>
        <v>12.1</v>
      </c>
      <c r="BB895" s="333">
        <f xml:space="preserve"> tabItens[[#This Row],[PontoMês]] * BB$2 - tabItens[[#This Row],[QTDE ATUAL]] - (1/10)</f>
        <v>2.9</v>
      </c>
      <c r="BC895" s="335">
        <f>IF( tabItens[[#This Row],[PontoPed]]&gt;0, IF(tabItens[[#This Row],[PontoPed]]&lt;1, 1, IF( tabItens[[#This Row],[Saldo]]&gt;tabItens[[#This Row],[PontoPed]], 0, (tabItens[[#This Row],[PontoPed]]-tabItens[[#This Row],[Saldo]])/tabItens[[#This Row],[PontoPed]] ) ), 0 )</f>
        <v>1</v>
      </c>
      <c r="BD895" s="336">
        <f>ROUNDDOWN(IF( OR( AND(tabItens[[#This Row],[PontoPed]]&lt;tabItens[[#This Row],[Saldo]],tabItens[[#This Row],[Saldo]]&gt;0), tabItens[[#This Row],[PontoPed]]=0), 99, IF(AND(tabItens[[#This Row],[Saldo]]=0,tabItens[[#This Row],[PontoPed]]&gt;0), 0, (1-tabItens[[#This Row],[PctAb]])*10 ) ),0)</f>
        <v>0</v>
      </c>
      <c r="BE895" s="337">
        <f>MAX(ROUNDDOWN( IF(tabItens[[#This Row],[Abaixo]] &gt; 0,   tabItens[[#This Row],[Abaixo]] + (tabItens[[#This Row],[PontoMês]] * IF( OR( ISBLANK(tabItens[[#This Row],[ATA Nº/ANO]]), tabItens[[#This Row],[ATA Nº/ANO]] = ""),BE$2,BE$1)),0),0),0)</f>
        <v>30</v>
      </c>
      <c r="BF89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895" s="338">
        <f>SUMIF(Consumo!$C$3:$C$862,tabItens[[#This Row],[CÓDIGO]],Consumo!$E$3:$E$862)</f>
        <v>0</v>
      </c>
      <c r="BH895" s="339">
        <f>IF(AND(tabItens[[#This Row],[Pend]] &gt; 0,tabItens[[#This Row],[Consumo]] &lt;&gt; 0), tabItens[[#This Row],[Pend]] / tabItens[[#This Row],[Consumo]], 0 )</f>
        <v>0</v>
      </c>
      <c r="BI895" s="338"/>
      <c r="BJ895" s="338"/>
      <c r="BK895" s="340" t="s">
        <v>2086</v>
      </c>
    </row>
    <row r="896" spans="1:63" hidden="1" x14ac:dyDescent="0.3">
      <c r="A896" s="301">
        <v>64634</v>
      </c>
      <c r="B896" s="302" t="s">
        <v>1383</v>
      </c>
      <c r="C896" s="303" t="s">
        <v>263</v>
      </c>
      <c r="D896" s="304">
        <v>3</v>
      </c>
      <c r="E896" s="305"/>
      <c r="F896" s="305"/>
      <c r="G896" s="305" t="s">
        <v>889</v>
      </c>
      <c r="H896" s="306">
        <v>89</v>
      </c>
      <c r="I896" s="307">
        <v>103003</v>
      </c>
      <c r="J896" s="308">
        <v>3</v>
      </c>
      <c r="K896" s="309"/>
      <c r="L896" s="310">
        <f>IF(tabItens[[#This Row],[Média]] &gt; 0, tabItens[[#This Row],[QTDE ATUAL]] / tabItens[[#This Row],[Média]],999.9)</f>
        <v>999.9</v>
      </c>
      <c r="M896" s="311">
        <v>0</v>
      </c>
      <c r="N896" s="312">
        <f>tabItens[[#This Row],[VALOR UNIT.]] * tabItens[[#This Row],[LC]]</f>
        <v>0</v>
      </c>
      <c r="O896" s="313"/>
      <c r="P896" s="314"/>
      <c r="Q896" s="315"/>
      <c r="R896" s="312"/>
      <c r="S896" s="316"/>
      <c r="T896" s="317">
        <f>ROUNDDOWN(IFERROR(tabItens[[#This Row],[ATA DT.VALID.]] - $D$1,0) / 30,0)</f>
        <v>-1474</v>
      </c>
      <c r="U896" s="302" t="s">
        <v>1384</v>
      </c>
      <c r="V896" s="318">
        <v>1</v>
      </c>
      <c r="W896" s="319" t="s">
        <v>2078</v>
      </c>
      <c r="X896" s="320">
        <v>83</v>
      </c>
      <c r="Y896" s="321">
        <v>10</v>
      </c>
      <c r="Z896" s="322"/>
      <c r="AA896" s="323"/>
      <c r="AB896" s="324"/>
      <c r="AC896" s="324"/>
      <c r="AD896" s="323"/>
      <c r="AE896" s="324"/>
      <c r="AF896" s="317"/>
      <c r="AG896" s="325" t="s">
        <v>2072</v>
      </c>
      <c r="AH896" s="326"/>
      <c r="AI896" s="317">
        <v>0</v>
      </c>
      <c r="AJ896" s="326">
        <v>44162</v>
      </c>
      <c r="AK896" s="326" t="s">
        <v>889</v>
      </c>
      <c r="AL896" s="326">
        <v>44029</v>
      </c>
      <c r="AM896" s="316"/>
      <c r="AN896" s="305"/>
      <c r="AO896" s="327" t="str">
        <f>_xlfn.IFNA(IF(VLOOKUP(tabItens[[#This Row],[CÓDIGO]],tabExcluirDoEstoque[#Data],1,FALSE),"sim",""),"")</f>
        <v/>
      </c>
      <c r="AP896" s="328" t="str">
        <f ca="1">IF(OR(ISBLANK(tabItens[[#This Row],[ATA DT.VALID.]]),tabItens[[#This Row],[ATA DT.VALID.]]="",tabItens[[#This Row],[ATA DT.VALID.]]=" "),"",IF(TYPE(tabItens[[#This Row],[ATA DT.VALID.]])=1,ROUNDUP((tabItens[[#This Row],[ATA DT.VALID.]]-TODAY())/7,0),""))</f>
        <v/>
      </c>
      <c r="AQ896" s="329"/>
      <c r="AR896" s="330">
        <f>IF(ISBLANK(tabItens[[#This Row],[CÓDIGO]]),"",IFERROR(VLOOKUP(tabItens[[#This Row],[CÓDIGO]],Consumo!$C$2:$AC$862,26,FALSE),0))</f>
        <v>0</v>
      </c>
      <c r="AS896" s="331">
        <f>SUMIF(Consumo!$C$3:$C$862,tabItens[[#This Row],[CÓDIGO]],Consumo!$N$3:$N$862) + SUMIF(Consumo!$C$3:$C$862,tabItens[[#This Row],[CÓDIGO]],Consumo!$O$3:$O$862) + SUMIF(Consumo!$C$3:$C$862,tabItens[[#This Row],[CÓDIGO]],Consumo!$P$3:$P$862) + SUMIF(Consumo!$C$3:$C$862,tabItens[[#This Row],[CÓDIGO]],Consumo!$Q$3:$Q$862)</f>
        <v>0</v>
      </c>
      <c r="AT896" s="331">
        <f>SUMIF(Consumo!$C$3:$C$862,tabItens[[#This Row],[CÓDIGO]],Consumo!$Z$3:$Z$862)</f>
        <v>0</v>
      </c>
      <c r="AU896" s="332">
        <f>SUMIF(Consumo!$C$3:$C$862,tabItens[[#This Row],[CÓDIGO]],Consumo!$AA$3:$AA$862)</f>
        <v>0</v>
      </c>
      <c r="AV896" s="333">
        <f>SUMIF(Consumo!$C$3:$C$862,tabItens[[#This Row],[CÓDIGO]],Consumo!$Y$3:$Y$862)</f>
        <v>0</v>
      </c>
      <c r="AW896" s="306">
        <f>tabItens[[#This Row],[QTDE ATUAL]] + tabItens[[#This Row],[RC QTDE]] + tabItens[[#This Row],[AF SALDO]] + tabItens[[#This Row],[Recentes]]</f>
        <v>89</v>
      </c>
      <c r="AX896" s="334">
        <v>1</v>
      </c>
      <c r="AY896" s="334">
        <v>4</v>
      </c>
      <c r="AZ896" s="334">
        <f>IF(ISBLANK(tabItens[[#This Row],[CÓDIGO]]),"",tabItens[[#This Row],[PontoMês]] * (AZ$2+tabItens[[#This Row],[PontoQtM]]))</f>
        <v>4</v>
      </c>
      <c r="BA896" s="333">
        <f>tabItens[[#This Row],[PontoPed]] - tabItens[[#This Row],[Saldo]] + (1/10)</f>
        <v>-84.9</v>
      </c>
      <c r="BB896" s="333">
        <f xml:space="preserve"> tabItens[[#This Row],[PontoMês]] * BB$2 - tabItens[[#This Row],[QTDE ATUAL]] - (1/10)</f>
        <v>-88.1</v>
      </c>
      <c r="BC896" s="335">
        <f>IF( tabItens[[#This Row],[PontoPed]]&gt;0, IF(tabItens[[#This Row],[PontoPed]]&lt;1, 1, IF( tabItens[[#This Row],[Saldo]]&gt;tabItens[[#This Row],[PontoPed]], 0, (tabItens[[#This Row],[PontoPed]]-tabItens[[#This Row],[Saldo]])/tabItens[[#This Row],[PontoPed]] ) ), 0 )</f>
        <v>0</v>
      </c>
      <c r="BD896" s="336">
        <f>ROUNDDOWN(IF( OR( AND(tabItens[[#This Row],[PontoPed]]&lt;tabItens[[#This Row],[Saldo]],tabItens[[#This Row],[Saldo]]&gt;0), tabItens[[#This Row],[PontoPed]]=0), 99, IF(AND(tabItens[[#This Row],[Saldo]]=0,tabItens[[#This Row],[PontoPed]]&gt;0), 0, (1-tabItens[[#This Row],[PctAb]])*10 ) ),0)</f>
        <v>99</v>
      </c>
      <c r="BE896" s="337">
        <f>MAX(ROUNDDOWN( IF(tabItens[[#This Row],[Abaixo]] &gt; 0,   tabItens[[#This Row],[Abaixo]] + (tabItens[[#This Row],[PontoMês]] * IF( OR( ISBLANK(tabItens[[#This Row],[ATA Nº/ANO]]), tabItens[[#This Row],[ATA Nº/ANO]] = ""),BE$2,BE$1)),0),0),0)</f>
        <v>0</v>
      </c>
      <c r="BF89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6" s="338">
        <f>SUMIF(Consumo!$C$3:$C$862,tabItens[[#This Row],[CÓDIGO]],Consumo!$E$3:$E$862)</f>
        <v>0</v>
      </c>
      <c r="BH896" s="339">
        <f>IF(AND(tabItens[[#This Row],[Pend]] &gt; 0,tabItens[[#This Row],[Consumo]] &lt;&gt; 0), tabItens[[#This Row],[Pend]] / tabItens[[#This Row],[Consumo]], 0 )</f>
        <v>0</v>
      </c>
      <c r="BI896" s="338"/>
      <c r="BJ896" s="338"/>
      <c r="BK896" s="340" t="s">
        <v>2086</v>
      </c>
    </row>
    <row r="897" spans="1:63" hidden="1" x14ac:dyDescent="0.3">
      <c r="A897" s="301">
        <v>126345</v>
      </c>
      <c r="B897" s="302" t="s">
        <v>1775</v>
      </c>
      <c r="C897" s="303" t="s">
        <v>1671</v>
      </c>
      <c r="D897" s="304">
        <v>2.79</v>
      </c>
      <c r="E897" s="305"/>
      <c r="F897" s="305"/>
      <c r="G897" s="305" t="s">
        <v>889</v>
      </c>
      <c r="H897" s="306">
        <v>300</v>
      </c>
      <c r="I897" s="307">
        <v>103003</v>
      </c>
      <c r="J897" s="308">
        <v>2.79</v>
      </c>
      <c r="K897" s="309">
        <v>42</v>
      </c>
      <c r="L897" s="310">
        <f>IF(tabItens[[#This Row],[Média]] &gt; 0, tabItens[[#This Row],[QTDE ATUAL]] / tabItens[[#This Row],[Média]],999.9)</f>
        <v>67.924528301886781</v>
      </c>
      <c r="M897" s="311">
        <v>0</v>
      </c>
      <c r="N897" s="312">
        <f>tabItens[[#This Row],[VALOR UNIT.]] * tabItens[[#This Row],[LC]]</f>
        <v>0</v>
      </c>
      <c r="O897" s="313"/>
      <c r="P897" s="314"/>
      <c r="Q897" s="315"/>
      <c r="R897" s="312"/>
      <c r="S897" s="316"/>
      <c r="T897" s="317">
        <f>ROUNDDOWN(IFERROR(tabItens[[#This Row],[ATA DT.VALID.]] - $D$1,0) / 30,0)</f>
        <v>-1474</v>
      </c>
      <c r="U897" s="302" t="s">
        <v>1776</v>
      </c>
      <c r="V897" s="318">
        <v>1</v>
      </c>
      <c r="W897" s="319" t="s">
        <v>2082</v>
      </c>
      <c r="X897" s="320">
        <v>89</v>
      </c>
      <c r="Y897" s="321">
        <v>7</v>
      </c>
      <c r="Z897" s="322"/>
      <c r="AA897" s="323"/>
      <c r="AB897" s="324"/>
      <c r="AC897" s="324"/>
      <c r="AD897" s="323"/>
      <c r="AE897" s="324"/>
      <c r="AF897" s="317"/>
      <c r="AG897" s="325" t="s">
        <v>2072</v>
      </c>
      <c r="AH897" s="326"/>
      <c r="AI897" s="317">
        <v>18</v>
      </c>
      <c r="AJ897" s="326">
        <v>44085</v>
      </c>
      <c r="AK897" s="326">
        <v>41543</v>
      </c>
      <c r="AL897" s="326">
        <v>44082</v>
      </c>
      <c r="AM897" s="316"/>
      <c r="AN897" s="305"/>
      <c r="AO897" s="327" t="str">
        <f>_xlfn.IFNA(IF(VLOOKUP(tabItens[[#This Row],[CÓDIGO]],tabExcluirDoEstoque[#Data],1,FALSE),"sim",""),"")</f>
        <v/>
      </c>
      <c r="AP897" s="328" t="str">
        <f ca="1">IF(OR(ISBLANK(tabItens[[#This Row],[ATA DT.VALID.]]),tabItens[[#This Row],[ATA DT.VALID.]]="",tabItens[[#This Row],[ATA DT.VALID.]]=" "),"",IF(TYPE(tabItens[[#This Row],[ATA DT.VALID.]])=1,ROUNDUP((tabItens[[#This Row],[ATA DT.VALID.]]-TODAY())/7,0),""))</f>
        <v/>
      </c>
      <c r="AQ897" s="329"/>
      <c r="AR897" s="330" t="str">
        <f>IF(ISBLANK(tabItens[[#This Row],[CÓDIGO]]),"",IFERROR(VLOOKUP(tabItens[[#This Row],[CÓDIGO]],Consumo!$C$2:$AC$862,26,FALSE),0))</f>
        <v>09.2023</v>
      </c>
      <c r="AS897" s="331">
        <f>SUMIF(Consumo!$C$3:$C$862,tabItens[[#This Row],[CÓDIGO]],Consumo!$N$3:$N$862) + SUMIF(Consumo!$C$3:$C$862,tabItens[[#This Row],[CÓDIGO]],Consumo!$O$3:$O$862) + SUMIF(Consumo!$C$3:$C$862,tabItens[[#This Row],[CÓDIGO]],Consumo!$P$3:$P$862) + SUMIF(Consumo!$C$3:$C$862,tabItens[[#This Row],[CÓDIGO]],Consumo!$Q$3:$Q$862)</f>
        <v>15</v>
      </c>
      <c r="AT897" s="331">
        <f>SUMIF(Consumo!$C$3:$C$862,tabItens[[#This Row],[CÓDIGO]],Consumo!$Z$3:$Z$862)</f>
        <v>53</v>
      </c>
      <c r="AU897" s="332">
        <f>SUMIF(Consumo!$C$3:$C$862,tabItens[[#This Row],[CÓDIGO]],Consumo!$AA$3:$AA$862)</f>
        <v>10</v>
      </c>
      <c r="AV897" s="333">
        <f>SUMIF(Consumo!$C$3:$C$862,tabItens[[#This Row],[CÓDIGO]],Consumo!$Y$3:$Y$862)</f>
        <v>4.416666666666667</v>
      </c>
      <c r="AW897" s="306">
        <f>tabItens[[#This Row],[QTDE ATUAL]] + tabItens[[#This Row],[RC QTDE]] + tabItens[[#This Row],[AF SALDO]] + tabItens[[#This Row],[Recentes]]</f>
        <v>300</v>
      </c>
      <c r="AX897" s="334">
        <v>40</v>
      </c>
      <c r="AY897" s="334">
        <v>4</v>
      </c>
      <c r="AZ897" s="334">
        <f>IF(ISBLANK(tabItens[[#This Row],[CÓDIGO]]),"",tabItens[[#This Row],[PontoMês]] * (AZ$2+tabItens[[#This Row],[PontoQtM]]))</f>
        <v>160</v>
      </c>
      <c r="BA897" s="333">
        <f>tabItens[[#This Row],[PontoPed]] - tabItens[[#This Row],[Saldo]] + (1/10)</f>
        <v>-139.9</v>
      </c>
      <c r="BB897" s="333">
        <f xml:space="preserve"> tabItens[[#This Row],[PontoMês]] * BB$2 - tabItens[[#This Row],[QTDE ATUAL]] - (1/10)</f>
        <v>-260.10000000000002</v>
      </c>
      <c r="BC897" s="335">
        <f>IF( tabItens[[#This Row],[PontoPed]]&gt;0, IF(tabItens[[#This Row],[PontoPed]]&lt;1, 1, IF( tabItens[[#This Row],[Saldo]]&gt;tabItens[[#This Row],[PontoPed]], 0, (tabItens[[#This Row],[PontoPed]]-tabItens[[#This Row],[Saldo]])/tabItens[[#This Row],[PontoPed]] ) ), 0 )</f>
        <v>0</v>
      </c>
      <c r="BD897" s="336">
        <f>ROUNDDOWN(IF( OR( AND(tabItens[[#This Row],[PontoPed]]&lt;tabItens[[#This Row],[Saldo]],tabItens[[#This Row],[Saldo]]&gt;0), tabItens[[#This Row],[PontoPed]]=0), 99, IF(AND(tabItens[[#This Row],[Saldo]]=0,tabItens[[#This Row],[PontoPed]]&gt;0), 0, (1-tabItens[[#This Row],[PctAb]])*10 ) ),0)</f>
        <v>99</v>
      </c>
      <c r="BE897" s="337">
        <f>MAX(ROUNDDOWN( IF(tabItens[[#This Row],[Abaixo]] &gt; 0,   tabItens[[#This Row],[Abaixo]] + (tabItens[[#This Row],[PontoMês]] * IF( OR( ISBLANK(tabItens[[#This Row],[ATA Nº/ANO]]), tabItens[[#This Row],[ATA Nº/ANO]] = ""),BE$2,BE$1)),0),0),0)</f>
        <v>0</v>
      </c>
      <c r="BF89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7" s="338">
        <f>SUMIF(Consumo!$C$3:$C$862,tabItens[[#This Row],[CÓDIGO]],Consumo!$E$3:$E$862)</f>
        <v>0</v>
      </c>
      <c r="BH897" s="339">
        <f>IF(AND(tabItens[[#This Row],[Pend]] &gt; 0,tabItens[[#This Row],[Consumo]] &lt;&gt; 0), tabItens[[#This Row],[Pend]] / tabItens[[#This Row],[Consumo]], 0 )</f>
        <v>0</v>
      </c>
      <c r="BI897" s="338"/>
      <c r="BJ897" s="338"/>
      <c r="BK897" s="340" t="s">
        <v>2086</v>
      </c>
    </row>
    <row r="898" spans="1:63" hidden="1" x14ac:dyDescent="0.3">
      <c r="A898" s="301">
        <v>36399</v>
      </c>
      <c r="B898" s="302" t="s">
        <v>1265</v>
      </c>
      <c r="C898" s="303" t="s">
        <v>263</v>
      </c>
      <c r="D898" s="304">
        <v>5.7</v>
      </c>
      <c r="E898" s="305"/>
      <c r="F898" s="305"/>
      <c r="G898" s="305" t="s">
        <v>889</v>
      </c>
      <c r="H898" s="306">
        <v>143</v>
      </c>
      <c r="I898" s="307">
        <v>103003</v>
      </c>
      <c r="J898" s="308">
        <v>5.7</v>
      </c>
      <c r="K898" s="309">
        <v>40</v>
      </c>
      <c r="L898" s="310">
        <f>IF(tabItens[[#This Row],[Média]] &gt; 0, tabItens[[#This Row],[QTDE ATUAL]] / tabItens[[#This Row],[Média]],999.9)</f>
        <v>47.666666666666664</v>
      </c>
      <c r="M898" s="311">
        <v>0</v>
      </c>
      <c r="N898" s="312">
        <f>tabItens[[#This Row],[VALOR UNIT.]] * tabItens[[#This Row],[LC]]</f>
        <v>0</v>
      </c>
      <c r="O898" s="313"/>
      <c r="P898" s="314"/>
      <c r="Q898" s="315"/>
      <c r="R898" s="312"/>
      <c r="S898" s="316"/>
      <c r="T898" s="317">
        <f>ROUNDDOWN(IFERROR(tabItens[[#This Row],[ATA DT.VALID.]] - $D$1,0) / 30,0)</f>
        <v>-1474</v>
      </c>
      <c r="U898" s="302" t="s">
        <v>1266</v>
      </c>
      <c r="V898" s="318">
        <v>1</v>
      </c>
      <c r="W898" s="319" t="s">
        <v>2082</v>
      </c>
      <c r="X898" s="320">
        <v>89</v>
      </c>
      <c r="Y898" s="321">
        <v>12</v>
      </c>
      <c r="Z898" s="322"/>
      <c r="AA898" s="323"/>
      <c r="AB898" s="324"/>
      <c r="AC898" s="324"/>
      <c r="AD898" s="323"/>
      <c r="AE898" s="324"/>
      <c r="AF898" s="317"/>
      <c r="AG898" s="325" t="s">
        <v>2072</v>
      </c>
      <c r="AH898" s="326"/>
      <c r="AI898" s="317">
        <v>14</v>
      </c>
      <c r="AJ898" s="326">
        <v>44406</v>
      </c>
      <c r="AK898" s="326" t="s">
        <v>889</v>
      </c>
      <c r="AL898" s="326">
        <v>44392</v>
      </c>
      <c r="AM898" s="316"/>
      <c r="AN898" s="305"/>
      <c r="AO898" s="327" t="str">
        <f>_xlfn.IFNA(IF(VLOOKUP(tabItens[[#This Row],[CÓDIGO]],tabExcluirDoEstoque[#Data],1,FALSE),"sim",""),"")</f>
        <v/>
      </c>
      <c r="AP898" s="328" t="str">
        <f ca="1">IF(OR(ISBLANK(tabItens[[#This Row],[ATA DT.VALID.]]),tabItens[[#This Row],[ATA DT.VALID.]]="",tabItens[[#This Row],[ATA DT.VALID.]]=" "),"",IF(TYPE(tabItens[[#This Row],[ATA DT.VALID.]])=1,ROUNDUP((tabItens[[#This Row],[ATA DT.VALID.]]-TODAY())/7,0),""))</f>
        <v/>
      </c>
      <c r="AQ898" s="329"/>
      <c r="AR898" s="330" t="str">
        <f>IF(ISBLANK(tabItens[[#This Row],[CÓDIGO]]),"",IFERROR(VLOOKUP(tabItens[[#This Row],[CÓDIGO]],Consumo!$C$2:$AC$862,26,FALSE),0))</f>
        <v>05.2023</v>
      </c>
      <c r="AS898" s="331">
        <f>SUMIF(Consumo!$C$3:$C$862,tabItens[[#This Row],[CÓDIGO]],Consumo!$N$3:$N$862) + SUMIF(Consumo!$C$3:$C$862,tabItens[[#This Row],[CÓDIGO]],Consumo!$O$3:$O$862) + SUMIF(Consumo!$C$3:$C$862,tabItens[[#This Row],[CÓDIGO]],Consumo!$P$3:$P$862) + SUMIF(Consumo!$C$3:$C$862,tabItens[[#This Row],[CÓDIGO]],Consumo!$Q$3:$Q$862)</f>
        <v>0</v>
      </c>
      <c r="AT898" s="331">
        <f>SUMIF(Consumo!$C$3:$C$862,tabItens[[#This Row],[CÓDIGO]],Consumo!$Z$3:$Z$862)</f>
        <v>40</v>
      </c>
      <c r="AU898" s="332">
        <f>SUMIF(Consumo!$C$3:$C$862,tabItens[[#This Row],[CÓDIGO]],Consumo!$AA$3:$AA$862)</f>
        <v>20</v>
      </c>
      <c r="AV898" s="333">
        <f>SUMIF(Consumo!$C$3:$C$862,tabItens[[#This Row],[CÓDIGO]],Consumo!$Y$3:$Y$862)</f>
        <v>3</v>
      </c>
      <c r="AW898" s="306">
        <f>tabItens[[#This Row],[QTDE ATUAL]] + tabItens[[#This Row],[RC QTDE]] + tabItens[[#This Row],[AF SALDO]] + tabItens[[#This Row],[Recentes]]</f>
        <v>143</v>
      </c>
      <c r="AX898" s="334">
        <v>3</v>
      </c>
      <c r="AY898" s="334">
        <v>4</v>
      </c>
      <c r="AZ898" s="334">
        <f>IF(ISBLANK(tabItens[[#This Row],[CÓDIGO]]),"",tabItens[[#This Row],[PontoMês]] * (AZ$2+tabItens[[#This Row],[PontoQtM]]))</f>
        <v>12</v>
      </c>
      <c r="BA898" s="333">
        <f>tabItens[[#This Row],[PontoPed]] - tabItens[[#This Row],[Saldo]] + (1/10)</f>
        <v>-130.9</v>
      </c>
      <c r="BB898" s="333">
        <f xml:space="preserve"> tabItens[[#This Row],[PontoMês]] * BB$2 - tabItens[[#This Row],[QTDE ATUAL]] - (1/10)</f>
        <v>-140.1</v>
      </c>
      <c r="BC898" s="335">
        <f>IF( tabItens[[#This Row],[PontoPed]]&gt;0, IF(tabItens[[#This Row],[PontoPed]]&lt;1, 1, IF( tabItens[[#This Row],[Saldo]]&gt;tabItens[[#This Row],[PontoPed]], 0, (tabItens[[#This Row],[PontoPed]]-tabItens[[#This Row],[Saldo]])/tabItens[[#This Row],[PontoPed]] ) ), 0 )</f>
        <v>0</v>
      </c>
      <c r="BD898" s="336">
        <f>ROUNDDOWN(IF( OR( AND(tabItens[[#This Row],[PontoPed]]&lt;tabItens[[#This Row],[Saldo]],tabItens[[#This Row],[Saldo]]&gt;0), tabItens[[#This Row],[PontoPed]]=0), 99, IF(AND(tabItens[[#This Row],[Saldo]]=0,tabItens[[#This Row],[PontoPed]]&gt;0), 0, (1-tabItens[[#This Row],[PctAb]])*10 ) ),0)</f>
        <v>99</v>
      </c>
      <c r="BE898" s="337">
        <f>MAX(ROUNDDOWN( IF(tabItens[[#This Row],[Abaixo]] &gt; 0,   tabItens[[#This Row],[Abaixo]] + (tabItens[[#This Row],[PontoMês]] * IF( OR( ISBLANK(tabItens[[#This Row],[ATA Nº/ANO]]), tabItens[[#This Row],[ATA Nº/ANO]] = ""),BE$2,BE$1)),0),0),0)</f>
        <v>0</v>
      </c>
      <c r="BF89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8" s="338">
        <f>SUMIF(Consumo!$C$3:$C$862,tabItens[[#This Row],[CÓDIGO]],Consumo!$E$3:$E$862)</f>
        <v>0</v>
      </c>
      <c r="BH898" s="339">
        <f>IF(AND(tabItens[[#This Row],[Pend]] &gt; 0,tabItens[[#This Row],[Consumo]] &lt;&gt; 0), tabItens[[#This Row],[Pend]] / tabItens[[#This Row],[Consumo]], 0 )</f>
        <v>0</v>
      </c>
      <c r="BI898" s="338"/>
      <c r="BJ898" s="338"/>
      <c r="BK898" s="340" t="s">
        <v>2086</v>
      </c>
    </row>
    <row r="899" spans="1:63" hidden="1" x14ac:dyDescent="0.3">
      <c r="A899" s="301">
        <v>71874</v>
      </c>
      <c r="B899" s="302" t="s">
        <v>1403</v>
      </c>
      <c r="C899" s="303" t="s">
        <v>263</v>
      </c>
      <c r="D899" s="304">
        <v>1.7</v>
      </c>
      <c r="E899" s="305"/>
      <c r="F899" s="305"/>
      <c r="G899" s="305" t="s">
        <v>889</v>
      </c>
      <c r="H899" s="306">
        <v>126</v>
      </c>
      <c r="I899" s="307">
        <v>103003</v>
      </c>
      <c r="J899" s="308">
        <v>1.7</v>
      </c>
      <c r="K899" s="309">
        <v>5</v>
      </c>
      <c r="L899" s="310">
        <f>IF(tabItens[[#This Row],[Média]] &gt; 0, tabItens[[#This Row],[QTDE ATUAL]] / tabItens[[#This Row],[Média]],999.9)</f>
        <v>504</v>
      </c>
      <c r="M899" s="311">
        <v>0</v>
      </c>
      <c r="N899" s="312">
        <f>tabItens[[#This Row],[VALOR UNIT.]] * tabItens[[#This Row],[LC]]</f>
        <v>0</v>
      </c>
      <c r="O899" s="313"/>
      <c r="P899" s="314"/>
      <c r="Q899" s="315"/>
      <c r="R899" s="312"/>
      <c r="S899" s="316"/>
      <c r="T899" s="317">
        <f>ROUNDDOWN(IFERROR(tabItens[[#This Row],[ATA DT.VALID.]] - $D$1,0) / 30,0)</f>
        <v>-1474</v>
      </c>
      <c r="U899" s="302" t="s">
        <v>1266</v>
      </c>
      <c r="V899" s="318">
        <v>1</v>
      </c>
      <c r="W899" s="319" t="s">
        <v>2082</v>
      </c>
      <c r="X899" s="320">
        <v>89</v>
      </c>
      <c r="Y899" s="321">
        <v>12</v>
      </c>
      <c r="Z899" s="322"/>
      <c r="AA899" s="323"/>
      <c r="AB899" s="324"/>
      <c r="AC899" s="324"/>
      <c r="AD899" s="323"/>
      <c r="AE899" s="324"/>
      <c r="AF899" s="317"/>
      <c r="AG899" s="325" t="s">
        <v>2072</v>
      </c>
      <c r="AH899" s="326"/>
      <c r="AI899" s="317">
        <v>2</v>
      </c>
      <c r="AJ899" s="326" t="s">
        <v>889</v>
      </c>
      <c r="AK899" s="326" t="s">
        <v>889</v>
      </c>
      <c r="AL899" s="326">
        <v>41570</v>
      </c>
      <c r="AM899" s="316"/>
      <c r="AN899" s="305"/>
      <c r="AO899" s="327" t="str">
        <f>_xlfn.IFNA(IF(VLOOKUP(tabItens[[#This Row],[CÓDIGO]],tabExcluirDoEstoque[#Data],1,FALSE),"sim",""),"")</f>
        <v/>
      </c>
      <c r="AP899" s="328" t="str">
        <f ca="1">IF(OR(ISBLANK(tabItens[[#This Row],[ATA DT.VALID.]]),tabItens[[#This Row],[ATA DT.VALID.]]="",tabItens[[#This Row],[ATA DT.VALID.]]=" "),"",IF(TYPE(tabItens[[#This Row],[ATA DT.VALID.]])=1,ROUNDUP((tabItens[[#This Row],[ATA DT.VALID.]]-TODAY())/7,0),""))</f>
        <v/>
      </c>
      <c r="AQ899" s="329"/>
      <c r="AR899" s="330" t="str">
        <f>IF(ISBLANK(tabItens[[#This Row],[CÓDIGO]]),"",IFERROR(VLOOKUP(tabItens[[#This Row],[CÓDIGO]],Consumo!$C$2:$AC$862,26,FALSE),0))</f>
        <v>05.2023</v>
      </c>
      <c r="AS899" s="331">
        <f>SUMIF(Consumo!$C$3:$C$862,tabItens[[#This Row],[CÓDIGO]],Consumo!$N$3:$N$862) + SUMIF(Consumo!$C$3:$C$862,tabItens[[#This Row],[CÓDIGO]],Consumo!$O$3:$O$862) + SUMIF(Consumo!$C$3:$C$862,tabItens[[#This Row],[CÓDIGO]],Consumo!$P$3:$P$862) + SUMIF(Consumo!$C$3:$C$862,tabItens[[#This Row],[CÓDIGO]],Consumo!$Q$3:$Q$862)</f>
        <v>0</v>
      </c>
      <c r="AT899" s="331">
        <f>SUMIF(Consumo!$C$3:$C$862,tabItens[[#This Row],[CÓDIGO]],Consumo!$Z$3:$Z$862)</f>
        <v>5</v>
      </c>
      <c r="AU899" s="332">
        <f>SUMIF(Consumo!$C$3:$C$862,tabItens[[#This Row],[CÓDIGO]],Consumo!$AA$3:$AA$862)</f>
        <v>5</v>
      </c>
      <c r="AV899" s="333">
        <f>SUMIF(Consumo!$C$3:$C$862,tabItens[[#This Row],[CÓDIGO]],Consumo!$Y$3:$Y$862)</f>
        <v>0.25</v>
      </c>
      <c r="AW899" s="306">
        <f>tabItens[[#This Row],[QTDE ATUAL]] + tabItens[[#This Row],[RC QTDE]] + tabItens[[#This Row],[AF SALDO]] + tabItens[[#This Row],[Recentes]]</f>
        <v>126</v>
      </c>
      <c r="AX899" s="334">
        <v>0</v>
      </c>
      <c r="AY899" s="334">
        <v>4</v>
      </c>
      <c r="AZ899" s="334">
        <f>IF(ISBLANK(tabItens[[#This Row],[CÓDIGO]]),"",tabItens[[#This Row],[PontoMês]] * (AZ$2+tabItens[[#This Row],[PontoQtM]]))</f>
        <v>0</v>
      </c>
      <c r="BA899" s="333">
        <f>tabItens[[#This Row],[PontoPed]] - tabItens[[#This Row],[Saldo]] + (1/10)</f>
        <v>-125.9</v>
      </c>
      <c r="BB899" s="333">
        <f xml:space="preserve"> tabItens[[#This Row],[PontoMês]] * BB$2 - tabItens[[#This Row],[QTDE ATUAL]] - (1/10)</f>
        <v>-126.1</v>
      </c>
      <c r="BC899" s="335">
        <f>IF( tabItens[[#This Row],[PontoPed]]&gt;0, IF(tabItens[[#This Row],[PontoPed]]&lt;1, 1, IF( tabItens[[#This Row],[Saldo]]&gt;tabItens[[#This Row],[PontoPed]], 0, (tabItens[[#This Row],[PontoPed]]-tabItens[[#This Row],[Saldo]])/tabItens[[#This Row],[PontoPed]] ) ), 0 )</f>
        <v>0</v>
      </c>
      <c r="BD899" s="336">
        <f>ROUNDDOWN(IF( OR( AND(tabItens[[#This Row],[PontoPed]]&lt;tabItens[[#This Row],[Saldo]],tabItens[[#This Row],[Saldo]]&gt;0), tabItens[[#This Row],[PontoPed]]=0), 99, IF(AND(tabItens[[#This Row],[Saldo]]=0,tabItens[[#This Row],[PontoPed]]&gt;0), 0, (1-tabItens[[#This Row],[PctAb]])*10 ) ),0)</f>
        <v>99</v>
      </c>
      <c r="BE899" s="337">
        <f>MAX(ROUNDDOWN( IF(tabItens[[#This Row],[Abaixo]] &gt; 0,   tabItens[[#This Row],[Abaixo]] + (tabItens[[#This Row],[PontoMês]] * IF( OR( ISBLANK(tabItens[[#This Row],[ATA Nº/ANO]]), tabItens[[#This Row],[ATA Nº/ANO]] = ""),BE$2,BE$1)),0),0),0)</f>
        <v>0</v>
      </c>
      <c r="BF89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9" s="338">
        <f>SUMIF(Consumo!$C$3:$C$862,tabItens[[#This Row],[CÓDIGO]],Consumo!$E$3:$E$862)</f>
        <v>0</v>
      </c>
      <c r="BH899" s="339">
        <f>IF(AND(tabItens[[#This Row],[Pend]] &gt; 0,tabItens[[#This Row],[Consumo]] &lt;&gt; 0), tabItens[[#This Row],[Pend]] / tabItens[[#This Row],[Consumo]], 0 )</f>
        <v>0</v>
      </c>
      <c r="BI899" s="338"/>
      <c r="BJ899" s="338"/>
      <c r="BK899" s="340" t="s">
        <v>2086</v>
      </c>
    </row>
    <row r="900" spans="1:63" hidden="1" x14ac:dyDescent="0.3">
      <c r="A900" s="301">
        <v>118244</v>
      </c>
      <c r="B900" s="302" t="s">
        <v>1728</v>
      </c>
      <c r="C900" s="303" t="s">
        <v>263</v>
      </c>
      <c r="D900" s="304">
        <v>5.99</v>
      </c>
      <c r="E900" s="305"/>
      <c r="F900" s="305"/>
      <c r="G900" s="305" t="s">
        <v>889</v>
      </c>
      <c r="H900" s="306">
        <v>173</v>
      </c>
      <c r="I900" s="307">
        <v>103003</v>
      </c>
      <c r="J900" s="308">
        <v>5.99</v>
      </c>
      <c r="K900" s="309">
        <v>5</v>
      </c>
      <c r="L900" s="310">
        <f>IF(tabItens[[#This Row],[Média]] &gt; 0, tabItens[[#This Row],[QTDE ATUAL]] / tabItens[[#This Row],[Média]],999.9)</f>
        <v>692</v>
      </c>
      <c r="M900" s="311">
        <v>0</v>
      </c>
      <c r="N900" s="312">
        <f>tabItens[[#This Row],[VALOR UNIT.]] * tabItens[[#This Row],[LC]]</f>
        <v>0</v>
      </c>
      <c r="O900" s="313"/>
      <c r="P900" s="314"/>
      <c r="Q900" s="315"/>
      <c r="R900" s="312"/>
      <c r="S900" s="316"/>
      <c r="T900" s="317">
        <f>ROUNDDOWN(IFERROR(tabItens[[#This Row],[ATA DT.VALID.]] - $D$1,0) / 30,0)</f>
        <v>-1474</v>
      </c>
      <c r="U900" s="302" t="s">
        <v>1266</v>
      </c>
      <c r="V900" s="318">
        <v>1</v>
      </c>
      <c r="W900" s="319" t="s">
        <v>2082</v>
      </c>
      <c r="X900" s="320">
        <v>89</v>
      </c>
      <c r="Y900" s="321">
        <v>12</v>
      </c>
      <c r="Z900" s="322"/>
      <c r="AA900" s="323"/>
      <c r="AB900" s="324"/>
      <c r="AC900" s="324"/>
      <c r="AD900" s="323"/>
      <c r="AE900" s="324"/>
      <c r="AF900" s="317"/>
      <c r="AG900" s="325" t="s">
        <v>2072</v>
      </c>
      <c r="AH900" s="326"/>
      <c r="AI900" s="317">
        <v>2</v>
      </c>
      <c r="AJ900" s="326">
        <v>40955</v>
      </c>
      <c r="AK900" s="326">
        <v>40466</v>
      </c>
      <c r="AL900" s="326">
        <v>44974</v>
      </c>
      <c r="AM900" s="316"/>
      <c r="AN900" s="305"/>
      <c r="AO900" s="327" t="str">
        <f>_xlfn.IFNA(IF(VLOOKUP(tabItens[[#This Row],[CÓDIGO]],tabExcluirDoEstoque[#Data],1,FALSE),"sim",""),"")</f>
        <v/>
      </c>
      <c r="AP900" s="328" t="str">
        <f ca="1">IF(OR(ISBLANK(tabItens[[#This Row],[ATA DT.VALID.]]),tabItens[[#This Row],[ATA DT.VALID.]]="",tabItens[[#This Row],[ATA DT.VALID.]]=" "),"",IF(TYPE(tabItens[[#This Row],[ATA DT.VALID.]])=1,ROUNDUP((tabItens[[#This Row],[ATA DT.VALID.]]-TODAY())/7,0),""))</f>
        <v/>
      </c>
      <c r="AQ900" s="329"/>
      <c r="AR900" s="330" t="str">
        <f>IF(ISBLANK(tabItens[[#This Row],[CÓDIGO]]),"",IFERROR(VLOOKUP(tabItens[[#This Row],[CÓDIGO]],Consumo!$C$2:$AC$862,26,FALSE),0))</f>
        <v>05.2023</v>
      </c>
      <c r="AS900" s="331">
        <f>SUMIF(Consumo!$C$3:$C$862,tabItens[[#This Row],[CÓDIGO]],Consumo!$N$3:$N$862) + SUMIF(Consumo!$C$3:$C$862,tabItens[[#This Row],[CÓDIGO]],Consumo!$O$3:$O$862) + SUMIF(Consumo!$C$3:$C$862,tabItens[[#This Row],[CÓDIGO]],Consumo!$P$3:$P$862) + SUMIF(Consumo!$C$3:$C$862,tabItens[[#This Row],[CÓDIGO]],Consumo!$Q$3:$Q$862)</f>
        <v>0</v>
      </c>
      <c r="AT900" s="331">
        <f>SUMIF(Consumo!$C$3:$C$862,tabItens[[#This Row],[CÓDIGO]],Consumo!$Z$3:$Z$862)</f>
        <v>5</v>
      </c>
      <c r="AU900" s="332">
        <f>SUMIF(Consumo!$C$3:$C$862,tabItens[[#This Row],[CÓDIGO]],Consumo!$AA$3:$AA$862)</f>
        <v>5</v>
      </c>
      <c r="AV900" s="333">
        <f>SUMIF(Consumo!$C$3:$C$862,tabItens[[#This Row],[CÓDIGO]],Consumo!$Y$3:$Y$862)</f>
        <v>0.25</v>
      </c>
      <c r="AW900" s="306">
        <f>tabItens[[#This Row],[QTDE ATUAL]] + tabItens[[#This Row],[RC QTDE]] + tabItens[[#This Row],[AF SALDO]] + tabItens[[#This Row],[Recentes]]</f>
        <v>173</v>
      </c>
      <c r="AX900" s="334">
        <v>0</v>
      </c>
      <c r="AY900" s="334">
        <v>4</v>
      </c>
      <c r="AZ900" s="334">
        <f>IF(ISBLANK(tabItens[[#This Row],[CÓDIGO]]),"",tabItens[[#This Row],[PontoMês]] * (AZ$2+tabItens[[#This Row],[PontoQtM]]))</f>
        <v>0</v>
      </c>
      <c r="BA900" s="333">
        <f>tabItens[[#This Row],[PontoPed]] - tabItens[[#This Row],[Saldo]] + (1/10)</f>
        <v>-172.9</v>
      </c>
      <c r="BB900" s="333">
        <f xml:space="preserve"> tabItens[[#This Row],[PontoMês]] * BB$2 - tabItens[[#This Row],[QTDE ATUAL]] - (1/10)</f>
        <v>-173.1</v>
      </c>
      <c r="BC900" s="335">
        <f>IF( tabItens[[#This Row],[PontoPed]]&gt;0, IF(tabItens[[#This Row],[PontoPed]]&lt;1, 1, IF( tabItens[[#This Row],[Saldo]]&gt;tabItens[[#This Row],[PontoPed]], 0, (tabItens[[#This Row],[PontoPed]]-tabItens[[#This Row],[Saldo]])/tabItens[[#This Row],[PontoPed]] ) ), 0 )</f>
        <v>0</v>
      </c>
      <c r="BD900" s="336">
        <f>ROUNDDOWN(IF( OR( AND(tabItens[[#This Row],[PontoPed]]&lt;tabItens[[#This Row],[Saldo]],tabItens[[#This Row],[Saldo]]&gt;0), tabItens[[#This Row],[PontoPed]]=0), 99, IF(AND(tabItens[[#This Row],[Saldo]]=0,tabItens[[#This Row],[PontoPed]]&gt;0), 0, (1-tabItens[[#This Row],[PctAb]])*10 ) ),0)</f>
        <v>99</v>
      </c>
      <c r="BE900" s="337">
        <f>MAX(ROUNDDOWN( IF(tabItens[[#This Row],[Abaixo]] &gt; 0,   tabItens[[#This Row],[Abaixo]] + (tabItens[[#This Row],[PontoMês]] * IF( OR( ISBLANK(tabItens[[#This Row],[ATA Nº/ANO]]), tabItens[[#This Row],[ATA Nº/ANO]] = ""),BE$2,BE$1)),0),0),0)</f>
        <v>0</v>
      </c>
      <c r="BF90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0" s="338">
        <f>SUMIF(Consumo!$C$3:$C$862,tabItens[[#This Row],[CÓDIGO]],Consumo!$E$3:$E$862)</f>
        <v>0</v>
      </c>
      <c r="BH900" s="339">
        <f>IF(AND(tabItens[[#This Row],[Pend]] &gt; 0,tabItens[[#This Row],[Consumo]] &lt;&gt; 0), tabItens[[#This Row],[Pend]] / tabItens[[#This Row],[Consumo]], 0 )</f>
        <v>0</v>
      </c>
      <c r="BI900" s="338"/>
      <c r="BJ900" s="338"/>
      <c r="BK900" s="340" t="s">
        <v>2086</v>
      </c>
    </row>
    <row r="901" spans="1:63" hidden="1" x14ac:dyDescent="0.3">
      <c r="A901" s="301">
        <v>118245</v>
      </c>
      <c r="B901" s="302" t="s">
        <v>1729</v>
      </c>
      <c r="C901" s="303" t="s">
        <v>263</v>
      </c>
      <c r="D901" s="304">
        <v>2.72</v>
      </c>
      <c r="E901" s="305"/>
      <c r="F901" s="305"/>
      <c r="G901" s="305" t="s">
        <v>889</v>
      </c>
      <c r="H901" s="306">
        <v>33</v>
      </c>
      <c r="I901" s="307">
        <v>103003</v>
      </c>
      <c r="J901" s="308">
        <v>2.72</v>
      </c>
      <c r="K901" s="309">
        <v>5</v>
      </c>
      <c r="L901" s="310">
        <f>IF(tabItens[[#This Row],[Média]] &gt; 0, tabItens[[#This Row],[QTDE ATUAL]] / tabItens[[#This Row],[Média]],999.9)</f>
        <v>132</v>
      </c>
      <c r="M901" s="311">
        <v>0</v>
      </c>
      <c r="N901" s="312">
        <f>tabItens[[#This Row],[VALOR UNIT.]] * tabItens[[#This Row],[LC]]</f>
        <v>0</v>
      </c>
      <c r="O901" s="313"/>
      <c r="P901" s="314"/>
      <c r="Q901" s="315"/>
      <c r="R901" s="312"/>
      <c r="S901" s="316"/>
      <c r="T901" s="317">
        <f>ROUNDDOWN(IFERROR(tabItens[[#This Row],[ATA DT.VALID.]] - $D$1,0) / 30,0)</f>
        <v>-1474</v>
      </c>
      <c r="U901" s="302" t="s">
        <v>1266</v>
      </c>
      <c r="V901" s="318">
        <v>1</v>
      </c>
      <c r="W901" s="319" t="s">
        <v>2082</v>
      </c>
      <c r="X901" s="320">
        <v>89</v>
      </c>
      <c r="Y901" s="321">
        <v>12</v>
      </c>
      <c r="Z901" s="322"/>
      <c r="AA901" s="323"/>
      <c r="AB901" s="324"/>
      <c r="AC901" s="324"/>
      <c r="AD901" s="323"/>
      <c r="AE901" s="324"/>
      <c r="AF901" s="317"/>
      <c r="AG901" s="325" t="s">
        <v>2072</v>
      </c>
      <c r="AH901" s="326"/>
      <c r="AI901" s="317">
        <v>2</v>
      </c>
      <c r="AJ901" s="326">
        <v>40955</v>
      </c>
      <c r="AK901" s="326">
        <v>40466</v>
      </c>
      <c r="AL901" s="326">
        <v>40941</v>
      </c>
      <c r="AM901" s="316"/>
      <c r="AN901" s="305"/>
      <c r="AO901" s="327" t="str">
        <f>_xlfn.IFNA(IF(VLOOKUP(tabItens[[#This Row],[CÓDIGO]],tabExcluirDoEstoque[#Data],1,FALSE),"sim",""),"")</f>
        <v/>
      </c>
      <c r="AP901" s="328" t="str">
        <f ca="1">IF(OR(ISBLANK(tabItens[[#This Row],[ATA DT.VALID.]]),tabItens[[#This Row],[ATA DT.VALID.]]="",tabItens[[#This Row],[ATA DT.VALID.]]=" "),"",IF(TYPE(tabItens[[#This Row],[ATA DT.VALID.]])=1,ROUNDUP((tabItens[[#This Row],[ATA DT.VALID.]]-TODAY())/7,0),""))</f>
        <v/>
      </c>
      <c r="AQ901" s="329"/>
      <c r="AR901" s="330" t="str">
        <f>IF(ISBLANK(tabItens[[#This Row],[CÓDIGO]]),"",IFERROR(VLOOKUP(tabItens[[#This Row],[CÓDIGO]],Consumo!$C$2:$AC$862,26,FALSE),0))</f>
        <v>05.2023</v>
      </c>
      <c r="AS901" s="331">
        <f>SUMIF(Consumo!$C$3:$C$862,tabItens[[#This Row],[CÓDIGO]],Consumo!$N$3:$N$862) + SUMIF(Consumo!$C$3:$C$862,tabItens[[#This Row],[CÓDIGO]],Consumo!$O$3:$O$862) + SUMIF(Consumo!$C$3:$C$862,tabItens[[#This Row],[CÓDIGO]],Consumo!$P$3:$P$862) + SUMIF(Consumo!$C$3:$C$862,tabItens[[#This Row],[CÓDIGO]],Consumo!$Q$3:$Q$862)</f>
        <v>0</v>
      </c>
      <c r="AT901" s="331">
        <f>SUMIF(Consumo!$C$3:$C$862,tabItens[[#This Row],[CÓDIGO]],Consumo!$Z$3:$Z$862)</f>
        <v>5</v>
      </c>
      <c r="AU901" s="332">
        <f>SUMIF(Consumo!$C$3:$C$862,tabItens[[#This Row],[CÓDIGO]],Consumo!$AA$3:$AA$862)</f>
        <v>5</v>
      </c>
      <c r="AV901" s="333">
        <f>SUMIF(Consumo!$C$3:$C$862,tabItens[[#This Row],[CÓDIGO]],Consumo!$Y$3:$Y$862)</f>
        <v>0.25</v>
      </c>
      <c r="AW901" s="306">
        <f>tabItens[[#This Row],[QTDE ATUAL]] + tabItens[[#This Row],[RC QTDE]] + tabItens[[#This Row],[AF SALDO]] + tabItens[[#This Row],[Recentes]]</f>
        <v>33</v>
      </c>
      <c r="AX901" s="334">
        <v>0</v>
      </c>
      <c r="AY901" s="334">
        <v>4</v>
      </c>
      <c r="AZ901" s="334">
        <f>IF(ISBLANK(tabItens[[#This Row],[CÓDIGO]]),"",tabItens[[#This Row],[PontoMês]] * (AZ$2+tabItens[[#This Row],[PontoQtM]]))</f>
        <v>0</v>
      </c>
      <c r="BA901" s="333">
        <f>tabItens[[#This Row],[PontoPed]] - tabItens[[#This Row],[Saldo]] + (1/10)</f>
        <v>-32.9</v>
      </c>
      <c r="BB901" s="333">
        <f xml:space="preserve"> tabItens[[#This Row],[PontoMês]] * BB$2 - tabItens[[#This Row],[QTDE ATUAL]] - (1/10)</f>
        <v>-33.1</v>
      </c>
      <c r="BC901" s="335">
        <f>IF( tabItens[[#This Row],[PontoPed]]&gt;0, IF(tabItens[[#This Row],[PontoPed]]&lt;1, 1, IF( tabItens[[#This Row],[Saldo]]&gt;tabItens[[#This Row],[PontoPed]], 0, (tabItens[[#This Row],[PontoPed]]-tabItens[[#This Row],[Saldo]])/tabItens[[#This Row],[PontoPed]] ) ), 0 )</f>
        <v>0</v>
      </c>
      <c r="BD901" s="336">
        <f>ROUNDDOWN(IF( OR( AND(tabItens[[#This Row],[PontoPed]]&lt;tabItens[[#This Row],[Saldo]],tabItens[[#This Row],[Saldo]]&gt;0), tabItens[[#This Row],[PontoPed]]=0), 99, IF(AND(tabItens[[#This Row],[Saldo]]=0,tabItens[[#This Row],[PontoPed]]&gt;0), 0, (1-tabItens[[#This Row],[PctAb]])*10 ) ),0)</f>
        <v>99</v>
      </c>
      <c r="BE901" s="337">
        <f>MAX(ROUNDDOWN( IF(tabItens[[#This Row],[Abaixo]] &gt; 0,   tabItens[[#This Row],[Abaixo]] + (tabItens[[#This Row],[PontoMês]] * IF( OR( ISBLANK(tabItens[[#This Row],[ATA Nº/ANO]]), tabItens[[#This Row],[ATA Nº/ANO]] = ""),BE$2,BE$1)),0),0),0)</f>
        <v>0</v>
      </c>
      <c r="BF90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1" s="338">
        <f>SUMIF(Consumo!$C$3:$C$862,tabItens[[#This Row],[CÓDIGO]],Consumo!$E$3:$E$862)</f>
        <v>0</v>
      </c>
      <c r="BH901" s="339">
        <f>IF(AND(tabItens[[#This Row],[Pend]] &gt; 0,tabItens[[#This Row],[Consumo]] &lt;&gt; 0), tabItens[[#This Row],[Pend]] / tabItens[[#This Row],[Consumo]], 0 )</f>
        <v>0</v>
      </c>
      <c r="BI901" s="338"/>
      <c r="BJ901" s="338"/>
      <c r="BK901" s="340" t="s">
        <v>2086</v>
      </c>
    </row>
    <row r="902" spans="1:63" hidden="1" x14ac:dyDescent="0.3">
      <c r="A902" s="301">
        <v>118246</v>
      </c>
      <c r="B902" s="302" t="s">
        <v>1730</v>
      </c>
      <c r="C902" s="303" t="s">
        <v>263</v>
      </c>
      <c r="D902" s="304">
        <v>1.1000000000000001</v>
      </c>
      <c r="E902" s="305"/>
      <c r="F902" s="305"/>
      <c r="G902" s="305" t="s">
        <v>889</v>
      </c>
      <c r="H902" s="306">
        <v>60</v>
      </c>
      <c r="I902" s="307">
        <v>103003</v>
      </c>
      <c r="J902" s="308">
        <v>1.1000000000000001</v>
      </c>
      <c r="K902" s="309">
        <v>5</v>
      </c>
      <c r="L902" s="310">
        <f>IF(tabItens[[#This Row],[Média]] &gt; 0, tabItens[[#This Row],[QTDE ATUAL]] / tabItens[[#This Row],[Média]],999.9)</f>
        <v>240</v>
      </c>
      <c r="M902" s="311">
        <v>0</v>
      </c>
      <c r="N902" s="312">
        <f>tabItens[[#This Row],[VALOR UNIT.]] * tabItens[[#This Row],[LC]]</f>
        <v>0</v>
      </c>
      <c r="O902" s="313"/>
      <c r="P902" s="314"/>
      <c r="Q902" s="315"/>
      <c r="R902" s="312"/>
      <c r="S902" s="316"/>
      <c r="T902" s="317">
        <f>ROUNDDOWN(IFERROR(tabItens[[#This Row],[ATA DT.VALID.]] - $D$1,0) / 30,0)</f>
        <v>-1474</v>
      </c>
      <c r="U902" s="302" t="s">
        <v>1266</v>
      </c>
      <c r="V902" s="318">
        <v>1</v>
      </c>
      <c r="W902" s="319" t="s">
        <v>2082</v>
      </c>
      <c r="X902" s="320">
        <v>89</v>
      </c>
      <c r="Y902" s="321">
        <v>12</v>
      </c>
      <c r="Z902" s="322"/>
      <c r="AA902" s="323"/>
      <c r="AB902" s="324"/>
      <c r="AC902" s="324"/>
      <c r="AD902" s="323"/>
      <c r="AE902" s="324"/>
      <c r="AF902" s="317"/>
      <c r="AG902" s="325" t="s">
        <v>2072</v>
      </c>
      <c r="AH902" s="326"/>
      <c r="AI902" s="317">
        <v>2</v>
      </c>
      <c r="AJ902" s="326">
        <v>40955</v>
      </c>
      <c r="AK902" s="326">
        <v>40466</v>
      </c>
      <c r="AL902" s="326">
        <v>40941</v>
      </c>
      <c r="AM902" s="316"/>
      <c r="AN902" s="305"/>
      <c r="AO902" s="327" t="str">
        <f>_xlfn.IFNA(IF(VLOOKUP(tabItens[[#This Row],[CÓDIGO]],tabExcluirDoEstoque[#Data],1,FALSE),"sim",""),"")</f>
        <v/>
      </c>
      <c r="AP902" s="328" t="str">
        <f ca="1">IF(OR(ISBLANK(tabItens[[#This Row],[ATA DT.VALID.]]),tabItens[[#This Row],[ATA DT.VALID.]]="",tabItens[[#This Row],[ATA DT.VALID.]]=" "),"",IF(TYPE(tabItens[[#This Row],[ATA DT.VALID.]])=1,ROUNDUP((tabItens[[#This Row],[ATA DT.VALID.]]-TODAY())/7,0),""))</f>
        <v/>
      </c>
      <c r="AQ902" s="329"/>
      <c r="AR902" s="330" t="str">
        <f>IF(ISBLANK(tabItens[[#This Row],[CÓDIGO]]),"",IFERROR(VLOOKUP(tabItens[[#This Row],[CÓDIGO]],Consumo!$C$2:$AC$862,26,FALSE),0))</f>
        <v>05.2023</v>
      </c>
      <c r="AS902" s="331">
        <f>SUMIF(Consumo!$C$3:$C$862,tabItens[[#This Row],[CÓDIGO]],Consumo!$N$3:$N$862) + SUMIF(Consumo!$C$3:$C$862,tabItens[[#This Row],[CÓDIGO]],Consumo!$O$3:$O$862) + SUMIF(Consumo!$C$3:$C$862,tabItens[[#This Row],[CÓDIGO]],Consumo!$P$3:$P$862) + SUMIF(Consumo!$C$3:$C$862,tabItens[[#This Row],[CÓDIGO]],Consumo!$Q$3:$Q$862)</f>
        <v>0</v>
      </c>
      <c r="AT902" s="331">
        <f>SUMIF(Consumo!$C$3:$C$862,tabItens[[#This Row],[CÓDIGO]],Consumo!$Z$3:$Z$862)</f>
        <v>5</v>
      </c>
      <c r="AU902" s="332">
        <f>SUMIF(Consumo!$C$3:$C$862,tabItens[[#This Row],[CÓDIGO]],Consumo!$AA$3:$AA$862)</f>
        <v>5</v>
      </c>
      <c r="AV902" s="333">
        <f>SUMIF(Consumo!$C$3:$C$862,tabItens[[#This Row],[CÓDIGO]],Consumo!$Y$3:$Y$862)</f>
        <v>0.25</v>
      </c>
      <c r="AW902" s="306">
        <f>tabItens[[#This Row],[QTDE ATUAL]] + tabItens[[#This Row],[RC QTDE]] + tabItens[[#This Row],[AF SALDO]] + tabItens[[#This Row],[Recentes]]</f>
        <v>60</v>
      </c>
      <c r="AX902" s="334">
        <v>2</v>
      </c>
      <c r="AY902" s="334">
        <v>4</v>
      </c>
      <c r="AZ902" s="334">
        <f>IF(ISBLANK(tabItens[[#This Row],[CÓDIGO]]),"",tabItens[[#This Row],[PontoMês]] * (AZ$2+tabItens[[#This Row],[PontoQtM]]))</f>
        <v>8</v>
      </c>
      <c r="BA902" s="333">
        <f>tabItens[[#This Row],[PontoPed]] - tabItens[[#This Row],[Saldo]] + (1/10)</f>
        <v>-51.9</v>
      </c>
      <c r="BB902" s="333">
        <f xml:space="preserve"> tabItens[[#This Row],[PontoMês]] * BB$2 - tabItens[[#This Row],[QTDE ATUAL]] - (1/10)</f>
        <v>-58.1</v>
      </c>
      <c r="BC902" s="335">
        <f>IF( tabItens[[#This Row],[PontoPed]]&gt;0, IF(tabItens[[#This Row],[PontoPed]]&lt;1, 1, IF( tabItens[[#This Row],[Saldo]]&gt;tabItens[[#This Row],[PontoPed]], 0, (tabItens[[#This Row],[PontoPed]]-tabItens[[#This Row],[Saldo]])/tabItens[[#This Row],[PontoPed]] ) ), 0 )</f>
        <v>0</v>
      </c>
      <c r="BD902" s="336">
        <f>ROUNDDOWN(IF( OR( AND(tabItens[[#This Row],[PontoPed]]&lt;tabItens[[#This Row],[Saldo]],tabItens[[#This Row],[Saldo]]&gt;0), tabItens[[#This Row],[PontoPed]]=0), 99, IF(AND(tabItens[[#This Row],[Saldo]]=0,tabItens[[#This Row],[PontoPed]]&gt;0), 0, (1-tabItens[[#This Row],[PctAb]])*10 ) ),0)</f>
        <v>99</v>
      </c>
      <c r="BE902" s="337">
        <f>MAX(ROUNDDOWN( IF(tabItens[[#This Row],[Abaixo]] &gt; 0,   tabItens[[#This Row],[Abaixo]] + (tabItens[[#This Row],[PontoMês]] * IF( OR( ISBLANK(tabItens[[#This Row],[ATA Nº/ANO]]), tabItens[[#This Row],[ATA Nº/ANO]] = ""),BE$2,BE$1)),0),0),0)</f>
        <v>0</v>
      </c>
      <c r="BF90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2" s="338">
        <f>SUMIF(Consumo!$C$3:$C$862,tabItens[[#This Row],[CÓDIGO]],Consumo!$E$3:$E$862)</f>
        <v>0</v>
      </c>
      <c r="BH902" s="339">
        <f>IF(AND(tabItens[[#This Row],[Pend]] &gt; 0,tabItens[[#This Row],[Consumo]] &lt;&gt; 0), tabItens[[#This Row],[Pend]] / tabItens[[#This Row],[Consumo]], 0 )</f>
        <v>0</v>
      </c>
      <c r="BI902" s="338"/>
      <c r="BJ902" s="338"/>
      <c r="BK902" s="340" t="s">
        <v>2086</v>
      </c>
    </row>
    <row r="903" spans="1:63" hidden="1" x14ac:dyDescent="0.3">
      <c r="A903" s="301">
        <v>109251</v>
      </c>
      <c r="B903" s="302" t="s">
        <v>1665</v>
      </c>
      <c r="C903" s="303" t="s">
        <v>31</v>
      </c>
      <c r="D903" s="304">
        <v>0.52</v>
      </c>
      <c r="E903" s="305" t="s">
        <v>1057</v>
      </c>
      <c r="F903" s="305" t="s">
        <v>1058</v>
      </c>
      <c r="G903" s="305" t="s">
        <v>1059</v>
      </c>
      <c r="H903" s="306">
        <v>259</v>
      </c>
      <c r="I903" s="307">
        <v>103003</v>
      </c>
      <c r="J903" s="308">
        <v>0.66</v>
      </c>
      <c r="K903" s="309">
        <v>169</v>
      </c>
      <c r="L903" s="310">
        <f>IF(tabItens[[#This Row],[Média]] &gt; 0, tabItens[[#This Row],[QTDE ATUAL]] / tabItens[[#This Row],[Média]],999.9)</f>
        <v>26.338983050847457</v>
      </c>
      <c r="M903" s="311">
        <v>0</v>
      </c>
      <c r="N903" s="312">
        <f>tabItens[[#This Row],[VALOR UNIT.]] * tabItens[[#This Row],[LC]]</f>
        <v>0</v>
      </c>
      <c r="O903" s="313" t="s">
        <v>1060</v>
      </c>
      <c r="P903" s="314">
        <v>0</v>
      </c>
      <c r="Q903" s="315">
        <v>294300</v>
      </c>
      <c r="R903" s="312">
        <v>160836</v>
      </c>
      <c r="S903" s="316">
        <v>45446</v>
      </c>
      <c r="T903" s="317">
        <f>ROUNDDOWN(IFERROR(tabItens[[#This Row],[ATA DT.VALID.]] - $D$1,0) / 30,0)</f>
        <v>40</v>
      </c>
      <c r="U903" s="302" t="s">
        <v>898</v>
      </c>
      <c r="V903" s="318">
        <v>1</v>
      </c>
      <c r="W903" s="319" t="s">
        <v>2073</v>
      </c>
      <c r="X903" s="320">
        <v>72</v>
      </c>
      <c r="Y903" s="321">
        <v>6</v>
      </c>
      <c r="Z903" s="322"/>
      <c r="AA903" s="323"/>
      <c r="AB903" s="324"/>
      <c r="AC903" s="324"/>
      <c r="AD903" s="323"/>
      <c r="AE903" s="324"/>
      <c r="AF903" s="317"/>
      <c r="AG903" s="325" t="s">
        <v>2072</v>
      </c>
      <c r="AH903" s="326"/>
      <c r="AI903" s="317">
        <v>0</v>
      </c>
      <c r="AJ903" s="326">
        <v>44337</v>
      </c>
      <c r="AK903" s="326">
        <v>39832</v>
      </c>
      <c r="AL903" s="326">
        <v>45133</v>
      </c>
      <c r="AM903" s="316"/>
      <c r="AN903" s="305"/>
      <c r="AO903" s="327" t="str">
        <f>_xlfn.IFNA(IF(VLOOKUP(tabItens[[#This Row],[CÓDIGO]],tabExcluirDoEstoque[#Data],1,FALSE),"sim",""),"")</f>
        <v>sim</v>
      </c>
      <c r="AP903" s="328">
        <f ca="1">IF(OR(ISBLANK(tabItens[[#This Row],[ATA DT.VALID.]]),tabItens[[#This Row],[ATA DT.VALID.]]="",tabItens[[#This Row],[ATA DT.VALID.]]=" "),"",IF(TYPE(tabItens[[#This Row],[ATA DT.VALID.]])=1,ROUNDUP((tabItens[[#This Row],[ATA DT.VALID.]]-TODAY())/7,0),""))</f>
        <v>27</v>
      </c>
      <c r="AQ903" s="329">
        <v>0</v>
      </c>
      <c r="AR903" s="330" t="str">
        <f>IF(ISBLANK(tabItens[[#This Row],[CÓDIGO]]),"",IFERROR(VLOOKUP(tabItens[[#This Row],[CÓDIGO]],Consumo!$C$2:$AC$862,26,FALSE),0))</f>
        <v>09.2023</v>
      </c>
      <c r="AS903" s="331">
        <f>SUMIF(Consumo!$C$3:$C$862,tabItens[[#This Row],[CÓDIGO]],Consumo!$N$3:$N$862) + SUMIF(Consumo!$C$3:$C$862,tabItens[[#This Row],[CÓDIGO]],Consumo!$O$3:$O$862) + SUMIF(Consumo!$C$3:$C$862,tabItens[[#This Row],[CÓDIGO]],Consumo!$P$3:$P$862) + SUMIF(Consumo!$C$3:$C$862,tabItens[[#This Row],[CÓDIGO]],Consumo!$Q$3:$Q$862)</f>
        <v>169</v>
      </c>
      <c r="AT903" s="331">
        <f>SUMIF(Consumo!$C$3:$C$862,tabItens[[#This Row],[CÓDIGO]],Consumo!$Z$3:$Z$862)</f>
        <v>169</v>
      </c>
      <c r="AU903" s="332">
        <f>SUMIF(Consumo!$C$3:$C$862,tabItens[[#This Row],[CÓDIGO]],Consumo!$AA$3:$AA$862)</f>
        <v>151</v>
      </c>
      <c r="AV903" s="333">
        <f>SUMIF(Consumo!$C$3:$C$862,tabItens[[#This Row],[CÓDIGO]],Consumo!$Y$3:$Y$862)</f>
        <v>9.8333333333333339</v>
      </c>
      <c r="AW903" s="306">
        <f>tabItens[[#This Row],[QTDE ATUAL]] + tabItens[[#This Row],[RC QTDE]] + tabItens[[#This Row],[AF SALDO]] + tabItens[[#This Row],[Recentes]]</f>
        <v>259</v>
      </c>
      <c r="AX903" s="334">
        <v>67</v>
      </c>
      <c r="AY903" s="334">
        <v>4</v>
      </c>
      <c r="AZ903" s="334">
        <f>IF(ISBLANK(tabItens[[#This Row],[CÓDIGO]]),"",tabItens[[#This Row],[PontoMês]] * (AZ$2+tabItens[[#This Row],[PontoQtM]]))</f>
        <v>268</v>
      </c>
      <c r="BA903" s="333">
        <f>tabItens[[#This Row],[PontoPed]] - tabItens[[#This Row],[Saldo]] + (1/10)</f>
        <v>9.1</v>
      </c>
      <c r="BB903" s="333">
        <f xml:space="preserve"> tabItens[[#This Row],[PontoMês]] * BB$2 - tabItens[[#This Row],[QTDE ATUAL]] - (1/10)</f>
        <v>-192.1</v>
      </c>
      <c r="BC903" s="335">
        <f>IF( tabItens[[#This Row],[PontoPed]]&gt;0, IF(tabItens[[#This Row],[PontoPed]]&lt;1, 1, IF( tabItens[[#This Row],[Saldo]]&gt;tabItens[[#This Row],[PontoPed]], 0, (tabItens[[#This Row],[PontoPed]]-tabItens[[#This Row],[Saldo]])/tabItens[[#This Row],[PontoPed]] ) ), 0 )</f>
        <v>3.3582089552238806E-2</v>
      </c>
      <c r="BD903" s="336">
        <f>ROUNDDOWN(IF( OR( AND(tabItens[[#This Row],[PontoPed]]&lt;tabItens[[#This Row],[Saldo]],tabItens[[#This Row],[Saldo]]&gt;0), tabItens[[#This Row],[PontoPed]]=0), 99, IF(AND(tabItens[[#This Row],[Saldo]]=0,tabItens[[#This Row],[PontoPed]]&gt;0), 0, (1-tabItens[[#This Row],[PctAb]])*10 ) ),0)</f>
        <v>9</v>
      </c>
      <c r="BE903" s="337">
        <f>MAX(ROUNDDOWN( IF(tabItens[[#This Row],[Abaixo]] &gt; 0,   tabItens[[#This Row],[Abaixo]] + (tabItens[[#This Row],[PontoMês]] * IF( OR( ISBLANK(tabItens[[#This Row],[ATA Nº/ANO]]), tabItens[[#This Row],[ATA Nº/ANO]] = ""),BE$2,BE$1)),0),0),0)</f>
        <v>210</v>
      </c>
      <c r="BF90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210</v>
      </c>
      <c r="BG903" s="338">
        <f>SUMIF(Consumo!$C$3:$C$862,tabItens[[#This Row],[CÓDIGO]],Consumo!$E$3:$E$862)</f>
        <v>0</v>
      </c>
      <c r="BH903" s="339">
        <f>IF(AND(tabItens[[#This Row],[Pend]] &gt; 0,tabItens[[#This Row],[Consumo]] &lt;&gt; 0), tabItens[[#This Row],[Pend]] / tabItens[[#This Row],[Consumo]], 0 )</f>
        <v>0</v>
      </c>
      <c r="BI903" s="338"/>
      <c r="BJ903" s="338"/>
      <c r="BK903" s="340" t="s">
        <v>2086</v>
      </c>
    </row>
    <row r="904" spans="1:63" hidden="1" x14ac:dyDescent="0.3">
      <c r="A904" s="301">
        <v>108440</v>
      </c>
      <c r="B904" s="302" t="s">
        <v>692</v>
      </c>
      <c r="C904" s="303" t="s">
        <v>31</v>
      </c>
      <c r="D904" s="304">
        <v>45</v>
      </c>
      <c r="E904" s="305"/>
      <c r="F904" s="305"/>
      <c r="G904" s="305" t="s">
        <v>889</v>
      </c>
      <c r="H904" s="306">
        <v>6</v>
      </c>
      <c r="I904" s="307">
        <v>103003</v>
      </c>
      <c r="J904" s="308">
        <v>45</v>
      </c>
      <c r="K904" s="309">
        <v>4</v>
      </c>
      <c r="L904" s="310">
        <f>IF(tabItens[[#This Row],[Média]] &gt; 0, tabItens[[#This Row],[QTDE ATUAL]] / tabItens[[#This Row],[Média]],999.9)</f>
        <v>36</v>
      </c>
      <c r="M904" s="311">
        <v>0</v>
      </c>
      <c r="N904" s="312">
        <f>tabItens[[#This Row],[VALOR UNIT.]] * tabItens[[#This Row],[LC]]</f>
        <v>0</v>
      </c>
      <c r="O904" s="313" t="s">
        <v>2176</v>
      </c>
      <c r="P904" s="314"/>
      <c r="Q904" s="315"/>
      <c r="R904" s="312"/>
      <c r="S904" s="316"/>
      <c r="T904" s="317">
        <f>ROUNDDOWN(IFERROR(tabItens[[#This Row],[ATA DT.VALID.]] - $D$1,0) / 30,0)</f>
        <v>-1474</v>
      </c>
      <c r="U904" s="302" t="s">
        <v>1086</v>
      </c>
      <c r="V904" s="318">
        <v>1</v>
      </c>
      <c r="W904" s="319" t="s">
        <v>2077</v>
      </c>
      <c r="X904" s="320">
        <v>55</v>
      </c>
      <c r="Y904" s="321">
        <v>49</v>
      </c>
      <c r="Z904" s="322"/>
      <c r="AA904" s="323"/>
      <c r="AB904" s="324"/>
      <c r="AC904" s="324"/>
      <c r="AD904" s="323"/>
      <c r="AE904" s="324"/>
      <c r="AF904" s="317"/>
      <c r="AG904" s="325" t="s">
        <v>2072</v>
      </c>
      <c r="AH904" s="326"/>
      <c r="AI904" s="317">
        <v>0</v>
      </c>
      <c r="AJ904" s="326">
        <v>43924</v>
      </c>
      <c r="AK904" s="326">
        <v>39738</v>
      </c>
      <c r="AL904" s="326">
        <v>43880</v>
      </c>
      <c r="AM904" s="316"/>
      <c r="AN904" s="305"/>
      <c r="AO904" s="327" t="str">
        <f>_xlfn.IFNA(IF(VLOOKUP(tabItens[[#This Row],[CÓDIGO]],tabExcluirDoEstoque[#Data],1,FALSE),"sim",""),"")</f>
        <v>sim</v>
      </c>
      <c r="AP904" s="328" t="str">
        <f ca="1">IF(OR(ISBLANK(tabItens[[#This Row],[ATA DT.VALID.]]),tabItens[[#This Row],[ATA DT.VALID.]]="",tabItens[[#This Row],[ATA DT.VALID.]]=" "),"",IF(TYPE(tabItens[[#This Row],[ATA DT.VALID.]])=1,ROUNDUP((tabItens[[#This Row],[ATA DT.VALID.]]-TODAY())/7,0),""))</f>
        <v/>
      </c>
      <c r="AQ904" s="329">
        <v>0</v>
      </c>
      <c r="AR904" s="330" t="str">
        <f>IF(ISBLANK(tabItens[[#This Row],[CÓDIGO]]),"",IFERROR(VLOOKUP(tabItens[[#This Row],[CÓDIGO]],Consumo!$C$2:$AC$862,26,FALSE),0))</f>
        <v>08.2023</v>
      </c>
      <c r="AS904" s="331">
        <f>SUMIF(Consumo!$C$3:$C$862,tabItens[[#This Row],[CÓDIGO]],Consumo!$N$3:$N$862) + SUMIF(Consumo!$C$3:$C$862,tabItens[[#This Row],[CÓDIGO]],Consumo!$O$3:$O$862) + SUMIF(Consumo!$C$3:$C$862,tabItens[[#This Row],[CÓDIGO]],Consumo!$P$3:$P$862) + SUMIF(Consumo!$C$3:$C$862,tabItens[[#This Row],[CÓDIGO]],Consumo!$Q$3:$Q$862)</f>
        <v>4</v>
      </c>
      <c r="AT904" s="331">
        <f>SUMIF(Consumo!$C$3:$C$862,tabItens[[#This Row],[CÓDIGO]],Consumo!$Z$3:$Z$862)</f>
        <v>4</v>
      </c>
      <c r="AU904" s="332">
        <f>SUMIF(Consumo!$C$3:$C$862,tabItens[[#This Row],[CÓDIGO]],Consumo!$AA$3:$AA$862)</f>
        <v>4</v>
      </c>
      <c r="AV904" s="333">
        <f>SUMIF(Consumo!$C$3:$C$862,tabItens[[#This Row],[CÓDIGO]],Consumo!$Y$3:$Y$862)</f>
        <v>0.16666666666666666</v>
      </c>
      <c r="AW904" s="306">
        <f>tabItens[[#This Row],[QTDE ATUAL]] + tabItens[[#This Row],[RC QTDE]] + tabItens[[#This Row],[AF SALDO]] + tabItens[[#This Row],[Recentes]]</f>
        <v>6</v>
      </c>
      <c r="AX904" s="334">
        <v>10</v>
      </c>
      <c r="AY904" s="334">
        <v>4</v>
      </c>
      <c r="AZ904" s="334">
        <f>IF(ISBLANK(tabItens[[#This Row],[CÓDIGO]]),"",tabItens[[#This Row],[PontoMês]] * (AZ$2+tabItens[[#This Row],[PontoQtM]]))</f>
        <v>40</v>
      </c>
      <c r="BA904" s="333">
        <f>tabItens[[#This Row],[PontoPed]] - tabItens[[#This Row],[Saldo]] + (1/10)</f>
        <v>34.1</v>
      </c>
      <c r="BB904" s="333">
        <f xml:space="preserve"> tabItens[[#This Row],[PontoMês]] * BB$2 - tabItens[[#This Row],[QTDE ATUAL]] - (1/10)</f>
        <v>3.9</v>
      </c>
      <c r="BC904" s="335">
        <f>IF( tabItens[[#This Row],[PontoPed]]&gt;0, IF(tabItens[[#This Row],[PontoPed]]&lt;1, 1, IF( tabItens[[#This Row],[Saldo]]&gt;tabItens[[#This Row],[PontoPed]], 0, (tabItens[[#This Row],[PontoPed]]-tabItens[[#This Row],[Saldo]])/tabItens[[#This Row],[PontoPed]] ) ), 0 )</f>
        <v>0.85</v>
      </c>
      <c r="BD904" s="336">
        <f>ROUNDDOWN(IF( OR( AND(tabItens[[#This Row],[PontoPed]]&lt;tabItens[[#This Row],[Saldo]],tabItens[[#This Row],[Saldo]]&gt;0), tabItens[[#This Row],[PontoPed]]=0), 99, IF(AND(tabItens[[#This Row],[Saldo]]=0,tabItens[[#This Row],[PontoPed]]&gt;0), 0, (1-tabItens[[#This Row],[PctAb]])*10 ) ),0)</f>
        <v>1</v>
      </c>
      <c r="BE904" s="337">
        <f>MAX(ROUNDDOWN( IF(tabItens[[#This Row],[Abaixo]] &gt; 0,   tabItens[[#This Row],[Abaixo]] + (tabItens[[#This Row],[PontoMês]] * IF( OR( ISBLANK(tabItens[[#This Row],[ATA Nº/ANO]]), tabItens[[#This Row],[ATA Nº/ANO]] = ""),BE$2,BE$1)),0),0),0)</f>
        <v>64</v>
      </c>
      <c r="BF904" s="338"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4" s="338">
        <f>SUMIF(Consumo!$C$3:$C$862,tabItens[[#This Row],[CÓDIGO]],Consumo!$E$3:$E$862)</f>
        <v>0</v>
      </c>
      <c r="BH904" s="339">
        <f>IF(AND(tabItens[[#This Row],[Pend]] &gt; 0,tabItens[[#This Row],[Consumo]] &lt;&gt; 0), tabItens[[#This Row],[Pend]] / tabItens[[#This Row],[Consumo]], 0 )</f>
        <v>0</v>
      </c>
      <c r="BI904" s="338"/>
      <c r="BJ904" s="338"/>
      <c r="BK904" s="340" t="s">
        <v>2086</v>
      </c>
    </row>
    <row r="905" spans="1:63" hidden="1" x14ac:dyDescent="0.3">
      <c r="A905" s="301">
        <v>85798</v>
      </c>
      <c r="B905" s="302" t="s">
        <v>566</v>
      </c>
      <c r="C905" s="303" t="s">
        <v>263</v>
      </c>
      <c r="D905" s="304">
        <v>6.36</v>
      </c>
      <c r="E905" s="305"/>
      <c r="F905" s="305"/>
      <c r="G905" s="305" t="s">
        <v>889</v>
      </c>
      <c r="H905" s="306">
        <v>264</v>
      </c>
      <c r="I905" s="307">
        <v>103003</v>
      </c>
      <c r="J905" s="308">
        <v>6.36</v>
      </c>
      <c r="K905" s="309">
        <v>2</v>
      </c>
      <c r="L905" s="310">
        <f>IF(tabItens[[#This Row],[Média]] &gt; 0, tabItens[[#This Row],[QTDE ATUAL]] / tabItens[[#This Row],[Média]],999.9)</f>
        <v>3168</v>
      </c>
      <c r="M905" s="311">
        <v>0</v>
      </c>
      <c r="N905" s="312">
        <f>tabItens[[#This Row],[VALOR UNIT.]] * tabItens[[#This Row],[LC]]</f>
        <v>0</v>
      </c>
      <c r="O905" s="313" t="s">
        <v>2149</v>
      </c>
      <c r="P905" s="314"/>
      <c r="Q905" s="315"/>
      <c r="R905" s="312"/>
      <c r="S905" s="316"/>
      <c r="T905" s="317">
        <f>ROUNDDOWN(IFERROR(tabItens[[#This Row],[ATA DT.VALID.]] - $D$1,0) / 30,0)</f>
        <v>-1474</v>
      </c>
      <c r="U905" s="302" t="s">
        <v>1276</v>
      </c>
      <c r="V905" s="318">
        <v>1</v>
      </c>
      <c r="W905" s="319" t="s">
        <v>2078</v>
      </c>
      <c r="X905" s="320">
        <v>83</v>
      </c>
      <c r="Y905" s="321">
        <v>4</v>
      </c>
      <c r="Z905" s="322"/>
      <c r="AA905" s="323"/>
      <c r="AB905" s="324"/>
      <c r="AC905" s="324"/>
      <c r="AD905" s="323"/>
      <c r="AE905" s="324"/>
      <c r="AF905" s="317"/>
      <c r="AG905" s="325" t="s">
        <v>2072</v>
      </c>
      <c r="AH905" s="326"/>
      <c r="AI905" s="317">
        <v>0</v>
      </c>
      <c r="AJ905" s="326">
        <v>44055</v>
      </c>
      <c r="AK905" s="326">
        <v>38502</v>
      </c>
      <c r="AL905" s="326">
        <v>44594</v>
      </c>
      <c r="AM905" s="316"/>
      <c r="AN905" s="305"/>
      <c r="AO905" s="327" t="str">
        <f>_xlfn.IFNA(IF(VLOOKUP(tabItens[[#This Row],[CÓDIGO]],tabExcluirDoEstoque[#Data],1,FALSE),"sim",""),"")</f>
        <v>sim</v>
      </c>
      <c r="AP905" s="328" t="str">
        <f ca="1">IF(OR(ISBLANK(tabItens[[#This Row],[ATA DT.VALID.]]),tabItens[[#This Row],[ATA DT.VALID.]]="",tabItens[[#This Row],[ATA DT.VALID.]]=" "),"",IF(TYPE(tabItens[[#This Row],[ATA DT.VALID.]])=1,ROUNDUP((tabItens[[#This Row],[ATA DT.VALID.]]-TODAY())/7,0),""))</f>
        <v/>
      </c>
      <c r="AQ905" s="329">
        <v>0</v>
      </c>
      <c r="AR905" s="330" t="str">
        <f>IF(ISBLANK(tabItens[[#This Row],[CÓDIGO]]),"",IFERROR(VLOOKUP(tabItens[[#This Row],[CÓDIGO]],Consumo!$C$2:$AC$862,26,FALSE),0))</f>
        <v>04.2023</v>
      </c>
      <c r="AS905" s="331">
        <f>SUMIF(Consumo!$C$3:$C$862,tabItens[[#This Row],[CÓDIGO]],Consumo!$N$3:$N$862) + SUMIF(Consumo!$C$3:$C$862,tabItens[[#This Row],[CÓDIGO]],Consumo!$O$3:$O$862) + SUMIF(Consumo!$C$3:$C$862,tabItens[[#This Row],[CÓDIGO]],Consumo!$P$3:$P$862) + SUMIF(Consumo!$C$3:$C$862,tabItens[[#This Row],[CÓDIGO]],Consumo!$Q$3:$Q$862)</f>
        <v>0</v>
      </c>
      <c r="AT905" s="331">
        <f>SUMIF(Consumo!$C$3:$C$862,tabItens[[#This Row],[CÓDIGO]],Consumo!$Z$3:$Z$862)</f>
        <v>2</v>
      </c>
      <c r="AU905" s="332">
        <f>SUMIF(Consumo!$C$3:$C$862,tabItens[[#This Row],[CÓDIGO]],Consumo!$AA$3:$AA$862)</f>
        <v>2</v>
      </c>
      <c r="AV905" s="333">
        <f>SUMIF(Consumo!$C$3:$C$862,tabItens[[#This Row],[CÓDIGO]],Consumo!$Y$3:$Y$862)</f>
        <v>8.3333333333333329E-2</v>
      </c>
      <c r="AW905" s="306">
        <f>tabItens[[#This Row],[QTDE ATUAL]] + tabItens[[#This Row],[RC QTDE]] + tabItens[[#This Row],[AF SALDO]] + tabItens[[#This Row],[Recentes]]</f>
        <v>264</v>
      </c>
      <c r="AX905" s="334">
        <v>21</v>
      </c>
      <c r="AY905" s="334">
        <v>4</v>
      </c>
      <c r="AZ905" s="334">
        <f>IF(ISBLANK(tabItens[[#This Row],[CÓDIGO]]),"",tabItens[[#This Row],[PontoMês]] * (AZ$2+tabItens[[#This Row],[PontoQtM]]))</f>
        <v>84</v>
      </c>
      <c r="BA905" s="333">
        <f>tabItens[[#This Row],[PontoPed]] - tabItens[[#This Row],[Saldo]] + (1/10)</f>
        <v>-179.9</v>
      </c>
      <c r="BB905" s="333">
        <f xml:space="preserve"> tabItens[[#This Row],[PontoMês]] * BB$2 - tabItens[[#This Row],[QTDE ATUAL]] - (1/10)</f>
        <v>-243.1</v>
      </c>
      <c r="BC905" s="335">
        <f>IF( tabItens[[#This Row],[PontoPed]]&gt;0, IF(tabItens[[#This Row],[PontoPed]]&lt;1, 1, IF( tabItens[[#This Row],[Saldo]]&gt;tabItens[[#This Row],[PontoPed]], 0, (tabItens[[#This Row],[PontoPed]]-tabItens[[#This Row],[Saldo]])/tabItens[[#This Row],[PontoPed]] ) ), 0 )</f>
        <v>0</v>
      </c>
      <c r="BD905" s="336">
        <f>ROUNDDOWN(IF( OR( AND(tabItens[[#This Row],[PontoPed]]&lt;tabItens[[#This Row],[Saldo]],tabItens[[#This Row],[Saldo]]&gt;0), tabItens[[#This Row],[PontoPed]]=0), 99, IF(AND(tabItens[[#This Row],[Saldo]]=0,tabItens[[#This Row],[PontoPed]]&gt;0), 0, (1-tabItens[[#This Row],[PctAb]])*10 ) ),0)</f>
        <v>99</v>
      </c>
      <c r="BE905" s="337">
        <f>MAX(ROUNDDOWN( IF(tabItens[[#This Row],[Abaixo]] &gt; 0,   tabItens[[#This Row],[Abaixo]] + (tabItens[[#This Row],[PontoMês]] * IF( OR( ISBLANK(tabItens[[#This Row],[ATA Nº/ANO]]), tabItens[[#This Row],[ATA Nº/ANO]] = ""),BE$2,BE$1)),0),0),0)</f>
        <v>0</v>
      </c>
      <c r="BF905" s="338"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5" s="338">
        <f>SUMIF(Consumo!$C$3:$C$862,tabItens[[#This Row],[CÓDIGO]],Consumo!$E$3:$E$862)</f>
        <v>0</v>
      </c>
      <c r="BH905" s="339">
        <f>IF(AND(tabItens[[#This Row],[Pend]] &gt; 0,tabItens[[#This Row],[Consumo]] &lt;&gt; 0), tabItens[[#This Row],[Pend]] / tabItens[[#This Row],[Consumo]], 0 )</f>
        <v>0</v>
      </c>
      <c r="BI905" s="338"/>
      <c r="BJ905" s="338"/>
      <c r="BK905" s="340" t="s">
        <v>2086</v>
      </c>
    </row>
    <row r="906" spans="1:63" hidden="1" x14ac:dyDescent="0.3">
      <c r="A906" s="301">
        <v>48178</v>
      </c>
      <c r="B906" s="302" t="s">
        <v>456</v>
      </c>
      <c r="C906" s="303" t="s">
        <v>263</v>
      </c>
      <c r="D906" s="304">
        <v>182</v>
      </c>
      <c r="E906" s="305"/>
      <c r="F906" s="305"/>
      <c r="G906" s="305" t="s">
        <v>889</v>
      </c>
      <c r="H906" s="306">
        <v>36</v>
      </c>
      <c r="I906" s="307">
        <v>103003</v>
      </c>
      <c r="J906" s="308">
        <v>182</v>
      </c>
      <c r="K906" s="309"/>
      <c r="L906" s="310">
        <f>IF(tabItens[[#This Row],[Média]] &gt; 0, tabItens[[#This Row],[QTDE ATUAL]] / tabItens[[#This Row],[Média]],999.9)</f>
        <v>999.9</v>
      </c>
      <c r="M906" s="311">
        <v>0</v>
      </c>
      <c r="N906" s="312">
        <f>tabItens[[#This Row],[VALOR UNIT.]] * tabItens[[#This Row],[LC]]</f>
        <v>0</v>
      </c>
      <c r="O906" s="313" t="s">
        <v>2144</v>
      </c>
      <c r="P906" s="314"/>
      <c r="Q906" s="315"/>
      <c r="R906" s="312"/>
      <c r="S906" s="316"/>
      <c r="T906" s="317">
        <f>ROUNDDOWN(IFERROR(tabItens[[#This Row],[ATA DT.VALID.]] - $D$1,0) / 30,0)</f>
        <v>-1474</v>
      </c>
      <c r="U906" s="302" t="s">
        <v>1115</v>
      </c>
      <c r="V906" s="318">
        <v>1</v>
      </c>
      <c r="W906" s="319" t="s">
        <v>2079</v>
      </c>
      <c r="X906" s="320">
        <v>74</v>
      </c>
      <c r="Y906" s="321">
        <v>8</v>
      </c>
      <c r="Z906" s="322"/>
      <c r="AA906" s="323"/>
      <c r="AB906" s="324"/>
      <c r="AC906" s="324"/>
      <c r="AD906" s="323"/>
      <c r="AE906" s="324"/>
      <c r="AF906" s="317"/>
      <c r="AG906" s="325" t="s">
        <v>2072</v>
      </c>
      <c r="AH906" s="326"/>
      <c r="AI906" s="317">
        <v>0</v>
      </c>
      <c r="AJ906" s="326">
        <v>43284</v>
      </c>
      <c r="AK906" s="326" t="s">
        <v>889</v>
      </c>
      <c r="AL906" s="326">
        <v>43224</v>
      </c>
      <c r="AM906" s="316"/>
      <c r="AN906" s="305"/>
      <c r="AO906" s="327" t="str">
        <f>_xlfn.IFNA(IF(VLOOKUP(tabItens[[#This Row],[CÓDIGO]],tabExcluirDoEstoque[#Data],1,FALSE),"sim",""),"")</f>
        <v>sim</v>
      </c>
      <c r="AP906" s="328" t="str">
        <f ca="1">IF(OR(ISBLANK(tabItens[[#This Row],[ATA DT.VALID.]]),tabItens[[#This Row],[ATA DT.VALID.]]="",tabItens[[#This Row],[ATA DT.VALID.]]=" "),"",IF(TYPE(tabItens[[#This Row],[ATA DT.VALID.]])=1,ROUNDUP((tabItens[[#This Row],[ATA DT.VALID.]]-TODAY())/7,0),""))</f>
        <v/>
      </c>
      <c r="AQ906" s="329">
        <v>0</v>
      </c>
      <c r="AR906" s="330">
        <f>IF(ISBLANK(tabItens[[#This Row],[CÓDIGO]]),"",IFERROR(VLOOKUP(tabItens[[#This Row],[CÓDIGO]],Consumo!$C$2:$AC$862,26,FALSE),0))</f>
        <v>0</v>
      </c>
      <c r="AS906" s="331">
        <f>SUMIF(Consumo!$C$3:$C$862,tabItens[[#This Row],[CÓDIGO]],Consumo!$N$3:$N$862) + SUMIF(Consumo!$C$3:$C$862,tabItens[[#This Row],[CÓDIGO]],Consumo!$O$3:$O$862) + SUMIF(Consumo!$C$3:$C$862,tabItens[[#This Row],[CÓDIGO]],Consumo!$P$3:$P$862) + SUMIF(Consumo!$C$3:$C$862,tabItens[[#This Row],[CÓDIGO]],Consumo!$Q$3:$Q$862)</f>
        <v>0</v>
      </c>
      <c r="AT906" s="331">
        <f>SUMIF(Consumo!$C$3:$C$862,tabItens[[#This Row],[CÓDIGO]],Consumo!$Z$3:$Z$862)</f>
        <v>0</v>
      </c>
      <c r="AU906" s="332">
        <f>SUMIF(Consumo!$C$3:$C$862,tabItens[[#This Row],[CÓDIGO]],Consumo!$AA$3:$AA$862)</f>
        <v>0</v>
      </c>
      <c r="AV906" s="333">
        <f>SUMIF(Consumo!$C$3:$C$862,tabItens[[#This Row],[CÓDIGO]],Consumo!$Y$3:$Y$862)</f>
        <v>0</v>
      </c>
      <c r="AW906" s="306">
        <f>tabItens[[#This Row],[QTDE ATUAL]] + tabItens[[#This Row],[RC QTDE]] + tabItens[[#This Row],[AF SALDO]] + tabItens[[#This Row],[Recentes]]</f>
        <v>36</v>
      </c>
      <c r="AX906" s="334">
        <v>0</v>
      </c>
      <c r="AY906" s="334">
        <v>0</v>
      </c>
      <c r="AZ906" s="334">
        <f>IF(ISBLANK(tabItens[[#This Row],[CÓDIGO]]),"",tabItens[[#This Row],[PontoMês]] * (AZ$2+tabItens[[#This Row],[PontoQtM]]))</f>
        <v>0</v>
      </c>
      <c r="BA906" s="333">
        <f>tabItens[[#This Row],[PontoPed]] - tabItens[[#This Row],[Saldo]] + (1/10)</f>
        <v>-35.9</v>
      </c>
      <c r="BB906" s="333">
        <f xml:space="preserve"> tabItens[[#This Row],[PontoMês]] * BB$2 - tabItens[[#This Row],[QTDE ATUAL]] - (1/10)</f>
        <v>-36.1</v>
      </c>
      <c r="BC906" s="335">
        <f>IF( tabItens[[#This Row],[PontoPed]]&gt;0, IF(tabItens[[#This Row],[PontoPed]]&lt;1, 1, IF( tabItens[[#This Row],[Saldo]]&gt;tabItens[[#This Row],[PontoPed]], 0, (tabItens[[#This Row],[PontoPed]]-tabItens[[#This Row],[Saldo]])/tabItens[[#This Row],[PontoPed]] ) ), 0 )</f>
        <v>0</v>
      </c>
      <c r="BD906" s="336">
        <f>ROUNDDOWN(IF( OR( AND(tabItens[[#This Row],[PontoPed]]&lt;tabItens[[#This Row],[Saldo]],tabItens[[#This Row],[Saldo]]&gt;0), tabItens[[#This Row],[PontoPed]]=0), 99, IF(AND(tabItens[[#This Row],[Saldo]]=0,tabItens[[#This Row],[PontoPed]]&gt;0), 0, (1-tabItens[[#This Row],[PctAb]])*10 ) ),0)</f>
        <v>99</v>
      </c>
      <c r="BE906" s="337">
        <f>MAX(ROUNDDOWN( IF(tabItens[[#This Row],[Abaixo]] &gt; 0,   tabItens[[#This Row],[Abaixo]] + (tabItens[[#This Row],[PontoMês]] * IF( OR( ISBLANK(tabItens[[#This Row],[ATA Nº/ANO]]), tabItens[[#This Row],[ATA Nº/ANO]] = ""),BE$2,BE$1)),0),0),0)</f>
        <v>0</v>
      </c>
      <c r="BF906" s="338"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6" s="338">
        <f>SUMIF(Consumo!$C$3:$C$862,tabItens[[#This Row],[CÓDIGO]],Consumo!$E$3:$E$862)</f>
        <v>0</v>
      </c>
      <c r="BH906" s="339">
        <f>IF(AND(tabItens[[#This Row],[Pend]] &gt; 0,tabItens[[#This Row],[Consumo]] &lt;&gt; 0), tabItens[[#This Row],[Pend]] / tabItens[[#This Row],[Consumo]], 0 )</f>
        <v>0</v>
      </c>
      <c r="BI906" s="338"/>
      <c r="BJ906" s="338"/>
      <c r="BK906" s="340" t="s">
        <v>2086</v>
      </c>
    </row>
    <row r="907" spans="1:63" hidden="1" x14ac:dyDescent="0.3">
      <c r="A907" s="301">
        <v>12812</v>
      </c>
      <c r="B907" s="302" t="s">
        <v>288</v>
      </c>
      <c r="C907" s="303" t="s">
        <v>263</v>
      </c>
      <c r="D907" s="304">
        <v>4.12</v>
      </c>
      <c r="E907" s="305"/>
      <c r="F907" s="305"/>
      <c r="G907" s="305" t="s">
        <v>889</v>
      </c>
      <c r="H907" s="306">
        <v>63</v>
      </c>
      <c r="I907" s="307">
        <v>103003</v>
      </c>
      <c r="J907" s="308">
        <v>4.12</v>
      </c>
      <c r="K907" s="309">
        <v>14</v>
      </c>
      <c r="L907" s="310">
        <f>IF(tabItens[[#This Row],[Média]] &gt; 0, tabItens[[#This Row],[QTDE ATUAL]] / tabItens[[#This Row],[Média]],999.9)</f>
        <v>58.15384615384616</v>
      </c>
      <c r="M907" s="311">
        <v>0</v>
      </c>
      <c r="N907" s="312">
        <f>tabItens[[#This Row],[VALOR UNIT.]] * tabItens[[#This Row],[LC]]</f>
        <v>0</v>
      </c>
      <c r="O907" s="313" t="s">
        <v>2096</v>
      </c>
      <c r="P907" s="314"/>
      <c r="Q907" s="315"/>
      <c r="R907" s="312"/>
      <c r="S907" s="316"/>
      <c r="T907" s="317">
        <f>ROUNDDOWN(IFERROR(tabItens[[#This Row],[ATA DT.VALID.]] - $D$1,0) / 30,0)</f>
        <v>-1474</v>
      </c>
      <c r="U907" s="302" t="s">
        <v>964</v>
      </c>
      <c r="V907" s="318">
        <v>1</v>
      </c>
      <c r="W907" s="319" t="s">
        <v>2075</v>
      </c>
      <c r="X907" s="320">
        <v>76</v>
      </c>
      <c r="Y907" s="321">
        <v>11</v>
      </c>
      <c r="Z907" s="322"/>
      <c r="AA907" s="323"/>
      <c r="AB907" s="324"/>
      <c r="AC907" s="324"/>
      <c r="AD907" s="323"/>
      <c r="AE907" s="324"/>
      <c r="AF907" s="317"/>
      <c r="AG907" s="325" t="s">
        <v>2072</v>
      </c>
      <c r="AH907" s="326"/>
      <c r="AI907" s="317">
        <v>4</v>
      </c>
      <c r="AJ907" s="326">
        <v>44358</v>
      </c>
      <c r="AK907" s="326" t="s">
        <v>889</v>
      </c>
      <c r="AL907" s="326">
        <v>45180</v>
      </c>
      <c r="AM907" s="316"/>
      <c r="AN907" s="305"/>
      <c r="AO907" s="327" t="str">
        <f>_xlfn.IFNA(IF(VLOOKUP(tabItens[[#This Row],[CÓDIGO]],tabExcluirDoEstoque[#Data],1,FALSE),"sim",""),"")</f>
        <v>sim</v>
      </c>
      <c r="AP907" s="328" t="str">
        <f ca="1">IF(OR(ISBLANK(tabItens[[#This Row],[ATA DT.VALID.]]),tabItens[[#This Row],[ATA DT.VALID.]]="",tabItens[[#This Row],[ATA DT.VALID.]]=" "),"",IF(TYPE(tabItens[[#This Row],[ATA DT.VALID.]])=1,ROUNDUP((tabItens[[#This Row],[ATA DT.VALID.]]-TODAY())/7,0),""))</f>
        <v/>
      </c>
      <c r="AQ907" s="329">
        <v>0</v>
      </c>
      <c r="AR907" s="330" t="str">
        <f>IF(ISBLANK(tabItens[[#This Row],[CÓDIGO]]),"",IFERROR(VLOOKUP(tabItens[[#This Row],[CÓDIGO]],Consumo!$C$2:$AC$862,26,FALSE),0))</f>
        <v>04.2023</v>
      </c>
      <c r="AS907" s="331">
        <f>SUMIF(Consumo!$C$3:$C$862,tabItens[[#This Row],[CÓDIGO]],Consumo!$N$3:$N$862) + SUMIF(Consumo!$C$3:$C$862,tabItens[[#This Row],[CÓDIGO]],Consumo!$O$3:$O$862) + SUMIF(Consumo!$C$3:$C$862,tabItens[[#This Row],[CÓDIGO]],Consumo!$P$3:$P$862) + SUMIF(Consumo!$C$3:$C$862,tabItens[[#This Row],[CÓDIGO]],Consumo!$Q$3:$Q$862)</f>
        <v>0</v>
      </c>
      <c r="AT907" s="331">
        <f>SUMIF(Consumo!$C$3:$C$862,tabItens[[#This Row],[CÓDIGO]],Consumo!$Z$3:$Z$862)</f>
        <v>14</v>
      </c>
      <c r="AU907" s="332">
        <f>SUMIF(Consumo!$C$3:$C$862,tabItens[[#This Row],[CÓDIGO]],Consumo!$AA$3:$AA$862)</f>
        <v>4</v>
      </c>
      <c r="AV907" s="333">
        <f>SUMIF(Consumo!$C$3:$C$862,tabItens[[#This Row],[CÓDIGO]],Consumo!$Y$3:$Y$862)</f>
        <v>1.0833333333333333</v>
      </c>
      <c r="AW907" s="306">
        <f>tabItens[[#This Row],[QTDE ATUAL]] + tabItens[[#This Row],[RC QTDE]] + tabItens[[#This Row],[AF SALDO]] + tabItens[[#This Row],[Recentes]]</f>
        <v>63</v>
      </c>
      <c r="AX907" s="334">
        <v>4</v>
      </c>
      <c r="AY907" s="334">
        <v>4</v>
      </c>
      <c r="AZ907" s="334">
        <f>IF(ISBLANK(tabItens[[#This Row],[CÓDIGO]]),"",tabItens[[#This Row],[PontoMês]] * (AZ$2+tabItens[[#This Row],[PontoQtM]]))</f>
        <v>16</v>
      </c>
      <c r="BA907" s="333">
        <f>tabItens[[#This Row],[PontoPed]] - tabItens[[#This Row],[Saldo]] + (1/10)</f>
        <v>-46.9</v>
      </c>
      <c r="BB907" s="333">
        <f xml:space="preserve"> tabItens[[#This Row],[PontoMês]] * BB$2 - tabItens[[#This Row],[QTDE ATUAL]] - (1/10)</f>
        <v>-59.1</v>
      </c>
      <c r="BC907" s="335">
        <f>IF( tabItens[[#This Row],[PontoPed]]&gt;0, IF(tabItens[[#This Row],[PontoPed]]&lt;1, 1, IF( tabItens[[#This Row],[Saldo]]&gt;tabItens[[#This Row],[PontoPed]], 0, (tabItens[[#This Row],[PontoPed]]-tabItens[[#This Row],[Saldo]])/tabItens[[#This Row],[PontoPed]] ) ), 0 )</f>
        <v>0</v>
      </c>
      <c r="BD907" s="336">
        <f>ROUNDDOWN(IF( OR( AND(tabItens[[#This Row],[PontoPed]]&lt;tabItens[[#This Row],[Saldo]],tabItens[[#This Row],[Saldo]]&gt;0), tabItens[[#This Row],[PontoPed]]=0), 99, IF(AND(tabItens[[#This Row],[Saldo]]=0,tabItens[[#This Row],[PontoPed]]&gt;0), 0, (1-tabItens[[#This Row],[PctAb]])*10 ) ),0)</f>
        <v>99</v>
      </c>
      <c r="BE907" s="337">
        <f>MAX(ROUNDDOWN( IF(tabItens[[#This Row],[Abaixo]] &gt; 0,   tabItens[[#This Row],[Abaixo]] + (tabItens[[#This Row],[PontoMês]] * IF( OR( ISBLANK(tabItens[[#This Row],[ATA Nº/ANO]]), tabItens[[#This Row],[ATA Nº/ANO]] = ""),BE$2,BE$1)),0),0),0)</f>
        <v>0</v>
      </c>
      <c r="BF907" s="338"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7" s="338">
        <f>SUMIF(Consumo!$C$3:$C$862,tabItens[[#This Row],[CÓDIGO]],Consumo!$E$3:$E$862)</f>
        <v>0</v>
      </c>
      <c r="BH907" s="339">
        <f>IF(AND(tabItens[[#This Row],[Pend]] &gt; 0,tabItens[[#This Row],[Consumo]] &lt;&gt; 0), tabItens[[#This Row],[Pend]] / tabItens[[#This Row],[Consumo]], 0 )</f>
        <v>0</v>
      </c>
      <c r="BI907" s="338"/>
      <c r="BJ907" s="338"/>
      <c r="BK907" s="340" t="s">
        <v>2086</v>
      </c>
    </row>
    <row r="908" spans="1:63" hidden="1" x14ac:dyDescent="0.3">
      <c r="A908" s="301">
        <v>88718</v>
      </c>
      <c r="B908" s="302" t="s">
        <v>575</v>
      </c>
      <c r="C908" s="303" t="s">
        <v>263</v>
      </c>
      <c r="D908" s="304">
        <v>33.1</v>
      </c>
      <c r="E908" s="305"/>
      <c r="F908" s="305"/>
      <c r="G908" s="305" t="s">
        <v>889</v>
      </c>
      <c r="H908" s="306">
        <v>96</v>
      </c>
      <c r="I908" s="307">
        <v>103003</v>
      </c>
      <c r="J908" s="308">
        <v>33.1</v>
      </c>
      <c r="K908" s="309">
        <v>12</v>
      </c>
      <c r="L908" s="310">
        <f>IF(tabItens[[#This Row],[Média]] &gt; 0, tabItens[[#This Row],[QTDE ATUAL]] / tabItens[[#This Row],[Média]],999.9)</f>
        <v>104.72727272727273</v>
      </c>
      <c r="M908" s="311">
        <v>0</v>
      </c>
      <c r="N908" s="312">
        <f>tabItens[[#This Row],[VALOR UNIT.]] * tabItens[[#This Row],[LC]]</f>
        <v>0</v>
      </c>
      <c r="O908" s="313" t="s">
        <v>2123</v>
      </c>
      <c r="P908" s="314"/>
      <c r="Q908" s="315"/>
      <c r="R908" s="312"/>
      <c r="S908" s="316"/>
      <c r="T908" s="317">
        <f>ROUNDDOWN(IFERROR(tabItens[[#This Row],[ATA DT.VALID.]] - $D$1,0) / 30,0)</f>
        <v>-1474</v>
      </c>
      <c r="U908" s="302" t="s">
        <v>1502</v>
      </c>
      <c r="V908" s="318">
        <v>1</v>
      </c>
      <c r="W908" s="319" t="s">
        <v>2077</v>
      </c>
      <c r="X908" s="320">
        <v>55</v>
      </c>
      <c r="Y908" s="321">
        <v>26</v>
      </c>
      <c r="Z908" s="322"/>
      <c r="AA908" s="323"/>
      <c r="AB908" s="324"/>
      <c r="AC908" s="324"/>
      <c r="AD908" s="323"/>
      <c r="AE908" s="324"/>
      <c r="AF908" s="317"/>
      <c r="AG908" s="325" t="s">
        <v>2072</v>
      </c>
      <c r="AH908" s="326"/>
      <c r="AI908" s="317">
        <v>4</v>
      </c>
      <c r="AJ908" s="326">
        <v>44951</v>
      </c>
      <c r="AK908" s="326">
        <v>38656</v>
      </c>
      <c r="AL908" s="326">
        <v>44917</v>
      </c>
      <c r="AM908" s="316"/>
      <c r="AN908" s="305"/>
      <c r="AO908" s="327" t="str">
        <f>_xlfn.IFNA(IF(VLOOKUP(tabItens[[#This Row],[CÓDIGO]],tabExcluirDoEstoque[#Data],1,FALSE),"sim",""),"")</f>
        <v>sim</v>
      </c>
      <c r="AP908" s="328" t="str">
        <f ca="1">IF(OR(ISBLANK(tabItens[[#This Row],[ATA DT.VALID.]]),tabItens[[#This Row],[ATA DT.VALID.]]="",tabItens[[#This Row],[ATA DT.VALID.]]=" "),"",IF(TYPE(tabItens[[#This Row],[ATA DT.VALID.]])=1,ROUNDUP((tabItens[[#This Row],[ATA DT.VALID.]]-TODAY())/7,0),""))</f>
        <v/>
      </c>
      <c r="AQ908" s="329">
        <v>0</v>
      </c>
      <c r="AR908" s="330" t="str">
        <f>IF(ISBLANK(tabItens[[#This Row],[CÓDIGO]]),"",IFERROR(VLOOKUP(tabItens[[#This Row],[CÓDIGO]],Consumo!$C$2:$AC$862,26,FALSE),0))</f>
        <v>05.2023</v>
      </c>
      <c r="AS908" s="331">
        <f>SUMIF(Consumo!$C$3:$C$862,tabItens[[#This Row],[CÓDIGO]],Consumo!$N$3:$N$862) + SUMIF(Consumo!$C$3:$C$862,tabItens[[#This Row],[CÓDIGO]],Consumo!$O$3:$O$862) + SUMIF(Consumo!$C$3:$C$862,tabItens[[#This Row],[CÓDIGO]],Consumo!$P$3:$P$862) + SUMIF(Consumo!$C$3:$C$862,tabItens[[#This Row],[CÓDIGO]],Consumo!$Q$3:$Q$862)</f>
        <v>0</v>
      </c>
      <c r="AT908" s="331">
        <f>SUMIF(Consumo!$C$3:$C$862,tabItens[[#This Row],[CÓDIGO]],Consumo!$Z$3:$Z$862)</f>
        <v>12</v>
      </c>
      <c r="AU908" s="332">
        <f>SUMIF(Consumo!$C$3:$C$862,tabItens[[#This Row],[CÓDIGO]],Consumo!$AA$3:$AA$862)</f>
        <v>6</v>
      </c>
      <c r="AV908" s="333">
        <f>SUMIF(Consumo!$C$3:$C$862,tabItens[[#This Row],[CÓDIGO]],Consumo!$Y$3:$Y$862)</f>
        <v>0.91666666666666663</v>
      </c>
      <c r="AW908" s="306">
        <f>tabItens[[#This Row],[QTDE ATUAL]] + tabItens[[#This Row],[RC QTDE]] + tabItens[[#This Row],[AF SALDO]] + tabItens[[#This Row],[Recentes]]</f>
        <v>96</v>
      </c>
      <c r="AX908" s="334">
        <v>10</v>
      </c>
      <c r="AY908" s="334">
        <v>4</v>
      </c>
      <c r="AZ908" s="334">
        <f>IF(ISBLANK(tabItens[[#This Row],[CÓDIGO]]),"",tabItens[[#This Row],[PontoMês]] * (AZ$2+tabItens[[#This Row],[PontoQtM]]))</f>
        <v>40</v>
      </c>
      <c r="BA908" s="333">
        <f>tabItens[[#This Row],[PontoPed]] - tabItens[[#This Row],[Saldo]] + (1/10)</f>
        <v>-55.9</v>
      </c>
      <c r="BB908" s="333">
        <f xml:space="preserve"> tabItens[[#This Row],[PontoMês]] * BB$2 - tabItens[[#This Row],[QTDE ATUAL]] - (1/10)</f>
        <v>-86.1</v>
      </c>
      <c r="BC908" s="335">
        <f>IF( tabItens[[#This Row],[PontoPed]]&gt;0, IF(tabItens[[#This Row],[PontoPed]]&lt;1, 1, IF( tabItens[[#This Row],[Saldo]]&gt;tabItens[[#This Row],[PontoPed]], 0, (tabItens[[#This Row],[PontoPed]]-tabItens[[#This Row],[Saldo]])/tabItens[[#This Row],[PontoPed]] ) ), 0 )</f>
        <v>0</v>
      </c>
      <c r="BD908" s="336">
        <f>ROUNDDOWN(IF( OR( AND(tabItens[[#This Row],[PontoPed]]&lt;tabItens[[#This Row],[Saldo]],tabItens[[#This Row],[Saldo]]&gt;0), tabItens[[#This Row],[PontoPed]]=0), 99, IF(AND(tabItens[[#This Row],[Saldo]]=0,tabItens[[#This Row],[PontoPed]]&gt;0), 0, (1-tabItens[[#This Row],[PctAb]])*10 ) ),0)</f>
        <v>99</v>
      </c>
      <c r="BE908" s="337">
        <f>MAX(ROUNDDOWN( IF(tabItens[[#This Row],[Abaixo]] &gt; 0,   tabItens[[#This Row],[Abaixo]] + (tabItens[[#This Row],[PontoMês]] * IF( OR( ISBLANK(tabItens[[#This Row],[ATA Nº/ANO]]), tabItens[[#This Row],[ATA Nº/ANO]] = ""),BE$2,BE$1)),0),0),0)</f>
        <v>0</v>
      </c>
      <c r="BF908" s="338"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8" s="338">
        <f>SUMIF(Consumo!$C$3:$C$862,tabItens[[#This Row],[CÓDIGO]],Consumo!$E$3:$E$862)</f>
        <v>0</v>
      </c>
      <c r="BH908" s="339">
        <f>IF(AND(tabItens[[#This Row],[Pend]] &gt; 0,tabItens[[#This Row],[Consumo]] &lt;&gt; 0), tabItens[[#This Row],[Pend]] / tabItens[[#This Row],[Consumo]], 0 )</f>
        <v>0</v>
      </c>
      <c r="BI908" s="338"/>
      <c r="BJ908" s="338"/>
      <c r="BK908" s="340" t="s">
        <v>2086</v>
      </c>
    </row>
    <row r="909" spans="1:63" hidden="1" x14ac:dyDescent="0.3">
      <c r="A909" s="301">
        <v>104755</v>
      </c>
      <c r="B909" s="302" t="s">
        <v>663</v>
      </c>
      <c r="C909" s="303" t="s">
        <v>263</v>
      </c>
      <c r="D909" s="304">
        <v>23.92</v>
      </c>
      <c r="E909" s="305"/>
      <c r="F909" s="305"/>
      <c r="G909" s="305" t="s">
        <v>889</v>
      </c>
      <c r="H909" s="306">
        <v>60</v>
      </c>
      <c r="I909" s="307">
        <v>103003</v>
      </c>
      <c r="J909" s="308">
        <v>23.92</v>
      </c>
      <c r="K909" s="309"/>
      <c r="L909" s="310">
        <f>IF(tabItens[[#This Row],[Média]] &gt; 0, tabItens[[#This Row],[QTDE ATUAL]] / tabItens[[#This Row],[Média]],999.9)</f>
        <v>999.9</v>
      </c>
      <c r="M909" s="311">
        <v>0</v>
      </c>
      <c r="N909" s="312">
        <f>tabItens[[#This Row],[VALOR UNIT.]] * tabItens[[#This Row],[LC]]</f>
        <v>0</v>
      </c>
      <c r="O909" s="313" t="s">
        <v>2173</v>
      </c>
      <c r="P909" s="314"/>
      <c r="Q909" s="315"/>
      <c r="R909" s="312"/>
      <c r="S909" s="316"/>
      <c r="T909" s="317">
        <f>ROUNDDOWN(IFERROR(tabItens[[#This Row],[ATA DT.VALID.]] - $D$1,0) / 30,0)</f>
        <v>-1474</v>
      </c>
      <c r="U909" s="302" t="s">
        <v>1214</v>
      </c>
      <c r="V909" s="318">
        <v>1</v>
      </c>
      <c r="W909" s="319" t="s">
        <v>2074</v>
      </c>
      <c r="X909" s="320">
        <v>78</v>
      </c>
      <c r="Y909" s="321">
        <v>6</v>
      </c>
      <c r="Z909" s="322"/>
      <c r="AA909" s="323"/>
      <c r="AB909" s="324"/>
      <c r="AC909" s="324"/>
      <c r="AD909" s="323"/>
      <c r="AE909" s="324"/>
      <c r="AF909" s="317"/>
      <c r="AG909" s="325" t="s">
        <v>2072</v>
      </c>
      <c r="AH909" s="326"/>
      <c r="AI909" s="317">
        <v>0</v>
      </c>
      <c r="AJ909" s="326">
        <v>43376</v>
      </c>
      <c r="AK909" s="326">
        <v>39479</v>
      </c>
      <c r="AL909" s="326">
        <v>43347</v>
      </c>
      <c r="AM909" s="316"/>
      <c r="AN909" s="305"/>
      <c r="AO909" s="327" t="str">
        <f>_xlfn.IFNA(IF(VLOOKUP(tabItens[[#This Row],[CÓDIGO]],tabExcluirDoEstoque[#Data],1,FALSE),"sim",""),"")</f>
        <v>sim</v>
      </c>
      <c r="AP909" s="328" t="str">
        <f ca="1">IF(OR(ISBLANK(tabItens[[#This Row],[ATA DT.VALID.]]),tabItens[[#This Row],[ATA DT.VALID.]]="",tabItens[[#This Row],[ATA DT.VALID.]]=" "),"",IF(TYPE(tabItens[[#This Row],[ATA DT.VALID.]])=1,ROUNDUP((tabItens[[#This Row],[ATA DT.VALID.]]-TODAY())/7,0),""))</f>
        <v/>
      </c>
      <c r="AQ909" s="329">
        <v>0</v>
      </c>
      <c r="AR909" s="330">
        <f>IF(ISBLANK(tabItens[[#This Row],[CÓDIGO]]),"",IFERROR(VLOOKUP(tabItens[[#This Row],[CÓDIGO]],Consumo!$C$2:$AC$862,26,FALSE),0))</f>
        <v>0</v>
      </c>
      <c r="AS909" s="331">
        <f>SUMIF(Consumo!$C$3:$C$862,tabItens[[#This Row],[CÓDIGO]],Consumo!$N$3:$N$862) + SUMIF(Consumo!$C$3:$C$862,tabItens[[#This Row],[CÓDIGO]],Consumo!$O$3:$O$862) + SUMIF(Consumo!$C$3:$C$862,tabItens[[#This Row],[CÓDIGO]],Consumo!$P$3:$P$862) + SUMIF(Consumo!$C$3:$C$862,tabItens[[#This Row],[CÓDIGO]],Consumo!$Q$3:$Q$862)</f>
        <v>0</v>
      </c>
      <c r="AT909" s="331">
        <f>SUMIF(Consumo!$C$3:$C$862,tabItens[[#This Row],[CÓDIGO]],Consumo!$Z$3:$Z$862)</f>
        <v>0</v>
      </c>
      <c r="AU909" s="332">
        <f>SUMIF(Consumo!$C$3:$C$862,tabItens[[#This Row],[CÓDIGO]],Consumo!$AA$3:$AA$862)</f>
        <v>0</v>
      </c>
      <c r="AV909" s="333">
        <f>SUMIF(Consumo!$C$3:$C$862,tabItens[[#This Row],[CÓDIGO]],Consumo!$Y$3:$Y$862)</f>
        <v>0</v>
      </c>
      <c r="AW909" s="306">
        <f>tabItens[[#This Row],[QTDE ATUAL]] + tabItens[[#This Row],[RC QTDE]] + tabItens[[#This Row],[AF SALDO]] + tabItens[[#This Row],[Recentes]]</f>
        <v>60</v>
      </c>
      <c r="AX909" s="334">
        <v>109</v>
      </c>
      <c r="AY909" s="334">
        <v>4</v>
      </c>
      <c r="AZ909" s="334">
        <f>IF(ISBLANK(tabItens[[#This Row],[CÓDIGO]]),"",tabItens[[#This Row],[PontoMês]] * (AZ$2+tabItens[[#This Row],[PontoQtM]]))</f>
        <v>436</v>
      </c>
      <c r="BA909" s="333">
        <f>tabItens[[#This Row],[PontoPed]] - tabItens[[#This Row],[Saldo]] + (1/10)</f>
        <v>376.1</v>
      </c>
      <c r="BB909" s="333">
        <f xml:space="preserve"> tabItens[[#This Row],[PontoMês]] * BB$2 - tabItens[[#This Row],[QTDE ATUAL]] - (1/10)</f>
        <v>48.9</v>
      </c>
      <c r="BC909" s="335">
        <f>IF( tabItens[[#This Row],[PontoPed]]&gt;0, IF(tabItens[[#This Row],[PontoPed]]&lt;1, 1, IF( tabItens[[#This Row],[Saldo]]&gt;tabItens[[#This Row],[PontoPed]], 0, (tabItens[[#This Row],[PontoPed]]-tabItens[[#This Row],[Saldo]])/tabItens[[#This Row],[PontoPed]] ) ), 0 )</f>
        <v>0.86238532110091748</v>
      </c>
      <c r="BD909" s="336">
        <f>ROUNDDOWN(IF( OR( AND(tabItens[[#This Row],[PontoPed]]&lt;tabItens[[#This Row],[Saldo]],tabItens[[#This Row],[Saldo]]&gt;0), tabItens[[#This Row],[PontoPed]]=0), 99, IF(AND(tabItens[[#This Row],[Saldo]]=0,tabItens[[#This Row],[PontoPed]]&gt;0), 0, (1-tabItens[[#This Row],[PctAb]])*10 ) ),0)</f>
        <v>1</v>
      </c>
      <c r="BE909" s="337">
        <f>MAX(ROUNDDOWN( IF(tabItens[[#This Row],[Abaixo]] &gt; 0,   tabItens[[#This Row],[Abaixo]] + (tabItens[[#This Row],[PontoMês]] * IF( OR( ISBLANK(tabItens[[#This Row],[ATA Nº/ANO]]), tabItens[[#This Row],[ATA Nº/ANO]] = ""),BE$2,BE$1)),0),0),0)</f>
        <v>703</v>
      </c>
      <c r="BF909" s="338"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9" s="338">
        <f>SUMIF(Consumo!$C$3:$C$862,tabItens[[#This Row],[CÓDIGO]],Consumo!$E$3:$E$862)</f>
        <v>0</v>
      </c>
      <c r="BH909" s="339">
        <f>IF(AND(tabItens[[#This Row],[Pend]] &gt; 0,tabItens[[#This Row],[Consumo]] &lt;&gt; 0), tabItens[[#This Row],[Pend]] / tabItens[[#This Row],[Consumo]], 0 )</f>
        <v>0</v>
      </c>
      <c r="BI909" s="338"/>
      <c r="BJ909" s="338"/>
      <c r="BK909" s="340" t="s">
        <v>2086</v>
      </c>
    </row>
    <row r="910" spans="1:63" hidden="1" x14ac:dyDescent="0.3">
      <c r="A910" s="301">
        <v>64821</v>
      </c>
      <c r="B910" s="302" t="s">
        <v>507</v>
      </c>
      <c r="C910" s="303" t="s">
        <v>287</v>
      </c>
      <c r="D910" s="304">
        <v>99</v>
      </c>
      <c r="E910" s="305"/>
      <c r="F910" s="305"/>
      <c r="G910" s="305" t="s">
        <v>889</v>
      </c>
      <c r="H910" s="306">
        <v>18</v>
      </c>
      <c r="I910" s="307">
        <v>103003</v>
      </c>
      <c r="J910" s="308">
        <v>99</v>
      </c>
      <c r="K910" s="309">
        <v>5</v>
      </c>
      <c r="L910" s="310">
        <f>IF(tabItens[[#This Row],[Média]] &gt; 0, tabItens[[#This Row],[QTDE ATUAL]] / tabItens[[#This Row],[Média]],999.9)</f>
        <v>43.199999999999996</v>
      </c>
      <c r="M910" s="311">
        <v>0</v>
      </c>
      <c r="N910" s="312">
        <f>tabItens[[#This Row],[VALOR UNIT.]] * tabItens[[#This Row],[LC]]</f>
        <v>0</v>
      </c>
      <c r="O910" s="313" t="s">
        <v>2130</v>
      </c>
      <c r="P910" s="314"/>
      <c r="Q910" s="315"/>
      <c r="R910" s="312"/>
      <c r="S910" s="316"/>
      <c r="T910" s="317">
        <f>ROUNDDOWN(IFERROR(tabItens[[#This Row],[ATA DT.VALID.]] - $D$1,0) / 30,0)</f>
        <v>-1474</v>
      </c>
      <c r="U910" s="302" t="s">
        <v>1391</v>
      </c>
      <c r="V910" s="318">
        <v>1</v>
      </c>
      <c r="W910" s="319" t="s">
        <v>2075</v>
      </c>
      <c r="X910" s="320">
        <v>76</v>
      </c>
      <c r="Y910" s="321">
        <v>9</v>
      </c>
      <c r="Z910" s="322"/>
      <c r="AA910" s="323"/>
      <c r="AB910" s="324"/>
      <c r="AC910" s="324"/>
      <c r="AD910" s="323"/>
      <c r="AE910" s="324"/>
      <c r="AF910" s="317"/>
      <c r="AG910" s="325" t="s">
        <v>2072</v>
      </c>
      <c r="AH910" s="326"/>
      <c r="AI910" s="317">
        <v>2</v>
      </c>
      <c r="AJ910" s="326">
        <v>43497</v>
      </c>
      <c r="AK910" s="326" t="s">
        <v>889</v>
      </c>
      <c r="AL910" s="326">
        <v>43875</v>
      </c>
      <c r="AM910" s="316"/>
      <c r="AN910" s="305"/>
      <c r="AO910" s="327" t="str">
        <f>_xlfn.IFNA(IF(VLOOKUP(tabItens[[#This Row],[CÓDIGO]],tabExcluirDoEstoque[#Data],1,FALSE),"sim",""),"")</f>
        <v>sim</v>
      </c>
      <c r="AP910" s="328" t="str">
        <f ca="1">IF(OR(ISBLANK(tabItens[[#This Row],[ATA DT.VALID.]]),tabItens[[#This Row],[ATA DT.VALID.]]="",tabItens[[#This Row],[ATA DT.VALID.]]=" "),"",IF(TYPE(tabItens[[#This Row],[ATA DT.VALID.]])=1,ROUNDUP((tabItens[[#This Row],[ATA DT.VALID.]]-TODAY())/7,0),""))</f>
        <v/>
      </c>
      <c r="AQ910" s="329">
        <v>0</v>
      </c>
      <c r="AR910" s="330" t="str">
        <f>IF(ISBLANK(tabItens[[#This Row],[CÓDIGO]]),"",IFERROR(VLOOKUP(tabItens[[#This Row],[CÓDIGO]],Consumo!$C$2:$AC$862,26,FALSE),0))</f>
        <v>08.2023</v>
      </c>
      <c r="AS910" s="331">
        <f>SUMIF(Consumo!$C$3:$C$862,tabItens[[#This Row],[CÓDIGO]],Consumo!$N$3:$N$862) + SUMIF(Consumo!$C$3:$C$862,tabItens[[#This Row],[CÓDIGO]],Consumo!$O$3:$O$862) + SUMIF(Consumo!$C$3:$C$862,tabItens[[#This Row],[CÓDIGO]],Consumo!$P$3:$P$862) + SUMIF(Consumo!$C$3:$C$862,tabItens[[#This Row],[CÓDIGO]],Consumo!$Q$3:$Q$862)</f>
        <v>4</v>
      </c>
      <c r="AT910" s="331">
        <f>SUMIF(Consumo!$C$3:$C$862,tabItens[[#This Row],[CÓDIGO]],Consumo!$Z$3:$Z$862)</f>
        <v>5</v>
      </c>
      <c r="AU910" s="332">
        <f>SUMIF(Consumo!$C$3:$C$862,tabItens[[#This Row],[CÓDIGO]],Consumo!$AA$3:$AA$862)</f>
        <v>2</v>
      </c>
      <c r="AV910" s="333">
        <f>SUMIF(Consumo!$C$3:$C$862,tabItens[[#This Row],[CÓDIGO]],Consumo!$Y$3:$Y$862)</f>
        <v>0.41666666666666669</v>
      </c>
      <c r="AW910" s="306">
        <f>tabItens[[#This Row],[QTDE ATUAL]] + tabItens[[#This Row],[RC QTDE]] + tabItens[[#This Row],[AF SALDO]] + tabItens[[#This Row],[Recentes]]</f>
        <v>18</v>
      </c>
      <c r="AX910" s="334">
        <v>3</v>
      </c>
      <c r="AY910" s="334">
        <v>4</v>
      </c>
      <c r="AZ910" s="334">
        <f>IF(ISBLANK(tabItens[[#This Row],[CÓDIGO]]),"",tabItens[[#This Row],[PontoMês]] * (AZ$2+tabItens[[#This Row],[PontoQtM]]))</f>
        <v>12</v>
      </c>
      <c r="BA910" s="333">
        <f>tabItens[[#This Row],[PontoPed]] - tabItens[[#This Row],[Saldo]] + (1/10)</f>
        <v>-5.9</v>
      </c>
      <c r="BB910" s="333">
        <f xml:space="preserve"> tabItens[[#This Row],[PontoMês]] * BB$2 - tabItens[[#This Row],[QTDE ATUAL]] - (1/10)</f>
        <v>-15.1</v>
      </c>
      <c r="BC910" s="335">
        <f>IF( tabItens[[#This Row],[PontoPed]]&gt;0, IF(tabItens[[#This Row],[PontoPed]]&lt;1, 1, IF( tabItens[[#This Row],[Saldo]]&gt;tabItens[[#This Row],[PontoPed]], 0, (tabItens[[#This Row],[PontoPed]]-tabItens[[#This Row],[Saldo]])/tabItens[[#This Row],[PontoPed]] ) ), 0 )</f>
        <v>0</v>
      </c>
      <c r="BD910" s="336">
        <f>ROUNDDOWN(IF( OR( AND(tabItens[[#This Row],[PontoPed]]&lt;tabItens[[#This Row],[Saldo]],tabItens[[#This Row],[Saldo]]&gt;0), tabItens[[#This Row],[PontoPed]]=0), 99, IF(AND(tabItens[[#This Row],[Saldo]]=0,tabItens[[#This Row],[PontoPed]]&gt;0), 0, (1-tabItens[[#This Row],[PctAb]])*10 ) ),0)</f>
        <v>99</v>
      </c>
      <c r="BE910" s="337">
        <f>MAX(ROUNDDOWN( IF(tabItens[[#This Row],[Abaixo]] &gt; 0,   tabItens[[#This Row],[Abaixo]] + (tabItens[[#This Row],[PontoMês]] * IF( OR( ISBLANK(tabItens[[#This Row],[ATA Nº/ANO]]), tabItens[[#This Row],[ATA Nº/ANO]] = ""),BE$2,BE$1)),0),0),0)</f>
        <v>0</v>
      </c>
      <c r="BF910" s="338"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0" s="338">
        <f>SUMIF(Consumo!$C$3:$C$862,tabItens[[#This Row],[CÓDIGO]],Consumo!$E$3:$E$862)</f>
        <v>0</v>
      </c>
      <c r="BH910" s="339">
        <f>IF(AND(tabItens[[#This Row],[Pend]] &gt; 0,tabItens[[#This Row],[Consumo]] &lt;&gt; 0), tabItens[[#This Row],[Pend]] / tabItens[[#This Row],[Consumo]], 0 )</f>
        <v>0</v>
      </c>
      <c r="BI910" s="338"/>
      <c r="BJ910" s="338"/>
      <c r="BK910" s="340" t="s">
        <v>2086</v>
      </c>
    </row>
    <row r="911" spans="1:63" hidden="1" x14ac:dyDescent="0.3">
      <c r="A911" s="301">
        <v>17663</v>
      </c>
      <c r="B911" s="302" t="s">
        <v>379</v>
      </c>
      <c r="C911" s="303" t="s">
        <v>380</v>
      </c>
      <c r="D911" s="304">
        <v>0.99</v>
      </c>
      <c r="E911" s="305"/>
      <c r="F911" s="305"/>
      <c r="G911" s="305" t="s">
        <v>889</v>
      </c>
      <c r="H911" s="306">
        <v>190</v>
      </c>
      <c r="I911" s="307">
        <v>103003</v>
      </c>
      <c r="J911" s="308">
        <v>0.99</v>
      </c>
      <c r="K911" s="309"/>
      <c r="L911" s="310">
        <f>IF(tabItens[[#This Row],[Média]] &gt; 0, tabItens[[#This Row],[QTDE ATUAL]] / tabItens[[#This Row],[Média]],999.9)</f>
        <v>999.9</v>
      </c>
      <c r="M911" s="311">
        <v>0</v>
      </c>
      <c r="N911" s="312">
        <f>tabItens[[#This Row],[VALOR UNIT.]] * tabItens[[#This Row],[LC]]</f>
        <v>0</v>
      </c>
      <c r="O911" s="313" t="s">
        <v>2130</v>
      </c>
      <c r="P911" s="314"/>
      <c r="Q911" s="315"/>
      <c r="R911" s="312"/>
      <c r="S911" s="316"/>
      <c r="T911" s="317">
        <f>ROUNDDOWN(IFERROR(tabItens[[#This Row],[ATA DT.VALID.]] - $D$1,0) / 30,0)</f>
        <v>-1474</v>
      </c>
      <c r="U911" s="302" t="s">
        <v>996</v>
      </c>
      <c r="V911" s="318">
        <v>1</v>
      </c>
      <c r="W911" s="319" t="s">
        <v>2078</v>
      </c>
      <c r="X911" s="320">
        <v>83</v>
      </c>
      <c r="Y911" s="321">
        <v>2</v>
      </c>
      <c r="Z911" s="322"/>
      <c r="AA911" s="323"/>
      <c r="AB911" s="324"/>
      <c r="AC911" s="324"/>
      <c r="AD911" s="323"/>
      <c r="AE911" s="324"/>
      <c r="AF911" s="317"/>
      <c r="AG911" s="325" t="s">
        <v>2072</v>
      </c>
      <c r="AH911" s="326"/>
      <c r="AI911" s="317">
        <v>0</v>
      </c>
      <c r="AJ911" s="326">
        <v>44067</v>
      </c>
      <c r="AK911" s="326" t="s">
        <v>889</v>
      </c>
      <c r="AL911" s="326">
        <v>44040</v>
      </c>
      <c r="AM911" s="316"/>
      <c r="AN911" s="305"/>
      <c r="AO911" s="327" t="str">
        <f>_xlfn.IFNA(IF(VLOOKUP(tabItens[[#This Row],[CÓDIGO]],tabExcluirDoEstoque[#Data],1,FALSE),"sim",""),"")</f>
        <v>sim</v>
      </c>
      <c r="AP911" s="328" t="str">
        <f ca="1">IF(OR(ISBLANK(tabItens[[#This Row],[ATA DT.VALID.]]),tabItens[[#This Row],[ATA DT.VALID.]]="",tabItens[[#This Row],[ATA DT.VALID.]]=" "),"",IF(TYPE(tabItens[[#This Row],[ATA DT.VALID.]])=1,ROUNDUP((tabItens[[#This Row],[ATA DT.VALID.]]-TODAY())/7,0),""))</f>
        <v/>
      </c>
      <c r="AQ911" s="329">
        <v>0</v>
      </c>
      <c r="AR911" s="330">
        <f>IF(ISBLANK(tabItens[[#This Row],[CÓDIGO]]),"",IFERROR(VLOOKUP(tabItens[[#This Row],[CÓDIGO]],Consumo!$C$2:$AC$862,26,FALSE),0))</f>
        <v>0</v>
      </c>
      <c r="AS911" s="331">
        <f>SUMIF(Consumo!$C$3:$C$862,tabItens[[#This Row],[CÓDIGO]],Consumo!$N$3:$N$862) + SUMIF(Consumo!$C$3:$C$862,tabItens[[#This Row],[CÓDIGO]],Consumo!$O$3:$O$862) + SUMIF(Consumo!$C$3:$C$862,tabItens[[#This Row],[CÓDIGO]],Consumo!$P$3:$P$862) + SUMIF(Consumo!$C$3:$C$862,tabItens[[#This Row],[CÓDIGO]],Consumo!$Q$3:$Q$862)</f>
        <v>0</v>
      </c>
      <c r="AT911" s="331">
        <f>SUMIF(Consumo!$C$3:$C$862,tabItens[[#This Row],[CÓDIGO]],Consumo!$Z$3:$Z$862)</f>
        <v>0</v>
      </c>
      <c r="AU911" s="332">
        <f>SUMIF(Consumo!$C$3:$C$862,tabItens[[#This Row],[CÓDIGO]],Consumo!$AA$3:$AA$862)</f>
        <v>0</v>
      </c>
      <c r="AV911" s="333">
        <f>SUMIF(Consumo!$C$3:$C$862,tabItens[[#This Row],[CÓDIGO]],Consumo!$Y$3:$Y$862)</f>
        <v>0</v>
      </c>
      <c r="AW911" s="306">
        <f>tabItens[[#This Row],[QTDE ATUAL]] + tabItens[[#This Row],[RC QTDE]] + tabItens[[#This Row],[AF SALDO]] + tabItens[[#This Row],[Recentes]]</f>
        <v>190</v>
      </c>
      <c r="AX911" s="334">
        <v>34</v>
      </c>
      <c r="AY911" s="334">
        <v>4</v>
      </c>
      <c r="AZ911" s="334">
        <f>IF(ISBLANK(tabItens[[#This Row],[CÓDIGO]]),"",tabItens[[#This Row],[PontoMês]] * (AZ$2+tabItens[[#This Row],[PontoQtM]]))</f>
        <v>136</v>
      </c>
      <c r="BA911" s="333">
        <f>tabItens[[#This Row],[PontoPed]] - tabItens[[#This Row],[Saldo]] + (1/10)</f>
        <v>-53.9</v>
      </c>
      <c r="BB911" s="333">
        <f xml:space="preserve"> tabItens[[#This Row],[PontoMês]] * BB$2 - tabItens[[#This Row],[QTDE ATUAL]] - (1/10)</f>
        <v>-156.1</v>
      </c>
      <c r="BC911" s="335">
        <f>IF( tabItens[[#This Row],[PontoPed]]&gt;0, IF(tabItens[[#This Row],[PontoPed]]&lt;1, 1, IF( tabItens[[#This Row],[Saldo]]&gt;tabItens[[#This Row],[PontoPed]], 0, (tabItens[[#This Row],[PontoPed]]-tabItens[[#This Row],[Saldo]])/tabItens[[#This Row],[PontoPed]] ) ), 0 )</f>
        <v>0</v>
      </c>
      <c r="BD911" s="336">
        <f>ROUNDDOWN(IF( OR( AND(tabItens[[#This Row],[PontoPed]]&lt;tabItens[[#This Row],[Saldo]],tabItens[[#This Row],[Saldo]]&gt;0), tabItens[[#This Row],[PontoPed]]=0), 99, IF(AND(tabItens[[#This Row],[Saldo]]=0,tabItens[[#This Row],[PontoPed]]&gt;0), 0, (1-tabItens[[#This Row],[PctAb]])*10 ) ),0)</f>
        <v>99</v>
      </c>
      <c r="BE911" s="337">
        <f>MAX(ROUNDDOWN( IF(tabItens[[#This Row],[Abaixo]] &gt; 0,   tabItens[[#This Row],[Abaixo]] + (tabItens[[#This Row],[PontoMês]] * IF( OR( ISBLANK(tabItens[[#This Row],[ATA Nº/ANO]]), tabItens[[#This Row],[ATA Nº/ANO]] = ""),BE$2,BE$1)),0),0),0)</f>
        <v>0</v>
      </c>
      <c r="BF911" s="338"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1" s="338">
        <f>SUMIF(Consumo!$C$3:$C$862,tabItens[[#This Row],[CÓDIGO]],Consumo!$E$3:$E$862)</f>
        <v>0</v>
      </c>
      <c r="BH911" s="339">
        <f>IF(AND(tabItens[[#This Row],[Pend]] &gt; 0,tabItens[[#This Row],[Consumo]] &lt;&gt; 0), tabItens[[#This Row],[Pend]] / tabItens[[#This Row],[Consumo]], 0 )</f>
        <v>0</v>
      </c>
      <c r="BI911" s="338"/>
      <c r="BJ911" s="338"/>
      <c r="BK911" s="340" t="s">
        <v>2086</v>
      </c>
    </row>
    <row r="912" spans="1:63" hidden="1" x14ac:dyDescent="0.3">
      <c r="A912" s="301">
        <v>116771</v>
      </c>
      <c r="B912" s="302" t="s">
        <v>726</v>
      </c>
      <c r="C912" s="303" t="s">
        <v>727</v>
      </c>
      <c r="D912" s="304">
        <v>299</v>
      </c>
      <c r="E912" s="305"/>
      <c r="F912" s="305"/>
      <c r="G912" s="305" t="s">
        <v>889</v>
      </c>
      <c r="H912" s="306">
        <v>28</v>
      </c>
      <c r="I912" s="307">
        <v>103003</v>
      </c>
      <c r="J912" s="308">
        <v>299</v>
      </c>
      <c r="K912" s="309">
        <v>11</v>
      </c>
      <c r="L912" s="310">
        <f>IF(tabItens[[#This Row],[Média]] &gt; 0, tabItens[[#This Row],[QTDE ATUAL]] / tabItens[[#This Row],[Média]],999.9)</f>
        <v>33.6</v>
      </c>
      <c r="M912" s="311">
        <v>0</v>
      </c>
      <c r="N912" s="312">
        <f>tabItens[[#This Row],[VALOR UNIT.]] * tabItens[[#This Row],[LC]]</f>
        <v>0</v>
      </c>
      <c r="O912" s="313" t="s">
        <v>2187</v>
      </c>
      <c r="P912" s="314"/>
      <c r="Q912" s="315"/>
      <c r="R912" s="312"/>
      <c r="S912" s="316"/>
      <c r="T912" s="317">
        <f>ROUNDDOWN(IFERROR(tabItens[[#This Row],[ATA DT.VALID.]] - $D$1,0) / 30,0)</f>
        <v>-1474</v>
      </c>
      <c r="U912" s="302" t="s">
        <v>1163</v>
      </c>
      <c r="V912" s="318">
        <v>1</v>
      </c>
      <c r="W912" s="319" t="s">
        <v>2078</v>
      </c>
      <c r="X912" s="320">
        <v>69</v>
      </c>
      <c r="Y912" s="321">
        <v>1</v>
      </c>
      <c r="Z912" s="322"/>
      <c r="AA912" s="323"/>
      <c r="AB912" s="324"/>
      <c r="AC912" s="324"/>
      <c r="AD912" s="323"/>
      <c r="AE912" s="324"/>
      <c r="AF912" s="317"/>
      <c r="AG912" s="325" t="s">
        <v>2072</v>
      </c>
      <c r="AH912" s="326"/>
      <c r="AI912" s="317">
        <v>4</v>
      </c>
      <c r="AJ912" s="326">
        <v>42360</v>
      </c>
      <c r="AK912" s="326">
        <v>40396</v>
      </c>
      <c r="AL912" s="326">
        <v>44040</v>
      </c>
      <c r="AM912" s="316"/>
      <c r="AN912" s="305"/>
      <c r="AO912" s="327" t="str">
        <f>_xlfn.IFNA(IF(VLOOKUP(tabItens[[#This Row],[CÓDIGO]],tabExcluirDoEstoque[#Data],1,FALSE),"sim",""),"")</f>
        <v>sim</v>
      </c>
      <c r="AP912" s="328" t="str">
        <f ca="1">IF(OR(ISBLANK(tabItens[[#This Row],[ATA DT.VALID.]]),tabItens[[#This Row],[ATA DT.VALID.]]="",tabItens[[#This Row],[ATA DT.VALID.]]=" "),"",IF(TYPE(tabItens[[#This Row],[ATA DT.VALID.]])=1,ROUNDUP((tabItens[[#This Row],[ATA DT.VALID.]]-TODAY())/7,0),""))</f>
        <v/>
      </c>
      <c r="AQ912" s="329">
        <v>0</v>
      </c>
      <c r="AR912" s="330" t="str">
        <f>IF(ISBLANK(tabItens[[#This Row],[CÓDIGO]]),"",IFERROR(VLOOKUP(tabItens[[#This Row],[CÓDIGO]],Consumo!$C$2:$AC$862,26,FALSE),0))</f>
        <v>07.2023</v>
      </c>
      <c r="AS912" s="331">
        <f>SUMIF(Consumo!$C$3:$C$862,tabItens[[#This Row],[CÓDIGO]],Consumo!$N$3:$N$862) + SUMIF(Consumo!$C$3:$C$862,tabItens[[#This Row],[CÓDIGO]],Consumo!$O$3:$O$862) + SUMIF(Consumo!$C$3:$C$862,tabItens[[#This Row],[CÓDIGO]],Consumo!$P$3:$P$862) + SUMIF(Consumo!$C$3:$C$862,tabItens[[#This Row],[CÓDIGO]],Consumo!$Q$3:$Q$862)</f>
        <v>5</v>
      </c>
      <c r="AT912" s="331">
        <f>SUMIF(Consumo!$C$3:$C$862,tabItens[[#This Row],[CÓDIGO]],Consumo!$Z$3:$Z$862)</f>
        <v>11</v>
      </c>
      <c r="AU912" s="332">
        <f>SUMIF(Consumo!$C$3:$C$862,tabItens[[#This Row],[CÓDIGO]],Consumo!$AA$3:$AA$862)</f>
        <v>5</v>
      </c>
      <c r="AV912" s="333">
        <f>SUMIF(Consumo!$C$3:$C$862,tabItens[[#This Row],[CÓDIGO]],Consumo!$Y$3:$Y$862)</f>
        <v>0.83333333333333337</v>
      </c>
      <c r="AW912" s="306">
        <f>tabItens[[#This Row],[QTDE ATUAL]] + tabItens[[#This Row],[RC QTDE]] + tabItens[[#This Row],[AF SALDO]] + tabItens[[#This Row],[Recentes]]</f>
        <v>28</v>
      </c>
      <c r="AX912" s="334">
        <v>0</v>
      </c>
      <c r="AY912" s="334">
        <v>0</v>
      </c>
      <c r="AZ912" s="334">
        <f>IF(ISBLANK(tabItens[[#This Row],[CÓDIGO]]),"",tabItens[[#This Row],[PontoMês]] * (AZ$2+tabItens[[#This Row],[PontoQtM]]))</f>
        <v>0</v>
      </c>
      <c r="BA912" s="333">
        <f>tabItens[[#This Row],[PontoPed]] - tabItens[[#This Row],[Saldo]] + (1/10)</f>
        <v>-27.9</v>
      </c>
      <c r="BB912" s="333">
        <f xml:space="preserve"> tabItens[[#This Row],[PontoMês]] * BB$2 - tabItens[[#This Row],[QTDE ATUAL]] - (1/10)</f>
        <v>-28.1</v>
      </c>
      <c r="BC912" s="335">
        <f>IF( tabItens[[#This Row],[PontoPed]]&gt;0, IF(tabItens[[#This Row],[PontoPed]]&lt;1, 1, IF( tabItens[[#This Row],[Saldo]]&gt;tabItens[[#This Row],[PontoPed]], 0, (tabItens[[#This Row],[PontoPed]]-tabItens[[#This Row],[Saldo]])/tabItens[[#This Row],[PontoPed]] ) ), 0 )</f>
        <v>0</v>
      </c>
      <c r="BD912" s="336">
        <f>ROUNDDOWN(IF( OR( AND(tabItens[[#This Row],[PontoPed]]&lt;tabItens[[#This Row],[Saldo]],tabItens[[#This Row],[Saldo]]&gt;0), tabItens[[#This Row],[PontoPed]]=0), 99, IF(AND(tabItens[[#This Row],[Saldo]]=0,tabItens[[#This Row],[PontoPed]]&gt;0), 0, (1-tabItens[[#This Row],[PctAb]])*10 ) ),0)</f>
        <v>99</v>
      </c>
      <c r="BE912" s="337">
        <f>MAX(ROUNDDOWN( IF(tabItens[[#This Row],[Abaixo]] &gt; 0,   tabItens[[#This Row],[Abaixo]] + (tabItens[[#This Row],[PontoMês]] * IF( OR( ISBLANK(tabItens[[#This Row],[ATA Nº/ANO]]), tabItens[[#This Row],[ATA Nº/ANO]] = ""),BE$2,BE$1)),0),0),0)</f>
        <v>0</v>
      </c>
      <c r="BF912" s="338"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2" s="338">
        <f>SUMIF(Consumo!$C$3:$C$862,tabItens[[#This Row],[CÓDIGO]],Consumo!$E$3:$E$862)</f>
        <v>0</v>
      </c>
      <c r="BH912" s="339">
        <f>IF(AND(tabItens[[#This Row],[Pend]] &gt; 0,tabItens[[#This Row],[Consumo]] &lt;&gt; 0), tabItens[[#This Row],[Pend]] / tabItens[[#This Row],[Consumo]], 0 )</f>
        <v>0</v>
      </c>
      <c r="BI912" s="338"/>
      <c r="BJ912" s="338"/>
      <c r="BK912" s="340" t="s">
        <v>2086</v>
      </c>
    </row>
    <row r="913" spans="1:63" hidden="1" x14ac:dyDescent="0.3">
      <c r="A913" s="301">
        <v>100383</v>
      </c>
      <c r="B913" s="302" t="s">
        <v>623</v>
      </c>
      <c r="C913" s="303" t="s">
        <v>260</v>
      </c>
      <c r="D913" s="304">
        <v>160</v>
      </c>
      <c r="E913" s="305"/>
      <c r="F913" s="305"/>
      <c r="G913" s="305" t="s">
        <v>889</v>
      </c>
      <c r="H913" s="306">
        <v>74</v>
      </c>
      <c r="I913" s="307">
        <v>103003</v>
      </c>
      <c r="J913" s="308">
        <v>160</v>
      </c>
      <c r="K913" s="309">
        <v>3</v>
      </c>
      <c r="L913" s="310">
        <f>IF(tabItens[[#This Row],[Média]] &gt; 0, tabItens[[#This Row],[QTDE ATUAL]] / tabItens[[#This Row],[Média]],999.9)</f>
        <v>888</v>
      </c>
      <c r="M913" s="311">
        <v>0</v>
      </c>
      <c r="N913" s="312">
        <f>tabItens[[#This Row],[VALOR UNIT.]] * tabItens[[#This Row],[LC]]</f>
        <v>0</v>
      </c>
      <c r="O913" s="313" t="s">
        <v>2171</v>
      </c>
      <c r="P913" s="314"/>
      <c r="Q913" s="315"/>
      <c r="R913" s="312"/>
      <c r="S913" s="316"/>
      <c r="T913" s="317">
        <f>ROUNDDOWN(IFERROR(tabItens[[#This Row],[ATA DT.VALID.]] - $D$1,0) / 30,0)</f>
        <v>-1474</v>
      </c>
      <c r="U913" s="302" t="s">
        <v>1575</v>
      </c>
      <c r="V913" s="318">
        <v>1</v>
      </c>
      <c r="W913" s="319" t="s">
        <v>2084</v>
      </c>
      <c r="X913" s="320">
        <v>80</v>
      </c>
      <c r="Y913" s="321">
        <v>7</v>
      </c>
      <c r="Z913" s="322"/>
      <c r="AA913" s="323"/>
      <c r="AB913" s="324"/>
      <c r="AC913" s="324"/>
      <c r="AD913" s="323"/>
      <c r="AE913" s="324"/>
      <c r="AF913" s="317"/>
      <c r="AG913" s="325" t="s">
        <v>2072</v>
      </c>
      <c r="AH913" s="326"/>
      <c r="AI913" s="317">
        <v>2</v>
      </c>
      <c r="AJ913" s="326">
        <v>44372</v>
      </c>
      <c r="AK913" s="326">
        <v>39260</v>
      </c>
      <c r="AL913" s="326">
        <v>44757</v>
      </c>
      <c r="AM913" s="316"/>
      <c r="AN913" s="305"/>
      <c r="AO913" s="327" t="str">
        <f>_xlfn.IFNA(IF(VLOOKUP(tabItens[[#This Row],[CÓDIGO]],tabExcluirDoEstoque[#Data],1,FALSE),"sim",""),"")</f>
        <v>sim</v>
      </c>
      <c r="AP913" s="328" t="str">
        <f ca="1">IF(OR(ISBLANK(tabItens[[#This Row],[ATA DT.VALID.]]),tabItens[[#This Row],[ATA DT.VALID.]]="",tabItens[[#This Row],[ATA DT.VALID.]]=" "),"",IF(TYPE(tabItens[[#This Row],[ATA DT.VALID.]])=1,ROUNDUP((tabItens[[#This Row],[ATA DT.VALID.]]-TODAY())/7,0),""))</f>
        <v/>
      </c>
      <c r="AQ913" s="329">
        <v>0</v>
      </c>
      <c r="AR913" s="330" t="str">
        <f>IF(ISBLANK(tabItens[[#This Row],[CÓDIGO]]),"",IFERROR(VLOOKUP(tabItens[[#This Row],[CÓDIGO]],Consumo!$C$2:$AC$862,26,FALSE),0))</f>
        <v>04.2023</v>
      </c>
      <c r="AS913" s="331">
        <f>SUMIF(Consumo!$C$3:$C$862,tabItens[[#This Row],[CÓDIGO]],Consumo!$N$3:$N$862) + SUMIF(Consumo!$C$3:$C$862,tabItens[[#This Row],[CÓDIGO]],Consumo!$O$3:$O$862) + SUMIF(Consumo!$C$3:$C$862,tabItens[[#This Row],[CÓDIGO]],Consumo!$P$3:$P$862) + SUMIF(Consumo!$C$3:$C$862,tabItens[[#This Row],[CÓDIGO]],Consumo!$Q$3:$Q$862)</f>
        <v>0</v>
      </c>
      <c r="AT913" s="331">
        <f>SUMIF(Consumo!$C$3:$C$862,tabItens[[#This Row],[CÓDIGO]],Consumo!$Z$3:$Z$862)</f>
        <v>3</v>
      </c>
      <c r="AU913" s="332">
        <f>SUMIF(Consumo!$C$3:$C$862,tabItens[[#This Row],[CÓDIGO]],Consumo!$AA$3:$AA$862)</f>
        <v>3</v>
      </c>
      <c r="AV913" s="333">
        <f>SUMIF(Consumo!$C$3:$C$862,tabItens[[#This Row],[CÓDIGO]],Consumo!$Y$3:$Y$862)</f>
        <v>8.3333333333333329E-2</v>
      </c>
      <c r="AW913" s="306">
        <f>tabItens[[#This Row],[QTDE ATUAL]] + tabItens[[#This Row],[RC QTDE]] + tabItens[[#This Row],[AF SALDO]] + tabItens[[#This Row],[Recentes]]</f>
        <v>74</v>
      </c>
      <c r="AX913" s="334">
        <v>5</v>
      </c>
      <c r="AY913" s="334">
        <v>4</v>
      </c>
      <c r="AZ913" s="334">
        <f>IF(ISBLANK(tabItens[[#This Row],[CÓDIGO]]),"",tabItens[[#This Row],[PontoMês]] * (AZ$2+tabItens[[#This Row],[PontoQtM]]))</f>
        <v>20</v>
      </c>
      <c r="BA913" s="333">
        <f>tabItens[[#This Row],[PontoPed]] - tabItens[[#This Row],[Saldo]] + (1/10)</f>
        <v>-53.9</v>
      </c>
      <c r="BB913" s="333">
        <f xml:space="preserve"> tabItens[[#This Row],[PontoMês]] * BB$2 - tabItens[[#This Row],[QTDE ATUAL]] - (1/10)</f>
        <v>-69.099999999999994</v>
      </c>
      <c r="BC913" s="335">
        <f>IF( tabItens[[#This Row],[PontoPed]]&gt;0, IF(tabItens[[#This Row],[PontoPed]]&lt;1, 1, IF( tabItens[[#This Row],[Saldo]]&gt;tabItens[[#This Row],[PontoPed]], 0, (tabItens[[#This Row],[PontoPed]]-tabItens[[#This Row],[Saldo]])/tabItens[[#This Row],[PontoPed]] ) ), 0 )</f>
        <v>0</v>
      </c>
      <c r="BD913" s="336">
        <f>ROUNDDOWN(IF( OR( AND(tabItens[[#This Row],[PontoPed]]&lt;tabItens[[#This Row],[Saldo]],tabItens[[#This Row],[Saldo]]&gt;0), tabItens[[#This Row],[PontoPed]]=0), 99, IF(AND(tabItens[[#This Row],[Saldo]]=0,tabItens[[#This Row],[PontoPed]]&gt;0), 0, (1-tabItens[[#This Row],[PctAb]])*10 ) ),0)</f>
        <v>99</v>
      </c>
      <c r="BE913" s="337">
        <f>MAX(ROUNDDOWN( IF(tabItens[[#This Row],[Abaixo]] &gt; 0,   tabItens[[#This Row],[Abaixo]] + (tabItens[[#This Row],[PontoMês]] * IF( OR( ISBLANK(tabItens[[#This Row],[ATA Nº/ANO]]), tabItens[[#This Row],[ATA Nº/ANO]] = ""),BE$2,BE$1)),0),0),0)</f>
        <v>0</v>
      </c>
      <c r="BF913" s="338"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3" s="338">
        <f>SUMIF(Consumo!$C$3:$C$862,tabItens[[#This Row],[CÓDIGO]],Consumo!$E$3:$E$862)</f>
        <v>0</v>
      </c>
      <c r="BH913" s="339">
        <f>IF(AND(tabItens[[#This Row],[Pend]] &gt; 0,tabItens[[#This Row],[Consumo]] &lt;&gt; 0), tabItens[[#This Row],[Pend]] / tabItens[[#This Row],[Consumo]], 0 )</f>
        <v>0</v>
      </c>
      <c r="BI913" s="338"/>
      <c r="BJ913" s="338"/>
      <c r="BK913" s="340" t="s">
        <v>2086</v>
      </c>
    </row>
    <row r="914" spans="1:63" hidden="1" x14ac:dyDescent="0.3">
      <c r="A914" s="301">
        <v>98360</v>
      </c>
      <c r="B914" s="302" t="s">
        <v>612</v>
      </c>
      <c r="C914" s="303" t="s">
        <v>260</v>
      </c>
      <c r="D914" s="304">
        <v>42</v>
      </c>
      <c r="E914" s="305"/>
      <c r="F914" s="305"/>
      <c r="G914" s="305" t="s">
        <v>889</v>
      </c>
      <c r="H914" s="306">
        <v>55</v>
      </c>
      <c r="I914" s="307">
        <v>103003</v>
      </c>
      <c r="J914" s="308">
        <v>42</v>
      </c>
      <c r="K914" s="309"/>
      <c r="L914" s="310">
        <f>IF(tabItens[[#This Row],[Média]] &gt; 0, tabItens[[#This Row],[QTDE ATUAL]] / tabItens[[#This Row],[Média]],999.9)</f>
        <v>999.9</v>
      </c>
      <c r="M914" s="311">
        <v>0</v>
      </c>
      <c r="N914" s="312">
        <f>tabItens[[#This Row],[VALOR UNIT.]] * tabItens[[#This Row],[LC]]</f>
        <v>0</v>
      </c>
      <c r="O914" s="313" t="s">
        <v>2170</v>
      </c>
      <c r="P914" s="314"/>
      <c r="Q914" s="315"/>
      <c r="R914" s="312"/>
      <c r="S914" s="316"/>
      <c r="T914" s="317">
        <f>ROUNDDOWN(IFERROR(tabItens[[#This Row],[ATA DT.VALID.]] - $D$1,0) / 30,0)</f>
        <v>-1474</v>
      </c>
      <c r="U914" s="302" t="s">
        <v>1563</v>
      </c>
      <c r="V914" s="318">
        <v>1</v>
      </c>
      <c r="W914" s="319" t="s">
        <v>2078</v>
      </c>
      <c r="X914" s="320">
        <v>70</v>
      </c>
      <c r="Y914" s="321">
        <v>47</v>
      </c>
      <c r="Z914" s="322"/>
      <c r="AA914" s="323"/>
      <c r="AB914" s="324"/>
      <c r="AC914" s="324"/>
      <c r="AD914" s="323"/>
      <c r="AE914" s="324"/>
      <c r="AF914" s="317"/>
      <c r="AG914" s="325" t="s">
        <v>2072</v>
      </c>
      <c r="AH914" s="326"/>
      <c r="AI914" s="317">
        <v>0</v>
      </c>
      <c r="AJ914" s="326">
        <v>43063</v>
      </c>
      <c r="AK914" s="326">
        <v>39168</v>
      </c>
      <c r="AL914" s="326">
        <v>44789</v>
      </c>
      <c r="AM914" s="316"/>
      <c r="AN914" s="305"/>
      <c r="AO914" s="327" t="str">
        <f>_xlfn.IFNA(IF(VLOOKUP(tabItens[[#This Row],[CÓDIGO]],tabExcluirDoEstoque[#Data],1,FALSE),"sim",""),"")</f>
        <v>sim</v>
      </c>
      <c r="AP914" s="328" t="str">
        <f ca="1">IF(OR(ISBLANK(tabItens[[#This Row],[ATA DT.VALID.]]),tabItens[[#This Row],[ATA DT.VALID.]]="",tabItens[[#This Row],[ATA DT.VALID.]]=" "),"",IF(TYPE(tabItens[[#This Row],[ATA DT.VALID.]])=1,ROUNDUP((tabItens[[#This Row],[ATA DT.VALID.]]-TODAY())/7,0),""))</f>
        <v/>
      </c>
      <c r="AQ914" s="329">
        <v>0</v>
      </c>
      <c r="AR914" s="330">
        <f>IF(ISBLANK(tabItens[[#This Row],[CÓDIGO]]),"",IFERROR(VLOOKUP(tabItens[[#This Row],[CÓDIGO]],Consumo!$C$2:$AC$862,26,FALSE),0))</f>
        <v>0</v>
      </c>
      <c r="AS914" s="331">
        <f>SUMIF(Consumo!$C$3:$C$862,tabItens[[#This Row],[CÓDIGO]],Consumo!$N$3:$N$862) + SUMIF(Consumo!$C$3:$C$862,tabItens[[#This Row],[CÓDIGO]],Consumo!$O$3:$O$862) + SUMIF(Consumo!$C$3:$C$862,tabItens[[#This Row],[CÓDIGO]],Consumo!$P$3:$P$862) + SUMIF(Consumo!$C$3:$C$862,tabItens[[#This Row],[CÓDIGO]],Consumo!$Q$3:$Q$862)</f>
        <v>0</v>
      </c>
      <c r="AT914" s="331">
        <f>SUMIF(Consumo!$C$3:$C$862,tabItens[[#This Row],[CÓDIGO]],Consumo!$Z$3:$Z$862)</f>
        <v>0</v>
      </c>
      <c r="AU914" s="332">
        <f>SUMIF(Consumo!$C$3:$C$862,tabItens[[#This Row],[CÓDIGO]],Consumo!$AA$3:$AA$862)</f>
        <v>0</v>
      </c>
      <c r="AV914" s="333">
        <f>SUMIF(Consumo!$C$3:$C$862,tabItens[[#This Row],[CÓDIGO]],Consumo!$Y$3:$Y$862)</f>
        <v>0</v>
      </c>
      <c r="AW914" s="306">
        <f>tabItens[[#This Row],[QTDE ATUAL]] + tabItens[[#This Row],[RC QTDE]] + tabItens[[#This Row],[AF SALDO]] + tabItens[[#This Row],[Recentes]]</f>
        <v>55</v>
      </c>
      <c r="AX914" s="334">
        <v>0</v>
      </c>
      <c r="AY914" s="334">
        <v>0</v>
      </c>
      <c r="AZ914" s="334">
        <f>IF(ISBLANK(tabItens[[#This Row],[CÓDIGO]]),"",tabItens[[#This Row],[PontoMês]] * (AZ$2+tabItens[[#This Row],[PontoQtM]]))</f>
        <v>0</v>
      </c>
      <c r="BA914" s="333">
        <f>tabItens[[#This Row],[PontoPed]] - tabItens[[#This Row],[Saldo]] + (1/10)</f>
        <v>-54.9</v>
      </c>
      <c r="BB914" s="333">
        <f xml:space="preserve"> tabItens[[#This Row],[PontoMês]] * BB$2 - tabItens[[#This Row],[QTDE ATUAL]] - (1/10)</f>
        <v>-55.1</v>
      </c>
      <c r="BC914" s="335">
        <f>IF( tabItens[[#This Row],[PontoPed]]&gt;0, IF(tabItens[[#This Row],[PontoPed]]&lt;1, 1, IF( tabItens[[#This Row],[Saldo]]&gt;tabItens[[#This Row],[PontoPed]], 0, (tabItens[[#This Row],[PontoPed]]-tabItens[[#This Row],[Saldo]])/tabItens[[#This Row],[PontoPed]] ) ), 0 )</f>
        <v>0</v>
      </c>
      <c r="BD914" s="336">
        <f>ROUNDDOWN(IF( OR( AND(tabItens[[#This Row],[PontoPed]]&lt;tabItens[[#This Row],[Saldo]],tabItens[[#This Row],[Saldo]]&gt;0), tabItens[[#This Row],[PontoPed]]=0), 99, IF(AND(tabItens[[#This Row],[Saldo]]=0,tabItens[[#This Row],[PontoPed]]&gt;0), 0, (1-tabItens[[#This Row],[PctAb]])*10 ) ),0)</f>
        <v>99</v>
      </c>
      <c r="BE914" s="337">
        <f>MAX(ROUNDDOWN( IF(tabItens[[#This Row],[Abaixo]] &gt; 0,   tabItens[[#This Row],[Abaixo]] + (tabItens[[#This Row],[PontoMês]] * IF( OR( ISBLANK(tabItens[[#This Row],[ATA Nº/ANO]]), tabItens[[#This Row],[ATA Nº/ANO]] = ""),BE$2,BE$1)),0),0),0)</f>
        <v>0</v>
      </c>
      <c r="BF914" s="338"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4" s="338">
        <f>SUMIF(Consumo!$C$3:$C$862,tabItens[[#This Row],[CÓDIGO]],Consumo!$E$3:$E$862)</f>
        <v>0</v>
      </c>
      <c r="BH914" s="339">
        <f>IF(AND(tabItens[[#This Row],[Pend]] &gt; 0,tabItens[[#This Row],[Consumo]] &lt;&gt; 0), tabItens[[#This Row],[Pend]] / tabItens[[#This Row],[Consumo]], 0 )</f>
        <v>0</v>
      </c>
      <c r="BI914" s="338"/>
      <c r="BJ914" s="338"/>
      <c r="BK914" s="340" t="s">
        <v>2086</v>
      </c>
    </row>
    <row r="915" spans="1:63" hidden="1" x14ac:dyDescent="0.3">
      <c r="A915" s="301">
        <v>132714</v>
      </c>
      <c r="B915" s="302" t="s">
        <v>826</v>
      </c>
      <c r="C915" s="303" t="s">
        <v>263</v>
      </c>
      <c r="D915" s="304">
        <v>20.3</v>
      </c>
      <c r="E915" s="305"/>
      <c r="F915" s="305"/>
      <c r="G915" s="305" t="s">
        <v>889</v>
      </c>
      <c r="H915" s="306">
        <v>153</v>
      </c>
      <c r="I915" s="307">
        <v>103003</v>
      </c>
      <c r="J915" s="308">
        <v>20.3</v>
      </c>
      <c r="K915" s="309"/>
      <c r="L915" s="310">
        <f>IF(tabItens[[#This Row],[Média]] &gt; 0, tabItens[[#This Row],[QTDE ATUAL]] / tabItens[[#This Row],[Média]],999.9)</f>
        <v>999.9</v>
      </c>
      <c r="M915" s="311">
        <v>0</v>
      </c>
      <c r="N915" s="312">
        <f>tabItens[[#This Row],[VALOR UNIT.]] * tabItens[[#This Row],[LC]]</f>
        <v>0</v>
      </c>
      <c r="O915" s="313" t="s">
        <v>2163</v>
      </c>
      <c r="P915" s="314"/>
      <c r="Q915" s="315"/>
      <c r="R915" s="312"/>
      <c r="S915" s="316"/>
      <c r="T915" s="317">
        <f>ROUNDDOWN(IFERROR(tabItens[[#This Row],[ATA DT.VALID.]] - $D$1,0) / 30,0)</f>
        <v>-1474</v>
      </c>
      <c r="U915" s="302" t="s">
        <v>1274</v>
      </c>
      <c r="V915" s="318">
        <v>1</v>
      </c>
      <c r="W915" s="319" t="s">
        <v>2071</v>
      </c>
      <c r="X915" s="320">
        <v>51</v>
      </c>
      <c r="Y915" s="321">
        <v>17</v>
      </c>
      <c r="Z915" s="322"/>
      <c r="AA915" s="323"/>
      <c r="AB915" s="324"/>
      <c r="AC915" s="324"/>
      <c r="AD915" s="323"/>
      <c r="AE915" s="324"/>
      <c r="AF915" s="317"/>
      <c r="AG915" s="325" t="s">
        <v>2072</v>
      </c>
      <c r="AH915" s="326"/>
      <c r="AI915" s="317">
        <v>0</v>
      </c>
      <c r="AJ915" s="326">
        <v>43754</v>
      </c>
      <c r="AK915" s="326">
        <v>42880</v>
      </c>
      <c r="AL915" s="326">
        <v>43731</v>
      </c>
      <c r="AM915" s="316"/>
      <c r="AN915" s="305"/>
      <c r="AO915" s="327" t="str">
        <f>_xlfn.IFNA(IF(VLOOKUP(tabItens[[#This Row],[CÓDIGO]],tabExcluirDoEstoque[#Data],1,FALSE),"sim",""),"")</f>
        <v>sim</v>
      </c>
      <c r="AP915" s="328" t="str">
        <f ca="1">IF(OR(ISBLANK(tabItens[[#This Row],[ATA DT.VALID.]]),tabItens[[#This Row],[ATA DT.VALID.]]="",tabItens[[#This Row],[ATA DT.VALID.]]=" "),"",IF(TYPE(tabItens[[#This Row],[ATA DT.VALID.]])=1,ROUNDUP((tabItens[[#This Row],[ATA DT.VALID.]]-TODAY())/7,0),""))</f>
        <v/>
      </c>
      <c r="AQ915" s="329">
        <v>0</v>
      </c>
      <c r="AR915" s="330">
        <f>IF(ISBLANK(tabItens[[#This Row],[CÓDIGO]]),"",IFERROR(VLOOKUP(tabItens[[#This Row],[CÓDIGO]],Consumo!$C$2:$AC$862,26,FALSE),0))</f>
        <v>0</v>
      </c>
      <c r="AS915" s="331">
        <f>SUMIF(Consumo!$C$3:$C$862,tabItens[[#This Row],[CÓDIGO]],Consumo!$N$3:$N$862) + SUMIF(Consumo!$C$3:$C$862,tabItens[[#This Row],[CÓDIGO]],Consumo!$O$3:$O$862) + SUMIF(Consumo!$C$3:$C$862,tabItens[[#This Row],[CÓDIGO]],Consumo!$P$3:$P$862) + SUMIF(Consumo!$C$3:$C$862,tabItens[[#This Row],[CÓDIGO]],Consumo!$Q$3:$Q$862)</f>
        <v>0</v>
      </c>
      <c r="AT915" s="331">
        <f>SUMIF(Consumo!$C$3:$C$862,tabItens[[#This Row],[CÓDIGO]],Consumo!$Z$3:$Z$862)</f>
        <v>0</v>
      </c>
      <c r="AU915" s="332">
        <f>SUMIF(Consumo!$C$3:$C$862,tabItens[[#This Row],[CÓDIGO]],Consumo!$AA$3:$AA$862)</f>
        <v>0</v>
      </c>
      <c r="AV915" s="333">
        <f>SUMIF(Consumo!$C$3:$C$862,tabItens[[#This Row],[CÓDIGO]],Consumo!$Y$3:$Y$862)</f>
        <v>0</v>
      </c>
      <c r="AW915" s="306">
        <f>tabItens[[#This Row],[QTDE ATUAL]] + tabItens[[#This Row],[RC QTDE]] + tabItens[[#This Row],[AF SALDO]] + tabItens[[#This Row],[Recentes]]</f>
        <v>153</v>
      </c>
      <c r="AX915" s="334">
        <v>5</v>
      </c>
      <c r="AY915" s="334">
        <v>4</v>
      </c>
      <c r="AZ915" s="334">
        <f>IF(ISBLANK(tabItens[[#This Row],[CÓDIGO]]),"",tabItens[[#This Row],[PontoMês]] * (AZ$2+tabItens[[#This Row],[PontoQtM]]))</f>
        <v>20</v>
      </c>
      <c r="BA915" s="333">
        <f>tabItens[[#This Row],[PontoPed]] - tabItens[[#This Row],[Saldo]] + (1/10)</f>
        <v>-132.9</v>
      </c>
      <c r="BB915" s="333">
        <f xml:space="preserve"> tabItens[[#This Row],[PontoMês]] * BB$2 - tabItens[[#This Row],[QTDE ATUAL]] - (1/10)</f>
        <v>-148.1</v>
      </c>
      <c r="BC915" s="335">
        <f>IF( tabItens[[#This Row],[PontoPed]]&gt;0, IF(tabItens[[#This Row],[PontoPed]]&lt;1, 1, IF( tabItens[[#This Row],[Saldo]]&gt;tabItens[[#This Row],[PontoPed]], 0, (tabItens[[#This Row],[PontoPed]]-tabItens[[#This Row],[Saldo]])/tabItens[[#This Row],[PontoPed]] ) ), 0 )</f>
        <v>0</v>
      </c>
      <c r="BD915" s="336">
        <f>ROUNDDOWN(IF( OR( AND(tabItens[[#This Row],[PontoPed]]&lt;tabItens[[#This Row],[Saldo]],tabItens[[#This Row],[Saldo]]&gt;0), tabItens[[#This Row],[PontoPed]]=0), 99, IF(AND(tabItens[[#This Row],[Saldo]]=0,tabItens[[#This Row],[PontoPed]]&gt;0), 0, (1-tabItens[[#This Row],[PctAb]])*10 ) ),0)</f>
        <v>99</v>
      </c>
      <c r="BE915" s="337">
        <f>MAX(ROUNDDOWN( IF(tabItens[[#This Row],[Abaixo]] &gt; 0,   tabItens[[#This Row],[Abaixo]] + (tabItens[[#This Row],[PontoMês]] * IF( OR( ISBLANK(tabItens[[#This Row],[ATA Nº/ANO]]), tabItens[[#This Row],[ATA Nº/ANO]] = ""),BE$2,BE$1)),0),0),0)</f>
        <v>0</v>
      </c>
      <c r="BF915" s="338"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5" s="338">
        <f>SUMIF(Consumo!$C$3:$C$862,tabItens[[#This Row],[CÓDIGO]],Consumo!$E$3:$E$862)</f>
        <v>0</v>
      </c>
      <c r="BH915" s="339">
        <f>IF(AND(tabItens[[#This Row],[Pend]] &gt; 0,tabItens[[#This Row],[Consumo]] &lt;&gt; 0), tabItens[[#This Row],[Pend]] / tabItens[[#This Row],[Consumo]], 0 )</f>
        <v>0</v>
      </c>
      <c r="BI915" s="338"/>
      <c r="BJ915" s="338"/>
      <c r="BK915" s="340" t="s">
        <v>2086</v>
      </c>
    </row>
    <row r="916" spans="1:63" hidden="1" x14ac:dyDescent="0.3">
      <c r="A916" s="301">
        <v>132715</v>
      </c>
      <c r="B916" s="302" t="s">
        <v>827</v>
      </c>
      <c r="C916" s="303" t="s">
        <v>263</v>
      </c>
      <c r="D916" s="304">
        <v>20.3</v>
      </c>
      <c r="E916" s="305"/>
      <c r="F916" s="305"/>
      <c r="G916" s="305" t="s">
        <v>889</v>
      </c>
      <c r="H916" s="306">
        <v>172</v>
      </c>
      <c r="I916" s="307">
        <v>103003</v>
      </c>
      <c r="J916" s="308">
        <v>20.3</v>
      </c>
      <c r="K916" s="309"/>
      <c r="L916" s="310">
        <f>IF(tabItens[[#This Row],[Média]] &gt; 0, tabItens[[#This Row],[QTDE ATUAL]] / tabItens[[#This Row],[Média]],999.9)</f>
        <v>999.9</v>
      </c>
      <c r="M916" s="311">
        <v>0</v>
      </c>
      <c r="N916" s="312">
        <f>tabItens[[#This Row],[VALOR UNIT.]] * tabItens[[#This Row],[LC]]</f>
        <v>0</v>
      </c>
      <c r="O916" s="313" t="s">
        <v>2163</v>
      </c>
      <c r="P916" s="314"/>
      <c r="Q916" s="315"/>
      <c r="R916" s="312"/>
      <c r="S916" s="316"/>
      <c r="T916" s="317">
        <f>ROUNDDOWN(IFERROR(tabItens[[#This Row],[ATA DT.VALID.]] - $D$1,0) / 30,0)</f>
        <v>-1474</v>
      </c>
      <c r="U916" s="302" t="s">
        <v>1274</v>
      </c>
      <c r="V916" s="318">
        <v>1</v>
      </c>
      <c r="W916" s="319" t="s">
        <v>2071</v>
      </c>
      <c r="X916" s="320">
        <v>51</v>
      </c>
      <c r="Y916" s="321">
        <v>17</v>
      </c>
      <c r="Z916" s="322"/>
      <c r="AA916" s="323"/>
      <c r="AB916" s="324"/>
      <c r="AC916" s="324"/>
      <c r="AD916" s="323"/>
      <c r="AE916" s="324"/>
      <c r="AF916" s="317"/>
      <c r="AG916" s="325" t="s">
        <v>2072</v>
      </c>
      <c r="AH916" s="326"/>
      <c r="AI916" s="317">
        <v>0</v>
      </c>
      <c r="AJ916" s="326">
        <v>43754</v>
      </c>
      <c r="AK916" s="326">
        <v>42880</v>
      </c>
      <c r="AL916" s="326">
        <v>43731</v>
      </c>
      <c r="AM916" s="316"/>
      <c r="AN916" s="305"/>
      <c r="AO916" s="327" t="str">
        <f>_xlfn.IFNA(IF(VLOOKUP(tabItens[[#This Row],[CÓDIGO]],tabExcluirDoEstoque[#Data],1,FALSE),"sim",""),"")</f>
        <v>sim</v>
      </c>
      <c r="AP916" s="328" t="str">
        <f ca="1">IF(OR(ISBLANK(tabItens[[#This Row],[ATA DT.VALID.]]),tabItens[[#This Row],[ATA DT.VALID.]]="",tabItens[[#This Row],[ATA DT.VALID.]]=" "),"",IF(TYPE(tabItens[[#This Row],[ATA DT.VALID.]])=1,ROUNDUP((tabItens[[#This Row],[ATA DT.VALID.]]-TODAY())/7,0),""))</f>
        <v/>
      </c>
      <c r="AQ916" s="329">
        <v>0</v>
      </c>
      <c r="AR916" s="330">
        <f>IF(ISBLANK(tabItens[[#This Row],[CÓDIGO]]),"",IFERROR(VLOOKUP(tabItens[[#This Row],[CÓDIGO]],Consumo!$C$2:$AC$862,26,FALSE),0))</f>
        <v>0</v>
      </c>
      <c r="AS916" s="331">
        <f>SUMIF(Consumo!$C$3:$C$862,tabItens[[#This Row],[CÓDIGO]],Consumo!$N$3:$N$862) + SUMIF(Consumo!$C$3:$C$862,tabItens[[#This Row],[CÓDIGO]],Consumo!$O$3:$O$862) + SUMIF(Consumo!$C$3:$C$862,tabItens[[#This Row],[CÓDIGO]],Consumo!$P$3:$P$862) + SUMIF(Consumo!$C$3:$C$862,tabItens[[#This Row],[CÓDIGO]],Consumo!$Q$3:$Q$862)</f>
        <v>0</v>
      </c>
      <c r="AT916" s="331">
        <f>SUMIF(Consumo!$C$3:$C$862,tabItens[[#This Row],[CÓDIGO]],Consumo!$Z$3:$Z$862)</f>
        <v>0</v>
      </c>
      <c r="AU916" s="332">
        <f>SUMIF(Consumo!$C$3:$C$862,tabItens[[#This Row],[CÓDIGO]],Consumo!$AA$3:$AA$862)</f>
        <v>0</v>
      </c>
      <c r="AV916" s="333">
        <f>SUMIF(Consumo!$C$3:$C$862,tabItens[[#This Row],[CÓDIGO]],Consumo!$Y$3:$Y$862)</f>
        <v>0</v>
      </c>
      <c r="AW916" s="306">
        <f>tabItens[[#This Row],[QTDE ATUAL]] + tabItens[[#This Row],[RC QTDE]] + tabItens[[#This Row],[AF SALDO]] + tabItens[[#This Row],[Recentes]]</f>
        <v>172</v>
      </c>
      <c r="AX916" s="334">
        <v>6</v>
      </c>
      <c r="AY916" s="334">
        <v>4</v>
      </c>
      <c r="AZ916" s="334">
        <f>IF(ISBLANK(tabItens[[#This Row],[CÓDIGO]]),"",tabItens[[#This Row],[PontoMês]] * (AZ$2+tabItens[[#This Row],[PontoQtM]]))</f>
        <v>24</v>
      </c>
      <c r="BA916" s="333">
        <f>tabItens[[#This Row],[PontoPed]] - tabItens[[#This Row],[Saldo]] + (1/10)</f>
        <v>-147.9</v>
      </c>
      <c r="BB916" s="333">
        <f xml:space="preserve"> tabItens[[#This Row],[PontoMês]] * BB$2 - tabItens[[#This Row],[QTDE ATUAL]] - (1/10)</f>
        <v>-166.1</v>
      </c>
      <c r="BC916" s="335">
        <f>IF( tabItens[[#This Row],[PontoPed]]&gt;0, IF(tabItens[[#This Row],[PontoPed]]&lt;1, 1, IF( tabItens[[#This Row],[Saldo]]&gt;tabItens[[#This Row],[PontoPed]], 0, (tabItens[[#This Row],[PontoPed]]-tabItens[[#This Row],[Saldo]])/tabItens[[#This Row],[PontoPed]] ) ), 0 )</f>
        <v>0</v>
      </c>
      <c r="BD916" s="336">
        <f>ROUNDDOWN(IF( OR( AND(tabItens[[#This Row],[PontoPed]]&lt;tabItens[[#This Row],[Saldo]],tabItens[[#This Row],[Saldo]]&gt;0), tabItens[[#This Row],[PontoPed]]=0), 99, IF(AND(tabItens[[#This Row],[Saldo]]=0,tabItens[[#This Row],[PontoPed]]&gt;0), 0, (1-tabItens[[#This Row],[PctAb]])*10 ) ),0)</f>
        <v>99</v>
      </c>
      <c r="BE916" s="337">
        <f>MAX(ROUNDDOWN( IF(tabItens[[#This Row],[Abaixo]] &gt; 0,   tabItens[[#This Row],[Abaixo]] + (tabItens[[#This Row],[PontoMês]] * IF( OR( ISBLANK(tabItens[[#This Row],[ATA Nº/ANO]]), tabItens[[#This Row],[ATA Nº/ANO]] = ""),BE$2,BE$1)),0),0),0)</f>
        <v>0</v>
      </c>
      <c r="BF916" s="338"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6" s="338">
        <f>SUMIF(Consumo!$C$3:$C$862,tabItens[[#This Row],[CÓDIGO]],Consumo!$E$3:$E$862)</f>
        <v>0</v>
      </c>
      <c r="BH916" s="339">
        <f>IF(AND(tabItens[[#This Row],[Pend]] &gt; 0,tabItens[[#This Row],[Consumo]] &lt;&gt; 0), tabItens[[#This Row],[Pend]] / tabItens[[#This Row],[Consumo]], 0 )</f>
        <v>0</v>
      </c>
      <c r="BI916" s="338"/>
      <c r="BJ916" s="338"/>
      <c r="BK916" s="340" t="s">
        <v>2086</v>
      </c>
    </row>
    <row r="917" spans="1:63" hidden="1" x14ac:dyDescent="0.3">
      <c r="A917" s="301">
        <v>133953</v>
      </c>
      <c r="B917" s="302" t="s">
        <v>846</v>
      </c>
      <c r="C917" s="303" t="s">
        <v>847</v>
      </c>
      <c r="D917" s="304">
        <v>7.62</v>
      </c>
      <c r="E917" s="305"/>
      <c r="F917" s="305"/>
      <c r="G917" s="305" t="s">
        <v>889</v>
      </c>
      <c r="H917" s="306">
        <v>0</v>
      </c>
      <c r="I917" s="307">
        <v>103003</v>
      </c>
      <c r="J917" s="308">
        <v>7.62</v>
      </c>
      <c r="K917" s="309"/>
      <c r="L917" s="310">
        <f>IF(tabItens[[#This Row],[Média]] &gt; 0, tabItens[[#This Row],[QTDE ATUAL]] / tabItens[[#This Row],[Média]],999.9)</f>
        <v>999.9</v>
      </c>
      <c r="M917" s="311">
        <v>0</v>
      </c>
      <c r="N917" s="312">
        <f>tabItens[[#This Row],[VALOR UNIT.]] * tabItens[[#This Row],[LC]]</f>
        <v>0</v>
      </c>
      <c r="O917" s="313"/>
      <c r="P917" s="314"/>
      <c r="Q917" s="315"/>
      <c r="R917" s="312"/>
      <c r="S917" s="316"/>
      <c r="T917" s="317">
        <f>ROUNDDOWN(IFERROR(tabItens[[#This Row],[ATA DT.VALID.]] - $D$1,0) / 30,0)</f>
        <v>-1474</v>
      </c>
      <c r="U917" s="302" t="s">
        <v>937</v>
      </c>
      <c r="V917" s="318">
        <v>1</v>
      </c>
      <c r="W917" s="319" t="s">
        <v>2074</v>
      </c>
      <c r="X917" s="320">
        <v>45</v>
      </c>
      <c r="Y917" s="321">
        <v>9</v>
      </c>
      <c r="Z917" s="322">
        <v>11434</v>
      </c>
      <c r="AA917" s="323">
        <v>2023</v>
      </c>
      <c r="AB917" s="324">
        <v>32671</v>
      </c>
      <c r="AC917" s="324"/>
      <c r="AD917" s="323"/>
      <c r="AE917" s="324"/>
      <c r="AF917" s="317"/>
      <c r="AG917" s="325" t="s">
        <v>2072</v>
      </c>
      <c r="AH917" s="326"/>
      <c r="AI917" s="317">
        <v>4184</v>
      </c>
      <c r="AJ917" s="326">
        <v>43514</v>
      </c>
      <c r="AK917" s="326">
        <v>43104</v>
      </c>
      <c r="AL917" s="326">
        <v>44938</v>
      </c>
      <c r="AM917" s="316"/>
      <c r="AN917" s="305"/>
      <c r="AO917" s="327" t="str">
        <f>_xlfn.IFNA(IF(VLOOKUP(tabItens[[#This Row],[CÓDIGO]],tabExcluirDoEstoque[#Data],1,FALSE),"sim",""),"")</f>
        <v>sim</v>
      </c>
      <c r="AP917" s="328" t="str">
        <f ca="1">IF(OR(ISBLANK(tabItens[[#This Row],[ATA DT.VALID.]]),tabItens[[#This Row],[ATA DT.VALID.]]="",tabItens[[#This Row],[ATA DT.VALID.]]=" "),"",IF(TYPE(tabItens[[#This Row],[ATA DT.VALID.]])=1,ROUNDUP((tabItens[[#This Row],[ATA DT.VALID.]]-TODAY())/7,0),""))</f>
        <v/>
      </c>
      <c r="AQ917" s="329"/>
      <c r="AR917" s="330">
        <f>IF(ISBLANK(tabItens[[#This Row],[CÓDIGO]]),"",IFERROR(VLOOKUP(tabItens[[#This Row],[CÓDIGO]],Consumo!$C$2:$AC$862,26,FALSE),0))</f>
        <v>0</v>
      </c>
      <c r="AS917" s="331">
        <f>SUMIF(Consumo!$C$3:$C$862,tabItens[[#This Row],[CÓDIGO]],Consumo!$N$3:$N$862) + SUMIF(Consumo!$C$3:$C$862,tabItens[[#This Row],[CÓDIGO]],Consumo!$O$3:$O$862) + SUMIF(Consumo!$C$3:$C$862,tabItens[[#This Row],[CÓDIGO]],Consumo!$P$3:$P$862) + SUMIF(Consumo!$C$3:$C$862,tabItens[[#This Row],[CÓDIGO]],Consumo!$Q$3:$Q$862)</f>
        <v>0</v>
      </c>
      <c r="AT917" s="331">
        <f>SUMIF(Consumo!$C$3:$C$862,tabItens[[#This Row],[CÓDIGO]],Consumo!$Z$3:$Z$862)</f>
        <v>0</v>
      </c>
      <c r="AU917" s="332">
        <f>SUMIF(Consumo!$C$3:$C$862,tabItens[[#This Row],[CÓDIGO]],Consumo!$AA$3:$AA$862)</f>
        <v>0</v>
      </c>
      <c r="AV917" s="333">
        <f>SUMIF(Consumo!$C$3:$C$862,tabItens[[#This Row],[CÓDIGO]],Consumo!$Y$3:$Y$862)</f>
        <v>0</v>
      </c>
      <c r="AW917" s="306">
        <f>tabItens[[#This Row],[QTDE ATUAL]] + tabItens[[#This Row],[RC QTDE]] + tabItens[[#This Row],[AF SALDO]] + tabItens[[#This Row],[Recentes]]</f>
        <v>32671</v>
      </c>
      <c r="AX917" s="334">
        <v>0</v>
      </c>
      <c r="AY917" s="334">
        <v>4</v>
      </c>
      <c r="AZ917" s="334">
        <f>IF(ISBLANK(tabItens[[#This Row],[CÓDIGO]]),"",tabItens[[#This Row],[PontoMês]] * (AZ$2+tabItens[[#This Row],[PontoQtM]]))</f>
        <v>0</v>
      </c>
      <c r="BA917" s="333">
        <f>tabItens[[#This Row],[PontoPed]] - tabItens[[#This Row],[Saldo]] + (1/10)</f>
        <v>-32670.9</v>
      </c>
      <c r="BB917" s="333">
        <f xml:space="preserve"> tabItens[[#This Row],[PontoMês]] * BB$2 - tabItens[[#This Row],[QTDE ATUAL]] - (1/10)</f>
        <v>-0.1</v>
      </c>
      <c r="BC917" s="335">
        <f>IF( tabItens[[#This Row],[PontoPed]]&gt;0, IF(tabItens[[#This Row],[PontoPed]]&lt;1, 1, IF( tabItens[[#This Row],[Saldo]]&gt;tabItens[[#This Row],[PontoPed]], 0, (tabItens[[#This Row],[PontoPed]]-tabItens[[#This Row],[Saldo]])/tabItens[[#This Row],[PontoPed]] ) ), 0 )</f>
        <v>0</v>
      </c>
      <c r="BD917" s="336">
        <f>ROUNDDOWN(IF( OR( AND(tabItens[[#This Row],[PontoPed]]&lt;tabItens[[#This Row],[Saldo]],tabItens[[#This Row],[Saldo]]&gt;0), tabItens[[#This Row],[PontoPed]]=0), 99, IF(AND(tabItens[[#This Row],[Saldo]]=0,tabItens[[#This Row],[PontoPed]]&gt;0), 0, (1-tabItens[[#This Row],[PctAb]])*10 ) ),0)</f>
        <v>99</v>
      </c>
      <c r="BE917" s="337">
        <f>MAX(ROUNDDOWN( IF(tabItens[[#This Row],[Abaixo]] &gt; 0,   tabItens[[#This Row],[Abaixo]] + (tabItens[[#This Row],[PontoMês]] * IF( OR( ISBLANK(tabItens[[#This Row],[ATA Nº/ANO]]), tabItens[[#This Row],[ATA Nº/ANO]] = ""),BE$2,BE$1)),0),0),0)</f>
        <v>0</v>
      </c>
      <c r="BF91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7" s="338">
        <f>SUMIF(Consumo!$C$3:$C$862,tabItens[[#This Row],[CÓDIGO]],Consumo!$E$3:$E$862)</f>
        <v>0</v>
      </c>
      <c r="BH917" s="339">
        <f>IF(AND(tabItens[[#This Row],[Pend]] &gt; 0,tabItens[[#This Row],[Consumo]] &lt;&gt; 0), tabItens[[#This Row],[Pend]] / tabItens[[#This Row],[Consumo]], 0 )</f>
        <v>0</v>
      </c>
      <c r="BI917" s="338"/>
      <c r="BJ917" s="338"/>
      <c r="BK917" s="340" t="s">
        <v>2086</v>
      </c>
    </row>
    <row r="918" spans="1:63" hidden="1" x14ac:dyDescent="0.3">
      <c r="A918" s="301">
        <v>135699</v>
      </c>
      <c r="B918" s="302" t="s">
        <v>864</v>
      </c>
      <c r="C918" s="303" t="s">
        <v>31</v>
      </c>
      <c r="D918" s="304">
        <v>1.01</v>
      </c>
      <c r="E918" s="305"/>
      <c r="F918" s="305"/>
      <c r="G918" s="305" t="s">
        <v>889</v>
      </c>
      <c r="H918" s="306">
        <v>0</v>
      </c>
      <c r="I918" s="307">
        <v>103003</v>
      </c>
      <c r="J918" s="308">
        <v>1.01</v>
      </c>
      <c r="K918" s="309"/>
      <c r="L918" s="310">
        <f>IF(tabItens[[#This Row],[Média]] &gt; 0, tabItens[[#This Row],[QTDE ATUAL]] / tabItens[[#This Row],[Média]],999.9)</f>
        <v>999.9</v>
      </c>
      <c r="M918" s="311">
        <v>0</v>
      </c>
      <c r="N918" s="312">
        <f>tabItens[[#This Row],[VALOR UNIT.]] * tabItens[[#This Row],[LC]]</f>
        <v>0</v>
      </c>
      <c r="O918" s="313"/>
      <c r="P918" s="314"/>
      <c r="Q918" s="315"/>
      <c r="R918" s="312"/>
      <c r="S918" s="316"/>
      <c r="T918" s="317">
        <f>ROUNDDOWN(IFERROR(tabItens[[#This Row],[ATA DT.VALID.]] - $D$1,0) / 30,0)</f>
        <v>-1474</v>
      </c>
      <c r="U918" s="302" t="s">
        <v>937</v>
      </c>
      <c r="V918" s="318">
        <v>1</v>
      </c>
      <c r="W918" s="319" t="s">
        <v>2074</v>
      </c>
      <c r="X918" s="320">
        <v>45</v>
      </c>
      <c r="Y918" s="321">
        <v>9</v>
      </c>
      <c r="Z918" s="322">
        <v>11440</v>
      </c>
      <c r="AA918" s="323">
        <v>2023</v>
      </c>
      <c r="AB918" s="324">
        <v>40830</v>
      </c>
      <c r="AC918" s="324"/>
      <c r="AD918" s="323"/>
      <c r="AE918" s="324"/>
      <c r="AF918" s="317"/>
      <c r="AG918" s="325" t="s">
        <v>2072</v>
      </c>
      <c r="AH918" s="326"/>
      <c r="AI918" s="317">
        <v>0</v>
      </c>
      <c r="AJ918" s="326" t="s">
        <v>889</v>
      </c>
      <c r="AK918" s="326">
        <v>43333</v>
      </c>
      <c r="AL918" s="326">
        <v>44938</v>
      </c>
      <c r="AM918" s="316"/>
      <c r="AN918" s="305"/>
      <c r="AO918" s="327" t="str">
        <f>_xlfn.IFNA(IF(VLOOKUP(tabItens[[#This Row],[CÓDIGO]],tabExcluirDoEstoque[#Data],1,FALSE),"sim",""),"")</f>
        <v>sim</v>
      </c>
      <c r="AP918" s="328" t="str">
        <f ca="1">IF(OR(ISBLANK(tabItens[[#This Row],[ATA DT.VALID.]]),tabItens[[#This Row],[ATA DT.VALID.]]="",tabItens[[#This Row],[ATA DT.VALID.]]=" "),"",IF(TYPE(tabItens[[#This Row],[ATA DT.VALID.]])=1,ROUNDUP((tabItens[[#This Row],[ATA DT.VALID.]]-TODAY())/7,0),""))</f>
        <v/>
      </c>
      <c r="AQ918" s="329"/>
      <c r="AR918" s="330">
        <f>IF(ISBLANK(tabItens[[#This Row],[CÓDIGO]]),"",IFERROR(VLOOKUP(tabItens[[#This Row],[CÓDIGO]],Consumo!$C$2:$AC$862,26,FALSE),0))</f>
        <v>0</v>
      </c>
      <c r="AS918" s="331">
        <f>SUMIF(Consumo!$C$3:$C$862,tabItens[[#This Row],[CÓDIGO]],Consumo!$N$3:$N$862) + SUMIF(Consumo!$C$3:$C$862,tabItens[[#This Row],[CÓDIGO]],Consumo!$O$3:$O$862) + SUMIF(Consumo!$C$3:$C$862,tabItens[[#This Row],[CÓDIGO]],Consumo!$P$3:$P$862) + SUMIF(Consumo!$C$3:$C$862,tabItens[[#This Row],[CÓDIGO]],Consumo!$Q$3:$Q$862)</f>
        <v>0</v>
      </c>
      <c r="AT918" s="331">
        <f>SUMIF(Consumo!$C$3:$C$862,tabItens[[#This Row],[CÓDIGO]],Consumo!$Z$3:$Z$862)</f>
        <v>0</v>
      </c>
      <c r="AU918" s="332">
        <f>SUMIF(Consumo!$C$3:$C$862,tabItens[[#This Row],[CÓDIGO]],Consumo!$AA$3:$AA$862)</f>
        <v>0</v>
      </c>
      <c r="AV918" s="333">
        <f>SUMIF(Consumo!$C$3:$C$862,tabItens[[#This Row],[CÓDIGO]],Consumo!$Y$3:$Y$862)</f>
        <v>0</v>
      </c>
      <c r="AW918" s="306">
        <f>tabItens[[#This Row],[QTDE ATUAL]] + tabItens[[#This Row],[RC QTDE]] + tabItens[[#This Row],[AF SALDO]] + tabItens[[#This Row],[Recentes]]</f>
        <v>40830</v>
      </c>
      <c r="AX918" s="334">
        <v>0</v>
      </c>
      <c r="AY918" s="334">
        <v>4</v>
      </c>
      <c r="AZ918" s="334">
        <f>IF(ISBLANK(tabItens[[#This Row],[CÓDIGO]]),"",tabItens[[#This Row],[PontoMês]] * (AZ$2+tabItens[[#This Row],[PontoQtM]]))</f>
        <v>0</v>
      </c>
      <c r="BA918" s="333">
        <f>tabItens[[#This Row],[PontoPed]] - tabItens[[#This Row],[Saldo]] + (1/10)</f>
        <v>-40829.9</v>
      </c>
      <c r="BB918" s="333">
        <f xml:space="preserve"> tabItens[[#This Row],[PontoMês]] * BB$2 - tabItens[[#This Row],[QTDE ATUAL]] - (1/10)</f>
        <v>-0.1</v>
      </c>
      <c r="BC918" s="335">
        <f>IF( tabItens[[#This Row],[PontoPed]]&gt;0, IF(tabItens[[#This Row],[PontoPed]]&lt;1, 1, IF( tabItens[[#This Row],[Saldo]]&gt;tabItens[[#This Row],[PontoPed]], 0, (tabItens[[#This Row],[PontoPed]]-tabItens[[#This Row],[Saldo]])/tabItens[[#This Row],[PontoPed]] ) ), 0 )</f>
        <v>0</v>
      </c>
      <c r="BD918" s="336">
        <f>ROUNDDOWN(IF( OR( AND(tabItens[[#This Row],[PontoPed]]&lt;tabItens[[#This Row],[Saldo]],tabItens[[#This Row],[Saldo]]&gt;0), tabItens[[#This Row],[PontoPed]]=0), 99, IF(AND(tabItens[[#This Row],[Saldo]]=0,tabItens[[#This Row],[PontoPed]]&gt;0), 0, (1-tabItens[[#This Row],[PctAb]])*10 ) ),0)</f>
        <v>99</v>
      </c>
      <c r="BE918" s="337">
        <f>MAX(ROUNDDOWN( IF(tabItens[[#This Row],[Abaixo]] &gt; 0,   tabItens[[#This Row],[Abaixo]] + (tabItens[[#This Row],[PontoMês]] * IF( OR( ISBLANK(tabItens[[#This Row],[ATA Nº/ANO]]), tabItens[[#This Row],[ATA Nº/ANO]] = ""),BE$2,BE$1)),0),0),0)</f>
        <v>0</v>
      </c>
      <c r="BF91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8" s="338">
        <f>SUMIF(Consumo!$C$3:$C$862,tabItens[[#This Row],[CÓDIGO]],Consumo!$E$3:$E$862)</f>
        <v>0</v>
      </c>
      <c r="BH918" s="339">
        <f>IF(AND(tabItens[[#This Row],[Pend]] &gt; 0,tabItens[[#This Row],[Consumo]] &lt;&gt; 0), tabItens[[#This Row],[Pend]] / tabItens[[#This Row],[Consumo]], 0 )</f>
        <v>0</v>
      </c>
      <c r="BI918" s="338"/>
      <c r="BJ918" s="338"/>
      <c r="BK918" s="340" t="s">
        <v>2086</v>
      </c>
    </row>
    <row r="919" spans="1:63" hidden="1" x14ac:dyDescent="0.3">
      <c r="A919" s="301">
        <v>50476</v>
      </c>
      <c r="B919" s="302" t="s">
        <v>466</v>
      </c>
      <c r="C919" s="303" t="s">
        <v>263</v>
      </c>
      <c r="D919" s="304">
        <v>1.24</v>
      </c>
      <c r="E919" s="305"/>
      <c r="F919" s="305"/>
      <c r="G919" s="305" t="s">
        <v>889</v>
      </c>
      <c r="H919" s="306">
        <v>571</v>
      </c>
      <c r="I919" s="307">
        <v>103003</v>
      </c>
      <c r="J919" s="308">
        <v>1.24</v>
      </c>
      <c r="K919" s="309">
        <v>11</v>
      </c>
      <c r="L919" s="310">
        <f>IF(tabItens[[#This Row],[Média]] &gt; 0, tabItens[[#This Row],[QTDE ATUAL]] / tabItens[[#This Row],[Média]],999.9)</f>
        <v>978.85714285714278</v>
      </c>
      <c r="M919" s="311">
        <v>0</v>
      </c>
      <c r="N919" s="312">
        <f>tabItens[[#This Row],[VALOR UNIT.]] * tabItens[[#This Row],[LC]]</f>
        <v>0</v>
      </c>
      <c r="O919" s="313"/>
      <c r="P919" s="314"/>
      <c r="Q919" s="315"/>
      <c r="R919" s="312"/>
      <c r="S919" s="316"/>
      <c r="T919" s="317">
        <f>ROUNDDOWN(IFERROR(tabItens[[#This Row],[ATA DT.VALID.]] - $D$1,0) / 30,0)</f>
        <v>-1474</v>
      </c>
      <c r="U919" s="302" t="s">
        <v>1274</v>
      </c>
      <c r="V919" s="318">
        <v>1</v>
      </c>
      <c r="W919" s="319" t="s">
        <v>2071</v>
      </c>
      <c r="X919" s="320">
        <v>51</v>
      </c>
      <c r="Y919" s="321">
        <v>17</v>
      </c>
      <c r="Z919" s="322"/>
      <c r="AA919" s="323"/>
      <c r="AB919" s="324"/>
      <c r="AC919" s="324"/>
      <c r="AD919" s="323"/>
      <c r="AE919" s="324"/>
      <c r="AF919" s="317"/>
      <c r="AG919" s="325" t="s">
        <v>2072</v>
      </c>
      <c r="AH919" s="326"/>
      <c r="AI919" s="317">
        <v>4</v>
      </c>
      <c r="AJ919" s="326">
        <v>39820</v>
      </c>
      <c r="AK919" s="326" t="s">
        <v>889</v>
      </c>
      <c r="AL919" s="326">
        <v>40826</v>
      </c>
      <c r="AM919" s="316"/>
      <c r="AN919" s="305"/>
      <c r="AO919" s="327" t="str">
        <f>_xlfn.IFNA(IF(VLOOKUP(tabItens[[#This Row],[CÓDIGO]],tabExcluirDoEstoque[#Data],1,FALSE),"sim",""),"")</f>
        <v>sim</v>
      </c>
      <c r="AP919" s="328" t="str">
        <f ca="1">IF(OR(ISBLANK(tabItens[[#This Row],[ATA DT.VALID.]]),tabItens[[#This Row],[ATA DT.VALID.]]="",tabItens[[#This Row],[ATA DT.VALID.]]=" "),"",IF(TYPE(tabItens[[#This Row],[ATA DT.VALID.]])=1,ROUNDUP((tabItens[[#This Row],[ATA DT.VALID.]]-TODAY())/7,0),""))</f>
        <v/>
      </c>
      <c r="AQ919" s="329"/>
      <c r="AR919" s="330" t="str">
        <f>IF(ISBLANK(tabItens[[#This Row],[CÓDIGO]]),"",IFERROR(VLOOKUP(tabItens[[#This Row],[CÓDIGO]],Consumo!$C$2:$AC$862,26,FALSE),0))</f>
        <v>12.2022</v>
      </c>
      <c r="AS919" s="331">
        <f>SUMIF(Consumo!$C$3:$C$862,tabItens[[#This Row],[CÓDIGO]],Consumo!$N$3:$N$862) + SUMIF(Consumo!$C$3:$C$862,tabItens[[#This Row],[CÓDIGO]],Consumo!$O$3:$O$862) + SUMIF(Consumo!$C$3:$C$862,tabItens[[#This Row],[CÓDIGO]],Consumo!$P$3:$P$862) + SUMIF(Consumo!$C$3:$C$862,tabItens[[#This Row],[CÓDIGO]],Consumo!$Q$3:$Q$862)</f>
        <v>0</v>
      </c>
      <c r="AT919" s="331">
        <f>SUMIF(Consumo!$C$3:$C$862,tabItens[[#This Row],[CÓDIGO]],Consumo!$Z$3:$Z$862)</f>
        <v>11</v>
      </c>
      <c r="AU919" s="332">
        <f>SUMIF(Consumo!$C$3:$C$862,tabItens[[#This Row],[CÓDIGO]],Consumo!$AA$3:$AA$862)</f>
        <v>11</v>
      </c>
      <c r="AV919" s="333">
        <f>SUMIF(Consumo!$C$3:$C$862,tabItens[[#This Row],[CÓDIGO]],Consumo!$Y$3:$Y$862)</f>
        <v>0.58333333333333337</v>
      </c>
      <c r="AW919" s="306">
        <f>tabItens[[#This Row],[QTDE ATUAL]] + tabItens[[#This Row],[RC QTDE]] + tabItens[[#This Row],[AF SALDO]] + tabItens[[#This Row],[Recentes]]</f>
        <v>571</v>
      </c>
      <c r="AX919" s="334">
        <v>0</v>
      </c>
      <c r="AY919" s="334">
        <v>0</v>
      </c>
      <c r="AZ919" s="334">
        <f>IF(ISBLANK(tabItens[[#This Row],[CÓDIGO]]),"",tabItens[[#This Row],[PontoMês]] * (AZ$2+tabItens[[#This Row],[PontoQtM]]))</f>
        <v>0</v>
      </c>
      <c r="BA919" s="333">
        <f>tabItens[[#This Row],[PontoPed]] - tabItens[[#This Row],[Saldo]] + (1/10)</f>
        <v>-570.9</v>
      </c>
      <c r="BB919" s="333">
        <f xml:space="preserve"> tabItens[[#This Row],[PontoMês]] * BB$2 - tabItens[[#This Row],[QTDE ATUAL]] - (1/10)</f>
        <v>-571.1</v>
      </c>
      <c r="BC919" s="335">
        <f>IF( tabItens[[#This Row],[PontoPed]]&gt;0, IF(tabItens[[#This Row],[PontoPed]]&lt;1, 1, IF( tabItens[[#This Row],[Saldo]]&gt;tabItens[[#This Row],[PontoPed]], 0, (tabItens[[#This Row],[PontoPed]]-tabItens[[#This Row],[Saldo]])/tabItens[[#This Row],[PontoPed]] ) ), 0 )</f>
        <v>0</v>
      </c>
      <c r="BD919" s="336">
        <f>ROUNDDOWN(IF( OR( AND(tabItens[[#This Row],[PontoPed]]&lt;tabItens[[#This Row],[Saldo]],tabItens[[#This Row],[Saldo]]&gt;0), tabItens[[#This Row],[PontoPed]]=0), 99, IF(AND(tabItens[[#This Row],[Saldo]]=0,tabItens[[#This Row],[PontoPed]]&gt;0), 0, (1-tabItens[[#This Row],[PctAb]])*10 ) ),0)</f>
        <v>99</v>
      </c>
      <c r="BE919" s="337">
        <f>MAX(ROUNDDOWN( IF(tabItens[[#This Row],[Abaixo]] &gt; 0,   tabItens[[#This Row],[Abaixo]] + (tabItens[[#This Row],[PontoMês]] * IF( OR( ISBLANK(tabItens[[#This Row],[ATA Nº/ANO]]), tabItens[[#This Row],[ATA Nº/ANO]] = ""),BE$2,BE$1)),0),0),0)</f>
        <v>0</v>
      </c>
      <c r="BF91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9" s="338">
        <f>SUMIF(Consumo!$C$3:$C$862,tabItens[[#This Row],[CÓDIGO]],Consumo!$E$3:$E$862)</f>
        <v>0</v>
      </c>
      <c r="BH919" s="339">
        <f>IF(AND(tabItens[[#This Row],[Pend]] &gt; 0,tabItens[[#This Row],[Consumo]] &lt;&gt; 0), tabItens[[#This Row],[Pend]] / tabItens[[#This Row],[Consumo]], 0 )</f>
        <v>0</v>
      </c>
      <c r="BI919" s="338"/>
      <c r="BJ919" s="338"/>
      <c r="BK919" s="340" t="s">
        <v>2086</v>
      </c>
    </row>
    <row r="920" spans="1:63" hidden="1" x14ac:dyDescent="0.3">
      <c r="A920" s="301">
        <v>65609</v>
      </c>
      <c r="B920" s="302" t="s">
        <v>509</v>
      </c>
      <c r="C920" s="303" t="s">
        <v>263</v>
      </c>
      <c r="D920" s="304">
        <v>21</v>
      </c>
      <c r="E920" s="305"/>
      <c r="F920" s="305"/>
      <c r="G920" s="305" t="s">
        <v>889</v>
      </c>
      <c r="H920" s="306">
        <v>3</v>
      </c>
      <c r="I920" s="307">
        <v>103003</v>
      </c>
      <c r="J920" s="308">
        <v>21</v>
      </c>
      <c r="K920" s="309"/>
      <c r="L920" s="310">
        <f>IF(tabItens[[#This Row],[Média]] &gt; 0, tabItens[[#This Row],[QTDE ATUAL]] / tabItens[[#This Row],[Média]],999.9)</f>
        <v>999.9</v>
      </c>
      <c r="M920" s="311">
        <v>0</v>
      </c>
      <c r="N920" s="312">
        <f>tabItens[[#This Row],[VALOR UNIT.]] * tabItens[[#This Row],[LC]]</f>
        <v>0</v>
      </c>
      <c r="O920" s="313"/>
      <c r="P920" s="314"/>
      <c r="Q920" s="315"/>
      <c r="R920" s="312"/>
      <c r="S920" s="316"/>
      <c r="T920" s="317">
        <f>ROUNDDOWN(IFERROR(tabItens[[#This Row],[ATA DT.VALID.]] - $D$1,0) / 30,0)</f>
        <v>-1474</v>
      </c>
      <c r="U920" s="302" t="s">
        <v>1274</v>
      </c>
      <c r="V920" s="318">
        <v>1</v>
      </c>
      <c r="W920" s="319" t="s">
        <v>2071</v>
      </c>
      <c r="X920" s="320">
        <v>51</v>
      </c>
      <c r="Y920" s="321">
        <v>17</v>
      </c>
      <c r="Z920" s="322"/>
      <c r="AA920" s="323"/>
      <c r="AB920" s="324"/>
      <c r="AC920" s="324"/>
      <c r="AD920" s="323"/>
      <c r="AE920" s="324"/>
      <c r="AF920" s="317"/>
      <c r="AG920" s="325" t="s">
        <v>2072</v>
      </c>
      <c r="AH920" s="326"/>
      <c r="AI920" s="317">
        <v>0</v>
      </c>
      <c r="AJ920" s="326">
        <v>39779</v>
      </c>
      <c r="AK920" s="326" t="s">
        <v>889</v>
      </c>
      <c r="AL920" s="326">
        <v>39734</v>
      </c>
      <c r="AM920" s="316"/>
      <c r="AN920" s="305"/>
      <c r="AO920" s="327" t="str">
        <f>_xlfn.IFNA(IF(VLOOKUP(tabItens[[#This Row],[CÓDIGO]],tabExcluirDoEstoque[#Data],1,FALSE),"sim",""),"")</f>
        <v>sim</v>
      </c>
      <c r="AP920" s="328" t="str">
        <f ca="1">IF(OR(ISBLANK(tabItens[[#This Row],[ATA DT.VALID.]]),tabItens[[#This Row],[ATA DT.VALID.]]="",tabItens[[#This Row],[ATA DT.VALID.]]=" "),"",IF(TYPE(tabItens[[#This Row],[ATA DT.VALID.]])=1,ROUNDUP((tabItens[[#This Row],[ATA DT.VALID.]]-TODAY())/7,0),""))</f>
        <v/>
      </c>
      <c r="AQ920" s="329"/>
      <c r="AR920" s="330">
        <f>IF(ISBLANK(tabItens[[#This Row],[CÓDIGO]]),"",IFERROR(VLOOKUP(tabItens[[#This Row],[CÓDIGO]],Consumo!$C$2:$AC$862,26,FALSE),0))</f>
        <v>0</v>
      </c>
      <c r="AS920" s="331">
        <f>SUMIF(Consumo!$C$3:$C$862,tabItens[[#This Row],[CÓDIGO]],Consumo!$N$3:$N$862) + SUMIF(Consumo!$C$3:$C$862,tabItens[[#This Row],[CÓDIGO]],Consumo!$O$3:$O$862) + SUMIF(Consumo!$C$3:$C$862,tabItens[[#This Row],[CÓDIGO]],Consumo!$P$3:$P$862) + SUMIF(Consumo!$C$3:$C$862,tabItens[[#This Row],[CÓDIGO]],Consumo!$Q$3:$Q$862)</f>
        <v>0</v>
      </c>
      <c r="AT920" s="331">
        <f>SUMIF(Consumo!$C$3:$C$862,tabItens[[#This Row],[CÓDIGO]],Consumo!$Z$3:$Z$862)</f>
        <v>0</v>
      </c>
      <c r="AU920" s="332">
        <f>SUMIF(Consumo!$C$3:$C$862,tabItens[[#This Row],[CÓDIGO]],Consumo!$AA$3:$AA$862)</f>
        <v>0</v>
      </c>
      <c r="AV920" s="333">
        <f>SUMIF(Consumo!$C$3:$C$862,tabItens[[#This Row],[CÓDIGO]],Consumo!$Y$3:$Y$862)</f>
        <v>0</v>
      </c>
      <c r="AW920" s="306">
        <f>tabItens[[#This Row],[QTDE ATUAL]] + tabItens[[#This Row],[RC QTDE]] + tabItens[[#This Row],[AF SALDO]] + tabItens[[#This Row],[Recentes]]</f>
        <v>3</v>
      </c>
      <c r="AX920" s="334">
        <v>0</v>
      </c>
      <c r="AY920" s="334">
        <v>0</v>
      </c>
      <c r="AZ920" s="334">
        <f>IF(ISBLANK(tabItens[[#This Row],[CÓDIGO]]),"",tabItens[[#This Row],[PontoMês]] * (AZ$2+tabItens[[#This Row],[PontoQtM]]))</f>
        <v>0</v>
      </c>
      <c r="BA920" s="333">
        <f>tabItens[[#This Row],[PontoPed]] - tabItens[[#This Row],[Saldo]] + (1/10)</f>
        <v>-2.9</v>
      </c>
      <c r="BB920" s="333">
        <f xml:space="preserve"> tabItens[[#This Row],[PontoMês]] * BB$2 - tabItens[[#This Row],[QTDE ATUAL]] - (1/10)</f>
        <v>-3.1</v>
      </c>
      <c r="BC920" s="335">
        <f>IF( tabItens[[#This Row],[PontoPed]]&gt;0, IF(tabItens[[#This Row],[PontoPed]]&lt;1, 1, IF( tabItens[[#This Row],[Saldo]]&gt;tabItens[[#This Row],[PontoPed]], 0, (tabItens[[#This Row],[PontoPed]]-tabItens[[#This Row],[Saldo]])/tabItens[[#This Row],[PontoPed]] ) ), 0 )</f>
        <v>0</v>
      </c>
      <c r="BD920" s="336">
        <f>ROUNDDOWN(IF( OR( AND(tabItens[[#This Row],[PontoPed]]&lt;tabItens[[#This Row],[Saldo]],tabItens[[#This Row],[Saldo]]&gt;0), tabItens[[#This Row],[PontoPed]]=0), 99, IF(AND(tabItens[[#This Row],[Saldo]]=0,tabItens[[#This Row],[PontoPed]]&gt;0), 0, (1-tabItens[[#This Row],[PctAb]])*10 ) ),0)</f>
        <v>99</v>
      </c>
      <c r="BE920" s="337">
        <f>MAX(ROUNDDOWN( IF(tabItens[[#This Row],[Abaixo]] &gt; 0,   tabItens[[#This Row],[Abaixo]] + (tabItens[[#This Row],[PontoMês]] * IF( OR( ISBLANK(tabItens[[#This Row],[ATA Nº/ANO]]), tabItens[[#This Row],[ATA Nº/ANO]] = ""),BE$2,BE$1)),0),0),0)</f>
        <v>0</v>
      </c>
      <c r="BF92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0" s="338">
        <f>SUMIF(Consumo!$C$3:$C$862,tabItens[[#This Row],[CÓDIGO]],Consumo!$E$3:$E$862)</f>
        <v>0</v>
      </c>
      <c r="BH920" s="339">
        <f>IF(AND(tabItens[[#This Row],[Pend]] &gt; 0,tabItens[[#This Row],[Consumo]] &lt;&gt; 0), tabItens[[#This Row],[Pend]] / tabItens[[#This Row],[Consumo]], 0 )</f>
        <v>0</v>
      </c>
      <c r="BI920" s="338"/>
      <c r="BJ920" s="338"/>
      <c r="BK920" s="340" t="s">
        <v>2086</v>
      </c>
    </row>
    <row r="921" spans="1:63" hidden="1" x14ac:dyDescent="0.3">
      <c r="A921" s="301">
        <v>65610</v>
      </c>
      <c r="B921" s="302" t="s">
        <v>510</v>
      </c>
      <c r="C921" s="303" t="s">
        <v>263</v>
      </c>
      <c r="D921" s="304">
        <v>30</v>
      </c>
      <c r="E921" s="305"/>
      <c r="F921" s="305"/>
      <c r="G921" s="305" t="s">
        <v>889</v>
      </c>
      <c r="H921" s="306">
        <v>15</v>
      </c>
      <c r="I921" s="307">
        <v>103003</v>
      </c>
      <c r="J921" s="308">
        <v>28.95</v>
      </c>
      <c r="K921" s="309"/>
      <c r="L921" s="310">
        <f>IF(tabItens[[#This Row],[Média]] &gt; 0, tabItens[[#This Row],[QTDE ATUAL]] / tabItens[[#This Row],[Média]],999.9)</f>
        <v>999.9</v>
      </c>
      <c r="M921" s="311">
        <v>0</v>
      </c>
      <c r="N921" s="312">
        <f>tabItens[[#This Row],[VALOR UNIT.]] * tabItens[[#This Row],[LC]]</f>
        <v>0</v>
      </c>
      <c r="O921" s="313"/>
      <c r="P921" s="314"/>
      <c r="Q921" s="315"/>
      <c r="R921" s="312"/>
      <c r="S921" s="316"/>
      <c r="T921" s="317">
        <f>ROUNDDOWN(IFERROR(tabItens[[#This Row],[ATA DT.VALID.]] - $D$1,0) / 30,0)</f>
        <v>-1474</v>
      </c>
      <c r="U921" s="302" t="s">
        <v>1274</v>
      </c>
      <c r="V921" s="318">
        <v>1</v>
      </c>
      <c r="W921" s="319" t="s">
        <v>2071</v>
      </c>
      <c r="X921" s="320">
        <v>51</v>
      </c>
      <c r="Y921" s="321">
        <v>17</v>
      </c>
      <c r="Z921" s="322"/>
      <c r="AA921" s="323"/>
      <c r="AB921" s="324"/>
      <c r="AC921" s="324"/>
      <c r="AD921" s="323"/>
      <c r="AE921" s="324"/>
      <c r="AF921" s="317"/>
      <c r="AG921" s="325" t="s">
        <v>2072</v>
      </c>
      <c r="AH921" s="326"/>
      <c r="AI921" s="317">
        <v>0</v>
      </c>
      <c r="AJ921" s="326">
        <v>39636</v>
      </c>
      <c r="AK921" s="326" t="s">
        <v>889</v>
      </c>
      <c r="AL921" s="326">
        <v>39616</v>
      </c>
      <c r="AM921" s="316"/>
      <c r="AN921" s="305"/>
      <c r="AO921" s="327" t="str">
        <f>_xlfn.IFNA(IF(VLOOKUP(tabItens[[#This Row],[CÓDIGO]],tabExcluirDoEstoque[#Data],1,FALSE),"sim",""),"")</f>
        <v>sim</v>
      </c>
      <c r="AP921" s="328" t="str">
        <f ca="1">IF(OR(ISBLANK(tabItens[[#This Row],[ATA DT.VALID.]]),tabItens[[#This Row],[ATA DT.VALID.]]="",tabItens[[#This Row],[ATA DT.VALID.]]=" "),"",IF(TYPE(tabItens[[#This Row],[ATA DT.VALID.]])=1,ROUNDUP((tabItens[[#This Row],[ATA DT.VALID.]]-TODAY())/7,0),""))</f>
        <v/>
      </c>
      <c r="AQ921" s="329"/>
      <c r="AR921" s="330">
        <f>IF(ISBLANK(tabItens[[#This Row],[CÓDIGO]]),"",IFERROR(VLOOKUP(tabItens[[#This Row],[CÓDIGO]],Consumo!$C$2:$AC$862,26,FALSE),0))</f>
        <v>0</v>
      </c>
      <c r="AS921" s="331">
        <f>SUMIF(Consumo!$C$3:$C$862,tabItens[[#This Row],[CÓDIGO]],Consumo!$N$3:$N$862) + SUMIF(Consumo!$C$3:$C$862,tabItens[[#This Row],[CÓDIGO]],Consumo!$O$3:$O$862) + SUMIF(Consumo!$C$3:$C$862,tabItens[[#This Row],[CÓDIGO]],Consumo!$P$3:$P$862) + SUMIF(Consumo!$C$3:$C$862,tabItens[[#This Row],[CÓDIGO]],Consumo!$Q$3:$Q$862)</f>
        <v>0</v>
      </c>
      <c r="AT921" s="331">
        <f>SUMIF(Consumo!$C$3:$C$862,tabItens[[#This Row],[CÓDIGO]],Consumo!$Z$3:$Z$862)</f>
        <v>0</v>
      </c>
      <c r="AU921" s="332">
        <f>SUMIF(Consumo!$C$3:$C$862,tabItens[[#This Row],[CÓDIGO]],Consumo!$AA$3:$AA$862)</f>
        <v>0</v>
      </c>
      <c r="AV921" s="333">
        <f>SUMIF(Consumo!$C$3:$C$862,tabItens[[#This Row],[CÓDIGO]],Consumo!$Y$3:$Y$862)</f>
        <v>0</v>
      </c>
      <c r="AW921" s="306">
        <f>tabItens[[#This Row],[QTDE ATUAL]] + tabItens[[#This Row],[RC QTDE]] + tabItens[[#This Row],[AF SALDO]] + tabItens[[#This Row],[Recentes]]</f>
        <v>15</v>
      </c>
      <c r="AX921" s="334">
        <v>0</v>
      </c>
      <c r="AY921" s="334">
        <v>0</v>
      </c>
      <c r="AZ921" s="334">
        <f>IF(ISBLANK(tabItens[[#This Row],[CÓDIGO]]),"",tabItens[[#This Row],[PontoMês]] * (AZ$2+tabItens[[#This Row],[PontoQtM]]))</f>
        <v>0</v>
      </c>
      <c r="BA921" s="333">
        <f>tabItens[[#This Row],[PontoPed]] - tabItens[[#This Row],[Saldo]] + (1/10)</f>
        <v>-14.9</v>
      </c>
      <c r="BB921" s="333">
        <f xml:space="preserve"> tabItens[[#This Row],[PontoMês]] * BB$2 - tabItens[[#This Row],[QTDE ATUAL]] - (1/10)</f>
        <v>-15.1</v>
      </c>
      <c r="BC921" s="335">
        <f>IF( tabItens[[#This Row],[PontoPed]]&gt;0, IF(tabItens[[#This Row],[PontoPed]]&lt;1, 1, IF( tabItens[[#This Row],[Saldo]]&gt;tabItens[[#This Row],[PontoPed]], 0, (tabItens[[#This Row],[PontoPed]]-tabItens[[#This Row],[Saldo]])/tabItens[[#This Row],[PontoPed]] ) ), 0 )</f>
        <v>0</v>
      </c>
      <c r="BD921" s="336">
        <f>ROUNDDOWN(IF( OR( AND(tabItens[[#This Row],[PontoPed]]&lt;tabItens[[#This Row],[Saldo]],tabItens[[#This Row],[Saldo]]&gt;0), tabItens[[#This Row],[PontoPed]]=0), 99, IF(AND(tabItens[[#This Row],[Saldo]]=0,tabItens[[#This Row],[PontoPed]]&gt;0), 0, (1-tabItens[[#This Row],[PctAb]])*10 ) ),0)</f>
        <v>99</v>
      </c>
      <c r="BE921" s="337">
        <f>MAX(ROUNDDOWN( IF(tabItens[[#This Row],[Abaixo]] &gt; 0,   tabItens[[#This Row],[Abaixo]] + (tabItens[[#This Row],[PontoMês]] * IF( OR( ISBLANK(tabItens[[#This Row],[ATA Nº/ANO]]), tabItens[[#This Row],[ATA Nº/ANO]] = ""),BE$2,BE$1)),0),0),0)</f>
        <v>0</v>
      </c>
      <c r="BF92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1" s="338">
        <f>SUMIF(Consumo!$C$3:$C$862,tabItens[[#This Row],[CÓDIGO]],Consumo!$E$3:$E$862)</f>
        <v>0</v>
      </c>
      <c r="BH921" s="339">
        <f>IF(AND(tabItens[[#This Row],[Pend]] &gt; 0,tabItens[[#This Row],[Consumo]] &lt;&gt; 0), tabItens[[#This Row],[Pend]] / tabItens[[#This Row],[Consumo]], 0 )</f>
        <v>0</v>
      </c>
      <c r="BI921" s="338"/>
      <c r="BJ921" s="338"/>
      <c r="BK921" s="340" t="s">
        <v>2086</v>
      </c>
    </row>
    <row r="922" spans="1:63" hidden="1" x14ac:dyDescent="0.3">
      <c r="A922" s="301">
        <v>115135</v>
      </c>
      <c r="B922" s="302" t="s">
        <v>717</v>
      </c>
      <c r="C922" s="303" t="s">
        <v>263</v>
      </c>
      <c r="D922" s="304">
        <v>15</v>
      </c>
      <c r="E922" s="305"/>
      <c r="F922" s="305"/>
      <c r="G922" s="305" t="s">
        <v>889</v>
      </c>
      <c r="H922" s="306">
        <v>177</v>
      </c>
      <c r="I922" s="307">
        <v>103003</v>
      </c>
      <c r="J922" s="308">
        <v>15</v>
      </c>
      <c r="K922" s="309">
        <v>3</v>
      </c>
      <c r="L922" s="310">
        <f>IF(tabItens[[#This Row],[Média]] &gt; 0, tabItens[[#This Row],[QTDE ATUAL]] / tabItens[[#This Row],[Média]],999.9)</f>
        <v>2124</v>
      </c>
      <c r="M922" s="311">
        <v>0</v>
      </c>
      <c r="N922" s="312">
        <f>tabItens[[#This Row],[VALOR UNIT.]] * tabItens[[#This Row],[LC]]</f>
        <v>0</v>
      </c>
      <c r="O922" s="313"/>
      <c r="P922" s="314"/>
      <c r="Q922" s="315"/>
      <c r="R922" s="312"/>
      <c r="S922" s="316"/>
      <c r="T922" s="317">
        <f>ROUNDDOWN(IFERROR(tabItens[[#This Row],[ATA DT.VALID.]] - $D$1,0) / 30,0)</f>
        <v>-1474</v>
      </c>
      <c r="U922" s="302" t="s">
        <v>1274</v>
      </c>
      <c r="V922" s="318">
        <v>1</v>
      </c>
      <c r="W922" s="319" t="s">
        <v>2071</v>
      </c>
      <c r="X922" s="320">
        <v>51</v>
      </c>
      <c r="Y922" s="321">
        <v>17</v>
      </c>
      <c r="Z922" s="322"/>
      <c r="AA922" s="323"/>
      <c r="AB922" s="324"/>
      <c r="AC922" s="324"/>
      <c r="AD922" s="323"/>
      <c r="AE922" s="324"/>
      <c r="AF922" s="317"/>
      <c r="AG922" s="325" t="s">
        <v>2072</v>
      </c>
      <c r="AH922" s="326"/>
      <c r="AI922" s="317">
        <v>2</v>
      </c>
      <c r="AJ922" s="326">
        <v>40673</v>
      </c>
      <c r="AK922" s="326">
        <v>40303</v>
      </c>
      <c r="AL922" s="326">
        <v>40613</v>
      </c>
      <c r="AM922" s="316"/>
      <c r="AN922" s="305"/>
      <c r="AO922" s="327" t="str">
        <f>_xlfn.IFNA(IF(VLOOKUP(tabItens[[#This Row],[CÓDIGO]],tabExcluirDoEstoque[#Data],1,FALSE),"sim",""),"")</f>
        <v>sim</v>
      </c>
      <c r="AP922" s="328" t="str">
        <f ca="1">IF(OR(ISBLANK(tabItens[[#This Row],[ATA DT.VALID.]]),tabItens[[#This Row],[ATA DT.VALID.]]="",tabItens[[#This Row],[ATA DT.VALID.]]=" "),"",IF(TYPE(tabItens[[#This Row],[ATA DT.VALID.]])=1,ROUNDUP((tabItens[[#This Row],[ATA DT.VALID.]]-TODAY())/7,0),""))</f>
        <v/>
      </c>
      <c r="AQ922" s="329"/>
      <c r="AR922" s="330" t="str">
        <f>IF(ISBLANK(tabItens[[#This Row],[CÓDIGO]]),"",IFERROR(VLOOKUP(tabItens[[#This Row],[CÓDIGO]],Consumo!$C$2:$AC$862,26,FALSE),0))</f>
        <v>05.2023</v>
      </c>
      <c r="AS922" s="331">
        <f>SUMIF(Consumo!$C$3:$C$862,tabItens[[#This Row],[CÓDIGO]],Consumo!$N$3:$N$862) + SUMIF(Consumo!$C$3:$C$862,tabItens[[#This Row],[CÓDIGO]],Consumo!$O$3:$O$862) + SUMIF(Consumo!$C$3:$C$862,tabItens[[#This Row],[CÓDIGO]],Consumo!$P$3:$P$862) + SUMIF(Consumo!$C$3:$C$862,tabItens[[#This Row],[CÓDIGO]],Consumo!$Q$3:$Q$862)</f>
        <v>0</v>
      </c>
      <c r="AT922" s="331">
        <f>SUMIF(Consumo!$C$3:$C$862,tabItens[[#This Row],[CÓDIGO]],Consumo!$Z$3:$Z$862)</f>
        <v>3</v>
      </c>
      <c r="AU922" s="332">
        <f>SUMIF(Consumo!$C$3:$C$862,tabItens[[#This Row],[CÓDIGO]],Consumo!$AA$3:$AA$862)</f>
        <v>3</v>
      </c>
      <c r="AV922" s="333">
        <f>SUMIF(Consumo!$C$3:$C$862,tabItens[[#This Row],[CÓDIGO]],Consumo!$Y$3:$Y$862)</f>
        <v>8.3333333333333329E-2</v>
      </c>
      <c r="AW922" s="306">
        <f>tabItens[[#This Row],[QTDE ATUAL]] + tabItens[[#This Row],[RC QTDE]] + tabItens[[#This Row],[AF SALDO]] + tabItens[[#This Row],[Recentes]]</f>
        <v>177</v>
      </c>
      <c r="AX922" s="334">
        <v>0</v>
      </c>
      <c r="AY922" s="334">
        <v>0</v>
      </c>
      <c r="AZ922" s="334">
        <f>IF(ISBLANK(tabItens[[#This Row],[CÓDIGO]]),"",tabItens[[#This Row],[PontoMês]] * (AZ$2+tabItens[[#This Row],[PontoQtM]]))</f>
        <v>0</v>
      </c>
      <c r="BA922" s="333">
        <f>tabItens[[#This Row],[PontoPed]] - tabItens[[#This Row],[Saldo]] + (1/10)</f>
        <v>-176.9</v>
      </c>
      <c r="BB922" s="333">
        <f xml:space="preserve"> tabItens[[#This Row],[PontoMês]] * BB$2 - tabItens[[#This Row],[QTDE ATUAL]] - (1/10)</f>
        <v>-177.1</v>
      </c>
      <c r="BC922" s="335">
        <f>IF( tabItens[[#This Row],[PontoPed]]&gt;0, IF(tabItens[[#This Row],[PontoPed]]&lt;1, 1, IF( tabItens[[#This Row],[Saldo]]&gt;tabItens[[#This Row],[PontoPed]], 0, (tabItens[[#This Row],[PontoPed]]-tabItens[[#This Row],[Saldo]])/tabItens[[#This Row],[PontoPed]] ) ), 0 )</f>
        <v>0</v>
      </c>
      <c r="BD922" s="336">
        <f>ROUNDDOWN(IF( OR( AND(tabItens[[#This Row],[PontoPed]]&lt;tabItens[[#This Row],[Saldo]],tabItens[[#This Row],[Saldo]]&gt;0), tabItens[[#This Row],[PontoPed]]=0), 99, IF(AND(tabItens[[#This Row],[Saldo]]=0,tabItens[[#This Row],[PontoPed]]&gt;0), 0, (1-tabItens[[#This Row],[PctAb]])*10 ) ),0)</f>
        <v>99</v>
      </c>
      <c r="BE922" s="337">
        <f>MAX(ROUNDDOWN( IF(tabItens[[#This Row],[Abaixo]] &gt; 0,   tabItens[[#This Row],[Abaixo]] + (tabItens[[#This Row],[PontoMês]] * IF( OR( ISBLANK(tabItens[[#This Row],[ATA Nº/ANO]]), tabItens[[#This Row],[ATA Nº/ANO]] = ""),BE$2,BE$1)),0),0),0)</f>
        <v>0</v>
      </c>
      <c r="BF92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2" s="338">
        <f>SUMIF(Consumo!$C$3:$C$862,tabItens[[#This Row],[CÓDIGO]],Consumo!$E$3:$E$862)</f>
        <v>0</v>
      </c>
      <c r="BH922" s="339">
        <f>IF(AND(tabItens[[#This Row],[Pend]] &gt; 0,tabItens[[#This Row],[Consumo]] &lt;&gt; 0), tabItens[[#This Row],[Pend]] / tabItens[[#This Row],[Consumo]], 0 )</f>
        <v>0</v>
      </c>
      <c r="BI922" s="338"/>
      <c r="BJ922" s="338"/>
      <c r="BK922" s="340" t="s">
        <v>2086</v>
      </c>
    </row>
    <row r="923" spans="1:63" hidden="1" x14ac:dyDescent="0.3">
      <c r="A923" s="301">
        <v>133042</v>
      </c>
      <c r="B923" s="302" t="s">
        <v>829</v>
      </c>
      <c r="C923" s="303" t="s">
        <v>31</v>
      </c>
      <c r="D923" s="304">
        <v>55.26</v>
      </c>
      <c r="E923" s="305"/>
      <c r="F923" s="305"/>
      <c r="G923" s="305" t="s">
        <v>889</v>
      </c>
      <c r="H923" s="306">
        <v>50</v>
      </c>
      <c r="I923" s="307">
        <v>103003</v>
      </c>
      <c r="J923" s="308">
        <v>55.26</v>
      </c>
      <c r="K923" s="309"/>
      <c r="L923" s="310">
        <f>IF(tabItens[[#This Row],[Média]] &gt; 0, tabItens[[#This Row],[QTDE ATUAL]] / tabItens[[#This Row],[Média]],999.9)</f>
        <v>999.9</v>
      </c>
      <c r="M923" s="311">
        <v>0</v>
      </c>
      <c r="N923" s="312">
        <f>tabItens[[#This Row],[VALOR UNIT.]] * tabItens[[#This Row],[LC]]</f>
        <v>0</v>
      </c>
      <c r="O923" s="313"/>
      <c r="P923" s="314"/>
      <c r="Q923" s="315"/>
      <c r="R923" s="312"/>
      <c r="S923" s="316"/>
      <c r="T923" s="317">
        <f>ROUNDDOWN(IFERROR(tabItens[[#This Row],[ATA DT.VALID.]] - $D$1,0) / 30,0)</f>
        <v>-1474</v>
      </c>
      <c r="U923" s="302" t="s">
        <v>1274</v>
      </c>
      <c r="V923" s="318">
        <v>1</v>
      </c>
      <c r="W923" s="319" t="s">
        <v>2071</v>
      </c>
      <c r="X923" s="320">
        <v>51</v>
      </c>
      <c r="Y923" s="321">
        <v>17</v>
      </c>
      <c r="Z923" s="322"/>
      <c r="AA923" s="323"/>
      <c r="AB923" s="324"/>
      <c r="AC923" s="324"/>
      <c r="AD923" s="323"/>
      <c r="AE923" s="324"/>
      <c r="AF923" s="317"/>
      <c r="AG923" s="325" t="s">
        <v>2072</v>
      </c>
      <c r="AH923" s="326"/>
      <c r="AI923" s="317">
        <v>0</v>
      </c>
      <c r="AJ923" s="326">
        <v>43026</v>
      </c>
      <c r="AK923" s="326">
        <v>42930</v>
      </c>
      <c r="AL923" s="326">
        <v>42996</v>
      </c>
      <c r="AM923" s="316"/>
      <c r="AN923" s="305"/>
      <c r="AO923" s="327" t="str">
        <f>_xlfn.IFNA(IF(VLOOKUP(tabItens[[#This Row],[CÓDIGO]],tabExcluirDoEstoque[#Data],1,FALSE),"sim",""),"")</f>
        <v>sim</v>
      </c>
      <c r="AP923" s="328" t="str">
        <f ca="1">IF(OR(ISBLANK(tabItens[[#This Row],[ATA DT.VALID.]]),tabItens[[#This Row],[ATA DT.VALID.]]="",tabItens[[#This Row],[ATA DT.VALID.]]=" "),"",IF(TYPE(tabItens[[#This Row],[ATA DT.VALID.]])=1,ROUNDUP((tabItens[[#This Row],[ATA DT.VALID.]]-TODAY())/7,0),""))</f>
        <v/>
      </c>
      <c r="AQ923" s="329"/>
      <c r="AR923" s="330">
        <f>IF(ISBLANK(tabItens[[#This Row],[CÓDIGO]]),"",IFERROR(VLOOKUP(tabItens[[#This Row],[CÓDIGO]],Consumo!$C$2:$AC$862,26,FALSE),0))</f>
        <v>0</v>
      </c>
      <c r="AS923" s="331">
        <f>SUMIF(Consumo!$C$3:$C$862,tabItens[[#This Row],[CÓDIGO]],Consumo!$N$3:$N$862) + SUMIF(Consumo!$C$3:$C$862,tabItens[[#This Row],[CÓDIGO]],Consumo!$O$3:$O$862) + SUMIF(Consumo!$C$3:$C$862,tabItens[[#This Row],[CÓDIGO]],Consumo!$P$3:$P$862) + SUMIF(Consumo!$C$3:$C$862,tabItens[[#This Row],[CÓDIGO]],Consumo!$Q$3:$Q$862)</f>
        <v>0</v>
      </c>
      <c r="AT923" s="331">
        <f>SUMIF(Consumo!$C$3:$C$862,tabItens[[#This Row],[CÓDIGO]],Consumo!$Z$3:$Z$862)</f>
        <v>0</v>
      </c>
      <c r="AU923" s="332">
        <f>SUMIF(Consumo!$C$3:$C$862,tabItens[[#This Row],[CÓDIGO]],Consumo!$AA$3:$AA$862)</f>
        <v>0</v>
      </c>
      <c r="AV923" s="333">
        <f>SUMIF(Consumo!$C$3:$C$862,tabItens[[#This Row],[CÓDIGO]],Consumo!$Y$3:$Y$862)</f>
        <v>0</v>
      </c>
      <c r="AW923" s="306">
        <f>tabItens[[#This Row],[QTDE ATUAL]] + tabItens[[#This Row],[RC QTDE]] + tabItens[[#This Row],[AF SALDO]] + tabItens[[#This Row],[Recentes]]</f>
        <v>50</v>
      </c>
      <c r="AX923" s="334">
        <v>0</v>
      </c>
      <c r="AY923" s="334">
        <v>0</v>
      </c>
      <c r="AZ923" s="334">
        <f>IF(ISBLANK(tabItens[[#This Row],[CÓDIGO]]),"",tabItens[[#This Row],[PontoMês]] * (AZ$2+tabItens[[#This Row],[PontoQtM]]))</f>
        <v>0</v>
      </c>
      <c r="BA923" s="333">
        <f>tabItens[[#This Row],[PontoPed]] - tabItens[[#This Row],[Saldo]] + (1/10)</f>
        <v>-49.9</v>
      </c>
      <c r="BB923" s="333">
        <f xml:space="preserve"> tabItens[[#This Row],[PontoMês]] * BB$2 - tabItens[[#This Row],[QTDE ATUAL]] - (1/10)</f>
        <v>-50.1</v>
      </c>
      <c r="BC923" s="335">
        <f>IF( tabItens[[#This Row],[PontoPed]]&gt;0, IF(tabItens[[#This Row],[PontoPed]]&lt;1, 1, IF( tabItens[[#This Row],[Saldo]]&gt;tabItens[[#This Row],[PontoPed]], 0, (tabItens[[#This Row],[PontoPed]]-tabItens[[#This Row],[Saldo]])/tabItens[[#This Row],[PontoPed]] ) ), 0 )</f>
        <v>0</v>
      </c>
      <c r="BD923" s="336">
        <f>ROUNDDOWN(IF( OR( AND(tabItens[[#This Row],[PontoPed]]&lt;tabItens[[#This Row],[Saldo]],tabItens[[#This Row],[Saldo]]&gt;0), tabItens[[#This Row],[PontoPed]]=0), 99, IF(AND(tabItens[[#This Row],[Saldo]]=0,tabItens[[#This Row],[PontoPed]]&gt;0), 0, (1-tabItens[[#This Row],[PctAb]])*10 ) ),0)</f>
        <v>99</v>
      </c>
      <c r="BE923" s="337">
        <f>MAX(ROUNDDOWN( IF(tabItens[[#This Row],[Abaixo]] &gt; 0,   tabItens[[#This Row],[Abaixo]] + (tabItens[[#This Row],[PontoMês]] * IF( OR( ISBLANK(tabItens[[#This Row],[ATA Nº/ANO]]), tabItens[[#This Row],[ATA Nº/ANO]] = ""),BE$2,BE$1)),0),0),0)</f>
        <v>0</v>
      </c>
      <c r="BF92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3" s="338">
        <f>SUMIF(Consumo!$C$3:$C$862,tabItens[[#This Row],[CÓDIGO]],Consumo!$E$3:$E$862)</f>
        <v>0</v>
      </c>
      <c r="BH923" s="339">
        <f>IF(AND(tabItens[[#This Row],[Pend]] &gt; 0,tabItens[[#This Row],[Consumo]] &lt;&gt; 0), tabItens[[#This Row],[Pend]] / tabItens[[#This Row],[Consumo]], 0 )</f>
        <v>0</v>
      </c>
      <c r="BI923" s="338"/>
      <c r="BJ923" s="338"/>
      <c r="BK923" s="340" t="s">
        <v>2086</v>
      </c>
    </row>
    <row r="924" spans="1:63" hidden="1" x14ac:dyDescent="0.3">
      <c r="A924" s="301">
        <v>133043</v>
      </c>
      <c r="B924" s="302" t="s">
        <v>830</v>
      </c>
      <c r="C924" s="303" t="s">
        <v>31</v>
      </c>
      <c r="D924" s="304">
        <v>42</v>
      </c>
      <c r="E924" s="305"/>
      <c r="F924" s="305"/>
      <c r="G924" s="305" t="s">
        <v>889</v>
      </c>
      <c r="H924" s="306">
        <v>25</v>
      </c>
      <c r="I924" s="307">
        <v>103003</v>
      </c>
      <c r="J924" s="308">
        <v>42</v>
      </c>
      <c r="K924" s="309"/>
      <c r="L924" s="310">
        <f>IF(tabItens[[#This Row],[Média]] &gt; 0, tabItens[[#This Row],[QTDE ATUAL]] / tabItens[[#This Row],[Média]],999.9)</f>
        <v>999.9</v>
      </c>
      <c r="M924" s="311">
        <v>0</v>
      </c>
      <c r="N924" s="312">
        <f>tabItens[[#This Row],[VALOR UNIT.]] * tabItens[[#This Row],[LC]]</f>
        <v>0</v>
      </c>
      <c r="O924" s="313"/>
      <c r="P924" s="314"/>
      <c r="Q924" s="315"/>
      <c r="R924" s="312"/>
      <c r="S924" s="316"/>
      <c r="T924" s="317">
        <f>ROUNDDOWN(IFERROR(tabItens[[#This Row],[ATA DT.VALID.]] - $D$1,0) / 30,0)</f>
        <v>-1474</v>
      </c>
      <c r="U924" s="302" t="s">
        <v>1274</v>
      </c>
      <c r="V924" s="318">
        <v>1</v>
      </c>
      <c r="W924" s="319" t="s">
        <v>2071</v>
      </c>
      <c r="X924" s="320">
        <v>51</v>
      </c>
      <c r="Y924" s="321">
        <v>17</v>
      </c>
      <c r="Z924" s="322"/>
      <c r="AA924" s="323"/>
      <c r="AB924" s="324"/>
      <c r="AC924" s="324"/>
      <c r="AD924" s="323"/>
      <c r="AE924" s="324"/>
      <c r="AF924" s="317"/>
      <c r="AG924" s="325" t="s">
        <v>2072</v>
      </c>
      <c r="AH924" s="326"/>
      <c r="AI924" s="317">
        <v>0</v>
      </c>
      <c r="AJ924" s="326">
        <v>43026</v>
      </c>
      <c r="AK924" s="326">
        <v>42930</v>
      </c>
      <c r="AL924" s="326">
        <v>42996</v>
      </c>
      <c r="AM924" s="316"/>
      <c r="AN924" s="305"/>
      <c r="AO924" s="327" t="str">
        <f>_xlfn.IFNA(IF(VLOOKUP(tabItens[[#This Row],[CÓDIGO]],tabExcluirDoEstoque[#Data],1,FALSE),"sim",""),"")</f>
        <v>sim</v>
      </c>
      <c r="AP924" s="328" t="str">
        <f ca="1">IF(OR(ISBLANK(tabItens[[#This Row],[ATA DT.VALID.]]),tabItens[[#This Row],[ATA DT.VALID.]]="",tabItens[[#This Row],[ATA DT.VALID.]]=" "),"",IF(TYPE(tabItens[[#This Row],[ATA DT.VALID.]])=1,ROUNDUP((tabItens[[#This Row],[ATA DT.VALID.]]-TODAY())/7,0),""))</f>
        <v/>
      </c>
      <c r="AQ924" s="329"/>
      <c r="AR924" s="330">
        <f>IF(ISBLANK(tabItens[[#This Row],[CÓDIGO]]),"",IFERROR(VLOOKUP(tabItens[[#This Row],[CÓDIGO]],Consumo!$C$2:$AC$862,26,FALSE),0))</f>
        <v>0</v>
      </c>
      <c r="AS924" s="331">
        <f>SUMIF(Consumo!$C$3:$C$862,tabItens[[#This Row],[CÓDIGO]],Consumo!$N$3:$N$862) + SUMIF(Consumo!$C$3:$C$862,tabItens[[#This Row],[CÓDIGO]],Consumo!$O$3:$O$862) + SUMIF(Consumo!$C$3:$C$862,tabItens[[#This Row],[CÓDIGO]],Consumo!$P$3:$P$862) + SUMIF(Consumo!$C$3:$C$862,tabItens[[#This Row],[CÓDIGO]],Consumo!$Q$3:$Q$862)</f>
        <v>0</v>
      </c>
      <c r="AT924" s="331">
        <f>SUMIF(Consumo!$C$3:$C$862,tabItens[[#This Row],[CÓDIGO]],Consumo!$Z$3:$Z$862)</f>
        <v>0</v>
      </c>
      <c r="AU924" s="332">
        <f>SUMIF(Consumo!$C$3:$C$862,tabItens[[#This Row],[CÓDIGO]],Consumo!$AA$3:$AA$862)</f>
        <v>0</v>
      </c>
      <c r="AV924" s="333">
        <f>SUMIF(Consumo!$C$3:$C$862,tabItens[[#This Row],[CÓDIGO]],Consumo!$Y$3:$Y$862)</f>
        <v>0</v>
      </c>
      <c r="AW924" s="306">
        <f>tabItens[[#This Row],[QTDE ATUAL]] + tabItens[[#This Row],[RC QTDE]] + tabItens[[#This Row],[AF SALDO]] + tabItens[[#This Row],[Recentes]]</f>
        <v>25</v>
      </c>
      <c r="AX924" s="334">
        <v>0</v>
      </c>
      <c r="AY924" s="334">
        <v>0</v>
      </c>
      <c r="AZ924" s="334">
        <f>IF(ISBLANK(tabItens[[#This Row],[CÓDIGO]]),"",tabItens[[#This Row],[PontoMês]] * (AZ$2+tabItens[[#This Row],[PontoQtM]]))</f>
        <v>0</v>
      </c>
      <c r="BA924" s="333">
        <f>tabItens[[#This Row],[PontoPed]] - tabItens[[#This Row],[Saldo]] + (1/10)</f>
        <v>-24.9</v>
      </c>
      <c r="BB924" s="333">
        <f xml:space="preserve"> tabItens[[#This Row],[PontoMês]] * BB$2 - tabItens[[#This Row],[QTDE ATUAL]] - (1/10)</f>
        <v>-25.1</v>
      </c>
      <c r="BC924" s="335">
        <f>IF( tabItens[[#This Row],[PontoPed]]&gt;0, IF(tabItens[[#This Row],[PontoPed]]&lt;1, 1, IF( tabItens[[#This Row],[Saldo]]&gt;tabItens[[#This Row],[PontoPed]], 0, (tabItens[[#This Row],[PontoPed]]-tabItens[[#This Row],[Saldo]])/tabItens[[#This Row],[PontoPed]] ) ), 0 )</f>
        <v>0</v>
      </c>
      <c r="BD924" s="336">
        <f>ROUNDDOWN(IF( OR( AND(tabItens[[#This Row],[PontoPed]]&lt;tabItens[[#This Row],[Saldo]],tabItens[[#This Row],[Saldo]]&gt;0), tabItens[[#This Row],[PontoPed]]=0), 99, IF(AND(tabItens[[#This Row],[Saldo]]=0,tabItens[[#This Row],[PontoPed]]&gt;0), 0, (1-tabItens[[#This Row],[PctAb]])*10 ) ),0)</f>
        <v>99</v>
      </c>
      <c r="BE924" s="337">
        <f>MAX(ROUNDDOWN( IF(tabItens[[#This Row],[Abaixo]] &gt; 0,   tabItens[[#This Row],[Abaixo]] + (tabItens[[#This Row],[PontoMês]] * IF( OR( ISBLANK(tabItens[[#This Row],[ATA Nº/ANO]]), tabItens[[#This Row],[ATA Nº/ANO]] = ""),BE$2,BE$1)),0),0),0)</f>
        <v>0</v>
      </c>
      <c r="BF92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4" s="338">
        <f>SUMIF(Consumo!$C$3:$C$862,tabItens[[#This Row],[CÓDIGO]],Consumo!$E$3:$E$862)</f>
        <v>0</v>
      </c>
      <c r="BH924" s="339">
        <f>IF(AND(tabItens[[#This Row],[Pend]] &gt; 0,tabItens[[#This Row],[Consumo]] &lt;&gt; 0), tabItens[[#This Row],[Pend]] / tabItens[[#This Row],[Consumo]], 0 )</f>
        <v>0</v>
      </c>
      <c r="BI924" s="338"/>
      <c r="BJ924" s="338"/>
      <c r="BK924" s="340" t="s">
        <v>2086</v>
      </c>
    </row>
    <row r="925" spans="1:63" hidden="1" x14ac:dyDescent="0.3">
      <c r="A925" s="301">
        <v>87157</v>
      </c>
      <c r="B925" s="302" t="s">
        <v>570</v>
      </c>
      <c r="C925" s="303" t="s">
        <v>560</v>
      </c>
      <c r="D925" s="304">
        <v>20.9</v>
      </c>
      <c r="E925" s="305"/>
      <c r="F925" s="305"/>
      <c r="G925" s="305" t="s">
        <v>889</v>
      </c>
      <c r="H925" s="306">
        <v>329.48</v>
      </c>
      <c r="I925" s="307">
        <v>103003</v>
      </c>
      <c r="J925" s="308">
        <v>20.9</v>
      </c>
      <c r="K925" s="309">
        <v>26</v>
      </c>
      <c r="L925" s="310">
        <f>IF(tabItens[[#This Row],[Média]] &gt; 0, tabItens[[#This Row],[QTDE ATUAL]] / tabItens[[#This Row],[Média]],999.9)</f>
        <v>164.74</v>
      </c>
      <c r="M925" s="311">
        <v>0</v>
      </c>
      <c r="N925" s="312">
        <f>tabItens[[#This Row],[VALOR UNIT.]] * tabItens[[#This Row],[LC]]</f>
        <v>0</v>
      </c>
      <c r="O925" s="313"/>
      <c r="P925" s="314"/>
      <c r="Q925" s="315"/>
      <c r="R925" s="312"/>
      <c r="S925" s="316"/>
      <c r="T925" s="317">
        <f>ROUNDDOWN(IFERROR(tabItens[[#This Row],[ATA DT.VALID.]] - $D$1,0) / 30,0)</f>
        <v>-1474</v>
      </c>
      <c r="U925" s="302" t="s">
        <v>1308</v>
      </c>
      <c r="V925" s="318">
        <v>1</v>
      </c>
      <c r="W925" s="319" t="s">
        <v>2071</v>
      </c>
      <c r="X925" s="320">
        <v>51</v>
      </c>
      <c r="Y925" s="321">
        <v>19</v>
      </c>
      <c r="Z925" s="322"/>
      <c r="AA925" s="323"/>
      <c r="AB925" s="324"/>
      <c r="AC925" s="324"/>
      <c r="AD925" s="323"/>
      <c r="AE925" s="324"/>
      <c r="AF925" s="317"/>
      <c r="AG925" s="325" t="s">
        <v>2072</v>
      </c>
      <c r="AH925" s="326"/>
      <c r="AI925" s="317">
        <v>8</v>
      </c>
      <c r="AJ925" s="326">
        <v>40616</v>
      </c>
      <c r="AK925" s="326">
        <v>38580</v>
      </c>
      <c r="AL925" s="326">
        <v>40508</v>
      </c>
      <c r="AM925" s="316"/>
      <c r="AN925" s="305"/>
      <c r="AO925" s="327" t="str">
        <f>_xlfn.IFNA(IF(VLOOKUP(tabItens[[#This Row],[CÓDIGO]],tabExcluirDoEstoque[#Data],1,FALSE),"sim",""),"")</f>
        <v>sim</v>
      </c>
      <c r="AP925" s="328" t="str">
        <f ca="1">IF(OR(ISBLANK(tabItens[[#This Row],[ATA DT.VALID.]]),tabItens[[#This Row],[ATA DT.VALID.]]="",tabItens[[#This Row],[ATA DT.VALID.]]=" "),"",IF(TYPE(tabItens[[#This Row],[ATA DT.VALID.]])=1,ROUNDUP((tabItens[[#This Row],[ATA DT.VALID.]]-TODAY())/7,0),""))</f>
        <v/>
      </c>
      <c r="AQ925" s="329"/>
      <c r="AR925" s="330" t="str">
        <f>IF(ISBLANK(tabItens[[#This Row],[CÓDIGO]]),"",IFERROR(VLOOKUP(tabItens[[#This Row],[CÓDIGO]],Consumo!$C$2:$AC$862,26,FALSE),0))</f>
        <v>07.2023</v>
      </c>
      <c r="AS925" s="331">
        <f>SUMIF(Consumo!$C$3:$C$862,tabItens[[#This Row],[CÓDIGO]],Consumo!$N$3:$N$862) + SUMIF(Consumo!$C$3:$C$862,tabItens[[#This Row],[CÓDIGO]],Consumo!$O$3:$O$862) + SUMIF(Consumo!$C$3:$C$862,tabItens[[#This Row],[CÓDIGO]],Consumo!$P$3:$P$862) + SUMIF(Consumo!$C$3:$C$862,tabItens[[#This Row],[CÓDIGO]],Consumo!$Q$3:$Q$862)</f>
        <v>12</v>
      </c>
      <c r="AT925" s="331">
        <f>SUMIF(Consumo!$C$3:$C$862,tabItens[[#This Row],[CÓDIGO]],Consumo!$Z$3:$Z$862)</f>
        <v>26</v>
      </c>
      <c r="AU925" s="332">
        <f>SUMIF(Consumo!$C$3:$C$862,tabItens[[#This Row],[CÓDIGO]],Consumo!$AA$3:$AA$862)</f>
        <v>12</v>
      </c>
      <c r="AV925" s="333">
        <f>SUMIF(Consumo!$C$3:$C$862,tabItens[[#This Row],[CÓDIGO]],Consumo!$Y$3:$Y$862)</f>
        <v>2</v>
      </c>
      <c r="AW925" s="306">
        <f>tabItens[[#This Row],[QTDE ATUAL]] + tabItens[[#This Row],[RC QTDE]] + tabItens[[#This Row],[AF SALDO]] + tabItens[[#This Row],[Recentes]]</f>
        <v>329.48</v>
      </c>
      <c r="AX925" s="334">
        <v>0</v>
      </c>
      <c r="AY925" s="334">
        <v>0</v>
      </c>
      <c r="AZ925" s="334">
        <f>IF(ISBLANK(tabItens[[#This Row],[CÓDIGO]]),"",tabItens[[#This Row],[PontoMês]] * (AZ$2+tabItens[[#This Row],[PontoQtM]]))</f>
        <v>0</v>
      </c>
      <c r="BA925" s="333">
        <f>tabItens[[#This Row],[PontoPed]] - tabItens[[#This Row],[Saldo]] + (1/10)</f>
        <v>-329.38</v>
      </c>
      <c r="BB925" s="333">
        <f xml:space="preserve"> tabItens[[#This Row],[PontoMês]] * BB$2 - tabItens[[#This Row],[QTDE ATUAL]] - (1/10)</f>
        <v>-329.58000000000004</v>
      </c>
      <c r="BC925" s="335">
        <f>IF( tabItens[[#This Row],[PontoPed]]&gt;0, IF(tabItens[[#This Row],[PontoPed]]&lt;1, 1, IF( tabItens[[#This Row],[Saldo]]&gt;tabItens[[#This Row],[PontoPed]], 0, (tabItens[[#This Row],[PontoPed]]-tabItens[[#This Row],[Saldo]])/tabItens[[#This Row],[PontoPed]] ) ), 0 )</f>
        <v>0</v>
      </c>
      <c r="BD925" s="336">
        <f>ROUNDDOWN(IF( OR( AND(tabItens[[#This Row],[PontoPed]]&lt;tabItens[[#This Row],[Saldo]],tabItens[[#This Row],[Saldo]]&gt;0), tabItens[[#This Row],[PontoPed]]=0), 99, IF(AND(tabItens[[#This Row],[Saldo]]=0,tabItens[[#This Row],[PontoPed]]&gt;0), 0, (1-tabItens[[#This Row],[PctAb]])*10 ) ),0)</f>
        <v>99</v>
      </c>
      <c r="BE925" s="337">
        <f>MAX(ROUNDDOWN( IF(tabItens[[#This Row],[Abaixo]] &gt; 0,   tabItens[[#This Row],[Abaixo]] + (tabItens[[#This Row],[PontoMês]] * IF( OR( ISBLANK(tabItens[[#This Row],[ATA Nº/ANO]]), tabItens[[#This Row],[ATA Nº/ANO]] = ""),BE$2,BE$1)),0),0),0)</f>
        <v>0</v>
      </c>
      <c r="BF92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5" s="338">
        <f>SUMIF(Consumo!$C$3:$C$862,tabItens[[#This Row],[CÓDIGO]],Consumo!$E$3:$E$862)</f>
        <v>0</v>
      </c>
      <c r="BH925" s="339">
        <f>IF(AND(tabItens[[#This Row],[Pend]] &gt; 0,tabItens[[#This Row],[Consumo]] &lt;&gt; 0), tabItens[[#This Row],[Pend]] / tabItens[[#This Row],[Consumo]], 0 )</f>
        <v>0</v>
      </c>
      <c r="BI925" s="338"/>
      <c r="BJ925" s="338"/>
      <c r="BK925" s="340" t="s">
        <v>2086</v>
      </c>
    </row>
    <row r="926" spans="1:63" hidden="1" x14ac:dyDescent="0.3">
      <c r="A926" s="301">
        <v>136820</v>
      </c>
      <c r="B926" s="302" t="s">
        <v>874</v>
      </c>
      <c r="C926" s="303" t="s">
        <v>436</v>
      </c>
      <c r="D926" s="304">
        <v>115.78</v>
      </c>
      <c r="E926" s="305"/>
      <c r="F926" s="305"/>
      <c r="G926" s="305" t="s">
        <v>889</v>
      </c>
      <c r="H926" s="306">
        <v>12</v>
      </c>
      <c r="I926" s="307">
        <v>103003</v>
      </c>
      <c r="J926" s="308">
        <v>115.78</v>
      </c>
      <c r="K926" s="309">
        <v>3</v>
      </c>
      <c r="L926" s="310">
        <f>IF(tabItens[[#This Row],[Média]] &gt; 0, tabItens[[#This Row],[QTDE ATUAL]] / tabItens[[#This Row],[Média]],999.9)</f>
        <v>48</v>
      </c>
      <c r="M926" s="311">
        <v>0</v>
      </c>
      <c r="N926" s="312">
        <f>tabItens[[#This Row],[VALOR UNIT.]] * tabItens[[#This Row],[LC]]</f>
        <v>0</v>
      </c>
      <c r="O926" s="313"/>
      <c r="P926" s="314"/>
      <c r="Q926" s="315"/>
      <c r="R926" s="312"/>
      <c r="S926" s="316"/>
      <c r="T926" s="317">
        <f>ROUNDDOWN(IFERROR(tabItens[[#This Row],[ATA DT.VALID.]] - $D$1,0) / 30,0)</f>
        <v>-1474</v>
      </c>
      <c r="U926" s="302" t="s">
        <v>1492</v>
      </c>
      <c r="V926" s="318">
        <v>1</v>
      </c>
      <c r="W926" s="319" t="s">
        <v>2081</v>
      </c>
      <c r="X926" s="320">
        <v>54</v>
      </c>
      <c r="Y926" s="321">
        <v>4</v>
      </c>
      <c r="Z926" s="322"/>
      <c r="AA926" s="323"/>
      <c r="AB926" s="324"/>
      <c r="AC926" s="324"/>
      <c r="AD926" s="323"/>
      <c r="AE926" s="324"/>
      <c r="AF926" s="317"/>
      <c r="AG926" s="325" t="s">
        <v>2072</v>
      </c>
      <c r="AH926" s="326"/>
      <c r="AI926" s="317">
        <v>2</v>
      </c>
      <c r="AJ926" s="326">
        <v>43837</v>
      </c>
      <c r="AK926" s="326">
        <v>43572</v>
      </c>
      <c r="AL926" s="326">
        <v>45142</v>
      </c>
      <c r="AM926" s="316"/>
      <c r="AN926" s="305"/>
      <c r="AO926" s="327" t="str">
        <f>_xlfn.IFNA(IF(VLOOKUP(tabItens[[#This Row],[CÓDIGO]],tabExcluirDoEstoque[#Data],1,FALSE),"sim",""),"")</f>
        <v>sim</v>
      </c>
      <c r="AP926" s="328" t="str">
        <f ca="1">IF(OR(ISBLANK(tabItens[[#This Row],[ATA DT.VALID.]]),tabItens[[#This Row],[ATA DT.VALID.]]="",tabItens[[#This Row],[ATA DT.VALID.]]=" "),"",IF(TYPE(tabItens[[#This Row],[ATA DT.VALID.]])=1,ROUNDUP((tabItens[[#This Row],[ATA DT.VALID.]]-TODAY())/7,0),""))</f>
        <v/>
      </c>
      <c r="AQ926" s="329"/>
      <c r="AR926" s="330" t="str">
        <f>IF(ISBLANK(tabItens[[#This Row],[CÓDIGO]]),"",IFERROR(VLOOKUP(tabItens[[#This Row],[CÓDIGO]],Consumo!$C$2:$AC$862,26,FALSE),0))</f>
        <v>03.2023</v>
      </c>
      <c r="AS926" s="331">
        <f>SUMIF(Consumo!$C$3:$C$862,tabItens[[#This Row],[CÓDIGO]],Consumo!$N$3:$N$862) + SUMIF(Consumo!$C$3:$C$862,tabItens[[#This Row],[CÓDIGO]],Consumo!$O$3:$O$862) + SUMIF(Consumo!$C$3:$C$862,tabItens[[#This Row],[CÓDIGO]],Consumo!$P$3:$P$862) + SUMIF(Consumo!$C$3:$C$862,tabItens[[#This Row],[CÓDIGO]],Consumo!$Q$3:$Q$862)</f>
        <v>0</v>
      </c>
      <c r="AT926" s="331">
        <f>SUMIF(Consumo!$C$3:$C$862,tabItens[[#This Row],[CÓDIGO]],Consumo!$Z$3:$Z$862)</f>
        <v>3</v>
      </c>
      <c r="AU926" s="332">
        <f>SUMIF(Consumo!$C$3:$C$862,tabItens[[#This Row],[CÓDIGO]],Consumo!$AA$3:$AA$862)</f>
        <v>1</v>
      </c>
      <c r="AV926" s="333">
        <f>SUMIF(Consumo!$C$3:$C$862,tabItens[[#This Row],[CÓDIGO]],Consumo!$Y$3:$Y$862)</f>
        <v>0.25</v>
      </c>
      <c r="AW926" s="306">
        <f>tabItens[[#This Row],[QTDE ATUAL]] + tabItens[[#This Row],[RC QTDE]] + tabItens[[#This Row],[AF SALDO]] + tabItens[[#This Row],[Recentes]]</f>
        <v>12</v>
      </c>
      <c r="AX926" s="334">
        <v>0</v>
      </c>
      <c r="AY926" s="334">
        <v>4</v>
      </c>
      <c r="AZ926" s="334">
        <f>IF(ISBLANK(tabItens[[#This Row],[CÓDIGO]]),"",tabItens[[#This Row],[PontoMês]] * (AZ$2+tabItens[[#This Row],[PontoQtM]]))</f>
        <v>0</v>
      </c>
      <c r="BA926" s="333">
        <f>tabItens[[#This Row],[PontoPed]] - tabItens[[#This Row],[Saldo]] + (1/10)</f>
        <v>-11.9</v>
      </c>
      <c r="BB926" s="333">
        <f xml:space="preserve"> tabItens[[#This Row],[PontoMês]] * BB$2 - tabItens[[#This Row],[QTDE ATUAL]] - (1/10)</f>
        <v>-12.1</v>
      </c>
      <c r="BC926" s="335">
        <f>IF( tabItens[[#This Row],[PontoPed]]&gt;0, IF(tabItens[[#This Row],[PontoPed]]&lt;1, 1, IF( tabItens[[#This Row],[Saldo]]&gt;tabItens[[#This Row],[PontoPed]], 0, (tabItens[[#This Row],[PontoPed]]-tabItens[[#This Row],[Saldo]])/tabItens[[#This Row],[PontoPed]] ) ), 0 )</f>
        <v>0</v>
      </c>
      <c r="BD926" s="336">
        <f>ROUNDDOWN(IF( OR( AND(tabItens[[#This Row],[PontoPed]]&lt;tabItens[[#This Row],[Saldo]],tabItens[[#This Row],[Saldo]]&gt;0), tabItens[[#This Row],[PontoPed]]=0), 99, IF(AND(tabItens[[#This Row],[Saldo]]=0,tabItens[[#This Row],[PontoPed]]&gt;0), 0, (1-tabItens[[#This Row],[PctAb]])*10 ) ),0)</f>
        <v>99</v>
      </c>
      <c r="BE926" s="337">
        <f>MAX(ROUNDDOWN( IF(tabItens[[#This Row],[Abaixo]] &gt; 0,   tabItens[[#This Row],[Abaixo]] + (tabItens[[#This Row],[PontoMês]] * IF( OR( ISBLANK(tabItens[[#This Row],[ATA Nº/ANO]]), tabItens[[#This Row],[ATA Nº/ANO]] = ""),BE$2,BE$1)),0),0),0)</f>
        <v>0</v>
      </c>
      <c r="BF92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6" s="338">
        <f>SUMIF(Consumo!$C$3:$C$862,tabItens[[#This Row],[CÓDIGO]],Consumo!$E$3:$E$862)</f>
        <v>0</v>
      </c>
      <c r="BH926" s="339">
        <f>IF(AND(tabItens[[#This Row],[Pend]] &gt; 0,tabItens[[#This Row],[Consumo]] &lt;&gt; 0), tabItens[[#This Row],[Pend]] / tabItens[[#This Row],[Consumo]], 0 )</f>
        <v>0</v>
      </c>
      <c r="BI926" s="338"/>
      <c r="BJ926" s="338"/>
      <c r="BK926" s="340" t="s">
        <v>2086</v>
      </c>
    </row>
    <row r="927" spans="1:63" hidden="1" x14ac:dyDescent="0.3">
      <c r="A927" s="301">
        <v>136821</v>
      </c>
      <c r="B927" s="302" t="s">
        <v>875</v>
      </c>
      <c r="C927" s="303" t="s">
        <v>436</v>
      </c>
      <c r="D927" s="304">
        <v>131</v>
      </c>
      <c r="E927" s="305"/>
      <c r="F927" s="305"/>
      <c r="G927" s="305" t="s">
        <v>889</v>
      </c>
      <c r="H927" s="306">
        <v>5</v>
      </c>
      <c r="I927" s="307">
        <v>103003</v>
      </c>
      <c r="J927" s="308">
        <v>131</v>
      </c>
      <c r="K927" s="309">
        <v>1</v>
      </c>
      <c r="L927" s="310">
        <f>IF(tabItens[[#This Row],[Média]] &gt; 0, tabItens[[#This Row],[QTDE ATUAL]] / tabItens[[#This Row],[Média]],999.9)</f>
        <v>999.9</v>
      </c>
      <c r="M927" s="311">
        <v>0</v>
      </c>
      <c r="N927" s="312">
        <f>tabItens[[#This Row],[VALOR UNIT.]] * tabItens[[#This Row],[LC]]</f>
        <v>0</v>
      </c>
      <c r="O927" s="313"/>
      <c r="P927" s="314"/>
      <c r="Q927" s="315"/>
      <c r="R927" s="312"/>
      <c r="S927" s="316"/>
      <c r="T927" s="317">
        <f>ROUNDDOWN(IFERROR(tabItens[[#This Row],[ATA DT.VALID.]] - $D$1,0) / 30,0)</f>
        <v>-1474</v>
      </c>
      <c r="U927" s="302" t="s">
        <v>1492</v>
      </c>
      <c r="V927" s="318">
        <v>1</v>
      </c>
      <c r="W927" s="319" t="s">
        <v>2081</v>
      </c>
      <c r="X927" s="320">
        <v>54</v>
      </c>
      <c r="Y927" s="321">
        <v>4</v>
      </c>
      <c r="Z927" s="322"/>
      <c r="AA927" s="323"/>
      <c r="AB927" s="324"/>
      <c r="AC927" s="324"/>
      <c r="AD927" s="323"/>
      <c r="AE927" s="324"/>
      <c r="AF927" s="317"/>
      <c r="AG927" s="325" t="s">
        <v>2072</v>
      </c>
      <c r="AH927" s="326"/>
      <c r="AI927" s="317">
        <v>0</v>
      </c>
      <c r="AJ927" s="326">
        <v>43837</v>
      </c>
      <c r="AK927" s="326">
        <v>43572</v>
      </c>
      <c r="AL927" s="326">
        <v>45198</v>
      </c>
      <c r="AM927" s="316"/>
      <c r="AN927" s="305"/>
      <c r="AO927" s="327" t="str">
        <f>_xlfn.IFNA(IF(VLOOKUP(tabItens[[#This Row],[CÓDIGO]],tabExcluirDoEstoque[#Data],1,FALSE),"sim",""),"")</f>
        <v>sim</v>
      </c>
      <c r="AP927" s="328" t="str">
        <f ca="1">IF(OR(ISBLANK(tabItens[[#This Row],[ATA DT.VALID.]]),tabItens[[#This Row],[ATA DT.VALID.]]="",tabItens[[#This Row],[ATA DT.VALID.]]=" "),"",IF(TYPE(tabItens[[#This Row],[ATA DT.VALID.]])=1,ROUNDUP((tabItens[[#This Row],[ATA DT.VALID.]]-TODAY())/7,0),""))</f>
        <v/>
      </c>
      <c r="AQ927" s="329"/>
      <c r="AR927" s="330" t="str">
        <f>IF(ISBLANK(tabItens[[#This Row],[CÓDIGO]]),"",IFERROR(VLOOKUP(tabItens[[#This Row],[CÓDIGO]],Consumo!$C$2:$AC$862,26,FALSE),0))</f>
        <v>03.2023</v>
      </c>
      <c r="AS927" s="331">
        <f>SUMIF(Consumo!$C$3:$C$862,tabItens[[#This Row],[CÓDIGO]],Consumo!$N$3:$N$862) + SUMIF(Consumo!$C$3:$C$862,tabItens[[#This Row],[CÓDIGO]],Consumo!$O$3:$O$862) + SUMIF(Consumo!$C$3:$C$862,tabItens[[#This Row],[CÓDIGO]],Consumo!$P$3:$P$862) + SUMIF(Consumo!$C$3:$C$862,tabItens[[#This Row],[CÓDIGO]],Consumo!$Q$3:$Q$862)</f>
        <v>0</v>
      </c>
      <c r="AT927" s="331">
        <f>SUMIF(Consumo!$C$3:$C$862,tabItens[[#This Row],[CÓDIGO]],Consumo!$Z$3:$Z$862)</f>
        <v>1</v>
      </c>
      <c r="AU927" s="332">
        <f>SUMIF(Consumo!$C$3:$C$862,tabItens[[#This Row],[CÓDIGO]],Consumo!$AA$3:$AA$862)</f>
        <v>1</v>
      </c>
      <c r="AV927" s="333">
        <f>SUMIF(Consumo!$C$3:$C$862,tabItens[[#This Row],[CÓDIGO]],Consumo!$Y$3:$Y$862)</f>
        <v>0</v>
      </c>
      <c r="AW927" s="306">
        <f>tabItens[[#This Row],[QTDE ATUAL]] + tabItens[[#This Row],[RC QTDE]] + tabItens[[#This Row],[AF SALDO]] + tabItens[[#This Row],[Recentes]]</f>
        <v>5</v>
      </c>
      <c r="AX927" s="334">
        <v>0</v>
      </c>
      <c r="AY927" s="334">
        <v>4</v>
      </c>
      <c r="AZ927" s="334">
        <f>IF(ISBLANK(tabItens[[#This Row],[CÓDIGO]]),"",tabItens[[#This Row],[PontoMês]] * (AZ$2+tabItens[[#This Row],[PontoQtM]]))</f>
        <v>0</v>
      </c>
      <c r="BA927" s="333">
        <f>tabItens[[#This Row],[PontoPed]] - tabItens[[#This Row],[Saldo]] + (1/10)</f>
        <v>-4.9000000000000004</v>
      </c>
      <c r="BB927" s="333">
        <f xml:space="preserve"> tabItens[[#This Row],[PontoMês]] * BB$2 - tabItens[[#This Row],[QTDE ATUAL]] - (1/10)</f>
        <v>-5.0999999999999996</v>
      </c>
      <c r="BC927" s="335">
        <f>IF( tabItens[[#This Row],[PontoPed]]&gt;0, IF(tabItens[[#This Row],[PontoPed]]&lt;1, 1, IF( tabItens[[#This Row],[Saldo]]&gt;tabItens[[#This Row],[PontoPed]], 0, (tabItens[[#This Row],[PontoPed]]-tabItens[[#This Row],[Saldo]])/tabItens[[#This Row],[PontoPed]] ) ), 0 )</f>
        <v>0</v>
      </c>
      <c r="BD927" s="336">
        <f>ROUNDDOWN(IF( OR( AND(tabItens[[#This Row],[PontoPed]]&lt;tabItens[[#This Row],[Saldo]],tabItens[[#This Row],[Saldo]]&gt;0), tabItens[[#This Row],[PontoPed]]=0), 99, IF(AND(tabItens[[#This Row],[Saldo]]=0,tabItens[[#This Row],[PontoPed]]&gt;0), 0, (1-tabItens[[#This Row],[PctAb]])*10 ) ),0)</f>
        <v>99</v>
      </c>
      <c r="BE927" s="337">
        <f>MAX(ROUNDDOWN( IF(tabItens[[#This Row],[Abaixo]] &gt; 0,   tabItens[[#This Row],[Abaixo]] + (tabItens[[#This Row],[PontoMês]] * IF( OR( ISBLANK(tabItens[[#This Row],[ATA Nº/ANO]]), tabItens[[#This Row],[ATA Nº/ANO]] = ""),BE$2,BE$1)),0),0),0)</f>
        <v>0</v>
      </c>
      <c r="BF92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7" s="338">
        <f>SUMIF(Consumo!$C$3:$C$862,tabItens[[#This Row],[CÓDIGO]],Consumo!$E$3:$E$862)</f>
        <v>0</v>
      </c>
      <c r="BH927" s="339">
        <f>IF(AND(tabItens[[#This Row],[Pend]] &gt; 0,tabItens[[#This Row],[Consumo]] &lt;&gt; 0), tabItens[[#This Row],[Pend]] / tabItens[[#This Row],[Consumo]], 0 )</f>
        <v>0</v>
      </c>
      <c r="BI927" s="338"/>
      <c r="BJ927" s="338"/>
      <c r="BK927" s="340" t="s">
        <v>2086</v>
      </c>
    </row>
    <row r="928" spans="1:63" hidden="1" x14ac:dyDescent="0.3">
      <c r="A928" s="301">
        <v>136822</v>
      </c>
      <c r="B928" s="302" t="s">
        <v>876</v>
      </c>
      <c r="C928" s="303" t="s">
        <v>436</v>
      </c>
      <c r="D928" s="304">
        <v>61.58</v>
      </c>
      <c r="E928" s="305"/>
      <c r="F928" s="305"/>
      <c r="G928" s="305" t="s">
        <v>889</v>
      </c>
      <c r="H928" s="306">
        <v>77</v>
      </c>
      <c r="I928" s="307">
        <v>103003</v>
      </c>
      <c r="J928" s="308">
        <v>61.58</v>
      </c>
      <c r="K928" s="309">
        <v>3</v>
      </c>
      <c r="L928" s="310">
        <f>IF(tabItens[[#This Row],[Média]] &gt; 0, tabItens[[#This Row],[QTDE ATUAL]] / tabItens[[#This Row],[Média]],999.9)</f>
        <v>462</v>
      </c>
      <c r="M928" s="311">
        <v>0</v>
      </c>
      <c r="N928" s="312">
        <f>tabItens[[#This Row],[VALOR UNIT.]] * tabItens[[#This Row],[LC]]</f>
        <v>0</v>
      </c>
      <c r="O928" s="313"/>
      <c r="P928" s="314"/>
      <c r="Q928" s="315"/>
      <c r="R928" s="312"/>
      <c r="S928" s="316"/>
      <c r="T928" s="317">
        <f>ROUNDDOWN(IFERROR(tabItens[[#This Row],[ATA DT.VALID.]] - $D$1,0) / 30,0)</f>
        <v>-1474</v>
      </c>
      <c r="U928" s="302" t="s">
        <v>1492</v>
      </c>
      <c r="V928" s="318">
        <v>1</v>
      </c>
      <c r="W928" s="319" t="s">
        <v>2081</v>
      </c>
      <c r="X928" s="320">
        <v>54</v>
      </c>
      <c r="Y928" s="321">
        <v>4</v>
      </c>
      <c r="Z928" s="322"/>
      <c r="AA928" s="323"/>
      <c r="AB928" s="324"/>
      <c r="AC928" s="324"/>
      <c r="AD928" s="323"/>
      <c r="AE928" s="324"/>
      <c r="AF928" s="317"/>
      <c r="AG928" s="325" t="s">
        <v>2072</v>
      </c>
      <c r="AH928" s="326"/>
      <c r="AI928" s="317">
        <v>0</v>
      </c>
      <c r="AJ928" s="326">
        <v>43837</v>
      </c>
      <c r="AK928" s="326">
        <v>43572</v>
      </c>
      <c r="AL928" s="326">
        <v>44379</v>
      </c>
      <c r="AM928" s="316"/>
      <c r="AN928" s="305"/>
      <c r="AO928" s="327" t="str">
        <f>_xlfn.IFNA(IF(VLOOKUP(tabItens[[#This Row],[CÓDIGO]],tabExcluirDoEstoque[#Data],1,FALSE),"sim",""),"")</f>
        <v>sim</v>
      </c>
      <c r="AP928" s="328" t="str">
        <f ca="1">IF(OR(ISBLANK(tabItens[[#This Row],[ATA DT.VALID.]]),tabItens[[#This Row],[ATA DT.VALID.]]="",tabItens[[#This Row],[ATA DT.VALID.]]=" "),"",IF(TYPE(tabItens[[#This Row],[ATA DT.VALID.]])=1,ROUNDUP((tabItens[[#This Row],[ATA DT.VALID.]]-TODAY())/7,0),""))</f>
        <v/>
      </c>
      <c r="AQ928" s="329"/>
      <c r="AR928" s="330" t="str">
        <f>IF(ISBLANK(tabItens[[#This Row],[CÓDIGO]]),"",IFERROR(VLOOKUP(tabItens[[#This Row],[CÓDIGO]],Consumo!$C$2:$AC$862,26,FALSE),0))</f>
        <v>06.2023</v>
      </c>
      <c r="AS928" s="331">
        <f>SUMIF(Consumo!$C$3:$C$862,tabItens[[#This Row],[CÓDIGO]],Consumo!$N$3:$N$862) + SUMIF(Consumo!$C$3:$C$862,tabItens[[#This Row],[CÓDIGO]],Consumo!$O$3:$O$862) + SUMIF(Consumo!$C$3:$C$862,tabItens[[#This Row],[CÓDIGO]],Consumo!$P$3:$P$862) + SUMIF(Consumo!$C$3:$C$862,tabItens[[#This Row],[CÓDIGO]],Consumo!$Q$3:$Q$862)</f>
        <v>2</v>
      </c>
      <c r="AT928" s="331">
        <f>SUMIF(Consumo!$C$3:$C$862,tabItens[[#This Row],[CÓDIGO]],Consumo!$Z$3:$Z$862)</f>
        <v>3</v>
      </c>
      <c r="AU928" s="332">
        <f>SUMIF(Consumo!$C$3:$C$862,tabItens[[#This Row],[CÓDIGO]],Consumo!$AA$3:$AA$862)</f>
        <v>2</v>
      </c>
      <c r="AV928" s="333">
        <f>SUMIF(Consumo!$C$3:$C$862,tabItens[[#This Row],[CÓDIGO]],Consumo!$Y$3:$Y$862)</f>
        <v>0.16666666666666666</v>
      </c>
      <c r="AW928" s="306">
        <f>tabItens[[#This Row],[QTDE ATUAL]] + tabItens[[#This Row],[RC QTDE]] + tabItens[[#This Row],[AF SALDO]] + tabItens[[#This Row],[Recentes]]</f>
        <v>77</v>
      </c>
      <c r="AX928" s="334">
        <v>0</v>
      </c>
      <c r="AY928" s="334">
        <v>4</v>
      </c>
      <c r="AZ928" s="334">
        <f>IF(ISBLANK(tabItens[[#This Row],[CÓDIGO]]),"",tabItens[[#This Row],[PontoMês]] * (AZ$2+tabItens[[#This Row],[PontoQtM]]))</f>
        <v>0</v>
      </c>
      <c r="BA928" s="333">
        <f>tabItens[[#This Row],[PontoPed]] - tabItens[[#This Row],[Saldo]] + (1/10)</f>
        <v>-76.900000000000006</v>
      </c>
      <c r="BB928" s="333">
        <f xml:space="preserve"> tabItens[[#This Row],[PontoMês]] * BB$2 - tabItens[[#This Row],[QTDE ATUAL]] - (1/10)</f>
        <v>-77.099999999999994</v>
      </c>
      <c r="BC928" s="335">
        <f>IF( tabItens[[#This Row],[PontoPed]]&gt;0, IF(tabItens[[#This Row],[PontoPed]]&lt;1, 1, IF( tabItens[[#This Row],[Saldo]]&gt;tabItens[[#This Row],[PontoPed]], 0, (tabItens[[#This Row],[PontoPed]]-tabItens[[#This Row],[Saldo]])/tabItens[[#This Row],[PontoPed]] ) ), 0 )</f>
        <v>0</v>
      </c>
      <c r="BD928" s="336">
        <f>ROUNDDOWN(IF( OR( AND(tabItens[[#This Row],[PontoPed]]&lt;tabItens[[#This Row],[Saldo]],tabItens[[#This Row],[Saldo]]&gt;0), tabItens[[#This Row],[PontoPed]]=0), 99, IF(AND(tabItens[[#This Row],[Saldo]]=0,tabItens[[#This Row],[PontoPed]]&gt;0), 0, (1-tabItens[[#This Row],[PctAb]])*10 ) ),0)</f>
        <v>99</v>
      </c>
      <c r="BE928" s="337">
        <f>MAX(ROUNDDOWN( IF(tabItens[[#This Row],[Abaixo]] &gt; 0,   tabItens[[#This Row],[Abaixo]] + (tabItens[[#This Row],[PontoMês]] * IF( OR( ISBLANK(tabItens[[#This Row],[ATA Nº/ANO]]), tabItens[[#This Row],[ATA Nº/ANO]] = ""),BE$2,BE$1)),0),0),0)</f>
        <v>0</v>
      </c>
      <c r="BF92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8" s="338">
        <f>SUMIF(Consumo!$C$3:$C$862,tabItens[[#This Row],[CÓDIGO]],Consumo!$E$3:$E$862)</f>
        <v>0</v>
      </c>
      <c r="BH928" s="339">
        <f>IF(AND(tabItens[[#This Row],[Pend]] &gt; 0,tabItens[[#This Row],[Consumo]] &lt;&gt; 0), tabItens[[#This Row],[Pend]] / tabItens[[#This Row],[Consumo]], 0 )</f>
        <v>0</v>
      </c>
      <c r="BI928" s="338"/>
      <c r="BJ928" s="338"/>
      <c r="BK928" s="340" t="s">
        <v>2086</v>
      </c>
    </row>
    <row r="929" spans="1:63" hidden="1" x14ac:dyDescent="0.3">
      <c r="A929" s="301">
        <v>136837</v>
      </c>
      <c r="B929" s="302" t="s">
        <v>877</v>
      </c>
      <c r="C929" s="303" t="s">
        <v>436</v>
      </c>
      <c r="D929" s="304">
        <v>56.6</v>
      </c>
      <c r="E929" s="305"/>
      <c r="F929" s="305"/>
      <c r="G929" s="305" t="s">
        <v>889</v>
      </c>
      <c r="H929" s="306">
        <v>3</v>
      </c>
      <c r="I929" s="307">
        <v>103003</v>
      </c>
      <c r="J929" s="308">
        <v>56.6</v>
      </c>
      <c r="K929" s="309"/>
      <c r="L929" s="310">
        <f>IF(tabItens[[#This Row],[Média]] &gt; 0, tabItens[[#This Row],[QTDE ATUAL]] / tabItens[[#This Row],[Média]],999.9)</f>
        <v>999.9</v>
      </c>
      <c r="M929" s="311">
        <v>0</v>
      </c>
      <c r="N929" s="312">
        <f>tabItens[[#This Row],[VALOR UNIT.]] * tabItens[[#This Row],[LC]]</f>
        <v>0</v>
      </c>
      <c r="O929" s="313"/>
      <c r="P929" s="314"/>
      <c r="Q929" s="315"/>
      <c r="R929" s="312"/>
      <c r="S929" s="316"/>
      <c r="T929" s="317">
        <f>ROUNDDOWN(IFERROR(tabItens[[#This Row],[ATA DT.VALID.]] - $D$1,0) / 30,0)</f>
        <v>-1474</v>
      </c>
      <c r="U929" s="302" t="s">
        <v>1492</v>
      </c>
      <c r="V929" s="318">
        <v>1</v>
      </c>
      <c r="W929" s="319" t="s">
        <v>2081</v>
      </c>
      <c r="X929" s="320">
        <v>54</v>
      </c>
      <c r="Y929" s="321">
        <v>4</v>
      </c>
      <c r="Z929" s="322"/>
      <c r="AA929" s="323"/>
      <c r="AB929" s="324"/>
      <c r="AC929" s="324"/>
      <c r="AD929" s="323"/>
      <c r="AE929" s="324"/>
      <c r="AF929" s="317"/>
      <c r="AG929" s="325" t="s">
        <v>2072</v>
      </c>
      <c r="AH929" s="326"/>
      <c r="AI929" s="317">
        <v>0</v>
      </c>
      <c r="AJ929" s="326">
        <v>43819</v>
      </c>
      <c r="AK929" s="326">
        <v>43572</v>
      </c>
      <c r="AL929" s="326">
        <v>44461</v>
      </c>
      <c r="AM929" s="316"/>
      <c r="AN929" s="305"/>
      <c r="AO929" s="327" t="str">
        <f>_xlfn.IFNA(IF(VLOOKUP(tabItens[[#This Row],[CÓDIGO]],tabExcluirDoEstoque[#Data],1,FALSE),"sim",""),"")</f>
        <v>sim</v>
      </c>
      <c r="AP929" s="328" t="str">
        <f ca="1">IF(OR(ISBLANK(tabItens[[#This Row],[ATA DT.VALID.]]),tabItens[[#This Row],[ATA DT.VALID.]]="",tabItens[[#This Row],[ATA DT.VALID.]]=" "),"",IF(TYPE(tabItens[[#This Row],[ATA DT.VALID.]])=1,ROUNDUP((tabItens[[#This Row],[ATA DT.VALID.]]-TODAY())/7,0),""))</f>
        <v/>
      </c>
      <c r="AQ929" s="329"/>
      <c r="AR929" s="330">
        <f>IF(ISBLANK(tabItens[[#This Row],[CÓDIGO]]),"",IFERROR(VLOOKUP(tabItens[[#This Row],[CÓDIGO]],Consumo!$C$2:$AC$862,26,FALSE),0))</f>
        <v>0</v>
      </c>
      <c r="AS929" s="331">
        <f>SUMIF(Consumo!$C$3:$C$862,tabItens[[#This Row],[CÓDIGO]],Consumo!$N$3:$N$862) + SUMIF(Consumo!$C$3:$C$862,tabItens[[#This Row],[CÓDIGO]],Consumo!$O$3:$O$862) + SUMIF(Consumo!$C$3:$C$862,tabItens[[#This Row],[CÓDIGO]],Consumo!$P$3:$P$862) + SUMIF(Consumo!$C$3:$C$862,tabItens[[#This Row],[CÓDIGO]],Consumo!$Q$3:$Q$862)</f>
        <v>0</v>
      </c>
      <c r="AT929" s="331">
        <f>SUMIF(Consumo!$C$3:$C$862,tabItens[[#This Row],[CÓDIGO]],Consumo!$Z$3:$Z$862)</f>
        <v>0</v>
      </c>
      <c r="AU929" s="332">
        <f>SUMIF(Consumo!$C$3:$C$862,tabItens[[#This Row],[CÓDIGO]],Consumo!$AA$3:$AA$862)</f>
        <v>0</v>
      </c>
      <c r="AV929" s="333">
        <f>SUMIF(Consumo!$C$3:$C$862,tabItens[[#This Row],[CÓDIGO]],Consumo!$Y$3:$Y$862)</f>
        <v>0</v>
      </c>
      <c r="AW929" s="306">
        <f>tabItens[[#This Row],[QTDE ATUAL]] + tabItens[[#This Row],[RC QTDE]] + tabItens[[#This Row],[AF SALDO]] + tabItens[[#This Row],[Recentes]]</f>
        <v>3</v>
      </c>
      <c r="AX929" s="334">
        <v>0</v>
      </c>
      <c r="AY929" s="334">
        <v>4</v>
      </c>
      <c r="AZ929" s="334">
        <f>IF(ISBLANK(tabItens[[#This Row],[CÓDIGO]]),"",tabItens[[#This Row],[PontoMês]] * (AZ$2+tabItens[[#This Row],[PontoQtM]]))</f>
        <v>0</v>
      </c>
      <c r="BA929" s="333">
        <f>tabItens[[#This Row],[PontoPed]] - tabItens[[#This Row],[Saldo]] + (1/10)</f>
        <v>-2.9</v>
      </c>
      <c r="BB929" s="333">
        <f xml:space="preserve"> tabItens[[#This Row],[PontoMês]] * BB$2 - tabItens[[#This Row],[QTDE ATUAL]] - (1/10)</f>
        <v>-3.1</v>
      </c>
      <c r="BC929" s="335">
        <f>IF( tabItens[[#This Row],[PontoPed]]&gt;0, IF(tabItens[[#This Row],[PontoPed]]&lt;1, 1, IF( tabItens[[#This Row],[Saldo]]&gt;tabItens[[#This Row],[PontoPed]], 0, (tabItens[[#This Row],[PontoPed]]-tabItens[[#This Row],[Saldo]])/tabItens[[#This Row],[PontoPed]] ) ), 0 )</f>
        <v>0</v>
      </c>
      <c r="BD929" s="336">
        <f>ROUNDDOWN(IF( OR( AND(tabItens[[#This Row],[PontoPed]]&lt;tabItens[[#This Row],[Saldo]],tabItens[[#This Row],[Saldo]]&gt;0), tabItens[[#This Row],[PontoPed]]=0), 99, IF(AND(tabItens[[#This Row],[Saldo]]=0,tabItens[[#This Row],[PontoPed]]&gt;0), 0, (1-tabItens[[#This Row],[PctAb]])*10 ) ),0)</f>
        <v>99</v>
      </c>
      <c r="BE929" s="337">
        <f>MAX(ROUNDDOWN( IF(tabItens[[#This Row],[Abaixo]] &gt; 0,   tabItens[[#This Row],[Abaixo]] + (tabItens[[#This Row],[PontoMês]] * IF( OR( ISBLANK(tabItens[[#This Row],[ATA Nº/ANO]]), tabItens[[#This Row],[ATA Nº/ANO]] = ""),BE$2,BE$1)),0),0),0)</f>
        <v>0</v>
      </c>
      <c r="BF92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9" s="338">
        <f>SUMIF(Consumo!$C$3:$C$862,tabItens[[#This Row],[CÓDIGO]],Consumo!$E$3:$E$862)</f>
        <v>0</v>
      </c>
      <c r="BH929" s="339">
        <f>IF(AND(tabItens[[#This Row],[Pend]] &gt; 0,tabItens[[#This Row],[Consumo]] &lt;&gt; 0), tabItens[[#This Row],[Pend]] / tabItens[[#This Row],[Consumo]], 0 )</f>
        <v>0</v>
      </c>
      <c r="BI929" s="338"/>
      <c r="BJ929" s="338"/>
      <c r="BK929" s="340" t="s">
        <v>2086</v>
      </c>
    </row>
    <row r="930" spans="1:63" hidden="1" x14ac:dyDescent="0.3">
      <c r="A930" s="301">
        <v>136838</v>
      </c>
      <c r="B930" s="302" t="s">
        <v>878</v>
      </c>
      <c r="C930" s="303" t="s">
        <v>436</v>
      </c>
      <c r="D930" s="304">
        <v>21.3</v>
      </c>
      <c r="E930" s="305"/>
      <c r="F930" s="305"/>
      <c r="G930" s="305" t="s">
        <v>889</v>
      </c>
      <c r="H930" s="306">
        <v>4</v>
      </c>
      <c r="I930" s="307">
        <v>103003</v>
      </c>
      <c r="J930" s="308">
        <v>21.3</v>
      </c>
      <c r="K930" s="309"/>
      <c r="L930" s="310">
        <f>IF(tabItens[[#This Row],[Média]] &gt; 0, tabItens[[#This Row],[QTDE ATUAL]] / tabItens[[#This Row],[Média]],999.9)</f>
        <v>999.9</v>
      </c>
      <c r="M930" s="311">
        <v>0</v>
      </c>
      <c r="N930" s="312">
        <f>tabItens[[#This Row],[VALOR UNIT.]] * tabItens[[#This Row],[LC]]</f>
        <v>0</v>
      </c>
      <c r="O930" s="313"/>
      <c r="P930" s="314"/>
      <c r="Q930" s="315"/>
      <c r="R930" s="312"/>
      <c r="S930" s="316"/>
      <c r="T930" s="317">
        <f>ROUNDDOWN(IFERROR(tabItens[[#This Row],[ATA DT.VALID.]] - $D$1,0) / 30,0)</f>
        <v>-1474</v>
      </c>
      <c r="U930" s="302" t="s">
        <v>1492</v>
      </c>
      <c r="V930" s="318">
        <v>1</v>
      </c>
      <c r="W930" s="319" t="s">
        <v>2081</v>
      </c>
      <c r="X930" s="320">
        <v>54</v>
      </c>
      <c r="Y930" s="321">
        <v>4</v>
      </c>
      <c r="Z930" s="322"/>
      <c r="AA930" s="323"/>
      <c r="AB930" s="324"/>
      <c r="AC930" s="324"/>
      <c r="AD930" s="323"/>
      <c r="AE930" s="324"/>
      <c r="AF930" s="317"/>
      <c r="AG930" s="325" t="s">
        <v>2072</v>
      </c>
      <c r="AH930" s="326"/>
      <c r="AI930" s="317">
        <v>0</v>
      </c>
      <c r="AJ930" s="326">
        <v>43819</v>
      </c>
      <c r="AK930" s="326">
        <v>43572</v>
      </c>
      <c r="AL930" s="326">
        <v>43780</v>
      </c>
      <c r="AM930" s="316"/>
      <c r="AN930" s="305"/>
      <c r="AO930" s="327" t="str">
        <f>_xlfn.IFNA(IF(VLOOKUP(tabItens[[#This Row],[CÓDIGO]],tabExcluirDoEstoque[#Data],1,FALSE),"sim",""),"")</f>
        <v>sim</v>
      </c>
      <c r="AP930" s="328" t="str">
        <f ca="1">IF(OR(ISBLANK(tabItens[[#This Row],[ATA DT.VALID.]]),tabItens[[#This Row],[ATA DT.VALID.]]="",tabItens[[#This Row],[ATA DT.VALID.]]=" "),"",IF(TYPE(tabItens[[#This Row],[ATA DT.VALID.]])=1,ROUNDUP((tabItens[[#This Row],[ATA DT.VALID.]]-TODAY())/7,0),""))</f>
        <v/>
      </c>
      <c r="AQ930" s="329"/>
      <c r="AR930" s="330">
        <f>IF(ISBLANK(tabItens[[#This Row],[CÓDIGO]]),"",IFERROR(VLOOKUP(tabItens[[#This Row],[CÓDIGO]],Consumo!$C$2:$AC$862,26,FALSE),0))</f>
        <v>0</v>
      </c>
      <c r="AS930" s="331">
        <f>SUMIF(Consumo!$C$3:$C$862,tabItens[[#This Row],[CÓDIGO]],Consumo!$N$3:$N$862) + SUMIF(Consumo!$C$3:$C$862,tabItens[[#This Row],[CÓDIGO]],Consumo!$O$3:$O$862) + SUMIF(Consumo!$C$3:$C$862,tabItens[[#This Row],[CÓDIGO]],Consumo!$P$3:$P$862) + SUMIF(Consumo!$C$3:$C$862,tabItens[[#This Row],[CÓDIGO]],Consumo!$Q$3:$Q$862)</f>
        <v>0</v>
      </c>
      <c r="AT930" s="331">
        <f>SUMIF(Consumo!$C$3:$C$862,tabItens[[#This Row],[CÓDIGO]],Consumo!$Z$3:$Z$862)</f>
        <v>0</v>
      </c>
      <c r="AU930" s="332">
        <f>SUMIF(Consumo!$C$3:$C$862,tabItens[[#This Row],[CÓDIGO]],Consumo!$AA$3:$AA$862)</f>
        <v>0</v>
      </c>
      <c r="AV930" s="333">
        <f>SUMIF(Consumo!$C$3:$C$862,tabItens[[#This Row],[CÓDIGO]],Consumo!$Y$3:$Y$862)</f>
        <v>0</v>
      </c>
      <c r="AW930" s="306">
        <f>tabItens[[#This Row],[QTDE ATUAL]] + tabItens[[#This Row],[RC QTDE]] + tabItens[[#This Row],[AF SALDO]] + tabItens[[#This Row],[Recentes]]</f>
        <v>4</v>
      </c>
      <c r="AX930" s="334">
        <v>0</v>
      </c>
      <c r="AY930" s="334">
        <v>4</v>
      </c>
      <c r="AZ930" s="334">
        <f>IF(ISBLANK(tabItens[[#This Row],[CÓDIGO]]),"",tabItens[[#This Row],[PontoMês]] * (AZ$2+tabItens[[#This Row],[PontoQtM]]))</f>
        <v>0</v>
      </c>
      <c r="BA930" s="333">
        <f>tabItens[[#This Row],[PontoPed]] - tabItens[[#This Row],[Saldo]] + (1/10)</f>
        <v>-3.9</v>
      </c>
      <c r="BB930" s="333">
        <f xml:space="preserve"> tabItens[[#This Row],[PontoMês]] * BB$2 - tabItens[[#This Row],[QTDE ATUAL]] - (1/10)</f>
        <v>-4.0999999999999996</v>
      </c>
      <c r="BC930" s="335">
        <f>IF( tabItens[[#This Row],[PontoPed]]&gt;0, IF(tabItens[[#This Row],[PontoPed]]&lt;1, 1, IF( tabItens[[#This Row],[Saldo]]&gt;tabItens[[#This Row],[PontoPed]], 0, (tabItens[[#This Row],[PontoPed]]-tabItens[[#This Row],[Saldo]])/tabItens[[#This Row],[PontoPed]] ) ), 0 )</f>
        <v>0</v>
      </c>
      <c r="BD930" s="336">
        <f>ROUNDDOWN(IF( OR( AND(tabItens[[#This Row],[PontoPed]]&lt;tabItens[[#This Row],[Saldo]],tabItens[[#This Row],[Saldo]]&gt;0), tabItens[[#This Row],[PontoPed]]=0), 99, IF(AND(tabItens[[#This Row],[Saldo]]=0,tabItens[[#This Row],[PontoPed]]&gt;0), 0, (1-tabItens[[#This Row],[PctAb]])*10 ) ),0)</f>
        <v>99</v>
      </c>
      <c r="BE930" s="337">
        <f>MAX(ROUNDDOWN( IF(tabItens[[#This Row],[Abaixo]] &gt; 0,   tabItens[[#This Row],[Abaixo]] + (tabItens[[#This Row],[PontoMês]] * IF( OR( ISBLANK(tabItens[[#This Row],[ATA Nº/ANO]]), tabItens[[#This Row],[ATA Nº/ANO]] = ""),BE$2,BE$1)),0),0),0)</f>
        <v>0</v>
      </c>
      <c r="BF93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0" s="338">
        <f>SUMIF(Consumo!$C$3:$C$862,tabItens[[#This Row],[CÓDIGO]],Consumo!$E$3:$E$862)</f>
        <v>0</v>
      </c>
      <c r="BH930" s="339">
        <f>IF(AND(tabItens[[#This Row],[Pend]] &gt; 0,tabItens[[#This Row],[Consumo]] &lt;&gt; 0), tabItens[[#This Row],[Pend]] / tabItens[[#This Row],[Consumo]], 0 )</f>
        <v>0</v>
      </c>
      <c r="BI930" s="338"/>
      <c r="BJ930" s="338"/>
      <c r="BK930" s="340" t="s">
        <v>2086</v>
      </c>
    </row>
    <row r="931" spans="1:63" hidden="1" x14ac:dyDescent="0.3">
      <c r="A931" s="301">
        <v>136839</v>
      </c>
      <c r="B931" s="302" t="s">
        <v>879</v>
      </c>
      <c r="C931" s="303" t="s">
        <v>436</v>
      </c>
      <c r="D931" s="304">
        <v>21.3</v>
      </c>
      <c r="E931" s="305"/>
      <c r="F931" s="305"/>
      <c r="G931" s="305" t="s">
        <v>889</v>
      </c>
      <c r="H931" s="306">
        <v>16</v>
      </c>
      <c r="I931" s="307">
        <v>103003</v>
      </c>
      <c r="J931" s="308">
        <v>21.3</v>
      </c>
      <c r="K931" s="309"/>
      <c r="L931" s="310">
        <f>IF(tabItens[[#This Row],[Média]] &gt; 0, tabItens[[#This Row],[QTDE ATUAL]] / tabItens[[#This Row],[Média]],999.9)</f>
        <v>999.9</v>
      </c>
      <c r="M931" s="311">
        <v>0</v>
      </c>
      <c r="N931" s="312">
        <f>tabItens[[#This Row],[VALOR UNIT.]] * tabItens[[#This Row],[LC]]</f>
        <v>0</v>
      </c>
      <c r="O931" s="313"/>
      <c r="P931" s="314"/>
      <c r="Q931" s="315"/>
      <c r="R931" s="312"/>
      <c r="S931" s="316"/>
      <c r="T931" s="317">
        <f>ROUNDDOWN(IFERROR(tabItens[[#This Row],[ATA DT.VALID.]] - $D$1,0) / 30,0)</f>
        <v>-1474</v>
      </c>
      <c r="U931" s="302" t="s">
        <v>1492</v>
      </c>
      <c r="V931" s="318">
        <v>1</v>
      </c>
      <c r="W931" s="319" t="s">
        <v>2081</v>
      </c>
      <c r="X931" s="320">
        <v>54</v>
      </c>
      <c r="Y931" s="321">
        <v>4</v>
      </c>
      <c r="Z931" s="322"/>
      <c r="AA931" s="323"/>
      <c r="AB931" s="324"/>
      <c r="AC931" s="324"/>
      <c r="AD931" s="323"/>
      <c r="AE931" s="324"/>
      <c r="AF931" s="317"/>
      <c r="AG931" s="325" t="s">
        <v>2072</v>
      </c>
      <c r="AH931" s="326"/>
      <c r="AI931" s="317">
        <v>0</v>
      </c>
      <c r="AJ931" s="326">
        <v>43819</v>
      </c>
      <c r="AK931" s="326">
        <v>43572</v>
      </c>
      <c r="AL931" s="326">
        <v>43780</v>
      </c>
      <c r="AM931" s="316"/>
      <c r="AN931" s="305"/>
      <c r="AO931" s="327" t="str">
        <f>_xlfn.IFNA(IF(VLOOKUP(tabItens[[#This Row],[CÓDIGO]],tabExcluirDoEstoque[#Data],1,FALSE),"sim",""),"")</f>
        <v>sim</v>
      </c>
      <c r="AP931" s="328" t="str">
        <f ca="1">IF(OR(ISBLANK(tabItens[[#This Row],[ATA DT.VALID.]]),tabItens[[#This Row],[ATA DT.VALID.]]="",tabItens[[#This Row],[ATA DT.VALID.]]=" "),"",IF(TYPE(tabItens[[#This Row],[ATA DT.VALID.]])=1,ROUNDUP((tabItens[[#This Row],[ATA DT.VALID.]]-TODAY())/7,0),""))</f>
        <v/>
      </c>
      <c r="AQ931" s="329"/>
      <c r="AR931" s="330">
        <f>IF(ISBLANK(tabItens[[#This Row],[CÓDIGO]]),"",IFERROR(VLOOKUP(tabItens[[#This Row],[CÓDIGO]],Consumo!$C$2:$AC$862,26,FALSE),0))</f>
        <v>0</v>
      </c>
      <c r="AS931" s="331">
        <f>SUMIF(Consumo!$C$3:$C$862,tabItens[[#This Row],[CÓDIGO]],Consumo!$N$3:$N$862) + SUMIF(Consumo!$C$3:$C$862,tabItens[[#This Row],[CÓDIGO]],Consumo!$O$3:$O$862) + SUMIF(Consumo!$C$3:$C$862,tabItens[[#This Row],[CÓDIGO]],Consumo!$P$3:$P$862) + SUMIF(Consumo!$C$3:$C$862,tabItens[[#This Row],[CÓDIGO]],Consumo!$Q$3:$Q$862)</f>
        <v>0</v>
      </c>
      <c r="AT931" s="331">
        <f>SUMIF(Consumo!$C$3:$C$862,tabItens[[#This Row],[CÓDIGO]],Consumo!$Z$3:$Z$862)</f>
        <v>0</v>
      </c>
      <c r="AU931" s="332">
        <f>SUMIF(Consumo!$C$3:$C$862,tabItens[[#This Row],[CÓDIGO]],Consumo!$AA$3:$AA$862)</f>
        <v>0</v>
      </c>
      <c r="AV931" s="333">
        <f>SUMIF(Consumo!$C$3:$C$862,tabItens[[#This Row],[CÓDIGO]],Consumo!$Y$3:$Y$862)</f>
        <v>0</v>
      </c>
      <c r="AW931" s="306">
        <f>tabItens[[#This Row],[QTDE ATUAL]] + tabItens[[#This Row],[RC QTDE]] + tabItens[[#This Row],[AF SALDO]] + tabItens[[#This Row],[Recentes]]</f>
        <v>16</v>
      </c>
      <c r="AX931" s="334">
        <v>0</v>
      </c>
      <c r="AY931" s="334">
        <v>4</v>
      </c>
      <c r="AZ931" s="334">
        <f>IF(ISBLANK(tabItens[[#This Row],[CÓDIGO]]),"",tabItens[[#This Row],[PontoMês]] * (AZ$2+tabItens[[#This Row],[PontoQtM]]))</f>
        <v>0</v>
      </c>
      <c r="BA931" s="333">
        <f>tabItens[[#This Row],[PontoPed]] - tabItens[[#This Row],[Saldo]] + (1/10)</f>
        <v>-15.9</v>
      </c>
      <c r="BB931" s="333">
        <f xml:space="preserve"> tabItens[[#This Row],[PontoMês]] * BB$2 - tabItens[[#This Row],[QTDE ATUAL]] - (1/10)</f>
        <v>-16.100000000000001</v>
      </c>
      <c r="BC931" s="335">
        <f>IF( tabItens[[#This Row],[PontoPed]]&gt;0, IF(tabItens[[#This Row],[PontoPed]]&lt;1, 1, IF( tabItens[[#This Row],[Saldo]]&gt;tabItens[[#This Row],[PontoPed]], 0, (tabItens[[#This Row],[PontoPed]]-tabItens[[#This Row],[Saldo]])/tabItens[[#This Row],[PontoPed]] ) ), 0 )</f>
        <v>0</v>
      </c>
      <c r="BD931" s="336">
        <f>ROUNDDOWN(IF( OR( AND(tabItens[[#This Row],[PontoPed]]&lt;tabItens[[#This Row],[Saldo]],tabItens[[#This Row],[Saldo]]&gt;0), tabItens[[#This Row],[PontoPed]]=0), 99, IF(AND(tabItens[[#This Row],[Saldo]]=0,tabItens[[#This Row],[PontoPed]]&gt;0), 0, (1-tabItens[[#This Row],[PctAb]])*10 ) ),0)</f>
        <v>99</v>
      </c>
      <c r="BE931" s="337">
        <f>MAX(ROUNDDOWN( IF(tabItens[[#This Row],[Abaixo]] &gt; 0,   tabItens[[#This Row],[Abaixo]] + (tabItens[[#This Row],[PontoMês]] * IF( OR( ISBLANK(tabItens[[#This Row],[ATA Nº/ANO]]), tabItens[[#This Row],[ATA Nº/ANO]] = ""),BE$2,BE$1)),0),0),0)</f>
        <v>0</v>
      </c>
      <c r="BF93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1" s="338">
        <f>SUMIF(Consumo!$C$3:$C$862,tabItens[[#This Row],[CÓDIGO]],Consumo!$E$3:$E$862)</f>
        <v>0</v>
      </c>
      <c r="BH931" s="339">
        <f>IF(AND(tabItens[[#This Row],[Pend]] &gt; 0,tabItens[[#This Row],[Consumo]] &lt;&gt; 0), tabItens[[#This Row],[Pend]] / tabItens[[#This Row],[Consumo]], 0 )</f>
        <v>0</v>
      </c>
      <c r="BI931" s="338"/>
      <c r="BJ931" s="338"/>
      <c r="BK931" s="340" t="s">
        <v>2086</v>
      </c>
    </row>
    <row r="932" spans="1:63" hidden="1" x14ac:dyDescent="0.3">
      <c r="A932" s="301">
        <v>136840</v>
      </c>
      <c r="B932" s="302" t="s">
        <v>880</v>
      </c>
      <c r="C932" s="303" t="s">
        <v>436</v>
      </c>
      <c r="D932" s="304">
        <v>21.3</v>
      </c>
      <c r="E932" s="305"/>
      <c r="F932" s="305"/>
      <c r="G932" s="305" t="s">
        <v>889</v>
      </c>
      <c r="H932" s="306">
        <v>0</v>
      </c>
      <c r="I932" s="307">
        <v>103003</v>
      </c>
      <c r="J932" s="308">
        <v>21.3</v>
      </c>
      <c r="K932" s="309">
        <v>1</v>
      </c>
      <c r="L932" s="310">
        <f>IF(tabItens[[#This Row],[Média]] &gt; 0, tabItens[[#This Row],[QTDE ATUAL]] / tabItens[[#This Row],[Média]],999.9)</f>
        <v>0</v>
      </c>
      <c r="M932" s="311">
        <v>0</v>
      </c>
      <c r="N932" s="312">
        <f>tabItens[[#This Row],[VALOR UNIT.]] * tabItens[[#This Row],[LC]]</f>
        <v>0</v>
      </c>
      <c r="O932" s="313"/>
      <c r="P932" s="314"/>
      <c r="Q932" s="315"/>
      <c r="R932" s="312"/>
      <c r="S932" s="316"/>
      <c r="T932" s="317">
        <f>ROUNDDOWN(IFERROR(tabItens[[#This Row],[ATA DT.VALID.]] - $D$1,0) / 30,0)</f>
        <v>-1474</v>
      </c>
      <c r="U932" s="302" t="s">
        <v>1492</v>
      </c>
      <c r="V932" s="318">
        <v>1</v>
      </c>
      <c r="W932" s="319" t="s">
        <v>2081</v>
      </c>
      <c r="X932" s="320">
        <v>54</v>
      </c>
      <c r="Y932" s="321">
        <v>4</v>
      </c>
      <c r="Z932" s="322"/>
      <c r="AA932" s="323"/>
      <c r="AB932" s="324"/>
      <c r="AC932" s="324"/>
      <c r="AD932" s="323"/>
      <c r="AE932" s="324"/>
      <c r="AF932" s="317"/>
      <c r="AG932" s="325" t="s">
        <v>2072</v>
      </c>
      <c r="AH932" s="326"/>
      <c r="AI932" s="317">
        <v>0</v>
      </c>
      <c r="AJ932" s="326">
        <v>43819</v>
      </c>
      <c r="AK932" s="326">
        <v>43572</v>
      </c>
      <c r="AL932" s="326">
        <v>43780</v>
      </c>
      <c r="AM932" s="316"/>
      <c r="AN932" s="305"/>
      <c r="AO932" s="327" t="str">
        <f>_xlfn.IFNA(IF(VLOOKUP(tabItens[[#This Row],[CÓDIGO]],tabExcluirDoEstoque[#Data],1,FALSE),"sim",""),"")</f>
        <v>sim</v>
      </c>
      <c r="AP932" s="328" t="str">
        <f ca="1">IF(OR(ISBLANK(tabItens[[#This Row],[ATA DT.VALID.]]),tabItens[[#This Row],[ATA DT.VALID.]]="",tabItens[[#This Row],[ATA DT.VALID.]]=" "),"",IF(TYPE(tabItens[[#This Row],[ATA DT.VALID.]])=1,ROUNDUP((tabItens[[#This Row],[ATA DT.VALID.]]-TODAY())/7,0),""))</f>
        <v/>
      </c>
      <c r="AQ932" s="329"/>
      <c r="AR932" s="330" t="str">
        <f>IF(ISBLANK(tabItens[[#This Row],[CÓDIGO]]),"",IFERROR(VLOOKUP(tabItens[[#This Row],[CÓDIGO]],Consumo!$C$2:$AC$862,26,FALSE),0))</f>
        <v>09.2023</v>
      </c>
      <c r="AS932" s="331">
        <f>SUMIF(Consumo!$C$3:$C$862,tabItens[[#This Row],[CÓDIGO]],Consumo!$N$3:$N$862) + SUMIF(Consumo!$C$3:$C$862,tabItens[[#This Row],[CÓDIGO]],Consumo!$O$3:$O$862) + SUMIF(Consumo!$C$3:$C$862,tabItens[[#This Row],[CÓDIGO]],Consumo!$P$3:$P$862) + SUMIF(Consumo!$C$3:$C$862,tabItens[[#This Row],[CÓDIGO]],Consumo!$Q$3:$Q$862)</f>
        <v>1</v>
      </c>
      <c r="AT932" s="331">
        <f>SUMIF(Consumo!$C$3:$C$862,tabItens[[#This Row],[CÓDIGO]],Consumo!$Z$3:$Z$862)</f>
        <v>5</v>
      </c>
      <c r="AU932" s="332">
        <f>SUMIF(Consumo!$C$3:$C$862,tabItens[[#This Row],[CÓDIGO]],Consumo!$AA$3:$AA$862)</f>
        <v>1</v>
      </c>
      <c r="AV932" s="333">
        <f>SUMIF(Consumo!$C$3:$C$862,tabItens[[#This Row],[CÓDIGO]],Consumo!$Y$3:$Y$862)</f>
        <v>0.41666666666666669</v>
      </c>
      <c r="AW932" s="306">
        <f>tabItens[[#This Row],[QTDE ATUAL]] + tabItens[[#This Row],[RC QTDE]] + tabItens[[#This Row],[AF SALDO]] + tabItens[[#This Row],[Recentes]]</f>
        <v>0</v>
      </c>
      <c r="AX932" s="334">
        <v>0</v>
      </c>
      <c r="AY932" s="334">
        <v>4</v>
      </c>
      <c r="AZ932" s="334">
        <f>IF(ISBLANK(tabItens[[#This Row],[CÓDIGO]]),"",tabItens[[#This Row],[PontoMês]] * (AZ$2+tabItens[[#This Row],[PontoQtM]]))</f>
        <v>0</v>
      </c>
      <c r="BA932" s="333">
        <f>tabItens[[#This Row],[PontoPed]] - tabItens[[#This Row],[Saldo]] + (1/10)</f>
        <v>0.1</v>
      </c>
      <c r="BB932" s="333">
        <f xml:space="preserve"> tabItens[[#This Row],[PontoMês]] * BB$2 - tabItens[[#This Row],[QTDE ATUAL]] - (1/10)</f>
        <v>-0.1</v>
      </c>
      <c r="BC932" s="335">
        <f>IF( tabItens[[#This Row],[PontoPed]]&gt;0, IF(tabItens[[#This Row],[PontoPed]]&lt;1, 1, IF( tabItens[[#This Row],[Saldo]]&gt;tabItens[[#This Row],[PontoPed]], 0, (tabItens[[#This Row],[PontoPed]]-tabItens[[#This Row],[Saldo]])/tabItens[[#This Row],[PontoPed]] ) ), 0 )</f>
        <v>0</v>
      </c>
      <c r="BD932" s="336">
        <f>ROUNDDOWN(IF( OR( AND(tabItens[[#This Row],[PontoPed]]&lt;tabItens[[#This Row],[Saldo]],tabItens[[#This Row],[Saldo]]&gt;0), tabItens[[#This Row],[PontoPed]]=0), 99, IF(AND(tabItens[[#This Row],[Saldo]]=0,tabItens[[#This Row],[PontoPed]]&gt;0), 0, (1-tabItens[[#This Row],[PctAb]])*10 ) ),0)</f>
        <v>99</v>
      </c>
      <c r="BE932" s="337">
        <f>MAX(ROUNDDOWN( IF(tabItens[[#This Row],[Abaixo]] &gt; 0,   tabItens[[#This Row],[Abaixo]] + (tabItens[[#This Row],[PontoMês]] * IF( OR( ISBLANK(tabItens[[#This Row],[ATA Nº/ANO]]), tabItens[[#This Row],[ATA Nº/ANO]] = ""),BE$2,BE$1)),0),0),0)</f>
        <v>0</v>
      </c>
      <c r="BF93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2" s="338">
        <f>SUMIF(Consumo!$C$3:$C$862,tabItens[[#This Row],[CÓDIGO]],Consumo!$E$3:$E$862)</f>
        <v>4</v>
      </c>
      <c r="BH932" s="339">
        <f>IF(AND(tabItens[[#This Row],[Pend]] &gt; 0,tabItens[[#This Row],[Consumo]] &lt;&gt; 0), tabItens[[#This Row],[Pend]] / tabItens[[#This Row],[Consumo]], 0 )</f>
        <v>0.8</v>
      </c>
      <c r="BI932" s="338"/>
      <c r="BJ932" s="338"/>
      <c r="BK932" s="340" t="s">
        <v>2086</v>
      </c>
    </row>
    <row r="933" spans="1:63" hidden="1" x14ac:dyDescent="0.3">
      <c r="A933" s="301">
        <v>136841</v>
      </c>
      <c r="B933" s="302" t="s">
        <v>881</v>
      </c>
      <c r="C933" s="303" t="s">
        <v>436</v>
      </c>
      <c r="D933" s="304">
        <v>21.3</v>
      </c>
      <c r="E933" s="305"/>
      <c r="F933" s="305"/>
      <c r="G933" s="305" t="s">
        <v>889</v>
      </c>
      <c r="H933" s="306">
        <v>0</v>
      </c>
      <c r="I933" s="307">
        <v>103003</v>
      </c>
      <c r="J933" s="308">
        <v>21.3</v>
      </c>
      <c r="K933" s="309">
        <v>7</v>
      </c>
      <c r="L933" s="310">
        <f>IF(tabItens[[#This Row],[Média]] &gt; 0, tabItens[[#This Row],[QTDE ATUAL]] / tabItens[[#This Row],[Média]],999.9)</f>
        <v>0</v>
      </c>
      <c r="M933" s="311">
        <v>0</v>
      </c>
      <c r="N933" s="312">
        <f>tabItens[[#This Row],[VALOR UNIT.]] * tabItens[[#This Row],[LC]]</f>
        <v>0</v>
      </c>
      <c r="O933" s="313"/>
      <c r="P933" s="314"/>
      <c r="Q933" s="315"/>
      <c r="R933" s="312"/>
      <c r="S933" s="316"/>
      <c r="T933" s="317">
        <f>ROUNDDOWN(IFERROR(tabItens[[#This Row],[ATA DT.VALID.]] - $D$1,0) / 30,0)</f>
        <v>-1474</v>
      </c>
      <c r="U933" s="302" t="s">
        <v>1492</v>
      </c>
      <c r="V933" s="318">
        <v>1</v>
      </c>
      <c r="W933" s="319" t="s">
        <v>2081</v>
      </c>
      <c r="X933" s="320">
        <v>54</v>
      </c>
      <c r="Y933" s="321">
        <v>4</v>
      </c>
      <c r="Z933" s="322"/>
      <c r="AA933" s="323"/>
      <c r="AB933" s="324"/>
      <c r="AC933" s="324"/>
      <c r="AD933" s="323"/>
      <c r="AE933" s="324"/>
      <c r="AF933" s="317"/>
      <c r="AG933" s="325" t="s">
        <v>2072</v>
      </c>
      <c r="AH933" s="326"/>
      <c r="AI933" s="317">
        <v>0</v>
      </c>
      <c r="AJ933" s="326">
        <v>43819</v>
      </c>
      <c r="AK933" s="326">
        <v>43572</v>
      </c>
      <c r="AL933" s="326">
        <v>43780</v>
      </c>
      <c r="AM933" s="316"/>
      <c r="AN933" s="305"/>
      <c r="AO933" s="327" t="str">
        <f>_xlfn.IFNA(IF(VLOOKUP(tabItens[[#This Row],[CÓDIGO]],tabExcluirDoEstoque[#Data],1,FALSE),"sim",""),"")</f>
        <v>sim</v>
      </c>
      <c r="AP933" s="328" t="str">
        <f ca="1">IF(OR(ISBLANK(tabItens[[#This Row],[ATA DT.VALID.]]),tabItens[[#This Row],[ATA DT.VALID.]]="",tabItens[[#This Row],[ATA DT.VALID.]]=" "),"",IF(TYPE(tabItens[[#This Row],[ATA DT.VALID.]])=1,ROUNDUP((tabItens[[#This Row],[ATA DT.VALID.]]-TODAY())/7,0),""))</f>
        <v/>
      </c>
      <c r="AQ933" s="329"/>
      <c r="AR933" s="330" t="str">
        <f>IF(ISBLANK(tabItens[[#This Row],[CÓDIGO]]),"",IFERROR(VLOOKUP(tabItens[[#This Row],[CÓDIGO]],Consumo!$C$2:$AC$862,26,FALSE),0))</f>
        <v>09.2023</v>
      </c>
      <c r="AS933" s="331">
        <f>SUMIF(Consumo!$C$3:$C$862,tabItens[[#This Row],[CÓDIGO]],Consumo!$N$3:$N$862) + SUMIF(Consumo!$C$3:$C$862,tabItens[[#This Row],[CÓDIGO]],Consumo!$O$3:$O$862) + SUMIF(Consumo!$C$3:$C$862,tabItens[[#This Row],[CÓDIGO]],Consumo!$P$3:$P$862) + SUMIF(Consumo!$C$3:$C$862,tabItens[[#This Row],[CÓDIGO]],Consumo!$Q$3:$Q$862)</f>
        <v>6</v>
      </c>
      <c r="AT933" s="331">
        <f>SUMIF(Consumo!$C$3:$C$862,tabItens[[#This Row],[CÓDIGO]],Consumo!$Z$3:$Z$862)</f>
        <v>9</v>
      </c>
      <c r="AU933" s="332">
        <f>SUMIF(Consumo!$C$3:$C$862,tabItens[[#This Row],[CÓDIGO]],Consumo!$AA$3:$AA$862)</f>
        <v>6</v>
      </c>
      <c r="AV933" s="333">
        <f>SUMIF(Consumo!$C$3:$C$862,tabItens[[#This Row],[CÓDIGO]],Consumo!$Y$3:$Y$862)</f>
        <v>0.58333333333333337</v>
      </c>
      <c r="AW933" s="306">
        <f>tabItens[[#This Row],[QTDE ATUAL]] + tabItens[[#This Row],[RC QTDE]] + tabItens[[#This Row],[AF SALDO]] + tabItens[[#This Row],[Recentes]]</f>
        <v>0</v>
      </c>
      <c r="AX933" s="334">
        <v>0</v>
      </c>
      <c r="AY933" s="334">
        <v>4</v>
      </c>
      <c r="AZ933" s="334">
        <f>IF(ISBLANK(tabItens[[#This Row],[CÓDIGO]]),"",tabItens[[#This Row],[PontoMês]] * (AZ$2+tabItens[[#This Row],[PontoQtM]]))</f>
        <v>0</v>
      </c>
      <c r="BA933" s="333">
        <f>tabItens[[#This Row],[PontoPed]] - tabItens[[#This Row],[Saldo]] + (1/10)</f>
        <v>0.1</v>
      </c>
      <c r="BB933" s="333">
        <f xml:space="preserve"> tabItens[[#This Row],[PontoMês]] * BB$2 - tabItens[[#This Row],[QTDE ATUAL]] - (1/10)</f>
        <v>-0.1</v>
      </c>
      <c r="BC933" s="335">
        <f>IF( tabItens[[#This Row],[PontoPed]]&gt;0, IF(tabItens[[#This Row],[PontoPed]]&lt;1, 1, IF( tabItens[[#This Row],[Saldo]]&gt;tabItens[[#This Row],[PontoPed]], 0, (tabItens[[#This Row],[PontoPed]]-tabItens[[#This Row],[Saldo]])/tabItens[[#This Row],[PontoPed]] ) ), 0 )</f>
        <v>0</v>
      </c>
      <c r="BD933" s="336">
        <f>ROUNDDOWN(IF( OR( AND(tabItens[[#This Row],[PontoPed]]&lt;tabItens[[#This Row],[Saldo]],tabItens[[#This Row],[Saldo]]&gt;0), tabItens[[#This Row],[PontoPed]]=0), 99, IF(AND(tabItens[[#This Row],[Saldo]]=0,tabItens[[#This Row],[PontoPed]]&gt;0), 0, (1-tabItens[[#This Row],[PctAb]])*10 ) ),0)</f>
        <v>99</v>
      </c>
      <c r="BE933" s="337">
        <f>MAX(ROUNDDOWN( IF(tabItens[[#This Row],[Abaixo]] &gt; 0,   tabItens[[#This Row],[Abaixo]] + (tabItens[[#This Row],[PontoMês]] * IF( OR( ISBLANK(tabItens[[#This Row],[ATA Nº/ANO]]), tabItens[[#This Row],[ATA Nº/ANO]] = ""),BE$2,BE$1)),0),0),0)</f>
        <v>0</v>
      </c>
      <c r="BF93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3" s="338">
        <f>SUMIF(Consumo!$C$3:$C$862,tabItens[[#This Row],[CÓDIGO]],Consumo!$E$3:$E$862)</f>
        <v>2</v>
      </c>
      <c r="BH933" s="339">
        <f>IF(AND(tabItens[[#This Row],[Pend]] &gt; 0,tabItens[[#This Row],[Consumo]] &lt;&gt; 0), tabItens[[#This Row],[Pend]] / tabItens[[#This Row],[Consumo]], 0 )</f>
        <v>0.22222222222222221</v>
      </c>
      <c r="BI933" s="338"/>
      <c r="BJ933" s="338"/>
      <c r="BK933" s="340" t="s">
        <v>2086</v>
      </c>
    </row>
    <row r="934" spans="1:63" hidden="1" x14ac:dyDescent="0.3">
      <c r="A934" s="301">
        <v>136842</v>
      </c>
      <c r="B934" s="302" t="s">
        <v>882</v>
      </c>
      <c r="C934" s="303" t="s">
        <v>436</v>
      </c>
      <c r="D934" s="304">
        <v>21.3</v>
      </c>
      <c r="E934" s="305"/>
      <c r="F934" s="305"/>
      <c r="G934" s="305" t="s">
        <v>889</v>
      </c>
      <c r="H934" s="306">
        <v>0</v>
      </c>
      <c r="I934" s="307">
        <v>103003</v>
      </c>
      <c r="J934" s="308">
        <v>21.3</v>
      </c>
      <c r="K934" s="309">
        <v>6</v>
      </c>
      <c r="L934" s="310">
        <f>IF(tabItens[[#This Row],[Média]] &gt; 0, tabItens[[#This Row],[QTDE ATUAL]] / tabItens[[#This Row],[Média]],999.9)</f>
        <v>0</v>
      </c>
      <c r="M934" s="311">
        <v>0</v>
      </c>
      <c r="N934" s="312">
        <f>tabItens[[#This Row],[VALOR UNIT.]] * tabItens[[#This Row],[LC]]</f>
        <v>0</v>
      </c>
      <c r="O934" s="313"/>
      <c r="P934" s="314"/>
      <c r="Q934" s="315"/>
      <c r="R934" s="312"/>
      <c r="S934" s="316"/>
      <c r="T934" s="317">
        <f>ROUNDDOWN(IFERROR(tabItens[[#This Row],[ATA DT.VALID.]] - $D$1,0) / 30,0)</f>
        <v>-1474</v>
      </c>
      <c r="U934" s="302" t="s">
        <v>1492</v>
      </c>
      <c r="V934" s="318">
        <v>1</v>
      </c>
      <c r="W934" s="319" t="s">
        <v>2081</v>
      </c>
      <c r="X934" s="320">
        <v>54</v>
      </c>
      <c r="Y934" s="321">
        <v>4</v>
      </c>
      <c r="Z934" s="322"/>
      <c r="AA934" s="323"/>
      <c r="AB934" s="324"/>
      <c r="AC934" s="324"/>
      <c r="AD934" s="323"/>
      <c r="AE934" s="324"/>
      <c r="AF934" s="317"/>
      <c r="AG934" s="325" t="s">
        <v>2072</v>
      </c>
      <c r="AH934" s="326"/>
      <c r="AI934" s="317">
        <v>0</v>
      </c>
      <c r="AJ934" s="326">
        <v>43819</v>
      </c>
      <c r="AK934" s="326">
        <v>43572</v>
      </c>
      <c r="AL934" s="326">
        <v>43780</v>
      </c>
      <c r="AM934" s="316"/>
      <c r="AN934" s="305"/>
      <c r="AO934" s="327" t="str">
        <f>_xlfn.IFNA(IF(VLOOKUP(tabItens[[#This Row],[CÓDIGO]],tabExcluirDoEstoque[#Data],1,FALSE),"sim",""),"")</f>
        <v>sim</v>
      </c>
      <c r="AP934" s="328" t="str">
        <f ca="1">IF(OR(ISBLANK(tabItens[[#This Row],[ATA DT.VALID.]]),tabItens[[#This Row],[ATA DT.VALID.]]="",tabItens[[#This Row],[ATA DT.VALID.]]=" "),"",IF(TYPE(tabItens[[#This Row],[ATA DT.VALID.]])=1,ROUNDUP((tabItens[[#This Row],[ATA DT.VALID.]]-TODAY())/7,0),""))</f>
        <v/>
      </c>
      <c r="AQ934" s="329"/>
      <c r="AR934" s="330" t="str">
        <f>IF(ISBLANK(tabItens[[#This Row],[CÓDIGO]]),"",IFERROR(VLOOKUP(tabItens[[#This Row],[CÓDIGO]],Consumo!$C$2:$AC$862,26,FALSE),0))</f>
        <v>09.2023</v>
      </c>
      <c r="AS934" s="331">
        <f>SUMIF(Consumo!$C$3:$C$862,tabItens[[#This Row],[CÓDIGO]],Consumo!$N$3:$N$862) + SUMIF(Consumo!$C$3:$C$862,tabItens[[#This Row],[CÓDIGO]],Consumo!$O$3:$O$862) + SUMIF(Consumo!$C$3:$C$862,tabItens[[#This Row],[CÓDIGO]],Consumo!$P$3:$P$862) + SUMIF(Consumo!$C$3:$C$862,tabItens[[#This Row],[CÓDIGO]],Consumo!$Q$3:$Q$862)</f>
        <v>5</v>
      </c>
      <c r="AT934" s="331">
        <f>SUMIF(Consumo!$C$3:$C$862,tabItens[[#This Row],[CÓDIGO]],Consumo!$Z$3:$Z$862)</f>
        <v>6</v>
      </c>
      <c r="AU934" s="332">
        <f>SUMIF(Consumo!$C$3:$C$862,tabItens[[#This Row],[CÓDIGO]],Consumo!$AA$3:$AA$862)</f>
        <v>5</v>
      </c>
      <c r="AV934" s="333">
        <f>SUMIF(Consumo!$C$3:$C$862,tabItens[[#This Row],[CÓDIGO]],Consumo!$Y$3:$Y$862)</f>
        <v>0.33333333333333331</v>
      </c>
      <c r="AW934" s="306">
        <f>tabItens[[#This Row],[QTDE ATUAL]] + tabItens[[#This Row],[RC QTDE]] + tabItens[[#This Row],[AF SALDO]] + tabItens[[#This Row],[Recentes]]</f>
        <v>0</v>
      </c>
      <c r="AX934" s="334">
        <v>0</v>
      </c>
      <c r="AY934" s="334">
        <v>4</v>
      </c>
      <c r="AZ934" s="334">
        <f>IF(ISBLANK(tabItens[[#This Row],[CÓDIGO]]),"",tabItens[[#This Row],[PontoMês]] * (AZ$2+tabItens[[#This Row],[PontoQtM]]))</f>
        <v>0</v>
      </c>
      <c r="BA934" s="333">
        <f>tabItens[[#This Row],[PontoPed]] - tabItens[[#This Row],[Saldo]] + (1/10)</f>
        <v>0.1</v>
      </c>
      <c r="BB934" s="333">
        <f xml:space="preserve"> tabItens[[#This Row],[PontoMês]] * BB$2 - tabItens[[#This Row],[QTDE ATUAL]] - (1/10)</f>
        <v>-0.1</v>
      </c>
      <c r="BC934" s="335">
        <f>IF( tabItens[[#This Row],[PontoPed]]&gt;0, IF(tabItens[[#This Row],[PontoPed]]&lt;1, 1, IF( tabItens[[#This Row],[Saldo]]&gt;tabItens[[#This Row],[PontoPed]], 0, (tabItens[[#This Row],[PontoPed]]-tabItens[[#This Row],[Saldo]])/tabItens[[#This Row],[PontoPed]] ) ), 0 )</f>
        <v>0</v>
      </c>
      <c r="BD934" s="336">
        <f>ROUNDDOWN(IF( OR( AND(tabItens[[#This Row],[PontoPed]]&lt;tabItens[[#This Row],[Saldo]],tabItens[[#This Row],[Saldo]]&gt;0), tabItens[[#This Row],[PontoPed]]=0), 99, IF(AND(tabItens[[#This Row],[Saldo]]=0,tabItens[[#This Row],[PontoPed]]&gt;0), 0, (1-tabItens[[#This Row],[PctAb]])*10 ) ),0)</f>
        <v>99</v>
      </c>
      <c r="BE934" s="337">
        <f>MAX(ROUNDDOWN( IF(tabItens[[#This Row],[Abaixo]] &gt; 0,   tabItens[[#This Row],[Abaixo]] + (tabItens[[#This Row],[PontoMês]] * IF( OR( ISBLANK(tabItens[[#This Row],[ATA Nº/ANO]]), tabItens[[#This Row],[ATA Nº/ANO]] = ""),BE$2,BE$1)),0),0),0)</f>
        <v>0</v>
      </c>
      <c r="BF93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4" s="338">
        <f>SUMIF(Consumo!$C$3:$C$862,tabItens[[#This Row],[CÓDIGO]],Consumo!$E$3:$E$862)</f>
        <v>0</v>
      </c>
      <c r="BH934" s="339">
        <f>IF(AND(tabItens[[#This Row],[Pend]] &gt; 0,tabItens[[#This Row],[Consumo]] &lt;&gt; 0), tabItens[[#This Row],[Pend]] / tabItens[[#This Row],[Consumo]], 0 )</f>
        <v>0</v>
      </c>
      <c r="BI934" s="338"/>
      <c r="BJ934" s="338"/>
      <c r="BK934" s="340" t="s">
        <v>2086</v>
      </c>
    </row>
    <row r="935" spans="1:63" hidden="1" x14ac:dyDescent="0.3">
      <c r="A935" s="301">
        <v>136843</v>
      </c>
      <c r="B935" s="302" t="s">
        <v>883</v>
      </c>
      <c r="C935" s="303" t="s">
        <v>436</v>
      </c>
      <c r="D935" s="304">
        <v>56.6</v>
      </c>
      <c r="E935" s="305"/>
      <c r="F935" s="305"/>
      <c r="G935" s="305" t="s">
        <v>889</v>
      </c>
      <c r="H935" s="306">
        <v>4</v>
      </c>
      <c r="I935" s="307">
        <v>103003</v>
      </c>
      <c r="J935" s="308">
        <v>56.6</v>
      </c>
      <c r="K935" s="309">
        <v>3</v>
      </c>
      <c r="L935" s="310">
        <f>IF(tabItens[[#This Row],[Média]] &gt; 0, tabItens[[#This Row],[QTDE ATUAL]] / tabItens[[#This Row],[Média]],999.9)</f>
        <v>48</v>
      </c>
      <c r="M935" s="311">
        <v>0</v>
      </c>
      <c r="N935" s="312">
        <f>tabItens[[#This Row],[VALOR UNIT.]] * tabItens[[#This Row],[LC]]</f>
        <v>0</v>
      </c>
      <c r="O935" s="313"/>
      <c r="P935" s="314"/>
      <c r="Q935" s="315"/>
      <c r="R935" s="312"/>
      <c r="S935" s="316"/>
      <c r="T935" s="317">
        <f>ROUNDDOWN(IFERROR(tabItens[[#This Row],[ATA DT.VALID.]] - $D$1,0) / 30,0)</f>
        <v>-1474</v>
      </c>
      <c r="U935" s="302" t="s">
        <v>1492</v>
      </c>
      <c r="V935" s="318">
        <v>1</v>
      </c>
      <c r="W935" s="319" t="s">
        <v>2081</v>
      </c>
      <c r="X935" s="320">
        <v>54</v>
      </c>
      <c r="Y935" s="321">
        <v>4</v>
      </c>
      <c r="Z935" s="322"/>
      <c r="AA935" s="323"/>
      <c r="AB935" s="324"/>
      <c r="AC935" s="324"/>
      <c r="AD935" s="323"/>
      <c r="AE935" s="324"/>
      <c r="AF935" s="317"/>
      <c r="AG935" s="325" t="s">
        <v>2072</v>
      </c>
      <c r="AH935" s="326"/>
      <c r="AI935" s="317">
        <v>0</v>
      </c>
      <c r="AJ935" s="326">
        <v>43819</v>
      </c>
      <c r="AK935" s="326">
        <v>43572</v>
      </c>
      <c r="AL935" s="326">
        <v>44461</v>
      </c>
      <c r="AM935" s="316"/>
      <c r="AN935" s="305"/>
      <c r="AO935" s="327" t="str">
        <f>_xlfn.IFNA(IF(VLOOKUP(tabItens[[#This Row],[CÓDIGO]],tabExcluirDoEstoque[#Data],1,FALSE),"sim",""),"")</f>
        <v>sim</v>
      </c>
      <c r="AP935" s="328" t="str">
        <f ca="1">IF(OR(ISBLANK(tabItens[[#This Row],[ATA DT.VALID.]]),tabItens[[#This Row],[ATA DT.VALID.]]="",tabItens[[#This Row],[ATA DT.VALID.]]=" "),"",IF(TYPE(tabItens[[#This Row],[ATA DT.VALID.]])=1,ROUNDUP((tabItens[[#This Row],[ATA DT.VALID.]]-TODAY())/7,0),""))</f>
        <v/>
      </c>
      <c r="AQ935" s="329"/>
      <c r="AR935" s="330" t="str">
        <f>IF(ISBLANK(tabItens[[#This Row],[CÓDIGO]]),"",IFERROR(VLOOKUP(tabItens[[#This Row],[CÓDIGO]],Consumo!$C$2:$AC$862,26,FALSE),0))</f>
        <v>09.2023</v>
      </c>
      <c r="AS935" s="331">
        <f>SUMIF(Consumo!$C$3:$C$862,tabItens[[#This Row],[CÓDIGO]],Consumo!$N$3:$N$862) + SUMIF(Consumo!$C$3:$C$862,tabItens[[#This Row],[CÓDIGO]],Consumo!$O$3:$O$862) + SUMIF(Consumo!$C$3:$C$862,tabItens[[#This Row],[CÓDIGO]],Consumo!$P$3:$P$862) + SUMIF(Consumo!$C$3:$C$862,tabItens[[#This Row],[CÓDIGO]],Consumo!$Q$3:$Q$862)</f>
        <v>3</v>
      </c>
      <c r="AT935" s="331">
        <f>SUMIF(Consumo!$C$3:$C$862,tabItens[[#This Row],[CÓDIGO]],Consumo!$Z$3:$Z$862)</f>
        <v>3</v>
      </c>
      <c r="AU935" s="332">
        <f>SUMIF(Consumo!$C$3:$C$862,tabItens[[#This Row],[CÓDIGO]],Consumo!$AA$3:$AA$862)</f>
        <v>3</v>
      </c>
      <c r="AV935" s="333">
        <f>SUMIF(Consumo!$C$3:$C$862,tabItens[[#This Row],[CÓDIGO]],Consumo!$Y$3:$Y$862)</f>
        <v>8.3333333333333329E-2</v>
      </c>
      <c r="AW935" s="306">
        <f>tabItens[[#This Row],[QTDE ATUAL]] + tabItens[[#This Row],[RC QTDE]] + tabItens[[#This Row],[AF SALDO]] + tabItens[[#This Row],[Recentes]]</f>
        <v>4</v>
      </c>
      <c r="AX935" s="334">
        <v>0</v>
      </c>
      <c r="AY935" s="334">
        <v>4</v>
      </c>
      <c r="AZ935" s="334">
        <f>IF(ISBLANK(tabItens[[#This Row],[CÓDIGO]]),"",tabItens[[#This Row],[PontoMês]] * (AZ$2+tabItens[[#This Row],[PontoQtM]]))</f>
        <v>0</v>
      </c>
      <c r="BA935" s="333">
        <f>tabItens[[#This Row],[PontoPed]] - tabItens[[#This Row],[Saldo]] + (1/10)</f>
        <v>-3.9</v>
      </c>
      <c r="BB935" s="333">
        <f xml:space="preserve"> tabItens[[#This Row],[PontoMês]] * BB$2 - tabItens[[#This Row],[QTDE ATUAL]] - (1/10)</f>
        <v>-4.0999999999999996</v>
      </c>
      <c r="BC935" s="335">
        <f>IF( tabItens[[#This Row],[PontoPed]]&gt;0, IF(tabItens[[#This Row],[PontoPed]]&lt;1, 1, IF( tabItens[[#This Row],[Saldo]]&gt;tabItens[[#This Row],[PontoPed]], 0, (tabItens[[#This Row],[PontoPed]]-tabItens[[#This Row],[Saldo]])/tabItens[[#This Row],[PontoPed]] ) ), 0 )</f>
        <v>0</v>
      </c>
      <c r="BD935" s="336">
        <f>ROUNDDOWN(IF( OR( AND(tabItens[[#This Row],[PontoPed]]&lt;tabItens[[#This Row],[Saldo]],tabItens[[#This Row],[Saldo]]&gt;0), tabItens[[#This Row],[PontoPed]]=0), 99, IF(AND(tabItens[[#This Row],[Saldo]]=0,tabItens[[#This Row],[PontoPed]]&gt;0), 0, (1-tabItens[[#This Row],[PctAb]])*10 ) ),0)</f>
        <v>99</v>
      </c>
      <c r="BE935" s="337">
        <f>MAX(ROUNDDOWN( IF(tabItens[[#This Row],[Abaixo]] &gt; 0,   tabItens[[#This Row],[Abaixo]] + (tabItens[[#This Row],[PontoMês]] * IF( OR( ISBLANK(tabItens[[#This Row],[ATA Nº/ANO]]), tabItens[[#This Row],[ATA Nº/ANO]] = ""),BE$2,BE$1)),0),0),0)</f>
        <v>0</v>
      </c>
      <c r="BF93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5" s="338">
        <f>SUMIF(Consumo!$C$3:$C$862,tabItens[[#This Row],[CÓDIGO]],Consumo!$E$3:$E$862)</f>
        <v>0</v>
      </c>
      <c r="BH935" s="339">
        <f>IF(AND(tabItens[[#This Row],[Pend]] &gt; 0,tabItens[[#This Row],[Consumo]] &lt;&gt; 0), tabItens[[#This Row],[Pend]] / tabItens[[#This Row],[Consumo]], 0 )</f>
        <v>0</v>
      </c>
      <c r="BI935" s="338"/>
      <c r="BJ935" s="338"/>
      <c r="BK935" s="340" t="s">
        <v>2086</v>
      </c>
    </row>
    <row r="936" spans="1:63" hidden="1" x14ac:dyDescent="0.3">
      <c r="A936" s="301">
        <v>38648</v>
      </c>
      <c r="B936" s="302" t="s">
        <v>444</v>
      </c>
      <c r="C936" s="303" t="s">
        <v>272</v>
      </c>
      <c r="D936" s="304">
        <v>5.33</v>
      </c>
      <c r="E936" s="305"/>
      <c r="F936" s="305"/>
      <c r="G936" s="305" t="s">
        <v>889</v>
      </c>
      <c r="H936" s="306">
        <v>308</v>
      </c>
      <c r="I936" s="307">
        <v>103003</v>
      </c>
      <c r="J936" s="308">
        <v>5.33</v>
      </c>
      <c r="K936" s="309"/>
      <c r="L936" s="310">
        <f>IF(tabItens[[#This Row],[Média]] &gt; 0, tabItens[[#This Row],[QTDE ATUAL]] / tabItens[[#This Row],[Média]],999.9)</f>
        <v>999.9</v>
      </c>
      <c r="M936" s="311">
        <v>0</v>
      </c>
      <c r="N936" s="312">
        <f>tabItens[[#This Row],[VALOR UNIT.]] * tabItens[[#This Row],[LC]]</f>
        <v>0</v>
      </c>
      <c r="O936" s="313"/>
      <c r="P936" s="314"/>
      <c r="Q936" s="315"/>
      <c r="R936" s="312"/>
      <c r="S936" s="316"/>
      <c r="T936" s="317">
        <f>ROUNDDOWN(IFERROR(tabItens[[#This Row],[ATA DT.VALID.]] - $D$1,0) / 30,0)</f>
        <v>-1474</v>
      </c>
      <c r="U936" s="302" t="s">
        <v>1271</v>
      </c>
      <c r="V936" s="318">
        <v>1</v>
      </c>
      <c r="W936" s="319" t="s">
        <v>2073</v>
      </c>
      <c r="X936" s="320">
        <v>59</v>
      </c>
      <c r="Y936" s="321">
        <v>18</v>
      </c>
      <c r="Z936" s="322"/>
      <c r="AA936" s="323"/>
      <c r="AB936" s="324"/>
      <c r="AC936" s="324"/>
      <c r="AD936" s="323"/>
      <c r="AE936" s="324"/>
      <c r="AF936" s="317"/>
      <c r="AG936" s="325" t="s">
        <v>2072</v>
      </c>
      <c r="AH936" s="326"/>
      <c r="AI936" s="317">
        <v>0</v>
      </c>
      <c r="AJ936" s="326">
        <v>44034</v>
      </c>
      <c r="AK936" s="326" t="s">
        <v>889</v>
      </c>
      <c r="AL936" s="326">
        <v>44027</v>
      </c>
      <c r="AM936" s="316"/>
      <c r="AN936" s="305"/>
      <c r="AO936" s="327" t="str">
        <f>_xlfn.IFNA(IF(VLOOKUP(tabItens[[#This Row],[CÓDIGO]],tabExcluirDoEstoque[#Data],1,FALSE),"sim",""),"")</f>
        <v>sim</v>
      </c>
      <c r="AP936" s="328" t="str">
        <f ca="1">IF(OR(ISBLANK(tabItens[[#This Row],[ATA DT.VALID.]]),tabItens[[#This Row],[ATA DT.VALID.]]="",tabItens[[#This Row],[ATA DT.VALID.]]=" "),"",IF(TYPE(tabItens[[#This Row],[ATA DT.VALID.]])=1,ROUNDUP((tabItens[[#This Row],[ATA DT.VALID.]]-TODAY())/7,0),""))</f>
        <v/>
      </c>
      <c r="AQ936" s="329"/>
      <c r="AR936" s="330">
        <f>IF(ISBLANK(tabItens[[#This Row],[CÓDIGO]]),"",IFERROR(VLOOKUP(tabItens[[#This Row],[CÓDIGO]],Consumo!$C$2:$AC$862,26,FALSE),0))</f>
        <v>0</v>
      </c>
      <c r="AS936" s="331">
        <f>SUMIF(Consumo!$C$3:$C$862,tabItens[[#This Row],[CÓDIGO]],Consumo!$N$3:$N$862) + SUMIF(Consumo!$C$3:$C$862,tabItens[[#This Row],[CÓDIGO]],Consumo!$O$3:$O$862) + SUMIF(Consumo!$C$3:$C$862,tabItens[[#This Row],[CÓDIGO]],Consumo!$P$3:$P$862) + SUMIF(Consumo!$C$3:$C$862,tabItens[[#This Row],[CÓDIGO]],Consumo!$Q$3:$Q$862)</f>
        <v>0</v>
      </c>
      <c r="AT936" s="331">
        <f>SUMIF(Consumo!$C$3:$C$862,tabItens[[#This Row],[CÓDIGO]],Consumo!$Z$3:$Z$862)</f>
        <v>0</v>
      </c>
      <c r="AU936" s="332">
        <f>SUMIF(Consumo!$C$3:$C$862,tabItens[[#This Row],[CÓDIGO]],Consumo!$AA$3:$AA$862)</f>
        <v>0</v>
      </c>
      <c r="AV936" s="333">
        <f>SUMIF(Consumo!$C$3:$C$862,tabItens[[#This Row],[CÓDIGO]],Consumo!$Y$3:$Y$862)</f>
        <v>0</v>
      </c>
      <c r="AW936" s="306">
        <f>tabItens[[#This Row],[QTDE ATUAL]] + tabItens[[#This Row],[RC QTDE]] + tabItens[[#This Row],[AF SALDO]] + tabItens[[#This Row],[Recentes]]</f>
        <v>308</v>
      </c>
      <c r="AX936" s="334">
        <v>17</v>
      </c>
      <c r="AY936" s="334">
        <v>4</v>
      </c>
      <c r="AZ936" s="334">
        <f>IF(ISBLANK(tabItens[[#This Row],[CÓDIGO]]),"",tabItens[[#This Row],[PontoMês]] * (AZ$2+tabItens[[#This Row],[PontoQtM]]))</f>
        <v>68</v>
      </c>
      <c r="BA936" s="333">
        <f>tabItens[[#This Row],[PontoPed]] - tabItens[[#This Row],[Saldo]] + (1/10)</f>
        <v>-239.9</v>
      </c>
      <c r="BB936" s="333">
        <f xml:space="preserve"> tabItens[[#This Row],[PontoMês]] * BB$2 - tabItens[[#This Row],[QTDE ATUAL]] - (1/10)</f>
        <v>-291.10000000000002</v>
      </c>
      <c r="BC936" s="335">
        <f>IF( tabItens[[#This Row],[PontoPed]]&gt;0, IF(tabItens[[#This Row],[PontoPed]]&lt;1, 1, IF( tabItens[[#This Row],[Saldo]]&gt;tabItens[[#This Row],[PontoPed]], 0, (tabItens[[#This Row],[PontoPed]]-tabItens[[#This Row],[Saldo]])/tabItens[[#This Row],[PontoPed]] ) ), 0 )</f>
        <v>0</v>
      </c>
      <c r="BD936" s="336">
        <f>ROUNDDOWN(IF( OR( AND(tabItens[[#This Row],[PontoPed]]&lt;tabItens[[#This Row],[Saldo]],tabItens[[#This Row],[Saldo]]&gt;0), tabItens[[#This Row],[PontoPed]]=0), 99, IF(AND(tabItens[[#This Row],[Saldo]]=0,tabItens[[#This Row],[PontoPed]]&gt;0), 0, (1-tabItens[[#This Row],[PctAb]])*10 ) ),0)</f>
        <v>99</v>
      </c>
      <c r="BE936" s="337">
        <f>MAX(ROUNDDOWN( IF(tabItens[[#This Row],[Abaixo]] &gt; 0,   tabItens[[#This Row],[Abaixo]] + (tabItens[[#This Row],[PontoMês]] * IF( OR( ISBLANK(tabItens[[#This Row],[ATA Nº/ANO]]), tabItens[[#This Row],[ATA Nº/ANO]] = ""),BE$2,BE$1)),0),0),0)</f>
        <v>0</v>
      </c>
      <c r="BF93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6" s="338">
        <f>SUMIF(Consumo!$C$3:$C$862,tabItens[[#This Row],[CÓDIGO]],Consumo!$E$3:$E$862)</f>
        <v>0</v>
      </c>
      <c r="BH936" s="339">
        <f>IF(AND(tabItens[[#This Row],[Pend]] &gt; 0,tabItens[[#This Row],[Consumo]] &lt;&gt; 0), tabItens[[#This Row],[Pend]] / tabItens[[#This Row],[Consumo]], 0 )</f>
        <v>0</v>
      </c>
      <c r="BI936" s="338"/>
      <c r="BJ936" s="338"/>
      <c r="BK936" s="340" t="s">
        <v>2086</v>
      </c>
    </row>
    <row r="937" spans="1:63" hidden="1" x14ac:dyDescent="0.3">
      <c r="A937" s="301">
        <v>103490</v>
      </c>
      <c r="B937" s="302" t="s">
        <v>655</v>
      </c>
      <c r="C937" s="303" t="s">
        <v>260</v>
      </c>
      <c r="D937" s="304">
        <v>416.18</v>
      </c>
      <c r="E937" s="305"/>
      <c r="F937" s="305"/>
      <c r="G937" s="305" t="s">
        <v>889</v>
      </c>
      <c r="H937" s="306">
        <v>3</v>
      </c>
      <c r="I937" s="307">
        <v>103003</v>
      </c>
      <c r="J937" s="308">
        <v>416.18</v>
      </c>
      <c r="K937" s="309"/>
      <c r="L937" s="310">
        <f>IF(tabItens[[#This Row],[Média]] &gt; 0, tabItens[[#This Row],[QTDE ATUAL]] / tabItens[[#This Row],[Média]],999.9)</f>
        <v>999.9</v>
      </c>
      <c r="M937" s="311">
        <v>0</v>
      </c>
      <c r="N937" s="312">
        <f>tabItens[[#This Row],[VALOR UNIT.]] * tabItens[[#This Row],[LC]]</f>
        <v>0</v>
      </c>
      <c r="O937" s="313"/>
      <c r="P937" s="314"/>
      <c r="Q937" s="315"/>
      <c r="R937" s="312"/>
      <c r="S937" s="316"/>
      <c r="T937" s="317">
        <f>ROUNDDOWN(IFERROR(tabItens[[#This Row],[ATA DT.VALID.]] - $D$1,0) / 30,0)</f>
        <v>-1474</v>
      </c>
      <c r="U937" s="302" t="s">
        <v>1271</v>
      </c>
      <c r="V937" s="318">
        <v>1</v>
      </c>
      <c r="W937" s="319" t="s">
        <v>2073</v>
      </c>
      <c r="X937" s="320">
        <v>59</v>
      </c>
      <c r="Y937" s="321">
        <v>18</v>
      </c>
      <c r="Z937" s="322"/>
      <c r="AA937" s="323"/>
      <c r="AB937" s="324"/>
      <c r="AC937" s="324"/>
      <c r="AD937" s="323"/>
      <c r="AE937" s="324"/>
      <c r="AF937" s="317"/>
      <c r="AG937" s="325" t="s">
        <v>2072</v>
      </c>
      <c r="AH937" s="326"/>
      <c r="AI937" s="317">
        <v>0</v>
      </c>
      <c r="AJ937" s="326">
        <v>40511</v>
      </c>
      <c r="AK937" s="326">
        <v>39407</v>
      </c>
      <c r="AL937" s="326">
        <v>44516</v>
      </c>
      <c r="AM937" s="316"/>
      <c r="AN937" s="305"/>
      <c r="AO937" s="327" t="str">
        <f>_xlfn.IFNA(IF(VLOOKUP(tabItens[[#This Row],[CÓDIGO]],tabExcluirDoEstoque[#Data],1,FALSE),"sim",""),"")</f>
        <v>sim</v>
      </c>
      <c r="AP937" s="328" t="str">
        <f ca="1">IF(OR(ISBLANK(tabItens[[#This Row],[ATA DT.VALID.]]),tabItens[[#This Row],[ATA DT.VALID.]]="",tabItens[[#This Row],[ATA DT.VALID.]]=" "),"",IF(TYPE(tabItens[[#This Row],[ATA DT.VALID.]])=1,ROUNDUP((tabItens[[#This Row],[ATA DT.VALID.]]-TODAY())/7,0),""))</f>
        <v/>
      </c>
      <c r="AQ937" s="329"/>
      <c r="AR937" s="330">
        <f>IF(ISBLANK(tabItens[[#This Row],[CÓDIGO]]),"",IFERROR(VLOOKUP(tabItens[[#This Row],[CÓDIGO]],Consumo!$C$2:$AC$862,26,FALSE),0))</f>
        <v>0</v>
      </c>
      <c r="AS937" s="331">
        <f>SUMIF(Consumo!$C$3:$C$862,tabItens[[#This Row],[CÓDIGO]],Consumo!$N$3:$N$862) + SUMIF(Consumo!$C$3:$C$862,tabItens[[#This Row],[CÓDIGO]],Consumo!$O$3:$O$862) + SUMIF(Consumo!$C$3:$C$862,tabItens[[#This Row],[CÓDIGO]],Consumo!$P$3:$P$862) + SUMIF(Consumo!$C$3:$C$862,tabItens[[#This Row],[CÓDIGO]],Consumo!$Q$3:$Q$862)</f>
        <v>0</v>
      </c>
      <c r="AT937" s="331">
        <f>SUMIF(Consumo!$C$3:$C$862,tabItens[[#This Row],[CÓDIGO]],Consumo!$Z$3:$Z$862)</f>
        <v>0</v>
      </c>
      <c r="AU937" s="332">
        <f>SUMIF(Consumo!$C$3:$C$862,tabItens[[#This Row],[CÓDIGO]],Consumo!$AA$3:$AA$862)</f>
        <v>0</v>
      </c>
      <c r="AV937" s="333">
        <f>SUMIF(Consumo!$C$3:$C$862,tabItens[[#This Row],[CÓDIGO]],Consumo!$Y$3:$Y$862)</f>
        <v>0</v>
      </c>
      <c r="AW937" s="306">
        <f>tabItens[[#This Row],[QTDE ATUAL]] + tabItens[[#This Row],[RC QTDE]] + tabItens[[#This Row],[AF SALDO]] + tabItens[[#This Row],[Recentes]]</f>
        <v>3</v>
      </c>
      <c r="AX937" s="334">
        <v>1</v>
      </c>
      <c r="AY937" s="334">
        <v>4</v>
      </c>
      <c r="AZ937" s="334">
        <f>IF(ISBLANK(tabItens[[#This Row],[CÓDIGO]]),"",tabItens[[#This Row],[PontoMês]] * (AZ$2+tabItens[[#This Row],[PontoQtM]]))</f>
        <v>4</v>
      </c>
      <c r="BA937" s="333">
        <f>tabItens[[#This Row],[PontoPed]] - tabItens[[#This Row],[Saldo]] + (1/10)</f>
        <v>1.1000000000000001</v>
      </c>
      <c r="BB937" s="333">
        <f xml:space="preserve"> tabItens[[#This Row],[PontoMês]] * BB$2 - tabItens[[#This Row],[QTDE ATUAL]] - (1/10)</f>
        <v>-2.1</v>
      </c>
      <c r="BC937" s="335">
        <f>IF( tabItens[[#This Row],[PontoPed]]&gt;0, IF(tabItens[[#This Row],[PontoPed]]&lt;1, 1, IF( tabItens[[#This Row],[Saldo]]&gt;tabItens[[#This Row],[PontoPed]], 0, (tabItens[[#This Row],[PontoPed]]-tabItens[[#This Row],[Saldo]])/tabItens[[#This Row],[PontoPed]] ) ), 0 )</f>
        <v>0.25</v>
      </c>
      <c r="BD937" s="336">
        <f>ROUNDDOWN(IF( OR( AND(tabItens[[#This Row],[PontoPed]]&lt;tabItens[[#This Row],[Saldo]],tabItens[[#This Row],[Saldo]]&gt;0), tabItens[[#This Row],[PontoPed]]=0), 99, IF(AND(tabItens[[#This Row],[Saldo]]=0,tabItens[[#This Row],[PontoPed]]&gt;0), 0, (1-tabItens[[#This Row],[PctAb]])*10 ) ),0)</f>
        <v>7</v>
      </c>
      <c r="BE937" s="337">
        <f>MAX(ROUNDDOWN( IF(tabItens[[#This Row],[Abaixo]] &gt; 0,   tabItens[[#This Row],[Abaixo]] + (tabItens[[#This Row],[PontoMês]] * IF( OR( ISBLANK(tabItens[[#This Row],[ATA Nº/ANO]]), tabItens[[#This Row],[ATA Nº/ANO]] = ""),BE$2,BE$1)),0),0),0)</f>
        <v>7</v>
      </c>
      <c r="BF937"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v>
      </c>
      <c r="BG937" s="338">
        <f>SUMIF(Consumo!$C$3:$C$862,tabItens[[#This Row],[CÓDIGO]],Consumo!$E$3:$E$862)</f>
        <v>0</v>
      </c>
      <c r="BH937" s="339">
        <f>IF(AND(tabItens[[#This Row],[Pend]] &gt; 0,tabItens[[#This Row],[Consumo]] &lt;&gt; 0), tabItens[[#This Row],[Pend]] / tabItens[[#This Row],[Consumo]], 0 )</f>
        <v>0</v>
      </c>
      <c r="BI937" s="338"/>
      <c r="BJ937" s="338"/>
      <c r="BK937" s="340" t="s">
        <v>2086</v>
      </c>
    </row>
    <row r="938" spans="1:63" hidden="1" x14ac:dyDescent="0.3">
      <c r="A938" s="301">
        <v>119087</v>
      </c>
      <c r="B938" s="302" t="s">
        <v>741</v>
      </c>
      <c r="C938" s="303" t="s">
        <v>263</v>
      </c>
      <c r="D938" s="304">
        <v>5.48</v>
      </c>
      <c r="E938" s="305"/>
      <c r="F938" s="305"/>
      <c r="G938" s="305" t="s">
        <v>889</v>
      </c>
      <c r="H938" s="306">
        <v>255</v>
      </c>
      <c r="I938" s="307">
        <v>103003</v>
      </c>
      <c r="J938" s="308">
        <v>5.48</v>
      </c>
      <c r="K938" s="309">
        <v>30</v>
      </c>
      <c r="L938" s="310">
        <f>IF(tabItens[[#This Row],[Média]] &gt; 0, tabItens[[#This Row],[QTDE ATUAL]] / tabItens[[#This Row],[Média]],999.9)</f>
        <v>161.05263157894737</v>
      </c>
      <c r="M938" s="311">
        <v>0</v>
      </c>
      <c r="N938" s="312">
        <f>tabItens[[#This Row],[VALOR UNIT.]] * tabItens[[#This Row],[LC]]</f>
        <v>0</v>
      </c>
      <c r="O938" s="313"/>
      <c r="P938" s="314"/>
      <c r="Q938" s="315"/>
      <c r="R938" s="312"/>
      <c r="S938" s="316"/>
      <c r="T938" s="317">
        <f>ROUNDDOWN(IFERROR(tabItens[[#This Row],[ATA DT.VALID.]] - $D$1,0) / 30,0)</f>
        <v>-1474</v>
      </c>
      <c r="U938" s="302" t="s">
        <v>1271</v>
      </c>
      <c r="V938" s="318">
        <v>1</v>
      </c>
      <c r="W938" s="319" t="s">
        <v>2073</v>
      </c>
      <c r="X938" s="320">
        <v>59</v>
      </c>
      <c r="Y938" s="321">
        <v>18</v>
      </c>
      <c r="Z938" s="322"/>
      <c r="AA938" s="323"/>
      <c r="AB938" s="324"/>
      <c r="AC938" s="324"/>
      <c r="AD938" s="323"/>
      <c r="AE938" s="324"/>
      <c r="AF938" s="317"/>
      <c r="AG938" s="325" t="s">
        <v>2072</v>
      </c>
      <c r="AH938" s="326"/>
      <c r="AI938" s="317">
        <v>18</v>
      </c>
      <c r="AJ938" s="326">
        <v>40842</v>
      </c>
      <c r="AK938" s="326">
        <v>40575</v>
      </c>
      <c r="AL938" s="326">
        <v>40834</v>
      </c>
      <c r="AM938" s="316"/>
      <c r="AN938" s="305"/>
      <c r="AO938" s="327" t="str">
        <f>_xlfn.IFNA(IF(VLOOKUP(tabItens[[#This Row],[CÓDIGO]],tabExcluirDoEstoque[#Data],1,FALSE),"sim",""),"")</f>
        <v>sim</v>
      </c>
      <c r="AP938" s="328" t="str">
        <f ca="1">IF(OR(ISBLANK(tabItens[[#This Row],[ATA DT.VALID.]]),tabItens[[#This Row],[ATA DT.VALID.]]="",tabItens[[#This Row],[ATA DT.VALID.]]=" "),"",IF(TYPE(tabItens[[#This Row],[ATA DT.VALID.]])=1,ROUNDUP((tabItens[[#This Row],[ATA DT.VALID.]]-TODAY())/7,0),""))</f>
        <v/>
      </c>
      <c r="AQ938" s="329"/>
      <c r="AR938" s="330" t="str">
        <f>IF(ISBLANK(tabItens[[#This Row],[CÓDIGO]]),"",IFERROR(VLOOKUP(tabItens[[#This Row],[CÓDIGO]],Consumo!$C$2:$AC$862,26,FALSE),0))</f>
        <v>05.2023</v>
      </c>
      <c r="AS938" s="331">
        <f>SUMIF(Consumo!$C$3:$C$862,tabItens[[#This Row],[CÓDIGO]],Consumo!$N$3:$N$862) + SUMIF(Consumo!$C$3:$C$862,tabItens[[#This Row],[CÓDIGO]],Consumo!$O$3:$O$862) + SUMIF(Consumo!$C$3:$C$862,tabItens[[#This Row],[CÓDIGO]],Consumo!$P$3:$P$862) + SUMIF(Consumo!$C$3:$C$862,tabItens[[#This Row],[CÓDIGO]],Consumo!$Q$3:$Q$862)</f>
        <v>0</v>
      </c>
      <c r="AT938" s="331">
        <f>SUMIF(Consumo!$C$3:$C$862,tabItens[[#This Row],[CÓDIGO]],Consumo!$Z$3:$Z$862)</f>
        <v>30</v>
      </c>
      <c r="AU938" s="332">
        <f>SUMIF(Consumo!$C$3:$C$862,tabItens[[#This Row],[CÓDIGO]],Consumo!$AA$3:$AA$862)</f>
        <v>30</v>
      </c>
      <c r="AV938" s="333">
        <f>SUMIF(Consumo!$C$3:$C$862,tabItens[[#This Row],[CÓDIGO]],Consumo!$Y$3:$Y$862)</f>
        <v>1.5833333333333333</v>
      </c>
      <c r="AW938" s="306">
        <f>tabItens[[#This Row],[QTDE ATUAL]] + tabItens[[#This Row],[RC QTDE]] + tabItens[[#This Row],[AF SALDO]] + tabItens[[#This Row],[Recentes]]</f>
        <v>255</v>
      </c>
      <c r="AX938" s="334">
        <v>1</v>
      </c>
      <c r="AY938" s="334">
        <v>4</v>
      </c>
      <c r="AZ938" s="334">
        <f>IF(ISBLANK(tabItens[[#This Row],[CÓDIGO]]),"",tabItens[[#This Row],[PontoMês]] * (AZ$2+tabItens[[#This Row],[PontoQtM]]))</f>
        <v>4</v>
      </c>
      <c r="BA938" s="333">
        <f>tabItens[[#This Row],[PontoPed]] - tabItens[[#This Row],[Saldo]] + (1/10)</f>
        <v>-250.9</v>
      </c>
      <c r="BB938" s="333">
        <f xml:space="preserve"> tabItens[[#This Row],[PontoMês]] * BB$2 - tabItens[[#This Row],[QTDE ATUAL]] - (1/10)</f>
        <v>-254.1</v>
      </c>
      <c r="BC938" s="335">
        <f>IF( tabItens[[#This Row],[PontoPed]]&gt;0, IF(tabItens[[#This Row],[PontoPed]]&lt;1, 1, IF( tabItens[[#This Row],[Saldo]]&gt;tabItens[[#This Row],[PontoPed]], 0, (tabItens[[#This Row],[PontoPed]]-tabItens[[#This Row],[Saldo]])/tabItens[[#This Row],[PontoPed]] ) ), 0 )</f>
        <v>0</v>
      </c>
      <c r="BD938" s="336">
        <f>ROUNDDOWN(IF( OR( AND(tabItens[[#This Row],[PontoPed]]&lt;tabItens[[#This Row],[Saldo]],tabItens[[#This Row],[Saldo]]&gt;0), tabItens[[#This Row],[PontoPed]]=0), 99, IF(AND(tabItens[[#This Row],[Saldo]]=0,tabItens[[#This Row],[PontoPed]]&gt;0), 0, (1-tabItens[[#This Row],[PctAb]])*10 ) ),0)</f>
        <v>99</v>
      </c>
      <c r="BE938" s="337">
        <f>MAX(ROUNDDOWN( IF(tabItens[[#This Row],[Abaixo]] &gt; 0,   tabItens[[#This Row],[Abaixo]] + (tabItens[[#This Row],[PontoMês]] * IF( OR( ISBLANK(tabItens[[#This Row],[ATA Nº/ANO]]), tabItens[[#This Row],[ATA Nº/ANO]] = ""),BE$2,BE$1)),0),0),0)</f>
        <v>0</v>
      </c>
      <c r="BF938"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8" s="338">
        <f>SUMIF(Consumo!$C$3:$C$862,tabItens[[#This Row],[CÓDIGO]],Consumo!$E$3:$E$862)</f>
        <v>0</v>
      </c>
      <c r="BH938" s="339">
        <f>IF(AND(tabItens[[#This Row],[Pend]] &gt; 0,tabItens[[#This Row],[Consumo]] &lt;&gt; 0), tabItens[[#This Row],[Pend]] / tabItens[[#This Row],[Consumo]], 0 )</f>
        <v>0</v>
      </c>
      <c r="BI938" s="338"/>
      <c r="BJ938" s="338"/>
      <c r="BK938" s="340" t="s">
        <v>2086</v>
      </c>
    </row>
    <row r="939" spans="1:63" hidden="1" x14ac:dyDescent="0.3">
      <c r="A939" s="301">
        <v>13021</v>
      </c>
      <c r="B939" s="302" t="s">
        <v>313</v>
      </c>
      <c r="C939" s="303" t="s">
        <v>269</v>
      </c>
      <c r="D939" s="304">
        <v>0.95</v>
      </c>
      <c r="E939" s="305"/>
      <c r="F939" s="305"/>
      <c r="G939" s="305" t="s">
        <v>889</v>
      </c>
      <c r="H939" s="306">
        <v>250</v>
      </c>
      <c r="I939" s="307">
        <v>103003</v>
      </c>
      <c r="J939" s="308">
        <v>1.27</v>
      </c>
      <c r="K939" s="309">
        <v>4</v>
      </c>
      <c r="L939" s="310">
        <f>IF(tabItens[[#This Row],[Média]] &gt; 0, tabItens[[#This Row],[QTDE ATUAL]] / tabItens[[#This Row],[Média]],999.9)</f>
        <v>1500</v>
      </c>
      <c r="M939" s="311">
        <v>0</v>
      </c>
      <c r="N939" s="312">
        <f>tabItens[[#This Row],[VALOR UNIT.]] * tabItens[[#This Row],[LC]]</f>
        <v>0</v>
      </c>
      <c r="O939" s="313"/>
      <c r="P939" s="314"/>
      <c r="Q939" s="315"/>
      <c r="R939" s="312"/>
      <c r="S939" s="316"/>
      <c r="T939" s="317">
        <f>ROUNDDOWN(IFERROR(tabItens[[#This Row],[ATA DT.VALID.]] - $D$1,0) / 30,0)</f>
        <v>-1474</v>
      </c>
      <c r="U939" s="302" t="s">
        <v>991</v>
      </c>
      <c r="V939" s="318">
        <v>1</v>
      </c>
      <c r="W939" s="319" t="s">
        <v>2071</v>
      </c>
      <c r="X939" s="320">
        <v>67</v>
      </c>
      <c r="Y939" s="321">
        <v>6</v>
      </c>
      <c r="Z939" s="322"/>
      <c r="AA939" s="323"/>
      <c r="AB939" s="324"/>
      <c r="AC939" s="324"/>
      <c r="AD939" s="323"/>
      <c r="AE939" s="324"/>
      <c r="AF939" s="317"/>
      <c r="AG939" s="325" t="s">
        <v>2072</v>
      </c>
      <c r="AH939" s="326"/>
      <c r="AI939" s="317">
        <v>0</v>
      </c>
      <c r="AJ939" s="326" t="s">
        <v>889</v>
      </c>
      <c r="AK939" s="326" t="s">
        <v>889</v>
      </c>
      <c r="AL939" s="326">
        <v>35536</v>
      </c>
      <c r="AM939" s="316"/>
      <c r="AN939" s="305"/>
      <c r="AO939" s="327" t="str">
        <f>_xlfn.IFNA(IF(VLOOKUP(tabItens[[#This Row],[CÓDIGO]],tabExcluirDoEstoque[#Data],1,FALSE),"sim",""),"")</f>
        <v>sim</v>
      </c>
      <c r="AP939" s="328" t="str">
        <f ca="1">IF(OR(ISBLANK(tabItens[[#This Row],[ATA DT.VALID.]]),tabItens[[#This Row],[ATA DT.VALID.]]="",tabItens[[#This Row],[ATA DT.VALID.]]=" "),"",IF(TYPE(tabItens[[#This Row],[ATA DT.VALID.]])=1,ROUNDUP((tabItens[[#This Row],[ATA DT.VALID.]]-TODAY())/7,0),""))</f>
        <v/>
      </c>
      <c r="AQ939" s="329"/>
      <c r="AR939" s="330" t="str">
        <f>IF(ISBLANK(tabItens[[#This Row],[CÓDIGO]]),"",IFERROR(VLOOKUP(tabItens[[#This Row],[CÓDIGO]],Consumo!$C$2:$AC$862,26,FALSE),0))</f>
        <v>09.2023</v>
      </c>
      <c r="AS939" s="331">
        <f>SUMIF(Consumo!$C$3:$C$862,tabItens[[#This Row],[CÓDIGO]],Consumo!$N$3:$N$862) + SUMIF(Consumo!$C$3:$C$862,tabItens[[#This Row],[CÓDIGO]],Consumo!$O$3:$O$862) + SUMIF(Consumo!$C$3:$C$862,tabItens[[#This Row],[CÓDIGO]],Consumo!$P$3:$P$862) + SUMIF(Consumo!$C$3:$C$862,tabItens[[#This Row],[CÓDIGO]],Consumo!$Q$3:$Q$862)</f>
        <v>4</v>
      </c>
      <c r="AT939" s="331">
        <f>SUMIF(Consumo!$C$3:$C$862,tabItens[[#This Row],[CÓDIGO]],Consumo!$Z$3:$Z$862)</f>
        <v>4</v>
      </c>
      <c r="AU939" s="332">
        <f>SUMIF(Consumo!$C$3:$C$862,tabItens[[#This Row],[CÓDIGO]],Consumo!$AA$3:$AA$862)</f>
        <v>4</v>
      </c>
      <c r="AV939" s="333">
        <f>SUMIF(Consumo!$C$3:$C$862,tabItens[[#This Row],[CÓDIGO]],Consumo!$Y$3:$Y$862)</f>
        <v>0.16666666666666666</v>
      </c>
      <c r="AW939" s="306">
        <f>tabItens[[#This Row],[QTDE ATUAL]] + tabItens[[#This Row],[RC QTDE]] + tabItens[[#This Row],[AF SALDO]] + tabItens[[#This Row],[Recentes]]</f>
        <v>250</v>
      </c>
      <c r="AX939" s="334">
        <v>0</v>
      </c>
      <c r="AY939" s="334">
        <v>4</v>
      </c>
      <c r="AZ939" s="334">
        <f>IF(ISBLANK(tabItens[[#This Row],[CÓDIGO]]),"",tabItens[[#This Row],[PontoMês]] * (AZ$2+tabItens[[#This Row],[PontoQtM]]))</f>
        <v>0</v>
      </c>
      <c r="BA939" s="333">
        <f>tabItens[[#This Row],[PontoPed]] - tabItens[[#This Row],[Saldo]] + (1/10)</f>
        <v>-249.9</v>
      </c>
      <c r="BB939" s="333">
        <f xml:space="preserve"> tabItens[[#This Row],[PontoMês]] * BB$2 - tabItens[[#This Row],[QTDE ATUAL]] - (1/10)</f>
        <v>-250.1</v>
      </c>
      <c r="BC939" s="335">
        <f>IF( tabItens[[#This Row],[PontoPed]]&gt;0, IF(tabItens[[#This Row],[PontoPed]]&lt;1, 1, IF( tabItens[[#This Row],[Saldo]]&gt;tabItens[[#This Row],[PontoPed]], 0, (tabItens[[#This Row],[PontoPed]]-tabItens[[#This Row],[Saldo]])/tabItens[[#This Row],[PontoPed]] ) ), 0 )</f>
        <v>0</v>
      </c>
      <c r="BD939" s="336">
        <f>ROUNDDOWN(IF( OR( AND(tabItens[[#This Row],[PontoPed]]&lt;tabItens[[#This Row],[Saldo]],tabItens[[#This Row],[Saldo]]&gt;0), tabItens[[#This Row],[PontoPed]]=0), 99, IF(AND(tabItens[[#This Row],[Saldo]]=0,tabItens[[#This Row],[PontoPed]]&gt;0), 0, (1-tabItens[[#This Row],[PctAb]])*10 ) ),0)</f>
        <v>99</v>
      </c>
      <c r="BE939" s="337">
        <f>MAX(ROUNDDOWN( IF(tabItens[[#This Row],[Abaixo]] &gt; 0,   tabItens[[#This Row],[Abaixo]] + (tabItens[[#This Row],[PontoMês]] * IF( OR( ISBLANK(tabItens[[#This Row],[ATA Nº/ANO]]), tabItens[[#This Row],[ATA Nº/ANO]] = ""),BE$2,BE$1)),0),0),0)</f>
        <v>0</v>
      </c>
      <c r="BF939"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9" s="338">
        <f>SUMIF(Consumo!$C$3:$C$862,tabItens[[#This Row],[CÓDIGO]],Consumo!$E$3:$E$862)</f>
        <v>0</v>
      </c>
      <c r="BH939" s="339">
        <f>IF(AND(tabItens[[#This Row],[Pend]] &gt; 0,tabItens[[#This Row],[Consumo]] &lt;&gt; 0), tabItens[[#This Row],[Pend]] / tabItens[[#This Row],[Consumo]], 0 )</f>
        <v>0</v>
      </c>
      <c r="BI939" s="338"/>
      <c r="BJ939" s="338"/>
      <c r="BK939" s="340" t="s">
        <v>2086</v>
      </c>
    </row>
    <row r="940" spans="1:63" hidden="1" x14ac:dyDescent="0.3">
      <c r="A940" s="301">
        <v>2278</v>
      </c>
      <c r="B940" s="302" t="s">
        <v>259</v>
      </c>
      <c r="C940" s="303" t="s">
        <v>260</v>
      </c>
      <c r="D940" s="304">
        <v>5.01</v>
      </c>
      <c r="E940" s="305"/>
      <c r="F940" s="305"/>
      <c r="G940" s="305" t="s">
        <v>889</v>
      </c>
      <c r="H940" s="306">
        <v>208</v>
      </c>
      <c r="I940" s="307">
        <v>103003</v>
      </c>
      <c r="J940" s="308">
        <v>5.01</v>
      </c>
      <c r="K940" s="309">
        <v>1</v>
      </c>
      <c r="L940" s="310">
        <f>IF(tabItens[[#This Row],[Média]] &gt; 0, tabItens[[#This Row],[QTDE ATUAL]] / tabItens[[#This Row],[Média]],999.9)</f>
        <v>999.9</v>
      </c>
      <c r="M940" s="311">
        <v>0</v>
      </c>
      <c r="N940" s="312">
        <f>tabItens[[#This Row],[VALOR UNIT.]] * tabItens[[#This Row],[LC]]</f>
        <v>0</v>
      </c>
      <c r="O940" s="313"/>
      <c r="P940" s="314"/>
      <c r="Q940" s="315"/>
      <c r="R940" s="312"/>
      <c r="S940" s="316"/>
      <c r="T940" s="317">
        <f>ROUNDDOWN(IFERROR(tabItens[[#This Row],[ATA DT.VALID.]] - $D$1,0) / 30,0)</f>
        <v>-1474</v>
      </c>
      <c r="U940" s="302" t="s">
        <v>890</v>
      </c>
      <c r="V940" s="318">
        <v>1</v>
      </c>
      <c r="W940" s="319" t="s">
        <v>2071</v>
      </c>
      <c r="X940" s="320">
        <v>70</v>
      </c>
      <c r="Y940" s="321">
        <v>17</v>
      </c>
      <c r="Z940" s="322"/>
      <c r="AA940" s="323"/>
      <c r="AB940" s="324"/>
      <c r="AC940" s="324"/>
      <c r="AD940" s="323"/>
      <c r="AE940" s="324"/>
      <c r="AF940" s="317"/>
      <c r="AG940" s="325" t="s">
        <v>2072</v>
      </c>
      <c r="AH940" s="326"/>
      <c r="AI940" s="317">
        <v>0</v>
      </c>
      <c r="AJ940" s="326">
        <v>44550</v>
      </c>
      <c r="AK940" s="326" t="s">
        <v>889</v>
      </c>
      <c r="AL940" s="326">
        <v>44536</v>
      </c>
      <c r="AM940" s="316"/>
      <c r="AN940" s="305"/>
      <c r="AO940" s="327" t="str">
        <f>_xlfn.IFNA(IF(VLOOKUP(tabItens[[#This Row],[CÓDIGO]],tabExcluirDoEstoque[#Data],1,FALSE),"sim",""),"")</f>
        <v>sim</v>
      </c>
      <c r="AP940" s="328" t="str">
        <f ca="1">IF(OR(ISBLANK(tabItens[[#This Row],[ATA DT.VALID.]]),tabItens[[#This Row],[ATA DT.VALID.]]="",tabItens[[#This Row],[ATA DT.VALID.]]=" "),"",IF(TYPE(tabItens[[#This Row],[ATA DT.VALID.]])=1,ROUNDUP((tabItens[[#This Row],[ATA DT.VALID.]]-TODAY())/7,0),""))</f>
        <v/>
      </c>
      <c r="AQ940" s="329"/>
      <c r="AR940" s="330" t="str">
        <f>IF(ISBLANK(tabItens[[#This Row],[CÓDIGO]]),"",IFERROR(VLOOKUP(tabItens[[#This Row],[CÓDIGO]],Consumo!$C$2:$AC$862,26,FALSE),0))</f>
        <v>10.2022</v>
      </c>
      <c r="AS940" s="331">
        <f>SUMIF(Consumo!$C$3:$C$862,tabItens[[#This Row],[CÓDIGO]],Consumo!$N$3:$N$862) + SUMIF(Consumo!$C$3:$C$862,tabItens[[#This Row],[CÓDIGO]],Consumo!$O$3:$O$862) + SUMIF(Consumo!$C$3:$C$862,tabItens[[#This Row],[CÓDIGO]],Consumo!$P$3:$P$862) + SUMIF(Consumo!$C$3:$C$862,tabItens[[#This Row],[CÓDIGO]],Consumo!$Q$3:$Q$862)</f>
        <v>0</v>
      </c>
      <c r="AT940" s="331">
        <f>SUMIF(Consumo!$C$3:$C$862,tabItens[[#This Row],[CÓDIGO]],Consumo!$Z$3:$Z$862)</f>
        <v>1</v>
      </c>
      <c r="AU940" s="332">
        <f>SUMIF(Consumo!$C$3:$C$862,tabItens[[#This Row],[CÓDIGO]],Consumo!$AA$3:$AA$862)</f>
        <v>1</v>
      </c>
      <c r="AV940" s="333">
        <f>SUMIF(Consumo!$C$3:$C$862,tabItens[[#This Row],[CÓDIGO]],Consumo!$Y$3:$Y$862)</f>
        <v>0</v>
      </c>
      <c r="AW940" s="306">
        <f>tabItens[[#This Row],[QTDE ATUAL]] + tabItens[[#This Row],[RC QTDE]] + tabItens[[#This Row],[AF SALDO]] + tabItens[[#This Row],[Recentes]]</f>
        <v>208</v>
      </c>
      <c r="AX940" s="334">
        <v>1</v>
      </c>
      <c r="AY940" s="334">
        <v>4</v>
      </c>
      <c r="AZ940" s="334">
        <f>IF(ISBLANK(tabItens[[#This Row],[CÓDIGO]]),"",tabItens[[#This Row],[PontoMês]] * (AZ$2+tabItens[[#This Row],[PontoQtM]]))</f>
        <v>4</v>
      </c>
      <c r="BA940" s="333">
        <f>tabItens[[#This Row],[PontoPed]] - tabItens[[#This Row],[Saldo]] + (1/10)</f>
        <v>-203.9</v>
      </c>
      <c r="BB940" s="333">
        <f xml:space="preserve"> tabItens[[#This Row],[PontoMês]] * BB$2 - tabItens[[#This Row],[QTDE ATUAL]] - (1/10)</f>
        <v>-207.1</v>
      </c>
      <c r="BC940" s="335">
        <f>IF( tabItens[[#This Row],[PontoPed]]&gt;0, IF(tabItens[[#This Row],[PontoPed]]&lt;1, 1, IF( tabItens[[#This Row],[Saldo]]&gt;tabItens[[#This Row],[PontoPed]], 0, (tabItens[[#This Row],[PontoPed]]-tabItens[[#This Row],[Saldo]])/tabItens[[#This Row],[PontoPed]] ) ), 0 )</f>
        <v>0</v>
      </c>
      <c r="BD940" s="336">
        <f>ROUNDDOWN(IF( OR( AND(tabItens[[#This Row],[PontoPed]]&lt;tabItens[[#This Row],[Saldo]],tabItens[[#This Row],[Saldo]]&gt;0), tabItens[[#This Row],[PontoPed]]=0), 99, IF(AND(tabItens[[#This Row],[Saldo]]=0,tabItens[[#This Row],[PontoPed]]&gt;0), 0, (1-tabItens[[#This Row],[PctAb]])*10 ) ),0)</f>
        <v>99</v>
      </c>
      <c r="BE940" s="337">
        <f>MAX(ROUNDDOWN( IF(tabItens[[#This Row],[Abaixo]] &gt; 0,   tabItens[[#This Row],[Abaixo]] + (tabItens[[#This Row],[PontoMês]] * IF( OR( ISBLANK(tabItens[[#This Row],[ATA Nº/ANO]]), tabItens[[#This Row],[ATA Nº/ANO]] = ""),BE$2,BE$1)),0),0),0)</f>
        <v>0</v>
      </c>
      <c r="BF940"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0" s="338">
        <f>SUMIF(Consumo!$C$3:$C$862,tabItens[[#This Row],[CÓDIGO]],Consumo!$E$3:$E$862)</f>
        <v>0</v>
      </c>
      <c r="BH940" s="339">
        <f>IF(AND(tabItens[[#This Row],[Pend]] &gt; 0,tabItens[[#This Row],[Consumo]] &lt;&gt; 0), tabItens[[#This Row],[Pend]] / tabItens[[#This Row],[Consumo]], 0 )</f>
        <v>0</v>
      </c>
      <c r="BI940" s="338"/>
      <c r="BJ940" s="338"/>
      <c r="BK940" s="340" t="s">
        <v>2086</v>
      </c>
    </row>
    <row r="941" spans="1:63" hidden="1" x14ac:dyDescent="0.3">
      <c r="A941" s="301">
        <v>128392</v>
      </c>
      <c r="B941" s="302" t="s">
        <v>797</v>
      </c>
      <c r="C941" s="303" t="s">
        <v>260</v>
      </c>
      <c r="D941" s="304">
        <v>210.5</v>
      </c>
      <c r="E941" s="305"/>
      <c r="F941" s="305"/>
      <c r="G941" s="305" t="s">
        <v>889</v>
      </c>
      <c r="H941" s="306">
        <v>103</v>
      </c>
      <c r="I941" s="307">
        <v>103003</v>
      </c>
      <c r="J941" s="308">
        <v>210.5</v>
      </c>
      <c r="K941" s="309"/>
      <c r="L941" s="310">
        <f>IF(tabItens[[#This Row],[Média]] &gt; 0, tabItens[[#This Row],[QTDE ATUAL]] / tabItens[[#This Row],[Média]],999.9)</f>
        <v>999.9</v>
      </c>
      <c r="M941" s="311">
        <v>0</v>
      </c>
      <c r="N941" s="312">
        <f>tabItens[[#This Row],[VALOR UNIT.]] * tabItens[[#This Row],[LC]]</f>
        <v>0</v>
      </c>
      <c r="O941" s="313"/>
      <c r="P941" s="314"/>
      <c r="Q941" s="315"/>
      <c r="R941" s="312"/>
      <c r="S941" s="316"/>
      <c r="T941" s="317">
        <f>ROUNDDOWN(IFERROR(tabItens[[#This Row],[ATA DT.VALID.]] - $D$1,0) / 30,0)</f>
        <v>-1474</v>
      </c>
      <c r="U941" s="302" t="s">
        <v>1563</v>
      </c>
      <c r="V941" s="318">
        <v>1</v>
      </c>
      <c r="W941" s="319" t="s">
        <v>2078</v>
      </c>
      <c r="X941" s="320">
        <v>70</v>
      </c>
      <c r="Y941" s="321">
        <v>47</v>
      </c>
      <c r="Z941" s="322"/>
      <c r="AA941" s="323"/>
      <c r="AB941" s="324"/>
      <c r="AC941" s="324"/>
      <c r="AD941" s="323"/>
      <c r="AE941" s="324"/>
      <c r="AF941" s="317"/>
      <c r="AG941" s="325" t="s">
        <v>2072</v>
      </c>
      <c r="AH941" s="326"/>
      <c r="AI941" s="317">
        <v>0</v>
      </c>
      <c r="AJ941" s="326">
        <v>42522</v>
      </c>
      <c r="AK941" s="326">
        <v>41851</v>
      </c>
      <c r="AL941" s="326">
        <v>42499</v>
      </c>
      <c r="AM941" s="316"/>
      <c r="AN941" s="305"/>
      <c r="AO941" s="327" t="str">
        <f>_xlfn.IFNA(IF(VLOOKUP(tabItens[[#This Row],[CÓDIGO]],tabExcluirDoEstoque[#Data],1,FALSE),"sim",""),"")</f>
        <v>sim</v>
      </c>
      <c r="AP941" s="328" t="str">
        <f ca="1">IF(OR(ISBLANK(tabItens[[#This Row],[ATA DT.VALID.]]),tabItens[[#This Row],[ATA DT.VALID.]]="",tabItens[[#This Row],[ATA DT.VALID.]]=" "),"",IF(TYPE(tabItens[[#This Row],[ATA DT.VALID.]])=1,ROUNDUP((tabItens[[#This Row],[ATA DT.VALID.]]-TODAY())/7,0),""))</f>
        <v/>
      </c>
      <c r="AQ941" s="329"/>
      <c r="AR941" s="330">
        <f>IF(ISBLANK(tabItens[[#This Row],[CÓDIGO]]),"",IFERROR(VLOOKUP(tabItens[[#This Row],[CÓDIGO]],Consumo!$C$2:$AC$862,26,FALSE),0))</f>
        <v>0</v>
      </c>
      <c r="AS941" s="331">
        <f>SUMIF(Consumo!$C$3:$C$862,tabItens[[#This Row],[CÓDIGO]],Consumo!$N$3:$N$862) + SUMIF(Consumo!$C$3:$C$862,tabItens[[#This Row],[CÓDIGO]],Consumo!$O$3:$O$862) + SUMIF(Consumo!$C$3:$C$862,tabItens[[#This Row],[CÓDIGO]],Consumo!$P$3:$P$862) + SUMIF(Consumo!$C$3:$C$862,tabItens[[#This Row],[CÓDIGO]],Consumo!$Q$3:$Q$862)</f>
        <v>0</v>
      </c>
      <c r="AT941" s="331">
        <f>SUMIF(Consumo!$C$3:$C$862,tabItens[[#This Row],[CÓDIGO]],Consumo!$Z$3:$Z$862)</f>
        <v>0</v>
      </c>
      <c r="AU941" s="332">
        <f>SUMIF(Consumo!$C$3:$C$862,tabItens[[#This Row],[CÓDIGO]],Consumo!$AA$3:$AA$862)</f>
        <v>0</v>
      </c>
      <c r="AV941" s="333">
        <f>SUMIF(Consumo!$C$3:$C$862,tabItens[[#This Row],[CÓDIGO]],Consumo!$Y$3:$Y$862)</f>
        <v>0</v>
      </c>
      <c r="AW941" s="306">
        <f>tabItens[[#This Row],[QTDE ATUAL]] + tabItens[[#This Row],[RC QTDE]] + tabItens[[#This Row],[AF SALDO]] + tabItens[[#This Row],[Recentes]]</f>
        <v>103</v>
      </c>
      <c r="AX941" s="334">
        <v>0</v>
      </c>
      <c r="AY941" s="334">
        <v>0</v>
      </c>
      <c r="AZ941" s="334">
        <f>IF(ISBLANK(tabItens[[#This Row],[CÓDIGO]]),"",tabItens[[#This Row],[PontoMês]] * (AZ$2+tabItens[[#This Row],[PontoQtM]]))</f>
        <v>0</v>
      </c>
      <c r="BA941" s="333">
        <f>tabItens[[#This Row],[PontoPed]] - tabItens[[#This Row],[Saldo]] + (1/10)</f>
        <v>-102.9</v>
      </c>
      <c r="BB941" s="333">
        <f xml:space="preserve"> tabItens[[#This Row],[PontoMês]] * BB$2 - tabItens[[#This Row],[QTDE ATUAL]] - (1/10)</f>
        <v>-103.1</v>
      </c>
      <c r="BC941" s="335">
        <f>IF( tabItens[[#This Row],[PontoPed]]&gt;0, IF(tabItens[[#This Row],[PontoPed]]&lt;1, 1, IF( tabItens[[#This Row],[Saldo]]&gt;tabItens[[#This Row],[PontoPed]], 0, (tabItens[[#This Row],[PontoPed]]-tabItens[[#This Row],[Saldo]])/tabItens[[#This Row],[PontoPed]] ) ), 0 )</f>
        <v>0</v>
      </c>
      <c r="BD941" s="336">
        <f>ROUNDDOWN(IF( OR( AND(tabItens[[#This Row],[PontoPed]]&lt;tabItens[[#This Row],[Saldo]],tabItens[[#This Row],[Saldo]]&gt;0), tabItens[[#This Row],[PontoPed]]=0), 99, IF(AND(tabItens[[#This Row],[Saldo]]=0,tabItens[[#This Row],[PontoPed]]&gt;0), 0, (1-tabItens[[#This Row],[PctAb]])*10 ) ),0)</f>
        <v>99</v>
      </c>
      <c r="BE941" s="337">
        <f>MAX(ROUNDDOWN( IF(tabItens[[#This Row],[Abaixo]] &gt; 0,   tabItens[[#This Row],[Abaixo]] + (tabItens[[#This Row],[PontoMês]] * IF( OR( ISBLANK(tabItens[[#This Row],[ATA Nº/ANO]]), tabItens[[#This Row],[ATA Nº/ANO]] = ""),BE$2,BE$1)),0),0),0)</f>
        <v>0</v>
      </c>
      <c r="BF941"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1" s="338">
        <f>SUMIF(Consumo!$C$3:$C$862,tabItens[[#This Row],[CÓDIGO]],Consumo!$E$3:$E$862)</f>
        <v>0</v>
      </c>
      <c r="BH941" s="339">
        <f>IF(AND(tabItens[[#This Row],[Pend]] &gt; 0,tabItens[[#This Row],[Consumo]] &lt;&gt; 0), tabItens[[#This Row],[Pend]] / tabItens[[#This Row],[Consumo]], 0 )</f>
        <v>0</v>
      </c>
      <c r="BI941" s="338"/>
      <c r="BJ941" s="338"/>
      <c r="BK941" s="340" t="s">
        <v>2086</v>
      </c>
    </row>
    <row r="942" spans="1:63" hidden="1" x14ac:dyDescent="0.3">
      <c r="A942" s="301">
        <v>130614</v>
      </c>
      <c r="B942" s="302" t="s">
        <v>806</v>
      </c>
      <c r="C942" s="303" t="s">
        <v>335</v>
      </c>
      <c r="D942" s="304">
        <v>47.85</v>
      </c>
      <c r="E942" s="305"/>
      <c r="F942" s="305"/>
      <c r="G942" s="305" t="s">
        <v>889</v>
      </c>
      <c r="H942" s="306">
        <v>726</v>
      </c>
      <c r="I942" s="307">
        <v>103003</v>
      </c>
      <c r="J942" s="308">
        <v>47.85</v>
      </c>
      <c r="K942" s="309">
        <v>36</v>
      </c>
      <c r="L942" s="310">
        <f>IF(tabItens[[#This Row],[Média]] &gt; 0, tabItens[[#This Row],[QTDE ATUAL]] / tabItens[[#This Row],[Média]],999.9)</f>
        <v>300.41379310344831</v>
      </c>
      <c r="M942" s="311">
        <v>0</v>
      </c>
      <c r="N942" s="312">
        <f>tabItens[[#This Row],[VALOR UNIT.]] * tabItens[[#This Row],[LC]]</f>
        <v>0</v>
      </c>
      <c r="O942" s="313"/>
      <c r="P942" s="314"/>
      <c r="Q942" s="315"/>
      <c r="R942" s="312"/>
      <c r="S942" s="316"/>
      <c r="T942" s="317">
        <f>ROUNDDOWN(IFERROR(tabItens[[#This Row],[ATA DT.VALID.]] - $D$1,0) / 30,0)</f>
        <v>-1474</v>
      </c>
      <c r="U942" s="302" t="s">
        <v>1749</v>
      </c>
      <c r="V942" s="318">
        <v>1</v>
      </c>
      <c r="W942" s="319" t="s">
        <v>2084</v>
      </c>
      <c r="X942" s="320">
        <v>75</v>
      </c>
      <c r="Y942" s="321">
        <v>5</v>
      </c>
      <c r="Z942" s="322"/>
      <c r="AA942" s="323"/>
      <c r="AB942" s="324"/>
      <c r="AC942" s="324"/>
      <c r="AD942" s="323"/>
      <c r="AE942" s="324"/>
      <c r="AF942" s="317"/>
      <c r="AG942" s="325" t="s">
        <v>2072</v>
      </c>
      <c r="AH942" s="326"/>
      <c r="AI942" s="317">
        <v>12</v>
      </c>
      <c r="AJ942" s="326">
        <v>43826</v>
      </c>
      <c r="AK942" s="326">
        <v>42201</v>
      </c>
      <c r="AL942" s="326">
        <v>45197</v>
      </c>
      <c r="AM942" s="316"/>
      <c r="AN942" s="305"/>
      <c r="AO942" s="327" t="str">
        <f>_xlfn.IFNA(IF(VLOOKUP(tabItens[[#This Row],[CÓDIGO]],tabExcluirDoEstoque[#Data],1,FALSE),"sim",""),"")</f>
        <v>sim</v>
      </c>
      <c r="AP942" s="328" t="str">
        <f ca="1">IF(OR(ISBLANK(tabItens[[#This Row],[ATA DT.VALID.]]),tabItens[[#This Row],[ATA DT.VALID.]]="",tabItens[[#This Row],[ATA DT.VALID.]]=" "),"",IF(TYPE(tabItens[[#This Row],[ATA DT.VALID.]])=1,ROUNDUP((tabItens[[#This Row],[ATA DT.VALID.]]-TODAY())/7,0),""))</f>
        <v/>
      </c>
      <c r="AQ942" s="329"/>
      <c r="AR942" s="330" t="str">
        <f>IF(ISBLANK(tabItens[[#This Row],[CÓDIGO]]),"",IFERROR(VLOOKUP(tabItens[[#This Row],[CÓDIGO]],Consumo!$C$2:$AC$862,26,FALSE),0))</f>
        <v>06.2023</v>
      </c>
      <c r="AS942" s="331">
        <f>SUMIF(Consumo!$C$3:$C$862,tabItens[[#This Row],[CÓDIGO]],Consumo!$N$3:$N$862) + SUMIF(Consumo!$C$3:$C$862,tabItens[[#This Row],[CÓDIGO]],Consumo!$O$3:$O$862) + SUMIF(Consumo!$C$3:$C$862,tabItens[[#This Row],[CÓDIGO]],Consumo!$P$3:$P$862) + SUMIF(Consumo!$C$3:$C$862,tabItens[[#This Row],[CÓDIGO]],Consumo!$Q$3:$Q$862)</f>
        <v>12</v>
      </c>
      <c r="AT942" s="331">
        <f>SUMIF(Consumo!$C$3:$C$862,tabItens[[#This Row],[CÓDIGO]],Consumo!$Z$3:$Z$862)</f>
        <v>36</v>
      </c>
      <c r="AU942" s="332">
        <f>SUMIF(Consumo!$C$3:$C$862,tabItens[[#This Row],[CÓDIGO]],Consumo!$AA$3:$AA$862)</f>
        <v>24</v>
      </c>
      <c r="AV942" s="333">
        <f>SUMIF(Consumo!$C$3:$C$862,tabItens[[#This Row],[CÓDIGO]],Consumo!$Y$3:$Y$862)</f>
        <v>2.4166666666666665</v>
      </c>
      <c r="AW942" s="306">
        <f>tabItens[[#This Row],[QTDE ATUAL]] + tabItens[[#This Row],[RC QTDE]] + tabItens[[#This Row],[AF SALDO]] + tabItens[[#This Row],[Recentes]]</f>
        <v>726</v>
      </c>
      <c r="AX942" s="334">
        <v>1</v>
      </c>
      <c r="AY942" s="334">
        <v>4</v>
      </c>
      <c r="AZ942" s="334">
        <f>IF(ISBLANK(tabItens[[#This Row],[CÓDIGO]]),"",tabItens[[#This Row],[PontoMês]] * (AZ$2+tabItens[[#This Row],[PontoQtM]]))</f>
        <v>4</v>
      </c>
      <c r="BA942" s="333">
        <f>tabItens[[#This Row],[PontoPed]] - tabItens[[#This Row],[Saldo]] + (1/10)</f>
        <v>-721.9</v>
      </c>
      <c r="BB942" s="333">
        <f xml:space="preserve"> tabItens[[#This Row],[PontoMês]] * BB$2 - tabItens[[#This Row],[QTDE ATUAL]] - (1/10)</f>
        <v>-725.1</v>
      </c>
      <c r="BC942" s="335">
        <f>IF( tabItens[[#This Row],[PontoPed]]&gt;0, IF(tabItens[[#This Row],[PontoPed]]&lt;1, 1, IF( tabItens[[#This Row],[Saldo]]&gt;tabItens[[#This Row],[PontoPed]], 0, (tabItens[[#This Row],[PontoPed]]-tabItens[[#This Row],[Saldo]])/tabItens[[#This Row],[PontoPed]] ) ), 0 )</f>
        <v>0</v>
      </c>
      <c r="BD942" s="336">
        <f>ROUNDDOWN(IF( OR( AND(tabItens[[#This Row],[PontoPed]]&lt;tabItens[[#This Row],[Saldo]],tabItens[[#This Row],[Saldo]]&gt;0), tabItens[[#This Row],[PontoPed]]=0), 99, IF(AND(tabItens[[#This Row],[Saldo]]=0,tabItens[[#This Row],[PontoPed]]&gt;0), 0, (1-tabItens[[#This Row],[PctAb]])*10 ) ),0)</f>
        <v>99</v>
      </c>
      <c r="BE942" s="337">
        <f>MAX(ROUNDDOWN( IF(tabItens[[#This Row],[Abaixo]] &gt; 0,   tabItens[[#This Row],[Abaixo]] + (tabItens[[#This Row],[PontoMês]] * IF( OR( ISBLANK(tabItens[[#This Row],[ATA Nº/ANO]]), tabItens[[#This Row],[ATA Nº/ANO]] = ""),BE$2,BE$1)),0),0),0)</f>
        <v>0</v>
      </c>
      <c r="BF942"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2" s="338">
        <f>SUMIF(Consumo!$C$3:$C$862,tabItens[[#This Row],[CÓDIGO]],Consumo!$E$3:$E$862)</f>
        <v>0</v>
      </c>
      <c r="BH942" s="339">
        <f>IF(AND(tabItens[[#This Row],[Pend]] &gt; 0,tabItens[[#This Row],[Consumo]] &lt;&gt; 0), tabItens[[#This Row],[Pend]] / tabItens[[#This Row],[Consumo]], 0 )</f>
        <v>0</v>
      </c>
      <c r="BI942" s="338"/>
      <c r="BJ942" s="338"/>
      <c r="BK942" s="340" t="s">
        <v>2086</v>
      </c>
    </row>
    <row r="943" spans="1:63" hidden="1" x14ac:dyDescent="0.3">
      <c r="A943" s="301">
        <v>86891</v>
      </c>
      <c r="B943" s="302" t="s">
        <v>569</v>
      </c>
      <c r="C943" s="303" t="s">
        <v>263</v>
      </c>
      <c r="D943" s="304">
        <v>0.4</v>
      </c>
      <c r="E943" s="305"/>
      <c r="F943" s="305"/>
      <c r="G943" s="305" t="s">
        <v>889</v>
      </c>
      <c r="H943" s="306">
        <v>12840</v>
      </c>
      <c r="I943" s="307">
        <v>103003</v>
      </c>
      <c r="J943" s="308">
        <v>0.4</v>
      </c>
      <c r="K943" s="309"/>
      <c r="L943" s="310">
        <f>IF(tabItens[[#This Row],[Média]] &gt; 0, tabItens[[#This Row],[QTDE ATUAL]] / tabItens[[#This Row],[Média]],999.9)</f>
        <v>999.9</v>
      </c>
      <c r="M943" s="311">
        <v>0</v>
      </c>
      <c r="N943" s="312">
        <f>tabItens[[#This Row],[VALOR UNIT.]] * tabItens[[#This Row],[LC]]</f>
        <v>0</v>
      </c>
      <c r="O943" s="313"/>
      <c r="P943" s="314"/>
      <c r="Q943" s="315"/>
      <c r="R943" s="312"/>
      <c r="S943" s="316"/>
      <c r="T943" s="317">
        <f>ROUNDDOWN(IFERROR(tabItens[[#This Row],[ATA DT.VALID.]] - $D$1,0) / 30,0)</f>
        <v>-1474</v>
      </c>
      <c r="U943" s="302" t="s">
        <v>1076</v>
      </c>
      <c r="V943" s="318">
        <v>1</v>
      </c>
      <c r="W943" s="319" t="s">
        <v>2079</v>
      </c>
      <c r="X943" s="320">
        <v>78</v>
      </c>
      <c r="Y943" s="321">
        <v>2</v>
      </c>
      <c r="Z943" s="322"/>
      <c r="AA943" s="323"/>
      <c r="AB943" s="324"/>
      <c r="AC943" s="324"/>
      <c r="AD943" s="323"/>
      <c r="AE943" s="324"/>
      <c r="AF943" s="317"/>
      <c r="AG943" s="325" t="s">
        <v>2072</v>
      </c>
      <c r="AH943" s="326"/>
      <c r="AI943" s="317">
        <v>8</v>
      </c>
      <c r="AJ943" s="326" t="s">
        <v>889</v>
      </c>
      <c r="AK943" s="326">
        <v>38567</v>
      </c>
      <c r="AL943" s="326">
        <v>42142</v>
      </c>
      <c r="AM943" s="316"/>
      <c r="AN943" s="305"/>
      <c r="AO943" s="327" t="str">
        <f>_xlfn.IFNA(IF(VLOOKUP(tabItens[[#This Row],[CÓDIGO]],tabExcluirDoEstoque[#Data],1,FALSE),"sim",""),"")</f>
        <v>sim</v>
      </c>
      <c r="AP943" s="328" t="str">
        <f ca="1">IF(OR(ISBLANK(tabItens[[#This Row],[ATA DT.VALID.]]),tabItens[[#This Row],[ATA DT.VALID.]]="",tabItens[[#This Row],[ATA DT.VALID.]]=" "),"",IF(TYPE(tabItens[[#This Row],[ATA DT.VALID.]])=1,ROUNDUP((tabItens[[#This Row],[ATA DT.VALID.]]-TODAY())/7,0),""))</f>
        <v/>
      </c>
      <c r="AQ943" s="329"/>
      <c r="AR943" s="330">
        <f>IF(ISBLANK(tabItens[[#This Row],[CÓDIGO]]),"",IFERROR(VLOOKUP(tabItens[[#This Row],[CÓDIGO]],Consumo!$C$2:$AC$862,26,FALSE),0))</f>
        <v>0</v>
      </c>
      <c r="AS943" s="331">
        <f>SUMIF(Consumo!$C$3:$C$862,tabItens[[#This Row],[CÓDIGO]],Consumo!$N$3:$N$862) + SUMIF(Consumo!$C$3:$C$862,tabItens[[#This Row],[CÓDIGO]],Consumo!$O$3:$O$862) + SUMIF(Consumo!$C$3:$C$862,tabItens[[#This Row],[CÓDIGO]],Consumo!$P$3:$P$862) + SUMIF(Consumo!$C$3:$C$862,tabItens[[#This Row],[CÓDIGO]],Consumo!$Q$3:$Q$862)</f>
        <v>0</v>
      </c>
      <c r="AT943" s="331">
        <f>SUMIF(Consumo!$C$3:$C$862,tabItens[[#This Row],[CÓDIGO]],Consumo!$Z$3:$Z$862)</f>
        <v>0</v>
      </c>
      <c r="AU943" s="332">
        <f>SUMIF(Consumo!$C$3:$C$862,tabItens[[#This Row],[CÓDIGO]],Consumo!$AA$3:$AA$862)</f>
        <v>0</v>
      </c>
      <c r="AV943" s="333">
        <f>SUMIF(Consumo!$C$3:$C$862,tabItens[[#This Row],[CÓDIGO]],Consumo!$Y$3:$Y$862)</f>
        <v>0</v>
      </c>
      <c r="AW943" s="306">
        <f>tabItens[[#This Row],[QTDE ATUAL]] + tabItens[[#This Row],[RC QTDE]] + tabItens[[#This Row],[AF SALDO]] + tabItens[[#This Row],[Recentes]]</f>
        <v>12840</v>
      </c>
      <c r="AX943" s="334">
        <v>0</v>
      </c>
      <c r="AY943" s="334">
        <v>0</v>
      </c>
      <c r="AZ943" s="334">
        <f>IF(ISBLANK(tabItens[[#This Row],[CÓDIGO]]),"",tabItens[[#This Row],[PontoMês]] * (AZ$2+tabItens[[#This Row],[PontoQtM]]))</f>
        <v>0</v>
      </c>
      <c r="BA943" s="333">
        <f>tabItens[[#This Row],[PontoPed]] - tabItens[[#This Row],[Saldo]] + (1/10)</f>
        <v>-12839.9</v>
      </c>
      <c r="BB943" s="333">
        <f xml:space="preserve"> tabItens[[#This Row],[PontoMês]] * BB$2 - tabItens[[#This Row],[QTDE ATUAL]] - (1/10)</f>
        <v>-12840.1</v>
      </c>
      <c r="BC943" s="335">
        <f>IF( tabItens[[#This Row],[PontoPed]]&gt;0, IF(tabItens[[#This Row],[PontoPed]]&lt;1, 1, IF( tabItens[[#This Row],[Saldo]]&gt;tabItens[[#This Row],[PontoPed]], 0, (tabItens[[#This Row],[PontoPed]]-tabItens[[#This Row],[Saldo]])/tabItens[[#This Row],[PontoPed]] ) ), 0 )</f>
        <v>0</v>
      </c>
      <c r="BD943" s="336">
        <f>ROUNDDOWN(IF( OR( AND(tabItens[[#This Row],[PontoPed]]&lt;tabItens[[#This Row],[Saldo]],tabItens[[#This Row],[Saldo]]&gt;0), tabItens[[#This Row],[PontoPed]]=0), 99, IF(AND(tabItens[[#This Row],[Saldo]]=0,tabItens[[#This Row],[PontoPed]]&gt;0), 0, (1-tabItens[[#This Row],[PctAb]])*10 ) ),0)</f>
        <v>99</v>
      </c>
      <c r="BE943" s="337">
        <f>MAX(ROUNDDOWN( IF(tabItens[[#This Row],[Abaixo]] &gt; 0,   tabItens[[#This Row],[Abaixo]] + (tabItens[[#This Row],[PontoMês]] * IF( OR( ISBLANK(tabItens[[#This Row],[ATA Nº/ANO]]), tabItens[[#This Row],[ATA Nº/ANO]] = ""),BE$2,BE$1)),0),0),0)</f>
        <v>0</v>
      </c>
      <c r="BF943"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3" s="338">
        <f>SUMIF(Consumo!$C$3:$C$862,tabItens[[#This Row],[CÓDIGO]],Consumo!$E$3:$E$862)</f>
        <v>0</v>
      </c>
      <c r="BH943" s="339">
        <f>IF(AND(tabItens[[#This Row],[Pend]] &gt; 0,tabItens[[#This Row],[Consumo]] &lt;&gt; 0), tabItens[[#This Row],[Pend]] / tabItens[[#This Row],[Consumo]], 0 )</f>
        <v>0</v>
      </c>
      <c r="BI943" s="338"/>
      <c r="BJ943" s="338"/>
      <c r="BK943" s="340" t="s">
        <v>2086</v>
      </c>
    </row>
    <row r="944" spans="1:63" hidden="1" x14ac:dyDescent="0.3">
      <c r="A944" s="301">
        <v>102443</v>
      </c>
      <c r="B944" s="302" t="s">
        <v>627</v>
      </c>
      <c r="C944" s="303" t="s">
        <v>263</v>
      </c>
      <c r="D944" s="304">
        <v>39.700000000000003</v>
      </c>
      <c r="E944" s="305"/>
      <c r="F944" s="305"/>
      <c r="G944" s="305" t="s">
        <v>889</v>
      </c>
      <c r="H944" s="306">
        <v>210</v>
      </c>
      <c r="I944" s="307">
        <v>103003</v>
      </c>
      <c r="J944" s="308">
        <v>39.700000000000003</v>
      </c>
      <c r="K944" s="309">
        <v>3</v>
      </c>
      <c r="L944" s="310">
        <f>IF(tabItens[[#This Row],[Média]] &gt; 0, tabItens[[#This Row],[QTDE ATUAL]] / tabItens[[#This Row],[Média]],999.9)</f>
        <v>2520</v>
      </c>
      <c r="M944" s="311">
        <v>0</v>
      </c>
      <c r="N944" s="312">
        <f>tabItens[[#This Row],[VALOR UNIT.]] * tabItens[[#This Row],[LC]]</f>
        <v>0</v>
      </c>
      <c r="O944" s="313"/>
      <c r="P944" s="314"/>
      <c r="Q944" s="315"/>
      <c r="R944" s="312"/>
      <c r="S944" s="316"/>
      <c r="T944" s="317">
        <f>ROUNDDOWN(IFERROR(tabItens[[#This Row],[ATA DT.VALID.]] - $D$1,0) / 30,0)</f>
        <v>-1474</v>
      </c>
      <c r="U944" s="302" t="s">
        <v>1214</v>
      </c>
      <c r="V944" s="318">
        <v>1</v>
      </c>
      <c r="W944" s="319" t="s">
        <v>2074</v>
      </c>
      <c r="X944" s="320">
        <v>78</v>
      </c>
      <c r="Y944" s="321">
        <v>6</v>
      </c>
      <c r="Z944" s="322"/>
      <c r="AA944" s="323"/>
      <c r="AB944" s="324"/>
      <c r="AC944" s="324"/>
      <c r="AD944" s="323"/>
      <c r="AE944" s="324"/>
      <c r="AF944" s="317"/>
      <c r="AG944" s="325" t="s">
        <v>2072</v>
      </c>
      <c r="AH944" s="326"/>
      <c r="AI944" s="317">
        <v>2</v>
      </c>
      <c r="AJ944" s="326">
        <v>39457</v>
      </c>
      <c r="AK944" s="326">
        <v>39360</v>
      </c>
      <c r="AL944" s="326">
        <v>39414</v>
      </c>
      <c r="AM944" s="316"/>
      <c r="AN944" s="305"/>
      <c r="AO944" s="327" t="str">
        <f>_xlfn.IFNA(IF(VLOOKUP(tabItens[[#This Row],[CÓDIGO]],tabExcluirDoEstoque[#Data],1,FALSE),"sim",""),"")</f>
        <v>sim</v>
      </c>
      <c r="AP944" s="328" t="str">
        <f ca="1">IF(OR(ISBLANK(tabItens[[#This Row],[ATA DT.VALID.]]),tabItens[[#This Row],[ATA DT.VALID.]]="",tabItens[[#This Row],[ATA DT.VALID.]]=" "),"",IF(TYPE(tabItens[[#This Row],[ATA DT.VALID.]])=1,ROUNDUP((tabItens[[#This Row],[ATA DT.VALID.]]-TODAY())/7,0),""))</f>
        <v/>
      </c>
      <c r="AQ944" s="329"/>
      <c r="AR944" s="330" t="str">
        <f>IF(ISBLANK(tabItens[[#This Row],[CÓDIGO]]),"",IFERROR(VLOOKUP(tabItens[[#This Row],[CÓDIGO]],Consumo!$C$2:$AC$862,26,FALSE),0))</f>
        <v>12.2022</v>
      </c>
      <c r="AS944" s="331">
        <f>SUMIF(Consumo!$C$3:$C$862,tabItens[[#This Row],[CÓDIGO]],Consumo!$N$3:$N$862) + SUMIF(Consumo!$C$3:$C$862,tabItens[[#This Row],[CÓDIGO]],Consumo!$O$3:$O$862) + SUMIF(Consumo!$C$3:$C$862,tabItens[[#This Row],[CÓDIGO]],Consumo!$P$3:$P$862) + SUMIF(Consumo!$C$3:$C$862,tabItens[[#This Row],[CÓDIGO]],Consumo!$Q$3:$Q$862)</f>
        <v>0</v>
      </c>
      <c r="AT944" s="331">
        <f>SUMIF(Consumo!$C$3:$C$862,tabItens[[#This Row],[CÓDIGO]],Consumo!$Z$3:$Z$862)</f>
        <v>3</v>
      </c>
      <c r="AU944" s="332">
        <f>SUMIF(Consumo!$C$3:$C$862,tabItens[[#This Row],[CÓDIGO]],Consumo!$AA$3:$AA$862)</f>
        <v>3</v>
      </c>
      <c r="AV944" s="333">
        <f>SUMIF(Consumo!$C$3:$C$862,tabItens[[#This Row],[CÓDIGO]],Consumo!$Y$3:$Y$862)</f>
        <v>8.3333333333333329E-2</v>
      </c>
      <c r="AW944" s="306">
        <f>tabItens[[#This Row],[QTDE ATUAL]] + tabItens[[#This Row],[RC QTDE]] + tabItens[[#This Row],[AF SALDO]] + tabItens[[#This Row],[Recentes]]</f>
        <v>210</v>
      </c>
      <c r="AX944" s="334">
        <v>0</v>
      </c>
      <c r="AY944" s="334">
        <v>0</v>
      </c>
      <c r="AZ944" s="334">
        <f>IF(ISBLANK(tabItens[[#This Row],[CÓDIGO]]),"",tabItens[[#This Row],[PontoMês]] * (AZ$2+tabItens[[#This Row],[PontoQtM]]))</f>
        <v>0</v>
      </c>
      <c r="BA944" s="333">
        <f>tabItens[[#This Row],[PontoPed]] - tabItens[[#This Row],[Saldo]] + (1/10)</f>
        <v>-209.9</v>
      </c>
      <c r="BB944" s="333">
        <f xml:space="preserve"> tabItens[[#This Row],[PontoMês]] * BB$2 - tabItens[[#This Row],[QTDE ATUAL]] - (1/10)</f>
        <v>-210.1</v>
      </c>
      <c r="BC944" s="335">
        <f>IF( tabItens[[#This Row],[PontoPed]]&gt;0, IF(tabItens[[#This Row],[PontoPed]]&lt;1, 1, IF( tabItens[[#This Row],[Saldo]]&gt;tabItens[[#This Row],[PontoPed]], 0, (tabItens[[#This Row],[PontoPed]]-tabItens[[#This Row],[Saldo]])/tabItens[[#This Row],[PontoPed]] ) ), 0 )</f>
        <v>0</v>
      </c>
      <c r="BD944" s="336">
        <f>ROUNDDOWN(IF( OR( AND(tabItens[[#This Row],[PontoPed]]&lt;tabItens[[#This Row],[Saldo]],tabItens[[#This Row],[Saldo]]&gt;0), tabItens[[#This Row],[PontoPed]]=0), 99, IF(AND(tabItens[[#This Row],[Saldo]]=0,tabItens[[#This Row],[PontoPed]]&gt;0), 0, (1-tabItens[[#This Row],[PctAb]])*10 ) ),0)</f>
        <v>99</v>
      </c>
      <c r="BE944" s="337">
        <f>MAX(ROUNDDOWN( IF(tabItens[[#This Row],[Abaixo]] &gt; 0,   tabItens[[#This Row],[Abaixo]] + (tabItens[[#This Row],[PontoMês]] * IF( OR( ISBLANK(tabItens[[#This Row],[ATA Nº/ANO]]), tabItens[[#This Row],[ATA Nº/ANO]] = ""),BE$2,BE$1)),0),0),0)</f>
        <v>0</v>
      </c>
      <c r="BF944"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4" s="338">
        <f>SUMIF(Consumo!$C$3:$C$862,tabItens[[#This Row],[CÓDIGO]],Consumo!$E$3:$E$862)</f>
        <v>0</v>
      </c>
      <c r="BH944" s="339">
        <f>IF(AND(tabItens[[#This Row],[Pend]] &gt; 0,tabItens[[#This Row],[Consumo]] &lt;&gt; 0), tabItens[[#This Row],[Pend]] / tabItens[[#This Row],[Consumo]], 0 )</f>
        <v>0</v>
      </c>
      <c r="BI944" s="338"/>
      <c r="BJ944" s="338"/>
      <c r="BK944" s="340" t="s">
        <v>2086</v>
      </c>
    </row>
    <row r="945" spans="1:63" hidden="1" x14ac:dyDescent="0.3">
      <c r="A945" s="301">
        <v>128832</v>
      </c>
      <c r="B945" s="302" t="s">
        <v>800</v>
      </c>
      <c r="C945" s="303" t="s">
        <v>31</v>
      </c>
      <c r="D945" s="304">
        <v>1310</v>
      </c>
      <c r="E945" s="305"/>
      <c r="F945" s="305"/>
      <c r="G945" s="305" t="s">
        <v>889</v>
      </c>
      <c r="H945" s="306">
        <v>2</v>
      </c>
      <c r="I945" s="307">
        <v>103003</v>
      </c>
      <c r="J945" s="308">
        <v>1310</v>
      </c>
      <c r="K945" s="309"/>
      <c r="L945" s="310">
        <f>IF(tabItens[[#This Row],[Média]] &gt; 0, tabItens[[#This Row],[QTDE ATUAL]] / tabItens[[#This Row],[Média]],999.9)</f>
        <v>999.9</v>
      </c>
      <c r="M945" s="311">
        <v>0</v>
      </c>
      <c r="N945" s="312">
        <f>tabItens[[#This Row],[VALOR UNIT.]] * tabItens[[#This Row],[LC]]</f>
        <v>0</v>
      </c>
      <c r="O945" s="313"/>
      <c r="P945" s="314"/>
      <c r="Q945" s="315"/>
      <c r="R945" s="312"/>
      <c r="S945" s="316"/>
      <c r="T945" s="317">
        <f>ROUNDDOWN(IFERROR(tabItens[[#This Row],[ATA DT.VALID.]] - $D$1,0) / 30,0)</f>
        <v>-1474</v>
      </c>
      <c r="U945" s="302" t="s">
        <v>1798</v>
      </c>
      <c r="V945" s="318">
        <v>1</v>
      </c>
      <c r="W945" s="319" t="s">
        <v>2073</v>
      </c>
      <c r="X945" s="320">
        <v>84</v>
      </c>
      <c r="Y945" s="321">
        <v>5</v>
      </c>
      <c r="Z945" s="322"/>
      <c r="AA945" s="323"/>
      <c r="AB945" s="324"/>
      <c r="AC945" s="324"/>
      <c r="AD945" s="323"/>
      <c r="AE945" s="324"/>
      <c r="AF945" s="317"/>
      <c r="AG945" s="325" t="s">
        <v>2072</v>
      </c>
      <c r="AH945" s="326"/>
      <c r="AI945" s="317">
        <v>0</v>
      </c>
      <c r="AJ945" s="326">
        <v>42146</v>
      </c>
      <c r="AK945" s="326">
        <v>41932</v>
      </c>
      <c r="AL945" s="326">
        <v>42142</v>
      </c>
      <c r="AM945" s="316"/>
      <c r="AN945" s="305"/>
      <c r="AO945" s="327" t="str">
        <f>_xlfn.IFNA(IF(VLOOKUP(tabItens[[#This Row],[CÓDIGO]],tabExcluirDoEstoque[#Data],1,FALSE),"sim",""),"")</f>
        <v>sim</v>
      </c>
      <c r="AP945" s="328" t="str">
        <f ca="1">IF(OR(ISBLANK(tabItens[[#This Row],[ATA DT.VALID.]]),tabItens[[#This Row],[ATA DT.VALID.]]="",tabItens[[#This Row],[ATA DT.VALID.]]=" "),"",IF(TYPE(tabItens[[#This Row],[ATA DT.VALID.]])=1,ROUNDUP((tabItens[[#This Row],[ATA DT.VALID.]]-TODAY())/7,0),""))</f>
        <v/>
      </c>
      <c r="AQ945" s="329"/>
      <c r="AR945" s="330">
        <f>IF(ISBLANK(tabItens[[#This Row],[CÓDIGO]]),"",IFERROR(VLOOKUP(tabItens[[#This Row],[CÓDIGO]],Consumo!$C$2:$AC$862,26,FALSE),0))</f>
        <v>0</v>
      </c>
      <c r="AS945" s="331">
        <f>SUMIF(Consumo!$C$3:$C$862,tabItens[[#This Row],[CÓDIGO]],Consumo!$N$3:$N$862) + SUMIF(Consumo!$C$3:$C$862,tabItens[[#This Row],[CÓDIGO]],Consumo!$O$3:$O$862) + SUMIF(Consumo!$C$3:$C$862,tabItens[[#This Row],[CÓDIGO]],Consumo!$P$3:$P$862) + SUMIF(Consumo!$C$3:$C$862,tabItens[[#This Row],[CÓDIGO]],Consumo!$Q$3:$Q$862)</f>
        <v>0</v>
      </c>
      <c r="AT945" s="331">
        <f>SUMIF(Consumo!$C$3:$C$862,tabItens[[#This Row],[CÓDIGO]],Consumo!$Z$3:$Z$862)</f>
        <v>0</v>
      </c>
      <c r="AU945" s="332">
        <f>SUMIF(Consumo!$C$3:$C$862,tabItens[[#This Row],[CÓDIGO]],Consumo!$AA$3:$AA$862)</f>
        <v>0</v>
      </c>
      <c r="AV945" s="333">
        <f>SUMIF(Consumo!$C$3:$C$862,tabItens[[#This Row],[CÓDIGO]],Consumo!$Y$3:$Y$862)</f>
        <v>0</v>
      </c>
      <c r="AW945" s="306">
        <f>tabItens[[#This Row],[QTDE ATUAL]] + tabItens[[#This Row],[RC QTDE]] + tabItens[[#This Row],[AF SALDO]] + tabItens[[#This Row],[Recentes]]</f>
        <v>2</v>
      </c>
      <c r="AX945" s="334">
        <v>0</v>
      </c>
      <c r="AY945" s="334">
        <v>0</v>
      </c>
      <c r="AZ945" s="334">
        <f>IF(ISBLANK(tabItens[[#This Row],[CÓDIGO]]),"",tabItens[[#This Row],[PontoMês]] * (AZ$2+tabItens[[#This Row],[PontoQtM]]))</f>
        <v>0</v>
      </c>
      <c r="BA945" s="333">
        <f>tabItens[[#This Row],[PontoPed]] - tabItens[[#This Row],[Saldo]] + (1/10)</f>
        <v>-1.9</v>
      </c>
      <c r="BB945" s="333">
        <f xml:space="preserve"> tabItens[[#This Row],[PontoMês]] * BB$2 - tabItens[[#This Row],[QTDE ATUAL]] - (1/10)</f>
        <v>-2.1</v>
      </c>
      <c r="BC945" s="335">
        <f>IF( tabItens[[#This Row],[PontoPed]]&gt;0, IF(tabItens[[#This Row],[PontoPed]]&lt;1, 1, IF( tabItens[[#This Row],[Saldo]]&gt;tabItens[[#This Row],[PontoPed]], 0, (tabItens[[#This Row],[PontoPed]]-tabItens[[#This Row],[Saldo]])/tabItens[[#This Row],[PontoPed]] ) ), 0 )</f>
        <v>0</v>
      </c>
      <c r="BD945" s="336">
        <f>ROUNDDOWN(IF( OR( AND(tabItens[[#This Row],[PontoPed]]&lt;tabItens[[#This Row],[Saldo]],tabItens[[#This Row],[Saldo]]&gt;0), tabItens[[#This Row],[PontoPed]]=0), 99, IF(AND(tabItens[[#This Row],[Saldo]]=0,tabItens[[#This Row],[PontoPed]]&gt;0), 0, (1-tabItens[[#This Row],[PctAb]])*10 ) ),0)</f>
        <v>99</v>
      </c>
      <c r="BE945" s="337">
        <f>MAX(ROUNDDOWN( IF(tabItens[[#This Row],[Abaixo]] &gt; 0,   tabItens[[#This Row],[Abaixo]] + (tabItens[[#This Row],[PontoMês]] * IF( OR( ISBLANK(tabItens[[#This Row],[ATA Nº/ANO]]), tabItens[[#This Row],[ATA Nº/ANO]] = ""),BE$2,BE$1)),0),0),0)</f>
        <v>0</v>
      </c>
      <c r="BF945"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5" s="338">
        <f>SUMIF(Consumo!$C$3:$C$862,tabItens[[#This Row],[CÓDIGO]],Consumo!$E$3:$E$862)</f>
        <v>0</v>
      </c>
      <c r="BH945" s="339">
        <f>IF(AND(tabItens[[#This Row],[Pend]] &gt; 0,tabItens[[#This Row],[Consumo]] &lt;&gt; 0), tabItens[[#This Row],[Pend]] / tabItens[[#This Row],[Consumo]], 0 )</f>
        <v>0</v>
      </c>
      <c r="BI945" s="338"/>
      <c r="BJ945" s="338"/>
      <c r="BK945" s="340" t="s">
        <v>2086</v>
      </c>
    </row>
    <row r="946" spans="1:63" hidden="1" x14ac:dyDescent="0.3">
      <c r="A946" s="301">
        <v>125576</v>
      </c>
      <c r="B946" s="302" t="s">
        <v>778</v>
      </c>
      <c r="C946" s="303" t="s">
        <v>31</v>
      </c>
      <c r="D946" s="304">
        <v>1559</v>
      </c>
      <c r="E946" s="305"/>
      <c r="F946" s="305"/>
      <c r="G946" s="305" t="s">
        <v>889</v>
      </c>
      <c r="H946" s="306">
        <v>4</v>
      </c>
      <c r="I946" s="307">
        <v>103003</v>
      </c>
      <c r="J946" s="308">
        <v>1559</v>
      </c>
      <c r="K946" s="309"/>
      <c r="L946" s="310">
        <f>IF(tabItens[[#This Row],[Média]] &gt; 0, tabItens[[#This Row],[QTDE ATUAL]] / tabItens[[#This Row],[Média]],999.9)</f>
        <v>999.9</v>
      </c>
      <c r="M946" s="311">
        <v>0</v>
      </c>
      <c r="N946" s="312">
        <f>tabItens[[#This Row],[VALOR UNIT.]] * tabItens[[#This Row],[LC]]</f>
        <v>0</v>
      </c>
      <c r="O946" s="313"/>
      <c r="P946" s="314"/>
      <c r="Q946" s="315"/>
      <c r="R946" s="312"/>
      <c r="S946" s="316"/>
      <c r="T946" s="317">
        <f>ROUNDDOWN(IFERROR(tabItens[[#This Row],[ATA DT.VALID.]] - $D$1,0) / 30,0)</f>
        <v>-1474</v>
      </c>
      <c r="U946" s="302" t="s">
        <v>1770</v>
      </c>
      <c r="V946" s="318">
        <v>1</v>
      </c>
      <c r="W946" s="319" t="s">
        <v>2073</v>
      </c>
      <c r="X946" s="320">
        <v>84</v>
      </c>
      <c r="Y946" s="321">
        <v>7</v>
      </c>
      <c r="Z946" s="322"/>
      <c r="AA946" s="323"/>
      <c r="AB946" s="324"/>
      <c r="AC946" s="324"/>
      <c r="AD946" s="323"/>
      <c r="AE946" s="324"/>
      <c r="AF946" s="317"/>
      <c r="AG946" s="325" t="s">
        <v>2072</v>
      </c>
      <c r="AH946" s="326"/>
      <c r="AI946" s="317">
        <v>0</v>
      </c>
      <c r="AJ946" s="326">
        <v>41890</v>
      </c>
      <c r="AK946" s="326">
        <v>41422</v>
      </c>
      <c r="AL946" s="326">
        <v>44840</v>
      </c>
      <c r="AM946" s="316"/>
      <c r="AN946" s="305"/>
      <c r="AO946" s="327" t="str">
        <f>_xlfn.IFNA(IF(VLOOKUP(tabItens[[#This Row],[CÓDIGO]],tabExcluirDoEstoque[#Data],1,FALSE),"sim",""),"")</f>
        <v>sim</v>
      </c>
      <c r="AP946" s="328" t="str">
        <f ca="1">IF(OR(ISBLANK(tabItens[[#This Row],[ATA DT.VALID.]]),tabItens[[#This Row],[ATA DT.VALID.]]="",tabItens[[#This Row],[ATA DT.VALID.]]=" "),"",IF(TYPE(tabItens[[#This Row],[ATA DT.VALID.]])=1,ROUNDUP((tabItens[[#This Row],[ATA DT.VALID.]]-TODAY())/7,0),""))</f>
        <v/>
      </c>
      <c r="AQ946" s="329"/>
      <c r="AR946" s="330">
        <f>IF(ISBLANK(tabItens[[#This Row],[CÓDIGO]]),"",IFERROR(VLOOKUP(tabItens[[#This Row],[CÓDIGO]],Consumo!$C$2:$AC$862,26,FALSE),0))</f>
        <v>0</v>
      </c>
      <c r="AS946" s="331">
        <f>SUMIF(Consumo!$C$3:$C$862,tabItens[[#This Row],[CÓDIGO]],Consumo!$N$3:$N$862) + SUMIF(Consumo!$C$3:$C$862,tabItens[[#This Row],[CÓDIGO]],Consumo!$O$3:$O$862) + SUMIF(Consumo!$C$3:$C$862,tabItens[[#This Row],[CÓDIGO]],Consumo!$P$3:$P$862) + SUMIF(Consumo!$C$3:$C$862,tabItens[[#This Row],[CÓDIGO]],Consumo!$Q$3:$Q$862)</f>
        <v>0</v>
      </c>
      <c r="AT946" s="331">
        <f>SUMIF(Consumo!$C$3:$C$862,tabItens[[#This Row],[CÓDIGO]],Consumo!$Z$3:$Z$862)</f>
        <v>0</v>
      </c>
      <c r="AU946" s="332">
        <f>SUMIF(Consumo!$C$3:$C$862,tabItens[[#This Row],[CÓDIGO]],Consumo!$AA$3:$AA$862)</f>
        <v>0</v>
      </c>
      <c r="AV946" s="333">
        <f>SUMIF(Consumo!$C$3:$C$862,tabItens[[#This Row],[CÓDIGO]],Consumo!$Y$3:$Y$862)</f>
        <v>0</v>
      </c>
      <c r="AW946" s="306">
        <f>tabItens[[#This Row],[QTDE ATUAL]] + tabItens[[#This Row],[RC QTDE]] + tabItens[[#This Row],[AF SALDO]] + tabItens[[#This Row],[Recentes]]</f>
        <v>4</v>
      </c>
      <c r="AX946" s="334">
        <v>0</v>
      </c>
      <c r="AY946" s="334">
        <v>0</v>
      </c>
      <c r="AZ946" s="334">
        <f>IF(ISBLANK(tabItens[[#This Row],[CÓDIGO]]),"",tabItens[[#This Row],[PontoMês]] * (AZ$2+tabItens[[#This Row],[PontoQtM]]))</f>
        <v>0</v>
      </c>
      <c r="BA946" s="333">
        <f>tabItens[[#This Row],[PontoPed]] - tabItens[[#This Row],[Saldo]] + (1/10)</f>
        <v>-3.9</v>
      </c>
      <c r="BB946" s="333">
        <f xml:space="preserve"> tabItens[[#This Row],[PontoMês]] * BB$2 - tabItens[[#This Row],[QTDE ATUAL]] - (1/10)</f>
        <v>-4.0999999999999996</v>
      </c>
      <c r="BC946" s="335">
        <f>IF( tabItens[[#This Row],[PontoPed]]&gt;0, IF(tabItens[[#This Row],[PontoPed]]&lt;1, 1, IF( tabItens[[#This Row],[Saldo]]&gt;tabItens[[#This Row],[PontoPed]], 0, (tabItens[[#This Row],[PontoPed]]-tabItens[[#This Row],[Saldo]])/tabItens[[#This Row],[PontoPed]] ) ), 0 )</f>
        <v>0</v>
      </c>
      <c r="BD946" s="336">
        <f>ROUNDDOWN(IF( OR( AND(tabItens[[#This Row],[PontoPed]]&lt;tabItens[[#This Row],[Saldo]],tabItens[[#This Row],[Saldo]]&gt;0), tabItens[[#This Row],[PontoPed]]=0), 99, IF(AND(tabItens[[#This Row],[Saldo]]=0,tabItens[[#This Row],[PontoPed]]&gt;0), 0, (1-tabItens[[#This Row],[PctAb]])*10 ) ),0)</f>
        <v>99</v>
      </c>
      <c r="BE946" s="337">
        <f>MAX(ROUNDDOWN( IF(tabItens[[#This Row],[Abaixo]] &gt; 0,   tabItens[[#This Row],[Abaixo]] + (tabItens[[#This Row],[PontoMês]] * IF( OR( ISBLANK(tabItens[[#This Row],[ATA Nº/ANO]]), tabItens[[#This Row],[ATA Nº/ANO]] = ""),BE$2,BE$1)),0),0),0)</f>
        <v>0</v>
      </c>
      <c r="BF946" s="338">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6" s="338">
        <f>SUMIF(Consumo!$C$3:$C$862,tabItens[[#This Row],[CÓDIGO]],Consumo!$E$3:$E$862)</f>
        <v>0</v>
      </c>
      <c r="BH946" s="339">
        <f>IF(AND(tabItens[[#This Row],[Pend]] &gt; 0,tabItens[[#This Row],[Consumo]] &lt;&gt; 0), tabItens[[#This Row],[Pend]] / tabItens[[#This Row],[Consumo]], 0 )</f>
        <v>0</v>
      </c>
      <c r="BI946" s="338"/>
      <c r="BJ946" s="338"/>
      <c r="BK946" s="340" t="s">
        <v>2086</v>
      </c>
    </row>
  </sheetData>
  <sortState xmlns:xlrd2="http://schemas.microsoft.com/office/spreadsheetml/2017/richdata2" ref="A4:BK946">
    <sortCondition ref="AO3:AO946"/>
    <sortCondition ref="S3:S946"/>
    <sortCondition ref="O3:O946"/>
    <sortCondition ref="X3:X946"/>
    <sortCondition ref="Y3:Y946"/>
    <sortCondition ref="F3:F946"/>
    <sortCondition ref="A3:A946"/>
  </sortState>
  <dataConsolidate/>
  <mergeCells count="1">
    <mergeCell ref="A1:B2"/>
  </mergeCells>
  <conditionalFormatting sqref="M4:M946">
    <cfRule type="cellIs" dxfId="291" priority="290" stopIfTrue="1" operator="lessThan">
      <formula>-1</formula>
    </cfRule>
    <cfRule type="cellIs" dxfId="290" priority="1487" operator="equal">
      <formula>-1</formula>
    </cfRule>
  </conditionalFormatting>
  <conditionalFormatting sqref="D4:D946">
    <cfRule type="cellIs" dxfId="289" priority="168" operator="equal">
      <formula>0</formula>
    </cfRule>
  </conditionalFormatting>
  <conditionalFormatting sqref="P4:P946">
    <cfRule type="cellIs" dxfId="288" priority="1" operator="lessThan">
      <formula>0</formula>
    </cfRule>
    <cfRule type="cellIs" dxfId="287" priority="2" operator="lessThan">
      <formula>0</formula>
    </cfRule>
    <cfRule type="cellIs" dxfId="286" priority="3" operator="lessThan">
      <formula>0</formula>
    </cfRule>
    <cfRule type="cellIs" dxfId="285" priority="4" operator="lessThan">
      <formula>0</formula>
    </cfRule>
    <cfRule type="cellIs" dxfId="284" priority="5" operator="lessThan">
      <formula>0</formula>
    </cfRule>
    <cfRule type="cellIs" dxfId="283" priority="6" operator="lessThan">
      <formula>0</formula>
    </cfRule>
    <cfRule type="cellIs" dxfId="282" priority="7" operator="lessThan">
      <formula>0</formula>
    </cfRule>
    <cfRule type="cellIs" dxfId="281" priority="8" operator="lessThan">
      <formula>0</formula>
    </cfRule>
    <cfRule type="cellIs" dxfId="280" priority="9" operator="lessThan">
      <formula>0</formula>
    </cfRule>
    <cfRule type="cellIs" dxfId="279" priority="90" operator="lessThan">
      <formula>0</formula>
    </cfRule>
    <cfRule type="cellIs" dxfId="278" priority="111" operator="greaterThan">
      <formula>$Q4</formula>
    </cfRule>
  </conditionalFormatting>
  <conditionalFormatting sqref="A4:BK946">
    <cfRule type="expression" dxfId="277" priority="1488" stopIfTrue="1">
      <formula>$AO4="sim"</formula>
    </cfRule>
  </conditionalFormatting>
  <conditionalFormatting sqref="O4:O946">
    <cfRule type="containsText" dxfId="276" priority="1590" operator="containsText" text="Impróspero">
      <formula>NOT(ISERROR(SEARCH("Impróspero",O4)))</formula>
    </cfRule>
  </conditionalFormatting>
  <conditionalFormatting sqref="A4:A946">
    <cfRule type="duplicateValues" dxfId="275" priority="1806"/>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2336219" r:id="rId4" name="btn_Itens_VerExtras">
          <controlPr defaultSize="0" print="0" autoLine="0" r:id="rId5">
            <anchor moveWithCells="1">
              <from>
                <xdr:col>2</xdr:col>
                <xdr:colOff>144780</xdr:colOff>
                <xdr:row>1</xdr:row>
                <xdr:rowOff>53340</xdr:rowOff>
              </from>
              <to>
                <xdr:col>3</xdr:col>
                <xdr:colOff>624840</xdr:colOff>
                <xdr:row>1</xdr:row>
                <xdr:rowOff>571500</xdr:rowOff>
              </to>
            </anchor>
          </controlPr>
        </control>
      </mc:Choice>
      <mc:Fallback>
        <control shapeId="2336219" r:id="rId4" name="btn_Itens_VerExtras"/>
      </mc:Fallback>
    </mc:AlternateContent>
    <mc:AlternateContent xmlns:mc="http://schemas.openxmlformats.org/markup-compatibility/2006">
      <mc:Choice Requires="x14">
        <control shapeId="831368" r:id="rId6" name="btn_Itens_VerPPed">
          <controlPr defaultSize="0" print="0" autoLine="0" r:id="rId7">
            <anchor moveWithCells="1">
              <from>
                <xdr:col>1</xdr:col>
                <xdr:colOff>3886200</xdr:colOff>
                <xdr:row>1</xdr:row>
                <xdr:rowOff>53340</xdr:rowOff>
              </from>
              <to>
                <xdr:col>1</xdr:col>
                <xdr:colOff>4777740</xdr:colOff>
                <xdr:row>1</xdr:row>
                <xdr:rowOff>563880</xdr:rowOff>
              </to>
            </anchor>
          </controlPr>
        </control>
      </mc:Choice>
      <mc:Fallback>
        <control shapeId="831368" r:id="rId6" name="btn_Itens_VerPPed"/>
      </mc:Fallback>
    </mc:AlternateContent>
    <mc:AlternateContent xmlns:mc="http://schemas.openxmlformats.org/markup-compatibility/2006">
      <mc:Choice Requires="x14">
        <control shapeId="805488" r:id="rId8" name="btn_Itens_FilCod">
          <controlPr defaultSize="0" print="0" autoLine="0" r:id="rId9">
            <anchor moveWithCells="1">
              <from>
                <xdr:col>1</xdr:col>
                <xdr:colOff>2057400</xdr:colOff>
                <xdr:row>0</xdr:row>
                <xdr:rowOff>60960</xdr:rowOff>
              </from>
              <to>
                <xdr:col>1</xdr:col>
                <xdr:colOff>2948940</xdr:colOff>
                <xdr:row>0</xdr:row>
                <xdr:rowOff>571500</xdr:rowOff>
              </to>
            </anchor>
          </controlPr>
        </control>
      </mc:Choice>
      <mc:Fallback>
        <control shapeId="805488" r:id="rId8" name="btn_Itens_FilCod"/>
      </mc:Fallback>
    </mc:AlternateContent>
    <mc:AlternateContent xmlns:mc="http://schemas.openxmlformats.org/markup-compatibility/2006">
      <mc:Choice Requires="x14">
        <control shapeId="776825" r:id="rId10" name="btn_Itens_Ferramentas">
          <controlPr defaultSize="0" print="0" autoLine="0" r:id="rId11">
            <anchor moveWithCells="1">
              <from>
                <xdr:col>1</xdr:col>
                <xdr:colOff>1143000</xdr:colOff>
                <xdr:row>0</xdr:row>
                <xdr:rowOff>60960</xdr:rowOff>
              </from>
              <to>
                <xdr:col>1</xdr:col>
                <xdr:colOff>2034540</xdr:colOff>
                <xdr:row>0</xdr:row>
                <xdr:rowOff>571500</xdr:rowOff>
              </to>
            </anchor>
          </controlPr>
        </control>
      </mc:Choice>
      <mc:Fallback>
        <control shapeId="776825" r:id="rId10" name="btn_Itens_Ferramentas"/>
      </mc:Fallback>
    </mc:AlternateContent>
    <mc:AlternateContent xmlns:mc="http://schemas.openxmlformats.org/markup-compatibility/2006">
      <mc:Choice Requires="x14">
        <control shapeId="776700" r:id="rId12" name="btn_Itens_VerAta">
          <controlPr defaultSize="0" print="0" autoLine="0" r:id="rId13">
            <anchor moveWithCells="1">
              <from>
                <xdr:col>1</xdr:col>
                <xdr:colOff>2971800</xdr:colOff>
                <xdr:row>1</xdr:row>
                <xdr:rowOff>53340</xdr:rowOff>
              </from>
              <to>
                <xdr:col>1</xdr:col>
                <xdr:colOff>3863340</xdr:colOff>
                <xdr:row>1</xdr:row>
                <xdr:rowOff>563880</xdr:rowOff>
              </to>
            </anchor>
          </controlPr>
        </control>
      </mc:Choice>
      <mc:Fallback>
        <control shapeId="776700" r:id="rId12" name="btn_Itens_VerAta"/>
      </mc:Fallback>
    </mc:AlternateContent>
    <mc:AlternateContent xmlns:mc="http://schemas.openxmlformats.org/markup-compatibility/2006">
      <mc:Choice Requires="x14">
        <control shapeId="523090" r:id="rId14" name="btn_Itens_VerRecentes">
          <controlPr defaultSize="0" print="0" autoLine="0" r:id="rId15">
            <anchor moveWithCells="1">
              <from>
                <xdr:col>1</xdr:col>
                <xdr:colOff>2057400</xdr:colOff>
                <xdr:row>1</xdr:row>
                <xdr:rowOff>53340</xdr:rowOff>
              </from>
              <to>
                <xdr:col>1</xdr:col>
                <xdr:colOff>2948940</xdr:colOff>
                <xdr:row>1</xdr:row>
                <xdr:rowOff>563880</xdr:rowOff>
              </to>
            </anchor>
          </controlPr>
        </control>
      </mc:Choice>
      <mc:Fallback>
        <control shapeId="523090" r:id="rId14" name="btn_Itens_VerRecentes"/>
      </mc:Fallback>
    </mc:AlternateContent>
    <mc:AlternateContent xmlns:mc="http://schemas.openxmlformats.org/markup-compatibility/2006">
      <mc:Choice Requires="x14">
        <control shapeId="351233" r:id="rId16" name="btn_Itens_OcultarReexibirColunas">
          <controlPr defaultSize="0" print="0" autoLine="0" r:id="rId17">
            <anchor moveWithCells="1">
              <from>
                <xdr:col>0</xdr:col>
                <xdr:colOff>53340</xdr:colOff>
                <xdr:row>0</xdr:row>
                <xdr:rowOff>60960</xdr:rowOff>
              </from>
              <to>
                <xdr:col>1</xdr:col>
                <xdr:colOff>205740</xdr:colOff>
                <xdr:row>0</xdr:row>
                <xdr:rowOff>571500</xdr:rowOff>
              </to>
            </anchor>
          </controlPr>
        </control>
      </mc:Choice>
      <mc:Fallback>
        <control shapeId="351233" r:id="rId16" name="btn_Itens_OcultarReexibirColunas"/>
      </mc:Fallback>
    </mc:AlternateContent>
    <mc:AlternateContent xmlns:mc="http://schemas.openxmlformats.org/markup-compatibility/2006">
      <mc:Choice Requires="x14">
        <control shapeId="351234" r:id="rId18" name="btn_Itens_ImportarPlanilhas">
          <controlPr defaultSize="0" print="0" autoLine="0" r:id="rId19">
            <anchor moveWithCells="1">
              <from>
                <xdr:col>1</xdr:col>
                <xdr:colOff>2971800</xdr:colOff>
                <xdr:row>0</xdr:row>
                <xdr:rowOff>60960</xdr:rowOff>
              </from>
              <to>
                <xdr:col>1</xdr:col>
                <xdr:colOff>4777740</xdr:colOff>
                <xdr:row>0</xdr:row>
                <xdr:rowOff>571500</xdr:rowOff>
              </to>
            </anchor>
          </controlPr>
        </control>
      </mc:Choice>
      <mc:Fallback>
        <control shapeId="351234" r:id="rId18" name="btn_Itens_ImportarPlanilhas"/>
      </mc:Fallback>
    </mc:AlternateContent>
    <mc:AlternateContent xmlns:mc="http://schemas.openxmlformats.org/markup-compatibility/2006">
      <mc:Choice Requires="x14">
        <control shapeId="351235" r:id="rId20" name="btn_Itens_VerRcAf">
          <controlPr defaultSize="0" print="0" autoLine="0" r:id="rId21">
            <anchor moveWithCells="1">
              <from>
                <xdr:col>0</xdr:col>
                <xdr:colOff>53340</xdr:colOff>
                <xdr:row>1</xdr:row>
                <xdr:rowOff>53340</xdr:rowOff>
              </from>
              <to>
                <xdr:col>1</xdr:col>
                <xdr:colOff>205740</xdr:colOff>
                <xdr:row>1</xdr:row>
                <xdr:rowOff>563880</xdr:rowOff>
              </to>
            </anchor>
          </controlPr>
        </control>
      </mc:Choice>
      <mc:Fallback>
        <control shapeId="351235" r:id="rId20" name="btn_Itens_VerRcAf"/>
      </mc:Fallback>
    </mc:AlternateContent>
    <mc:AlternateContent xmlns:mc="http://schemas.openxmlformats.org/markup-compatibility/2006">
      <mc:Choice Requires="x14">
        <control shapeId="351236" r:id="rId22" name="btn_Itens_VerConsumoMensal">
          <controlPr defaultSize="0" print="0" autoLine="0" r:id="rId23">
            <anchor moveWithCells="1">
              <from>
                <xdr:col>1</xdr:col>
                <xdr:colOff>228600</xdr:colOff>
                <xdr:row>1</xdr:row>
                <xdr:rowOff>53340</xdr:rowOff>
              </from>
              <to>
                <xdr:col>1</xdr:col>
                <xdr:colOff>1120140</xdr:colOff>
                <xdr:row>1</xdr:row>
                <xdr:rowOff>563880</xdr:rowOff>
              </to>
            </anchor>
          </controlPr>
        </control>
      </mc:Choice>
      <mc:Fallback>
        <control shapeId="351236" r:id="rId22" name="btn_Itens_VerConsumoMensal"/>
      </mc:Fallback>
    </mc:AlternateContent>
    <mc:AlternateContent xmlns:mc="http://schemas.openxmlformats.org/markup-compatibility/2006">
      <mc:Choice Requires="x14">
        <control shapeId="718234" r:id="rId24" name="btn_Itens_Reordenar">
          <controlPr defaultSize="0" print="0" autoLine="0" r:id="rId25">
            <anchor moveWithCells="1">
              <from>
                <xdr:col>1</xdr:col>
                <xdr:colOff>228600</xdr:colOff>
                <xdr:row>0</xdr:row>
                <xdr:rowOff>60960</xdr:rowOff>
              </from>
              <to>
                <xdr:col>1</xdr:col>
                <xdr:colOff>1120140</xdr:colOff>
                <xdr:row>0</xdr:row>
                <xdr:rowOff>571500</xdr:rowOff>
              </to>
            </anchor>
          </controlPr>
        </control>
      </mc:Choice>
      <mc:Fallback>
        <control shapeId="718234" r:id="rId24" name="btn_Itens_Reordenar"/>
      </mc:Fallback>
    </mc:AlternateContent>
    <mc:AlternateContent xmlns:mc="http://schemas.openxmlformats.org/markup-compatibility/2006">
      <mc:Choice Requires="x14">
        <control shapeId="831063" r:id="rId26" name="btn_Itens_VerCompl">
          <controlPr defaultSize="0" print="0" autoLine="0" r:id="rId27">
            <anchor moveWithCells="1">
              <from>
                <xdr:col>1</xdr:col>
                <xdr:colOff>1143000</xdr:colOff>
                <xdr:row>1</xdr:row>
                <xdr:rowOff>53340</xdr:rowOff>
              </from>
              <to>
                <xdr:col>1</xdr:col>
                <xdr:colOff>2034540</xdr:colOff>
                <xdr:row>1</xdr:row>
                <xdr:rowOff>563880</xdr:rowOff>
              </to>
            </anchor>
          </controlPr>
        </control>
      </mc:Choice>
      <mc:Fallback>
        <control shapeId="831063" r:id="rId26" name="btn_Itens_VerCompl"/>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80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2BAE2-811F-4A7C-BF9A-2256894F619C}">
  <sheetPr codeName="Planilha1"/>
  <dimension ref="A1:C8"/>
  <sheetViews>
    <sheetView workbookViewId="0">
      <selection activeCell="A2" sqref="A2"/>
    </sheetView>
  </sheetViews>
  <sheetFormatPr defaultRowHeight="14.4" x14ac:dyDescent="0.3"/>
  <cols>
    <col min="1" max="3" width="20.77734375" customWidth="1"/>
    <col min="4" max="4" width="10.5546875" bestFit="1" customWidth="1"/>
    <col min="10" max="10" width="13.6640625" bestFit="1" customWidth="1"/>
    <col min="11" max="11" width="13.88671875" bestFit="1" customWidth="1"/>
  </cols>
  <sheetData>
    <row r="1" spans="1:3" x14ac:dyDescent="0.3">
      <c r="A1" s="292" t="s">
        <v>2251</v>
      </c>
      <c r="B1" s="292" t="s">
        <v>2250</v>
      </c>
      <c r="C1" s="292" t="s">
        <v>2252</v>
      </c>
    </row>
    <row r="2" spans="1:3" x14ac:dyDescent="0.3">
      <c r="A2" s="74" t="e" cm="1" vm="1">
        <f t="array" aca="1" ref="A2" ca="1">_xlfn._xlws.PY(0,1,tabItens[#All])</f>
        <v>#VALUE!</v>
      </c>
      <c r="B2" s="74" t="e" cm="1" vm="1">
        <f t="array" aca="1" ref="B2" ca="1">_xlfn._xlws.PY(1,1,tabParametros[#All])</f>
        <v>#VALUE!</v>
      </c>
      <c r="C2" s="291" t="e" cm="1" vm="1">
        <f t="array" aca="1" ref="C2" ca="1">_xlfn._xlws.PY(2,1,Itens!D1,_xlfn.PQSOURCE("dbc468db-82dd-4985-9e5d-7ecbaeaa5da7"))</f>
        <v>#VALUE!</v>
      </c>
    </row>
    <row r="4" spans="1:3" x14ac:dyDescent="0.3">
      <c r="A4" s="293" t="s">
        <v>2253</v>
      </c>
      <c r="B4" s="294" t="s">
        <v>2254</v>
      </c>
      <c r="C4" s="295" t="s">
        <v>2255</v>
      </c>
    </row>
    <row r="5" spans="1:3" x14ac:dyDescent="0.3">
      <c r="A5" s="296" t="e" cm="1" vm="1">
        <f t="array" aca="1" ref="A5" ca="1">_xlfn._xlws.PY(3,1,tabExcluirDoEstoque[#All])</f>
        <v>#VALUE!</v>
      </c>
      <c r="B5" s="297" t="e" cm="1" vm="1">
        <f t="array" aca="1" ref="B5" ca="1">_xlfn._xlws.PY(4,1,tabItens[#All])</f>
        <v>#VALUE!</v>
      </c>
      <c r="C5" s="298" t="e" cm="1" vm="1">
        <f t="array" aca="1" ref="C5" ca="1">_xlfn._xlws.PY(5,1,tabItens[#All])</f>
        <v>#VALUE!</v>
      </c>
    </row>
    <row r="7" spans="1:3" x14ac:dyDescent="0.3">
      <c r="A7" s="293" t="s">
        <v>2256</v>
      </c>
    </row>
    <row r="8" spans="1:3" x14ac:dyDescent="0.3">
      <c r="A8" s="296" t="e" cm="1" vm="1">
        <f t="array" aca="1" ref="A8" ca="1">_xlfn._xlws.PY(6,1,_xlfn.PQSOURCE("c023be3b-08f5-4b8a-9620-fbaaabc99fa8"))</f>
        <v>#VALUE!</v>
      </c>
      <c r="B8" s="341"/>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8D220-2F6B-41F7-B89B-D4C62EC70AEE}">
  <sheetPr codeName="Planilha3">
    <tabColor theme="9" tint="-0.499984740745262"/>
  </sheetPr>
  <dimension ref="C9:I33"/>
  <sheetViews>
    <sheetView showGridLines="0" tabSelected="1" zoomScale="70" zoomScaleNormal="70" workbookViewId="0">
      <selection activeCell="Z2" sqref="Z2"/>
    </sheetView>
  </sheetViews>
  <sheetFormatPr defaultRowHeight="14.4" x14ac:dyDescent="0.3"/>
  <cols>
    <col min="1" max="2" width="8.88671875" style="299"/>
    <col min="3" max="3" width="13.33203125" style="299" bestFit="1" customWidth="1"/>
    <col min="4" max="4" width="8.88671875" style="299" customWidth="1"/>
    <col min="5" max="5" width="11.33203125" style="299" bestFit="1" customWidth="1"/>
    <col min="6" max="6" width="8.88671875" style="299"/>
    <col min="7" max="9" width="11.33203125" style="299" bestFit="1" customWidth="1"/>
    <col min="10" max="15" width="8.88671875" style="299"/>
    <col min="16" max="16" width="11.33203125" style="299" bestFit="1" customWidth="1"/>
    <col min="17" max="16384" width="8.88671875" style="299"/>
  </cols>
  <sheetData>
    <row r="9" spans="8:8" x14ac:dyDescent="0.3">
      <c r="H9" s="300"/>
    </row>
    <row r="32" ht="344.4" customHeight="1" x14ac:dyDescent="0.3"/>
    <row r="33" spans="3:9" ht="59.4" customHeight="1" x14ac:dyDescent="0.3">
      <c r="C33" s="290" t="e" cm="1" vm="1">
        <f t="array" aca="1" ref="C33" ca="1">_xlfn._xlws.PY(7,0)</f>
        <v>#VALUE!</v>
      </c>
      <c r="E33" t="e" cm="1" vm="1">
        <f t="array" aca="1" ref="E33" ca="1">_xlfn._xlws.PY(8,0)</f>
        <v>#VALUE!</v>
      </c>
      <c r="H33" t="e" cm="1" vm="1">
        <f t="array" aca="1" ref="H33" ca="1">_xlfn._xlws.PY(9,0)</f>
        <v>#VALUE!</v>
      </c>
      <c r="I33" t="e" cm="1" vm="1">
        <f t="array" aca="1" ref="I33" ca="1">_xlfn._xlws.PY(10,0)</f>
        <v>#VALUE!</v>
      </c>
    </row>
  </sheetData>
  <pageMargins left="0.511811024" right="0.511811024" top="0.78740157499999996" bottom="0.78740157499999996" header="0.31496062000000002" footer="0.31496062000000002"/>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56"/>
  <sheetViews>
    <sheetView zoomScale="85" zoomScaleNormal="85" workbookViewId="0">
      <pane xSplit="2" ySplit="2" topLeftCell="C3" activePane="bottomRight" state="frozen"/>
      <selection pane="topRight" activeCell="C1" sqref="C1"/>
      <selection pane="bottomLeft" activeCell="A3" sqref="A3"/>
      <selection pane="bottomRight" activeCell="A3" sqref="A3"/>
    </sheetView>
  </sheetViews>
  <sheetFormatPr defaultRowHeight="14.4" x14ac:dyDescent="0.3"/>
  <cols>
    <col min="1" max="1" width="8.21875" style="2" bestFit="1" customWidth="1"/>
    <col min="2" max="2" width="50.77734375" style="4" customWidth="1"/>
    <col min="3" max="3" width="9.109375" style="3" bestFit="1" customWidth="1"/>
    <col min="4" max="4" width="13.6640625" style="1" bestFit="1" customWidth="1"/>
    <col min="5" max="5" width="24.33203125" style="4" bestFit="1" customWidth="1"/>
    <col min="6" max="6" width="25.77734375" style="4" customWidth="1"/>
    <col min="7" max="7" width="11.88671875"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8.21875" style="2" bestFit="1" customWidth="1"/>
    <col min="14" max="14" width="10.77734375" style="1" bestFit="1" customWidth="1"/>
    <col min="15" max="15" width="13" bestFit="1" customWidth="1"/>
    <col min="16" max="16" width="9.88671875" style="2" bestFit="1" customWidth="1"/>
    <col min="17" max="17" width="12.44140625" style="1" bestFit="1" customWidth="1"/>
    <col min="18" max="18" width="13.88671875" style="32" bestFit="1" customWidth="1"/>
    <col min="19" max="19" width="25.77734375" style="4" customWidth="1"/>
    <col min="20" max="20" width="11.33203125" style="3" bestFit="1" customWidth="1"/>
    <col min="21" max="21" width="7.33203125" style="3" bestFit="1" customWidth="1"/>
    <col min="22" max="22" width="10.77734375" style="3" bestFit="1" customWidth="1"/>
    <col min="23" max="23" width="7.21875" style="18" bestFit="1" customWidth="1"/>
    <col min="24" max="24" width="7.77734375" style="5" bestFit="1" customWidth="1"/>
    <col min="25" max="25" width="8.44140625" style="2" bestFit="1" customWidth="1"/>
    <col min="26" max="26" width="7.21875" style="2" bestFit="1" customWidth="1"/>
    <col min="27" max="27" width="7.77734375" style="5" bestFit="1" customWidth="1"/>
    <col min="28" max="28" width="9.6640625" style="2" bestFit="1" customWidth="1"/>
    <col min="29" max="29" width="8.44140625" style="2" bestFit="1" customWidth="1"/>
    <col min="30" max="30" width="79.6640625" style="2" bestFit="1" customWidth="1"/>
    <col min="31" max="31" width="10.33203125" style="2" bestFit="1" customWidth="1"/>
    <col min="32" max="32" width="14.88671875" style="2" bestFit="1" customWidth="1"/>
    <col min="33" max="33" width="14.88671875" style="32" bestFit="1" customWidth="1"/>
    <col min="34" max="34" width="15.5546875" style="32" bestFit="1" customWidth="1"/>
    <col min="35" max="35" width="17.109375" style="32" bestFit="1" customWidth="1"/>
    <col min="36" max="36" width="19.21875" style="32" bestFit="1" customWidth="1"/>
    <col min="37" max="37" width="22.55468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111</v>
      </c>
      <c r="Y2" s="156" t="s">
        <v>23</v>
      </c>
      <c r="Z2" s="156" t="s">
        <v>24</v>
      </c>
      <c r="AA2" s="164" t="s">
        <v>25</v>
      </c>
      <c r="AB2" s="158" t="s">
        <v>26</v>
      </c>
      <c r="AC2" s="156" t="s">
        <v>27</v>
      </c>
      <c r="AD2" s="165" t="s">
        <v>91</v>
      </c>
      <c r="AE2" s="165" t="s">
        <v>92</v>
      </c>
      <c r="AF2" s="156" t="s">
        <v>28</v>
      </c>
      <c r="AG2" s="159" t="s">
        <v>29</v>
      </c>
      <c r="AH2" s="159" t="s">
        <v>37</v>
      </c>
      <c r="AI2" s="159" t="s">
        <v>38</v>
      </c>
      <c r="AJ2" s="159" t="s">
        <v>39</v>
      </c>
      <c r="AK2" s="149" t="s">
        <v>40</v>
      </c>
    </row>
    <row r="3" spans="1:37" x14ac:dyDescent="0.3">
      <c r="A3" s="273">
        <v>2278</v>
      </c>
      <c r="B3" s="274" t="s">
        <v>259</v>
      </c>
      <c r="C3" s="146" t="s">
        <v>260</v>
      </c>
      <c r="D3" s="275">
        <v>5.01</v>
      </c>
      <c r="E3" s="274"/>
      <c r="F3" s="274"/>
      <c r="G3" s="274" t="s">
        <v>889</v>
      </c>
      <c r="H3" s="276">
        <v>208</v>
      </c>
      <c r="I3" s="24">
        <v>103003</v>
      </c>
      <c r="J3" s="277">
        <v>5.01</v>
      </c>
      <c r="K3" s="276">
        <v>1</v>
      </c>
      <c r="L3" s="278">
        <v>2600</v>
      </c>
      <c r="M3" s="279">
        <v>0</v>
      </c>
      <c r="N3" s="277">
        <v>0</v>
      </c>
      <c r="O3" s="280" t="s">
        <v>888</v>
      </c>
      <c r="P3" s="279">
        <v>0</v>
      </c>
      <c r="Q3" s="281">
        <v>0</v>
      </c>
      <c r="R3" s="282" t="s">
        <v>889</v>
      </c>
      <c r="S3" s="274" t="s">
        <v>890</v>
      </c>
      <c r="T3" s="44">
        <v>1</v>
      </c>
      <c r="U3" s="283">
        <v>70</v>
      </c>
      <c r="V3" s="284">
        <v>17</v>
      </c>
      <c r="W3" s="285" t="s">
        <v>889</v>
      </c>
      <c r="X3" s="286" t="s">
        <v>889</v>
      </c>
      <c r="Y3" s="287">
        <v>0</v>
      </c>
      <c r="Z3" s="287" t="s">
        <v>889</v>
      </c>
      <c r="AA3" s="286" t="s">
        <v>889</v>
      </c>
      <c r="AB3" s="287">
        <v>0</v>
      </c>
      <c r="AC3" s="287"/>
      <c r="AD3" s="288" t="s">
        <v>889</v>
      </c>
      <c r="AE3" s="289" t="s">
        <v>889</v>
      </c>
      <c r="AF3" s="279">
        <v>0</v>
      </c>
      <c r="AG3" s="282">
        <v>44550</v>
      </c>
      <c r="AH3" s="282" t="s">
        <v>889</v>
      </c>
      <c r="AI3" s="282">
        <v>44536</v>
      </c>
      <c r="AJ3" s="282" t="s">
        <v>889</v>
      </c>
      <c r="AK3" s="274"/>
    </row>
    <row r="4" spans="1:37" x14ac:dyDescent="0.3">
      <c r="A4" s="273">
        <v>4680</v>
      </c>
      <c r="B4" s="274" t="s">
        <v>891</v>
      </c>
      <c r="C4" s="146" t="s">
        <v>260</v>
      </c>
      <c r="D4" s="275">
        <v>8.14</v>
      </c>
      <c r="E4" s="274"/>
      <c r="F4" s="274"/>
      <c r="G4" s="274" t="s">
        <v>889</v>
      </c>
      <c r="H4" s="276">
        <v>21196</v>
      </c>
      <c r="I4" s="24">
        <v>103003</v>
      </c>
      <c r="J4" s="277">
        <v>8.14</v>
      </c>
      <c r="K4" s="276">
        <v>12926</v>
      </c>
      <c r="L4" s="278">
        <v>12.131618560300373</v>
      </c>
      <c r="M4" s="279">
        <v>0</v>
      </c>
      <c r="N4" s="277">
        <v>0</v>
      </c>
      <c r="O4" s="280" t="s">
        <v>888</v>
      </c>
      <c r="P4" s="279">
        <v>0</v>
      </c>
      <c r="Q4" s="281">
        <v>0</v>
      </c>
      <c r="R4" s="282" t="s">
        <v>889</v>
      </c>
      <c r="S4" s="274" t="s">
        <v>892</v>
      </c>
      <c r="T4" s="44">
        <v>1</v>
      </c>
      <c r="U4" s="283">
        <v>20</v>
      </c>
      <c r="V4" s="284">
        <v>3</v>
      </c>
      <c r="W4" s="285" t="s">
        <v>889</v>
      </c>
      <c r="X4" s="286" t="s">
        <v>889</v>
      </c>
      <c r="Y4" s="287">
        <v>0</v>
      </c>
      <c r="Z4" s="287" t="s">
        <v>889</v>
      </c>
      <c r="AA4" s="286" t="s">
        <v>889</v>
      </c>
      <c r="AB4" s="287">
        <v>0</v>
      </c>
      <c r="AC4" s="287"/>
      <c r="AD4" s="288" t="s">
        <v>889</v>
      </c>
      <c r="AE4" s="289" t="s">
        <v>889</v>
      </c>
      <c r="AF4" s="279">
        <v>6988</v>
      </c>
      <c r="AG4" s="282">
        <v>45069</v>
      </c>
      <c r="AH4" s="282" t="s">
        <v>889</v>
      </c>
      <c r="AI4" s="282">
        <v>45138</v>
      </c>
      <c r="AJ4" s="282" t="s">
        <v>889</v>
      </c>
      <c r="AK4" s="274"/>
    </row>
    <row r="5" spans="1:37" x14ac:dyDescent="0.3">
      <c r="A5" s="273">
        <v>9413</v>
      </c>
      <c r="B5" s="274" t="s">
        <v>893</v>
      </c>
      <c r="C5" s="146" t="s">
        <v>31</v>
      </c>
      <c r="D5" s="275">
        <v>0.67</v>
      </c>
      <c r="E5" s="274" t="s">
        <v>894</v>
      </c>
      <c r="F5" s="274" t="s">
        <v>895</v>
      </c>
      <c r="G5" s="274" t="s">
        <v>896</v>
      </c>
      <c r="H5" s="276">
        <v>5316</v>
      </c>
      <c r="I5" s="24">
        <v>103003</v>
      </c>
      <c r="J5" s="277">
        <v>0.67</v>
      </c>
      <c r="K5" s="276">
        <v>13230</v>
      </c>
      <c r="L5" s="278">
        <v>2.0481602774031975</v>
      </c>
      <c r="M5" s="279">
        <v>23130</v>
      </c>
      <c r="N5" s="277">
        <v>15497.1</v>
      </c>
      <c r="O5" s="280" t="s">
        <v>897</v>
      </c>
      <c r="P5" s="279">
        <v>106700</v>
      </c>
      <c r="Q5" s="281">
        <v>71489</v>
      </c>
      <c r="R5" s="282">
        <v>45377</v>
      </c>
      <c r="S5" s="274" t="s">
        <v>898</v>
      </c>
      <c r="T5" s="44">
        <v>1</v>
      </c>
      <c r="U5" s="283">
        <v>72</v>
      </c>
      <c r="V5" s="284">
        <v>6</v>
      </c>
      <c r="W5" s="285" t="s">
        <v>889</v>
      </c>
      <c r="X5" s="286" t="s">
        <v>889</v>
      </c>
      <c r="Y5" s="287">
        <v>0</v>
      </c>
      <c r="Z5" s="287">
        <v>12192</v>
      </c>
      <c r="AA5" s="286">
        <v>2023</v>
      </c>
      <c r="AB5" s="287">
        <v>2700</v>
      </c>
      <c r="AC5" s="287">
        <v>2700</v>
      </c>
      <c r="AD5" s="288" t="s">
        <v>2051</v>
      </c>
      <c r="AE5" s="289">
        <v>45229</v>
      </c>
      <c r="AF5" s="279">
        <v>10382</v>
      </c>
      <c r="AG5" s="282">
        <v>45098</v>
      </c>
      <c r="AH5" s="282" t="s">
        <v>889</v>
      </c>
      <c r="AI5" s="282">
        <v>45209</v>
      </c>
      <c r="AJ5" s="282" t="s">
        <v>889</v>
      </c>
      <c r="AK5" s="274"/>
    </row>
    <row r="6" spans="1:37" x14ac:dyDescent="0.3">
      <c r="A6" s="273">
        <v>10302</v>
      </c>
      <c r="B6" s="274" t="s">
        <v>899</v>
      </c>
      <c r="C6" s="146" t="s">
        <v>900</v>
      </c>
      <c r="D6" s="275">
        <v>15.86</v>
      </c>
      <c r="E6" s="274"/>
      <c r="F6" s="274"/>
      <c r="G6" s="274" t="s">
        <v>889</v>
      </c>
      <c r="H6" s="276">
        <v>7683</v>
      </c>
      <c r="I6" s="24">
        <v>103003</v>
      </c>
      <c r="J6" s="277">
        <v>15.86</v>
      </c>
      <c r="K6" s="276">
        <v>2830</v>
      </c>
      <c r="L6" s="278">
        <v>26.095373955573667</v>
      </c>
      <c r="M6" s="279">
        <v>0</v>
      </c>
      <c r="N6" s="277">
        <v>0</v>
      </c>
      <c r="O6" s="280" t="s">
        <v>888</v>
      </c>
      <c r="P6" s="279">
        <v>0</v>
      </c>
      <c r="Q6" s="281">
        <v>0</v>
      </c>
      <c r="R6" s="282" t="s">
        <v>889</v>
      </c>
      <c r="S6" s="274" t="s">
        <v>901</v>
      </c>
      <c r="T6" s="44">
        <v>1</v>
      </c>
      <c r="U6" s="283">
        <v>57</v>
      </c>
      <c r="V6" s="284">
        <v>19</v>
      </c>
      <c r="W6" s="285" t="s">
        <v>889</v>
      </c>
      <c r="X6" s="286" t="s">
        <v>889</v>
      </c>
      <c r="Y6" s="287">
        <v>0</v>
      </c>
      <c r="Z6" s="287" t="s">
        <v>889</v>
      </c>
      <c r="AA6" s="286" t="s">
        <v>889</v>
      </c>
      <c r="AB6" s="287">
        <v>0</v>
      </c>
      <c r="AC6" s="287"/>
      <c r="AD6" s="288" t="s">
        <v>889</v>
      </c>
      <c r="AE6" s="289" t="s">
        <v>889</v>
      </c>
      <c r="AF6" s="279">
        <v>1178</v>
      </c>
      <c r="AG6" s="282">
        <v>43826</v>
      </c>
      <c r="AH6" s="282" t="s">
        <v>889</v>
      </c>
      <c r="AI6" s="282">
        <v>43815</v>
      </c>
      <c r="AJ6" s="282" t="s">
        <v>889</v>
      </c>
      <c r="AK6" s="274"/>
    </row>
    <row r="7" spans="1:37" x14ac:dyDescent="0.3">
      <c r="A7" s="273">
        <v>10359</v>
      </c>
      <c r="B7" s="274" t="s">
        <v>902</v>
      </c>
      <c r="C7" s="146" t="s">
        <v>320</v>
      </c>
      <c r="D7" s="275">
        <v>35</v>
      </c>
      <c r="E7" s="274" t="s">
        <v>903</v>
      </c>
      <c r="F7" s="274" t="s">
        <v>904</v>
      </c>
      <c r="G7" s="274" t="s">
        <v>905</v>
      </c>
      <c r="H7" s="276">
        <v>267</v>
      </c>
      <c r="I7" s="24">
        <v>103003</v>
      </c>
      <c r="J7" s="277">
        <v>35</v>
      </c>
      <c r="K7" s="276">
        <v>1479</v>
      </c>
      <c r="L7" s="278">
        <v>1.1875639371969933</v>
      </c>
      <c r="M7" s="279">
        <v>2430.96</v>
      </c>
      <c r="N7" s="277">
        <v>85083.6</v>
      </c>
      <c r="O7" s="280" t="s">
        <v>906</v>
      </c>
      <c r="P7" s="279">
        <v>144008</v>
      </c>
      <c r="Q7" s="281">
        <v>5250280</v>
      </c>
      <c r="R7" s="282">
        <v>45250</v>
      </c>
      <c r="S7" s="274" t="s">
        <v>907</v>
      </c>
      <c r="T7" s="44">
        <v>1</v>
      </c>
      <c r="U7" s="283">
        <v>71</v>
      </c>
      <c r="V7" s="284">
        <v>7</v>
      </c>
      <c r="W7" s="285" t="s">
        <v>889</v>
      </c>
      <c r="X7" s="286" t="s">
        <v>889</v>
      </c>
      <c r="Y7" s="287">
        <v>0</v>
      </c>
      <c r="Z7" s="287" t="s">
        <v>889</v>
      </c>
      <c r="AA7" s="286" t="s">
        <v>889</v>
      </c>
      <c r="AB7" s="287">
        <v>0</v>
      </c>
      <c r="AC7" s="287"/>
      <c r="AD7" s="288" t="s">
        <v>889</v>
      </c>
      <c r="AE7" s="289" t="s">
        <v>889</v>
      </c>
      <c r="AF7" s="279">
        <v>900</v>
      </c>
      <c r="AG7" s="282">
        <v>45127</v>
      </c>
      <c r="AH7" s="282" t="s">
        <v>889</v>
      </c>
      <c r="AI7" s="282">
        <v>45215</v>
      </c>
      <c r="AJ7" s="282" t="s">
        <v>889</v>
      </c>
      <c r="AK7" s="274"/>
    </row>
    <row r="8" spans="1:37" x14ac:dyDescent="0.3">
      <c r="A8" s="273">
        <v>10392</v>
      </c>
      <c r="B8" s="274" t="s">
        <v>908</v>
      </c>
      <c r="C8" s="146" t="s">
        <v>263</v>
      </c>
      <c r="D8" s="275">
        <v>0.9</v>
      </c>
      <c r="E8" s="274"/>
      <c r="F8" s="274"/>
      <c r="G8" s="274" t="s">
        <v>889</v>
      </c>
      <c r="H8" s="276">
        <v>0</v>
      </c>
      <c r="I8" s="24">
        <v>103003</v>
      </c>
      <c r="J8" s="277">
        <v>0.9</v>
      </c>
      <c r="K8" s="276">
        <v>6338</v>
      </c>
      <c r="L8" s="278">
        <v>0</v>
      </c>
      <c r="M8" s="279">
        <v>2090</v>
      </c>
      <c r="N8" s="277">
        <v>1881</v>
      </c>
      <c r="O8" s="280" t="s">
        <v>888</v>
      </c>
      <c r="P8" s="279">
        <v>0</v>
      </c>
      <c r="Q8" s="281">
        <v>0</v>
      </c>
      <c r="R8" s="282" t="s">
        <v>889</v>
      </c>
      <c r="S8" s="274" t="s">
        <v>909</v>
      </c>
      <c r="T8" s="44">
        <v>1</v>
      </c>
      <c r="U8" s="283">
        <v>45</v>
      </c>
      <c r="V8" s="284">
        <v>10</v>
      </c>
      <c r="W8" s="285">
        <v>6982</v>
      </c>
      <c r="X8" s="286">
        <v>2023</v>
      </c>
      <c r="Y8" s="287">
        <v>4300</v>
      </c>
      <c r="Z8" s="287" t="s">
        <v>889</v>
      </c>
      <c r="AA8" s="286" t="s">
        <v>889</v>
      </c>
      <c r="AB8" s="287">
        <v>0</v>
      </c>
      <c r="AC8" s="287"/>
      <c r="AD8" s="288" t="s">
        <v>889</v>
      </c>
      <c r="AE8" s="289" t="s">
        <v>889</v>
      </c>
      <c r="AF8" s="279">
        <v>2130</v>
      </c>
      <c r="AG8" s="282">
        <v>44936</v>
      </c>
      <c r="AH8" s="282" t="s">
        <v>889</v>
      </c>
      <c r="AI8" s="282">
        <v>45107</v>
      </c>
      <c r="AJ8" s="282" t="s">
        <v>889</v>
      </c>
      <c r="AK8" s="274"/>
    </row>
    <row r="9" spans="1:37" x14ac:dyDescent="0.3">
      <c r="A9" s="273">
        <v>10412</v>
      </c>
      <c r="B9" s="274" t="s">
        <v>910</v>
      </c>
      <c r="C9" s="146" t="s">
        <v>320</v>
      </c>
      <c r="D9" s="275">
        <v>13.5</v>
      </c>
      <c r="E9" s="274" t="s">
        <v>911</v>
      </c>
      <c r="F9" s="274" t="s">
        <v>912</v>
      </c>
      <c r="G9" s="274" t="s">
        <v>913</v>
      </c>
      <c r="H9" s="276">
        <v>44</v>
      </c>
      <c r="I9" s="24">
        <v>103003</v>
      </c>
      <c r="J9" s="277">
        <v>13.5</v>
      </c>
      <c r="K9" s="276">
        <v>690.5</v>
      </c>
      <c r="L9" s="278">
        <v>0.43689802402939132</v>
      </c>
      <c r="M9" s="279">
        <v>924.52</v>
      </c>
      <c r="N9" s="277">
        <v>12481.02</v>
      </c>
      <c r="O9" s="280" t="s">
        <v>914</v>
      </c>
      <c r="P9" s="279">
        <v>8508</v>
      </c>
      <c r="Q9" s="281">
        <v>115020</v>
      </c>
      <c r="R9" s="282">
        <v>45489</v>
      </c>
      <c r="S9" s="274" t="s">
        <v>915</v>
      </c>
      <c r="T9" s="44">
        <v>1</v>
      </c>
      <c r="U9" s="283">
        <v>71</v>
      </c>
      <c r="V9" s="284">
        <v>24</v>
      </c>
      <c r="W9" s="285" t="s">
        <v>889</v>
      </c>
      <c r="X9" s="286" t="s">
        <v>889</v>
      </c>
      <c r="Y9" s="287">
        <v>0</v>
      </c>
      <c r="Z9" s="287">
        <v>12177</v>
      </c>
      <c r="AA9" s="286">
        <v>2023</v>
      </c>
      <c r="AB9" s="287">
        <v>240</v>
      </c>
      <c r="AC9" s="287">
        <v>300</v>
      </c>
      <c r="AD9" s="288" t="s">
        <v>2052</v>
      </c>
      <c r="AE9" s="289">
        <v>45208</v>
      </c>
      <c r="AF9" s="279">
        <v>402</v>
      </c>
      <c r="AG9" s="282">
        <v>45208</v>
      </c>
      <c r="AH9" s="282" t="s">
        <v>889</v>
      </c>
      <c r="AI9" s="282">
        <v>45205</v>
      </c>
      <c r="AJ9" s="282" t="s">
        <v>889</v>
      </c>
      <c r="AK9" s="274"/>
    </row>
    <row r="10" spans="1:37" x14ac:dyDescent="0.3">
      <c r="A10" s="273">
        <v>10547</v>
      </c>
      <c r="B10" s="274" t="s">
        <v>916</v>
      </c>
      <c r="C10" s="146" t="s">
        <v>260</v>
      </c>
      <c r="D10" s="275">
        <v>2.68</v>
      </c>
      <c r="E10" s="274"/>
      <c r="F10" s="274"/>
      <c r="G10" s="274" t="s">
        <v>889</v>
      </c>
      <c r="H10" s="276">
        <v>0</v>
      </c>
      <c r="I10" s="24">
        <v>103003</v>
      </c>
      <c r="J10" s="277">
        <v>2.68</v>
      </c>
      <c r="K10" s="276">
        <v>15113</v>
      </c>
      <c r="L10" s="278">
        <v>0</v>
      </c>
      <c r="M10" s="279">
        <v>37213.040000000001</v>
      </c>
      <c r="N10" s="277">
        <v>99730.947199999995</v>
      </c>
      <c r="O10" s="280" t="s">
        <v>888</v>
      </c>
      <c r="P10" s="279">
        <v>0</v>
      </c>
      <c r="Q10" s="281">
        <v>0</v>
      </c>
      <c r="R10" s="282" t="s">
        <v>889</v>
      </c>
      <c r="S10" s="274" t="s">
        <v>917</v>
      </c>
      <c r="T10" s="44">
        <v>1</v>
      </c>
      <c r="U10" s="283">
        <v>45</v>
      </c>
      <c r="V10" s="284">
        <v>14</v>
      </c>
      <c r="W10" s="285">
        <v>6982</v>
      </c>
      <c r="X10" s="286">
        <v>2023</v>
      </c>
      <c r="Y10" s="287">
        <v>7900</v>
      </c>
      <c r="Z10" s="287" t="s">
        <v>889</v>
      </c>
      <c r="AA10" s="286" t="s">
        <v>889</v>
      </c>
      <c r="AB10" s="287">
        <v>0</v>
      </c>
      <c r="AC10" s="287"/>
      <c r="AD10" s="288" t="s">
        <v>889</v>
      </c>
      <c r="AE10" s="289" t="s">
        <v>889</v>
      </c>
      <c r="AF10" s="279">
        <v>15038</v>
      </c>
      <c r="AG10" s="282">
        <v>44924</v>
      </c>
      <c r="AH10" s="282" t="s">
        <v>889</v>
      </c>
      <c r="AI10" s="282">
        <v>45107</v>
      </c>
      <c r="AJ10" s="282" t="s">
        <v>889</v>
      </c>
      <c r="AK10" s="274"/>
    </row>
    <row r="11" spans="1:37" x14ac:dyDescent="0.3">
      <c r="A11" s="273">
        <v>10719</v>
      </c>
      <c r="B11" s="274" t="s">
        <v>918</v>
      </c>
      <c r="C11" s="146" t="s">
        <v>267</v>
      </c>
      <c r="D11" s="275">
        <v>11.99</v>
      </c>
      <c r="E11" s="274" t="s">
        <v>919</v>
      </c>
      <c r="F11" s="274" t="s">
        <v>920</v>
      </c>
      <c r="G11" s="274" t="s">
        <v>921</v>
      </c>
      <c r="H11" s="276">
        <v>2984</v>
      </c>
      <c r="I11" s="24">
        <v>103003</v>
      </c>
      <c r="J11" s="277">
        <v>11.99</v>
      </c>
      <c r="K11" s="276">
        <v>23741</v>
      </c>
      <c r="L11" s="278">
        <v>0.86271947450438446</v>
      </c>
      <c r="M11" s="279">
        <v>33190.959999999999</v>
      </c>
      <c r="N11" s="277">
        <v>397959.61040000001</v>
      </c>
      <c r="O11" s="280" t="s">
        <v>922</v>
      </c>
      <c r="P11" s="279">
        <v>105769</v>
      </c>
      <c r="Q11" s="281">
        <v>1268170.31</v>
      </c>
      <c r="R11" s="282">
        <v>45422</v>
      </c>
      <c r="S11" s="274" t="s">
        <v>923</v>
      </c>
      <c r="T11" s="44">
        <v>1</v>
      </c>
      <c r="U11" s="283">
        <v>71</v>
      </c>
      <c r="V11" s="284">
        <v>26</v>
      </c>
      <c r="W11" s="285" t="s">
        <v>889</v>
      </c>
      <c r="X11" s="286" t="s">
        <v>889</v>
      </c>
      <c r="Y11" s="287">
        <v>0</v>
      </c>
      <c r="Z11" s="287">
        <v>12171</v>
      </c>
      <c r="AA11" s="286">
        <v>2023</v>
      </c>
      <c r="AB11" s="287">
        <v>5331</v>
      </c>
      <c r="AC11" s="287">
        <v>5331</v>
      </c>
      <c r="AD11" s="288" t="s">
        <v>2053</v>
      </c>
      <c r="AE11" s="289">
        <v>45208</v>
      </c>
      <c r="AF11" s="279">
        <v>13836</v>
      </c>
      <c r="AG11" s="282">
        <v>45148</v>
      </c>
      <c r="AH11" s="282" t="s">
        <v>889</v>
      </c>
      <c r="AI11" s="282">
        <v>45209</v>
      </c>
      <c r="AJ11" s="282" t="s">
        <v>889</v>
      </c>
      <c r="AK11" s="274"/>
    </row>
    <row r="12" spans="1:37" x14ac:dyDescent="0.3">
      <c r="A12" s="273">
        <v>10867</v>
      </c>
      <c r="B12" s="274" t="s">
        <v>924</v>
      </c>
      <c r="C12" s="146" t="s">
        <v>267</v>
      </c>
      <c r="D12" s="275">
        <v>3.55</v>
      </c>
      <c r="E12" s="274" t="s">
        <v>925</v>
      </c>
      <c r="F12" s="274" t="s">
        <v>926</v>
      </c>
      <c r="G12" s="274" t="s">
        <v>927</v>
      </c>
      <c r="H12" s="276">
        <v>12771</v>
      </c>
      <c r="I12" s="24">
        <v>103003</v>
      </c>
      <c r="J12" s="277">
        <v>3.55</v>
      </c>
      <c r="K12" s="276">
        <v>23676</v>
      </c>
      <c r="L12" s="278">
        <v>3.2821221871562654</v>
      </c>
      <c r="M12" s="279">
        <v>33921.96</v>
      </c>
      <c r="N12" s="277">
        <v>120422.958</v>
      </c>
      <c r="O12" s="280" t="s">
        <v>928</v>
      </c>
      <c r="P12" s="279">
        <v>15100</v>
      </c>
      <c r="Q12" s="281">
        <v>57155</v>
      </c>
      <c r="R12" s="282">
        <v>45268</v>
      </c>
      <c r="S12" s="274" t="s">
        <v>929</v>
      </c>
      <c r="T12" s="44">
        <v>1</v>
      </c>
      <c r="U12" s="283">
        <v>71</v>
      </c>
      <c r="V12" s="284">
        <v>20</v>
      </c>
      <c r="W12" s="285" t="s">
        <v>889</v>
      </c>
      <c r="X12" s="286" t="s">
        <v>889</v>
      </c>
      <c r="Y12" s="287">
        <v>0</v>
      </c>
      <c r="Z12" s="287" t="s">
        <v>889</v>
      </c>
      <c r="AA12" s="286" t="s">
        <v>889</v>
      </c>
      <c r="AB12" s="287">
        <v>0</v>
      </c>
      <c r="AC12" s="287"/>
      <c r="AD12" s="288" t="s">
        <v>889</v>
      </c>
      <c r="AE12" s="289" t="s">
        <v>889</v>
      </c>
      <c r="AF12" s="279">
        <v>15564</v>
      </c>
      <c r="AG12" s="282">
        <v>45048</v>
      </c>
      <c r="AH12" s="282" t="s">
        <v>889</v>
      </c>
      <c r="AI12" s="282">
        <v>45209</v>
      </c>
      <c r="AJ12" s="282" t="s">
        <v>889</v>
      </c>
      <c r="AK12" s="274"/>
    </row>
    <row r="13" spans="1:37" x14ac:dyDescent="0.3">
      <c r="A13" s="273">
        <v>11072</v>
      </c>
      <c r="B13" s="274" t="s">
        <v>930</v>
      </c>
      <c r="C13" s="146" t="s">
        <v>263</v>
      </c>
      <c r="D13" s="275">
        <v>1.59</v>
      </c>
      <c r="E13" s="274"/>
      <c r="F13" s="274"/>
      <c r="G13" s="274" t="s">
        <v>889</v>
      </c>
      <c r="H13" s="276">
        <v>314</v>
      </c>
      <c r="I13" s="24">
        <v>103003</v>
      </c>
      <c r="J13" s="277">
        <v>1.59</v>
      </c>
      <c r="K13" s="276">
        <v>369</v>
      </c>
      <c r="L13" s="278">
        <v>6.1871921182266014</v>
      </c>
      <c r="M13" s="279">
        <v>295</v>
      </c>
      <c r="N13" s="277">
        <v>469.05</v>
      </c>
      <c r="O13" s="280" t="s">
        <v>888</v>
      </c>
      <c r="P13" s="279">
        <v>0</v>
      </c>
      <c r="Q13" s="281">
        <v>0</v>
      </c>
      <c r="R13" s="282" t="s">
        <v>889</v>
      </c>
      <c r="S13" s="274" t="s">
        <v>931</v>
      </c>
      <c r="T13" s="44">
        <v>1</v>
      </c>
      <c r="U13" s="283">
        <v>45</v>
      </c>
      <c r="V13" s="284">
        <v>12</v>
      </c>
      <c r="W13" s="285" t="s">
        <v>889</v>
      </c>
      <c r="X13" s="286" t="s">
        <v>889</v>
      </c>
      <c r="Y13" s="287">
        <v>0</v>
      </c>
      <c r="Z13" s="287" t="s">
        <v>889</v>
      </c>
      <c r="AA13" s="286" t="s">
        <v>889</v>
      </c>
      <c r="AB13" s="287">
        <v>0</v>
      </c>
      <c r="AC13" s="287"/>
      <c r="AD13" s="288" t="s">
        <v>889</v>
      </c>
      <c r="AE13" s="289" t="s">
        <v>889</v>
      </c>
      <c r="AF13" s="279">
        <v>204</v>
      </c>
      <c r="AG13" s="282">
        <v>43616</v>
      </c>
      <c r="AH13" s="282" t="s">
        <v>889</v>
      </c>
      <c r="AI13" s="282">
        <v>44998</v>
      </c>
      <c r="AJ13" s="282" t="s">
        <v>889</v>
      </c>
      <c r="AK13" s="274"/>
    </row>
    <row r="14" spans="1:37" x14ac:dyDescent="0.3">
      <c r="A14" s="273">
        <v>11109</v>
      </c>
      <c r="B14" s="274" t="s">
        <v>932</v>
      </c>
      <c r="C14" s="146" t="s">
        <v>269</v>
      </c>
      <c r="D14" s="275">
        <v>1.2</v>
      </c>
      <c r="E14" s="274"/>
      <c r="F14" s="274"/>
      <c r="G14" s="274" t="s">
        <v>889</v>
      </c>
      <c r="H14" s="276">
        <v>0</v>
      </c>
      <c r="I14" s="24">
        <v>103003</v>
      </c>
      <c r="J14" s="277">
        <v>1.2</v>
      </c>
      <c r="K14" s="276">
        <v>2323</v>
      </c>
      <c r="L14" s="278">
        <v>0</v>
      </c>
      <c r="M14" s="279">
        <v>2342.04</v>
      </c>
      <c r="N14" s="277">
        <v>2810.4479999999999</v>
      </c>
      <c r="O14" s="280" t="s">
        <v>888</v>
      </c>
      <c r="P14" s="279">
        <v>0</v>
      </c>
      <c r="Q14" s="281">
        <v>0</v>
      </c>
      <c r="R14" s="282" t="s">
        <v>889</v>
      </c>
      <c r="S14" s="274" t="s">
        <v>931</v>
      </c>
      <c r="T14" s="44">
        <v>1</v>
      </c>
      <c r="U14" s="283">
        <v>45</v>
      </c>
      <c r="V14" s="284">
        <v>12</v>
      </c>
      <c r="W14" s="285">
        <v>6978</v>
      </c>
      <c r="X14" s="286">
        <v>2023</v>
      </c>
      <c r="Y14" s="287">
        <v>600</v>
      </c>
      <c r="Z14" s="287" t="s">
        <v>889</v>
      </c>
      <c r="AA14" s="286" t="s">
        <v>889</v>
      </c>
      <c r="AB14" s="287">
        <v>0</v>
      </c>
      <c r="AC14" s="287"/>
      <c r="AD14" s="288" t="s">
        <v>889</v>
      </c>
      <c r="AE14" s="289" t="s">
        <v>889</v>
      </c>
      <c r="AF14" s="279">
        <v>980</v>
      </c>
      <c r="AG14" s="282">
        <v>45014</v>
      </c>
      <c r="AH14" s="282" t="s">
        <v>889</v>
      </c>
      <c r="AI14" s="282">
        <v>45107</v>
      </c>
      <c r="AJ14" s="282" t="s">
        <v>889</v>
      </c>
      <c r="AK14" s="274"/>
    </row>
    <row r="15" spans="1:37" x14ac:dyDescent="0.3">
      <c r="A15" s="273">
        <v>11116</v>
      </c>
      <c r="B15" s="274" t="s">
        <v>933</v>
      </c>
      <c r="C15" s="146" t="s">
        <v>269</v>
      </c>
      <c r="D15" s="275">
        <v>3.79</v>
      </c>
      <c r="E15" s="274"/>
      <c r="F15" s="274"/>
      <c r="G15" s="274" t="s">
        <v>889</v>
      </c>
      <c r="H15" s="276">
        <v>1315</v>
      </c>
      <c r="I15" s="24">
        <v>103003</v>
      </c>
      <c r="J15" s="277">
        <v>3.79</v>
      </c>
      <c r="K15" s="276">
        <v>405</v>
      </c>
      <c r="L15" s="278">
        <v>23.659589780496582</v>
      </c>
      <c r="M15" s="279">
        <v>0</v>
      </c>
      <c r="N15" s="277">
        <v>0</v>
      </c>
      <c r="O15" s="280" t="s">
        <v>888</v>
      </c>
      <c r="P15" s="279">
        <v>0</v>
      </c>
      <c r="Q15" s="281">
        <v>0</v>
      </c>
      <c r="R15" s="282" t="s">
        <v>889</v>
      </c>
      <c r="S15" s="274" t="s">
        <v>931</v>
      </c>
      <c r="T15" s="44">
        <v>1</v>
      </c>
      <c r="U15" s="283">
        <v>45</v>
      </c>
      <c r="V15" s="284">
        <v>12</v>
      </c>
      <c r="W15" s="285" t="s">
        <v>889</v>
      </c>
      <c r="X15" s="286" t="s">
        <v>889</v>
      </c>
      <c r="Y15" s="287">
        <v>0</v>
      </c>
      <c r="Z15" s="287" t="s">
        <v>889</v>
      </c>
      <c r="AA15" s="286" t="s">
        <v>889</v>
      </c>
      <c r="AB15" s="287">
        <v>0</v>
      </c>
      <c r="AC15" s="287"/>
      <c r="AD15" s="288" t="s">
        <v>889</v>
      </c>
      <c r="AE15" s="289" t="s">
        <v>889</v>
      </c>
      <c r="AF15" s="279">
        <v>222</v>
      </c>
      <c r="AG15" s="282">
        <v>43521</v>
      </c>
      <c r="AH15" s="282" t="s">
        <v>889</v>
      </c>
      <c r="AI15" s="282">
        <v>45107</v>
      </c>
      <c r="AJ15" s="282" t="s">
        <v>889</v>
      </c>
      <c r="AK15" s="274"/>
    </row>
    <row r="16" spans="1:37" x14ac:dyDescent="0.3">
      <c r="A16" s="273">
        <v>11264</v>
      </c>
      <c r="B16" s="274" t="s">
        <v>934</v>
      </c>
      <c r="C16" s="146" t="s">
        <v>263</v>
      </c>
      <c r="D16" s="275">
        <v>13.92</v>
      </c>
      <c r="E16" s="274"/>
      <c r="F16" s="274"/>
      <c r="G16" s="274" t="s">
        <v>889</v>
      </c>
      <c r="H16" s="276">
        <v>135</v>
      </c>
      <c r="I16" s="24">
        <v>103003</v>
      </c>
      <c r="J16" s="277">
        <v>13.92</v>
      </c>
      <c r="K16" s="276">
        <v>241</v>
      </c>
      <c r="L16" s="278">
        <v>4.4880319148936172</v>
      </c>
      <c r="M16" s="279">
        <v>225.96</v>
      </c>
      <c r="N16" s="277">
        <v>3145.3631999999998</v>
      </c>
      <c r="O16" s="280" t="s">
        <v>888</v>
      </c>
      <c r="P16" s="279">
        <v>0</v>
      </c>
      <c r="Q16" s="281">
        <v>0</v>
      </c>
      <c r="R16" s="282" t="s">
        <v>889</v>
      </c>
      <c r="S16" s="274" t="s">
        <v>931</v>
      </c>
      <c r="T16" s="44">
        <v>1</v>
      </c>
      <c r="U16" s="283">
        <v>45</v>
      </c>
      <c r="V16" s="284">
        <v>12</v>
      </c>
      <c r="W16" s="285" t="s">
        <v>889</v>
      </c>
      <c r="X16" s="286" t="s">
        <v>889</v>
      </c>
      <c r="Y16" s="287">
        <v>0</v>
      </c>
      <c r="Z16" s="287" t="s">
        <v>889</v>
      </c>
      <c r="AA16" s="286" t="s">
        <v>889</v>
      </c>
      <c r="AB16" s="287">
        <v>0</v>
      </c>
      <c r="AC16" s="287"/>
      <c r="AD16" s="288" t="s">
        <v>889</v>
      </c>
      <c r="AE16" s="289" t="s">
        <v>889</v>
      </c>
      <c r="AF16" s="279">
        <v>120</v>
      </c>
      <c r="AG16" s="282">
        <v>45013</v>
      </c>
      <c r="AH16" s="282" t="s">
        <v>889</v>
      </c>
      <c r="AI16" s="282">
        <v>44998</v>
      </c>
      <c r="AJ16" s="282" t="s">
        <v>889</v>
      </c>
      <c r="AK16" s="274"/>
    </row>
    <row r="17" spans="1:37" x14ac:dyDescent="0.3">
      <c r="A17" s="273">
        <v>11418</v>
      </c>
      <c r="B17" s="274" t="s">
        <v>935</v>
      </c>
      <c r="C17" s="146" t="s">
        <v>263</v>
      </c>
      <c r="D17" s="275">
        <v>1.39</v>
      </c>
      <c r="E17" s="274"/>
      <c r="F17" s="274"/>
      <c r="G17" s="274" t="s">
        <v>889</v>
      </c>
      <c r="H17" s="276">
        <v>1449</v>
      </c>
      <c r="I17" s="24">
        <v>103003</v>
      </c>
      <c r="J17" s="277">
        <v>1.39</v>
      </c>
      <c r="K17" s="276">
        <v>7426</v>
      </c>
      <c r="L17" s="278">
        <v>2.0270553837975465</v>
      </c>
      <c r="M17" s="279">
        <v>6128.96</v>
      </c>
      <c r="N17" s="277">
        <v>8519.2543999999998</v>
      </c>
      <c r="O17" s="280" t="s">
        <v>888</v>
      </c>
      <c r="P17" s="279">
        <v>0</v>
      </c>
      <c r="Q17" s="281">
        <v>0</v>
      </c>
      <c r="R17" s="282" t="s">
        <v>889</v>
      </c>
      <c r="S17" s="274" t="s">
        <v>909</v>
      </c>
      <c r="T17" s="44">
        <v>1</v>
      </c>
      <c r="U17" s="283">
        <v>45</v>
      </c>
      <c r="V17" s="284">
        <v>10</v>
      </c>
      <c r="W17" s="285">
        <v>6209</v>
      </c>
      <c r="X17" s="286">
        <v>2023</v>
      </c>
      <c r="Y17" s="287">
        <v>1000</v>
      </c>
      <c r="Z17" s="287" t="s">
        <v>889</v>
      </c>
      <c r="AA17" s="286" t="s">
        <v>889</v>
      </c>
      <c r="AB17" s="287">
        <v>0</v>
      </c>
      <c r="AC17" s="287"/>
      <c r="AD17" s="288" t="s">
        <v>889</v>
      </c>
      <c r="AE17" s="289" t="s">
        <v>889</v>
      </c>
      <c r="AF17" s="279">
        <v>2860</v>
      </c>
      <c r="AG17" s="282">
        <v>44956</v>
      </c>
      <c r="AH17" s="282" t="s">
        <v>889</v>
      </c>
      <c r="AI17" s="282">
        <v>44910</v>
      </c>
      <c r="AJ17" s="282" t="s">
        <v>889</v>
      </c>
      <c r="AK17" s="274"/>
    </row>
    <row r="18" spans="1:37" x14ac:dyDescent="0.3">
      <c r="A18" s="273">
        <v>11448</v>
      </c>
      <c r="B18" s="274" t="s">
        <v>936</v>
      </c>
      <c r="C18" s="146" t="s">
        <v>335</v>
      </c>
      <c r="D18" s="275">
        <v>1.8</v>
      </c>
      <c r="E18" s="274"/>
      <c r="F18" s="274"/>
      <c r="G18" s="274" t="s">
        <v>889</v>
      </c>
      <c r="H18" s="276">
        <v>504</v>
      </c>
      <c r="I18" s="24">
        <v>103003</v>
      </c>
      <c r="J18" s="277">
        <v>1.8</v>
      </c>
      <c r="K18" s="276">
        <v>452</v>
      </c>
      <c r="L18" s="278">
        <v>9.5853936858120967</v>
      </c>
      <c r="M18" s="279">
        <v>126.96</v>
      </c>
      <c r="N18" s="277">
        <v>228.52799999999999</v>
      </c>
      <c r="O18" s="280" t="s">
        <v>888</v>
      </c>
      <c r="P18" s="279">
        <v>0</v>
      </c>
      <c r="Q18" s="281">
        <v>0</v>
      </c>
      <c r="R18" s="282" t="s">
        <v>889</v>
      </c>
      <c r="S18" s="274" t="s">
        <v>937</v>
      </c>
      <c r="T18" s="44">
        <v>1</v>
      </c>
      <c r="U18" s="283">
        <v>45</v>
      </c>
      <c r="V18" s="284">
        <v>9</v>
      </c>
      <c r="W18" s="285" t="s">
        <v>889</v>
      </c>
      <c r="X18" s="286" t="s">
        <v>889</v>
      </c>
      <c r="Y18" s="287">
        <v>0</v>
      </c>
      <c r="Z18" s="287" t="s">
        <v>889</v>
      </c>
      <c r="AA18" s="286" t="s">
        <v>889</v>
      </c>
      <c r="AB18" s="287">
        <v>0</v>
      </c>
      <c r="AC18" s="287"/>
      <c r="AD18" s="288" t="s">
        <v>889</v>
      </c>
      <c r="AE18" s="289" t="s">
        <v>889</v>
      </c>
      <c r="AF18" s="279">
        <v>210</v>
      </c>
      <c r="AG18" s="282">
        <v>45013</v>
      </c>
      <c r="AH18" s="282" t="s">
        <v>889</v>
      </c>
      <c r="AI18" s="282">
        <v>45107</v>
      </c>
      <c r="AJ18" s="282" t="s">
        <v>889</v>
      </c>
      <c r="AK18" s="274"/>
    </row>
    <row r="19" spans="1:37" x14ac:dyDescent="0.3">
      <c r="A19" s="273">
        <v>11509</v>
      </c>
      <c r="B19" s="274" t="s">
        <v>938</v>
      </c>
      <c r="C19" s="146" t="s">
        <v>263</v>
      </c>
      <c r="D19" s="275">
        <v>1.31</v>
      </c>
      <c r="E19" s="274"/>
      <c r="F19" s="274"/>
      <c r="G19" s="274" t="s">
        <v>889</v>
      </c>
      <c r="H19" s="276">
        <v>2933</v>
      </c>
      <c r="I19" s="24">
        <v>103003</v>
      </c>
      <c r="J19" s="277">
        <v>1.31</v>
      </c>
      <c r="K19" s="276">
        <v>7025</v>
      </c>
      <c r="L19" s="278">
        <v>4.0445688597156533</v>
      </c>
      <c r="M19" s="279">
        <v>5769.04</v>
      </c>
      <c r="N19" s="277">
        <v>7557.4423999999999</v>
      </c>
      <c r="O19" s="280" t="s">
        <v>888</v>
      </c>
      <c r="P19" s="279">
        <v>0</v>
      </c>
      <c r="Q19" s="281">
        <v>0</v>
      </c>
      <c r="R19" s="282" t="s">
        <v>889</v>
      </c>
      <c r="S19" s="274" t="s">
        <v>909</v>
      </c>
      <c r="T19" s="44">
        <v>1</v>
      </c>
      <c r="U19" s="283">
        <v>45</v>
      </c>
      <c r="V19" s="284">
        <v>10</v>
      </c>
      <c r="W19" s="285" t="s">
        <v>889</v>
      </c>
      <c r="X19" s="286" t="s">
        <v>889</v>
      </c>
      <c r="Y19" s="287">
        <v>0</v>
      </c>
      <c r="Z19" s="287" t="s">
        <v>889</v>
      </c>
      <c r="AA19" s="286" t="s">
        <v>889</v>
      </c>
      <c r="AB19" s="287">
        <v>0</v>
      </c>
      <c r="AC19" s="287"/>
      <c r="AD19" s="288" t="s">
        <v>889</v>
      </c>
      <c r="AE19" s="289" t="s">
        <v>889</v>
      </c>
      <c r="AF19" s="279">
        <v>2900</v>
      </c>
      <c r="AG19" s="282">
        <v>44956</v>
      </c>
      <c r="AH19" s="282" t="s">
        <v>889</v>
      </c>
      <c r="AI19" s="282">
        <v>44910</v>
      </c>
      <c r="AJ19" s="282" t="s">
        <v>889</v>
      </c>
      <c r="AK19" s="274"/>
    </row>
    <row r="20" spans="1:37" x14ac:dyDescent="0.3">
      <c r="A20" s="273">
        <v>11590</v>
      </c>
      <c r="B20" s="274" t="s">
        <v>939</v>
      </c>
      <c r="C20" s="146" t="s">
        <v>263</v>
      </c>
      <c r="D20" s="275">
        <v>1.1000000000000001</v>
      </c>
      <c r="E20" s="274"/>
      <c r="F20" s="274"/>
      <c r="G20" s="274" t="s">
        <v>889</v>
      </c>
      <c r="H20" s="276">
        <v>0</v>
      </c>
      <c r="I20" s="24">
        <v>103003</v>
      </c>
      <c r="J20" s="277">
        <v>1.1000000000000001</v>
      </c>
      <c r="K20" s="276">
        <v>3910</v>
      </c>
      <c r="L20" s="278">
        <v>0</v>
      </c>
      <c r="M20" s="279">
        <v>2017.04</v>
      </c>
      <c r="N20" s="277">
        <v>2218.7440000000001</v>
      </c>
      <c r="O20" s="280" t="s">
        <v>888</v>
      </c>
      <c r="P20" s="279">
        <v>0</v>
      </c>
      <c r="Q20" s="281">
        <v>0</v>
      </c>
      <c r="R20" s="282" t="s">
        <v>889</v>
      </c>
      <c r="S20" s="274" t="s">
        <v>909</v>
      </c>
      <c r="T20" s="44">
        <v>1</v>
      </c>
      <c r="U20" s="283">
        <v>45</v>
      </c>
      <c r="V20" s="284">
        <v>10</v>
      </c>
      <c r="W20" s="285">
        <v>6982</v>
      </c>
      <c r="X20" s="286">
        <v>2023</v>
      </c>
      <c r="Y20" s="287">
        <v>2200</v>
      </c>
      <c r="Z20" s="287" t="s">
        <v>889</v>
      </c>
      <c r="AA20" s="286" t="s">
        <v>889</v>
      </c>
      <c r="AB20" s="287">
        <v>0</v>
      </c>
      <c r="AC20" s="287"/>
      <c r="AD20" s="288" t="s">
        <v>889</v>
      </c>
      <c r="AE20" s="289" t="s">
        <v>889</v>
      </c>
      <c r="AF20" s="279">
        <v>1406</v>
      </c>
      <c r="AG20" s="282">
        <v>44923</v>
      </c>
      <c r="AH20" s="282" t="s">
        <v>889</v>
      </c>
      <c r="AI20" s="282">
        <v>45107</v>
      </c>
      <c r="AJ20" s="282" t="s">
        <v>889</v>
      </c>
      <c r="AK20" s="274"/>
    </row>
    <row r="21" spans="1:37" x14ac:dyDescent="0.3">
      <c r="A21" s="273">
        <v>11857</v>
      </c>
      <c r="B21" s="274" t="s">
        <v>940</v>
      </c>
      <c r="C21" s="146" t="s">
        <v>31</v>
      </c>
      <c r="D21" s="275">
        <v>0.15</v>
      </c>
      <c r="E21" s="274"/>
      <c r="F21" s="274"/>
      <c r="G21" s="274" t="s">
        <v>889</v>
      </c>
      <c r="H21" s="276">
        <v>20140</v>
      </c>
      <c r="I21" s="24">
        <v>103003</v>
      </c>
      <c r="J21" s="277">
        <v>0.15</v>
      </c>
      <c r="K21" s="276">
        <v>12263</v>
      </c>
      <c r="L21" s="278">
        <v>12.37610072941567</v>
      </c>
      <c r="M21" s="279">
        <v>0</v>
      </c>
      <c r="N21" s="277">
        <v>0</v>
      </c>
      <c r="O21" s="280" t="s">
        <v>888</v>
      </c>
      <c r="P21" s="279">
        <v>0</v>
      </c>
      <c r="Q21" s="281">
        <v>0</v>
      </c>
      <c r="R21" s="282" t="s">
        <v>889</v>
      </c>
      <c r="S21" s="274" t="s">
        <v>941</v>
      </c>
      <c r="T21" s="44">
        <v>1</v>
      </c>
      <c r="U21" s="283">
        <v>45</v>
      </c>
      <c r="V21" s="284">
        <v>11</v>
      </c>
      <c r="W21" s="285" t="s">
        <v>889</v>
      </c>
      <c r="X21" s="286" t="s">
        <v>889</v>
      </c>
      <c r="Y21" s="287">
        <v>0</v>
      </c>
      <c r="Z21" s="287" t="s">
        <v>889</v>
      </c>
      <c r="AA21" s="286" t="s">
        <v>889</v>
      </c>
      <c r="AB21" s="287">
        <v>0</v>
      </c>
      <c r="AC21" s="287"/>
      <c r="AD21" s="288" t="s">
        <v>889</v>
      </c>
      <c r="AE21" s="289" t="s">
        <v>889</v>
      </c>
      <c r="AF21" s="279">
        <v>6510</v>
      </c>
      <c r="AG21" s="282">
        <v>43635</v>
      </c>
      <c r="AH21" s="282" t="s">
        <v>889</v>
      </c>
      <c r="AI21" s="282">
        <v>45107</v>
      </c>
      <c r="AJ21" s="282" t="s">
        <v>889</v>
      </c>
      <c r="AK21" s="274"/>
    </row>
    <row r="22" spans="1:37" x14ac:dyDescent="0.3">
      <c r="A22" s="273">
        <v>12018</v>
      </c>
      <c r="B22" s="274" t="s">
        <v>942</v>
      </c>
      <c r="C22" s="146" t="s">
        <v>31</v>
      </c>
      <c r="D22" s="275">
        <v>10.16</v>
      </c>
      <c r="E22" s="274"/>
      <c r="F22" s="274"/>
      <c r="G22" s="274" t="s">
        <v>889</v>
      </c>
      <c r="H22" s="276">
        <v>2857</v>
      </c>
      <c r="I22" s="24">
        <v>103003</v>
      </c>
      <c r="J22" s="277">
        <v>10.16</v>
      </c>
      <c r="K22" s="276">
        <v>119</v>
      </c>
      <c r="L22" s="278">
        <v>185.27885862516212</v>
      </c>
      <c r="M22" s="279">
        <v>0</v>
      </c>
      <c r="N22" s="277">
        <v>0</v>
      </c>
      <c r="O22" s="280" t="s">
        <v>888</v>
      </c>
      <c r="P22" s="279">
        <v>0</v>
      </c>
      <c r="Q22" s="281">
        <v>0</v>
      </c>
      <c r="R22" s="282" t="s">
        <v>889</v>
      </c>
      <c r="S22" s="274" t="s">
        <v>941</v>
      </c>
      <c r="T22" s="44">
        <v>1</v>
      </c>
      <c r="U22" s="283">
        <v>45</v>
      </c>
      <c r="V22" s="284">
        <v>11</v>
      </c>
      <c r="W22" s="285" t="s">
        <v>889</v>
      </c>
      <c r="X22" s="286" t="s">
        <v>889</v>
      </c>
      <c r="Y22" s="287">
        <v>0</v>
      </c>
      <c r="Z22" s="287" t="s">
        <v>889</v>
      </c>
      <c r="AA22" s="286" t="s">
        <v>889</v>
      </c>
      <c r="AB22" s="287">
        <v>0</v>
      </c>
      <c r="AC22" s="287"/>
      <c r="AD22" s="288" t="s">
        <v>889</v>
      </c>
      <c r="AE22" s="289" t="s">
        <v>889</v>
      </c>
      <c r="AF22" s="279">
        <v>62</v>
      </c>
      <c r="AG22" s="282">
        <v>43620</v>
      </c>
      <c r="AH22" s="282" t="s">
        <v>889</v>
      </c>
      <c r="AI22" s="282">
        <v>45107</v>
      </c>
      <c r="AJ22" s="282" t="s">
        <v>889</v>
      </c>
      <c r="AK22" s="274"/>
    </row>
    <row r="23" spans="1:37" x14ac:dyDescent="0.3">
      <c r="A23" s="273">
        <v>12613</v>
      </c>
      <c r="B23" s="274" t="s">
        <v>943</v>
      </c>
      <c r="C23" s="146" t="s">
        <v>31</v>
      </c>
      <c r="D23" s="275">
        <v>0.28000000000000003</v>
      </c>
      <c r="E23" s="274"/>
      <c r="F23" s="274"/>
      <c r="G23" s="274" t="s">
        <v>889</v>
      </c>
      <c r="H23" s="276">
        <v>93967</v>
      </c>
      <c r="I23" s="24">
        <v>103003</v>
      </c>
      <c r="J23" s="277">
        <v>0.28000000000000003</v>
      </c>
      <c r="K23" s="276">
        <v>38672</v>
      </c>
      <c r="L23" s="278">
        <v>6.8712332052690153</v>
      </c>
      <c r="M23" s="279">
        <v>60138.04</v>
      </c>
      <c r="N23" s="277">
        <v>16838.6512</v>
      </c>
      <c r="O23" s="280" t="s">
        <v>888</v>
      </c>
      <c r="P23" s="279">
        <v>0</v>
      </c>
      <c r="Q23" s="281">
        <v>0</v>
      </c>
      <c r="R23" s="282" t="s">
        <v>889</v>
      </c>
      <c r="S23" s="274" t="s">
        <v>941</v>
      </c>
      <c r="T23" s="44">
        <v>1</v>
      </c>
      <c r="U23" s="283">
        <v>45</v>
      </c>
      <c r="V23" s="284">
        <v>11</v>
      </c>
      <c r="W23" s="285">
        <v>6211</v>
      </c>
      <c r="X23" s="286">
        <v>2023</v>
      </c>
      <c r="Y23" s="287">
        <v>10000</v>
      </c>
      <c r="Z23" s="287" t="s">
        <v>889</v>
      </c>
      <c r="AA23" s="286" t="s">
        <v>889</v>
      </c>
      <c r="AB23" s="287">
        <v>0</v>
      </c>
      <c r="AC23" s="287"/>
      <c r="AD23" s="288" t="s">
        <v>889</v>
      </c>
      <c r="AE23" s="289" t="s">
        <v>889</v>
      </c>
      <c r="AF23" s="279">
        <v>54702</v>
      </c>
      <c r="AG23" s="282">
        <v>44950</v>
      </c>
      <c r="AH23" s="282" t="s">
        <v>889</v>
      </c>
      <c r="AI23" s="282">
        <v>45107</v>
      </c>
      <c r="AJ23" s="282" t="s">
        <v>889</v>
      </c>
      <c r="AK23" s="274"/>
    </row>
    <row r="24" spans="1:37" x14ac:dyDescent="0.3">
      <c r="A24" s="273">
        <v>12614</v>
      </c>
      <c r="B24" s="274" t="s">
        <v>944</v>
      </c>
      <c r="C24" s="146" t="s">
        <v>31</v>
      </c>
      <c r="D24" s="275">
        <v>0.47</v>
      </c>
      <c r="E24" s="274"/>
      <c r="F24" s="274"/>
      <c r="G24" s="274" t="s">
        <v>889</v>
      </c>
      <c r="H24" s="276">
        <v>0</v>
      </c>
      <c r="I24" s="24">
        <v>103003</v>
      </c>
      <c r="J24" s="277">
        <v>0.47</v>
      </c>
      <c r="K24" s="276">
        <v>25422</v>
      </c>
      <c r="L24" s="278">
        <v>0</v>
      </c>
      <c r="M24" s="279">
        <v>30513.96</v>
      </c>
      <c r="N24" s="277">
        <v>14341.5612</v>
      </c>
      <c r="O24" s="280" t="s">
        <v>888</v>
      </c>
      <c r="P24" s="279">
        <v>0</v>
      </c>
      <c r="Q24" s="281">
        <v>0</v>
      </c>
      <c r="R24" s="282" t="s">
        <v>889</v>
      </c>
      <c r="S24" s="274" t="s">
        <v>941</v>
      </c>
      <c r="T24" s="44">
        <v>1</v>
      </c>
      <c r="U24" s="283">
        <v>45</v>
      </c>
      <c r="V24" s="284">
        <v>11</v>
      </c>
      <c r="W24" s="285">
        <v>6982</v>
      </c>
      <c r="X24" s="286">
        <v>2023</v>
      </c>
      <c r="Y24" s="287">
        <v>1800</v>
      </c>
      <c r="Z24" s="287" t="s">
        <v>889</v>
      </c>
      <c r="AA24" s="286" t="s">
        <v>889</v>
      </c>
      <c r="AB24" s="287">
        <v>0</v>
      </c>
      <c r="AC24" s="287"/>
      <c r="AD24" s="288" t="s">
        <v>889</v>
      </c>
      <c r="AE24" s="289" t="s">
        <v>889</v>
      </c>
      <c r="AF24" s="279">
        <v>10772</v>
      </c>
      <c r="AG24" s="282">
        <v>43804</v>
      </c>
      <c r="AH24" s="282" t="s">
        <v>889</v>
      </c>
      <c r="AI24" s="282">
        <v>45107</v>
      </c>
      <c r="AJ24" s="282" t="s">
        <v>889</v>
      </c>
      <c r="AK24" s="274"/>
    </row>
    <row r="25" spans="1:37" x14ac:dyDescent="0.3">
      <c r="A25" s="273">
        <v>12616</v>
      </c>
      <c r="B25" s="274" t="s">
        <v>945</v>
      </c>
      <c r="C25" s="146" t="s">
        <v>900</v>
      </c>
      <c r="D25" s="275">
        <v>21.82</v>
      </c>
      <c r="E25" s="274"/>
      <c r="F25" s="274"/>
      <c r="G25" s="274" t="s">
        <v>889</v>
      </c>
      <c r="H25" s="276">
        <v>22355</v>
      </c>
      <c r="I25" s="24">
        <v>103003</v>
      </c>
      <c r="J25" s="277">
        <v>20.88308</v>
      </c>
      <c r="K25" s="276">
        <v>34048</v>
      </c>
      <c r="L25" s="278">
        <v>4.8152934841141635</v>
      </c>
      <c r="M25" s="279">
        <v>33355</v>
      </c>
      <c r="N25" s="277">
        <v>727806.1</v>
      </c>
      <c r="O25" s="280" t="s">
        <v>888</v>
      </c>
      <c r="P25" s="279">
        <v>0</v>
      </c>
      <c r="Q25" s="281">
        <v>0</v>
      </c>
      <c r="R25" s="282" t="s">
        <v>889</v>
      </c>
      <c r="S25" s="274" t="s">
        <v>901</v>
      </c>
      <c r="T25" s="44">
        <v>1</v>
      </c>
      <c r="U25" s="283">
        <v>57</v>
      </c>
      <c r="V25" s="284">
        <v>19</v>
      </c>
      <c r="W25" s="285" t="s">
        <v>889</v>
      </c>
      <c r="X25" s="286" t="s">
        <v>889</v>
      </c>
      <c r="Y25" s="287">
        <v>0</v>
      </c>
      <c r="Z25" s="287" t="s">
        <v>889</v>
      </c>
      <c r="AA25" s="286" t="s">
        <v>889</v>
      </c>
      <c r="AB25" s="287">
        <v>0</v>
      </c>
      <c r="AC25" s="287"/>
      <c r="AD25" s="288" t="s">
        <v>889</v>
      </c>
      <c r="AE25" s="289" t="s">
        <v>889</v>
      </c>
      <c r="AF25" s="279">
        <v>18570</v>
      </c>
      <c r="AG25" s="282">
        <v>45201</v>
      </c>
      <c r="AH25" s="282" t="s">
        <v>889</v>
      </c>
      <c r="AI25" s="282">
        <v>45107</v>
      </c>
      <c r="AJ25" s="282" t="s">
        <v>889</v>
      </c>
      <c r="AK25" s="274"/>
    </row>
    <row r="26" spans="1:37" x14ac:dyDescent="0.3">
      <c r="A26" s="273">
        <v>12623</v>
      </c>
      <c r="B26" s="274" t="s">
        <v>946</v>
      </c>
      <c r="C26" s="146" t="s">
        <v>380</v>
      </c>
      <c r="D26" s="275">
        <v>1.1499999999999999</v>
      </c>
      <c r="E26" s="274"/>
      <c r="F26" s="274"/>
      <c r="G26" s="274" t="s">
        <v>889</v>
      </c>
      <c r="H26" s="276">
        <v>28187</v>
      </c>
      <c r="I26" s="24">
        <v>103003</v>
      </c>
      <c r="J26" s="277">
        <v>1.1499999999999999</v>
      </c>
      <c r="K26" s="276">
        <v>45100</v>
      </c>
      <c r="L26" s="278">
        <v>6.8307282200411974</v>
      </c>
      <c r="M26" s="279">
        <v>21331</v>
      </c>
      <c r="N26" s="277">
        <v>24530.65</v>
      </c>
      <c r="O26" s="280" t="s">
        <v>888</v>
      </c>
      <c r="P26" s="279">
        <v>0</v>
      </c>
      <c r="Q26" s="281">
        <v>0</v>
      </c>
      <c r="R26" s="282" t="s">
        <v>889</v>
      </c>
      <c r="S26" s="274" t="s">
        <v>947</v>
      </c>
      <c r="T26" s="44">
        <v>1</v>
      </c>
      <c r="U26" s="283">
        <v>57</v>
      </c>
      <c r="V26" s="284">
        <v>16</v>
      </c>
      <c r="W26" s="285" t="s">
        <v>889</v>
      </c>
      <c r="X26" s="286" t="s">
        <v>889</v>
      </c>
      <c r="Y26" s="287">
        <v>0</v>
      </c>
      <c r="Z26" s="287" t="s">
        <v>889</v>
      </c>
      <c r="AA26" s="286" t="s">
        <v>889</v>
      </c>
      <c r="AB26" s="287">
        <v>0</v>
      </c>
      <c r="AC26" s="287"/>
      <c r="AD26" s="288" t="s">
        <v>889</v>
      </c>
      <c r="AE26" s="289" t="s">
        <v>889</v>
      </c>
      <c r="AF26" s="279">
        <v>16506</v>
      </c>
      <c r="AG26" s="282">
        <v>44971</v>
      </c>
      <c r="AH26" s="282" t="s">
        <v>889</v>
      </c>
      <c r="AI26" s="282">
        <v>45089</v>
      </c>
      <c r="AJ26" s="282" t="s">
        <v>889</v>
      </c>
      <c r="AK26" s="274"/>
    </row>
    <row r="27" spans="1:37" x14ac:dyDescent="0.3">
      <c r="A27" s="273">
        <v>12635</v>
      </c>
      <c r="B27" s="274" t="s">
        <v>948</v>
      </c>
      <c r="C27" s="146" t="s">
        <v>380</v>
      </c>
      <c r="D27" s="275">
        <v>0.93</v>
      </c>
      <c r="E27" s="274"/>
      <c r="F27" s="274"/>
      <c r="G27" s="274" t="s">
        <v>889</v>
      </c>
      <c r="H27" s="276">
        <v>0</v>
      </c>
      <c r="I27" s="24">
        <v>103003</v>
      </c>
      <c r="J27" s="277">
        <v>0.93</v>
      </c>
      <c r="K27" s="276">
        <v>11203</v>
      </c>
      <c r="L27" s="278">
        <v>0</v>
      </c>
      <c r="M27" s="279">
        <v>17622.04</v>
      </c>
      <c r="N27" s="277">
        <v>16388.497200000002</v>
      </c>
      <c r="O27" s="280" t="s">
        <v>888</v>
      </c>
      <c r="P27" s="279">
        <v>0</v>
      </c>
      <c r="Q27" s="281">
        <v>0</v>
      </c>
      <c r="R27" s="282" t="s">
        <v>889</v>
      </c>
      <c r="S27" s="274" t="s">
        <v>947</v>
      </c>
      <c r="T27" s="44">
        <v>1</v>
      </c>
      <c r="U27" s="283">
        <v>57</v>
      </c>
      <c r="V27" s="284">
        <v>16</v>
      </c>
      <c r="W27" s="285">
        <v>6984</v>
      </c>
      <c r="X27" s="286">
        <v>2023</v>
      </c>
      <c r="Y27" s="287">
        <v>500</v>
      </c>
      <c r="Z27" s="287" t="s">
        <v>889</v>
      </c>
      <c r="AA27" s="286" t="s">
        <v>889</v>
      </c>
      <c r="AB27" s="287">
        <v>0</v>
      </c>
      <c r="AC27" s="287"/>
      <c r="AD27" s="288" t="s">
        <v>889</v>
      </c>
      <c r="AE27" s="289" t="s">
        <v>889</v>
      </c>
      <c r="AF27" s="279">
        <v>6040</v>
      </c>
      <c r="AG27" s="282">
        <v>44425</v>
      </c>
      <c r="AH27" s="282" t="s">
        <v>889</v>
      </c>
      <c r="AI27" s="282">
        <v>45048</v>
      </c>
      <c r="AJ27" s="282" t="s">
        <v>889</v>
      </c>
      <c r="AK27" s="274"/>
    </row>
    <row r="28" spans="1:37" x14ac:dyDescent="0.3">
      <c r="A28" s="273">
        <v>12652</v>
      </c>
      <c r="B28" s="274" t="s">
        <v>949</v>
      </c>
      <c r="C28" s="146" t="s">
        <v>267</v>
      </c>
      <c r="D28" s="275">
        <v>1.82</v>
      </c>
      <c r="E28" s="274" t="s">
        <v>950</v>
      </c>
      <c r="F28" s="274" t="s">
        <v>912</v>
      </c>
      <c r="G28" s="274" t="s">
        <v>951</v>
      </c>
      <c r="H28" s="276">
        <v>2640</v>
      </c>
      <c r="I28" s="24">
        <v>103003</v>
      </c>
      <c r="J28" s="277">
        <v>1.82</v>
      </c>
      <c r="K28" s="276">
        <v>7203</v>
      </c>
      <c r="L28" s="278">
        <v>3.2469129728931962</v>
      </c>
      <c r="M28" s="279">
        <v>7116.96</v>
      </c>
      <c r="N28" s="277">
        <v>12952.867200000001</v>
      </c>
      <c r="O28" s="280" t="s">
        <v>952</v>
      </c>
      <c r="P28" s="279">
        <v>62300</v>
      </c>
      <c r="Q28" s="281">
        <v>113386</v>
      </c>
      <c r="R28" s="282">
        <v>45454</v>
      </c>
      <c r="S28" s="274" t="s">
        <v>953</v>
      </c>
      <c r="T28" s="44">
        <v>1</v>
      </c>
      <c r="U28" s="283">
        <v>52</v>
      </c>
      <c r="V28" s="284">
        <v>6</v>
      </c>
      <c r="W28" s="285" t="s">
        <v>889</v>
      </c>
      <c r="X28" s="286" t="s">
        <v>889</v>
      </c>
      <c r="Y28" s="287">
        <v>0</v>
      </c>
      <c r="Z28" s="287" t="s">
        <v>889</v>
      </c>
      <c r="AA28" s="286" t="s">
        <v>889</v>
      </c>
      <c r="AB28" s="287">
        <v>0</v>
      </c>
      <c r="AC28" s="287"/>
      <c r="AD28" s="288" t="s">
        <v>889</v>
      </c>
      <c r="AE28" s="289" t="s">
        <v>889</v>
      </c>
      <c r="AF28" s="279">
        <v>3252</v>
      </c>
      <c r="AG28" s="282">
        <v>45203</v>
      </c>
      <c r="AH28" s="282" t="s">
        <v>889</v>
      </c>
      <c r="AI28" s="282">
        <v>45196</v>
      </c>
      <c r="AJ28" s="282" t="s">
        <v>889</v>
      </c>
      <c r="AK28" s="274"/>
    </row>
    <row r="29" spans="1:37" x14ac:dyDescent="0.3">
      <c r="A29" s="273">
        <v>12654</v>
      </c>
      <c r="B29" s="274" t="s">
        <v>954</v>
      </c>
      <c r="C29" s="146" t="s">
        <v>267</v>
      </c>
      <c r="D29" s="275">
        <v>3.81</v>
      </c>
      <c r="E29" s="274"/>
      <c r="F29" s="274"/>
      <c r="G29" s="274" t="s">
        <v>889</v>
      </c>
      <c r="H29" s="276">
        <v>62448</v>
      </c>
      <c r="I29" s="24">
        <v>103003</v>
      </c>
      <c r="J29" s="277">
        <v>3.81</v>
      </c>
      <c r="K29" s="276">
        <v>59821</v>
      </c>
      <c r="L29" s="278">
        <v>6.9637516476016952</v>
      </c>
      <c r="M29" s="279">
        <v>45162.96</v>
      </c>
      <c r="N29" s="277">
        <v>172070.87760000001</v>
      </c>
      <c r="O29" s="280" t="s">
        <v>888</v>
      </c>
      <c r="P29" s="279">
        <v>0</v>
      </c>
      <c r="Q29" s="281">
        <v>0</v>
      </c>
      <c r="R29" s="282" t="s">
        <v>889</v>
      </c>
      <c r="S29" s="274" t="s">
        <v>953</v>
      </c>
      <c r="T29" s="44">
        <v>1</v>
      </c>
      <c r="U29" s="283">
        <v>52</v>
      </c>
      <c r="V29" s="284">
        <v>6</v>
      </c>
      <c r="W29" s="285" t="s">
        <v>889</v>
      </c>
      <c r="X29" s="286" t="s">
        <v>889</v>
      </c>
      <c r="Y29" s="287">
        <v>0</v>
      </c>
      <c r="Z29" s="287" t="s">
        <v>889</v>
      </c>
      <c r="AA29" s="286" t="s">
        <v>889</v>
      </c>
      <c r="AB29" s="287">
        <v>0</v>
      </c>
      <c r="AC29" s="287"/>
      <c r="AD29" s="288" t="s">
        <v>889</v>
      </c>
      <c r="AE29" s="289" t="s">
        <v>889</v>
      </c>
      <c r="AF29" s="279">
        <v>35870</v>
      </c>
      <c r="AG29" s="282">
        <v>44950</v>
      </c>
      <c r="AH29" s="282" t="s">
        <v>889</v>
      </c>
      <c r="AI29" s="282">
        <v>45008</v>
      </c>
      <c r="AJ29" s="282" t="s">
        <v>889</v>
      </c>
      <c r="AK29" s="274"/>
    </row>
    <row r="30" spans="1:37" x14ac:dyDescent="0.3">
      <c r="A30" s="273">
        <v>12659</v>
      </c>
      <c r="B30" s="274" t="s">
        <v>955</v>
      </c>
      <c r="C30" s="146" t="s">
        <v>31</v>
      </c>
      <c r="D30" s="275">
        <v>3.53</v>
      </c>
      <c r="E30" s="274"/>
      <c r="F30" s="274"/>
      <c r="G30" s="274" t="s">
        <v>889</v>
      </c>
      <c r="H30" s="276">
        <v>79</v>
      </c>
      <c r="I30" s="24">
        <v>103003</v>
      </c>
      <c r="J30" s="277">
        <v>3.53</v>
      </c>
      <c r="K30" s="276">
        <v>2688</v>
      </c>
      <c r="L30" s="278">
        <v>0.23419203747072601</v>
      </c>
      <c r="M30" s="279">
        <v>3968.96</v>
      </c>
      <c r="N30" s="277">
        <v>14010.4288</v>
      </c>
      <c r="O30" s="280" t="s">
        <v>888</v>
      </c>
      <c r="P30" s="279">
        <v>0</v>
      </c>
      <c r="Q30" s="281">
        <v>0</v>
      </c>
      <c r="R30" s="282" t="s">
        <v>889</v>
      </c>
      <c r="S30" s="274" t="s">
        <v>956</v>
      </c>
      <c r="T30" s="44">
        <v>1</v>
      </c>
      <c r="U30" s="283">
        <v>72</v>
      </c>
      <c r="V30" s="284">
        <v>7</v>
      </c>
      <c r="W30" s="285" t="s">
        <v>889</v>
      </c>
      <c r="X30" s="286" t="s">
        <v>889</v>
      </c>
      <c r="Y30" s="287">
        <v>0</v>
      </c>
      <c r="Z30" s="287" t="s">
        <v>889</v>
      </c>
      <c r="AA30" s="286" t="s">
        <v>889</v>
      </c>
      <c r="AB30" s="287">
        <v>0</v>
      </c>
      <c r="AC30" s="287"/>
      <c r="AD30" s="288" t="s">
        <v>889</v>
      </c>
      <c r="AE30" s="289" t="s">
        <v>889</v>
      </c>
      <c r="AF30" s="279">
        <v>1350</v>
      </c>
      <c r="AG30" s="282">
        <v>45051</v>
      </c>
      <c r="AH30" s="282" t="s">
        <v>889</v>
      </c>
      <c r="AI30" s="282">
        <v>45114</v>
      </c>
      <c r="AJ30" s="282" t="s">
        <v>889</v>
      </c>
      <c r="AK30" s="274"/>
    </row>
    <row r="31" spans="1:37" x14ac:dyDescent="0.3">
      <c r="A31" s="273">
        <v>12685</v>
      </c>
      <c r="B31" s="274" t="s">
        <v>957</v>
      </c>
      <c r="C31" s="146" t="s">
        <v>335</v>
      </c>
      <c r="D31" s="275">
        <v>1.8</v>
      </c>
      <c r="E31" s="274" t="s">
        <v>958</v>
      </c>
      <c r="F31" s="274" t="s">
        <v>959</v>
      </c>
      <c r="G31" s="274" t="s">
        <v>896</v>
      </c>
      <c r="H31" s="276">
        <v>0</v>
      </c>
      <c r="I31" s="24">
        <v>103003</v>
      </c>
      <c r="J31" s="277">
        <v>1.8</v>
      </c>
      <c r="K31" s="276">
        <v>389</v>
      </c>
      <c r="L31" s="278">
        <v>0</v>
      </c>
      <c r="M31" s="279">
        <v>310.04000000000002</v>
      </c>
      <c r="N31" s="277">
        <v>558.072</v>
      </c>
      <c r="O31" s="280" t="s">
        <v>897</v>
      </c>
      <c r="P31" s="279">
        <v>22440</v>
      </c>
      <c r="Q31" s="281">
        <v>40392</v>
      </c>
      <c r="R31" s="282">
        <v>45377</v>
      </c>
      <c r="S31" s="274" t="s">
        <v>960</v>
      </c>
      <c r="T31" s="44">
        <v>1</v>
      </c>
      <c r="U31" s="283">
        <v>72</v>
      </c>
      <c r="V31" s="284">
        <v>10</v>
      </c>
      <c r="W31" s="285" t="s">
        <v>889</v>
      </c>
      <c r="X31" s="286" t="s">
        <v>889</v>
      </c>
      <c r="Y31" s="287">
        <v>0</v>
      </c>
      <c r="Z31" s="287">
        <v>12193</v>
      </c>
      <c r="AA31" s="286">
        <v>2023</v>
      </c>
      <c r="AB31" s="287">
        <v>100</v>
      </c>
      <c r="AC31" s="287">
        <v>100</v>
      </c>
      <c r="AD31" s="288" t="s">
        <v>2054</v>
      </c>
      <c r="AE31" s="289">
        <v>45229</v>
      </c>
      <c r="AF31" s="279">
        <v>136</v>
      </c>
      <c r="AG31" s="282">
        <v>45132</v>
      </c>
      <c r="AH31" s="282" t="s">
        <v>889</v>
      </c>
      <c r="AI31" s="282">
        <v>45209</v>
      </c>
      <c r="AJ31" s="282" t="s">
        <v>889</v>
      </c>
      <c r="AK31" s="274"/>
    </row>
    <row r="32" spans="1:37" x14ac:dyDescent="0.3">
      <c r="A32" s="273">
        <v>12754</v>
      </c>
      <c r="B32" s="274" t="s">
        <v>961</v>
      </c>
      <c r="C32" s="146" t="s">
        <v>267</v>
      </c>
      <c r="D32" s="275">
        <v>1.76</v>
      </c>
      <c r="E32" s="274"/>
      <c r="F32" s="274"/>
      <c r="G32" s="274" t="s">
        <v>889</v>
      </c>
      <c r="H32" s="276">
        <v>311</v>
      </c>
      <c r="I32" s="24">
        <v>103003</v>
      </c>
      <c r="J32" s="277">
        <v>1.76</v>
      </c>
      <c r="K32" s="276">
        <v>870</v>
      </c>
      <c r="L32" s="278">
        <v>2.7420208076177044</v>
      </c>
      <c r="M32" s="279">
        <v>1050.04</v>
      </c>
      <c r="N32" s="277">
        <v>1848.0704000000001</v>
      </c>
      <c r="O32" s="280" t="s">
        <v>888</v>
      </c>
      <c r="P32" s="279">
        <v>0</v>
      </c>
      <c r="Q32" s="281">
        <v>0</v>
      </c>
      <c r="R32" s="282" t="s">
        <v>889</v>
      </c>
      <c r="S32" s="274" t="s">
        <v>898</v>
      </c>
      <c r="T32" s="44">
        <v>1</v>
      </c>
      <c r="U32" s="283">
        <v>72</v>
      </c>
      <c r="V32" s="284">
        <v>6</v>
      </c>
      <c r="W32" s="285" t="s">
        <v>889</v>
      </c>
      <c r="X32" s="286" t="s">
        <v>889</v>
      </c>
      <c r="Y32" s="287">
        <v>0</v>
      </c>
      <c r="Z32" s="287" t="s">
        <v>889</v>
      </c>
      <c r="AA32" s="286" t="s">
        <v>889</v>
      </c>
      <c r="AB32" s="287">
        <v>0</v>
      </c>
      <c r="AC32" s="287"/>
      <c r="AD32" s="288" t="s">
        <v>889</v>
      </c>
      <c r="AE32" s="289" t="s">
        <v>889</v>
      </c>
      <c r="AF32" s="279">
        <v>454</v>
      </c>
      <c r="AG32" s="282">
        <v>44874</v>
      </c>
      <c r="AH32" s="282" t="s">
        <v>889</v>
      </c>
      <c r="AI32" s="282">
        <v>45133</v>
      </c>
      <c r="AJ32" s="282" t="s">
        <v>889</v>
      </c>
      <c r="AK32" s="274"/>
    </row>
    <row r="33" spans="1:37" x14ac:dyDescent="0.3">
      <c r="A33" s="273">
        <v>12763</v>
      </c>
      <c r="B33" s="274" t="s">
        <v>962</v>
      </c>
      <c r="C33" s="146" t="s">
        <v>611</v>
      </c>
      <c r="D33" s="275">
        <v>22.8</v>
      </c>
      <c r="E33" s="274"/>
      <c r="F33" s="274"/>
      <c r="G33" s="274" t="s">
        <v>889</v>
      </c>
      <c r="H33" s="276">
        <v>988</v>
      </c>
      <c r="I33" s="24">
        <v>103003</v>
      </c>
      <c r="J33" s="277">
        <v>22.8</v>
      </c>
      <c r="K33" s="276">
        <v>908</v>
      </c>
      <c r="L33" s="278">
        <v>10.937672976862615</v>
      </c>
      <c r="M33" s="279">
        <v>95.96</v>
      </c>
      <c r="N33" s="277">
        <v>2187.8879999999999</v>
      </c>
      <c r="O33" s="280" t="s">
        <v>888</v>
      </c>
      <c r="P33" s="279">
        <v>0</v>
      </c>
      <c r="Q33" s="281">
        <v>0</v>
      </c>
      <c r="R33" s="282" t="s">
        <v>889</v>
      </c>
      <c r="S33" s="274" t="s">
        <v>963</v>
      </c>
      <c r="T33" s="44">
        <v>1</v>
      </c>
      <c r="U33" s="283">
        <v>51</v>
      </c>
      <c r="V33" s="284">
        <v>3</v>
      </c>
      <c r="W33" s="285" t="s">
        <v>889</v>
      </c>
      <c r="X33" s="286" t="s">
        <v>889</v>
      </c>
      <c r="Y33" s="287">
        <v>0</v>
      </c>
      <c r="Z33" s="287" t="s">
        <v>889</v>
      </c>
      <c r="AA33" s="286" t="s">
        <v>889</v>
      </c>
      <c r="AB33" s="287">
        <v>0</v>
      </c>
      <c r="AC33" s="287"/>
      <c r="AD33" s="288" t="s">
        <v>889</v>
      </c>
      <c r="AE33" s="289" t="s">
        <v>889</v>
      </c>
      <c r="AF33" s="279">
        <v>362</v>
      </c>
      <c r="AG33" s="282">
        <v>45181</v>
      </c>
      <c r="AH33" s="282" t="s">
        <v>889</v>
      </c>
      <c r="AI33" s="282">
        <v>45160</v>
      </c>
      <c r="AJ33" s="282" t="s">
        <v>889</v>
      </c>
      <c r="AK33" s="274"/>
    </row>
    <row r="34" spans="1:37" x14ac:dyDescent="0.3">
      <c r="A34" s="273">
        <v>12812</v>
      </c>
      <c r="B34" s="274" t="s">
        <v>288</v>
      </c>
      <c r="C34" s="146" t="s">
        <v>263</v>
      </c>
      <c r="D34" s="275">
        <v>4.12</v>
      </c>
      <c r="E34" s="274"/>
      <c r="F34" s="274"/>
      <c r="G34" s="274" t="s">
        <v>889</v>
      </c>
      <c r="H34" s="276">
        <v>63</v>
      </c>
      <c r="I34" s="24">
        <v>103003</v>
      </c>
      <c r="J34" s="277">
        <v>4.12</v>
      </c>
      <c r="K34" s="276">
        <v>14</v>
      </c>
      <c r="L34" s="278">
        <v>53.846153846153847</v>
      </c>
      <c r="M34" s="279">
        <v>0</v>
      </c>
      <c r="N34" s="277">
        <v>0</v>
      </c>
      <c r="O34" s="280" t="s">
        <v>888</v>
      </c>
      <c r="P34" s="279">
        <v>0</v>
      </c>
      <c r="Q34" s="281">
        <v>0</v>
      </c>
      <c r="R34" s="282" t="s">
        <v>889</v>
      </c>
      <c r="S34" s="274" t="s">
        <v>964</v>
      </c>
      <c r="T34" s="44">
        <v>1</v>
      </c>
      <c r="U34" s="283">
        <v>76</v>
      </c>
      <c r="V34" s="284">
        <v>11</v>
      </c>
      <c r="W34" s="285" t="s">
        <v>889</v>
      </c>
      <c r="X34" s="286" t="s">
        <v>889</v>
      </c>
      <c r="Y34" s="287">
        <v>0</v>
      </c>
      <c r="Z34" s="287" t="s">
        <v>889</v>
      </c>
      <c r="AA34" s="286" t="s">
        <v>889</v>
      </c>
      <c r="AB34" s="287">
        <v>0</v>
      </c>
      <c r="AC34" s="287"/>
      <c r="AD34" s="288" t="s">
        <v>889</v>
      </c>
      <c r="AE34" s="289" t="s">
        <v>889</v>
      </c>
      <c r="AF34" s="279">
        <v>4</v>
      </c>
      <c r="AG34" s="282">
        <v>44358</v>
      </c>
      <c r="AH34" s="282" t="s">
        <v>889</v>
      </c>
      <c r="AI34" s="282">
        <v>45180</v>
      </c>
      <c r="AJ34" s="282" t="s">
        <v>889</v>
      </c>
      <c r="AK34" s="274"/>
    </row>
    <row r="35" spans="1:37" x14ac:dyDescent="0.3">
      <c r="A35" s="273">
        <v>12813</v>
      </c>
      <c r="B35" s="274" t="s">
        <v>965</v>
      </c>
      <c r="C35" s="146" t="s">
        <v>263</v>
      </c>
      <c r="D35" s="275">
        <v>11.08</v>
      </c>
      <c r="E35" s="274"/>
      <c r="F35" s="274"/>
      <c r="G35" s="274" t="s">
        <v>889</v>
      </c>
      <c r="H35" s="276">
        <v>61</v>
      </c>
      <c r="I35" s="24">
        <v>103003</v>
      </c>
      <c r="J35" s="277">
        <v>11.08</v>
      </c>
      <c r="K35" s="276">
        <v>25</v>
      </c>
      <c r="L35" s="278">
        <v>42.957746478873233</v>
      </c>
      <c r="M35" s="279">
        <v>0</v>
      </c>
      <c r="N35" s="277">
        <v>0</v>
      </c>
      <c r="O35" s="280" t="s">
        <v>888</v>
      </c>
      <c r="P35" s="279">
        <v>0</v>
      </c>
      <c r="Q35" s="281">
        <v>0</v>
      </c>
      <c r="R35" s="282" t="s">
        <v>889</v>
      </c>
      <c r="S35" s="274" t="s">
        <v>966</v>
      </c>
      <c r="T35" s="44">
        <v>1</v>
      </c>
      <c r="U35" s="283">
        <v>61</v>
      </c>
      <c r="V35" s="284">
        <v>8</v>
      </c>
      <c r="W35" s="285" t="s">
        <v>889</v>
      </c>
      <c r="X35" s="286" t="s">
        <v>889</v>
      </c>
      <c r="Y35" s="287">
        <v>0</v>
      </c>
      <c r="Z35" s="287" t="s">
        <v>889</v>
      </c>
      <c r="AA35" s="286" t="s">
        <v>889</v>
      </c>
      <c r="AB35" s="287">
        <v>0</v>
      </c>
      <c r="AC35" s="287"/>
      <c r="AD35" s="288" t="s">
        <v>889</v>
      </c>
      <c r="AE35" s="289" t="s">
        <v>889</v>
      </c>
      <c r="AF35" s="279">
        <v>6</v>
      </c>
      <c r="AG35" s="282">
        <v>44298</v>
      </c>
      <c r="AH35" s="282" t="s">
        <v>889</v>
      </c>
      <c r="AI35" s="282">
        <v>44257</v>
      </c>
      <c r="AJ35" s="282" t="s">
        <v>889</v>
      </c>
      <c r="AK35" s="274"/>
    </row>
    <row r="36" spans="1:37" x14ac:dyDescent="0.3">
      <c r="A36" s="273">
        <v>12821</v>
      </c>
      <c r="B36" s="274" t="s">
        <v>967</v>
      </c>
      <c r="C36" s="146" t="s">
        <v>263</v>
      </c>
      <c r="D36" s="275">
        <v>25.42</v>
      </c>
      <c r="E36" s="274"/>
      <c r="F36" s="274"/>
      <c r="G36" s="274" t="s">
        <v>889</v>
      </c>
      <c r="H36" s="276">
        <v>137</v>
      </c>
      <c r="I36" s="24">
        <v>103003</v>
      </c>
      <c r="J36" s="277">
        <v>25.42</v>
      </c>
      <c r="K36" s="276">
        <v>8</v>
      </c>
      <c r="L36" s="278">
        <v>204.47761194029852</v>
      </c>
      <c r="M36" s="279">
        <v>0</v>
      </c>
      <c r="N36" s="277">
        <v>0</v>
      </c>
      <c r="O36" s="280" t="s">
        <v>888</v>
      </c>
      <c r="P36" s="279">
        <v>0</v>
      </c>
      <c r="Q36" s="281">
        <v>0</v>
      </c>
      <c r="R36" s="282" t="s">
        <v>889</v>
      </c>
      <c r="S36" s="274" t="s">
        <v>966</v>
      </c>
      <c r="T36" s="44">
        <v>1</v>
      </c>
      <c r="U36" s="283">
        <v>61</v>
      </c>
      <c r="V36" s="284">
        <v>8</v>
      </c>
      <c r="W36" s="285" t="s">
        <v>889</v>
      </c>
      <c r="X36" s="286" t="s">
        <v>889</v>
      </c>
      <c r="Y36" s="287">
        <v>0</v>
      </c>
      <c r="Z36" s="287" t="s">
        <v>889</v>
      </c>
      <c r="AA36" s="286" t="s">
        <v>889</v>
      </c>
      <c r="AB36" s="287">
        <v>0</v>
      </c>
      <c r="AC36" s="287"/>
      <c r="AD36" s="288" t="s">
        <v>889</v>
      </c>
      <c r="AE36" s="289" t="s">
        <v>889</v>
      </c>
      <c r="AF36" s="279">
        <v>2</v>
      </c>
      <c r="AG36" s="282">
        <v>44806</v>
      </c>
      <c r="AH36" s="282" t="s">
        <v>889</v>
      </c>
      <c r="AI36" s="282">
        <v>44776</v>
      </c>
      <c r="AJ36" s="282" t="s">
        <v>889</v>
      </c>
      <c r="AK36" s="274"/>
    </row>
    <row r="37" spans="1:37" x14ac:dyDescent="0.3">
      <c r="A37" s="273">
        <v>12824</v>
      </c>
      <c r="B37" s="274" t="s">
        <v>968</v>
      </c>
      <c r="C37" s="146" t="s">
        <v>263</v>
      </c>
      <c r="D37" s="275">
        <v>10.71</v>
      </c>
      <c r="E37" s="274"/>
      <c r="F37" s="274"/>
      <c r="G37" s="274" t="s">
        <v>889</v>
      </c>
      <c r="H37" s="276">
        <v>92</v>
      </c>
      <c r="I37" s="24">
        <v>103003</v>
      </c>
      <c r="J37" s="277">
        <v>10.71</v>
      </c>
      <c r="K37" s="276">
        <v>15</v>
      </c>
      <c r="L37" s="278">
        <v>29.870129870129869</v>
      </c>
      <c r="M37" s="279">
        <v>0</v>
      </c>
      <c r="N37" s="277">
        <v>0</v>
      </c>
      <c r="O37" s="280" t="s">
        <v>888</v>
      </c>
      <c r="P37" s="279">
        <v>0</v>
      </c>
      <c r="Q37" s="281">
        <v>0</v>
      </c>
      <c r="R37" s="282" t="s">
        <v>889</v>
      </c>
      <c r="S37" s="274" t="s">
        <v>966</v>
      </c>
      <c r="T37" s="44">
        <v>1</v>
      </c>
      <c r="U37" s="283">
        <v>61</v>
      </c>
      <c r="V37" s="284">
        <v>8</v>
      </c>
      <c r="W37" s="285" t="s">
        <v>889</v>
      </c>
      <c r="X37" s="286" t="s">
        <v>889</v>
      </c>
      <c r="Y37" s="287">
        <v>0</v>
      </c>
      <c r="Z37" s="287" t="s">
        <v>889</v>
      </c>
      <c r="AA37" s="286" t="s">
        <v>889</v>
      </c>
      <c r="AB37" s="287">
        <v>0</v>
      </c>
      <c r="AC37" s="287"/>
      <c r="AD37" s="288" t="s">
        <v>889</v>
      </c>
      <c r="AE37" s="289" t="s">
        <v>889</v>
      </c>
      <c r="AF37" s="279">
        <v>12</v>
      </c>
      <c r="AG37" s="282">
        <v>44188</v>
      </c>
      <c r="AH37" s="282" t="s">
        <v>889</v>
      </c>
      <c r="AI37" s="282">
        <v>44637</v>
      </c>
      <c r="AJ37" s="282" t="s">
        <v>889</v>
      </c>
      <c r="AK37" s="274"/>
    </row>
    <row r="38" spans="1:37" x14ac:dyDescent="0.3">
      <c r="A38" s="273">
        <v>12830</v>
      </c>
      <c r="B38" s="274" t="s">
        <v>969</v>
      </c>
      <c r="C38" s="146" t="s">
        <v>263</v>
      </c>
      <c r="D38" s="275">
        <v>4.0999999999999996</v>
      </c>
      <c r="E38" s="274"/>
      <c r="F38" s="274"/>
      <c r="G38" s="274" t="s">
        <v>889</v>
      </c>
      <c r="H38" s="276">
        <v>1412</v>
      </c>
      <c r="I38" s="24">
        <v>103003</v>
      </c>
      <c r="J38" s="277">
        <v>4.0999999999999996</v>
      </c>
      <c r="K38" s="276">
        <v>265</v>
      </c>
      <c r="L38" s="278">
        <v>54.141104294478524</v>
      </c>
      <c r="M38" s="279">
        <v>0</v>
      </c>
      <c r="N38" s="277">
        <v>0</v>
      </c>
      <c r="O38" s="280" t="s">
        <v>888</v>
      </c>
      <c r="P38" s="279">
        <v>0</v>
      </c>
      <c r="Q38" s="281">
        <v>0</v>
      </c>
      <c r="R38" s="282" t="s">
        <v>889</v>
      </c>
      <c r="S38" s="274" t="s">
        <v>966</v>
      </c>
      <c r="T38" s="44">
        <v>1</v>
      </c>
      <c r="U38" s="283">
        <v>61</v>
      </c>
      <c r="V38" s="284">
        <v>8</v>
      </c>
      <c r="W38" s="285" t="s">
        <v>889</v>
      </c>
      <c r="X38" s="286" t="s">
        <v>889</v>
      </c>
      <c r="Y38" s="287">
        <v>0</v>
      </c>
      <c r="Z38" s="287" t="s">
        <v>889</v>
      </c>
      <c r="AA38" s="286" t="s">
        <v>889</v>
      </c>
      <c r="AB38" s="287">
        <v>0</v>
      </c>
      <c r="AC38" s="287"/>
      <c r="AD38" s="288" t="s">
        <v>889</v>
      </c>
      <c r="AE38" s="289" t="s">
        <v>889</v>
      </c>
      <c r="AF38" s="279">
        <v>104</v>
      </c>
      <c r="AG38" s="282">
        <v>44533</v>
      </c>
      <c r="AH38" s="282" t="s">
        <v>889</v>
      </c>
      <c r="AI38" s="282">
        <v>44522</v>
      </c>
      <c r="AJ38" s="282" t="s">
        <v>889</v>
      </c>
      <c r="AK38" s="274"/>
    </row>
    <row r="39" spans="1:37" x14ac:dyDescent="0.3">
      <c r="A39" s="273">
        <v>12835</v>
      </c>
      <c r="B39" s="274" t="s">
        <v>970</v>
      </c>
      <c r="C39" s="146" t="s">
        <v>263</v>
      </c>
      <c r="D39" s="275">
        <v>0.46</v>
      </c>
      <c r="E39" s="274"/>
      <c r="F39" s="274"/>
      <c r="G39" s="274" t="s">
        <v>889</v>
      </c>
      <c r="H39" s="276">
        <v>459</v>
      </c>
      <c r="I39" s="24">
        <v>103003</v>
      </c>
      <c r="J39" s="277">
        <v>0.46</v>
      </c>
      <c r="K39" s="276">
        <v>243</v>
      </c>
      <c r="L39" s="278">
        <v>22.120481927710845</v>
      </c>
      <c r="M39" s="279">
        <v>0</v>
      </c>
      <c r="N39" s="277">
        <v>0</v>
      </c>
      <c r="O39" s="280" t="s">
        <v>888</v>
      </c>
      <c r="P39" s="279">
        <v>0</v>
      </c>
      <c r="Q39" s="281">
        <v>0</v>
      </c>
      <c r="R39" s="282" t="s">
        <v>889</v>
      </c>
      <c r="S39" s="274" t="s">
        <v>966</v>
      </c>
      <c r="T39" s="44">
        <v>1</v>
      </c>
      <c r="U39" s="283">
        <v>61</v>
      </c>
      <c r="V39" s="284">
        <v>8</v>
      </c>
      <c r="W39" s="285" t="s">
        <v>889</v>
      </c>
      <c r="X39" s="286" t="s">
        <v>889</v>
      </c>
      <c r="Y39" s="287">
        <v>0</v>
      </c>
      <c r="Z39" s="287" t="s">
        <v>889</v>
      </c>
      <c r="AA39" s="286" t="s">
        <v>889</v>
      </c>
      <c r="AB39" s="287">
        <v>0</v>
      </c>
      <c r="AC39" s="287"/>
      <c r="AD39" s="288" t="s">
        <v>889</v>
      </c>
      <c r="AE39" s="289" t="s">
        <v>889</v>
      </c>
      <c r="AF39" s="279">
        <v>84</v>
      </c>
      <c r="AG39" s="282">
        <v>45180</v>
      </c>
      <c r="AH39" s="282" t="s">
        <v>889</v>
      </c>
      <c r="AI39" s="282">
        <v>45145</v>
      </c>
      <c r="AJ39" s="282" t="s">
        <v>889</v>
      </c>
      <c r="AK39" s="274"/>
    </row>
    <row r="40" spans="1:37" x14ac:dyDescent="0.3">
      <c r="A40" s="273">
        <v>12847</v>
      </c>
      <c r="B40" s="274" t="s">
        <v>971</v>
      </c>
      <c r="C40" s="146" t="s">
        <v>263</v>
      </c>
      <c r="D40" s="275">
        <v>1.02</v>
      </c>
      <c r="E40" s="274"/>
      <c r="F40" s="274"/>
      <c r="G40" s="274" t="s">
        <v>889</v>
      </c>
      <c r="H40" s="276">
        <v>947</v>
      </c>
      <c r="I40" s="24">
        <v>103003</v>
      </c>
      <c r="J40" s="277">
        <v>1.02</v>
      </c>
      <c r="K40" s="276">
        <v>4409</v>
      </c>
      <c r="L40" s="278">
        <v>2.3974683544303796</v>
      </c>
      <c r="M40" s="279">
        <v>2893</v>
      </c>
      <c r="N40" s="277">
        <v>2950.86</v>
      </c>
      <c r="O40" s="280" t="s">
        <v>888</v>
      </c>
      <c r="P40" s="279">
        <v>0</v>
      </c>
      <c r="Q40" s="281">
        <v>0</v>
      </c>
      <c r="R40" s="282" t="s">
        <v>889</v>
      </c>
      <c r="S40" s="274" t="s">
        <v>964</v>
      </c>
      <c r="T40" s="44">
        <v>1</v>
      </c>
      <c r="U40" s="283">
        <v>76</v>
      </c>
      <c r="V40" s="284">
        <v>11</v>
      </c>
      <c r="W40" s="285">
        <v>9007</v>
      </c>
      <c r="X40" s="286">
        <v>2023</v>
      </c>
      <c r="Y40" s="287">
        <v>900</v>
      </c>
      <c r="Z40" s="287" t="s">
        <v>889</v>
      </c>
      <c r="AA40" s="286" t="s">
        <v>889</v>
      </c>
      <c r="AB40" s="287">
        <v>0</v>
      </c>
      <c r="AC40" s="287"/>
      <c r="AD40" s="288" t="s">
        <v>889</v>
      </c>
      <c r="AE40" s="289" t="s">
        <v>889</v>
      </c>
      <c r="AF40" s="279">
        <v>1580</v>
      </c>
      <c r="AG40" s="282">
        <v>44874</v>
      </c>
      <c r="AH40" s="282" t="s">
        <v>889</v>
      </c>
      <c r="AI40" s="282">
        <v>44865</v>
      </c>
      <c r="AJ40" s="282" t="s">
        <v>889</v>
      </c>
      <c r="AK40" s="274"/>
    </row>
    <row r="41" spans="1:37" x14ac:dyDescent="0.3">
      <c r="A41" s="273">
        <v>12856</v>
      </c>
      <c r="B41" s="274" t="s">
        <v>972</v>
      </c>
      <c r="C41" s="146" t="s">
        <v>263</v>
      </c>
      <c r="D41" s="275">
        <v>3.35</v>
      </c>
      <c r="E41" s="274"/>
      <c r="F41" s="274"/>
      <c r="G41" s="274" t="s">
        <v>889</v>
      </c>
      <c r="H41" s="276">
        <v>5330</v>
      </c>
      <c r="I41" s="24">
        <v>103003</v>
      </c>
      <c r="J41" s="277">
        <v>3.35</v>
      </c>
      <c r="K41" s="276">
        <v>2447</v>
      </c>
      <c r="L41" s="278">
        <v>20.427717307987123</v>
      </c>
      <c r="M41" s="279">
        <v>0</v>
      </c>
      <c r="N41" s="277">
        <v>0</v>
      </c>
      <c r="O41" s="280" t="s">
        <v>888</v>
      </c>
      <c r="P41" s="279">
        <v>0</v>
      </c>
      <c r="Q41" s="281">
        <v>0</v>
      </c>
      <c r="R41" s="282" t="s">
        <v>889</v>
      </c>
      <c r="S41" s="274" t="s">
        <v>964</v>
      </c>
      <c r="T41" s="44">
        <v>1</v>
      </c>
      <c r="U41" s="283">
        <v>76</v>
      </c>
      <c r="V41" s="284">
        <v>11</v>
      </c>
      <c r="W41" s="285" t="s">
        <v>889</v>
      </c>
      <c r="X41" s="286" t="s">
        <v>889</v>
      </c>
      <c r="Y41" s="287">
        <v>0</v>
      </c>
      <c r="Z41" s="287" t="s">
        <v>889</v>
      </c>
      <c r="AA41" s="286" t="s">
        <v>889</v>
      </c>
      <c r="AB41" s="287">
        <v>0</v>
      </c>
      <c r="AC41" s="287"/>
      <c r="AD41" s="288" t="s">
        <v>889</v>
      </c>
      <c r="AE41" s="289" t="s">
        <v>889</v>
      </c>
      <c r="AF41" s="279">
        <v>1044</v>
      </c>
      <c r="AG41" s="282">
        <v>44874</v>
      </c>
      <c r="AH41" s="282" t="s">
        <v>889</v>
      </c>
      <c r="AI41" s="282">
        <v>44865</v>
      </c>
      <c r="AJ41" s="282" t="s">
        <v>889</v>
      </c>
      <c r="AK41" s="274"/>
    </row>
    <row r="42" spans="1:37" x14ac:dyDescent="0.3">
      <c r="A42" s="273">
        <v>12877</v>
      </c>
      <c r="B42" s="274" t="s">
        <v>973</v>
      </c>
      <c r="C42" s="146" t="s">
        <v>287</v>
      </c>
      <c r="D42" s="275">
        <v>99.8</v>
      </c>
      <c r="E42" s="274"/>
      <c r="F42" s="274"/>
      <c r="G42" s="274" t="s">
        <v>889</v>
      </c>
      <c r="H42" s="276">
        <v>500</v>
      </c>
      <c r="I42" s="24">
        <v>103003</v>
      </c>
      <c r="J42" s="277">
        <v>99.8</v>
      </c>
      <c r="K42" s="276">
        <v>326</v>
      </c>
      <c r="L42" s="278">
        <v>15.001500150015001</v>
      </c>
      <c r="M42" s="279">
        <v>0</v>
      </c>
      <c r="N42" s="277">
        <v>0</v>
      </c>
      <c r="O42" s="280" t="s">
        <v>888</v>
      </c>
      <c r="P42" s="279">
        <v>0</v>
      </c>
      <c r="Q42" s="281">
        <v>0</v>
      </c>
      <c r="R42" s="282" t="s">
        <v>889</v>
      </c>
      <c r="S42" s="274" t="s">
        <v>974</v>
      </c>
      <c r="T42" s="44">
        <v>1</v>
      </c>
      <c r="U42" s="283">
        <v>76</v>
      </c>
      <c r="V42" s="284">
        <v>10</v>
      </c>
      <c r="W42" s="285" t="s">
        <v>889</v>
      </c>
      <c r="X42" s="286" t="s">
        <v>889</v>
      </c>
      <c r="Y42" s="287">
        <v>0</v>
      </c>
      <c r="Z42" s="287" t="s">
        <v>889</v>
      </c>
      <c r="AA42" s="286" t="s">
        <v>889</v>
      </c>
      <c r="AB42" s="287">
        <v>0</v>
      </c>
      <c r="AC42" s="287"/>
      <c r="AD42" s="288" t="s">
        <v>889</v>
      </c>
      <c r="AE42" s="289" t="s">
        <v>889</v>
      </c>
      <c r="AF42" s="279">
        <v>134</v>
      </c>
      <c r="AG42" s="282">
        <v>45201</v>
      </c>
      <c r="AH42" s="282" t="s">
        <v>889</v>
      </c>
      <c r="AI42" s="282">
        <v>45181</v>
      </c>
      <c r="AJ42" s="282" t="s">
        <v>889</v>
      </c>
      <c r="AK42" s="274"/>
    </row>
    <row r="43" spans="1:37" x14ac:dyDescent="0.3">
      <c r="A43" s="273">
        <v>12881</v>
      </c>
      <c r="B43" s="274" t="s">
        <v>975</v>
      </c>
      <c r="C43" s="146" t="s">
        <v>263</v>
      </c>
      <c r="D43" s="275">
        <v>2.6</v>
      </c>
      <c r="E43" s="274"/>
      <c r="F43" s="274"/>
      <c r="G43" s="274" t="s">
        <v>889</v>
      </c>
      <c r="H43" s="276">
        <v>466</v>
      </c>
      <c r="I43" s="24">
        <v>103003</v>
      </c>
      <c r="J43" s="277">
        <v>2.6</v>
      </c>
      <c r="K43" s="276">
        <v>126</v>
      </c>
      <c r="L43" s="278">
        <v>28.106151990349822</v>
      </c>
      <c r="M43" s="279">
        <v>0</v>
      </c>
      <c r="N43" s="277">
        <v>0</v>
      </c>
      <c r="O43" s="280" t="s">
        <v>888</v>
      </c>
      <c r="P43" s="279">
        <v>0</v>
      </c>
      <c r="Q43" s="281">
        <v>0</v>
      </c>
      <c r="R43" s="282" t="s">
        <v>889</v>
      </c>
      <c r="S43" s="274" t="s">
        <v>966</v>
      </c>
      <c r="T43" s="44">
        <v>1</v>
      </c>
      <c r="U43" s="283">
        <v>61</v>
      </c>
      <c r="V43" s="284">
        <v>8</v>
      </c>
      <c r="W43" s="285" t="s">
        <v>889</v>
      </c>
      <c r="X43" s="286" t="s">
        <v>889</v>
      </c>
      <c r="Y43" s="287">
        <v>0</v>
      </c>
      <c r="Z43" s="287" t="s">
        <v>889</v>
      </c>
      <c r="AA43" s="286" t="s">
        <v>889</v>
      </c>
      <c r="AB43" s="287">
        <v>0</v>
      </c>
      <c r="AC43" s="287"/>
      <c r="AD43" s="288" t="s">
        <v>889</v>
      </c>
      <c r="AE43" s="289" t="s">
        <v>889</v>
      </c>
      <c r="AF43" s="279">
        <v>66</v>
      </c>
      <c r="AG43" s="282">
        <v>44573</v>
      </c>
      <c r="AH43" s="282" t="s">
        <v>889</v>
      </c>
      <c r="AI43" s="282">
        <v>44813</v>
      </c>
      <c r="AJ43" s="282" t="s">
        <v>889</v>
      </c>
      <c r="AK43" s="274"/>
    </row>
    <row r="44" spans="1:37" x14ac:dyDescent="0.3">
      <c r="A44" s="273">
        <v>12884</v>
      </c>
      <c r="B44" s="274" t="s">
        <v>976</v>
      </c>
      <c r="C44" s="146" t="s">
        <v>263</v>
      </c>
      <c r="D44" s="275">
        <v>3.8</v>
      </c>
      <c r="E44" s="274"/>
      <c r="F44" s="274"/>
      <c r="G44" s="274" t="s">
        <v>889</v>
      </c>
      <c r="H44" s="276">
        <v>88</v>
      </c>
      <c r="I44" s="24">
        <v>103003</v>
      </c>
      <c r="J44" s="277">
        <v>3.8</v>
      </c>
      <c r="K44" s="276">
        <v>179</v>
      </c>
      <c r="L44" s="278">
        <v>4.6933333333333334</v>
      </c>
      <c r="M44" s="279">
        <v>137</v>
      </c>
      <c r="N44" s="277">
        <v>520.6</v>
      </c>
      <c r="O44" s="280" t="s">
        <v>888</v>
      </c>
      <c r="P44" s="279">
        <v>0</v>
      </c>
      <c r="Q44" s="281">
        <v>0</v>
      </c>
      <c r="R44" s="282" t="s">
        <v>889</v>
      </c>
      <c r="S44" s="274" t="s">
        <v>966</v>
      </c>
      <c r="T44" s="44">
        <v>1</v>
      </c>
      <c r="U44" s="283">
        <v>61</v>
      </c>
      <c r="V44" s="284">
        <v>8</v>
      </c>
      <c r="W44" s="285" t="s">
        <v>889</v>
      </c>
      <c r="X44" s="286" t="s">
        <v>889</v>
      </c>
      <c r="Y44" s="287">
        <v>0</v>
      </c>
      <c r="Z44" s="287" t="s">
        <v>889</v>
      </c>
      <c r="AA44" s="286" t="s">
        <v>889</v>
      </c>
      <c r="AB44" s="287">
        <v>0</v>
      </c>
      <c r="AC44" s="287"/>
      <c r="AD44" s="288" t="s">
        <v>889</v>
      </c>
      <c r="AE44" s="289" t="s">
        <v>889</v>
      </c>
      <c r="AF44" s="279">
        <v>76</v>
      </c>
      <c r="AG44" s="282">
        <v>45170</v>
      </c>
      <c r="AH44" s="282" t="s">
        <v>889</v>
      </c>
      <c r="AI44" s="282">
        <v>45145</v>
      </c>
      <c r="AJ44" s="282" t="s">
        <v>889</v>
      </c>
      <c r="AK44" s="274"/>
    </row>
    <row r="45" spans="1:37" x14ac:dyDescent="0.3">
      <c r="A45" s="273">
        <v>12886</v>
      </c>
      <c r="B45" s="274" t="s">
        <v>977</v>
      </c>
      <c r="C45" s="146" t="s">
        <v>263</v>
      </c>
      <c r="D45" s="275">
        <v>2.94</v>
      </c>
      <c r="E45" s="274"/>
      <c r="F45" s="274"/>
      <c r="G45" s="274" t="s">
        <v>889</v>
      </c>
      <c r="H45" s="276">
        <v>405</v>
      </c>
      <c r="I45" s="24">
        <v>103003</v>
      </c>
      <c r="J45" s="277">
        <v>2.94</v>
      </c>
      <c r="K45" s="276">
        <v>119</v>
      </c>
      <c r="L45" s="278">
        <v>33.526490066225165</v>
      </c>
      <c r="M45" s="279">
        <v>0</v>
      </c>
      <c r="N45" s="277">
        <v>0</v>
      </c>
      <c r="O45" s="280" t="s">
        <v>888</v>
      </c>
      <c r="P45" s="279">
        <v>0</v>
      </c>
      <c r="Q45" s="281">
        <v>0</v>
      </c>
      <c r="R45" s="282" t="s">
        <v>889</v>
      </c>
      <c r="S45" s="274" t="s">
        <v>966</v>
      </c>
      <c r="T45" s="44">
        <v>1</v>
      </c>
      <c r="U45" s="283">
        <v>61</v>
      </c>
      <c r="V45" s="284">
        <v>8</v>
      </c>
      <c r="W45" s="285" t="s">
        <v>889</v>
      </c>
      <c r="X45" s="286" t="s">
        <v>889</v>
      </c>
      <c r="Y45" s="287">
        <v>0</v>
      </c>
      <c r="Z45" s="287" t="s">
        <v>889</v>
      </c>
      <c r="AA45" s="286" t="s">
        <v>889</v>
      </c>
      <c r="AB45" s="287">
        <v>0</v>
      </c>
      <c r="AC45" s="287"/>
      <c r="AD45" s="288" t="s">
        <v>889</v>
      </c>
      <c r="AE45" s="289" t="s">
        <v>889</v>
      </c>
      <c r="AF45" s="279">
        <v>48</v>
      </c>
      <c r="AG45" s="282">
        <v>45180</v>
      </c>
      <c r="AH45" s="282" t="s">
        <v>889</v>
      </c>
      <c r="AI45" s="282">
        <v>45145</v>
      </c>
      <c r="AJ45" s="282" t="s">
        <v>889</v>
      </c>
      <c r="AK45" s="274"/>
    </row>
    <row r="46" spans="1:37" x14ac:dyDescent="0.3">
      <c r="A46" s="273">
        <v>12891</v>
      </c>
      <c r="B46" s="274" t="s">
        <v>978</v>
      </c>
      <c r="C46" s="146" t="s">
        <v>263</v>
      </c>
      <c r="D46" s="275">
        <v>1.1599999999999999</v>
      </c>
      <c r="E46" s="274"/>
      <c r="F46" s="274"/>
      <c r="G46" s="274" t="s">
        <v>889</v>
      </c>
      <c r="H46" s="276">
        <v>154</v>
      </c>
      <c r="I46" s="24">
        <v>103003</v>
      </c>
      <c r="J46" s="277">
        <v>1.1599999999999999</v>
      </c>
      <c r="K46" s="276">
        <v>62</v>
      </c>
      <c r="L46" s="278">
        <v>27.598566308243729</v>
      </c>
      <c r="M46" s="279">
        <v>0</v>
      </c>
      <c r="N46" s="277">
        <v>0</v>
      </c>
      <c r="O46" s="280" t="s">
        <v>888</v>
      </c>
      <c r="P46" s="279">
        <v>0</v>
      </c>
      <c r="Q46" s="281">
        <v>0</v>
      </c>
      <c r="R46" s="282" t="s">
        <v>889</v>
      </c>
      <c r="S46" s="274" t="s">
        <v>966</v>
      </c>
      <c r="T46" s="44">
        <v>1</v>
      </c>
      <c r="U46" s="283">
        <v>61</v>
      </c>
      <c r="V46" s="284">
        <v>8</v>
      </c>
      <c r="W46" s="285" t="s">
        <v>889</v>
      </c>
      <c r="X46" s="286" t="s">
        <v>889</v>
      </c>
      <c r="Y46" s="287">
        <v>0</v>
      </c>
      <c r="Z46" s="287" t="s">
        <v>889</v>
      </c>
      <c r="AA46" s="286" t="s">
        <v>889</v>
      </c>
      <c r="AB46" s="287">
        <v>0</v>
      </c>
      <c r="AC46" s="287"/>
      <c r="AD46" s="288" t="s">
        <v>889</v>
      </c>
      <c r="AE46" s="289" t="s">
        <v>889</v>
      </c>
      <c r="AF46" s="279">
        <v>22</v>
      </c>
      <c r="AG46" s="282">
        <v>45180</v>
      </c>
      <c r="AH46" s="282" t="s">
        <v>889</v>
      </c>
      <c r="AI46" s="282">
        <v>45145</v>
      </c>
      <c r="AJ46" s="282" t="s">
        <v>889</v>
      </c>
      <c r="AK46" s="274"/>
    </row>
    <row r="47" spans="1:37" x14ac:dyDescent="0.3">
      <c r="A47" s="273">
        <v>12894</v>
      </c>
      <c r="B47" s="274" t="s">
        <v>979</v>
      </c>
      <c r="C47" s="146" t="s">
        <v>263</v>
      </c>
      <c r="D47" s="275">
        <v>0.38</v>
      </c>
      <c r="E47" s="274"/>
      <c r="F47" s="274"/>
      <c r="G47" s="274" t="s">
        <v>889</v>
      </c>
      <c r="H47" s="276">
        <v>3801</v>
      </c>
      <c r="I47" s="24">
        <v>103003</v>
      </c>
      <c r="J47" s="277">
        <v>0.38</v>
      </c>
      <c r="K47" s="276">
        <v>1184</v>
      </c>
      <c r="L47" s="278">
        <v>28.997558742752517</v>
      </c>
      <c r="M47" s="279">
        <v>0</v>
      </c>
      <c r="N47" s="277">
        <v>0</v>
      </c>
      <c r="O47" s="280" t="s">
        <v>888</v>
      </c>
      <c r="P47" s="279">
        <v>0</v>
      </c>
      <c r="Q47" s="281">
        <v>0</v>
      </c>
      <c r="R47" s="282" t="s">
        <v>889</v>
      </c>
      <c r="S47" s="274" t="s">
        <v>966</v>
      </c>
      <c r="T47" s="44">
        <v>1</v>
      </c>
      <c r="U47" s="283">
        <v>61</v>
      </c>
      <c r="V47" s="284">
        <v>8</v>
      </c>
      <c r="W47" s="285" t="s">
        <v>889</v>
      </c>
      <c r="X47" s="286" t="s">
        <v>889</v>
      </c>
      <c r="Y47" s="287">
        <v>0</v>
      </c>
      <c r="Z47" s="287" t="s">
        <v>889</v>
      </c>
      <c r="AA47" s="286" t="s">
        <v>889</v>
      </c>
      <c r="AB47" s="287">
        <v>0</v>
      </c>
      <c r="AC47" s="287"/>
      <c r="AD47" s="288" t="s">
        <v>889</v>
      </c>
      <c r="AE47" s="289" t="s">
        <v>889</v>
      </c>
      <c r="AF47" s="279">
        <v>524</v>
      </c>
      <c r="AG47" s="282">
        <v>45208</v>
      </c>
      <c r="AH47" s="282" t="s">
        <v>889</v>
      </c>
      <c r="AI47" s="282">
        <v>45145</v>
      </c>
      <c r="AJ47" s="282" t="s">
        <v>889</v>
      </c>
      <c r="AK47" s="274"/>
    </row>
    <row r="48" spans="1:37" x14ac:dyDescent="0.3">
      <c r="A48" s="273">
        <v>12922</v>
      </c>
      <c r="B48" s="274" t="s">
        <v>980</v>
      </c>
      <c r="C48" s="146" t="s">
        <v>263</v>
      </c>
      <c r="D48" s="275">
        <v>1.7</v>
      </c>
      <c r="E48" s="274"/>
      <c r="F48" s="274"/>
      <c r="G48" s="274" t="s">
        <v>889</v>
      </c>
      <c r="H48" s="276">
        <v>151</v>
      </c>
      <c r="I48" s="24">
        <v>103003</v>
      </c>
      <c r="J48" s="277">
        <v>1.7</v>
      </c>
      <c r="K48" s="276">
        <v>28</v>
      </c>
      <c r="L48" s="278">
        <v>90.419161676646709</v>
      </c>
      <c r="M48" s="279">
        <v>0</v>
      </c>
      <c r="N48" s="277">
        <v>0</v>
      </c>
      <c r="O48" s="280" t="s">
        <v>888</v>
      </c>
      <c r="P48" s="279">
        <v>0</v>
      </c>
      <c r="Q48" s="281">
        <v>0</v>
      </c>
      <c r="R48" s="282" t="s">
        <v>889</v>
      </c>
      <c r="S48" s="274" t="s">
        <v>966</v>
      </c>
      <c r="T48" s="44">
        <v>1</v>
      </c>
      <c r="U48" s="283">
        <v>61</v>
      </c>
      <c r="V48" s="284">
        <v>8</v>
      </c>
      <c r="W48" s="285" t="s">
        <v>889</v>
      </c>
      <c r="X48" s="286" t="s">
        <v>889</v>
      </c>
      <c r="Y48" s="287">
        <v>0</v>
      </c>
      <c r="Z48" s="287" t="s">
        <v>889</v>
      </c>
      <c r="AA48" s="286" t="s">
        <v>889</v>
      </c>
      <c r="AB48" s="287">
        <v>0</v>
      </c>
      <c r="AC48" s="287"/>
      <c r="AD48" s="288" t="s">
        <v>889</v>
      </c>
      <c r="AE48" s="289" t="s">
        <v>889</v>
      </c>
      <c r="AF48" s="279">
        <v>6</v>
      </c>
      <c r="AG48" s="282">
        <v>45160</v>
      </c>
      <c r="AH48" s="282" t="s">
        <v>889</v>
      </c>
      <c r="AI48" s="282">
        <v>45145</v>
      </c>
      <c r="AJ48" s="282" t="s">
        <v>889</v>
      </c>
      <c r="AK48" s="274"/>
    </row>
    <row r="49" spans="1:37" x14ac:dyDescent="0.3">
      <c r="A49" s="273">
        <v>12948</v>
      </c>
      <c r="B49" s="274" t="s">
        <v>981</v>
      </c>
      <c r="C49" s="146" t="s">
        <v>263</v>
      </c>
      <c r="D49" s="275">
        <v>6</v>
      </c>
      <c r="E49" s="274"/>
      <c r="F49" s="274"/>
      <c r="G49" s="274" t="s">
        <v>889</v>
      </c>
      <c r="H49" s="276">
        <v>40</v>
      </c>
      <c r="I49" s="24">
        <v>103003</v>
      </c>
      <c r="J49" s="277">
        <v>6</v>
      </c>
      <c r="K49" s="276">
        <v>17</v>
      </c>
      <c r="L49" s="278">
        <v>28.169014084507044</v>
      </c>
      <c r="M49" s="279">
        <v>0</v>
      </c>
      <c r="N49" s="277">
        <v>0</v>
      </c>
      <c r="O49" s="280" t="s">
        <v>888</v>
      </c>
      <c r="P49" s="279">
        <v>0</v>
      </c>
      <c r="Q49" s="281">
        <v>0</v>
      </c>
      <c r="R49" s="282" t="s">
        <v>889</v>
      </c>
      <c r="S49" s="274" t="s">
        <v>966</v>
      </c>
      <c r="T49" s="44">
        <v>1</v>
      </c>
      <c r="U49" s="283">
        <v>61</v>
      </c>
      <c r="V49" s="284">
        <v>8</v>
      </c>
      <c r="W49" s="285" t="s">
        <v>889</v>
      </c>
      <c r="X49" s="286" t="s">
        <v>889</v>
      </c>
      <c r="Y49" s="287">
        <v>0</v>
      </c>
      <c r="Z49" s="287" t="s">
        <v>889</v>
      </c>
      <c r="AA49" s="286" t="s">
        <v>889</v>
      </c>
      <c r="AB49" s="287">
        <v>0</v>
      </c>
      <c r="AC49" s="287"/>
      <c r="AD49" s="288" t="s">
        <v>889</v>
      </c>
      <c r="AE49" s="289" t="s">
        <v>889</v>
      </c>
      <c r="AF49" s="279">
        <v>6</v>
      </c>
      <c r="AG49" s="282">
        <v>45160</v>
      </c>
      <c r="AH49" s="282" t="s">
        <v>889</v>
      </c>
      <c r="AI49" s="282">
        <v>45145</v>
      </c>
      <c r="AJ49" s="282" t="s">
        <v>889</v>
      </c>
      <c r="AK49" s="274"/>
    </row>
    <row r="50" spans="1:37" x14ac:dyDescent="0.3">
      <c r="A50" s="273">
        <v>12950</v>
      </c>
      <c r="B50" s="274" t="s">
        <v>982</v>
      </c>
      <c r="C50" s="146" t="s">
        <v>263</v>
      </c>
      <c r="D50" s="275">
        <v>2.2999999999999998</v>
      </c>
      <c r="E50" s="274"/>
      <c r="F50" s="274"/>
      <c r="G50" s="274" t="s">
        <v>889</v>
      </c>
      <c r="H50" s="276">
        <v>221</v>
      </c>
      <c r="I50" s="24">
        <v>103003</v>
      </c>
      <c r="J50" s="277">
        <v>2.2999999999999998</v>
      </c>
      <c r="K50" s="276">
        <v>141</v>
      </c>
      <c r="L50" s="278">
        <v>17.44277821625888</v>
      </c>
      <c r="M50" s="279">
        <v>0</v>
      </c>
      <c r="N50" s="277">
        <v>0</v>
      </c>
      <c r="O50" s="280" t="s">
        <v>888</v>
      </c>
      <c r="P50" s="279">
        <v>0</v>
      </c>
      <c r="Q50" s="281">
        <v>0</v>
      </c>
      <c r="R50" s="282" t="s">
        <v>889</v>
      </c>
      <c r="S50" s="274" t="s">
        <v>966</v>
      </c>
      <c r="T50" s="44">
        <v>1</v>
      </c>
      <c r="U50" s="283">
        <v>61</v>
      </c>
      <c r="V50" s="284">
        <v>8</v>
      </c>
      <c r="W50" s="285" t="s">
        <v>889</v>
      </c>
      <c r="X50" s="286" t="s">
        <v>889</v>
      </c>
      <c r="Y50" s="287">
        <v>0</v>
      </c>
      <c r="Z50" s="287" t="s">
        <v>889</v>
      </c>
      <c r="AA50" s="286" t="s">
        <v>889</v>
      </c>
      <c r="AB50" s="287">
        <v>0</v>
      </c>
      <c r="AC50" s="287"/>
      <c r="AD50" s="288" t="s">
        <v>889</v>
      </c>
      <c r="AE50" s="289" t="s">
        <v>889</v>
      </c>
      <c r="AF50" s="279">
        <v>50</v>
      </c>
      <c r="AG50" s="282">
        <v>45160</v>
      </c>
      <c r="AH50" s="282" t="s">
        <v>889</v>
      </c>
      <c r="AI50" s="282">
        <v>45145</v>
      </c>
      <c r="AJ50" s="282" t="s">
        <v>889</v>
      </c>
      <c r="AK50" s="274"/>
    </row>
    <row r="51" spans="1:37" x14ac:dyDescent="0.3">
      <c r="A51" s="273">
        <v>12956</v>
      </c>
      <c r="B51" s="274" t="s">
        <v>983</v>
      </c>
      <c r="C51" s="146" t="s">
        <v>263</v>
      </c>
      <c r="D51" s="275">
        <v>0.41</v>
      </c>
      <c r="E51" s="274"/>
      <c r="F51" s="274"/>
      <c r="G51" s="274" t="s">
        <v>889</v>
      </c>
      <c r="H51" s="276">
        <v>868</v>
      </c>
      <c r="I51" s="24">
        <v>103003</v>
      </c>
      <c r="J51" s="277">
        <v>0.41</v>
      </c>
      <c r="K51" s="276">
        <v>423</v>
      </c>
      <c r="L51" s="278">
        <v>19.043440105309344</v>
      </c>
      <c r="M51" s="279">
        <v>0</v>
      </c>
      <c r="N51" s="277">
        <v>0</v>
      </c>
      <c r="O51" s="280" t="s">
        <v>888</v>
      </c>
      <c r="P51" s="279">
        <v>0</v>
      </c>
      <c r="Q51" s="281">
        <v>0</v>
      </c>
      <c r="R51" s="282" t="s">
        <v>889</v>
      </c>
      <c r="S51" s="274" t="s">
        <v>966</v>
      </c>
      <c r="T51" s="44">
        <v>1</v>
      </c>
      <c r="U51" s="283">
        <v>61</v>
      </c>
      <c r="V51" s="284">
        <v>8</v>
      </c>
      <c r="W51" s="285" t="s">
        <v>889</v>
      </c>
      <c r="X51" s="286" t="s">
        <v>889</v>
      </c>
      <c r="Y51" s="287">
        <v>0</v>
      </c>
      <c r="Z51" s="287" t="s">
        <v>889</v>
      </c>
      <c r="AA51" s="286" t="s">
        <v>889</v>
      </c>
      <c r="AB51" s="287">
        <v>0</v>
      </c>
      <c r="AC51" s="287"/>
      <c r="AD51" s="288" t="s">
        <v>889</v>
      </c>
      <c r="AE51" s="289" t="s">
        <v>889</v>
      </c>
      <c r="AF51" s="279">
        <v>182</v>
      </c>
      <c r="AG51" s="282">
        <v>45208</v>
      </c>
      <c r="AH51" s="282" t="s">
        <v>889</v>
      </c>
      <c r="AI51" s="282">
        <v>45145</v>
      </c>
      <c r="AJ51" s="282" t="s">
        <v>889</v>
      </c>
      <c r="AK51" s="274"/>
    </row>
    <row r="52" spans="1:37" x14ac:dyDescent="0.3">
      <c r="A52" s="273">
        <v>12971</v>
      </c>
      <c r="B52" s="274" t="s">
        <v>984</v>
      </c>
      <c r="C52" s="146" t="s">
        <v>263</v>
      </c>
      <c r="D52" s="275">
        <v>0.36</v>
      </c>
      <c r="E52" s="274"/>
      <c r="F52" s="274"/>
      <c r="G52" s="274" t="s">
        <v>889</v>
      </c>
      <c r="H52" s="276">
        <v>401</v>
      </c>
      <c r="I52" s="24">
        <v>103003</v>
      </c>
      <c r="J52" s="277">
        <v>0.36</v>
      </c>
      <c r="K52" s="276">
        <v>100</v>
      </c>
      <c r="L52" s="278">
        <v>48.139255702280913</v>
      </c>
      <c r="M52" s="279">
        <v>0</v>
      </c>
      <c r="N52" s="277">
        <v>0</v>
      </c>
      <c r="O52" s="280" t="s">
        <v>888</v>
      </c>
      <c r="P52" s="279">
        <v>0</v>
      </c>
      <c r="Q52" s="281">
        <v>0</v>
      </c>
      <c r="R52" s="282" t="s">
        <v>889</v>
      </c>
      <c r="S52" s="274" t="s">
        <v>985</v>
      </c>
      <c r="T52" s="44">
        <v>1</v>
      </c>
      <c r="U52" s="283">
        <v>55</v>
      </c>
      <c r="V52" s="284">
        <v>31</v>
      </c>
      <c r="W52" s="285" t="s">
        <v>889</v>
      </c>
      <c r="X52" s="286" t="s">
        <v>889</v>
      </c>
      <c r="Y52" s="287">
        <v>0</v>
      </c>
      <c r="Z52" s="287" t="s">
        <v>889</v>
      </c>
      <c r="AA52" s="286" t="s">
        <v>889</v>
      </c>
      <c r="AB52" s="287">
        <v>0</v>
      </c>
      <c r="AC52" s="287"/>
      <c r="AD52" s="288" t="s">
        <v>889</v>
      </c>
      <c r="AE52" s="289" t="s">
        <v>889</v>
      </c>
      <c r="AF52" s="279">
        <v>34</v>
      </c>
      <c r="AG52" s="282">
        <v>42360</v>
      </c>
      <c r="AH52" s="282" t="s">
        <v>889</v>
      </c>
      <c r="AI52" s="282">
        <v>43657</v>
      </c>
      <c r="AJ52" s="282" t="s">
        <v>889</v>
      </c>
      <c r="AK52" s="274"/>
    </row>
    <row r="53" spans="1:37" x14ac:dyDescent="0.3">
      <c r="A53" s="273">
        <v>12989</v>
      </c>
      <c r="B53" s="274" t="s">
        <v>986</v>
      </c>
      <c r="C53" s="146" t="s">
        <v>263</v>
      </c>
      <c r="D53" s="275">
        <v>6.66</v>
      </c>
      <c r="E53" s="274"/>
      <c r="F53" s="274"/>
      <c r="G53" s="274" t="s">
        <v>889</v>
      </c>
      <c r="H53" s="276">
        <v>0</v>
      </c>
      <c r="I53" s="24">
        <v>103003</v>
      </c>
      <c r="J53" s="277">
        <v>6.66</v>
      </c>
      <c r="K53" s="276">
        <v>130</v>
      </c>
      <c r="L53" s="278">
        <v>0</v>
      </c>
      <c r="M53" s="279">
        <v>0</v>
      </c>
      <c r="N53" s="277">
        <v>0</v>
      </c>
      <c r="O53" s="280" t="s">
        <v>888</v>
      </c>
      <c r="P53" s="279">
        <v>0</v>
      </c>
      <c r="Q53" s="281">
        <v>0</v>
      </c>
      <c r="R53" s="282" t="s">
        <v>889</v>
      </c>
      <c r="S53" s="274" t="s">
        <v>987</v>
      </c>
      <c r="T53" s="44">
        <v>1</v>
      </c>
      <c r="U53" s="283">
        <v>55</v>
      </c>
      <c r="V53" s="284">
        <v>7</v>
      </c>
      <c r="W53" s="285">
        <v>10083</v>
      </c>
      <c r="X53" s="286">
        <v>2023</v>
      </c>
      <c r="Y53" s="287">
        <v>300</v>
      </c>
      <c r="Z53" s="287" t="s">
        <v>889</v>
      </c>
      <c r="AA53" s="286" t="s">
        <v>889</v>
      </c>
      <c r="AB53" s="287">
        <v>0</v>
      </c>
      <c r="AC53" s="287"/>
      <c r="AD53" s="288" t="s">
        <v>889</v>
      </c>
      <c r="AE53" s="289" t="s">
        <v>889</v>
      </c>
      <c r="AF53" s="279">
        <v>44</v>
      </c>
      <c r="AG53" s="282">
        <v>43656</v>
      </c>
      <c r="AH53" s="282" t="s">
        <v>889</v>
      </c>
      <c r="AI53" s="282">
        <v>44917</v>
      </c>
      <c r="AJ53" s="282" t="s">
        <v>889</v>
      </c>
      <c r="AK53" s="274"/>
    </row>
    <row r="54" spans="1:37" x14ac:dyDescent="0.3">
      <c r="A54" s="273">
        <v>12992</v>
      </c>
      <c r="B54" s="274" t="s">
        <v>988</v>
      </c>
      <c r="C54" s="146" t="s">
        <v>263</v>
      </c>
      <c r="D54" s="275">
        <v>9.82</v>
      </c>
      <c r="E54" s="274"/>
      <c r="F54" s="274"/>
      <c r="G54" s="274" t="s">
        <v>889</v>
      </c>
      <c r="H54" s="276">
        <v>0</v>
      </c>
      <c r="I54" s="24">
        <v>103003</v>
      </c>
      <c r="J54" s="277">
        <v>9.82</v>
      </c>
      <c r="K54" s="276">
        <v>58</v>
      </c>
      <c r="L54" s="278">
        <v>0</v>
      </c>
      <c r="M54" s="279">
        <v>49.04</v>
      </c>
      <c r="N54" s="277">
        <v>481.57279999999997</v>
      </c>
      <c r="O54" s="280" t="s">
        <v>888</v>
      </c>
      <c r="P54" s="279">
        <v>0</v>
      </c>
      <c r="Q54" s="281">
        <v>0</v>
      </c>
      <c r="R54" s="282" t="s">
        <v>889</v>
      </c>
      <c r="S54" s="274" t="s">
        <v>987</v>
      </c>
      <c r="T54" s="44">
        <v>1</v>
      </c>
      <c r="U54" s="283">
        <v>55</v>
      </c>
      <c r="V54" s="284">
        <v>7</v>
      </c>
      <c r="W54" s="285">
        <v>2442</v>
      </c>
      <c r="X54" s="286">
        <v>2023</v>
      </c>
      <c r="Y54" s="287">
        <v>10</v>
      </c>
      <c r="Z54" s="287" t="s">
        <v>889</v>
      </c>
      <c r="AA54" s="286" t="s">
        <v>889</v>
      </c>
      <c r="AB54" s="287">
        <v>0</v>
      </c>
      <c r="AC54" s="287"/>
      <c r="AD54" s="288" t="s">
        <v>889</v>
      </c>
      <c r="AE54" s="289" t="s">
        <v>889</v>
      </c>
      <c r="AF54" s="279">
        <v>20</v>
      </c>
      <c r="AG54" s="282">
        <v>44951</v>
      </c>
      <c r="AH54" s="282" t="s">
        <v>889</v>
      </c>
      <c r="AI54" s="282">
        <v>44917</v>
      </c>
      <c r="AJ54" s="282" t="s">
        <v>889</v>
      </c>
      <c r="AK54" s="274"/>
    </row>
    <row r="55" spans="1:37" x14ac:dyDescent="0.3">
      <c r="A55" s="273">
        <v>13009</v>
      </c>
      <c r="B55" s="274" t="s">
        <v>989</v>
      </c>
      <c r="C55" s="146" t="s">
        <v>272</v>
      </c>
      <c r="D55" s="275">
        <v>1.55</v>
      </c>
      <c r="E55" s="274"/>
      <c r="F55" s="274"/>
      <c r="G55" s="274" t="s">
        <v>889</v>
      </c>
      <c r="H55" s="276">
        <v>456</v>
      </c>
      <c r="I55" s="24">
        <v>103003</v>
      </c>
      <c r="J55" s="277">
        <v>1.55</v>
      </c>
      <c r="K55" s="276">
        <v>460</v>
      </c>
      <c r="L55" s="278">
        <v>11.4</v>
      </c>
      <c r="M55" s="279">
        <v>24</v>
      </c>
      <c r="N55" s="277">
        <v>37.200000000000003</v>
      </c>
      <c r="O55" s="280" t="s">
        <v>888</v>
      </c>
      <c r="P55" s="279">
        <v>0</v>
      </c>
      <c r="Q55" s="281">
        <v>0</v>
      </c>
      <c r="R55" s="282" t="s">
        <v>889</v>
      </c>
      <c r="S55" s="274" t="s">
        <v>990</v>
      </c>
      <c r="T55" s="44">
        <v>1</v>
      </c>
      <c r="U55" s="283">
        <v>55</v>
      </c>
      <c r="V55" s="284">
        <v>32</v>
      </c>
      <c r="W55" s="285" t="s">
        <v>889</v>
      </c>
      <c r="X55" s="286" t="s">
        <v>889</v>
      </c>
      <c r="Y55" s="287">
        <v>0</v>
      </c>
      <c r="Z55" s="287" t="s">
        <v>889</v>
      </c>
      <c r="AA55" s="286" t="s">
        <v>889</v>
      </c>
      <c r="AB55" s="287">
        <v>0</v>
      </c>
      <c r="AC55" s="287"/>
      <c r="AD55" s="288" t="s">
        <v>889</v>
      </c>
      <c r="AE55" s="289" t="s">
        <v>889</v>
      </c>
      <c r="AF55" s="279">
        <v>160</v>
      </c>
      <c r="AG55" s="282">
        <v>43837</v>
      </c>
      <c r="AH55" s="282" t="s">
        <v>889</v>
      </c>
      <c r="AI55" s="282">
        <v>45181</v>
      </c>
      <c r="AJ55" s="282" t="s">
        <v>889</v>
      </c>
      <c r="AK55" s="274"/>
    </row>
    <row r="56" spans="1:37" x14ac:dyDescent="0.3">
      <c r="A56" s="273">
        <v>13021</v>
      </c>
      <c r="B56" s="274" t="s">
        <v>313</v>
      </c>
      <c r="C56" s="146" t="s">
        <v>269</v>
      </c>
      <c r="D56" s="275">
        <v>0.95</v>
      </c>
      <c r="E56" s="274"/>
      <c r="F56" s="274"/>
      <c r="G56" s="274" t="s">
        <v>889</v>
      </c>
      <c r="H56" s="276">
        <v>250</v>
      </c>
      <c r="I56" s="24">
        <v>103003</v>
      </c>
      <c r="J56" s="277">
        <v>1.27</v>
      </c>
      <c r="K56" s="276">
        <v>4</v>
      </c>
      <c r="L56" s="278">
        <v>757.57575757575762</v>
      </c>
      <c r="M56" s="279">
        <v>0</v>
      </c>
      <c r="N56" s="277">
        <v>0</v>
      </c>
      <c r="O56" s="280" t="s">
        <v>888</v>
      </c>
      <c r="P56" s="279">
        <v>0</v>
      </c>
      <c r="Q56" s="281">
        <v>0</v>
      </c>
      <c r="R56" s="282" t="s">
        <v>889</v>
      </c>
      <c r="S56" s="274" t="s">
        <v>991</v>
      </c>
      <c r="T56" s="44">
        <v>1</v>
      </c>
      <c r="U56" s="283">
        <v>67</v>
      </c>
      <c r="V56" s="284">
        <v>6</v>
      </c>
      <c r="W56" s="285" t="s">
        <v>889</v>
      </c>
      <c r="X56" s="286" t="s">
        <v>889</v>
      </c>
      <c r="Y56" s="287">
        <v>0</v>
      </c>
      <c r="Z56" s="287" t="s">
        <v>889</v>
      </c>
      <c r="AA56" s="286" t="s">
        <v>889</v>
      </c>
      <c r="AB56" s="287">
        <v>0</v>
      </c>
      <c r="AC56" s="287"/>
      <c r="AD56" s="288" t="s">
        <v>889</v>
      </c>
      <c r="AE56" s="289" t="s">
        <v>889</v>
      </c>
      <c r="AF56" s="279">
        <v>0</v>
      </c>
      <c r="AG56" s="282" t="s">
        <v>889</v>
      </c>
      <c r="AH56" s="282" t="s">
        <v>889</v>
      </c>
      <c r="AI56" s="282">
        <v>35536</v>
      </c>
      <c r="AJ56" s="282" t="s">
        <v>889</v>
      </c>
      <c r="AK56" s="274"/>
    </row>
    <row r="57" spans="1:37" x14ac:dyDescent="0.3">
      <c r="A57" s="273">
        <v>13063</v>
      </c>
      <c r="B57" s="274" t="s">
        <v>992</v>
      </c>
      <c r="C57" s="146" t="s">
        <v>290</v>
      </c>
      <c r="D57" s="275">
        <v>3.63</v>
      </c>
      <c r="E57" s="274"/>
      <c r="F57" s="274"/>
      <c r="G57" s="274" t="s">
        <v>889</v>
      </c>
      <c r="H57" s="276">
        <v>1243</v>
      </c>
      <c r="I57" s="24">
        <v>103003</v>
      </c>
      <c r="J57" s="277">
        <v>3.63</v>
      </c>
      <c r="K57" s="276">
        <v>444</v>
      </c>
      <c r="L57" s="278">
        <v>23.789473684210524</v>
      </c>
      <c r="M57" s="279">
        <v>0</v>
      </c>
      <c r="N57" s="277">
        <v>0</v>
      </c>
      <c r="O57" s="280" t="s">
        <v>888</v>
      </c>
      <c r="P57" s="279">
        <v>0</v>
      </c>
      <c r="Q57" s="281">
        <v>0</v>
      </c>
      <c r="R57" s="282" t="s">
        <v>889</v>
      </c>
      <c r="S57" s="274" t="s">
        <v>993</v>
      </c>
      <c r="T57" s="44">
        <v>1</v>
      </c>
      <c r="U57" s="283">
        <v>61</v>
      </c>
      <c r="V57" s="284">
        <v>9</v>
      </c>
      <c r="W57" s="285" t="s">
        <v>889</v>
      </c>
      <c r="X57" s="286" t="s">
        <v>889</v>
      </c>
      <c r="Y57" s="287">
        <v>0</v>
      </c>
      <c r="Z57" s="287" t="s">
        <v>889</v>
      </c>
      <c r="AA57" s="286" t="s">
        <v>889</v>
      </c>
      <c r="AB57" s="287">
        <v>0</v>
      </c>
      <c r="AC57" s="287"/>
      <c r="AD57" s="288" t="s">
        <v>889</v>
      </c>
      <c r="AE57" s="289" t="s">
        <v>889</v>
      </c>
      <c r="AF57" s="279">
        <v>210</v>
      </c>
      <c r="AG57" s="282">
        <v>45184</v>
      </c>
      <c r="AH57" s="282" t="s">
        <v>889</v>
      </c>
      <c r="AI57" s="282">
        <v>45145</v>
      </c>
      <c r="AJ57" s="282" t="s">
        <v>889</v>
      </c>
      <c r="AK57" s="274"/>
    </row>
    <row r="58" spans="1:37" x14ac:dyDescent="0.3">
      <c r="A58" s="273">
        <v>13064</v>
      </c>
      <c r="B58" s="274" t="s">
        <v>994</v>
      </c>
      <c r="C58" s="146" t="s">
        <v>260</v>
      </c>
      <c r="D58" s="275">
        <v>2.5099999999999998</v>
      </c>
      <c r="E58" s="274"/>
      <c r="F58" s="274"/>
      <c r="G58" s="274" t="s">
        <v>889</v>
      </c>
      <c r="H58" s="276">
        <v>756</v>
      </c>
      <c r="I58" s="24">
        <v>103003</v>
      </c>
      <c r="J58" s="277">
        <v>2.5099999999999998</v>
      </c>
      <c r="K58" s="276">
        <v>1274</v>
      </c>
      <c r="L58" s="278">
        <v>3.9154754505904292</v>
      </c>
      <c r="M58" s="279">
        <v>1560.96</v>
      </c>
      <c r="N58" s="277">
        <v>3918.0095999999999</v>
      </c>
      <c r="O58" s="280" t="s">
        <v>888</v>
      </c>
      <c r="P58" s="279">
        <v>0</v>
      </c>
      <c r="Q58" s="281">
        <v>0</v>
      </c>
      <c r="R58" s="282" t="s">
        <v>889</v>
      </c>
      <c r="S58" s="274" t="s">
        <v>993</v>
      </c>
      <c r="T58" s="44">
        <v>1</v>
      </c>
      <c r="U58" s="283">
        <v>61</v>
      </c>
      <c r="V58" s="284">
        <v>9</v>
      </c>
      <c r="W58" s="285" t="s">
        <v>889</v>
      </c>
      <c r="X58" s="286" t="s">
        <v>889</v>
      </c>
      <c r="Y58" s="287">
        <v>0</v>
      </c>
      <c r="Z58" s="287" t="s">
        <v>889</v>
      </c>
      <c r="AA58" s="286" t="s">
        <v>889</v>
      </c>
      <c r="AB58" s="287">
        <v>0</v>
      </c>
      <c r="AC58" s="287"/>
      <c r="AD58" s="288" t="s">
        <v>889</v>
      </c>
      <c r="AE58" s="289" t="s">
        <v>889</v>
      </c>
      <c r="AF58" s="279">
        <v>772</v>
      </c>
      <c r="AG58" s="282">
        <v>45169</v>
      </c>
      <c r="AH58" s="282" t="s">
        <v>889</v>
      </c>
      <c r="AI58" s="282">
        <v>45145</v>
      </c>
      <c r="AJ58" s="282" t="s">
        <v>889</v>
      </c>
      <c r="AK58" s="274"/>
    </row>
    <row r="59" spans="1:37" x14ac:dyDescent="0.3">
      <c r="A59" s="273">
        <v>13066</v>
      </c>
      <c r="B59" s="274" t="s">
        <v>995</v>
      </c>
      <c r="C59" s="146" t="s">
        <v>380</v>
      </c>
      <c r="D59" s="275">
        <v>0.99</v>
      </c>
      <c r="E59" s="274"/>
      <c r="F59" s="274"/>
      <c r="G59" s="274" t="s">
        <v>889</v>
      </c>
      <c r="H59" s="276">
        <v>855</v>
      </c>
      <c r="I59" s="24">
        <v>103003</v>
      </c>
      <c r="J59" s="277">
        <v>0.99</v>
      </c>
      <c r="K59" s="276">
        <v>10</v>
      </c>
      <c r="L59" s="278">
        <v>1030.1204819277107</v>
      </c>
      <c r="M59" s="279">
        <v>0</v>
      </c>
      <c r="N59" s="277">
        <v>0</v>
      </c>
      <c r="O59" s="280" t="s">
        <v>888</v>
      </c>
      <c r="P59" s="279">
        <v>0</v>
      </c>
      <c r="Q59" s="281">
        <v>0</v>
      </c>
      <c r="R59" s="282" t="s">
        <v>889</v>
      </c>
      <c r="S59" s="274" t="s">
        <v>996</v>
      </c>
      <c r="T59" s="44">
        <v>1</v>
      </c>
      <c r="U59" s="283">
        <v>83</v>
      </c>
      <c r="V59" s="284">
        <v>2</v>
      </c>
      <c r="W59" s="285" t="s">
        <v>889</v>
      </c>
      <c r="X59" s="286" t="s">
        <v>889</v>
      </c>
      <c r="Y59" s="287">
        <v>0</v>
      </c>
      <c r="Z59" s="287" t="s">
        <v>889</v>
      </c>
      <c r="AA59" s="286" t="s">
        <v>889</v>
      </c>
      <c r="AB59" s="287">
        <v>0</v>
      </c>
      <c r="AC59" s="287"/>
      <c r="AD59" s="288" t="s">
        <v>889</v>
      </c>
      <c r="AE59" s="289" t="s">
        <v>889</v>
      </c>
      <c r="AF59" s="279">
        <v>4</v>
      </c>
      <c r="AG59" s="282">
        <v>44067</v>
      </c>
      <c r="AH59" s="282" t="s">
        <v>889</v>
      </c>
      <c r="AI59" s="282">
        <v>44040</v>
      </c>
      <c r="AJ59" s="282" t="s">
        <v>889</v>
      </c>
      <c r="AK59" s="274"/>
    </row>
    <row r="60" spans="1:37" x14ac:dyDescent="0.3">
      <c r="A60" s="273">
        <v>13068</v>
      </c>
      <c r="B60" s="274" t="s">
        <v>997</v>
      </c>
      <c r="C60" s="146" t="s">
        <v>263</v>
      </c>
      <c r="D60" s="275">
        <v>4.3</v>
      </c>
      <c r="E60" s="274"/>
      <c r="F60" s="274"/>
      <c r="G60" s="274" t="s">
        <v>889</v>
      </c>
      <c r="H60" s="276">
        <v>163</v>
      </c>
      <c r="I60" s="24">
        <v>103003</v>
      </c>
      <c r="J60" s="277">
        <v>4.3</v>
      </c>
      <c r="K60" s="276">
        <v>36</v>
      </c>
      <c r="L60" s="278">
        <v>54.333333333333336</v>
      </c>
      <c r="M60" s="279">
        <v>0</v>
      </c>
      <c r="N60" s="277">
        <v>0</v>
      </c>
      <c r="O60" s="280" t="s">
        <v>888</v>
      </c>
      <c r="P60" s="279">
        <v>0</v>
      </c>
      <c r="Q60" s="281">
        <v>0</v>
      </c>
      <c r="R60" s="282" t="s">
        <v>889</v>
      </c>
      <c r="S60" s="274" t="s">
        <v>966</v>
      </c>
      <c r="T60" s="44">
        <v>1</v>
      </c>
      <c r="U60" s="283">
        <v>61</v>
      </c>
      <c r="V60" s="284">
        <v>8</v>
      </c>
      <c r="W60" s="285" t="s">
        <v>889</v>
      </c>
      <c r="X60" s="286" t="s">
        <v>889</v>
      </c>
      <c r="Y60" s="287">
        <v>0</v>
      </c>
      <c r="Z60" s="287" t="s">
        <v>889</v>
      </c>
      <c r="AA60" s="286" t="s">
        <v>889</v>
      </c>
      <c r="AB60" s="287">
        <v>0</v>
      </c>
      <c r="AC60" s="287"/>
      <c r="AD60" s="288" t="s">
        <v>889</v>
      </c>
      <c r="AE60" s="289" t="s">
        <v>889</v>
      </c>
      <c r="AF60" s="279">
        <v>12</v>
      </c>
      <c r="AG60" s="282">
        <v>44069</v>
      </c>
      <c r="AH60" s="282" t="s">
        <v>889</v>
      </c>
      <c r="AI60" s="282">
        <v>44029</v>
      </c>
      <c r="AJ60" s="282" t="s">
        <v>889</v>
      </c>
      <c r="AK60" s="274"/>
    </row>
    <row r="61" spans="1:37" x14ac:dyDescent="0.3">
      <c r="A61" s="273">
        <v>13072</v>
      </c>
      <c r="B61" s="274" t="s">
        <v>998</v>
      </c>
      <c r="C61" s="146" t="s">
        <v>263</v>
      </c>
      <c r="D61" s="275">
        <v>0.72</v>
      </c>
      <c r="E61" s="274"/>
      <c r="F61" s="274"/>
      <c r="G61" s="274" t="s">
        <v>889</v>
      </c>
      <c r="H61" s="276">
        <v>275</v>
      </c>
      <c r="I61" s="24">
        <v>103003</v>
      </c>
      <c r="J61" s="277">
        <v>0.72</v>
      </c>
      <c r="K61" s="276">
        <v>227</v>
      </c>
      <c r="L61" s="278">
        <v>11.618081960287283</v>
      </c>
      <c r="M61" s="279">
        <v>9.0399999999999991</v>
      </c>
      <c r="N61" s="277">
        <v>6.5087999999999999</v>
      </c>
      <c r="O61" s="280" t="s">
        <v>888</v>
      </c>
      <c r="P61" s="279">
        <v>0</v>
      </c>
      <c r="Q61" s="281">
        <v>0</v>
      </c>
      <c r="R61" s="282" t="s">
        <v>889</v>
      </c>
      <c r="S61" s="274" t="s">
        <v>966</v>
      </c>
      <c r="T61" s="44">
        <v>1</v>
      </c>
      <c r="U61" s="283">
        <v>61</v>
      </c>
      <c r="V61" s="284">
        <v>8</v>
      </c>
      <c r="W61" s="285" t="s">
        <v>889</v>
      </c>
      <c r="X61" s="286" t="s">
        <v>889</v>
      </c>
      <c r="Y61" s="287">
        <v>0</v>
      </c>
      <c r="Z61" s="287" t="s">
        <v>889</v>
      </c>
      <c r="AA61" s="286" t="s">
        <v>889</v>
      </c>
      <c r="AB61" s="287">
        <v>0</v>
      </c>
      <c r="AC61" s="287"/>
      <c r="AD61" s="288" t="s">
        <v>889</v>
      </c>
      <c r="AE61" s="289" t="s">
        <v>889</v>
      </c>
      <c r="AF61" s="279">
        <v>94</v>
      </c>
      <c r="AG61" s="282">
        <v>45180</v>
      </c>
      <c r="AH61" s="282" t="s">
        <v>889</v>
      </c>
      <c r="AI61" s="282">
        <v>45145</v>
      </c>
      <c r="AJ61" s="282" t="s">
        <v>889</v>
      </c>
      <c r="AK61" s="274"/>
    </row>
    <row r="62" spans="1:37" x14ac:dyDescent="0.3">
      <c r="A62" s="273">
        <v>13087</v>
      </c>
      <c r="B62" s="274" t="s">
        <v>999</v>
      </c>
      <c r="C62" s="146" t="s">
        <v>380</v>
      </c>
      <c r="D62" s="275">
        <v>1.3</v>
      </c>
      <c r="E62" s="274"/>
      <c r="F62" s="274"/>
      <c r="G62" s="274" t="s">
        <v>889</v>
      </c>
      <c r="H62" s="276">
        <v>222</v>
      </c>
      <c r="I62" s="24">
        <v>103003</v>
      </c>
      <c r="J62" s="277">
        <v>1.3</v>
      </c>
      <c r="K62" s="276">
        <v>55</v>
      </c>
      <c r="L62" s="278">
        <v>48.471615720524014</v>
      </c>
      <c r="M62" s="279">
        <v>0</v>
      </c>
      <c r="N62" s="277">
        <v>0</v>
      </c>
      <c r="O62" s="280" t="s">
        <v>888</v>
      </c>
      <c r="P62" s="279">
        <v>0</v>
      </c>
      <c r="Q62" s="281">
        <v>0</v>
      </c>
      <c r="R62" s="282" t="s">
        <v>889</v>
      </c>
      <c r="S62" s="274" t="s">
        <v>996</v>
      </c>
      <c r="T62" s="44">
        <v>1</v>
      </c>
      <c r="U62" s="283">
        <v>83</v>
      </c>
      <c r="V62" s="284">
        <v>2</v>
      </c>
      <c r="W62" s="285" t="s">
        <v>889</v>
      </c>
      <c r="X62" s="286" t="s">
        <v>889</v>
      </c>
      <c r="Y62" s="287">
        <v>0</v>
      </c>
      <c r="Z62" s="287" t="s">
        <v>889</v>
      </c>
      <c r="AA62" s="286" t="s">
        <v>889</v>
      </c>
      <c r="AB62" s="287">
        <v>0</v>
      </c>
      <c r="AC62" s="287"/>
      <c r="AD62" s="288" t="s">
        <v>889</v>
      </c>
      <c r="AE62" s="289" t="s">
        <v>889</v>
      </c>
      <c r="AF62" s="279">
        <v>18</v>
      </c>
      <c r="AG62" s="282">
        <v>44067</v>
      </c>
      <c r="AH62" s="282" t="s">
        <v>889</v>
      </c>
      <c r="AI62" s="282">
        <v>44922</v>
      </c>
      <c r="AJ62" s="282" t="s">
        <v>889</v>
      </c>
      <c r="AK62" s="274"/>
    </row>
    <row r="63" spans="1:37" x14ac:dyDescent="0.3">
      <c r="A63" s="273">
        <v>13088</v>
      </c>
      <c r="B63" s="274" t="s">
        <v>1000</v>
      </c>
      <c r="C63" s="146" t="s">
        <v>380</v>
      </c>
      <c r="D63" s="275">
        <v>1.32</v>
      </c>
      <c r="E63" s="274"/>
      <c r="F63" s="274"/>
      <c r="G63" s="274" t="s">
        <v>889</v>
      </c>
      <c r="H63" s="276">
        <v>50</v>
      </c>
      <c r="I63" s="24">
        <v>103003</v>
      </c>
      <c r="J63" s="277">
        <v>1.32</v>
      </c>
      <c r="K63" s="276">
        <v>44</v>
      </c>
      <c r="L63" s="278">
        <v>13.623978201634877</v>
      </c>
      <c r="M63" s="279">
        <v>0</v>
      </c>
      <c r="N63" s="277">
        <v>0</v>
      </c>
      <c r="O63" s="280" t="s">
        <v>888</v>
      </c>
      <c r="P63" s="279">
        <v>0</v>
      </c>
      <c r="Q63" s="281">
        <v>0</v>
      </c>
      <c r="R63" s="282" t="s">
        <v>889</v>
      </c>
      <c r="S63" s="274" t="s">
        <v>996</v>
      </c>
      <c r="T63" s="44">
        <v>1</v>
      </c>
      <c r="U63" s="283">
        <v>83</v>
      </c>
      <c r="V63" s="284">
        <v>2</v>
      </c>
      <c r="W63" s="285" t="s">
        <v>889</v>
      </c>
      <c r="X63" s="286" t="s">
        <v>889</v>
      </c>
      <c r="Y63" s="287">
        <v>0</v>
      </c>
      <c r="Z63" s="287" t="s">
        <v>889</v>
      </c>
      <c r="AA63" s="286" t="s">
        <v>889</v>
      </c>
      <c r="AB63" s="287">
        <v>0</v>
      </c>
      <c r="AC63" s="287"/>
      <c r="AD63" s="288" t="s">
        <v>889</v>
      </c>
      <c r="AE63" s="289" t="s">
        <v>889</v>
      </c>
      <c r="AF63" s="279">
        <v>14</v>
      </c>
      <c r="AG63" s="282">
        <v>45201</v>
      </c>
      <c r="AH63" s="282" t="s">
        <v>889</v>
      </c>
      <c r="AI63" s="282">
        <v>45189</v>
      </c>
      <c r="AJ63" s="282" t="s">
        <v>889</v>
      </c>
      <c r="AK63" s="274"/>
    </row>
    <row r="64" spans="1:37" x14ac:dyDescent="0.3">
      <c r="A64" s="273">
        <v>13091</v>
      </c>
      <c r="B64" s="274" t="s">
        <v>1001</v>
      </c>
      <c r="C64" s="146" t="s">
        <v>380</v>
      </c>
      <c r="D64" s="275">
        <v>0.95</v>
      </c>
      <c r="E64" s="274"/>
      <c r="F64" s="274"/>
      <c r="G64" s="274" t="s">
        <v>889</v>
      </c>
      <c r="H64" s="276">
        <v>0</v>
      </c>
      <c r="I64" s="24">
        <v>103003</v>
      </c>
      <c r="J64" s="277">
        <v>0.95</v>
      </c>
      <c r="K64" s="276">
        <v>2048</v>
      </c>
      <c r="L64" s="278">
        <v>0</v>
      </c>
      <c r="M64" s="279">
        <v>48.04</v>
      </c>
      <c r="N64" s="277">
        <v>45.637999999999998</v>
      </c>
      <c r="O64" s="280" t="s">
        <v>888</v>
      </c>
      <c r="P64" s="279">
        <v>0</v>
      </c>
      <c r="Q64" s="281">
        <v>0</v>
      </c>
      <c r="R64" s="282" t="s">
        <v>889</v>
      </c>
      <c r="S64" s="274" t="s">
        <v>917</v>
      </c>
      <c r="T64" s="44">
        <v>1</v>
      </c>
      <c r="U64" s="283">
        <v>45</v>
      </c>
      <c r="V64" s="284">
        <v>14</v>
      </c>
      <c r="W64" s="285">
        <v>7338</v>
      </c>
      <c r="X64" s="286">
        <v>2023</v>
      </c>
      <c r="Y64" s="287">
        <v>2000</v>
      </c>
      <c r="Z64" s="287" t="s">
        <v>889</v>
      </c>
      <c r="AA64" s="286" t="s">
        <v>889</v>
      </c>
      <c r="AB64" s="287">
        <v>0</v>
      </c>
      <c r="AC64" s="287"/>
      <c r="AD64" s="288" t="s">
        <v>889</v>
      </c>
      <c r="AE64" s="289" t="s">
        <v>889</v>
      </c>
      <c r="AF64" s="279">
        <v>682</v>
      </c>
      <c r="AG64" s="282">
        <v>44952</v>
      </c>
      <c r="AH64" s="282" t="s">
        <v>889</v>
      </c>
      <c r="AI64" s="282">
        <v>44999</v>
      </c>
      <c r="AJ64" s="282" t="s">
        <v>889</v>
      </c>
      <c r="AK64" s="274"/>
    </row>
    <row r="65" spans="1:37" x14ac:dyDescent="0.3">
      <c r="A65" s="273">
        <v>13092</v>
      </c>
      <c r="B65" s="274" t="s">
        <v>1002</v>
      </c>
      <c r="C65" s="146" t="s">
        <v>263</v>
      </c>
      <c r="D65" s="275">
        <v>13.5</v>
      </c>
      <c r="E65" s="274"/>
      <c r="F65" s="274"/>
      <c r="G65" s="274" t="s">
        <v>889</v>
      </c>
      <c r="H65" s="276">
        <v>180</v>
      </c>
      <c r="I65" s="24">
        <v>103003</v>
      </c>
      <c r="J65" s="277">
        <v>13.5</v>
      </c>
      <c r="K65" s="276">
        <v>46</v>
      </c>
      <c r="L65" s="278">
        <v>45.918367346938773</v>
      </c>
      <c r="M65" s="279">
        <v>0</v>
      </c>
      <c r="N65" s="277">
        <v>0</v>
      </c>
      <c r="O65" s="280" t="s">
        <v>888</v>
      </c>
      <c r="P65" s="279">
        <v>0</v>
      </c>
      <c r="Q65" s="281">
        <v>0</v>
      </c>
      <c r="R65" s="282" t="s">
        <v>889</v>
      </c>
      <c r="S65" s="274" t="s">
        <v>1003</v>
      </c>
      <c r="T65" s="44">
        <v>1</v>
      </c>
      <c r="U65" s="283">
        <v>61</v>
      </c>
      <c r="V65" s="284">
        <v>11</v>
      </c>
      <c r="W65" s="285" t="s">
        <v>889</v>
      </c>
      <c r="X65" s="286" t="s">
        <v>889</v>
      </c>
      <c r="Y65" s="287">
        <v>0</v>
      </c>
      <c r="Z65" s="287" t="s">
        <v>889</v>
      </c>
      <c r="AA65" s="286" t="s">
        <v>889</v>
      </c>
      <c r="AB65" s="287">
        <v>0</v>
      </c>
      <c r="AC65" s="287"/>
      <c r="AD65" s="288" t="s">
        <v>889</v>
      </c>
      <c r="AE65" s="289" t="s">
        <v>889</v>
      </c>
      <c r="AF65" s="279">
        <v>16</v>
      </c>
      <c r="AG65" s="282">
        <v>44533</v>
      </c>
      <c r="AH65" s="282" t="s">
        <v>889</v>
      </c>
      <c r="AI65" s="282">
        <v>44522</v>
      </c>
      <c r="AJ65" s="282" t="s">
        <v>889</v>
      </c>
      <c r="AK65" s="274"/>
    </row>
    <row r="66" spans="1:37" x14ac:dyDescent="0.3">
      <c r="A66" s="273">
        <v>13094</v>
      </c>
      <c r="B66" s="274" t="s">
        <v>1004</v>
      </c>
      <c r="C66" s="146" t="s">
        <v>263</v>
      </c>
      <c r="D66" s="275">
        <v>3.5</v>
      </c>
      <c r="E66" s="274"/>
      <c r="F66" s="274"/>
      <c r="G66" s="274" t="s">
        <v>889</v>
      </c>
      <c r="H66" s="276">
        <v>323</v>
      </c>
      <c r="I66" s="24">
        <v>103003</v>
      </c>
      <c r="J66" s="277">
        <v>3.5</v>
      </c>
      <c r="K66" s="276">
        <v>648</v>
      </c>
      <c r="L66" s="278">
        <v>5.2164082687338498</v>
      </c>
      <c r="M66" s="279">
        <v>420.04</v>
      </c>
      <c r="N66" s="277">
        <v>1470.14</v>
      </c>
      <c r="O66" s="280" t="s">
        <v>888</v>
      </c>
      <c r="P66" s="279">
        <v>0</v>
      </c>
      <c r="Q66" s="281">
        <v>0</v>
      </c>
      <c r="R66" s="282" t="s">
        <v>889</v>
      </c>
      <c r="S66" s="274" t="s">
        <v>1005</v>
      </c>
      <c r="T66" s="44">
        <v>1</v>
      </c>
      <c r="U66" s="283">
        <v>51</v>
      </c>
      <c r="V66" s="284">
        <v>11</v>
      </c>
      <c r="W66" s="285" t="s">
        <v>889</v>
      </c>
      <c r="X66" s="286" t="s">
        <v>889</v>
      </c>
      <c r="Y66" s="287">
        <v>0</v>
      </c>
      <c r="Z66" s="287" t="s">
        <v>889</v>
      </c>
      <c r="AA66" s="286" t="s">
        <v>889</v>
      </c>
      <c r="AB66" s="287">
        <v>0</v>
      </c>
      <c r="AC66" s="287"/>
      <c r="AD66" s="288" t="s">
        <v>889</v>
      </c>
      <c r="AE66" s="289" t="s">
        <v>889</v>
      </c>
      <c r="AF66" s="279">
        <v>248</v>
      </c>
      <c r="AG66" s="282">
        <v>45195</v>
      </c>
      <c r="AH66" s="282" t="s">
        <v>889</v>
      </c>
      <c r="AI66" s="282">
        <v>45189</v>
      </c>
      <c r="AJ66" s="282" t="s">
        <v>889</v>
      </c>
      <c r="AK66" s="274"/>
    </row>
    <row r="67" spans="1:37" x14ac:dyDescent="0.3">
      <c r="A67" s="273">
        <v>13095</v>
      </c>
      <c r="B67" s="274" t="s">
        <v>1006</v>
      </c>
      <c r="C67" s="146" t="s">
        <v>263</v>
      </c>
      <c r="D67" s="275">
        <v>4.43</v>
      </c>
      <c r="E67" s="274"/>
      <c r="F67" s="274"/>
      <c r="G67" s="274" t="s">
        <v>889</v>
      </c>
      <c r="H67" s="276">
        <v>232</v>
      </c>
      <c r="I67" s="24">
        <v>103003</v>
      </c>
      <c r="J67" s="277">
        <v>4.43</v>
      </c>
      <c r="K67" s="276">
        <v>88</v>
      </c>
      <c r="L67" s="278">
        <v>29.62962962962963</v>
      </c>
      <c r="M67" s="279">
        <v>0</v>
      </c>
      <c r="N67" s="277">
        <v>0</v>
      </c>
      <c r="O67" s="280" t="s">
        <v>888</v>
      </c>
      <c r="P67" s="279">
        <v>0</v>
      </c>
      <c r="Q67" s="281">
        <v>0</v>
      </c>
      <c r="R67" s="282" t="s">
        <v>889</v>
      </c>
      <c r="S67" s="274" t="s">
        <v>966</v>
      </c>
      <c r="T67" s="44">
        <v>1</v>
      </c>
      <c r="U67" s="283">
        <v>61</v>
      </c>
      <c r="V67" s="284">
        <v>8</v>
      </c>
      <c r="W67" s="285" t="s">
        <v>889</v>
      </c>
      <c r="X67" s="286" t="s">
        <v>889</v>
      </c>
      <c r="Y67" s="287">
        <v>0</v>
      </c>
      <c r="Z67" s="287" t="s">
        <v>889</v>
      </c>
      <c r="AA67" s="286" t="s">
        <v>889</v>
      </c>
      <c r="AB67" s="287">
        <v>0</v>
      </c>
      <c r="AC67" s="287"/>
      <c r="AD67" s="288" t="s">
        <v>889</v>
      </c>
      <c r="AE67" s="289" t="s">
        <v>889</v>
      </c>
      <c r="AF67" s="279">
        <v>32</v>
      </c>
      <c r="AG67" s="282">
        <v>45184</v>
      </c>
      <c r="AH67" s="282" t="s">
        <v>889</v>
      </c>
      <c r="AI67" s="282">
        <v>45145</v>
      </c>
      <c r="AJ67" s="282" t="s">
        <v>889</v>
      </c>
      <c r="AK67" s="274"/>
    </row>
    <row r="68" spans="1:37" x14ac:dyDescent="0.3">
      <c r="A68" s="273">
        <v>13101</v>
      </c>
      <c r="B68" s="274" t="s">
        <v>1007</v>
      </c>
      <c r="C68" s="146" t="s">
        <v>380</v>
      </c>
      <c r="D68" s="275">
        <v>3.2</v>
      </c>
      <c r="E68" s="274"/>
      <c r="F68" s="274"/>
      <c r="G68" s="274" t="s">
        <v>889</v>
      </c>
      <c r="H68" s="276">
        <v>85</v>
      </c>
      <c r="I68" s="24">
        <v>103003</v>
      </c>
      <c r="J68" s="277">
        <v>3.2</v>
      </c>
      <c r="K68" s="276">
        <v>101</v>
      </c>
      <c r="L68" s="278">
        <v>9.5291479820627796</v>
      </c>
      <c r="M68" s="279">
        <v>22.04</v>
      </c>
      <c r="N68" s="277">
        <v>70.528000000000006</v>
      </c>
      <c r="O68" s="280" t="s">
        <v>888</v>
      </c>
      <c r="P68" s="279">
        <v>0</v>
      </c>
      <c r="Q68" s="281">
        <v>0</v>
      </c>
      <c r="R68" s="282" t="s">
        <v>889</v>
      </c>
      <c r="S68" s="274" t="s">
        <v>996</v>
      </c>
      <c r="T68" s="44">
        <v>1</v>
      </c>
      <c r="U68" s="283">
        <v>83</v>
      </c>
      <c r="V68" s="284">
        <v>2</v>
      </c>
      <c r="W68" s="285" t="s">
        <v>889</v>
      </c>
      <c r="X68" s="286" t="s">
        <v>889</v>
      </c>
      <c r="Y68" s="287">
        <v>0</v>
      </c>
      <c r="Z68" s="287" t="s">
        <v>889</v>
      </c>
      <c r="AA68" s="286" t="s">
        <v>889</v>
      </c>
      <c r="AB68" s="287">
        <v>0</v>
      </c>
      <c r="AC68" s="287"/>
      <c r="AD68" s="288" t="s">
        <v>889</v>
      </c>
      <c r="AE68" s="289" t="s">
        <v>889</v>
      </c>
      <c r="AF68" s="279">
        <v>36</v>
      </c>
      <c r="AG68" s="282">
        <v>45201</v>
      </c>
      <c r="AH68" s="282" t="s">
        <v>889</v>
      </c>
      <c r="AI68" s="282">
        <v>45189</v>
      </c>
      <c r="AJ68" s="282" t="s">
        <v>889</v>
      </c>
      <c r="AK68" s="274"/>
    </row>
    <row r="69" spans="1:37" x14ac:dyDescent="0.3">
      <c r="A69" s="273">
        <v>13102</v>
      </c>
      <c r="B69" s="274" t="s">
        <v>1008</v>
      </c>
      <c r="C69" s="146" t="s">
        <v>263</v>
      </c>
      <c r="D69" s="275">
        <v>3</v>
      </c>
      <c r="E69" s="274"/>
      <c r="F69" s="274"/>
      <c r="G69" s="274" t="s">
        <v>889</v>
      </c>
      <c r="H69" s="276">
        <v>24</v>
      </c>
      <c r="I69" s="24">
        <v>103003</v>
      </c>
      <c r="J69" s="277">
        <v>3</v>
      </c>
      <c r="K69" s="276">
        <v>26</v>
      </c>
      <c r="L69" s="278">
        <v>11.059907834101383</v>
      </c>
      <c r="M69" s="279">
        <v>2.04</v>
      </c>
      <c r="N69" s="277">
        <v>6.12</v>
      </c>
      <c r="O69" s="280" t="s">
        <v>888</v>
      </c>
      <c r="P69" s="279">
        <v>0</v>
      </c>
      <c r="Q69" s="281">
        <v>0</v>
      </c>
      <c r="R69" s="282" t="s">
        <v>889</v>
      </c>
      <c r="S69" s="274" t="s">
        <v>966</v>
      </c>
      <c r="T69" s="44">
        <v>1</v>
      </c>
      <c r="U69" s="283">
        <v>61</v>
      </c>
      <c r="V69" s="284">
        <v>8</v>
      </c>
      <c r="W69" s="285" t="s">
        <v>889</v>
      </c>
      <c r="X69" s="286" t="s">
        <v>889</v>
      </c>
      <c r="Y69" s="287">
        <v>0</v>
      </c>
      <c r="Z69" s="287" t="s">
        <v>889</v>
      </c>
      <c r="AA69" s="286" t="s">
        <v>889</v>
      </c>
      <c r="AB69" s="287">
        <v>0</v>
      </c>
      <c r="AC69" s="287"/>
      <c r="AD69" s="288" t="s">
        <v>889</v>
      </c>
      <c r="AE69" s="289" t="s">
        <v>889</v>
      </c>
      <c r="AF69" s="279">
        <v>8</v>
      </c>
      <c r="AG69" s="282">
        <v>45160</v>
      </c>
      <c r="AH69" s="282" t="s">
        <v>889</v>
      </c>
      <c r="AI69" s="282">
        <v>45145</v>
      </c>
      <c r="AJ69" s="282" t="s">
        <v>889</v>
      </c>
      <c r="AK69" s="274"/>
    </row>
    <row r="70" spans="1:37" x14ac:dyDescent="0.3">
      <c r="A70" s="273">
        <v>13109</v>
      </c>
      <c r="B70" s="274" t="s">
        <v>1009</v>
      </c>
      <c r="C70" s="146" t="s">
        <v>380</v>
      </c>
      <c r="D70" s="275">
        <v>1.66</v>
      </c>
      <c r="E70" s="274"/>
      <c r="F70" s="274"/>
      <c r="G70" s="274" t="s">
        <v>889</v>
      </c>
      <c r="H70" s="276">
        <v>0</v>
      </c>
      <c r="I70" s="24">
        <v>103003</v>
      </c>
      <c r="J70" s="277">
        <v>1.66</v>
      </c>
      <c r="K70" s="276">
        <v>164</v>
      </c>
      <c r="L70" s="278">
        <v>0</v>
      </c>
      <c r="M70" s="279">
        <v>164.04</v>
      </c>
      <c r="N70" s="277">
        <v>272.3064</v>
      </c>
      <c r="O70" s="280" t="s">
        <v>888</v>
      </c>
      <c r="P70" s="279">
        <v>0</v>
      </c>
      <c r="Q70" s="281">
        <v>0</v>
      </c>
      <c r="R70" s="282" t="s">
        <v>889</v>
      </c>
      <c r="S70" s="274" t="s">
        <v>996</v>
      </c>
      <c r="T70" s="44">
        <v>1</v>
      </c>
      <c r="U70" s="283">
        <v>83</v>
      </c>
      <c r="V70" s="284">
        <v>2</v>
      </c>
      <c r="W70" s="285" t="s">
        <v>889</v>
      </c>
      <c r="X70" s="286" t="s">
        <v>889</v>
      </c>
      <c r="Y70" s="287">
        <v>0</v>
      </c>
      <c r="Z70" s="287" t="s">
        <v>889</v>
      </c>
      <c r="AA70" s="286" t="s">
        <v>889</v>
      </c>
      <c r="AB70" s="287">
        <v>0</v>
      </c>
      <c r="AC70" s="287"/>
      <c r="AD70" s="288" t="s">
        <v>889</v>
      </c>
      <c r="AE70" s="289" t="s">
        <v>889</v>
      </c>
      <c r="AF70" s="279">
        <v>54</v>
      </c>
      <c r="AG70" s="282">
        <v>44211</v>
      </c>
      <c r="AH70" s="282" t="s">
        <v>889</v>
      </c>
      <c r="AI70" s="282">
        <v>44438</v>
      </c>
      <c r="AJ70" s="282" t="s">
        <v>889</v>
      </c>
      <c r="AK70" s="274"/>
    </row>
    <row r="71" spans="1:37" x14ac:dyDescent="0.3">
      <c r="A71" s="273">
        <v>13116</v>
      </c>
      <c r="B71" s="274" t="s">
        <v>1010</v>
      </c>
      <c r="C71" s="146" t="s">
        <v>263</v>
      </c>
      <c r="D71" s="275">
        <v>59.9</v>
      </c>
      <c r="E71" s="274"/>
      <c r="F71" s="274"/>
      <c r="G71" s="274" t="s">
        <v>889</v>
      </c>
      <c r="H71" s="276">
        <v>40</v>
      </c>
      <c r="I71" s="24">
        <v>103003</v>
      </c>
      <c r="J71" s="277">
        <v>59.9</v>
      </c>
      <c r="K71" s="276">
        <v>28</v>
      </c>
      <c r="L71" s="278">
        <v>17.167381974248926</v>
      </c>
      <c r="M71" s="279">
        <v>0</v>
      </c>
      <c r="N71" s="277">
        <v>0</v>
      </c>
      <c r="O71" s="280" t="s">
        <v>888</v>
      </c>
      <c r="P71" s="279">
        <v>0</v>
      </c>
      <c r="Q71" s="281">
        <v>0</v>
      </c>
      <c r="R71" s="282" t="s">
        <v>889</v>
      </c>
      <c r="S71" s="274" t="s">
        <v>1011</v>
      </c>
      <c r="T71" s="44">
        <v>1</v>
      </c>
      <c r="U71" s="283">
        <v>61</v>
      </c>
      <c r="V71" s="284">
        <v>15</v>
      </c>
      <c r="W71" s="285" t="s">
        <v>889</v>
      </c>
      <c r="X71" s="286" t="s">
        <v>889</v>
      </c>
      <c r="Y71" s="287">
        <v>0</v>
      </c>
      <c r="Z71" s="287" t="s">
        <v>889</v>
      </c>
      <c r="AA71" s="286" t="s">
        <v>889</v>
      </c>
      <c r="AB71" s="287">
        <v>0</v>
      </c>
      <c r="AC71" s="287"/>
      <c r="AD71" s="288" t="s">
        <v>889</v>
      </c>
      <c r="AE71" s="289" t="s">
        <v>889</v>
      </c>
      <c r="AF71" s="279">
        <v>10</v>
      </c>
      <c r="AG71" s="282">
        <v>43416</v>
      </c>
      <c r="AH71" s="282" t="s">
        <v>889</v>
      </c>
      <c r="AI71" s="282">
        <v>44985</v>
      </c>
      <c r="AJ71" s="282" t="s">
        <v>889</v>
      </c>
      <c r="AK71" s="274"/>
    </row>
    <row r="72" spans="1:37" x14ac:dyDescent="0.3">
      <c r="A72" s="273">
        <v>13117</v>
      </c>
      <c r="B72" s="274" t="s">
        <v>1012</v>
      </c>
      <c r="C72" s="146" t="s">
        <v>263</v>
      </c>
      <c r="D72" s="275">
        <v>30</v>
      </c>
      <c r="E72" s="274"/>
      <c r="F72" s="274"/>
      <c r="G72" s="274" t="s">
        <v>889</v>
      </c>
      <c r="H72" s="276">
        <v>104</v>
      </c>
      <c r="I72" s="24">
        <v>103003</v>
      </c>
      <c r="J72" s="277">
        <v>30</v>
      </c>
      <c r="K72" s="276">
        <v>23</v>
      </c>
      <c r="L72" s="278">
        <v>42.975206611570243</v>
      </c>
      <c r="M72" s="279">
        <v>0</v>
      </c>
      <c r="N72" s="277">
        <v>0</v>
      </c>
      <c r="O72" s="280" t="s">
        <v>888</v>
      </c>
      <c r="P72" s="279">
        <v>0</v>
      </c>
      <c r="Q72" s="281">
        <v>0</v>
      </c>
      <c r="R72" s="282" t="s">
        <v>889</v>
      </c>
      <c r="S72" s="274" t="s">
        <v>1011</v>
      </c>
      <c r="T72" s="44">
        <v>1</v>
      </c>
      <c r="U72" s="283">
        <v>61</v>
      </c>
      <c r="V72" s="284">
        <v>15</v>
      </c>
      <c r="W72" s="285" t="s">
        <v>889</v>
      </c>
      <c r="X72" s="286" t="s">
        <v>889</v>
      </c>
      <c r="Y72" s="287">
        <v>0</v>
      </c>
      <c r="Z72" s="287" t="s">
        <v>889</v>
      </c>
      <c r="AA72" s="286" t="s">
        <v>889</v>
      </c>
      <c r="AB72" s="287">
        <v>0</v>
      </c>
      <c r="AC72" s="287"/>
      <c r="AD72" s="288" t="s">
        <v>889</v>
      </c>
      <c r="AE72" s="289" t="s">
        <v>889</v>
      </c>
      <c r="AF72" s="279">
        <v>10</v>
      </c>
      <c r="AG72" s="282">
        <v>44144</v>
      </c>
      <c r="AH72" s="282" t="s">
        <v>889</v>
      </c>
      <c r="AI72" s="282">
        <v>44946</v>
      </c>
      <c r="AJ72" s="282" t="s">
        <v>889</v>
      </c>
      <c r="AK72" s="274"/>
    </row>
    <row r="73" spans="1:37" x14ac:dyDescent="0.3">
      <c r="A73" s="273">
        <v>13120</v>
      </c>
      <c r="B73" s="274" t="s">
        <v>1013</v>
      </c>
      <c r="C73" s="146" t="s">
        <v>263</v>
      </c>
      <c r="D73" s="275">
        <v>24</v>
      </c>
      <c r="E73" s="274"/>
      <c r="F73" s="274"/>
      <c r="G73" s="274" t="s">
        <v>889</v>
      </c>
      <c r="H73" s="276">
        <v>54</v>
      </c>
      <c r="I73" s="24">
        <v>103003</v>
      </c>
      <c r="J73" s="277">
        <v>24</v>
      </c>
      <c r="K73" s="276">
        <v>24</v>
      </c>
      <c r="L73" s="278">
        <v>25.96153846153846</v>
      </c>
      <c r="M73" s="279">
        <v>0</v>
      </c>
      <c r="N73" s="277">
        <v>0</v>
      </c>
      <c r="O73" s="280" t="s">
        <v>888</v>
      </c>
      <c r="P73" s="279">
        <v>0</v>
      </c>
      <c r="Q73" s="281">
        <v>0</v>
      </c>
      <c r="R73" s="282" t="s">
        <v>889</v>
      </c>
      <c r="S73" s="274" t="s">
        <v>1011</v>
      </c>
      <c r="T73" s="44">
        <v>1</v>
      </c>
      <c r="U73" s="283">
        <v>61</v>
      </c>
      <c r="V73" s="284">
        <v>15</v>
      </c>
      <c r="W73" s="285" t="s">
        <v>889</v>
      </c>
      <c r="X73" s="286" t="s">
        <v>889</v>
      </c>
      <c r="Y73" s="287">
        <v>0</v>
      </c>
      <c r="Z73" s="287" t="s">
        <v>889</v>
      </c>
      <c r="AA73" s="286" t="s">
        <v>889</v>
      </c>
      <c r="AB73" s="287">
        <v>0</v>
      </c>
      <c r="AC73" s="287"/>
      <c r="AD73" s="288" t="s">
        <v>889</v>
      </c>
      <c r="AE73" s="289" t="s">
        <v>889</v>
      </c>
      <c r="AF73" s="279">
        <v>8</v>
      </c>
      <c r="AG73" s="282">
        <v>44174</v>
      </c>
      <c r="AH73" s="282" t="s">
        <v>889</v>
      </c>
      <c r="AI73" s="282">
        <v>44133</v>
      </c>
      <c r="AJ73" s="282" t="s">
        <v>889</v>
      </c>
      <c r="AK73" s="274"/>
    </row>
    <row r="74" spans="1:37" x14ac:dyDescent="0.3">
      <c r="A74" s="273">
        <v>13161</v>
      </c>
      <c r="B74" s="274" t="s">
        <v>1014</v>
      </c>
      <c r="C74" s="146" t="s">
        <v>263</v>
      </c>
      <c r="D74" s="275">
        <v>34.799999999999997</v>
      </c>
      <c r="E74" s="274"/>
      <c r="F74" s="274"/>
      <c r="G74" s="274" t="s">
        <v>889</v>
      </c>
      <c r="H74" s="276">
        <v>0</v>
      </c>
      <c r="I74" s="24">
        <v>103003</v>
      </c>
      <c r="J74" s="277">
        <v>34.799999999999997</v>
      </c>
      <c r="K74" s="276">
        <v>320</v>
      </c>
      <c r="L74" s="278">
        <v>0</v>
      </c>
      <c r="M74" s="279">
        <v>393</v>
      </c>
      <c r="N74" s="277">
        <v>13676.4</v>
      </c>
      <c r="O74" s="280" t="s">
        <v>888</v>
      </c>
      <c r="P74" s="279">
        <v>0</v>
      </c>
      <c r="Q74" s="281">
        <v>0</v>
      </c>
      <c r="R74" s="282" t="s">
        <v>889</v>
      </c>
      <c r="S74" s="274" t="s">
        <v>1015</v>
      </c>
      <c r="T74" s="44">
        <v>1</v>
      </c>
      <c r="U74" s="283">
        <v>61</v>
      </c>
      <c r="V74" s="284">
        <v>14</v>
      </c>
      <c r="W74" s="285" t="s">
        <v>889</v>
      </c>
      <c r="X74" s="286" t="s">
        <v>889</v>
      </c>
      <c r="Y74" s="287">
        <v>0</v>
      </c>
      <c r="Z74" s="287" t="s">
        <v>889</v>
      </c>
      <c r="AA74" s="286" t="s">
        <v>889</v>
      </c>
      <c r="AB74" s="287">
        <v>0</v>
      </c>
      <c r="AC74" s="287"/>
      <c r="AD74" s="288" t="s">
        <v>889</v>
      </c>
      <c r="AE74" s="289" t="s">
        <v>889</v>
      </c>
      <c r="AF74" s="279">
        <v>132</v>
      </c>
      <c r="AG74" s="282">
        <v>45159</v>
      </c>
      <c r="AH74" s="282" t="s">
        <v>889</v>
      </c>
      <c r="AI74" s="282">
        <v>45145</v>
      </c>
      <c r="AJ74" s="282" t="s">
        <v>889</v>
      </c>
      <c r="AK74" s="274"/>
    </row>
    <row r="75" spans="1:37" x14ac:dyDescent="0.3">
      <c r="A75" s="273">
        <v>13165</v>
      </c>
      <c r="B75" s="274" t="s">
        <v>1016</v>
      </c>
      <c r="C75" s="146" t="s">
        <v>263</v>
      </c>
      <c r="D75" s="275">
        <v>38.880000000000003</v>
      </c>
      <c r="E75" s="274"/>
      <c r="F75" s="274"/>
      <c r="G75" s="274" t="s">
        <v>889</v>
      </c>
      <c r="H75" s="276">
        <v>45</v>
      </c>
      <c r="I75" s="24">
        <v>103003</v>
      </c>
      <c r="J75" s="277">
        <v>38.880000000000003</v>
      </c>
      <c r="K75" s="276">
        <v>412</v>
      </c>
      <c r="L75" s="278">
        <v>0.91687041564792182</v>
      </c>
      <c r="M75" s="279">
        <v>543.96</v>
      </c>
      <c r="N75" s="277">
        <v>21149.164799999999</v>
      </c>
      <c r="O75" s="280" t="s">
        <v>888</v>
      </c>
      <c r="P75" s="279">
        <v>0</v>
      </c>
      <c r="Q75" s="281">
        <v>0</v>
      </c>
      <c r="R75" s="282" t="s">
        <v>889</v>
      </c>
      <c r="S75" s="274" t="s">
        <v>1015</v>
      </c>
      <c r="T75" s="44">
        <v>1</v>
      </c>
      <c r="U75" s="283">
        <v>61</v>
      </c>
      <c r="V75" s="284">
        <v>14</v>
      </c>
      <c r="W75" s="285" t="s">
        <v>889</v>
      </c>
      <c r="X75" s="286" t="s">
        <v>889</v>
      </c>
      <c r="Y75" s="287">
        <v>0</v>
      </c>
      <c r="Z75" s="287" t="s">
        <v>889</v>
      </c>
      <c r="AA75" s="286" t="s">
        <v>889</v>
      </c>
      <c r="AB75" s="287">
        <v>0</v>
      </c>
      <c r="AC75" s="287"/>
      <c r="AD75" s="288" t="s">
        <v>889</v>
      </c>
      <c r="AE75" s="289" t="s">
        <v>889</v>
      </c>
      <c r="AF75" s="279">
        <v>196</v>
      </c>
      <c r="AG75" s="282">
        <v>45184</v>
      </c>
      <c r="AH75" s="282" t="s">
        <v>889</v>
      </c>
      <c r="AI75" s="282">
        <v>45145</v>
      </c>
      <c r="AJ75" s="282" t="s">
        <v>889</v>
      </c>
      <c r="AK75" s="274"/>
    </row>
    <row r="76" spans="1:37" x14ac:dyDescent="0.3">
      <c r="A76" s="273">
        <v>13178</v>
      </c>
      <c r="B76" s="274" t="s">
        <v>1017</v>
      </c>
      <c r="C76" s="146" t="s">
        <v>263</v>
      </c>
      <c r="D76" s="275">
        <v>0.02</v>
      </c>
      <c r="E76" s="274"/>
      <c r="F76" s="274"/>
      <c r="G76" s="274" t="s">
        <v>889</v>
      </c>
      <c r="H76" s="276">
        <v>1950</v>
      </c>
      <c r="I76" s="24">
        <v>103003</v>
      </c>
      <c r="J76" s="277">
        <v>0.02</v>
      </c>
      <c r="K76" s="276">
        <v>15133</v>
      </c>
      <c r="L76" s="278">
        <v>1.3578630716951701</v>
      </c>
      <c r="M76" s="279">
        <v>15282.96</v>
      </c>
      <c r="N76" s="277">
        <v>305.6592</v>
      </c>
      <c r="O76" s="280" t="s">
        <v>888</v>
      </c>
      <c r="P76" s="279">
        <v>0</v>
      </c>
      <c r="Q76" s="281">
        <v>0</v>
      </c>
      <c r="R76" s="282" t="s">
        <v>889</v>
      </c>
      <c r="S76" s="274" t="s">
        <v>1018</v>
      </c>
      <c r="T76" s="44">
        <v>1</v>
      </c>
      <c r="U76" s="283">
        <v>67</v>
      </c>
      <c r="V76" s="284">
        <v>9</v>
      </c>
      <c r="W76" s="285" t="s">
        <v>889</v>
      </c>
      <c r="X76" s="286" t="s">
        <v>889</v>
      </c>
      <c r="Y76" s="287">
        <v>0</v>
      </c>
      <c r="Z76" s="287" t="s">
        <v>889</v>
      </c>
      <c r="AA76" s="286" t="s">
        <v>889</v>
      </c>
      <c r="AB76" s="287">
        <v>0</v>
      </c>
      <c r="AC76" s="287"/>
      <c r="AD76" s="288" t="s">
        <v>889</v>
      </c>
      <c r="AE76" s="289" t="s">
        <v>889</v>
      </c>
      <c r="AF76" s="279">
        <v>5744</v>
      </c>
      <c r="AG76" s="282">
        <v>45201</v>
      </c>
      <c r="AH76" s="282" t="s">
        <v>889</v>
      </c>
      <c r="AI76" s="282">
        <v>45189</v>
      </c>
      <c r="AJ76" s="282" t="s">
        <v>889</v>
      </c>
      <c r="AK76" s="274"/>
    </row>
    <row r="77" spans="1:37" x14ac:dyDescent="0.3">
      <c r="A77" s="273">
        <v>13179</v>
      </c>
      <c r="B77" s="274" t="s">
        <v>1019</v>
      </c>
      <c r="C77" s="146" t="s">
        <v>263</v>
      </c>
      <c r="D77" s="275">
        <v>0.04</v>
      </c>
      <c r="E77" s="274"/>
      <c r="F77" s="274"/>
      <c r="G77" s="274" t="s">
        <v>889</v>
      </c>
      <c r="H77" s="276">
        <v>9557</v>
      </c>
      <c r="I77" s="24">
        <v>103003</v>
      </c>
      <c r="J77" s="277">
        <v>0.04</v>
      </c>
      <c r="K77" s="276">
        <v>16696</v>
      </c>
      <c r="L77" s="278">
        <v>5.1460017122826667</v>
      </c>
      <c r="M77" s="279">
        <v>12729.04</v>
      </c>
      <c r="N77" s="277">
        <v>509.16160000000002</v>
      </c>
      <c r="O77" s="280" t="s">
        <v>888</v>
      </c>
      <c r="P77" s="279">
        <v>0</v>
      </c>
      <c r="Q77" s="281">
        <v>0</v>
      </c>
      <c r="R77" s="282" t="s">
        <v>889</v>
      </c>
      <c r="S77" s="274" t="s">
        <v>1018</v>
      </c>
      <c r="T77" s="44">
        <v>1</v>
      </c>
      <c r="U77" s="283">
        <v>67</v>
      </c>
      <c r="V77" s="284">
        <v>9</v>
      </c>
      <c r="W77" s="285" t="s">
        <v>889</v>
      </c>
      <c r="X77" s="286" t="s">
        <v>889</v>
      </c>
      <c r="Y77" s="287">
        <v>0</v>
      </c>
      <c r="Z77" s="287" t="s">
        <v>889</v>
      </c>
      <c r="AA77" s="286" t="s">
        <v>889</v>
      </c>
      <c r="AB77" s="287">
        <v>0</v>
      </c>
      <c r="AC77" s="287"/>
      <c r="AD77" s="288" t="s">
        <v>889</v>
      </c>
      <c r="AE77" s="289" t="s">
        <v>889</v>
      </c>
      <c r="AF77" s="279">
        <v>7428</v>
      </c>
      <c r="AG77" s="282">
        <v>45201</v>
      </c>
      <c r="AH77" s="282" t="s">
        <v>889</v>
      </c>
      <c r="AI77" s="282">
        <v>45189</v>
      </c>
      <c r="AJ77" s="282" t="s">
        <v>889</v>
      </c>
      <c r="AK77" s="274"/>
    </row>
    <row r="78" spans="1:37" x14ac:dyDescent="0.3">
      <c r="A78" s="273">
        <v>13180</v>
      </c>
      <c r="B78" s="274" t="s">
        <v>1020</v>
      </c>
      <c r="C78" s="146" t="s">
        <v>263</v>
      </c>
      <c r="D78" s="275">
        <v>16.36</v>
      </c>
      <c r="E78" s="274"/>
      <c r="F78" s="274"/>
      <c r="G78" s="274" t="s">
        <v>889</v>
      </c>
      <c r="H78" s="276">
        <v>298</v>
      </c>
      <c r="I78" s="24">
        <v>103003</v>
      </c>
      <c r="J78" s="277">
        <v>16.36</v>
      </c>
      <c r="K78" s="276">
        <v>404</v>
      </c>
      <c r="L78" s="278">
        <v>8.7853773584905657</v>
      </c>
      <c r="M78" s="279">
        <v>109.04</v>
      </c>
      <c r="N78" s="277">
        <v>1783.8943999999999</v>
      </c>
      <c r="O78" s="280" t="s">
        <v>888</v>
      </c>
      <c r="P78" s="279">
        <v>0</v>
      </c>
      <c r="Q78" s="281">
        <v>0</v>
      </c>
      <c r="R78" s="282" t="s">
        <v>889</v>
      </c>
      <c r="S78" s="274" t="s">
        <v>1021</v>
      </c>
      <c r="T78" s="44">
        <v>1</v>
      </c>
      <c r="U78" s="283">
        <v>51</v>
      </c>
      <c r="V78" s="284">
        <v>12</v>
      </c>
      <c r="W78" s="285" t="s">
        <v>889</v>
      </c>
      <c r="X78" s="286" t="s">
        <v>889</v>
      </c>
      <c r="Y78" s="287">
        <v>0</v>
      </c>
      <c r="Z78" s="287" t="s">
        <v>889</v>
      </c>
      <c r="AA78" s="286" t="s">
        <v>889</v>
      </c>
      <c r="AB78" s="287">
        <v>0</v>
      </c>
      <c r="AC78" s="287"/>
      <c r="AD78" s="288" t="s">
        <v>889</v>
      </c>
      <c r="AE78" s="289" t="s">
        <v>889</v>
      </c>
      <c r="AF78" s="279">
        <v>136</v>
      </c>
      <c r="AG78" s="282">
        <v>45201</v>
      </c>
      <c r="AH78" s="282" t="s">
        <v>889</v>
      </c>
      <c r="AI78" s="282">
        <v>45202</v>
      </c>
      <c r="AJ78" s="282" t="s">
        <v>889</v>
      </c>
      <c r="AK78" s="274"/>
    </row>
    <row r="79" spans="1:37" x14ac:dyDescent="0.3">
      <c r="A79" s="273">
        <v>13181</v>
      </c>
      <c r="B79" s="274" t="s">
        <v>1022</v>
      </c>
      <c r="C79" s="146" t="s">
        <v>263</v>
      </c>
      <c r="D79" s="275">
        <v>35.69</v>
      </c>
      <c r="E79" s="274"/>
      <c r="F79" s="274"/>
      <c r="G79" s="274" t="s">
        <v>889</v>
      </c>
      <c r="H79" s="276">
        <v>258</v>
      </c>
      <c r="I79" s="24">
        <v>103003</v>
      </c>
      <c r="J79" s="277">
        <v>35.69</v>
      </c>
      <c r="K79" s="276">
        <v>52</v>
      </c>
      <c r="L79" s="278">
        <v>42.434210526315788</v>
      </c>
      <c r="M79" s="279">
        <v>0</v>
      </c>
      <c r="N79" s="277">
        <v>0</v>
      </c>
      <c r="O79" s="280" t="s">
        <v>888</v>
      </c>
      <c r="P79" s="279">
        <v>0</v>
      </c>
      <c r="Q79" s="281">
        <v>0</v>
      </c>
      <c r="R79" s="282" t="s">
        <v>889</v>
      </c>
      <c r="S79" s="274" t="s">
        <v>1021</v>
      </c>
      <c r="T79" s="44">
        <v>1</v>
      </c>
      <c r="U79" s="283">
        <v>51</v>
      </c>
      <c r="V79" s="284">
        <v>12</v>
      </c>
      <c r="W79" s="285" t="s">
        <v>889</v>
      </c>
      <c r="X79" s="286" t="s">
        <v>889</v>
      </c>
      <c r="Y79" s="287">
        <v>0</v>
      </c>
      <c r="Z79" s="287" t="s">
        <v>889</v>
      </c>
      <c r="AA79" s="286" t="s">
        <v>889</v>
      </c>
      <c r="AB79" s="287">
        <v>0</v>
      </c>
      <c r="AC79" s="287"/>
      <c r="AD79" s="288" t="s">
        <v>889</v>
      </c>
      <c r="AE79" s="289" t="s">
        <v>889</v>
      </c>
      <c r="AF79" s="279">
        <v>24</v>
      </c>
      <c r="AG79" s="282">
        <v>45201</v>
      </c>
      <c r="AH79" s="282" t="s">
        <v>889</v>
      </c>
      <c r="AI79" s="282">
        <v>45202</v>
      </c>
      <c r="AJ79" s="282" t="s">
        <v>889</v>
      </c>
      <c r="AK79" s="274"/>
    </row>
    <row r="80" spans="1:37" x14ac:dyDescent="0.3">
      <c r="A80" s="273">
        <v>13186</v>
      </c>
      <c r="B80" s="274" t="s">
        <v>1023</v>
      </c>
      <c r="C80" s="146" t="s">
        <v>335</v>
      </c>
      <c r="D80" s="275">
        <v>20</v>
      </c>
      <c r="E80" s="274"/>
      <c r="F80" s="274"/>
      <c r="G80" s="274" t="s">
        <v>889</v>
      </c>
      <c r="H80" s="276">
        <v>66</v>
      </c>
      <c r="I80" s="24">
        <v>103003</v>
      </c>
      <c r="J80" s="277">
        <v>20</v>
      </c>
      <c r="K80" s="276">
        <v>42</v>
      </c>
      <c r="L80" s="278">
        <v>12.382739212007504</v>
      </c>
      <c r="M80" s="279">
        <v>0</v>
      </c>
      <c r="N80" s="277">
        <v>0</v>
      </c>
      <c r="O80" s="280" t="s">
        <v>888</v>
      </c>
      <c r="P80" s="279">
        <v>0</v>
      </c>
      <c r="Q80" s="281">
        <v>0</v>
      </c>
      <c r="R80" s="282" t="s">
        <v>889</v>
      </c>
      <c r="S80" s="274" t="s">
        <v>1024</v>
      </c>
      <c r="T80" s="44">
        <v>1</v>
      </c>
      <c r="U80" s="283">
        <v>74</v>
      </c>
      <c r="V80" s="284">
        <v>4</v>
      </c>
      <c r="W80" s="285" t="s">
        <v>889</v>
      </c>
      <c r="X80" s="286" t="s">
        <v>889</v>
      </c>
      <c r="Y80" s="287">
        <v>0</v>
      </c>
      <c r="Z80" s="287" t="s">
        <v>889</v>
      </c>
      <c r="AA80" s="286" t="s">
        <v>889</v>
      </c>
      <c r="AB80" s="287">
        <v>0</v>
      </c>
      <c r="AC80" s="287"/>
      <c r="AD80" s="288" t="s">
        <v>889</v>
      </c>
      <c r="AE80" s="289" t="s">
        <v>889</v>
      </c>
      <c r="AF80" s="279">
        <v>22</v>
      </c>
      <c r="AG80" s="282">
        <v>45210</v>
      </c>
      <c r="AH80" s="282" t="s">
        <v>889</v>
      </c>
      <c r="AI80" s="282">
        <v>45189</v>
      </c>
      <c r="AJ80" s="282" t="s">
        <v>889</v>
      </c>
      <c r="AK80" s="274"/>
    </row>
    <row r="81" spans="1:37" x14ac:dyDescent="0.3">
      <c r="A81" s="273">
        <v>13192</v>
      </c>
      <c r="B81" s="274" t="s">
        <v>1025</v>
      </c>
      <c r="C81" s="146" t="s">
        <v>263</v>
      </c>
      <c r="D81" s="275">
        <v>133.85</v>
      </c>
      <c r="E81" s="274"/>
      <c r="F81" s="274"/>
      <c r="G81" s="274" t="s">
        <v>889</v>
      </c>
      <c r="H81" s="276">
        <v>39</v>
      </c>
      <c r="I81" s="24">
        <v>103003</v>
      </c>
      <c r="J81" s="277">
        <v>133.85</v>
      </c>
      <c r="K81" s="276">
        <v>80</v>
      </c>
      <c r="L81" s="278">
        <v>5.6358381502890182</v>
      </c>
      <c r="M81" s="279">
        <v>44.04</v>
      </c>
      <c r="N81" s="277">
        <v>5894.7539999999999</v>
      </c>
      <c r="O81" s="280" t="s">
        <v>888</v>
      </c>
      <c r="P81" s="279">
        <v>0</v>
      </c>
      <c r="Q81" s="281">
        <v>0</v>
      </c>
      <c r="R81" s="282" t="s">
        <v>889</v>
      </c>
      <c r="S81" s="274" t="s">
        <v>1026</v>
      </c>
      <c r="T81" s="44">
        <v>1</v>
      </c>
      <c r="U81" s="283">
        <v>51</v>
      </c>
      <c r="V81" s="284">
        <v>35</v>
      </c>
      <c r="W81" s="285" t="s">
        <v>889</v>
      </c>
      <c r="X81" s="286" t="s">
        <v>889</v>
      </c>
      <c r="Y81" s="287">
        <v>0</v>
      </c>
      <c r="Z81" s="287" t="s">
        <v>889</v>
      </c>
      <c r="AA81" s="286" t="s">
        <v>889</v>
      </c>
      <c r="AB81" s="287">
        <v>0</v>
      </c>
      <c r="AC81" s="287"/>
      <c r="AD81" s="288" t="s">
        <v>889</v>
      </c>
      <c r="AE81" s="289" t="s">
        <v>889</v>
      </c>
      <c r="AF81" s="279">
        <v>28</v>
      </c>
      <c r="AG81" s="282">
        <v>45156</v>
      </c>
      <c r="AH81" s="282" t="s">
        <v>889</v>
      </c>
      <c r="AI81" s="282">
        <v>45131</v>
      </c>
      <c r="AJ81" s="282" t="s">
        <v>889</v>
      </c>
      <c r="AK81" s="274"/>
    </row>
    <row r="82" spans="1:37" x14ac:dyDescent="0.3">
      <c r="A82" s="273">
        <v>13197</v>
      </c>
      <c r="B82" s="274" t="s">
        <v>1027</v>
      </c>
      <c r="C82" s="146" t="s">
        <v>263</v>
      </c>
      <c r="D82" s="275">
        <v>0.28999999999999998</v>
      </c>
      <c r="E82" s="274"/>
      <c r="F82" s="274"/>
      <c r="G82" s="274" t="s">
        <v>889</v>
      </c>
      <c r="H82" s="276">
        <v>269</v>
      </c>
      <c r="I82" s="24">
        <v>103003</v>
      </c>
      <c r="J82" s="277">
        <v>0.28999999999999998</v>
      </c>
      <c r="K82" s="276">
        <v>103</v>
      </c>
      <c r="L82" s="278">
        <v>31.351981351981351</v>
      </c>
      <c r="M82" s="279">
        <v>0</v>
      </c>
      <c r="N82" s="277">
        <v>0</v>
      </c>
      <c r="O82" s="280" t="s">
        <v>888</v>
      </c>
      <c r="P82" s="279">
        <v>0</v>
      </c>
      <c r="Q82" s="281">
        <v>0</v>
      </c>
      <c r="R82" s="282" t="s">
        <v>889</v>
      </c>
      <c r="S82" s="274" t="s">
        <v>1028</v>
      </c>
      <c r="T82" s="44">
        <v>1</v>
      </c>
      <c r="U82" s="283">
        <v>51</v>
      </c>
      <c r="V82" s="284">
        <v>8</v>
      </c>
      <c r="W82" s="285" t="s">
        <v>889</v>
      </c>
      <c r="X82" s="286" t="s">
        <v>889</v>
      </c>
      <c r="Y82" s="287">
        <v>0</v>
      </c>
      <c r="Z82" s="287" t="s">
        <v>889</v>
      </c>
      <c r="AA82" s="286" t="s">
        <v>889</v>
      </c>
      <c r="AB82" s="287">
        <v>0</v>
      </c>
      <c r="AC82" s="287"/>
      <c r="AD82" s="288" t="s">
        <v>889</v>
      </c>
      <c r="AE82" s="289" t="s">
        <v>889</v>
      </c>
      <c r="AF82" s="279">
        <v>34</v>
      </c>
      <c r="AG82" s="282">
        <v>41550</v>
      </c>
      <c r="AH82" s="282" t="s">
        <v>889</v>
      </c>
      <c r="AI82" s="282">
        <v>42501</v>
      </c>
      <c r="AJ82" s="282" t="s">
        <v>889</v>
      </c>
      <c r="AK82" s="274"/>
    </row>
    <row r="83" spans="1:37" x14ac:dyDescent="0.3">
      <c r="A83" s="273">
        <v>13199</v>
      </c>
      <c r="B83" s="274" t="s">
        <v>1029</v>
      </c>
      <c r="C83" s="146" t="s">
        <v>263</v>
      </c>
      <c r="D83" s="275">
        <v>2.71</v>
      </c>
      <c r="E83" s="274"/>
      <c r="F83" s="274"/>
      <c r="G83" s="274" t="s">
        <v>889</v>
      </c>
      <c r="H83" s="276">
        <v>30</v>
      </c>
      <c r="I83" s="24">
        <v>103003</v>
      </c>
      <c r="J83" s="277">
        <v>2.71</v>
      </c>
      <c r="K83" s="276">
        <v>167</v>
      </c>
      <c r="L83" s="278">
        <v>2.1551724137931032</v>
      </c>
      <c r="M83" s="279">
        <v>137.04</v>
      </c>
      <c r="N83" s="277">
        <v>371.3784</v>
      </c>
      <c r="O83" s="280" t="s">
        <v>888</v>
      </c>
      <c r="P83" s="279">
        <v>0</v>
      </c>
      <c r="Q83" s="281">
        <v>0</v>
      </c>
      <c r="R83" s="282" t="s">
        <v>889</v>
      </c>
      <c r="S83" s="274" t="s">
        <v>1028</v>
      </c>
      <c r="T83" s="44">
        <v>1</v>
      </c>
      <c r="U83" s="283">
        <v>51</v>
      </c>
      <c r="V83" s="284">
        <v>8</v>
      </c>
      <c r="W83" s="285" t="s">
        <v>889</v>
      </c>
      <c r="X83" s="286" t="s">
        <v>889</v>
      </c>
      <c r="Y83" s="287">
        <v>0</v>
      </c>
      <c r="Z83" s="287" t="s">
        <v>889</v>
      </c>
      <c r="AA83" s="286" t="s">
        <v>889</v>
      </c>
      <c r="AB83" s="287">
        <v>0</v>
      </c>
      <c r="AC83" s="287"/>
      <c r="AD83" s="288" t="s">
        <v>889</v>
      </c>
      <c r="AE83" s="289" t="s">
        <v>889</v>
      </c>
      <c r="AF83" s="279">
        <v>56</v>
      </c>
      <c r="AG83" s="282">
        <v>45201</v>
      </c>
      <c r="AH83" s="282" t="s">
        <v>889</v>
      </c>
      <c r="AI83" s="282">
        <v>45189</v>
      </c>
      <c r="AJ83" s="282" t="s">
        <v>889</v>
      </c>
      <c r="AK83" s="274"/>
    </row>
    <row r="84" spans="1:37" x14ac:dyDescent="0.3">
      <c r="A84" s="273">
        <v>13218</v>
      </c>
      <c r="B84" s="274" t="s">
        <v>1030</v>
      </c>
      <c r="C84" s="146" t="s">
        <v>380</v>
      </c>
      <c r="D84" s="275">
        <v>1.3</v>
      </c>
      <c r="E84" s="274"/>
      <c r="F84" s="274"/>
      <c r="G84" s="274" t="s">
        <v>889</v>
      </c>
      <c r="H84" s="276">
        <v>204</v>
      </c>
      <c r="I84" s="24">
        <v>103003</v>
      </c>
      <c r="J84" s="277">
        <v>1.3</v>
      </c>
      <c r="K84" s="276">
        <v>1</v>
      </c>
      <c r="L84" s="278">
        <v>2550</v>
      </c>
      <c r="M84" s="279">
        <v>0</v>
      </c>
      <c r="N84" s="277">
        <v>0</v>
      </c>
      <c r="O84" s="280" t="s">
        <v>888</v>
      </c>
      <c r="P84" s="279">
        <v>0</v>
      </c>
      <c r="Q84" s="281">
        <v>0</v>
      </c>
      <c r="R84" s="282" t="s">
        <v>889</v>
      </c>
      <c r="S84" s="274" t="s">
        <v>996</v>
      </c>
      <c r="T84" s="44">
        <v>1</v>
      </c>
      <c r="U84" s="283">
        <v>83</v>
      </c>
      <c r="V84" s="284">
        <v>2</v>
      </c>
      <c r="W84" s="285" t="s">
        <v>889</v>
      </c>
      <c r="X84" s="286" t="s">
        <v>889</v>
      </c>
      <c r="Y84" s="287">
        <v>0</v>
      </c>
      <c r="Z84" s="287" t="s">
        <v>889</v>
      </c>
      <c r="AA84" s="286" t="s">
        <v>889</v>
      </c>
      <c r="AB84" s="287">
        <v>0</v>
      </c>
      <c r="AC84" s="287"/>
      <c r="AD84" s="288" t="s">
        <v>889</v>
      </c>
      <c r="AE84" s="289" t="s">
        <v>889</v>
      </c>
      <c r="AF84" s="279">
        <v>0</v>
      </c>
      <c r="AG84" s="282">
        <v>44067</v>
      </c>
      <c r="AH84" s="282" t="s">
        <v>889</v>
      </c>
      <c r="AI84" s="282">
        <v>44922</v>
      </c>
      <c r="AJ84" s="282" t="s">
        <v>889</v>
      </c>
      <c r="AK84" s="274"/>
    </row>
    <row r="85" spans="1:37" x14ac:dyDescent="0.3">
      <c r="A85" s="273">
        <v>13221</v>
      </c>
      <c r="B85" s="274" t="s">
        <v>1031</v>
      </c>
      <c r="C85" s="146" t="s">
        <v>263</v>
      </c>
      <c r="D85" s="275">
        <v>0.34</v>
      </c>
      <c r="E85" s="274"/>
      <c r="F85" s="274"/>
      <c r="G85" s="274" t="s">
        <v>889</v>
      </c>
      <c r="H85" s="276">
        <v>1794</v>
      </c>
      <c r="I85" s="24">
        <v>103003</v>
      </c>
      <c r="J85" s="277">
        <v>0.34</v>
      </c>
      <c r="K85" s="276">
        <v>2854</v>
      </c>
      <c r="L85" s="278">
        <v>6.2328457770211587</v>
      </c>
      <c r="M85" s="279">
        <v>1659.96</v>
      </c>
      <c r="N85" s="277">
        <v>564.38639999999998</v>
      </c>
      <c r="O85" s="280" t="s">
        <v>888</v>
      </c>
      <c r="P85" s="279">
        <v>0</v>
      </c>
      <c r="Q85" s="281">
        <v>0</v>
      </c>
      <c r="R85" s="282" t="s">
        <v>889</v>
      </c>
      <c r="S85" s="274" t="s">
        <v>1032</v>
      </c>
      <c r="T85" s="44">
        <v>1</v>
      </c>
      <c r="U85" s="283">
        <v>67</v>
      </c>
      <c r="V85" s="284">
        <v>1</v>
      </c>
      <c r="W85" s="285" t="s">
        <v>889</v>
      </c>
      <c r="X85" s="286" t="s">
        <v>889</v>
      </c>
      <c r="Y85" s="287">
        <v>0</v>
      </c>
      <c r="Z85" s="287" t="s">
        <v>889</v>
      </c>
      <c r="AA85" s="286" t="s">
        <v>889</v>
      </c>
      <c r="AB85" s="287">
        <v>0</v>
      </c>
      <c r="AC85" s="287"/>
      <c r="AD85" s="288" t="s">
        <v>889</v>
      </c>
      <c r="AE85" s="289" t="s">
        <v>889</v>
      </c>
      <c r="AF85" s="279">
        <v>1152</v>
      </c>
      <c r="AG85" s="282">
        <v>43857</v>
      </c>
      <c r="AH85" s="282" t="s">
        <v>889</v>
      </c>
      <c r="AI85" s="282">
        <v>43826</v>
      </c>
      <c r="AJ85" s="282" t="s">
        <v>889</v>
      </c>
      <c r="AK85" s="274"/>
    </row>
    <row r="86" spans="1:37" x14ac:dyDescent="0.3">
      <c r="A86" s="273">
        <v>13222</v>
      </c>
      <c r="B86" s="274" t="s">
        <v>1033</v>
      </c>
      <c r="C86" s="146" t="s">
        <v>263</v>
      </c>
      <c r="D86" s="275">
        <v>0.92</v>
      </c>
      <c r="E86" s="274"/>
      <c r="F86" s="274"/>
      <c r="G86" s="274" t="s">
        <v>889</v>
      </c>
      <c r="H86" s="276">
        <v>1141</v>
      </c>
      <c r="I86" s="24">
        <v>103003</v>
      </c>
      <c r="J86" s="277">
        <v>0.92</v>
      </c>
      <c r="K86" s="276">
        <v>95</v>
      </c>
      <c r="L86" s="278">
        <v>144.06565656565655</v>
      </c>
      <c r="M86" s="279">
        <v>0</v>
      </c>
      <c r="N86" s="277">
        <v>0</v>
      </c>
      <c r="O86" s="280" t="s">
        <v>888</v>
      </c>
      <c r="P86" s="279">
        <v>0</v>
      </c>
      <c r="Q86" s="281">
        <v>0</v>
      </c>
      <c r="R86" s="282" t="s">
        <v>889</v>
      </c>
      <c r="S86" s="274" t="s">
        <v>1032</v>
      </c>
      <c r="T86" s="44">
        <v>1</v>
      </c>
      <c r="U86" s="283">
        <v>67</v>
      </c>
      <c r="V86" s="284">
        <v>1</v>
      </c>
      <c r="W86" s="285" t="s">
        <v>889</v>
      </c>
      <c r="X86" s="286" t="s">
        <v>889</v>
      </c>
      <c r="Y86" s="287">
        <v>0</v>
      </c>
      <c r="Z86" s="287" t="s">
        <v>889</v>
      </c>
      <c r="AA86" s="286" t="s">
        <v>889</v>
      </c>
      <c r="AB86" s="287">
        <v>0</v>
      </c>
      <c r="AC86" s="287"/>
      <c r="AD86" s="288" t="s">
        <v>889</v>
      </c>
      <c r="AE86" s="289" t="s">
        <v>889</v>
      </c>
      <c r="AF86" s="279">
        <v>32</v>
      </c>
      <c r="AG86" s="282">
        <v>44071</v>
      </c>
      <c r="AH86" s="282" t="s">
        <v>889</v>
      </c>
      <c r="AI86" s="282">
        <v>44040</v>
      </c>
      <c r="AJ86" s="282" t="s">
        <v>889</v>
      </c>
      <c r="AK86" s="274"/>
    </row>
    <row r="87" spans="1:37" x14ac:dyDescent="0.3">
      <c r="A87" s="273">
        <v>13517</v>
      </c>
      <c r="B87" s="274" t="s">
        <v>1034</v>
      </c>
      <c r="C87" s="146" t="s">
        <v>263</v>
      </c>
      <c r="D87" s="275">
        <v>5.15</v>
      </c>
      <c r="E87" s="274"/>
      <c r="F87" s="274"/>
      <c r="G87" s="274" t="s">
        <v>889</v>
      </c>
      <c r="H87" s="276">
        <v>362</v>
      </c>
      <c r="I87" s="24">
        <v>103003</v>
      </c>
      <c r="J87" s="277">
        <v>5.15</v>
      </c>
      <c r="K87" s="276">
        <v>43</v>
      </c>
      <c r="L87" s="278">
        <v>101.11731843575419</v>
      </c>
      <c r="M87" s="279">
        <v>0</v>
      </c>
      <c r="N87" s="277">
        <v>0</v>
      </c>
      <c r="O87" s="280" t="s">
        <v>888</v>
      </c>
      <c r="P87" s="279">
        <v>0</v>
      </c>
      <c r="Q87" s="281">
        <v>0</v>
      </c>
      <c r="R87" s="282" t="s">
        <v>889</v>
      </c>
      <c r="S87" s="274" t="s">
        <v>966</v>
      </c>
      <c r="T87" s="44">
        <v>1</v>
      </c>
      <c r="U87" s="283">
        <v>61</v>
      </c>
      <c r="V87" s="284">
        <v>8</v>
      </c>
      <c r="W87" s="285" t="s">
        <v>889</v>
      </c>
      <c r="X87" s="286" t="s">
        <v>889</v>
      </c>
      <c r="Y87" s="287">
        <v>0</v>
      </c>
      <c r="Z87" s="287" t="s">
        <v>889</v>
      </c>
      <c r="AA87" s="286" t="s">
        <v>889</v>
      </c>
      <c r="AB87" s="287">
        <v>0</v>
      </c>
      <c r="AC87" s="287"/>
      <c r="AD87" s="288" t="s">
        <v>889</v>
      </c>
      <c r="AE87" s="289" t="s">
        <v>889</v>
      </c>
      <c r="AF87" s="279">
        <v>14</v>
      </c>
      <c r="AG87" s="282">
        <v>44533</v>
      </c>
      <c r="AH87" s="282" t="s">
        <v>889</v>
      </c>
      <c r="AI87" s="282">
        <v>45096</v>
      </c>
      <c r="AJ87" s="282" t="s">
        <v>889</v>
      </c>
      <c r="AK87" s="274"/>
    </row>
    <row r="88" spans="1:37" x14ac:dyDescent="0.3">
      <c r="A88" s="273">
        <v>13518</v>
      </c>
      <c r="B88" s="274" t="s">
        <v>1035</v>
      </c>
      <c r="C88" s="146" t="s">
        <v>263</v>
      </c>
      <c r="D88" s="275">
        <v>8.5500000000000007</v>
      </c>
      <c r="E88" s="274"/>
      <c r="F88" s="274"/>
      <c r="G88" s="274" t="s">
        <v>889</v>
      </c>
      <c r="H88" s="276">
        <v>175</v>
      </c>
      <c r="I88" s="24">
        <v>103003</v>
      </c>
      <c r="J88" s="277">
        <v>8.5500000000000007</v>
      </c>
      <c r="K88" s="276">
        <v>39</v>
      </c>
      <c r="L88" s="278">
        <v>53.846153846153847</v>
      </c>
      <c r="M88" s="279">
        <v>0</v>
      </c>
      <c r="N88" s="277">
        <v>0</v>
      </c>
      <c r="O88" s="280" t="s">
        <v>888</v>
      </c>
      <c r="P88" s="279">
        <v>0</v>
      </c>
      <c r="Q88" s="281">
        <v>0</v>
      </c>
      <c r="R88" s="282" t="s">
        <v>889</v>
      </c>
      <c r="S88" s="274" t="s">
        <v>966</v>
      </c>
      <c r="T88" s="44">
        <v>1</v>
      </c>
      <c r="U88" s="283">
        <v>61</v>
      </c>
      <c r="V88" s="284">
        <v>8</v>
      </c>
      <c r="W88" s="285" t="s">
        <v>889</v>
      </c>
      <c r="X88" s="286" t="s">
        <v>889</v>
      </c>
      <c r="Y88" s="287">
        <v>0</v>
      </c>
      <c r="Z88" s="287" t="s">
        <v>889</v>
      </c>
      <c r="AA88" s="286" t="s">
        <v>889</v>
      </c>
      <c r="AB88" s="287">
        <v>0</v>
      </c>
      <c r="AC88" s="287"/>
      <c r="AD88" s="288" t="s">
        <v>889</v>
      </c>
      <c r="AE88" s="289" t="s">
        <v>889</v>
      </c>
      <c r="AF88" s="279">
        <v>14</v>
      </c>
      <c r="AG88" s="282">
        <v>45184</v>
      </c>
      <c r="AH88" s="282" t="s">
        <v>889</v>
      </c>
      <c r="AI88" s="282">
        <v>45145</v>
      </c>
      <c r="AJ88" s="282" t="s">
        <v>889</v>
      </c>
      <c r="AK88" s="274"/>
    </row>
    <row r="89" spans="1:37" x14ac:dyDescent="0.3">
      <c r="A89" s="273">
        <v>13539</v>
      </c>
      <c r="B89" s="274" t="s">
        <v>1036</v>
      </c>
      <c r="C89" s="146" t="s">
        <v>263</v>
      </c>
      <c r="D89" s="275">
        <v>5.12</v>
      </c>
      <c r="E89" s="274"/>
      <c r="F89" s="274"/>
      <c r="G89" s="274" t="s">
        <v>889</v>
      </c>
      <c r="H89" s="276">
        <v>0</v>
      </c>
      <c r="I89" s="24">
        <v>103003</v>
      </c>
      <c r="J89" s="277">
        <v>5.12</v>
      </c>
      <c r="K89" s="276">
        <v>2858</v>
      </c>
      <c r="L89" s="278">
        <v>0</v>
      </c>
      <c r="M89" s="279">
        <v>4133</v>
      </c>
      <c r="N89" s="277">
        <v>21160.959999999999</v>
      </c>
      <c r="O89" s="280" t="s">
        <v>888</v>
      </c>
      <c r="P89" s="279">
        <v>0</v>
      </c>
      <c r="Q89" s="281">
        <v>0</v>
      </c>
      <c r="R89" s="282" t="s">
        <v>889</v>
      </c>
      <c r="S89" s="274" t="s">
        <v>1037</v>
      </c>
      <c r="T89" s="44">
        <v>1</v>
      </c>
      <c r="U89" s="283">
        <v>45</v>
      </c>
      <c r="V89" s="284">
        <v>17</v>
      </c>
      <c r="W89" s="285">
        <v>6978</v>
      </c>
      <c r="X89" s="286">
        <v>2023</v>
      </c>
      <c r="Y89" s="287">
        <v>400</v>
      </c>
      <c r="Z89" s="287" t="s">
        <v>889</v>
      </c>
      <c r="AA89" s="286" t="s">
        <v>889</v>
      </c>
      <c r="AB89" s="287">
        <v>0</v>
      </c>
      <c r="AC89" s="287"/>
      <c r="AD89" s="288" t="s">
        <v>889</v>
      </c>
      <c r="AE89" s="289" t="s">
        <v>889</v>
      </c>
      <c r="AF89" s="279">
        <v>1512</v>
      </c>
      <c r="AG89" s="282">
        <v>44966</v>
      </c>
      <c r="AH89" s="282" t="s">
        <v>889</v>
      </c>
      <c r="AI89" s="282">
        <v>45114</v>
      </c>
      <c r="AJ89" s="282" t="s">
        <v>889</v>
      </c>
      <c r="AK89" s="274"/>
    </row>
    <row r="90" spans="1:37" x14ac:dyDescent="0.3">
      <c r="A90" s="273">
        <v>13556</v>
      </c>
      <c r="B90" s="274" t="s">
        <v>1038</v>
      </c>
      <c r="C90" s="146" t="s">
        <v>345</v>
      </c>
      <c r="D90" s="275">
        <v>940</v>
      </c>
      <c r="E90" s="274"/>
      <c r="F90" s="274"/>
      <c r="G90" s="274" t="s">
        <v>889</v>
      </c>
      <c r="H90" s="276">
        <v>44</v>
      </c>
      <c r="I90" s="24">
        <v>103003</v>
      </c>
      <c r="J90" s="277">
        <v>940</v>
      </c>
      <c r="K90" s="276"/>
      <c r="L90" s="278">
        <v>0</v>
      </c>
      <c r="M90" s="279">
        <v>0</v>
      </c>
      <c r="N90" s="277">
        <v>0</v>
      </c>
      <c r="O90" s="280" t="s">
        <v>888</v>
      </c>
      <c r="P90" s="279">
        <v>0</v>
      </c>
      <c r="Q90" s="281">
        <v>0</v>
      </c>
      <c r="R90" s="282" t="s">
        <v>889</v>
      </c>
      <c r="S90" s="274" t="s">
        <v>1039</v>
      </c>
      <c r="T90" s="44">
        <v>1</v>
      </c>
      <c r="U90" s="283">
        <v>69</v>
      </c>
      <c r="V90" s="284">
        <v>10</v>
      </c>
      <c r="W90" s="285" t="s">
        <v>889</v>
      </c>
      <c r="X90" s="286" t="s">
        <v>889</v>
      </c>
      <c r="Y90" s="287">
        <v>0</v>
      </c>
      <c r="Z90" s="287" t="s">
        <v>889</v>
      </c>
      <c r="AA90" s="286" t="s">
        <v>889</v>
      </c>
      <c r="AB90" s="287">
        <v>0</v>
      </c>
      <c r="AC90" s="287"/>
      <c r="AD90" s="288" t="s">
        <v>889</v>
      </c>
      <c r="AE90" s="289" t="s">
        <v>889</v>
      </c>
      <c r="AF90" s="279">
        <v>0</v>
      </c>
      <c r="AG90" s="282">
        <v>44516</v>
      </c>
      <c r="AH90" s="282" t="s">
        <v>889</v>
      </c>
      <c r="AI90" s="282">
        <v>44483</v>
      </c>
      <c r="AJ90" s="282" t="s">
        <v>889</v>
      </c>
      <c r="AK90" s="274"/>
    </row>
    <row r="91" spans="1:37" x14ac:dyDescent="0.3">
      <c r="A91" s="273">
        <v>13558</v>
      </c>
      <c r="B91" s="274" t="s">
        <v>1040</v>
      </c>
      <c r="C91" s="146" t="s">
        <v>345</v>
      </c>
      <c r="D91" s="275">
        <v>38</v>
      </c>
      <c r="E91" s="274"/>
      <c r="F91" s="274"/>
      <c r="G91" s="274" t="s">
        <v>889</v>
      </c>
      <c r="H91" s="276">
        <v>106</v>
      </c>
      <c r="I91" s="24">
        <v>103003</v>
      </c>
      <c r="J91" s="277">
        <v>38</v>
      </c>
      <c r="K91" s="276">
        <v>48</v>
      </c>
      <c r="L91" s="278">
        <v>21.2</v>
      </c>
      <c r="M91" s="279">
        <v>0</v>
      </c>
      <c r="N91" s="277">
        <v>0</v>
      </c>
      <c r="O91" s="280" t="s">
        <v>888</v>
      </c>
      <c r="P91" s="279">
        <v>0</v>
      </c>
      <c r="Q91" s="281">
        <v>0</v>
      </c>
      <c r="R91" s="282" t="s">
        <v>889</v>
      </c>
      <c r="S91" s="274" t="s">
        <v>1041</v>
      </c>
      <c r="T91" s="44">
        <v>1</v>
      </c>
      <c r="U91" s="283">
        <v>61</v>
      </c>
      <c r="V91" s="284">
        <v>2</v>
      </c>
      <c r="W91" s="285" t="s">
        <v>889</v>
      </c>
      <c r="X91" s="286" t="s">
        <v>889</v>
      </c>
      <c r="Y91" s="287">
        <v>0</v>
      </c>
      <c r="Z91" s="287">
        <v>9646</v>
      </c>
      <c r="AA91" s="286">
        <v>2023</v>
      </c>
      <c r="AB91" s="287">
        <v>50</v>
      </c>
      <c r="AC91" s="287">
        <v>50</v>
      </c>
      <c r="AD91" s="288" t="s">
        <v>2055</v>
      </c>
      <c r="AE91" s="289">
        <v>45162</v>
      </c>
      <c r="AF91" s="279">
        <v>20</v>
      </c>
      <c r="AG91" s="282">
        <v>44533</v>
      </c>
      <c r="AH91" s="282" t="s">
        <v>889</v>
      </c>
      <c r="AI91" s="282">
        <v>45145</v>
      </c>
      <c r="AJ91" s="282" t="s">
        <v>889</v>
      </c>
      <c r="AK91" s="274"/>
    </row>
    <row r="92" spans="1:37" x14ac:dyDescent="0.3">
      <c r="A92" s="273">
        <v>13559</v>
      </c>
      <c r="B92" s="274" t="s">
        <v>1042</v>
      </c>
      <c r="C92" s="146" t="s">
        <v>345</v>
      </c>
      <c r="D92" s="275">
        <v>49.48</v>
      </c>
      <c r="E92" s="274"/>
      <c r="F92" s="274"/>
      <c r="G92" s="274" t="s">
        <v>889</v>
      </c>
      <c r="H92" s="276">
        <v>190</v>
      </c>
      <c r="I92" s="24">
        <v>103003</v>
      </c>
      <c r="J92" s="277">
        <v>49.48</v>
      </c>
      <c r="K92" s="276">
        <v>143</v>
      </c>
      <c r="L92" s="278">
        <v>13.89904901243599</v>
      </c>
      <c r="M92" s="279">
        <v>0</v>
      </c>
      <c r="N92" s="277">
        <v>0</v>
      </c>
      <c r="O92" s="280" t="s">
        <v>888</v>
      </c>
      <c r="P92" s="279">
        <v>0</v>
      </c>
      <c r="Q92" s="281">
        <v>0</v>
      </c>
      <c r="R92" s="282" t="s">
        <v>889</v>
      </c>
      <c r="S92" s="274" t="s">
        <v>1041</v>
      </c>
      <c r="T92" s="44">
        <v>1</v>
      </c>
      <c r="U92" s="283">
        <v>61</v>
      </c>
      <c r="V92" s="284">
        <v>2</v>
      </c>
      <c r="W92" s="285" t="s">
        <v>889</v>
      </c>
      <c r="X92" s="286" t="s">
        <v>889</v>
      </c>
      <c r="Y92" s="287">
        <v>0</v>
      </c>
      <c r="Z92" s="287" t="s">
        <v>889</v>
      </c>
      <c r="AA92" s="286" t="s">
        <v>889</v>
      </c>
      <c r="AB92" s="287">
        <v>0</v>
      </c>
      <c r="AC92" s="287"/>
      <c r="AD92" s="288" t="s">
        <v>889</v>
      </c>
      <c r="AE92" s="289" t="s">
        <v>889</v>
      </c>
      <c r="AF92" s="279">
        <v>54</v>
      </c>
      <c r="AG92" s="282">
        <v>45180</v>
      </c>
      <c r="AH92" s="282" t="s">
        <v>889</v>
      </c>
      <c r="AI92" s="282">
        <v>45145</v>
      </c>
      <c r="AJ92" s="282" t="s">
        <v>889</v>
      </c>
      <c r="AK92" s="274"/>
    </row>
    <row r="93" spans="1:37" x14ac:dyDescent="0.3">
      <c r="A93" s="273">
        <v>13560</v>
      </c>
      <c r="B93" s="274" t="s">
        <v>1043</v>
      </c>
      <c r="C93" s="146" t="s">
        <v>345</v>
      </c>
      <c r="D93" s="275">
        <v>32.4</v>
      </c>
      <c r="E93" s="274"/>
      <c r="F93" s="274"/>
      <c r="G93" s="274" t="s">
        <v>889</v>
      </c>
      <c r="H93" s="276">
        <v>62</v>
      </c>
      <c r="I93" s="24">
        <v>103003</v>
      </c>
      <c r="J93" s="277">
        <v>32.4</v>
      </c>
      <c r="K93" s="276">
        <v>20</v>
      </c>
      <c r="L93" s="278">
        <v>37.125748502994014</v>
      </c>
      <c r="M93" s="279">
        <v>0</v>
      </c>
      <c r="N93" s="277">
        <v>0</v>
      </c>
      <c r="O93" s="280" t="s">
        <v>888</v>
      </c>
      <c r="P93" s="279">
        <v>0</v>
      </c>
      <c r="Q93" s="281">
        <v>0</v>
      </c>
      <c r="R93" s="282" t="s">
        <v>889</v>
      </c>
      <c r="S93" s="274" t="s">
        <v>1041</v>
      </c>
      <c r="T93" s="44">
        <v>1</v>
      </c>
      <c r="U93" s="283">
        <v>61</v>
      </c>
      <c r="V93" s="284">
        <v>2</v>
      </c>
      <c r="W93" s="285" t="s">
        <v>889</v>
      </c>
      <c r="X93" s="286" t="s">
        <v>889</v>
      </c>
      <c r="Y93" s="287">
        <v>0</v>
      </c>
      <c r="Z93" s="287" t="s">
        <v>889</v>
      </c>
      <c r="AA93" s="286" t="s">
        <v>889</v>
      </c>
      <c r="AB93" s="287">
        <v>0</v>
      </c>
      <c r="AC93" s="287"/>
      <c r="AD93" s="288" t="s">
        <v>889</v>
      </c>
      <c r="AE93" s="289" t="s">
        <v>889</v>
      </c>
      <c r="AF93" s="279">
        <v>6</v>
      </c>
      <c r="AG93" s="282">
        <v>45180</v>
      </c>
      <c r="AH93" s="282" t="s">
        <v>889</v>
      </c>
      <c r="AI93" s="282">
        <v>45145</v>
      </c>
      <c r="AJ93" s="282" t="s">
        <v>889</v>
      </c>
      <c r="AK93" s="274"/>
    </row>
    <row r="94" spans="1:37" x14ac:dyDescent="0.3">
      <c r="A94" s="273">
        <v>13561</v>
      </c>
      <c r="B94" s="274" t="s">
        <v>1044</v>
      </c>
      <c r="C94" s="146" t="s">
        <v>345</v>
      </c>
      <c r="D94" s="275">
        <v>52.8</v>
      </c>
      <c r="E94" s="274"/>
      <c r="F94" s="274"/>
      <c r="G94" s="274" t="s">
        <v>889</v>
      </c>
      <c r="H94" s="276">
        <v>54</v>
      </c>
      <c r="I94" s="24">
        <v>103003</v>
      </c>
      <c r="J94" s="277">
        <v>52.8</v>
      </c>
      <c r="K94" s="276">
        <v>83</v>
      </c>
      <c r="L94" s="278">
        <v>4.7285464098073557</v>
      </c>
      <c r="M94" s="279">
        <v>0</v>
      </c>
      <c r="N94" s="277">
        <v>0</v>
      </c>
      <c r="O94" s="280" t="s">
        <v>888</v>
      </c>
      <c r="P94" s="279">
        <v>0</v>
      </c>
      <c r="Q94" s="281">
        <v>0</v>
      </c>
      <c r="R94" s="282" t="s">
        <v>889</v>
      </c>
      <c r="S94" s="274" t="s">
        <v>1041</v>
      </c>
      <c r="T94" s="44">
        <v>1</v>
      </c>
      <c r="U94" s="283">
        <v>61</v>
      </c>
      <c r="V94" s="284">
        <v>2</v>
      </c>
      <c r="W94" s="285" t="s">
        <v>889</v>
      </c>
      <c r="X94" s="286" t="s">
        <v>889</v>
      </c>
      <c r="Y94" s="287">
        <v>0</v>
      </c>
      <c r="Z94" s="287">
        <v>9648</v>
      </c>
      <c r="AA94" s="286">
        <v>2023</v>
      </c>
      <c r="AB94" s="287">
        <v>250</v>
      </c>
      <c r="AC94" s="287">
        <v>250</v>
      </c>
      <c r="AD94" s="288" t="s">
        <v>2055</v>
      </c>
      <c r="AE94" s="289">
        <v>45162</v>
      </c>
      <c r="AF94" s="279">
        <v>46</v>
      </c>
      <c r="AG94" s="282">
        <v>44915</v>
      </c>
      <c r="AH94" s="282" t="s">
        <v>889</v>
      </c>
      <c r="AI94" s="282">
        <v>45145</v>
      </c>
      <c r="AJ94" s="282" t="s">
        <v>889</v>
      </c>
      <c r="AK94" s="274"/>
    </row>
    <row r="95" spans="1:37" x14ac:dyDescent="0.3">
      <c r="A95" s="273">
        <v>13562</v>
      </c>
      <c r="B95" s="274" t="s">
        <v>1045</v>
      </c>
      <c r="C95" s="146" t="s">
        <v>345</v>
      </c>
      <c r="D95" s="275">
        <v>13.12</v>
      </c>
      <c r="E95" s="274"/>
      <c r="F95" s="274"/>
      <c r="G95" s="274" t="s">
        <v>889</v>
      </c>
      <c r="H95" s="276">
        <v>308</v>
      </c>
      <c r="I95" s="24">
        <v>103003</v>
      </c>
      <c r="J95" s="277">
        <v>13.12</v>
      </c>
      <c r="K95" s="276">
        <v>285</v>
      </c>
      <c r="L95" s="278">
        <v>8.4199015855658832</v>
      </c>
      <c r="M95" s="279">
        <v>0</v>
      </c>
      <c r="N95" s="277">
        <v>0</v>
      </c>
      <c r="O95" s="280" t="s">
        <v>888</v>
      </c>
      <c r="P95" s="279">
        <v>0</v>
      </c>
      <c r="Q95" s="281">
        <v>0</v>
      </c>
      <c r="R95" s="282" t="s">
        <v>889</v>
      </c>
      <c r="S95" s="274" t="s">
        <v>1041</v>
      </c>
      <c r="T95" s="44">
        <v>1</v>
      </c>
      <c r="U95" s="283">
        <v>61</v>
      </c>
      <c r="V95" s="284">
        <v>2</v>
      </c>
      <c r="W95" s="285" t="s">
        <v>889</v>
      </c>
      <c r="X95" s="286" t="s">
        <v>889</v>
      </c>
      <c r="Y95" s="287">
        <v>0</v>
      </c>
      <c r="Z95" s="287">
        <v>9672</v>
      </c>
      <c r="AA95" s="286">
        <v>2023</v>
      </c>
      <c r="AB95" s="287">
        <v>400</v>
      </c>
      <c r="AC95" s="287">
        <v>400</v>
      </c>
      <c r="AD95" s="288" t="s">
        <v>2055</v>
      </c>
      <c r="AE95" s="289">
        <v>45162</v>
      </c>
      <c r="AF95" s="279">
        <v>146</v>
      </c>
      <c r="AG95" s="282">
        <v>44915</v>
      </c>
      <c r="AH95" s="282" t="s">
        <v>889</v>
      </c>
      <c r="AI95" s="282">
        <v>45145</v>
      </c>
      <c r="AJ95" s="282" t="s">
        <v>889</v>
      </c>
      <c r="AK95" s="274"/>
    </row>
    <row r="96" spans="1:37" x14ac:dyDescent="0.3">
      <c r="A96" s="273">
        <v>13563</v>
      </c>
      <c r="B96" s="274" t="s">
        <v>1046</v>
      </c>
      <c r="C96" s="146" t="s">
        <v>263</v>
      </c>
      <c r="D96" s="275">
        <v>0.37</v>
      </c>
      <c r="E96" s="274"/>
      <c r="F96" s="274"/>
      <c r="G96" s="274" t="s">
        <v>889</v>
      </c>
      <c r="H96" s="276">
        <v>289</v>
      </c>
      <c r="I96" s="24">
        <v>103003</v>
      </c>
      <c r="J96" s="277">
        <v>0.37</v>
      </c>
      <c r="K96" s="276">
        <v>240</v>
      </c>
      <c r="L96" s="278">
        <v>7.2105788423153703</v>
      </c>
      <c r="M96" s="279">
        <v>191.96</v>
      </c>
      <c r="N96" s="277">
        <v>71.025199999999998</v>
      </c>
      <c r="O96" s="280" t="s">
        <v>888</v>
      </c>
      <c r="P96" s="279">
        <v>0</v>
      </c>
      <c r="Q96" s="281">
        <v>0</v>
      </c>
      <c r="R96" s="282" t="s">
        <v>889</v>
      </c>
      <c r="S96" s="274" t="s">
        <v>1011</v>
      </c>
      <c r="T96" s="44">
        <v>1</v>
      </c>
      <c r="U96" s="283">
        <v>61</v>
      </c>
      <c r="V96" s="284">
        <v>15</v>
      </c>
      <c r="W96" s="285" t="s">
        <v>889</v>
      </c>
      <c r="X96" s="286" t="s">
        <v>889</v>
      </c>
      <c r="Y96" s="287">
        <v>0</v>
      </c>
      <c r="Z96" s="287" t="s">
        <v>889</v>
      </c>
      <c r="AA96" s="286" t="s">
        <v>889</v>
      </c>
      <c r="AB96" s="287">
        <v>0</v>
      </c>
      <c r="AC96" s="287"/>
      <c r="AD96" s="288" t="s">
        <v>889</v>
      </c>
      <c r="AE96" s="289" t="s">
        <v>889</v>
      </c>
      <c r="AF96" s="279">
        <v>160</v>
      </c>
      <c r="AG96" s="282">
        <v>45169</v>
      </c>
      <c r="AH96" s="282" t="s">
        <v>889</v>
      </c>
      <c r="AI96" s="282">
        <v>45145</v>
      </c>
      <c r="AJ96" s="282" t="s">
        <v>889</v>
      </c>
      <c r="AK96" s="274"/>
    </row>
    <row r="97" spans="1:37" x14ac:dyDescent="0.3">
      <c r="A97" s="273">
        <v>13655</v>
      </c>
      <c r="B97" s="274" t="s">
        <v>1047</v>
      </c>
      <c r="C97" s="146" t="s">
        <v>31</v>
      </c>
      <c r="D97" s="275">
        <v>1.74</v>
      </c>
      <c r="E97" s="274"/>
      <c r="F97" s="274"/>
      <c r="G97" s="274" t="s">
        <v>889</v>
      </c>
      <c r="H97" s="276">
        <v>4386</v>
      </c>
      <c r="I97" s="24">
        <v>103003</v>
      </c>
      <c r="J97" s="277">
        <v>1.74</v>
      </c>
      <c r="K97" s="276">
        <v>14003</v>
      </c>
      <c r="L97" s="278">
        <v>2.9899381016006323</v>
      </c>
      <c r="M97" s="279">
        <v>12217.04</v>
      </c>
      <c r="N97" s="277">
        <v>21257.649600000001</v>
      </c>
      <c r="O97" s="280" t="s">
        <v>888</v>
      </c>
      <c r="P97" s="279">
        <v>0</v>
      </c>
      <c r="Q97" s="281">
        <v>0</v>
      </c>
      <c r="R97" s="282" t="s">
        <v>889</v>
      </c>
      <c r="S97" s="274" t="s">
        <v>941</v>
      </c>
      <c r="T97" s="44">
        <v>1</v>
      </c>
      <c r="U97" s="283">
        <v>45</v>
      </c>
      <c r="V97" s="284">
        <v>11</v>
      </c>
      <c r="W97" s="285">
        <v>6211</v>
      </c>
      <c r="X97" s="286">
        <v>2023</v>
      </c>
      <c r="Y97" s="287">
        <v>1000</v>
      </c>
      <c r="Z97" s="287" t="s">
        <v>889</v>
      </c>
      <c r="AA97" s="286" t="s">
        <v>889</v>
      </c>
      <c r="AB97" s="287">
        <v>0</v>
      </c>
      <c r="AC97" s="287"/>
      <c r="AD97" s="288" t="s">
        <v>889</v>
      </c>
      <c r="AE97" s="289" t="s">
        <v>889</v>
      </c>
      <c r="AF97" s="279">
        <v>5868</v>
      </c>
      <c r="AG97" s="282">
        <v>44993</v>
      </c>
      <c r="AH97" s="282" t="s">
        <v>889</v>
      </c>
      <c r="AI97" s="282">
        <v>45107</v>
      </c>
      <c r="AJ97" s="282" t="s">
        <v>889</v>
      </c>
      <c r="AK97" s="274"/>
    </row>
    <row r="98" spans="1:37" x14ac:dyDescent="0.3">
      <c r="A98" s="273">
        <v>13768</v>
      </c>
      <c r="B98" s="274" t="s">
        <v>1048</v>
      </c>
      <c r="C98" s="146" t="s">
        <v>263</v>
      </c>
      <c r="D98" s="275">
        <v>4.29</v>
      </c>
      <c r="E98" s="274"/>
      <c r="F98" s="274"/>
      <c r="G98" s="274" t="s">
        <v>889</v>
      </c>
      <c r="H98" s="276">
        <v>286</v>
      </c>
      <c r="I98" s="24">
        <v>103003</v>
      </c>
      <c r="J98" s="277">
        <v>4.29</v>
      </c>
      <c r="K98" s="276">
        <v>2568</v>
      </c>
      <c r="L98" s="278">
        <v>0.81307746979388773</v>
      </c>
      <c r="M98" s="279">
        <v>3135</v>
      </c>
      <c r="N98" s="277">
        <v>13449.15</v>
      </c>
      <c r="O98" s="280" t="s">
        <v>888</v>
      </c>
      <c r="P98" s="279">
        <v>0</v>
      </c>
      <c r="Q98" s="281">
        <v>0</v>
      </c>
      <c r="R98" s="282" t="s">
        <v>889</v>
      </c>
      <c r="S98" s="274" t="s">
        <v>941</v>
      </c>
      <c r="T98" s="44">
        <v>1</v>
      </c>
      <c r="U98" s="283">
        <v>45</v>
      </c>
      <c r="V98" s="284">
        <v>11</v>
      </c>
      <c r="W98" s="285">
        <v>6982</v>
      </c>
      <c r="X98" s="286">
        <v>2023</v>
      </c>
      <c r="Y98" s="287">
        <v>800</v>
      </c>
      <c r="Z98" s="287" t="s">
        <v>889</v>
      </c>
      <c r="AA98" s="286" t="s">
        <v>889</v>
      </c>
      <c r="AB98" s="287">
        <v>0</v>
      </c>
      <c r="AC98" s="287"/>
      <c r="AD98" s="288" t="s">
        <v>889</v>
      </c>
      <c r="AE98" s="289" t="s">
        <v>889</v>
      </c>
      <c r="AF98" s="279">
        <v>1408</v>
      </c>
      <c r="AG98" s="282">
        <v>44573</v>
      </c>
      <c r="AH98" s="282" t="s">
        <v>889</v>
      </c>
      <c r="AI98" s="282">
        <v>44999</v>
      </c>
      <c r="AJ98" s="282" t="s">
        <v>889</v>
      </c>
      <c r="AK98" s="274"/>
    </row>
    <row r="99" spans="1:37" x14ac:dyDescent="0.3">
      <c r="A99" s="273">
        <v>13991</v>
      </c>
      <c r="B99" s="274" t="s">
        <v>1049</v>
      </c>
      <c r="C99" s="146" t="s">
        <v>263</v>
      </c>
      <c r="D99" s="275">
        <v>22.32</v>
      </c>
      <c r="E99" s="274"/>
      <c r="F99" s="274"/>
      <c r="G99" s="274" t="s">
        <v>889</v>
      </c>
      <c r="H99" s="276">
        <v>0</v>
      </c>
      <c r="I99" s="24">
        <v>103003</v>
      </c>
      <c r="J99" s="277">
        <v>22.32</v>
      </c>
      <c r="K99" s="276">
        <v>248</v>
      </c>
      <c r="L99" s="278">
        <v>0</v>
      </c>
      <c r="M99" s="279">
        <v>0</v>
      </c>
      <c r="N99" s="277">
        <v>0</v>
      </c>
      <c r="O99" s="280" t="s">
        <v>888</v>
      </c>
      <c r="P99" s="279">
        <v>0</v>
      </c>
      <c r="Q99" s="281">
        <v>0</v>
      </c>
      <c r="R99" s="282" t="s">
        <v>889</v>
      </c>
      <c r="S99" s="274" t="s">
        <v>898</v>
      </c>
      <c r="T99" s="44">
        <v>1</v>
      </c>
      <c r="U99" s="283">
        <v>72</v>
      </c>
      <c r="V99" s="284">
        <v>6</v>
      </c>
      <c r="W99" s="285">
        <v>5540</v>
      </c>
      <c r="X99" s="286">
        <v>2023</v>
      </c>
      <c r="Y99" s="287">
        <v>400</v>
      </c>
      <c r="Z99" s="287" t="s">
        <v>889</v>
      </c>
      <c r="AA99" s="286" t="s">
        <v>889</v>
      </c>
      <c r="AB99" s="287">
        <v>0</v>
      </c>
      <c r="AC99" s="287"/>
      <c r="AD99" s="288" t="s">
        <v>889</v>
      </c>
      <c r="AE99" s="289" t="s">
        <v>889</v>
      </c>
      <c r="AF99" s="279">
        <v>82</v>
      </c>
      <c r="AG99" s="282">
        <v>44937</v>
      </c>
      <c r="AH99" s="282" t="s">
        <v>889</v>
      </c>
      <c r="AI99" s="282">
        <v>44854</v>
      </c>
      <c r="AJ99" s="282" t="s">
        <v>889</v>
      </c>
      <c r="AK99" s="274"/>
    </row>
    <row r="100" spans="1:37" x14ac:dyDescent="0.3">
      <c r="A100" s="273">
        <v>14001</v>
      </c>
      <c r="B100" s="274" t="s">
        <v>1050</v>
      </c>
      <c r="C100" s="146" t="s">
        <v>287</v>
      </c>
      <c r="D100" s="275">
        <v>49.21</v>
      </c>
      <c r="E100" s="274"/>
      <c r="F100" s="274"/>
      <c r="G100" s="274" t="s">
        <v>889</v>
      </c>
      <c r="H100" s="276">
        <v>0</v>
      </c>
      <c r="I100" s="24">
        <v>103003</v>
      </c>
      <c r="J100" s="277">
        <v>49.21</v>
      </c>
      <c r="K100" s="276">
        <v>195</v>
      </c>
      <c r="L100" s="278">
        <v>0</v>
      </c>
      <c r="M100" s="279">
        <v>0</v>
      </c>
      <c r="N100" s="277">
        <v>0</v>
      </c>
      <c r="O100" s="280" t="s">
        <v>888</v>
      </c>
      <c r="P100" s="279">
        <v>0</v>
      </c>
      <c r="Q100" s="281">
        <v>0</v>
      </c>
      <c r="R100" s="282" t="s">
        <v>889</v>
      </c>
      <c r="S100" s="274" t="s">
        <v>963</v>
      </c>
      <c r="T100" s="44">
        <v>1</v>
      </c>
      <c r="U100" s="283">
        <v>51</v>
      </c>
      <c r="V100" s="284">
        <v>3</v>
      </c>
      <c r="W100" s="285" t="s">
        <v>889</v>
      </c>
      <c r="X100" s="286" t="s">
        <v>889</v>
      </c>
      <c r="Y100" s="287">
        <v>0</v>
      </c>
      <c r="Z100" s="287">
        <v>11593</v>
      </c>
      <c r="AA100" s="286">
        <v>2023</v>
      </c>
      <c r="AB100" s="287">
        <v>800</v>
      </c>
      <c r="AC100" s="287">
        <v>800</v>
      </c>
      <c r="AD100" s="288" t="s">
        <v>2056</v>
      </c>
      <c r="AE100" s="289">
        <v>45217</v>
      </c>
      <c r="AF100" s="279">
        <v>72</v>
      </c>
      <c r="AG100" s="282">
        <v>44762</v>
      </c>
      <c r="AH100" s="282" t="s">
        <v>889</v>
      </c>
      <c r="AI100" s="282">
        <v>45183</v>
      </c>
      <c r="AJ100" s="282" t="s">
        <v>889</v>
      </c>
      <c r="AK100" s="274"/>
    </row>
    <row r="101" spans="1:37" x14ac:dyDescent="0.3">
      <c r="A101" s="273">
        <v>14012</v>
      </c>
      <c r="B101" s="274" t="s">
        <v>1051</v>
      </c>
      <c r="C101" s="146" t="s">
        <v>263</v>
      </c>
      <c r="D101" s="275">
        <v>0.28000000000000003</v>
      </c>
      <c r="E101" s="274"/>
      <c r="F101" s="274"/>
      <c r="G101" s="274" t="s">
        <v>889</v>
      </c>
      <c r="H101" s="276">
        <v>3316</v>
      </c>
      <c r="I101" s="24">
        <v>103003</v>
      </c>
      <c r="J101" s="277">
        <v>0.28000000000000003</v>
      </c>
      <c r="K101" s="276">
        <v>806</v>
      </c>
      <c r="L101" s="278">
        <v>38.783625730994153</v>
      </c>
      <c r="M101" s="279">
        <v>0</v>
      </c>
      <c r="N101" s="277">
        <v>0</v>
      </c>
      <c r="O101" s="280" t="s">
        <v>888</v>
      </c>
      <c r="P101" s="279">
        <v>0</v>
      </c>
      <c r="Q101" s="281">
        <v>0</v>
      </c>
      <c r="R101" s="282" t="s">
        <v>889</v>
      </c>
      <c r="S101" s="274" t="s">
        <v>1052</v>
      </c>
      <c r="T101" s="44">
        <v>1</v>
      </c>
      <c r="U101" s="283">
        <v>55</v>
      </c>
      <c r="V101" s="284">
        <v>46</v>
      </c>
      <c r="W101" s="285" t="s">
        <v>889</v>
      </c>
      <c r="X101" s="286" t="s">
        <v>889</v>
      </c>
      <c r="Y101" s="287">
        <v>0</v>
      </c>
      <c r="Z101" s="287" t="s">
        <v>889</v>
      </c>
      <c r="AA101" s="286" t="s">
        <v>889</v>
      </c>
      <c r="AB101" s="287">
        <v>0</v>
      </c>
      <c r="AC101" s="287"/>
      <c r="AD101" s="288" t="s">
        <v>889</v>
      </c>
      <c r="AE101" s="289" t="s">
        <v>889</v>
      </c>
      <c r="AF101" s="279">
        <v>342</v>
      </c>
      <c r="AG101" s="282">
        <v>44649</v>
      </c>
      <c r="AH101" s="282" t="s">
        <v>889</v>
      </c>
      <c r="AI101" s="282">
        <v>44615</v>
      </c>
      <c r="AJ101" s="282" t="s">
        <v>889</v>
      </c>
      <c r="AK101" s="274"/>
    </row>
    <row r="102" spans="1:37" x14ac:dyDescent="0.3">
      <c r="A102" s="273">
        <v>14013</v>
      </c>
      <c r="B102" s="274" t="s">
        <v>1053</v>
      </c>
      <c r="C102" s="146" t="s">
        <v>263</v>
      </c>
      <c r="D102" s="275">
        <v>0.64</v>
      </c>
      <c r="E102" s="274"/>
      <c r="F102" s="274"/>
      <c r="G102" s="274" t="s">
        <v>889</v>
      </c>
      <c r="H102" s="276">
        <v>190</v>
      </c>
      <c r="I102" s="24">
        <v>103003</v>
      </c>
      <c r="J102" s="277">
        <v>0.64</v>
      </c>
      <c r="K102" s="276">
        <v>522</v>
      </c>
      <c r="L102" s="278">
        <v>3.2713498622589534</v>
      </c>
      <c r="M102" s="279">
        <v>0</v>
      </c>
      <c r="N102" s="277">
        <v>0</v>
      </c>
      <c r="O102" s="280" t="s">
        <v>888</v>
      </c>
      <c r="P102" s="279">
        <v>0</v>
      </c>
      <c r="Q102" s="281">
        <v>0</v>
      </c>
      <c r="R102" s="282" t="s">
        <v>889</v>
      </c>
      <c r="S102" s="274" t="s">
        <v>1052</v>
      </c>
      <c r="T102" s="44">
        <v>1</v>
      </c>
      <c r="U102" s="283">
        <v>55</v>
      </c>
      <c r="V102" s="284">
        <v>46</v>
      </c>
      <c r="W102" s="285">
        <v>2546</v>
      </c>
      <c r="X102" s="286">
        <v>2023</v>
      </c>
      <c r="Y102" s="287">
        <v>1000</v>
      </c>
      <c r="Z102" s="287" t="s">
        <v>889</v>
      </c>
      <c r="AA102" s="286" t="s">
        <v>889</v>
      </c>
      <c r="AB102" s="287">
        <v>0</v>
      </c>
      <c r="AC102" s="287"/>
      <c r="AD102" s="288" t="s">
        <v>889</v>
      </c>
      <c r="AE102" s="289" t="s">
        <v>889</v>
      </c>
      <c r="AF102" s="279">
        <v>232</v>
      </c>
      <c r="AG102" s="282">
        <v>44883</v>
      </c>
      <c r="AH102" s="282" t="s">
        <v>889</v>
      </c>
      <c r="AI102" s="282">
        <v>44845</v>
      </c>
      <c r="AJ102" s="282" t="s">
        <v>889</v>
      </c>
      <c r="AK102" s="274"/>
    </row>
    <row r="103" spans="1:37" x14ac:dyDescent="0.3">
      <c r="A103" s="273">
        <v>14055</v>
      </c>
      <c r="B103" s="274" t="s">
        <v>1054</v>
      </c>
      <c r="C103" s="146" t="s">
        <v>320</v>
      </c>
      <c r="D103" s="275">
        <v>13.8</v>
      </c>
      <c r="E103" s="274"/>
      <c r="F103" s="274"/>
      <c r="G103" s="274" t="s">
        <v>889</v>
      </c>
      <c r="H103" s="276">
        <v>482</v>
      </c>
      <c r="I103" s="24">
        <v>103003</v>
      </c>
      <c r="J103" s="277">
        <v>13.8</v>
      </c>
      <c r="K103" s="276">
        <v>78</v>
      </c>
      <c r="L103" s="278">
        <v>55.594002306805073</v>
      </c>
      <c r="M103" s="279">
        <v>0</v>
      </c>
      <c r="N103" s="277">
        <v>0</v>
      </c>
      <c r="O103" s="280" t="s">
        <v>888</v>
      </c>
      <c r="P103" s="279">
        <v>0</v>
      </c>
      <c r="Q103" s="281">
        <v>0</v>
      </c>
      <c r="R103" s="282" t="s">
        <v>889</v>
      </c>
      <c r="S103" s="274" t="s">
        <v>991</v>
      </c>
      <c r="T103" s="44">
        <v>1</v>
      </c>
      <c r="U103" s="283">
        <v>67</v>
      </c>
      <c r="V103" s="284">
        <v>6</v>
      </c>
      <c r="W103" s="285" t="s">
        <v>889</v>
      </c>
      <c r="X103" s="286" t="s">
        <v>889</v>
      </c>
      <c r="Y103" s="287">
        <v>0</v>
      </c>
      <c r="Z103" s="287" t="s">
        <v>889</v>
      </c>
      <c r="AA103" s="286" t="s">
        <v>889</v>
      </c>
      <c r="AB103" s="287">
        <v>0</v>
      </c>
      <c r="AC103" s="287"/>
      <c r="AD103" s="288" t="s">
        <v>889</v>
      </c>
      <c r="AE103" s="289" t="s">
        <v>889</v>
      </c>
      <c r="AF103" s="279">
        <v>34</v>
      </c>
      <c r="AG103" s="282">
        <v>43853</v>
      </c>
      <c r="AH103" s="282" t="s">
        <v>889</v>
      </c>
      <c r="AI103" s="282">
        <v>44921</v>
      </c>
      <c r="AJ103" s="282" t="s">
        <v>889</v>
      </c>
      <c r="AK103" s="274"/>
    </row>
    <row r="104" spans="1:37" x14ac:dyDescent="0.3">
      <c r="A104" s="273">
        <v>14056</v>
      </c>
      <c r="B104" s="274" t="s">
        <v>1055</v>
      </c>
      <c r="C104" s="146" t="s">
        <v>263</v>
      </c>
      <c r="D104" s="275">
        <v>2.98</v>
      </c>
      <c r="E104" s="274"/>
      <c r="F104" s="274"/>
      <c r="G104" s="274" t="s">
        <v>889</v>
      </c>
      <c r="H104" s="276">
        <v>72</v>
      </c>
      <c r="I104" s="24">
        <v>103003</v>
      </c>
      <c r="J104" s="277">
        <v>2.98</v>
      </c>
      <c r="K104" s="276">
        <v>58</v>
      </c>
      <c r="L104" s="278">
        <v>15.157894736842106</v>
      </c>
      <c r="M104" s="279">
        <v>0</v>
      </c>
      <c r="N104" s="277">
        <v>0</v>
      </c>
      <c r="O104" s="280" t="s">
        <v>888</v>
      </c>
      <c r="P104" s="279">
        <v>0</v>
      </c>
      <c r="Q104" s="281">
        <v>0</v>
      </c>
      <c r="R104" s="282" t="s">
        <v>889</v>
      </c>
      <c r="S104" s="274" t="s">
        <v>1021</v>
      </c>
      <c r="T104" s="44">
        <v>1</v>
      </c>
      <c r="U104" s="283">
        <v>51</v>
      </c>
      <c r="V104" s="284">
        <v>12</v>
      </c>
      <c r="W104" s="285" t="s">
        <v>889</v>
      </c>
      <c r="X104" s="286" t="s">
        <v>889</v>
      </c>
      <c r="Y104" s="287">
        <v>0</v>
      </c>
      <c r="Z104" s="287" t="s">
        <v>889</v>
      </c>
      <c r="AA104" s="286" t="s">
        <v>889</v>
      </c>
      <c r="AB104" s="287">
        <v>0</v>
      </c>
      <c r="AC104" s="287"/>
      <c r="AD104" s="288" t="s">
        <v>889</v>
      </c>
      <c r="AE104" s="289" t="s">
        <v>889</v>
      </c>
      <c r="AF104" s="279">
        <v>20</v>
      </c>
      <c r="AG104" s="282">
        <v>43668</v>
      </c>
      <c r="AH104" s="282" t="s">
        <v>889</v>
      </c>
      <c r="AI104" s="282">
        <v>43524</v>
      </c>
      <c r="AJ104" s="282" t="s">
        <v>889</v>
      </c>
      <c r="AK104" s="274"/>
    </row>
    <row r="105" spans="1:37" x14ac:dyDescent="0.3">
      <c r="A105" s="273">
        <v>14121</v>
      </c>
      <c r="B105" s="274" t="s">
        <v>1056</v>
      </c>
      <c r="C105" s="146" t="s">
        <v>31</v>
      </c>
      <c r="D105" s="275">
        <v>0.33</v>
      </c>
      <c r="E105" s="274" t="s">
        <v>1057</v>
      </c>
      <c r="F105" s="274" t="s">
        <v>1058</v>
      </c>
      <c r="G105" s="274" t="s">
        <v>1059</v>
      </c>
      <c r="H105" s="276">
        <v>4343</v>
      </c>
      <c r="I105" s="24">
        <v>103003</v>
      </c>
      <c r="J105" s="277">
        <v>0.33</v>
      </c>
      <c r="K105" s="276">
        <v>4540</v>
      </c>
      <c r="L105" s="278">
        <v>7.5629081410535486</v>
      </c>
      <c r="M105" s="279">
        <v>2548</v>
      </c>
      <c r="N105" s="277">
        <v>840.84</v>
      </c>
      <c r="O105" s="280" t="s">
        <v>1060</v>
      </c>
      <c r="P105" s="279">
        <v>42000</v>
      </c>
      <c r="Q105" s="281">
        <v>15510</v>
      </c>
      <c r="R105" s="282">
        <v>45446</v>
      </c>
      <c r="S105" s="274" t="s">
        <v>898</v>
      </c>
      <c r="T105" s="44">
        <v>1</v>
      </c>
      <c r="U105" s="283">
        <v>72</v>
      </c>
      <c r="V105" s="284">
        <v>6</v>
      </c>
      <c r="W105" s="285" t="s">
        <v>889</v>
      </c>
      <c r="X105" s="286" t="s">
        <v>889</v>
      </c>
      <c r="Y105" s="287">
        <v>0</v>
      </c>
      <c r="Z105" s="287" t="s">
        <v>889</v>
      </c>
      <c r="AA105" s="286" t="s">
        <v>889</v>
      </c>
      <c r="AB105" s="287">
        <v>0</v>
      </c>
      <c r="AC105" s="287"/>
      <c r="AD105" s="288" t="s">
        <v>889</v>
      </c>
      <c r="AE105" s="289" t="s">
        <v>889</v>
      </c>
      <c r="AF105" s="279">
        <v>2298</v>
      </c>
      <c r="AG105" s="282">
        <v>44865</v>
      </c>
      <c r="AH105" s="282" t="s">
        <v>889</v>
      </c>
      <c r="AI105" s="282">
        <v>45103</v>
      </c>
      <c r="AJ105" s="282" t="s">
        <v>889</v>
      </c>
      <c r="AK105" s="274"/>
    </row>
    <row r="106" spans="1:37" x14ac:dyDescent="0.3">
      <c r="A106" s="273">
        <v>14154</v>
      </c>
      <c r="B106" s="274" t="s">
        <v>1061</v>
      </c>
      <c r="C106" s="146" t="s">
        <v>263</v>
      </c>
      <c r="D106" s="275">
        <v>0.56000000000000005</v>
      </c>
      <c r="E106" s="274" t="s">
        <v>1062</v>
      </c>
      <c r="F106" s="274" t="s">
        <v>1063</v>
      </c>
      <c r="G106" s="274" t="s">
        <v>896</v>
      </c>
      <c r="H106" s="276">
        <v>3297</v>
      </c>
      <c r="I106" s="24">
        <v>103003</v>
      </c>
      <c r="J106" s="277">
        <v>0.56000000000000005</v>
      </c>
      <c r="K106" s="276">
        <v>8388</v>
      </c>
      <c r="L106" s="278">
        <v>3.5691474966170502</v>
      </c>
      <c r="M106" s="279">
        <v>7788</v>
      </c>
      <c r="N106" s="277">
        <v>4361.28</v>
      </c>
      <c r="O106" s="280" t="s">
        <v>897</v>
      </c>
      <c r="P106" s="279">
        <v>27500</v>
      </c>
      <c r="Q106" s="281">
        <v>15400</v>
      </c>
      <c r="R106" s="282">
        <v>45377</v>
      </c>
      <c r="S106" s="274" t="s">
        <v>898</v>
      </c>
      <c r="T106" s="44">
        <v>1</v>
      </c>
      <c r="U106" s="283">
        <v>72</v>
      </c>
      <c r="V106" s="284">
        <v>6</v>
      </c>
      <c r="W106" s="285" t="s">
        <v>889</v>
      </c>
      <c r="X106" s="286" t="s">
        <v>889</v>
      </c>
      <c r="Y106" s="287">
        <v>0</v>
      </c>
      <c r="Z106" s="287" t="s">
        <v>889</v>
      </c>
      <c r="AA106" s="286" t="s">
        <v>889</v>
      </c>
      <c r="AB106" s="287">
        <v>0</v>
      </c>
      <c r="AC106" s="287"/>
      <c r="AD106" s="288" t="s">
        <v>889</v>
      </c>
      <c r="AE106" s="289" t="s">
        <v>889</v>
      </c>
      <c r="AF106" s="279">
        <v>3696</v>
      </c>
      <c r="AG106" s="282">
        <v>45208</v>
      </c>
      <c r="AH106" s="282" t="s">
        <v>889</v>
      </c>
      <c r="AI106" s="282">
        <v>45209</v>
      </c>
      <c r="AJ106" s="282" t="s">
        <v>889</v>
      </c>
      <c r="AK106" s="274"/>
    </row>
    <row r="107" spans="1:37" x14ac:dyDescent="0.3">
      <c r="A107" s="273">
        <v>14662</v>
      </c>
      <c r="B107" s="274" t="s">
        <v>1064</v>
      </c>
      <c r="C107" s="146" t="s">
        <v>611</v>
      </c>
      <c r="D107" s="275">
        <v>41.42</v>
      </c>
      <c r="E107" s="274" t="s">
        <v>1065</v>
      </c>
      <c r="F107" s="274" t="s">
        <v>1066</v>
      </c>
      <c r="G107" s="274" t="s">
        <v>1067</v>
      </c>
      <c r="H107" s="276">
        <v>267</v>
      </c>
      <c r="I107" s="24">
        <v>103003</v>
      </c>
      <c r="J107" s="277">
        <v>41.42</v>
      </c>
      <c r="K107" s="276">
        <v>3329</v>
      </c>
      <c r="L107" s="278">
        <v>0.4087256027554535</v>
      </c>
      <c r="M107" s="279">
        <v>6672</v>
      </c>
      <c r="N107" s="277">
        <v>276354.24</v>
      </c>
      <c r="O107" s="280" t="s">
        <v>1068</v>
      </c>
      <c r="P107" s="279">
        <v>1753</v>
      </c>
      <c r="Q107" s="281">
        <v>72609.259999999995</v>
      </c>
      <c r="R107" s="282">
        <v>45267</v>
      </c>
      <c r="S107" s="274" t="s">
        <v>963</v>
      </c>
      <c r="T107" s="44">
        <v>1</v>
      </c>
      <c r="U107" s="283">
        <v>51</v>
      </c>
      <c r="V107" s="284">
        <v>3</v>
      </c>
      <c r="W107" s="285" t="s">
        <v>889</v>
      </c>
      <c r="X107" s="286" t="s">
        <v>889</v>
      </c>
      <c r="Y107" s="287">
        <v>0</v>
      </c>
      <c r="Z107" s="287">
        <v>8596</v>
      </c>
      <c r="AA107" s="286">
        <v>2023</v>
      </c>
      <c r="AB107" s="287">
        <v>900</v>
      </c>
      <c r="AC107" s="287">
        <v>1500</v>
      </c>
      <c r="AD107" s="288" t="s">
        <v>2057</v>
      </c>
      <c r="AE107" s="289">
        <v>45138</v>
      </c>
      <c r="AF107" s="279">
        <v>2614</v>
      </c>
      <c r="AG107" s="282">
        <v>45169</v>
      </c>
      <c r="AH107" s="282" t="s">
        <v>889</v>
      </c>
      <c r="AI107" s="282">
        <v>45181</v>
      </c>
      <c r="AJ107" s="282" t="s">
        <v>889</v>
      </c>
      <c r="AK107" s="274"/>
    </row>
    <row r="108" spans="1:37" x14ac:dyDescent="0.3">
      <c r="A108" s="273">
        <v>14662</v>
      </c>
      <c r="B108" s="274" t="s">
        <v>1064</v>
      </c>
      <c r="C108" s="146" t="s">
        <v>611</v>
      </c>
      <c r="D108" s="275">
        <v>41.42</v>
      </c>
      <c r="E108" s="274" t="s">
        <v>1065</v>
      </c>
      <c r="F108" s="274" t="s">
        <v>1066</v>
      </c>
      <c r="G108" s="274" t="s">
        <v>1067</v>
      </c>
      <c r="H108" s="276">
        <v>267</v>
      </c>
      <c r="I108" s="24">
        <v>103003</v>
      </c>
      <c r="J108" s="277">
        <v>41.42</v>
      </c>
      <c r="K108" s="276">
        <v>3329</v>
      </c>
      <c r="L108" s="278">
        <v>0.4087256027554535</v>
      </c>
      <c r="M108" s="279">
        <v>6672</v>
      </c>
      <c r="N108" s="277">
        <v>276354.24</v>
      </c>
      <c r="O108" s="280" t="s">
        <v>1068</v>
      </c>
      <c r="P108" s="279">
        <v>1753</v>
      </c>
      <c r="Q108" s="281">
        <v>72609.259999999995</v>
      </c>
      <c r="R108" s="282">
        <v>45267</v>
      </c>
      <c r="S108" s="274" t="s">
        <v>963</v>
      </c>
      <c r="T108" s="44">
        <v>1</v>
      </c>
      <c r="U108" s="283">
        <v>51</v>
      </c>
      <c r="V108" s="284">
        <v>3</v>
      </c>
      <c r="W108" s="285" t="s">
        <v>889</v>
      </c>
      <c r="X108" s="286" t="s">
        <v>889</v>
      </c>
      <c r="Y108" s="287">
        <v>0</v>
      </c>
      <c r="Z108" s="287">
        <v>11514</v>
      </c>
      <c r="AA108" s="286">
        <v>2023</v>
      </c>
      <c r="AB108" s="287">
        <v>900</v>
      </c>
      <c r="AC108" s="287">
        <v>900</v>
      </c>
      <c r="AD108" s="288" t="s">
        <v>2057</v>
      </c>
      <c r="AE108" s="289">
        <v>45194</v>
      </c>
      <c r="AF108" s="279">
        <v>2614</v>
      </c>
      <c r="AG108" s="282">
        <v>45169</v>
      </c>
      <c r="AH108" s="282" t="s">
        <v>889</v>
      </c>
      <c r="AI108" s="282">
        <v>45181</v>
      </c>
      <c r="AJ108" s="282" t="s">
        <v>889</v>
      </c>
      <c r="AK108" s="274"/>
    </row>
    <row r="109" spans="1:37" x14ac:dyDescent="0.3">
      <c r="A109" s="273">
        <v>14737</v>
      </c>
      <c r="B109" s="274" t="s">
        <v>1069</v>
      </c>
      <c r="C109" s="146" t="s">
        <v>1070</v>
      </c>
      <c r="D109" s="275">
        <v>430</v>
      </c>
      <c r="E109" s="274"/>
      <c r="F109" s="274"/>
      <c r="G109" s="274" t="s">
        <v>889</v>
      </c>
      <c r="H109" s="276">
        <v>20</v>
      </c>
      <c r="I109" s="24">
        <v>103003</v>
      </c>
      <c r="J109" s="277">
        <v>430</v>
      </c>
      <c r="K109" s="276">
        <v>23</v>
      </c>
      <c r="L109" s="278">
        <v>10.416666666666666</v>
      </c>
      <c r="M109" s="279">
        <v>3.04</v>
      </c>
      <c r="N109" s="277">
        <v>1307.2</v>
      </c>
      <c r="O109" s="280" t="s">
        <v>888</v>
      </c>
      <c r="P109" s="279">
        <v>0</v>
      </c>
      <c r="Q109" s="281">
        <v>0</v>
      </c>
      <c r="R109" s="282" t="s">
        <v>889</v>
      </c>
      <c r="S109" s="274" t="s">
        <v>1071</v>
      </c>
      <c r="T109" s="44">
        <v>1</v>
      </c>
      <c r="U109" s="283">
        <v>76</v>
      </c>
      <c r="V109" s="284">
        <v>5</v>
      </c>
      <c r="W109" s="285" t="s">
        <v>889</v>
      </c>
      <c r="X109" s="286" t="s">
        <v>889</v>
      </c>
      <c r="Y109" s="287">
        <v>0</v>
      </c>
      <c r="Z109" s="287" t="s">
        <v>889</v>
      </c>
      <c r="AA109" s="286" t="s">
        <v>889</v>
      </c>
      <c r="AB109" s="287">
        <v>0</v>
      </c>
      <c r="AC109" s="287"/>
      <c r="AD109" s="288" t="s">
        <v>889</v>
      </c>
      <c r="AE109" s="289" t="s">
        <v>889</v>
      </c>
      <c r="AF109" s="279">
        <v>8</v>
      </c>
      <c r="AG109" s="282">
        <v>44986</v>
      </c>
      <c r="AH109" s="282" t="s">
        <v>889</v>
      </c>
      <c r="AI109" s="282">
        <v>44916</v>
      </c>
      <c r="AJ109" s="282" t="s">
        <v>889</v>
      </c>
      <c r="AK109" s="274"/>
    </row>
    <row r="110" spans="1:37" x14ac:dyDescent="0.3">
      <c r="A110" s="273">
        <v>14754</v>
      </c>
      <c r="B110" s="274" t="s">
        <v>1072</v>
      </c>
      <c r="C110" s="146" t="s">
        <v>260</v>
      </c>
      <c r="D110" s="275">
        <v>7.58</v>
      </c>
      <c r="E110" s="274"/>
      <c r="F110" s="274"/>
      <c r="G110" s="274" t="s">
        <v>889</v>
      </c>
      <c r="H110" s="276">
        <v>61</v>
      </c>
      <c r="I110" s="24">
        <v>103003</v>
      </c>
      <c r="J110" s="277">
        <v>7.58</v>
      </c>
      <c r="K110" s="276">
        <v>25</v>
      </c>
      <c r="L110" s="278">
        <v>24.4</v>
      </c>
      <c r="M110" s="279">
        <v>0</v>
      </c>
      <c r="N110" s="277">
        <v>0</v>
      </c>
      <c r="O110" s="280" t="s">
        <v>888</v>
      </c>
      <c r="P110" s="279">
        <v>0</v>
      </c>
      <c r="Q110" s="281">
        <v>0</v>
      </c>
      <c r="R110" s="282" t="s">
        <v>889</v>
      </c>
      <c r="S110" s="274" t="s">
        <v>1073</v>
      </c>
      <c r="T110" s="44">
        <v>1</v>
      </c>
      <c r="U110" s="283">
        <v>55</v>
      </c>
      <c r="V110" s="284">
        <v>40</v>
      </c>
      <c r="W110" s="285" t="s">
        <v>889</v>
      </c>
      <c r="X110" s="286" t="s">
        <v>889</v>
      </c>
      <c r="Y110" s="287">
        <v>0</v>
      </c>
      <c r="Z110" s="287" t="s">
        <v>889</v>
      </c>
      <c r="AA110" s="286" t="s">
        <v>889</v>
      </c>
      <c r="AB110" s="287">
        <v>0</v>
      </c>
      <c r="AC110" s="287"/>
      <c r="AD110" s="288" t="s">
        <v>889</v>
      </c>
      <c r="AE110" s="289" t="s">
        <v>889</v>
      </c>
      <c r="AF110" s="279">
        <v>10</v>
      </c>
      <c r="AG110" s="282">
        <v>43915</v>
      </c>
      <c r="AH110" s="282" t="s">
        <v>889</v>
      </c>
      <c r="AI110" s="282">
        <v>43948</v>
      </c>
      <c r="AJ110" s="282" t="s">
        <v>889</v>
      </c>
      <c r="AK110" s="274"/>
    </row>
    <row r="111" spans="1:37" x14ac:dyDescent="0.3">
      <c r="A111" s="273">
        <v>14784</v>
      </c>
      <c r="B111" s="274" t="s">
        <v>1074</v>
      </c>
      <c r="C111" s="146" t="s">
        <v>263</v>
      </c>
      <c r="D111" s="275">
        <v>3.9</v>
      </c>
      <c r="E111" s="274"/>
      <c r="F111" s="274"/>
      <c r="G111" s="274" t="s">
        <v>889</v>
      </c>
      <c r="H111" s="276">
        <v>50</v>
      </c>
      <c r="I111" s="24">
        <v>103003</v>
      </c>
      <c r="J111" s="277">
        <v>3.9</v>
      </c>
      <c r="K111" s="276">
        <v>213</v>
      </c>
      <c r="L111" s="278">
        <v>2.8169014084507045</v>
      </c>
      <c r="M111" s="279">
        <v>163</v>
      </c>
      <c r="N111" s="277">
        <v>635.70000000000005</v>
      </c>
      <c r="O111" s="280" t="s">
        <v>888</v>
      </c>
      <c r="P111" s="279">
        <v>0</v>
      </c>
      <c r="Q111" s="281">
        <v>0</v>
      </c>
      <c r="R111" s="282" t="s">
        <v>889</v>
      </c>
      <c r="S111" s="274" t="s">
        <v>990</v>
      </c>
      <c r="T111" s="44">
        <v>1</v>
      </c>
      <c r="U111" s="283">
        <v>55</v>
      </c>
      <c r="V111" s="284">
        <v>32</v>
      </c>
      <c r="W111" s="285" t="s">
        <v>889</v>
      </c>
      <c r="X111" s="286" t="s">
        <v>889</v>
      </c>
      <c r="Y111" s="287">
        <v>0</v>
      </c>
      <c r="Z111" s="287" t="s">
        <v>889</v>
      </c>
      <c r="AA111" s="286" t="s">
        <v>889</v>
      </c>
      <c r="AB111" s="287">
        <v>0</v>
      </c>
      <c r="AC111" s="287"/>
      <c r="AD111" s="288" t="s">
        <v>889</v>
      </c>
      <c r="AE111" s="289" t="s">
        <v>889</v>
      </c>
      <c r="AF111" s="279">
        <v>72</v>
      </c>
      <c r="AG111" s="282">
        <v>45166</v>
      </c>
      <c r="AH111" s="282" t="s">
        <v>889</v>
      </c>
      <c r="AI111" s="282">
        <v>45145</v>
      </c>
      <c r="AJ111" s="282" t="s">
        <v>889</v>
      </c>
      <c r="AK111" s="274"/>
    </row>
    <row r="112" spans="1:37" x14ac:dyDescent="0.3">
      <c r="A112" s="273">
        <v>14831</v>
      </c>
      <c r="B112" s="274" t="s">
        <v>1075</v>
      </c>
      <c r="C112" s="146" t="s">
        <v>263</v>
      </c>
      <c r="D112" s="275">
        <v>1.69</v>
      </c>
      <c r="E112" s="274"/>
      <c r="F112" s="274"/>
      <c r="G112" s="274" t="s">
        <v>889</v>
      </c>
      <c r="H112" s="276">
        <v>380</v>
      </c>
      <c r="I112" s="24">
        <v>103003</v>
      </c>
      <c r="J112" s="277">
        <v>1.69</v>
      </c>
      <c r="K112" s="276">
        <v>266</v>
      </c>
      <c r="L112" s="278">
        <v>15.946286193873268</v>
      </c>
      <c r="M112" s="279">
        <v>0</v>
      </c>
      <c r="N112" s="277">
        <v>0</v>
      </c>
      <c r="O112" s="280" t="s">
        <v>888</v>
      </c>
      <c r="P112" s="279">
        <v>0</v>
      </c>
      <c r="Q112" s="281">
        <v>0</v>
      </c>
      <c r="R112" s="282" t="s">
        <v>889</v>
      </c>
      <c r="S112" s="274" t="s">
        <v>1076</v>
      </c>
      <c r="T112" s="44">
        <v>1</v>
      </c>
      <c r="U112" s="283">
        <v>55</v>
      </c>
      <c r="V112" s="284">
        <v>27</v>
      </c>
      <c r="W112" s="285" t="s">
        <v>889</v>
      </c>
      <c r="X112" s="286" t="s">
        <v>889</v>
      </c>
      <c r="Y112" s="287">
        <v>0</v>
      </c>
      <c r="Z112" s="287" t="s">
        <v>889</v>
      </c>
      <c r="AA112" s="286" t="s">
        <v>889</v>
      </c>
      <c r="AB112" s="287">
        <v>0</v>
      </c>
      <c r="AC112" s="287"/>
      <c r="AD112" s="288" t="s">
        <v>889</v>
      </c>
      <c r="AE112" s="289" t="s">
        <v>889</v>
      </c>
      <c r="AF112" s="279">
        <v>96</v>
      </c>
      <c r="AG112" s="282">
        <v>44544</v>
      </c>
      <c r="AH112" s="282" t="s">
        <v>889</v>
      </c>
      <c r="AI112" s="282">
        <v>44470</v>
      </c>
      <c r="AJ112" s="282" t="s">
        <v>889</v>
      </c>
      <c r="AK112" s="274"/>
    </row>
    <row r="113" spans="1:37" x14ac:dyDescent="0.3">
      <c r="A113" s="273">
        <v>14885</v>
      </c>
      <c r="B113" s="274" t="s">
        <v>1077</v>
      </c>
      <c r="C113" s="146" t="s">
        <v>272</v>
      </c>
      <c r="D113" s="275">
        <v>2.56</v>
      </c>
      <c r="E113" s="274"/>
      <c r="F113" s="274"/>
      <c r="G113" s="274" t="s">
        <v>889</v>
      </c>
      <c r="H113" s="276">
        <v>0</v>
      </c>
      <c r="I113" s="24">
        <v>103003</v>
      </c>
      <c r="J113" s="277">
        <v>2.56</v>
      </c>
      <c r="K113" s="276">
        <v>200</v>
      </c>
      <c r="L113" s="278">
        <v>0</v>
      </c>
      <c r="M113" s="279">
        <v>100.04</v>
      </c>
      <c r="N113" s="277">
        <v>256.10239999999999</v>
      </c>
      <c r="O113" s="280" t="s">
        <v>888</v>
      </c>
      <c r="P113" s="279">
        <v>0</v>
      </c>
      <c r="Q113" s="281">
        <v>0</v>
      </c>
      <c r="R113" s="282" t="s">
        <v>889</v>
      </c>
      <c r="S113" s="274" t="s">
        <v>990</v>
      </c>
      <c r="T113" s="44">
        <v>1</v>
      </c>
      <c r="U113" s="283">
        <v>55</v>
      </c>
      <c r="V113" s="284">
        <v>32</v>
      </c>
      <c r="W113" s="285">
        <v>2956</v>
      </c>
      <c r="X113" s="286">
        <v>2023</v>
      </c>
      <c r="Y113" s="287">
        <v>100</v>
      </c>
      <c r="Z113" s="287" t="s">
        <v>889</v>
      </c>
      <c r="AA113" s="286" t="s">
        <v>889</v>
      </c>
      <c r="AB113" s="287">
        <v>0</v>
      </c>
      <c r="AC113" s="287"/>
      <c r="AD113" s="288" t="s">
        <v>889</v>
      </c>
      <c r="AE113" s="289" t="s">
        <v>889</v>
      </c>
      <c r="AF113" s="279">
        <v>66</v>
      </c>
      <c r="AG113" s="282">
        <v>44883</v>
      </c>
      <c r="AH113" s="282" t="s">
        <v>889</v>
      </c>
      <c r="AI113" s="282">
        <v>44845</v>
      </c>
      <c r="AJ113" s="282" t="s">
        <v>889</v>
      </c>
      <c r="AK113" s="274"/>
    </row>
    <row r="114" spans="1:37" x14ac:dyDescent="0.3">
      <c r="A114" s="273">
        <v>14887</v>
      </c>
      <c r="B114" s="274" t="s">
        <v>1078</v>
      </c>
      <c r="C114" s="146" t="s">
        <v>272</v>
      </c>
      <c r="D114" s="275">
        <v>3.75</v>
      </c>
      <c r="E114" s="274"/>
      <c r="F114" s="274"/>
      <c r="G114" s="274" t="s">
        <v>889</v>
      </c>
      <c r="H114" s="276">
        <v>0</v>
      </c>
      <c r="I114" s="24">
        <v>103003</v>
      </c>
      <c r="J114" s="277">
        <v>3.75</v>
      </c>
      <c r="K114" s="276">
        <v>200</v>
      </c>
      <c r="L114" s="278">
        <v>0</v>
      </c>
      <c r="M114" s="279">
        <v>0</v>
      </c>
      <c r="N114" s="277">
        <v>0</v>
      </c>
      <c r="O114" s="280" t="s">
        <v>888</v>
      </c>
      <c r="P114" s="279">
        <v>0</v>
      </c>
      <c r="Q114" s="281">
        <v>0</v>
      </c>
      <c r="R114" s="282" t="s">
        <v>889</v>
      </c>
      <c r="S114" s="274" t="s">
        <v>990</v>
      </c>
      <c r="T114" s="44">
        <v>1</v>
      </c>
      <c r="U114" s="283">
        <v>55</v>
      </c>
      <c r="V114" s="284">
        <v>32</v>
      </c>
      <c r="W114" s="285">
        <v>10083</v>
      </c>
      <c r="X114" s="286">
        <v>2023</v>
      </c>
      <c r="Y114" s="287">
        <v>300</v>
      </c>
      <c r="Z114" s="287" t="s">
        <v>889</v>
      </c>
      <c r="AA114" s="286" t="s">
        <v>889</v>
      </c>
      <c r="AB114" s="287">
        <v>0</v>
      </c>
      <c r="AC114" s="287"/>
      <c r="AD114" s="288" t="s">
        <v>889</v>
      </c>
      <c r="AE114" s="289" t="s">
        <v>889</v>
      </c>
      <c r="AF114" s="279">
        <v>66</v>
      </c>
      <c r="AG114" s="282">
        <v>44883</v>
      </c>
      <c r="AH114" s="282" t="s">
        <v>889</v>
      </c>
      <c r="AI114" s="282">
        <v>44845</v>
      </c>
      <c r="AJ114" s="282" t="s">
        <v>889</v>
      </c>
      <c r="AK114" s="274"/>
    </row>
    <row r="115" spans="1:37" x14ac:dyDescent="0.3">
      <c r="A115" s="273">
        <v>14921</v>
      </c>
      <c r="B115" s="274" t="s">
        <v>1079</v>
      </c>
      <c r="C115" s="146" t="s">
        <v>260</v>
      </c>
      <c r="D115" s="275">
        <v>4.3499999999999996</v>
      </c>
      <c r="E115" s="274"/>
      <c r="F115" s="274"/>
      <c r="G115" s="274" t="s">
        <v>889</v>
      </c>
      <c r="H115" s="276">
        <v>361</v>
      </c>
      <c r="I115" s="24">
        <v>103003</v>
      </c>
      <c r="J115" s="277">
        <v>4.3499999999999996</v>
      </c>
      <c r="K115" s="276">
        <v>795</v>
      </c>
      <c r="L115" s="278">
        <v>3.3143591626882118</v>
      </c>
      <c r="M115" s="279">
        <v>146.04</v>
      </c>
      <c r="N115" s="277">
        <v>635.274</v>
      </c>
      <c r="O115" s="280" t="s">
        <v>888</v>
      </c>
      <c r="P115" s="279">
        <v>0</v>
      </c>
      <c r="Q115" s="281">
        <v>0</v>
      </c>
      <c r="R115" s="282" t="s">
        <v>889</v>
      </c>
      <c r="S115" s="274" t="s">
        <v>1073</v>
      </c>
      <c r="T115" s="44">
        <v>1</v>
      </c>
      <c r="U115" s="283">
        <v>55</v>
      </c>
      <c r="V115" s="284">
        <v>40</v>
      </c>
      <c r="W115" s="285">
        <v>10091</v>
      </c>
      <c r="X115" s="286">
        <v>2023</v>
      </c>
      <c r="Y115" s="287">
        <v>800</v>
      </c>
      <c r="Z115" s="287" t="s">
        <v>889</v>
      </c>
      <c r="AA115" s="286" t="s">
        <v>889</v>
      </c>
      <c r="AB115" s="287">
        <v>0</v>
      </c>
      <c r="AC115" s="287"/>
      <c r="AD115" s="288" t="s">
        <v>889</v>
      </c>
      <c r="AE115" s="289" t="s">
        <v>889</v>
      </c>
      <c r="AF115" s="279">
        <v>436</v>
      </c>
      <c r="AG115" s="282">
        <v>44545</v>
      </c>
      <c r="AH115" s="282" t="s">
        <v>889</v>
      </c>
      <c r="AI115" s="282">
        <v>44917</v>
      </c>
      <c r="AJ115" s="282" t="s">
        <v>889</v>
      </c>
      <c r="AK115" s="274"/>
    </row>
    <row r="116" spans="1:37" x14ac:dyDescent="0.3">
      <c r="A116" s="273">
        <v>14977</v>
      </c>
      <c r="B116" s="274" t="s">
        <v>1080</v>
      </c>
      <c r="C116" s="146" t="s">
        <v>263</v>
      </c>
      <c r="D116" s="275">
        <v>41</v>
      </c>
      <c r="E116" s="274"/>
      <c r="F116" s="274"/>
      <c r="G116" s="274" t="s">
        <v>889</v>
      </c>
      <c r="H116" s="276">
        <v>178</v>
      </c>
      <c r="I116" s="24">
        <v>103003</v>
      </c>
      <c r="J116" s="277">
        <v>41</v>
      </c>
      <c r="K116" s="276">
        <v>86</v>
      </c>
      <c r="L116" s="278">
        <v>22.029702970297031</v>
      </c>
      <c r="M116" s="279">
        <v>0</v>
      </c>
      <c r="N116" s="277">
        <v>0</v>
      </c>
      <c r="O116" s="280" t="s">
        <v>888</v>
      </c>
      <c r="P116" s="279">
        <v>0</v>
      </c>
      <c r="Q116" s="281">
        <v>0</v>
      </c>
      <c r="R116" s="282" t="s">
        <v>889</v>
      </c>
      <c r="S116" s="274" t="s">
        <v>1081</v>
      </c>
      <c r="T116" s="44">
        <v>1</v>
      </c>
      <c r="U116" s="283">
        <v>51</v>
      </c>
      <c r="V116" s="284">
        <v>37</v>
      </c>
      <c r="W116" s="285" t="s">
        <v>889</v>
      </c>
      <c r="X116" s="286" t="s">
        <v>889</v>
      </c>
      <c r="Y116" s="287">
        <v>0</v>
      </c>
      <c r="Z116" s="287" t="s">
        <v>889</v>
      </c>
      <c r="AA116" s="286" t="s">
        <v>889</v>
      </c>
      <c r="AB116" s="287">
        <v>0</v>
      </c>
      <c r="AC116" s="287"/>
      <c r="AD116" s="288" t="s">
        <v>889</v>
      </c>
      <c r="AE116" s="289" t="s">
        <v>889</v>
      </c>
      <c r="AF116" s="279">
        <v>32</v>
      </c>
      <c r="AG116" s="282">
        <v>45180</v>
      </c>
      <c r="AH116" s="282" t="s">
        <v>889</v>
      </c>
      <c r="AI116" s="282">
        <v>45160</v>
      </c>
      <c r="AJ116" s="282" t="s">
        <v>889</v>
      </c>
      <c r="AK116" s="274"/>
    </row>
    <row r="117" spans="1:37" x14ac:dyDescent="0.3">
      <c r="A117" s="273">
        <v>15051</v>
      </c>
      <c r="B117" s="274" t="s">
        <v>1082</v>
      </c>
      <c r="C117" s="146" t="s">
        <v>263</v>
      </c>
      <c r="D117" s="275">
        <v>9.8000000000000007</v>
      </c>
      <c r="E117" s="274"/>
      <c r="F117" s="274"/>
      <c r="G117" s="274" t="s">
        <v>889</v>
      </c>
      <c r="H117" s="276">
        <v>47</v>
      </c>
      <c r="I117" s="24">
        <v>103003</v>
      </c>
      <c r="J117" s="277">
        <v>9.8000000000000007</v>
      </c>
      <c r="K117" s="276">
        <v>4</v>
      </c>
      <c r="L117" s="278">
        <v>142.42424242424241</v>
      </c>
      <c r="M117" s="279">
        <v>0</v>
      </c>
      <c r="N117" s="277">
        <v>0</v>
      </c>
      <c r="O117" s="280" t="s">
        <v>888</v>
      </c>
      <c r="P117" s="279">
        <v>0</v>
      </c>
      <c r="Q117" s="281">
        <v>0</v>
      </c>
      <c r="R117" s="282" t="s">
        <v>889</v>
      </c>
      <c r="S117" s="274" t="s">
        <v>1003</v>
      </c>
      <c r="T117" s="44">
        <v>1</v>
      </c>
      <c r="U117" s="283">
        <v>61</v>
      </c>
      <c r="V117" s="284">
        <v>11</v>
      </c>
      <c r="W117" s="285" t="s">
        <v>889</v>
      </c>
      <c r="X117" s="286" t="s">
        <v>889</v>
      </c>
      <c r="Y117" s="287">
        <v>0</v>
      </c>
      <c r="Z117" s="287" t="s">
        <v>889</v>
      </c>
      <c r="AA117" s="286" t="s">
        <v>889</v>
      </c>
      <c r="AB117" s="287">
        <v>0</v>
      </c>
      <c r="AC117" s="287"/>
      <c r="AD117" s="288" t="s">
        <v>889</v>
      </c>
      <c r="AE117" s="289" t="s">
        <v>889</v>
      </c>
      <c r="AF117" s="279">
        <v>0</v>
      </c>
      <c r="AG117" s="282">
        <v>44312</v>
      </c>
      <c r="AH117" s="282" t="s">
        <v>889</v>
      </c>
      <c r="AI117" s="282">
        <v>44579</v>
      </c>
      <c r="AJ117" s="282" t="s">
        <v>889</v>
      </c>
      <c r="AK117" s="274"/>
    </row>
    <row r="118" spans="1:37" x14ac:dyDescent="0.3">
      <c r="A118" s="273">
        <v>15066</v>
      </c>
      <c r="B118" s="274" t="s">
        <v>1083</v>
      </c>
      <c r="C118" s="146" t="s">
        <v>263</v>
      </c>
      <c r="D118" s="275">
        <v>39</v>
      </c>
      <c r="E118" s="274"/>
      <c r="F118" s="274"/>
      <c r="G118" s="274" t="s">
        <v>889</v>
      </c>
      <c r="H118" s="276">
        <v>129</v>
      </c>
      <c r="I118" s="24">
        <v>103003</v>
      </c>
      <c r="J118" s="277">
        <v>39</v>
      </c>
      <c r="K118" s="276">
        <v>157</v>
      </c>
      <c r="L118" s="278">
        <v>10.678807947019866</v>
      </c>
      <c r="M118" s="279">
        <v>15.96</v>
      </c>
      <c r="N118" s="277">
        <v>622.44000000000005</v>
      </c>
      <c r="O118" s="280" t="s">
        <v>888</v>
      </c>
      <c r="P118" s="279">
        <v>0</v>
      </c>
      <c r="Q118" s="281">
        <v>0</v>
      </c>
      <c r="R118" s="282" t="s">
        <v>889</v>
      </c>
      <c r="S118" s="274" t="s">
        <v>1011</v>
      </c>
      <c r="T118" s="44">
        <v>1</v>
      </c>
      <c r="U118" s="283">
        <v>61</v>
      </c>
      <c r="V118" s="284">
        <v>15</v>
      </c>
      <c r="W118" s="285" t="s">
        <v>889</v>
      </c>
      <c r="X118" s="286" t="s">
        <v>889</v>
      </c>
      <c r="Y118" s="287">
        <v>0</v>
      </c>
      <c r="Z118" s="287" t="s">
        <v>889</v>
      </c>
      <c r="AA118" s="286" t="s">
        <v>889</v>
      </c>
      <c r="AB118" s="287">
        <v>0</v>
      </c>
      <c r="AC118" s="287"/>
      <c r="AD118" s="288" t="s">
        <v>889</v>
      </c>
      <c r="AE118" s="289" t="s">
        <v>889</v>
      </c>
      <c r="AF118" s="279">
        <v>48</v>
      </c>
      <c r="AG118" s="282">
        <v>44613</v>
      </c>
      <c r="AH118" s="282" t="s">
        <v>889</v>
      </c>
      <c r="AI118" s="282">
        <v>44607</v>
      </c>
      <c r="AJ118" s="282" t="s">
        <v>889</v>
      </c>
      <c r="AK118" s="274"/>
    </row>
    <row r="119" spans="1:37" x14ac:dyDescent="0.3">
      <c r="A119" s="273">
        <v>15085</v>
      </c>
      <c r="B119" s="274" t="s">
        <v>1084</v>
      </c>
      <c r="C119" s="146" t="s">
        <v>263</v>
      </c>
      <c r="D119" s="275">
        <v>0.14000000000000001</v>
      </c>
      <c r="E119" s="274"/>
      <c r="F119" s="274"/>
      <c r="G119" s="274" t="s">
        <v>889</v>
      </c>
      <c r="H119" s="276">
        <v>529</v>
      </c>
      <c r="I119" s="24">
        <v>103003</v>
      </c>
      <c r="J119" s="277">
        <v>0.14000000000000001</v>
      </c>
      <c r="K119" s="276">
        <v>86</v>
      </c>
      <c r="L119" s="278">
        <v>73.779637377963738</v>
      </c>
      <c r="M119" s="279">
        <v>0</v>
      </c>
      <c r="N119" s="277">
        <v>0</v>
      </c>
      <c r="O119" s="280" t="s">
        <v>888</v>
      </c>
      <c r="P119" s="279">
        <v>0</v>
      </c>
      <c r="Q119" s="281">
        <v>0</v>
      </c>
      <c r="R119" s="282" t="s">
        <v>889</v>
      </c>
      <c r="S119" s="274" t="s">
        <v>1011</v>
      </c>
      <c r="T119" s="44">
        <v>1</v>
      </c>
      <c r="U119" s="283">
        <v>61</v>
      </c>
      <c r="V119" s="284">
        <v>15</v>
      </c>
      <c r="W119" s="285" t="s">
        <v>889</v>
      </c>
      <c r="X119" s="286" t="s">
        <v>889</v>
      </c>
      <c r="Y119" s="287">
        <v>0</v>
      </c>
      <c r="Z119" s="287" t="s">
        <v>889</v>
      </c>
      <c r="AA119" s="286" t="s">
        <v>889</v>
      </c>
      <c r="AB119" s="287">
        <v>0</v>
      </c>
      <c r="AC119" s="287"/>
      <c r="AD119" s="288" t="s">
        <v>889</v>
      </c>
      <c r="AE119" s="289" t="s">
        <v>889</v>
      </c>
      <c r="AF119" s="279">
        <v>28</v>
      </c>
      <c r="AG119" s="282">
        <v>39752</v>
      </c>
      <c r="AH119" s="282" t="s">
        <v>889</v>
      </c>
      <c r="AI119" s="282">
        <v>42501</v>
      </c>
      <c r="AJ119" s="282" t="s">
        <v>889</v>
      </c>
      <c r="AK119" s="274"/>
    </row>
    <row r="120" spans="1:37" x14ac:dyDescent="0.3">
      <c r="A120" s="273">
        <v>15167</v>
      </c>
      <c r="B120" s="274" t="s">
        <v>1085</v>
      </c>
      <c r="C120" s="146" t="s">
        <v>263</v>
      </c>
      <c r="D120" s="275">
        <v>24.4</v>
      </c>
      <c r="E120" s="274"/>
      <c r="F120" s="274"/>
      <c r="G120" s="274" t="s">
        <v>889</v>
      </c>
      <c r="H120" s="276">
        <v>290</v>
      </c>
      <c r="I120" s="24">
        <v>103003</v>
      </c>
      <c r="J120" s="277">
        <v>24.4</v>
      </c>
      <c r="K120" s="276">
        <v>465</v>
      </c>
      <c r="L120" s="278">
        <v>7.4838709677419359</v>
      </c>
      <c r="M120" s="279">
        <v>0</v>
      </c>
      <c r="N120" s="277">
        <v>0</v>
      </c>
      <c r="O120" s="280" t="s">
        <v>888</v>
      </c>
      <c r="P120" s="279">
        <v>0</v>
      </c>
      <c r="Q120" s="281">
        <v>0</v>
      </c>
      <c r="R120" s="282" t="s">
        <v>889</v>
      </c>
      <c r="S120" s="274" t="s">
        <v>1086</v>
      </c>
      <c r="T120" s="44">
        <v>1</v>
      </c>
      <c r="U120" s="283">
        <v>55</v>
      </c>
      <c r="V120" s="284">
        <v>49</v>
      </c>
      <c r="W120" s="285">
        <v>2376</v>
      </c>
      <c r="X120" s="286">
        <v>2023</v>
      </c>
      <c r="Y120" s="287">
        <v>1100</v>
      </c>
      <c r="Z120" s="287" t="s">
        <v>889</v>
      </c>
      <c r="AA120" s="286" t="s">
        <v>889</v>
      </c>
      <c r="AB120" s="287">
        <v>0</v>
      </c>
      <c r="AC120" s="287"/>
      <c r="AD120" s="288" t="s">
        <v>889</v>
      </c>
      <c r="AE120" s="289" t="s">
        <v>889</v>
      </c>
      <c r="AF120" s="279">
        <v>156</v>
      </c>
      <c r="AG120" s="282">
        <v>45006</v>
      </c>
      <c r="AH120" s="282" t="s">
        <v>889</v>
      </c>
      <c r="AI120" s="282">
        <v>44917</v>
      </c>
      <c r="AJ120" s="282" t="s">
        <v>889</v>
      </c>
      <c r="AK120" s="274"/>
    </row>
    <row r="121" spans="1:37" x14ac:dyDescent="0.3">
      <c r="A121" s="273">
        <v>15267</v>
      </c>
      <c r="B121" s="274" t="s">
        <v>1087</v>
      </c>
      <c r="C121" s="146" t="s">
        <v>263</v>
      </c>
      <c r="D121" s="275">
        <v>2.38</v>
      </c>
      <c r="E121" s="274"/>
      <c r="F121" s="274"/>
      <c r="G121" s="274" t="s">
        <v>889</v>
      </c>
      <c r="H121" s="276">
        <v>23</v>
      </c>
      <c r="I121" s="24">
        <v>103003</v>
      </c>
      <c r="J121" s="277">
        <v>2.38</v>
      </c>
      <c r="K121" s="276">
        <v>30</v>
      </c>
      <c r="L121" s="278">
        <v>8.1272084805653702</v>
      </c>
      <c r="M121" s="279">
        <v>0</v>
      </c>
      <c r="N121" s="277">
        <v>0</v>
      </c>
      <c r="O121" s="280" t="s">
        <v>888</v>
      </c>
      <c r="P121" s="279">
        <v>0</v>
      </c>
      <c r="Q121" s="281">
        <v>0</v>
      </c>
      <c r="R121" s="282" t="s">
        <v>889</v>
      </c>
      <c r="S121" s="274" t="s">
        <v>1088</v>
      </c>
      <c r="T121" s="44">
        <v>1</v>
      </c>
      <c r="U121" s="283">
        <v>55</v>
      </c>
      <c r="V121" s="284">
        <v>34</v>
      </c>
      <c r="W121" s="285">
        <v>2956</v>
      </c>
      <c r="X121" s="286">
        <v>2023</v>
      </c>
      <c r="Y121" s="287">
        <v>20</v>
      </c>
      <c r="Z121" s="287" t="s">
        <v>889</v>
      </c>
      <c r="AA121" s="286" t="s">
        <v>889</v>
      </c>
      <c r="AB121" s="287">
        <v>0</v>
      </c>
      <c r="AC121" s="287"/>
      <c r="AD121" s="288" t="s">
        <v>889</v>
      </c>
      <c r="AE121" s="289" t="s">
        <v>889</v>
      </c>
      <c r="AF121" s="279">
        <v>12</v>
      </c>
      <c r="AG121" s="282">
        <v>43664</v>
      </c>
      <c r="AH121" s="282" t="s">
        <v>889</v>
      </c>
      <c r="AI121" s="282">
        <v>43623</v>
      </c>
      <c r="AJ121" s="282" t="s">
        <v>889</v>
      </c>
      <c r="AK121" s="274"/>
    </row>
    <row r="122" spans="1:37" x14ac:dyDescent="0.3">
      <c r="A122" s="273">
        <v>15271</v>
      </c>
      <c r="B122" s="274" t="s">
        <v>1089</v>
      </c>
      <c r="C122" s="146" t="s">
        <v>263</v>
      </c>
      <c r="D122" s="275">
        <v>17.16</v>
      </c>
      <c r="E122" s="274"/>
      <c r="F122" s="274"/>
      <c r="G122" s="274" t="s">
        <v>889</v>
      </c>
      <c r="H122" s="276">
        <v>263</v>
      </c>
      <c r="I122" s="24">
        <v>103003</v>
      </c>
      <c r="J122" s="277">
        <v>17.16</v>
      </c>
      <c r="K122" s="276"/>
      <c r="L122" s="278">
        <v>0</v>
      </c>
      <c r="M122" s="279">
        <v>0</v>
      </c>
      <c r="N122" s="277">
        <v>0</v>
      </c>
      <c r="O122" s="280" t="s">
        <v>888</v>
      </c>
      <c r="P122" s="279">
        <v>0</v>
      </c>
      <c r="Q122" s="281">
        <v>0</v>
      </c>
      <c r="R122" s="282" t="s">
        <v>889</v>
      </c>
      <c r="S122" s="274" t="s">
        <v>1088</v>
      </c>
      <c r="T122" s="44">
        <v>1</v>
      </c>
      <c r="U122" s="283">
        <v>55</v>
      </c>
      <c r="V122" s="284">
        <v>34</v>
      </c>
      <c r="W122" s="285" t="s">
        <v>889</v>
      </c>
      <c r="X122" s="286" t="s">
        <v>889</v>
      </c>
      <c r="Y122" s="287">
        <v>0</v>
      </c>
      <c r="Z122" s="287" t="s">
        <v>889</v>
      </c>
      <c r="AA122" s="286" t="s">
        <v>889</v>
      </c>
      <c r="AB122" s="287">
        <v>0</v>
      </c>
      <c r="AC122" s="287"/>
      <c r="AD122" s="288" t="s">
        <v>889</v>
      </c>
      <c r="AE122" s="289" t="s">
        <v>889</v>
      </c>
      <c r="AF122" s="279">
        <v>0</v>
      </c>
      <c r="AG122" s="282">
        <v>42086</v>
      </c>
      <c r="AH122" s="282" t="s">
        <v>889</v>
      </c>
      <c r="AI122" s="282">
        <v>43004</v>
      </c>
      <c r="AJ122" s="282" t="s">
        <v>889</v>
      </c>
      <c r="AK122" s="274"/>
    </row>
    <row r="123" spans="1:37" x14ac:dyDescent="0.3">
      <c r="A123" s="273">
        <v>15272</v>
      </c>
      <c r="B123" s="274" t="s">
        <v>1090</v>
      </c>
      <c r="C123" s="146" t="s">
        <v>263</v>
      </c>
      <c r="D123" s="275">
        <v>4.8</v>
      </c>
      <c r="E123" s="274"/>
      <c r="F123" s="274"/>
      <c r="G123" s="274" t="s">
        <v>889</v>
      </c>
      <c r="H123" s="276">
        <v>100</v>
      </c>
      <c r="I123" s="24">
        <v>103003</v>
      </c>
      <c r="J123" s="277">
        <v>4.8</v>
      </c>
      <c r="K123" s="276">
        <v>30</v>
      </c>
      <c r="L123" s="278">
        <v>40</v>
      </c>
      <c r="M123" s="279">
        <v>0</v>
      </c>
      <c r="N123" s="277">
        <v>0</v>
      </c>
      <c r="O123" s="280" t="s">
        <v>888</v>
      </c>
      <c r="P123" s="279">
        <v>0</v>
      </c>
      <c r="Q123" s="281">
        <v>0</v>
      </c>
      <c r="R123" s="282" t="s">
        <v>889</v>
      </c>
      <c r="S123" s="274" t="s">
        <v>1088</v>
      </c>
      <c r="T123" s="44">
        <v>1</v>
      </c>
      <c r="U123" s="283">
        <v>55</v>
      </c>
      <c r="V123" s="284">
        <v>34</v>
      </c>
      <c r="W123" s="285" t="s">
        <v>889</v>
      </c>
      <c r="X123" s="286" t="s">
        <v>889</v>
      </c>
      <c r="Y123" s="287">
        <v>0</v>
      </c>
      <c r="Z123" s="287" t="s">
        <v>889</v>
      </c>
      <c r="AA123" s="286" t="s">
        <v>889</v>
      </c>
      <c r="AB123" s="287">
        <v>0</v>
      </c>
      <c r="AC123" s="287"/>
      <c r="AD123" s="288" t="s">
        <v>889</v>
      </c>
      <c r="AE123" s="289" t="s">
        <v>889</v>
      </c>
      <c r="AF123" s="279">
        <v>10</v>
      </c>
      <c r="AG123" s="282">
        <v>44855</v>
      </c>
      <c r="AH123" s="282" t="s">
        <v>889</v>
      </c>
      <c r="AI123" s="282">
        <v>44845</v>
      </c>
      <c r="AJ123" s="282" t="s">
        <v>889</v>
      </c>
      <c r="AK123" s="274"/>
    </row>
    <row r="124" spans="1:37" x14ac:dyDescent="0.3">
      <c r="A124" s="273">
        <v>15299</v>
      </c>
      <c r="B124" s="274" t="s">
        <v>1091</v>
      </c>
      <c r="C124" s="146" t="s">
        <v>263</v>
      </c>
      <c r="D124" s="275">
        <v>4.2</v>
      </c>
      <c r="E124" s="274"/>
      <c r="F124" s="274"/>
      <c r="G124" s="274" t="s">
        <v>889</v>
      </c>
      <c r="H124" s="276">
        <v>0</v>
      </c>
      <c r="I124" s="24">
        <v>103003</v>
      </c>
      <c r="J124" s="277">
        <v>4.2</v>
      </c>
      <c r="K124" s="276">
        <v>270</v>
      </c>
      <c r="L124" s="278">
        <v>0</v>
      </c>
      <c r="M124" s="279">
        <v>232.04</v>
      </c>
      <c r="N124" s="277">
        <v>974.56799999999998</v>
      </c>
      <c r="O124" s="280" t="s">
        <v>888</v>
      </c>
      <c r="P124" s="279">
        <v>0</v>
      </c>
      <c r="Q124" s="281">
        <v>0</v>
      </c>
      <c r="R124" s="282" t="s">
        <v>889</v>
      </c>
      <c r="S124" s="274" t="s">
        <v>987</v>
      </c>
      <c r="T124" s="44">
        <v>1</v>
      </c>
      <c r="U124" s="283">
        <v>55</v>
      </c>
      <c r="V124" s="284">
        <v>7</v>
      </c>
      <c r="W124" s="285">
        <v>2442</v>
      </c>
      <c r="X124" s="286">
        <v>2023</v>
      </c>
      <c r="Y124" s="287">
        <v>100</v>
      </c>
      <c r="Z124" s="287" t="s">
        <v>889</v>
      </c>
      <c r="AA124" s="286" t="s">
        <v>889</v>
      </c>
      <c r="AB124" s="287">
        <v>0</v>
      </c>
      <c r="AC124" s="287"/>
      <c r="AD124" s="288" t="s">
        <v>889</v>
      </c>
      <c r="AE124" s="289" t="s">
        <v>889</v>
      </c>
      <c r="AF124" s="279">
        <v>110</v>
      </c>
      <c r="AG124" s="282">
        <v>44336</v>
      </c>
      <c r="AH124" s="282" t="s">
        <v>889</v>
      </c>
      <c r="AI124" s="282">
        <v>44722</v>
      </c>
      <c r="AJ124" s="282" t="s">
        <v>889</v>
      </c>
      <c r="AK124" s="274"/>
    </row>
    <row r="125" spans="1:37" x14ac:dyDescent="0.3">
      <c r="A125" s="273">
        <v>15436</v>
      </c>
      <c r="B125" s="274" t="s">
        <v>1092</v>
      </c>
      <c r="C125" s="146" t="s">
        <v>263</v>
      </c>
      <c r="D125" s="275">
        <v>45.8</v>
      </c>
      <c r="E125" s="274"/>
      <c r="F125" s="274"/>
      <c r="G125" s="274" t="s">
        <v>889</v>
      </c>
      <c r="H125" s="276">
        <v>497</v>
      </c>
      <c r="I125" s="24">
        <v>103003</v>
      </c>
      <c r="J125" s="277">
        <v>45.8</v>
      </c>
      <c r="K125" s="276">
        <v>667</v>
      </c>
      <c r="L125" s="278">
        <v>8.4237288135593218</v>
      </c>
      <c r="M125" s="279">
        <v>211</v>
      </c>
      <c r="N125" s="277">
        <v>9663.7999999999993</v>
      </c>
      <c r="O125" s="280" t="s">
        <v>888</v>
      </c>
      <c r="P125" s="279">
        <v>0</v>
      </c>
      <c r="Q125" s="281">
        <v>0</v>
      </c>
      <c r="R125" s="282" t="s">
        <v>889</v>
      </c>
      <c r="S125" s="274" t="s">
        <v>1093</v>
      </c>
      <c r="T125" s="44">
        <v>1</v>
      </c>
      <c r="U125" s="283">
        <v>51</v>
      </c>
      <c r="V125" s="284">
        <v>9</v>
      </c>
      <c r="W125" s="285" t="s">
        <v>889</v>
      </c>
      <c r="X125" s="286" t="s">
        <v>889</v>
      </c>
      <c r="Y125" s="287">
        <v>0</v>
      </c>
      <c r="Z125" s="287" t="s">
        <v>889</v>
      </c>
      <c r="AA125" s="286" t="s">
        <v>889</v>
      </c>
      <c r="AB125" s="287">
        <v>0</v>
      </c>
      <c r="AC125" s="287"/>
      <c r="AD125" s="288" t="s">
        <v>889</v>
      </c>
      <c r="AE125" s="289" t="s">
        <v>889</v>
      </c>
      <c r="AF125" s="279">
        <v>236</v>
      </c>
      <c r="AG125" s="282">
        <v>45208</v>
      </c>
      <c r="AH125" s="282" t="s">
        <v>889</v>
      </c>
      <c r="AI125" s="282">
        <v>45189</v>
      </c>
      <c r="AJ125" s="282" t="s">
        <v>889</v>
      </c>
      <c r="AK125" s="274"/>
    </row>
    <row r="126" spans="1:37" x14ac:dyDescent="0.3">
      <c r="A126" s="273">
        <v>15464</v>
      </c>
      <c r="B126" s="274" t="s">
        <v>1089</v>
      </c>
      <c r="C126" s="146" t="s">
        <v>263</v>
      </c>
      <c r="D126" s="275">
        <v>8.8000000000000007</v>
      </c>
      <c r="E126" s="274"/>
      <c r="F126" s="274"/>
      <c r="G126" s="274" t="s">
        <v>889</v>
      </c>
      <c r="H126" s="276">
        <v>185</v>
      </c>
      <c r="I126" s="24">
        <v>103003</v>
      </c>
      <c r="J126" s="277">
        <v>8.8000000000000007</v>
      </c>
      <c r="K126" s="276"/>
      <c r="L126" s="278">
        <v>2312.5</v>
      </c>
      <c r="M126" s="279">
        <v>0</v>
      </c>
      <c r="N126" s="277">
        <v>0</v>
      </c>
      <c r="O126" s="280" t="s">
        <v>888</v>
      </c>
      <c r="P126" s="279">
        <v>0</v>
      </c>
      <c r="Q126" s="281">
        <v>0</v>
      </c>
      <c r="R126" s="282" t="s">
        <v>889</v>
      </c>
      <c r="S126" s="274" t="s">
        <v>1088</v>
      </c>
      <c r="T126" s="44">
        <v>1</v>
      </c>
      <c r="U126" s="283">
        <v>55</v>
      </c>
      <c r="V126" s="284">
        <v>34</v>
      </c>
      <c r="W126" s="285" t="s">
        <v>889</v>
      </c>
      <c r="X126" s="286" t="s">
        <v>889</v>
      </c>
      <c r="Y126" s="287">
        <v>0</v>
      </c>
      <c r="Z126" s="287" t="s">
        <v>889</v>
      </c>
      <c r="AA126" s="286" t="s">
        <v>889</v>
      </c>
      <c r="AB126" s="287">
        <v>0</v>
      </c>
      <c r="AC126" s="287"/>
      <c r="AD126" s="288" t="s">
        <v>889</v>
      </c>
      <c r="AE126" s="289" t="s">
        <v>889</v>
      </c>
      <c r="AF126" s="279">
        <v>0</v>
      </c>
      <c r="AG126" s="282">
        <v>42086</v>
      </c>
      <c r="AH126" s="282" t="s">
        <v>889</v>
      </c>
      <c r="AI126" s="282">
        <v>42031</v>
      </c>
      <c r="AJ126" s="282" t="s">
        <v>889</v>
      </c>
      <c r="AK126" s="274"/>
    </row>
    <row r="127" spans="1:37" x14ac:dyDescent="0.3">
      <c r="A127" s="273">
        <v>15465</v>
      </c>
      <c r="B127" s="274" t="s">
        <v>1094</v>
      </c>
      <c r="C127" s="146" t="s">
        <v>263</v>
      </c>
      <c r="D127" s="275">
        <v>33.25</v>
      </c>
      <c r="E127" s="274"/>
      <c r="F127" s="274"/>
      <c r="G127" s="274" t="s">
        <v>889</v>
      </c>
      <c r="H127" s="276">
        <v>135</v>
      </c>
      <c r="I127" s="24">
        <v>103003</v>
      </c>
      <c r="J127" s="277">
        <v>33.25</v>
      </c>
      <c r="K127" s="276">
        <v>30</v>
      </c>
      <c r="L127" s="278">
        <v>54</v>
      </c>
      <c r="M127" s="279">
        <v>0</v>
      </c>
      <c r="N127" s="277">
        <v>0</v>
      </c>
      <c r="O127" s="280" t="s">
        <v>888</v>
      </c>
      <c r="P127" s="279">
        <v>0</v>
      </c>
      <c r="Q127" s="281">
        <v>0</v>
      </c>
      <c r="R127" s="282" t="s">
        <v>889</v>
      </c>
      <c r="S127" s="274" t="s">
        <v>1088</v>
      </c>
      <c r="T127" s="44">
        <v>1</v>
      </c>
      <c r="U127" s="283">
        <v>55</v>
      </c>
      <c r="V127" s="284">
        <v>34</v>
      </c>
      <c r="W127" s="285" t="s">
        <v>889</v>
      </c>
      <c r="X127" s="286" t="s">
        <v>889</v>
      </c>
      <c r="Y127" s="287">
        <v>0</v>
      </c>
      <c r="Z127" s="287" t="s">
        <v>889</v>
      </c>
      <c r="AA127" s="286" t="s">
        <v>889</v>
      </c>
      <c r="AB127" s="287">
        <v>0</v>
      </c>
      <c r="AC127" s="287"/>
      <c r="AD127" s="288" t="s">
        <v>889</v>
      </c>
      <c r="AE127" s="289" t="s">
        <v>889</v>
      </c>
      <c r="AF127" s="279">
        <v>10</v>
      </c>
      <c r="AG127" s="282">
        <v>42086</v>
      </c>
      <c r="AH127" s="282" t="s">
        <v>889</v>
      </c>
      <c r="AI127" s="282">
        <v>43584</v>
      </c>
      <c r="AJ127" s="282" t="s">
        <v>889</v>
      </c>
      <c r="AK127" s="274"/>
    </row>
    <row r="128" spans="1:37" x14ac:dyDescent="0.3">
      <c r="A128" s="273">
        <v>15466</v>
      </c>
      <c r="B128" s="274" t="s">
        <v>1095</v>
      </c>
      <c r="C128" s="146" t="s">
        <v>263</v>
      </c>
      <c r="D128" s="275">
        <v>2.16</v>
      </c>
      <c r="E128" s="274"/>
      <c r="F128" s="274"/>
      <c r="G128" s="274" t="s">
        <v>889</v>
      </c>
      <c r="H128" s="276">
        <v>192</v>
      </c>
      <c r="I128" s="24">
        <v>103003</v>
      </c>
      <c r="J128" s="277">
        <v>2.16</v>
      </c>
      <c r="K128" s="276">
        <v>39</v>
      </c>
      <c r="L128" s="278">
        <v>59.076923076923073</v>
      </c>
      <c r="M128" s="279">
        <v>0</v>
      </c>
      <c r="N128" s="277">
        <v>0</v>
      </c>
      <c r="O128" s="280" t="s">
        <v>888</v>
      </c>
      <c r="P128" s="279">
        <v>0</v>
      </c>
      <c r="Q128" s="281">
        <v>0</v>
      </c>
      <c r="R128" s="282" t="s">
        <v>889</v>
      </c>
      <c r="S128" s="274" t="s">
        <v>1088</v>
      </c>
      <c r="T128" s="44">
        <v>1</v>
      </c>
      <c r="U128" s="283">
        <v>55</v>
      </c>
      <c r="V128" s="284">
        <v>34</v>
      </c>
      <c r="W128" s="285" t="s">
        <v>889</v>
      </c>
      <c r="X128" s="286" t="s">
        <v>889</v>
      </c>
      <c r="Y128" s="287">
        <v>0</v>
      </c>
      <c r="Z128" s="287" t="s">
        <v>889</v>
      </c>
      <c r="AA128" s="286" t="s">
        <v>889</v>
      </c>
      <c r="AB128" s="287">
        <v>0</v>
      </c>
      <c r="AC128" s="287"/>
      <c r="AD128" s="288" t="s">
        <v>889</v>
      </c>
      <c r="AE128" s="289" t="s">
        <v>889</v>
      </c>
      <c r="AF128" s="279">
        <v>14</v>
      </c>
      <c r="AG128" s="282">
        <v>42076</v>
      </c>
      <c r="AH128" s="282" t="s">
        <v>889</v>
      </c>
      <c r="AI128" s="282">
        <v>42111</v>
      </c>
      <c r="AJ128" s="282" t="s">
        <v>889</v>
      </c>
      <c r="AK128" s="274"/>
    </row>
    <row r="129" spans="1:37" x14ac:dyDescent="0.3">
      <c r="A129" s="273">
        <v>15467</v>
      </c>
      <c r="B129" s="274" t="s">
        <v>1096</v>
      </c>
      <c r="C129" s="146" t="s">
        <v>263</v>
      </c>
      <c r="D129" s="275">
        <v>3.8</v>
      </c>
      <c r="E129" s="274"/>
      <c r="F129" s="274"/>
      <c r="G129" s="274" t="s">
        <v>889</v>
      </c>
      <c r="H129" s="276">
        <v>37</v>
      </c>
      <c r="I129" s="24">
        <v>103003</v>
      </c>
      <c r="J129" s="277">
        <v>3.8</v>
      </c>
      <c r="K129" s="276">
        <v>26</v>
      </c>
      <c r="L129" s="278">
        <v>17.05069124423963</v>
      </c>
      <c r="M129" s="279">
        <v>0</v>
      </c>
      <c r="N129" s="277">
        <v>0</v>
      </c>
      <c r="O129" s="280" t="s">
        <v>888</v>
      </c>
      <c r="P129" s="279">
        <v>0</v>
      </c>
      <c r="Q129" s="281">
        <v>0</v>
      </c>
      <c r="R129" s="282" t="s">
        <v>889</v>
      </c>
      <c r="S129" s="274" t="s">
        <v>1088</v>
      </c>
      <c r="T129" s="44">
        <v>1</v>
      </c>
      <c r="U129" s="283">
        <v>55</v>
      </c>
      <c r="V129" s="284">
        <v>34</v>
      </c>
      <c r="W129" s="285" t="s">
        <v>889</v>
      </c>
      <c r="X129" s="286" t="s">
        <v>889</v>
      </c>
      <c r="Y129" s="287">
        <v>0</v>
      </c>
      <c r="Z129" s="287" t="s">
        <v>889</v>
      </c>
      <c r="AA129" s="286" t="s">
        <v>889</v>
      </c>
      <c r="AB129" s="287">
        <v>0</v>
      </c>
      <c r="AC129" s="287"/>
      <c r="AD129" s="288" t="s">
        <v>889</v>
      </c>
      <c r="AE129" s="289" t="s">
        <v>889</v>
      </c>
      <c r="AF129" s="279">
        <v>8</v>
      </c>
      <c r="AG129" s="282">
        <v>42076</v>
      </c>
      <c r="AH129" s="282" t="s">
        <v>889</v>
      </c>
      <c r="AI129" s="282">
        <v>43004</v>
      </c>
      <c r="AJ129" s="282" t="s">
        <v>889</v>
      </c>
      <c r="AK129" s="274"/>
    </row>
    <row r="130" spans="1:37" x14ac:dyDescent="0.3">
      <c r="A130" s="273">
        <v>15469</v>
      </c>
      <c r="B130" s="274" t="s">
        <v>1097</v>
      </c>
      <c r="C130" s="146" t="s">
        <v>263</v>
      </c>
      <c r="D130" s="275">
        <v>6.12</v>
      </c>
      <c r="E130" s="274"/>
      <c r="F130" s="274"/>
      <c r="G130" s="274" t="s">
        <v>889</v>
      </c>
      <c r="H130" s="276">
        <v>75</v>
      </c>
      <c r="I130" s="24">
        <v>103003</v>
      </c>
      <c r="J130" s="277">
        <v>6.12</v>
      </c>
      <c r="K130" s="276">
        <v>44</v>
      </c>
      <c r="L130" s="278">
        <v>20</v>
      </c>
      <c r="M130" s="279">
        <v>0</v>
      </c>
      <c r="N130" s="277">
        <v>0</v>
      </c>
      <c r="O130" s="280" t="s">
        <v>888</v>
      </c>
      <c r="P130" s="279">
        <v>0</v>
      </c>
      <c r="Q130" s="281">
        <v>0</v>
      </c>
      <c r="R130" s="282" t="s">
        <v>889</v>
      </c>
      <c r="S130" s="274" t="s">
        <v>1088</v>
      </c>
      <c r="T130" s="44">
        <v>1</v>
      </c>
      <c r="U130" s="283">
        <v>55</v>
      </c>
      <c r="V130" s="284">
        <v>34</v>
      </c>
      <c r="W130" s="285" t="s">
        <v>889</v>
      </c>
      <c r="X130" s="286" t="s">
        <v>889</v>
      </c>
      <c r="Y130" s="287">
        <v>0</v>
      </c>
      <c r="Z130" s="287" t="s">
        <v>889</v>
      </c>
      <c r="AA130" s="286" t="s">
        <v>889</v>
      </c>
      <c r="AB130" s="287">
        <v>0</v>
      </c>
      <c r="AC130" s="287"/>
      <c r="AD130" s="288" t="s">
        <v>889</v>
      </c>
      <c r="AE130" s="289" t="s">
        <v>889</v>
      </c>
      <c r="AF130" s="279">
        <v>16</v>
      </c>
      <c r="AG130" s="282">
        <v>44068</v>
      </c>
      <c r="AH130" s="282" t="s">
        <v>889</v>
      </c>
      <c r="AI130" s="282">
        <v>44028</v>
      </c>
      <c r="AJ130" s="282" t="s">
        <v>889</v>
      </c>
      <c r="AK130" s="274"/>
    </row>
    <row r="131" spans="1:37" x14ac:dyDescent="0.3">
      <c r="A131" s="273">
        <v>15473</v>
      </c>
      <c r="B131" s="274" t="s">
        <v>1098</v>
      </c>
      <c r="C131" s="146" t="s">
        <v>263</v>
      </c>
      <c r="D131" s="275">
        <v>17</v>
      </c>
      <c r="E131" s="274"/>
      <c r="F131" s="274"/>
      <c r="G131" s="274" t="s">
        <v>889</v>
      </c>
      <c r="H131" s="276">
        <v>74</v>
      </c>
      <c r="I131" s="24">
        <v>103003</v>
      </c>
      <c r="J131" s="277">
        <v>17</v>
      </c>
      <c r="K131" s="276">
        <v>24</v>
      </c>
      <c r="L131" s="278">
        <v>37</v>
      </c>
      <c r="M131" s="279">
        <v>0</v>
      </c>
      <c r="N131" s="277">
        <v>0</v>
      </c>
      <c r="O131" s="280" t="s">
        <v>888</v>
      </c>
      <c r="P131" s="279">
        <v>0</v>
      </c>
      <c r="Q131" s="281">
        <v>0</v>
      </c>
      <c r="R131" s="282" t="s">
        <v>889</v>
      </c>
      <c r="S131" s="274" t="s">
        <v>1088</v>
      </c>
      <c r="T131" s="44">
        <v>1</v>
      </c>
      <c r="U131" s="283">
        <v>55</v>
      </c>
      <c r="V131" s="284">
        <v>34</v>
      </c>
      <c r="W131" s="285" t="s">
        <v>889</v>
      </c>
      <c r="X131" s="286" t="s">
        <v>889</v>
      </c>
      <c r="Y131" s="287">
        <v>0</v>
      </c>
      <c r="Z131" s="287" t="s">
        <v>889</v>
      </c>
      <c r="AA131" s="286" t="s">
        <v>889</v>
      </c>
      <c r="AB131" s="287">
        <v>0</v>
      </c>
      <c r="AC131" s="287"/>
      <c r="AD131" s="288" t="s">
        <v>889</v>
      </c>
      <c r="AE131" s="289" t="s">
        <v>889</v>
      </c>
      <c r="AF131" s="279">
        <v>0</v>
      </c>
      <c r="AG131" s="282">
        <v>42076</v>
      </c>
      <c r="AH131" s="282" t="s">
        <v>889</v>
      </c>
      <c r="AI131" s="282">
        <v>44146</v>
      </c>
      <c r="AJ131" s="282" t="s">
        <v>889</v>
      </c>
      <c r="AK131" s="274"/>
    </row>
    <row r="132" spans="1:37" x14ac:dyDescent="0.3">
      <c r="A132" s="273">
        <v>15475</v>
      </c>
      <c r="B132" s="274" t="s">
        <v>1099</v>
      </c>
      <c r="C132" s="146" t="s">
        <v>263</v>
      </c>
      <c r="D132" s="275">
        <v>23.5</v>
      </c>
      <c r="E132" s="274"/>
      <c r="F132" s="274"/>
      <c r="G132" s="274" t="s">
        <v>889</v>
      </c>
      <c r="H132" s="276">
        <v>132</v>
      </c>
      <c r="I132" s="24">
        <v>103003</v>
      </c>
      <c r="J132" s="277">
        <v>23.5</v>
      </c>
      <c r="K132" s="276">
        <v>30</v>
      </c>
      <c r="L132" s="278">
        <v>46.64310954063604</v>
      </c>
      <c r="M132" s="279">
        <v>0</v>
      </c>
      <c r="N132" s="277">
        <v>0</v>
      </c>
      <c r="O132" s="280" t="s">
        <v>888</v>
      </c>
      <c r="P132" s="279">
        <v>0</v>
      </c>
      <c r="Q132" s="281">
        <v>0</v>
      </c>
      <c r="R132" s="282" t="s">
        <v>889</v>
      </c>
      <c r="S132" s="274" t="s">
        <v>1088</v>
      </c>
      <c r="T132" s="44">
        <v>1</v>
      </c>
      <c r="U132" s="283">
        <v>55</v>
      </c>
      <c r="V132" s="284">
        <v>34</v>
      </c>
      <c r="W132" s="285" t="s">
        <v>889</v>
      </c>
      <c r="X132" s="286" t="s">
        <v>889</v>
      </c>
      <c r="Y132" s="287">
        <v>0</v>
      </c>
      <c r="Z132" s="287" t="s">
        <v>889</v>
      </c>
      <c r="AA132" s="286" t="s">
        <v>889</v>
      </c>
      <c r="AB132" s="287">
        <v>0</v>
      </c>
      <c r="AC132" s="287"/>
      <c r="AD132" s="288" t="s">
        <v>889</v>
      </c>
      <c r="AE132" s="289" t="s">
        <v>889</v>
      </c>
      <c r="AF132" s="279">
        <v>0</v>
      </c>
      <c r="AG132" s="282">
        <v>42076</v>
      </c>
      <c r="AH132" s="282" t="s">
        <v>889</v>
      </c>
      <c r="AI132" s="282">
        <v>44155</v>
      </c>
      <c r="AJ132" s="282" t="s">
        <v>889</v>
      </c>
      <c r="AK132" s="274"/>
    </row>
    <row r="133" spans="1:37" x14ac:dyDescent="0.3">
      <c r="A133" s="273">
        <v>15530</v>
      </c>
      <c r="B133" s="274" t="s">
        <v>1100</v>
      </c>
      <c r="C133" s="146" t="s">
        <v>380</v>
      </c>
      <c r="D133" s="275">
        <v>7.0000000000000007E-2</v>
      </c>
      <c r="E133" s="274"/>
      <c r="F133" s="274"/>
      <c r="G133" s="274" t="s">
        <v>889</v>
      </c>
      <c r="H133" s="276">
        <v>22838</v>
      </c>
      <c r="I133" s="24">
        <v>103003</v>
      </c>
      <c r="J133" s="277">
        <v>7.0000000000000007E-2</v>
      </c>
      <c r="K133" s="276">
        <v>15300</v>
      </c>
      <c r="L133" s="278">
        <v>11.063153662447379</v>
      </c>
      <c r="M133" s="279">
        <v>1933.96</v>
      </c>
      <c r="N133" s="277">
        <v>135.37719999999999</v>
      </c>
      <c r="O133" s="280" t="s">
        <v>888</v>
      </c>
      <c r="P133" s="279">
        <v>0</v>
      </c>
      <c r="Q133" s="281">
        <v>0</v>
      </c>
      <c r="R133" s="282" t="s">
        <v>889</v>
      </c>
      <c r="S133" s="274" t="s">
        <v>1101</v>
      </c>
      <c r="T133" s="44">
        <v>1</v>
      </c>
      <c r="U133" s="283">
        <v>45</v>
      </c>
      <c r="V133" s="284">
        <v>13</v>
      </c>
      <c r="W133" s="285" t="s">
        <v>889</v>
      </c>
      <c r="X133" s="286" t="s">
        <v>889</v>
      </c>
      <c r="Y133" s="287">
        <v>0</v>
      </c>
      <c r="Z133" s="287" t="s">
        <v>889</v>
      </c>
      <c r="AA133" s="286" t="s">
        <v>889</v>
      </c>
      <c r="AB133" s="287">
        <v>0</v>
      </c>
      <c r="AC133" s="287"/>
      <c r="AD133" s="288" t="s">
        <v>889</v>
      </c>
      <c r="AE133" s="289" t="s">
        <v>889</v>
      </c>
      <c r="AF133" s="279">
        <v>8258</v>
      </c>
      <c r="AG133" s="282">
        <v>44204</v>
      </c>
      <c r="AH133" s="282" t="s">
        <v>889</v>
      </c>
      <c r="AI133" s="282">
        <v>44169</v>
      </c>
      <c r="AJ133" s="282" t="s">
        <v>889</v>
      </c>
      <c r="AK133" s="274"/>
    </row>
    <row r="134" spans="1:37" x14ac:dyDescent="0.3">
      <c r="A134" s="273">
        <v>15648</v>
      </c>
      <c r="B134" s="274" t="s">
        <v>1102</v>
      </c>
      <c r="C134" s="146" t="s">
        <v>263</v>
      </c>
      <c r="D134" s="275">
        <v>3.24</v>
      </c>
      <c r="E134" s="274"/>
      <c r="F134" s="274"/>
      <c r="G134" s="274" t="s">
        <v>889</v>
      </c>
      <c r="H134" s="276">
        <v>36</v>
      </c>
      <c r="I134" s="24">
        <v>103003</v>
      </c>
      <c r="J134" s="277">
        <v>3.24</v>
      </c>
      <c r="K134" s="276">
        <v>22</v>
      </c>
      <c r="L134" s="278">
        <v>19.672131147540984</v>
      </c>
      <c r="M134" s="279">
        <v>0</v>
      </c>
      <c r="N134" s="277">
        <v>0</v>
      </c>
      <c r="O134" s="280" t="s">
        <v>888</v>
      </c>
      <c r="P134" s="279">
        <v>0</v>
      </c>
      <c r="Q134" s="281">
        <v>0</v>
      </c>
      <c r="R134" s="282" t="s">
        <v>889</v>
      </c>
      <c r="S134" s="274" t="s">
        <v>1103</v>
      </c>
      <c r="T134" s="44">
        <v>1</v>
      </c>
      <c r="U134" s="283">
        <v>55</v>
      </c>
      <c r="V134" s="284">
        <v>35</v>
      </c>
      <c r="W134" s="285">
        <v>2442</v>
      </c>
      <c r="X134" s="286">
        <v>2023</v>
      </c>
      <c r="Y134" s="287">
        <v>10</v>
      </c>
      <c r="Z134" s="287" t="s">
        <v>889</v>
      </c>
      <c r="AA134" s="286" t="s">
        <v>889</v>
      </c>
      <c r="AB134" s="287">
        <v>0</v>
      </c>
      <c r="AC134" s="287"/>
      <c r="AD134" s="288" t="s">
        <v>889</v>
      </c>
      <c r="AE134" s="289" t="s">
        <v>889</v>
      </c>
      <c r="AF134" s="279">
        <v>8</v>
      </c>
      <c r="AG134" s="282">
        <v>43916</v>
      </c>
      <c r="AH134" s="282" t="s">
        <v>889</v>
      </c>
      <c r="AI134" s="282">
        <v>43865</v>
      </c>
      <c r="AJ134" s="282" t="s">
        <v>889</v>
      </c>
      <c r="AK134" s="274"/>
    </row>
    <row r="135" spans="1:37" x14ac:dyDescent="0.3">
      <c r="A135" s="273">
        <v>15656</v>
      </c>
      <c r="B135" s="274" t="s">
        <v>1104</v>
      </c>
      <c r="C135" s="146" t="s">
        <v>263</v>
      </c>
      <c r="D135" s="275">
        <v>5.75</v>
      </c>
      <c r="E135" s="274"/>
      <c r="F135" s="274"/>
      <c r="G135" s="274" t="s">
        <v>889</v>
      </c>
      <c r="H135" s="276">
        <v>136</v>
      </c>
      <c r="I135" s="24">
        <v>103003</v>
      </c>
      <c r="J135" s="277">
        <v>5.75</v>
      </c>
      <c r="K135" s="276">
        <v>15</v>
      </c>
      <c r="L135" s="278">
        <v>108.8</v>
      </c>
      <c r="M135" s="279">
        <v>0</v>
      </c>
      <c r="N135" s="277">
        <v>0</v>
      </c>
      <c r="O135" s="280" t="s">
        <v>888</v>
      </c>
      <c r="P135" s="279">
        <v>0</v>
      </c>
      <c r="Q135" s="281">
        <v>0</v>
      </c>
      <c r="R135" s="282" t="s">
        <v>889</v>
      </c>
      <c r="S135" s="274" t="s">
        <v>1103</v>
      </c>
      <c r="T135" s="44">
        <v>1</v>
      </c>
      <c r="U135" s="283">
        <v>55</v>
      </c>
      <c r="V135" s="284">
        <v>35</v>
      </c>
      <c r="W135" s="285" t="s">
        <v>889</v>
      </c>
      <c r="X135" s="286" t="s">
        <v>889</v>
      </c>
      <c r="Y135" s="287">
        <v>0</v>
      </c>
      <c r="Z135" s="287" t="s">
        <v>889</v>
      </c>
      <c r="AA135" s="286" t="s">
        <v>889</v>
      </c>
      <c r="AB135" s="287">
        <v>0</v>
      </c>
      <c r="AC135" s="287"/>
      <c r="AD135" s="288" t="s">
        <v>889</v>
      </c>
      <c r="AE135" s="289" t="s">
        <v>889</v>
      </c>
      <c r="AF135" s="279">
        <v>6</v>
      </c>
      <c r="AG135" s="282">
        <v>43966</v>
      </c>
      <c r="AH135" s="282" t="s">
        <v>889</v>
      </c>
      <c r="AI135" s="282">
        <v>43880</v>
      </c>
      <c r="AJ135" s="282" t="s">
        <v>889</v>
      </c>
      <c r="AK135" s="274"/>
    </row>
    <row r="136" spans="1:37" x14ac:dyDescent="0.3">
      <c r="A136" s="273">
        <v>15664</v>
      </c>
      <c r="B136" s="274" t="s">
        <v>1105</v>
      </c>
      <c r="C136" s="146" t="s">
        <v>263</v>
      </c>
      <c r="D136" s="275">
        <v>1.6</v>
      </c>
      <c r="E136" s="274"/>
      <c r="F136" s="274"/>
      <c r="G136" s="274" t="s">
        <v>889</v>
      </c>
      <c r="H136" s="276">
        <v>54</v>
      </c>
      <c r="I136" s="24">
        <v>103003</v>
      </c>
      <c r="J136" s="277">
        <v>1.6</v>
      </c>
      <c r="K136" s="276">
        <v>9</v>
      </c>
      <c r="L136" s="278">
        <v>72</v>
      </c>
      <c r="M136" s="279">
        <v>0</v>
      </c>
      <c r="N136" s="277">
        <v>0</v>
      </c>
      <c r="O136" s="280" t="s">
        <v>888</v>
      </c>
      <c r="P136" s="279">
        <v>0</v>
      </c>
      <c r="Q136" s="281">
        <v>0</v>
      </c>
      <c r="R136" s="282" t="s">
        <v>889</v>
      </c>
      <c r="S136" s="274" t="s">
        <v>1103</v>
      </c>
      <c r="T136" s="44">
        <v>1</v>
      </c>
      <c r="U136" s="283">
        <v>55</v>
      </c>
      <c r="V136" s="284">
        <v>35</v>
      </c>
      <c r="W136" s="285" t="s">
        <v>889</v>
      </c>
      <c r="X136" s="286" t="s">
        <v>889</v>
      </c>
      <c r="Y136" s="287">
        <v>0</v>
      </c>
      <c r="Z136" s="287" t="s">
        <v>889</v>
      </c>
      <c r="AA136" s="286" t="s">
        <v>889</v>
      </c>
      <c r="AB136" s="287">
        <v>0</v>
      </c>
      <c r="AC136" s="287"/>
      <c r="AD136" s="288" t="s">
        <v>889</v>
      </c>
      <c r="AE136" s="289" t="s">
        <v>889</v>
      </c>
      <c r="AF136" s="279">
        <v>4</v>
      </c>
      <c r="AG136" s="282">
        <v>43978</v>
      </c>
      <c r="AH136" s="282" t="s">
        <v>889</v>
      </c>
      <c r="AI136" s="282">
        <v>44516</v>
      </c>
      <c r="AJ136" s="282" t="s">
        <v>889</v>
      </c>
      <c r="AK136" s="274"/>
    </row>
    <row r="137" spans="1:37" x14ac:dyDescent="0.3">
      <c r="A137" s="273">
        <v>15668</v>
      </c>
      <c r="B137" s="274" t="s">
        <v>1106</v>
      </c>
      <c r="C137" s="146" t="s">
        <v>263</v>
      </c>
      <c r="D137" s="275">
        <v>10.14</v>
      </c>
      <c r="E137" s="274"/>
      <c r="F137" s="274"/>
      <c r="G137" s="274" t="s">
        <v>889</v>
      </c>
      <c r="H137" s="276">
        <v>239</v>
      </c>
      <c r="I137" s="24">
        <v>103003</v>
      </c>
      <c r="J137" s="277">
        <v>10.14</v>
      </c>
      <c r="K137" s="276">
        <v>15</v>
      </c>
      <c r="L137" s="278">
        <v>136.57142857142856</v>
      </c>
      <c r="M137" s="279">
        <v>0</v>
      </c>
      <c r="N137" s="277">
        <v>0</v>
      </c>
      <c r="O137" s="280" t="s">
        <v>888</v>
      </c>
      <c r="P137" s="279">
        <v>0</v>
      </c>
      <c r="Q137" s="281">
        <v>0</v>
      </c>
      <c r="R137" s="282" t="s">
        <v>889</v>
      </c>
      <c r="S137" s="274" t="s">
        <v>1103</v>
      </c>
      <c r="T137" s="44">
        <v>1</v>
      </c>
      <c r="U137" s="283">
        <v>55</v>
      </c>
      <c r="V137" s="284">
        <v>35</v>
      </c>
      <c r="W137" s="285" t="s">
        <v>889</v>
      </c>
      <c r="X137" s="286" t="s">
        <v>889</v>
      </c>
      <c r="Y137" s="287">
        <v>0</v>
      </c>
      <c r="Z137" s="287" t="s">
        <v>889</v>
      </c>
      <c r="AA137" s="286" t="s">
        <v>889</v>
      </c>
      <c r="AB137" s="287">
        <v>0</v>
      </c>
      <c r="AC137" s="287"/>
      <c r="AD137" s="288" t="s">
        <v>889</v>
      </c>
      <c r="AE137" s="289" t="s">
        <v>889</v>
      </c>
      <c r="AF137" s="279">
        <v>8</v>
      </c>
      <c r="AG137" s="282">
        <v>44168</v>
      </c>
      <c r="AH137" s="282" t="s">
        <v>889</v>
      </c>
      <c r="AI137" s="282">
        <v>44740</v>
      </c>
      <c r="AJ137" s="282" t="s">
        <v>889</v>
      </c>
      <c r="AK137" s="274"/>
    </row>
    <row r="138" spans="1:37" x14ac:dyDescent="0.3">
      <c r="A138" s="273">
        <v>15672</v>
      </c>
      <c r="B138" s="274" t="s">
        <v>1107</v>
      </c>
      <c r="C138" s="146" t="s">
        <v>263</v>
      </c>
      <c r="D138" s="275">
        <v>17.399999999999999</v>
      </c>
      <c r="E138" s="274"/>
      <c r="F138" s="274"/>
      <c r="G138" s="274" t="s">
        <v>889</v>
      </c>
      <c r="H138" s="276">
        <v>0</v>
      </c>
      <c r="I138" s="24">
        <v>103003</v>
      </c>
      <c r="J138" s="277">
        <v>17.399999999999999</v>
      </c>
      <c r="K138" s="276">
        <v>36</v>
      </c>
      <c r="L138" s="278">
        <v>0</v>
      </c>
      <c r="M138" s="279">
        <v>0</v>
      </c>
      <c r="N138" s="277">
        <v>0</v>
      </c>
      <c r="O138" s="280" t="s">
        <v>888</v>
      </c>
      <c r="P138" s="279">
        <v>0</v>
      </c>
      <c r="Q138" s="281">
        <v>0</v>
      </c>
      <c r="R138" s="282" t="s">
        <v>889</v>
      </c>
      <c r="S138" s="274" t="s">
        <v>1103</v>
      </c>
      <c r="T138" s="44">
        <v>1</v>
      </c>
      <c r="U138" s="283">
        <v>55</v>
      </c>
      <c r="V138" s="284">
        <v>35</v>
      </c>
      <c r="W138" s="285">
        <v>2235</v>
      </c>
      <c r="X138" s="286">
        <v>2023</v>
      </c>
      <c r="Y138" s="287">
        <v>500</v>
      </c>
      <c r="Z138" s="287" t="s">
        <v>889</v>
      </c>
      <c r="AA138" s="286" t="s">
        <v>889</v>
      </c>
      <c r="AB138" s="287">
        <v>0</v>
      </c>
      <c r="AC138" s="287"/>
      <c r="AD138" s="288" t="s">
        <v>889</v>
      </c>
      <c r="AE138" s="289" t="s">
        <v>889</v>
      </c>
      <c r="AF138" s="279">
        <v>12</v>
      </c>
      <c r="AG138" s="282">
        <v>44168</v>
      </c>
      <c r="AH138" s="282" t="s">
        <v>889</v>
      </c>
      <c r="AI138" s="282">
        <v>44146</v>
      </c>
      <c r="AJ138" s="282" t="s">
        <v>889</v>
      </c>
      <c r="AK138" s="274"/>
    </row>
    <row r="139" spans="1:37" x14ac:dyDescent="0.3">
      <c r="A139" s="273">
        <v>15673</v>
      </c>
      <c r="B139" s="274" t="s">
        <v>1108</v>
      </c>
      <c r="C139" s="146" t="s">
        <v>263</v>
      </c>
      <c r="D139" s="275">
        <v>4.5999999999999996</v>
      </c>
      <c r="E139" s="274"/>
      <c r="F139" s="274"/>
      <c r="G139" s="274" t="s">
        <v>889</v>
      </c>
      <c r="H139" s="276">
        <v>100</v>
      </c>
      <c r="I139" s="24">
        <v>103003</v>
      </c>
      <c r="J139" s="277">
        <v>4.5999999999999996</v>
      </c>
      <c r="K139" s="276">
        <v>66</v>
      </c>
      <c r="L139" s="278">
        <v>18.181818181818183</v>
      </c>
      <c r="M139" s="279">
        <v>0</v>
      </c>
      <c r="N139" s="277">
        <v>0</v>
      </c>
      <c r="O139" s="280" t="s">
        <v>888</v>
      </c>
      <c r="P139" s="279">
        <v>0</v>
      </c>
      <c r="Q139" s="281">
        <v>0</v>
      </c>
      <c r="R139" s="282" t="s">
        <v>889</v>
      </c>
      <c r="S139" s="274" t="s">
        <v>1103</v>
      </c>
      <c r="T139" s="44">
        <v>1</v>
      </c>
      <c r="U139" s="283">
        <v>55</v>
      </c>
      <c r="V139" s="284">
        <v>35</v>
      </c>
      <c r="W139" s="285">
        <v>2956</v>
      </c>
      <c r="X139" s="286">
        <v>2023</v>
      </c>
      <c r="Y139" s="287">
        <v>50</v>
      </c>
      <c r="Z139" s="287" t="s">
        <v>889</v>
      </c>
      <c r="AA139" s="286" t="s">
        <v>889</v>
      </c>
      <c r="AB139" s="287">
        <v>0</v>
      </c>
      <c r="AC139" s="287"/>
      <c r="AD139" s="288" t="s">
        <v>889</v>
      </c>
      <c r="AE139" s="289" t="s">
        <v>889</v>
      </c>
      <c r="AF139" s="279">
        <v>22</v>
      </c>
      <c r="AG139" s="282">
        <v>44337</v>
      </c>
      <c r="AH139" s="282" t="s">
        <v>889</v>
      </c>
      <c r="AI139" s="282">
        <v>44516</v>
      </c>
      <c r="AJ139" s="282" t="s">
        <v>889</v>
      </c>
      <c r="AK139" s="274"/>
    </row>
    <row r="140" spans="1:37" x14ac:dyDescent="0.3">
      <c r="A140" s="273">
        <v>15680</v>
      </c>
      <c r="B140" s="274" t="s">
        <v>1109</v>
      </c>
      <c r="C140" s="146" t="s">
        <v>263</v>
      </c>
      <c r="D140" s="275">
        <v>5.86</v>
      </c>
      <c r="E140" s="274"/>
      <c r="F140" s="274"/>
      <c r="G140" s="274" t="s">
        <v>889</v>
      </c>
      <c r="H140" s="276">
        <v>482</v>
      </c>
      <c r="I140" s="24">
        <v>103003</v>
      </c>
      <c r="J140" s="277">
        <v>5.86</v>
      </c>
      <c r="K140" s="276">
        <v>46</v>
      </c>
      <c r="L140" s="278">
        <v>125.8485639686684</v>
      </c>
      <c r="M140" s="279">
        <v>0</v>
      </c>
      <c r="N140" s="277">
        <v>0</v>
      </c>
      <c r="O140" s="280" t="s">
        <v>888</v>
      </c>
      <c r="P140" s="279">
        <v>0</v>
      </c>
      <c r="Q140" s="281">
        <v>0</v>
      </c>
      <c r="R140" s="282" t="s">
        <v>889</v>
      </c>
      <c r="S140" s="274" t="s">
        <v>1103</v>
      </c>
      <c r="T140" s="44">
        <v>1</v>
      </c>
      <c r="U140" s="283">
        <v>55</v>
      </c>
      <c r="V140" s="284">
        <v>35</v>
      </c>
      <c r="W140" s="285" t="s">
        <v>889</v>
      </c>
      <c r="X140" s="286" t="s">
        <v>889</v>
      </c>
      <c r="Y140" s="287">
        <v>0</v>
      </c>
      <c r="Z140" s="287" t="s">
        <v>889</v>
      </c>
      <c r="AA140" s="286" t="s">
        <v>889</v>
      </c>
      <c r="AB140" s="287">
        <v>0</v>
      </c>
      <c r="AC140" s="287"/>
      <c r="AD140" s="288" t="s">
        <v>889</v>
      </c>
      <c r="AE140" s="289" t="s">
        <v>889</v>
      </c>
      <c r="AF140" s="279">
        <v>16</v>
      </c>
      <c r="AG140" s="282">
        <v>44649</v>
      </c>
      <c r="AH140" s="282" t="s">
        <v>889</v>
      </c>
      <c r="AI140" s="282">
        <v>44755</v>
      </c>
      <c r="AJ140" s="282" t="s">
        <v>889</v>
      </c>
      <c r="AK140" s="274"/>
    </row>
    <row r="141" spans="1:37" x14ac:dyDescent="0.3">
      <c r="A141" s="273">
        <v>15813</v>
      </c>
      <c r="B141" s="274" t="s">
        <v>1110</v>
      </c>
      <c r="C141" s="146" t="s">
        <v>263</v>
      </c>
      <c r="D141" s="275">
        <v>0.6</v>
      </c>
      <c r="E141" s="274"/>
      <c r="F141" s="274"/>
      <c r="G141" s="274" t="s">
        <v>889</v>
      </c>
      <c r="H141" s="276">
        <v>1765</v>
      </c>
      <c r="I141" s="24">
        <v>103003</v>
      </c>
      <c r="J141" s="277">
        <v>0.6</v>
      </c>
      <c r="K141" s="276">
        <v>5635</v>
      </c>
      <c r="L141" s="278">
        <v>3.0762527233115469</v>
      </c>
      <c r="M141" s="279">
        <v>2920</v>
      </c>
      <c r="N141" s="277">
        <v>1752</v>
      </c>
      <c r="O141" s="280" t="s">
        <v>888</v>
      </c>
      <c r="P141" s="279">
        <v>0</v>
      </c>
      <c r="Q141" s="281">
        <v>0</v>
      </c>
      <c r="R141" s="282" t="s">
        <v>889</v>
      </c>
      <c r="S141" s="274" t="s">
        <v>1111</v>
      </c>
      <c r="T141" s="44">
        <v>1</v>
      </c>
      <c r="U141" s="283">
        <v>51</v>
      </c>
      <c r="V141" s="284">
        <v>6</v>
      </c>
      <c r="W141" s="285">
        <v>9011</v>
      </c>
      <c r="X141" s="286">
        <v>2023</v>
      </c>
      <c r="Y141" s="287">
        <v>2200</v>
      </c>
      <c r="Z141" s="287" t="s">
        <v>889</v>
      </c>
      <c r="AA141" s="286" t="s">
        <v>889</v>
      </c>
      <c r="AB141" s="287">
        <v>0</v>
      </c>
      <c r="AC141" s="287"/>
      <c r="AD141" s="288" t="s">
        <v>889</v>
      </c>
      <c r="AE141" s="289" t="s">
        <v>889</v>
      </c>
      <c r="AF141" s="279">
        <v>2296</v>
      </c>
      <c r="AG141" s="282">
        <v>44560</v>
      </c>
      <c r="AH141" s="282" t="s">
        <v>889</v>
      </c>
      <c r="AI141" s="282">
        <v>45078</v>
      </c>
      <c r="AJ141" s="282" t="s">
        <v>889</v>
      </c>
      <c r="AK141" s="274"/>
    </row>
    <row r="142" spans="1:37" x14ac:dyDescent="0.3">
      <c r="A142" s="273">
        <v>16053</v>
      </c>
      <c r="B142" s="274" t="s">
        <v>1112</v>
      </c>
      <c r="C142" s="146" t="s">
        <v>1070</v>
      </c>
      <c r="D142" s="275">
        <v>110</v>
      </c>
      <c r="E142" s="274"/>
      <c r="F142" s="274"/>
      <c r="G142" s="274" t="s">
        <v>889</v>
      </c>
      <c r="H142" s="276">
        <v>7</v>
      </c>
      <c r="I142" s="24">
        <v>103003</v>
      </c>
      <c r="J142" s="277">
        <v>110</v>
      </c>
      <c r="K142" s="276">
        <v>108</v>
      </c>
      <c r="L142" s="278">
        <v>0.44929396662387677</v>
      </c>
      <c r="M142" s="279">
        <v>179.96</v>
      </c>
      <c r="N142" s="277">
        <v>19795.599999999999</v>
      </c>
      <c r="O142" s="280" t="s">
        <v>888</v>
      </c>
      <c r="P142" s="279">
        <v>0</v>
      </c>
      <c r="Q142" s="281">
        <v>0</v>
      </c>
      <c r="R142" s="282" t="s">
        <v>889</v>
      </c>
      <c r="S142" s="274" t="s">
        <v>1113</v>
      </c>
      <c r="T142" s="44">
        <v>1</v>
      </c>
      <c r="U142" s="283">
        <v>51</v>
      </c>
      <c r="V142" s="284">
        <v>33</v>
      </c>
      <c r="W142" s="285" t="s">
        <v>889</v>
      </c>
      <c r="X142" s="286" t="s">
        <v>889</v>
      </c>
      <c r="Y142" s="287">
        <v>0</v>
      </c>
      <c r="Z142" s="287" t="s">
        <v>889</v>
      </c>
      <c r="AA142" s="286" t="s">
        <v>889</v>
      </c>
      <c r="AB142" s="287">
        <v>0</v>
      </c>
      <c r="AC142" s="287"/>
      <c r="AD142" s="288" t="s">
        <v>889</v>
      </c>
      <c r="AE142" s="289" t="s">
        <v>889</v>
      </c>
      <c r="AF142" s="279">
        <v>62</v>
      </c>
      <c r="AG142" s="282">
        <v>45188</v>
      </c>
      <c r="AH142" s="282" t="s">
        <v>889</v>
      </c>
      <c r="AI142" s="282">
        <v>45160</v>
      </c>
      <c r="AJ142" s="282" t="s">
        <v>889</v>
      </c>
      <c r="AK142" s="274"/>
    </row>
    <row r="143" spans="1:37" x14ac:dyDescent="0.3">
      <c r="A143" s="273">
        <v>16363</v>
      </c>
      <c r="B143" s="274" t="s">
        <v>1114</v>
      </c>
      <c r="C143" s="146" t="s">
        <v>263</v>
      </c>
      <c r="D143" s="275">
        <v>49.9</v>
      </c>
      <c r="E143" s="274"/>
      <c r="F143" s="274"/>
      <c r="G143" s="274" t="s">
        <v>889</v>
      </c>
      <c r="H143" s="276">
        <v>39</v>
      </c>
      <c r="I143" s="24">
        <v>103003</v>
      </c>
      <c r="J143" s="277">
        <v>49.9</v>
      </c>
      <c r="K143" s="276">
        <v>433</v>
      </c>
      <c r="L143" s="278">
        <v>0.93413173652694614</v>
      </c>
      <c r="M143" s="279">
        <v>462</v>
      </c>
      <c r="N143" s="277">
        <v>23053.8</v>
      </c>
      <c r="O143" s="280" t="s">
        <v>888</v>
      </c>
      <c r="P143" s="279">
        <v>0</v>
      </c>
      <c r="Q143" s="281">
        <v>0</v>
      </c>
      <c r="R143" s="282" t="s">
        <v>889</v>
      </c>
      <c r="S143" s="274" t="s">
        <v>1115</v>
      </c>
      <c r="T143" s="44">
        <v>1</v>
      </c>
      <c r="U143" s="283">
        <v>74</v>
      </c>
      <c r="V143" s="284">
        <v>8</v>
      </c>
      <c r="W143" s="285" t="s">
        <v>889</v>
      </c>
      <c r="X143" s="286" t="s">
        <v>889</v>
      </c>
      <c r="Y143" s="287">
        <v>0</v>
      </c>
      <c r="Z143" s="287" t="s">
        <v>889</v>
      </c>
      <c r="AA143" s="286" t="s">
        <v>889</v>
      </c>
      <c r="AB143" s="287">
        <v>0</v>
      </c>
      <c r="AC143" s="287"/>
      <c r="AD143" s="288" t="s">
        <v>889</v>
      </c>
      <c r="AE143" s="289" t="s">
        <v>889</v>
      </c>
      <c r="AF143" s="279">
        <v>168</v>
      </c>
      <c r="AG143" s="282">
        <v>44153</v>
      </c>
      <c r="AH143" s="282" t="s">
        <v>889</v>
      </c>
      <c r="AI143" s="282">
        <v>45210</v>
      </c>
      <c r="AJ143" s="282" t="s">
        <v>889</v>
      </c>
      <c r="AK143" s="274"/>
    </row>
    <row r="144" spans="1:37" x14ac:dyDescent="0.3">
      <c r="A144" s="273">
        <v>16365</v>
      </c>
      <c r="B144" s="274" t="s">
        <v>1116</v>
      </c>
      <c r="C144" s="146" t="s">
        <v>263</v>
      </c>
      <c r="D144" s="275">
        <v>183.5</v>
      </c>
      <c r="E144" s="274"/>
      <c r="F144" s="274"/>
      <c r="G144" s="274" t="s">
        <v>889</v>
      </c>
      <c r="H144" s="276">
        <v>509</v>
      </c>
      <c r="I144" s="24">
        <v>103003</v>
      </c>
      <c r="J144" s="277">
        <v>183.5</v>
      </c>
      <c r="K144" s="276">
        <v>91</v>
      </c>
      <c r="L144" s="278">
        <v>67.150395778364114</v>
      </c>
      <c r="M144" s="279">
        <v>0</v>
      </c>
      <c r="N144" s="277">
        <v>0</v>
      </c>
      <c r="O144" s="280" t="s">
        <v>888</v>
      </c>
      <c r="P144" s="279">
        <v>0</v>
      </c>
      <c r="Q144" s="281">
        <v>0</v>
      </c>
      <c r="R144" s="282" t="s">
        <v>889</v>
      </c>
      <c r="S144" s="274" t="s">
        <v>1115</v>
      </c>
      <c r="T144" s="44">
        <v>1</v>
      </c>
      <c r="U144" s="283">
        <v>74</v>
      </c>
      <c r="V144" s="284">
        <v>8</v>
      </c>
      <c r="W144" s="285" t="s">
        <v>889</v>
      </c>
      <c r="X144" s="286" t="s">
        <v>889</v>
      </c>
      <c r="Y144" s="287">
        <v>0</v>
      </c>
      <c r="Z144" s="287" t="s">
        <v>889</v>
      </c>
      <c r="AA144" s="286" t="s">
        <v>889</v>
      </c>
      <c r="AB144" s="287">
        <v>0</v>
      </c>
      <c r="AC144" s="287"/>
      <c r="AD144" s="288" t="s">
        <v>889</v>
      </c>
      <c r="AE144" s="289" t="s">
        <v>889</v>
      </c>
      <c r="AF144" s="279">
        <v>30</v>
      </c>
      <c r="AG144" s="282">
        <v>44544</v>
      </c>
      <c r="AH144" s="282" t="s">
        <v>889</v>
      </c>
      <c r="AI144" s="282">
        <v>44539</v>
      </c>
      <c r="AJ144" s="282" t="s">
        <v>889</v>
      </c>
      <c r="AK144" s="274"/>
    </row>
    <row r="145" spans="1:37" x14ac:dyDescent="0.3">
      <c r="A145" s="273">
        <v>16512</v>
      </c>
      <c r="B145" s="274" t="s">
        <v>1117</v>
      </c>
      <c r="C145" s="146" t="s">
        <v>269</v>
      </c>
      <c r="D145" s="275">
        <v>3.49</v>
      </c>
      <c r="E145" s="274"/>
      <c r="F145" s="274"/>
      <c r="G145" s="274" t="s">
        <v>889</v>
      </c>
      <c r="H145" s="276">
        <v>0</v>
      </c>
      <c r="I145" s="24">
        <v>103003</v>
      </c>
      <c r="J145" s="277">
        <v>3.49</v>
      </c>
      <c r="K145" s="276">
        <v>1063</v>
      </c>
      <c r="L145" s="278">
        <v>0</v>
      </c>
      <c r="M145" s="279">
        <v>0</v>
      </c>
      <c r="N145" s="277">
        <v>0</v>
      </c>
      <c r="O145" s="280" t="s">
        <v>888</v>
      </c>
      <c r="P145" s="279">
        <v>0</v>
      </c>
      <c r="Q145" s="281">
        <v>0</v>
      </c>
      <c r="R145" s="282" t="s">
        <v>889</v>
      </c>
      <c r="S145" s="274" t="s">
        <v>1037</v>
      </c>
      <c r="T145" s="44">
        <v>1</v>
      </c>
      <c r="U145" s="283">
        <v>45</v>
      </c>
      <c r="V145" s="284">
        <v>17</v>
      </c>
      <c r="W145" s="285">
        <v>6978</v>
      </c>
      <c r="X145" s="286">
        <v>2023</v>
      </c>
      <c r="Y145" s="287">
        <v>1100</v>
      </c>
      <c r="Z145" s="287" t="s">
        <v>889</v>
      </c>
      <c r="AA145" s="286" t="s">
        <v>889</v>
      </c>
      <c r="AB145" s="287">
        <v>0</v>
      </c>
      <c r="AC145" s="287"/>
      <c r="AD145" s="288" t="s">
        <v>889</v>
      </c>
      <c r="AE145" s="289" t="s">
        <v>889</v>
      </c>
      <c r="AF145" s="279">
        <v>362</v>
      </c>
      <c r="AG145" s="282">
        <v>44942</v>
      </c>
      <c r="AH145" s="282" t="s">
        <v>889</v>
      </c>
      <c r="AI145" s="282">
        <v>44910</v>
      </c>
      <c r="AJ145" s="282" t="s">
        <v>889</v>
      </c>
      <c r="AK145" s="274"/>
    </row>
    <row r="146" spans="1:37" x14ac:dyDescent="0.3">
      <c r="A146" s="273">
        <v>16571</v>
      </c>
      <c r="B146" s="274" t="s">
        <v>1118</v>
      </c>
      <c r="C146" s="146" t="s">
        <v>335</v>
      </c>
      <c r="D146" s="275">
        <v>6.75</v>
      </c>
      <c r="E146" s="274"/>
      <c r="F146" s="274"/>
      <c r="G146" s="274" t="s">
        <v>889</v>
      </c>
      <c r="H146" s="276">
        <v>2828</v>
      </c>
      <c r="I146" s="24">
        <v>103003</v>
      </c>
      <c r="J146" s="277">
        <v>6.75</v>
      </c>
      <c r="K146" s="276">
        <v>1488</v>
      </c>
      <c r="L146" s="278">
        <v>13.925546582627534</v>
      </c>
      <c r="M146" s="279">
        <v>0</v>
      </c>
      <c r="N146" s="277">
        <v>0</v>
      </c>
      <c r="O146" s="280" t="s">
        <v>888</v>
      </c>
      <c r="P146" s="279">
        <v>0</v>
      </c>
      <c r="Q146" s="281">
        <v>0</v>
      </c>
      <c r="R146" s="282" t="s">
        <v>889</v>
      </c>
      <c r="S146" s="274" t="s">
        <v>1119</v>
      </c>
      <c r="T146" s="44">
        <v>1</v>
      </c>
      <c r="U146" s="283">
        <v>48</v>
      </c>
      <c r="V146" s="284">
        <v>24</v>
      </c>
      <c r="W146" s="285" t="s">
        <v>889</v>
      </c>
      <c r="X146" s="286" t="s">
        <v>889</v>
      </c>
      <c r="Y146" s="287">
        <v>0</v>
      </c>
      <c r="Z146" s="287" t="s">
        <v>889</v>
      </c>
      <c r="AA146" s="286" t="s">
        <v>889</v>
      </c>
      <c r="AB146" s="287">
        <v>0</v>
      </c>
      <c r="AC146" s="287"/>
      <c r="AD146" s="288" t="s">
        <v>889</v>
      </c>
      <c r="AE146" s="289" t="s">
        <v>889</v>
      </c>
      <c r="AF146" s="279">
        <v>812</v>
      </c>
      <c r="AG146" s="282">
        <v>45167</v>
      </c>
      <c r="AH146" s="282" t="s">
        <v>889</v>
      </c>
      <c r="AI146" s="282">
        <v>45133</v>
      </c>
      <c r="AJ146" s="282" t="s">
        <v>889</v>
      </c>
      <c r="AK146" s="274"/>
    </row>
    <row r="147" spans="1:37" x14ac:dyDescent="0.3">
      <c r="A147" s="273">
        <v>16956</v>
      </c>
      <c r="B147" s="274" t="s">
        <v>1120</v>
      </c>
      <c r="C147" s="146" t="s">
        <v>263</v>
      </c>
      <c r="D147" s="275">
        <v>0.93</v>
      </c>
      <c r="E147" s="274"/>
      <c r="F147" s="274"/>
      <c r="G147" s="274" t="s">
        <v>889</v>
      </c>
      <c r="H147" s="276">
        <v>143</v>
      </c>
      <c r="I147" s="24">
        <v>103003</v>
      </c>
      <c r="J147" s="277">
        <v>0.93</v>
      </c>
      <c r="K147" s="276">
        <v>70</v>
      </c>
      <c r="L147" s="278">
        <v>24.528301886792455</v>
      </c>
      <c r="M147" s="279">
        <v>0</v>
      </c>
      <c r="N147" s="277">
        <v>0</v>
      </c>
      <c r="O147" s="280" t="s">
        <v>888</v>
      </c>
      <c r="P147" s="279">
        <v>0</v>
      </c>
      <c r="Q147" s="281">
        <v>0</v>
      </c>
      <c r="R147" s="282" t="s">
        <v>889</v>
      </c>
      <c r="S147" s="274" t="s">
        <v>966</v>
      </c>
      <c r="T147" s="44">
        <v>1</v>
      </c>
      <c r="U147" s="283">
        <v>61</v>
      </c>
      <c r="V147" s="284">
        <v>8</v>
      </c>
      <c r="W147" s="285" t="s">
        <v>889</v>
      </c>
      <c r="X147" s="286" t="s">
        <v>889</v>
      </c>
      <c r="Y147" s="287">
        <v>0</v>
      </c>
      <c r="Z147" s="287" t="s">
        <v>889</v>
      </c>
      <c r="AA147" s="286" t="s">
        <v>889</v>
      </c>
      <c r="AB147" s="287">
        <v>0</v>
      </c>
      <c r="AC147" s="287"/>
      <c r="AD147" s="288" t="s">
        <v>889</v>
      </c>
      <c r="AE147" s="289" t="s">
        <v>889</v>
      </c>
      <c r="AF147" s="279">
        <v>24</v>
      </c>
      <c r="AG147" s="282">
        <v>44573</v>
      </c>
      <c r="AH147" s="282" t="s">
        <v>889</v>
      </c>
      <c r="AI147" s="282">
        <v>44985</v>
      </c>
      <c r="AJ147" s="282" t="s">
        <v>889</v>
      </c>
      <c r="AK147" s="274"/>
    </row>
    <row r="148" spans="1:37" x14ac:dyDescent="0.3">
      <c r="A148" s="273">
        <v>16978</v>
      </c>
      <c r="B148" s="274" t="s">
        <v>1121</v>
      </c>
      <c r="C148" s="146" t="s">
        <v>263</v>
      </c>
      <c r="D148" s="275">
        <v>0.55000000000000004</v>
      </c>
      <c r="E148" s="274"/>
      <c r="F148" s="274"/>
      <c r="G148" s="274" t="s">
        <v>889</v>
      </c>
      <c r="H148" s="276">
        <v>868</v>
      </c>
      <c r="I148" s="24">
        <v>103003</v>
      </c>
      <c r="J148" s="277">
        <v>0.55000000000000004</v>
      </c>
      <c r="K148" s="276">
        <v>100</v>
      </c>
      <c r="L148" s="278">
        <v>130.13493253373315</v>
      </c>
      <c r="M148" s="279">
        <v>0</v>
      </c>
      <c r="N148" s="277">
        <v>0</v>
      </c>
      <c r="O148" s="280" t="s">
        <v>888</v>
      </c>
      <c r="P148" s="279">
        <v>0</v>
      </c>
      <c r="Q148" s="281">
        <v>0</v>
      </c>
      <c r="R148" s="282" t="s">
        <v>889</v>
      </c>
      <c r="S148" s="274" t="s">
        <v>966</v>
      </c>
      <c r="T148" s="44">
        <v>1</v>
      </c>
      <c r="U148" s="283">
        <v>61</v>
      </c>
      <c r="V148" s="284">
        <v>8</v>
      </c>
      <c r="W148" s="285" t="s">
        <v>889</v>
      </c>
      <c r="X148" s="286" t="s">
        <v>889</v>
      </c>
      <c r="Y148" s="287">
        <v>0</v>
      </c>
      <c r="Z148" s="287" t="s">
        <v>889</v>
      </c>
      <c r="AA148" s="286" t="s">
        <v>889</v>
      </c>
      <c r="AB148" s="287">
        <v>0</v>
      </c>
      <c r="AC148" s="287"/>
      <c r="AD148" s="288" t="s">
        <v>889</v>
      </c>
      <c r="AE148" s="289" t="s">
        <v>889</v>
      </c>
      <c r="AF148" s="279">
        <v>26</v>
      </c>
      <c r="AG148" s="282">
        <v>44533</v>
      </c>
      <c r="AH148" s="282" t="s">
        <v>889</v>
      </c>
      <c r="AI148" s="282">
        <v>44985</v>
      </c>
      <c r="AJ148" s="282" t="s">
        <v>889</v>
      </c>
      <c r="AK148" s="274"/>
    </row>
    <row r="149" spans="1:37" x14ac:dyDescent="0.3">
      <c r="A149" s="273">
        <v>17115</v>
      </c>
      <c r="B149" s="274" t="s">
        <v>1122</v>
      </c>
      <c r="C149" s="146" t="s">
        <v>267</v>
      </c>
      <c r="D149" s="275">
        <v>0.9</v>
      </c>
      <c r="E149" s="274"/>
      <c r="F149" s="274"/>
      <c r="G149" s="274" t="s">
        <v>889</v>
      </c>
      <c r="H149" s="276">
        <v>0</v>
      </c>
      <c r="I149" s="24">
        <v>103003</v>
      </c>
      <c r="J149" s="277">
        <v>0.9</v>
      </c>
      <c r="K149" s="276">
        <v>4441</v>
      </c>
      <c r="L149" s="278">
        <v>0</v>
      </c>
      <c r="M149" s="279">
        <v>1430.96</v>
      </c>
      <c r="N149" s="277">
        <v>1287.864</v>
      </c>
      <c r="O149" s="280" t="s">
        <v>888</v>
      </c>
      <c r="P149" s="279">
        <v>0</v>
      </c>
      <c r="Q149" s="281">
        <v>0</v>
      </c>
      <c r="R149" s="282" t="s">
        <v>889</v>
      </c>
      <c r="S149" s="274" t="s">
        <v>1123</v>
      </c>
      <c r="T149" s="44">
        <v>1</v>
      </c>
      <c r="U149" s="283">
        <v>79</v>
      </c>
      <c r="V149" s="284">
        <v>1</v>
      </c>
      <c r="W149" s="285" t="s">
        <v>889</v>
      </c>
      <c r="X149" s="286" t="s">
        <v>889</v>
      </c>
      <c r="Y149" s="287">
        <v>0</v>
      </c>
      <c r="Z149" s="287">
        <v>4567</v>
      </c>
      <c r="AA149" s="286">
        <v>2023</v>
      </c>
      <c r="AB149" s="287">
        <v>4000</v>
      </c>
      <c r="AC149" s="287">
        <v>4000</v>
      </c>
      <c r="AD149" s="288" t="s">
        <v>2058</v>
      </c>
      <c r="AE149" s="289">
        <v>45070</v>
      </c>
      <c r="AF149" s="279">
        <v>1810</v>
      </c>
      <c r="AG149" s="282">
        <v>44998</v>
      </c>
      <c r="AH149" s="282" t="s">
        <v>889</v>
      </c>
      <c r="AI149" s="282">
        <v>45036</v>
      </c>
      <c r="AJ149" s="282" t="s">
        <v>889</v>
      </c>
      <c r="AK149" s="274"/>
    </row>
    <row r="150" spans="1:37" x14ac:dyDescent="0.3">
      <c r="A150" s="273">
        <v>17132</v>
      </c>
      <c r="B150" s="274" t="s">
        <v>1124</v>
      </c>
      <c r="C150" s="146" t="s">
        <v>267</v>
      </c>
      <c r="D150" s="275">
        <v>2.0299999999999998</v>
      </c>
      <c r="E150" s="274"/>
      <c r="F150" s="274"/>
      <c r="G150" s="274" t="s">
        <v>889</v>
      </c>
      <c r="H150" s="276">
        <v>1439</v>
      </c>
      <c r="I150" s="24">
        <v>103003</v>
      </c>
      <c r="J150" s="277">
        <v>2.0299999999999998</v>
      </c>
      <c r="K150" s="276">
        <v>799</v>
      </c>
      <c r="L150" s="278">
        <v>17.045723762141673</v>
      </c>
      <c r="M150" s="279">
        <v>0</v>
      </c>
      <c r="N150" s="277">
        <v>0</v>
      </c>
      <c r="O150" s="280" t="s">
        <v>888</v>
      </c>
      <c r="P150" s="279">
        <v>0</v>
      </c>
      <c r="Q150" s="281">
        <v>0</v>
      </c>
      <c r="R150" s="282" t="s">
        <v>889</v>
      </c>
      <c r="S150" s="274" t="s">
        <v>931</v>
      </c>
      <c r="T150" s="44">
        <v>1</v>
      </c>
      <c r="U150" s="283">
        <v>45</v>
      </c>
      <c r="V150" s="284">
        <v>12</v>
      </c>
      <c r="W150" s="285" t="s">
        <v>889</v>
      </c>
      <c r="X150" s="286" t="s">
        <v>889</v>
      </c>
      <c r="Y150" s="287">
        <v>0</v>
      </c>
      <c r="Z150" s="287" t="s">
        <v>889</v>
      </c>
      <c r="AA150" s="286" t="s">
        <v>889</v>
      </c>
      <c r="AB150" s="287">
        <v>0</v>
      </c>
      <c r="AC150" s="287"/>
      <c r="AD150" s="288" t="s">
        <v>889</v>
      </c>
      <c r="AE150" s="289" t="s">
        <v>889</v>
      </c>
      <c r="AF150" s="279">
        <v>338</v>
      </c>
      <c r="AG150" s="282">
        <v>44678</v>
      </c>
      <c r="AH150" s="282" t="s">
        <v>889</v>
      </c>
      <c r="AI150" s="282">
        <v>45107</v>
      </c>
      <c r="AJ150" s="282" t="s">
        <v>889</v>
      </c>
      <c r="AK150" s="274"/>
    </row>
    <row r="151" spans="1:37" x14ac:dyDescent="0.3">
      <c r="A151" s="273">
        <v>17135</v>
      </c>
      <c r="B151" s="274" t="s">
        <v>1125</v>
      </c>
      <c r="C151" s="146" t="s">
        <v>263</v>
      </c>
      <c r="D151" s="275">
        <v>0.17</v>
      </c>
      <c r="E151" s="274"/>
      <c r="F151" s="274"/>
      <c r="G151" s="274" t="s">
        <v>889</v>
      </c>
      <c r="H151" s="276">
        <v>825</v>
      </c>
      <c r="I151" s="24">
        <v>103003</v>
      </c>
      <c r="J151" s="277">
        <v>0.17</v>
      </c>
      <c r="K151" s="276">
        <v>5991</v>
      </c>
      <c r="L151" s="278">
        <v>1.2474861264421695</v>
      </c>
      <c r="M151" s="279">
        <v>5910.96</v>
      </c>
      <c r="N151" s="277">
        <v>1004.8632</v>
      </c>
      <c r="O151" s="280" t="s">
        <v>888</v>
      </c>
      <c r="P151" s="279">
        <v>0</v>
      </c>
      <c r="Q151" s="281">
        <v>0</v>
      </c>
      <c r="R151" s="282" t="s">
        <v>889</v>
      </c>
      <c r="S151" s="274" t="s">
        <v>931</v>
      </c>
      <c r="T151" s="44">
        <v>1</v>
      </c>
      <c r="U151" s="283">
        <v>45</v>
      </c>
      <c r="V151" s="284">
        <v>12</v>
      </c>
      <c r="W151" s="285">
        <v>6978</v>
      </c>
      <c r="X151" s="286">
        <v>2023</v>
      </c>
      <c r="Y151" s="287">
        <v>1200</v>
      </c>
      <c r="Z151" s="287" t="s">
        <v>889</v>
      </c>
      <c r="AA151" s="286" t="s">
        <v>889</v>
      </c>
      <c r="AB151" s="287">
        <v>0</v>
      </c>
      <c r="AC151" s="287"/>
      <c r="AD151" s="288" t="s">
        <v>889</v>
      </c>
      <c r="AE151" s="289" t="s">
        <v>889</v>
      </c>
      <c r="AF151" s="279">
        <v>2646</v>
      </c>
      <c r="AG151" s="282">
        <v>45020</v>
      </c>
      <c r="AH151" s="282" t="s">
        <v>889</v>
      </c>
      <c r="AI151" s="282">
        <v>44998</v>
      </c>
      <c r="AJ151" s="282" t="s">
        <v>889</v>
      </c>
      <c r="AK151" s="274"/>
    </row>
    <row r="152" spans="1:37" x14ac:dyDescent="0.3">
      <c r="A152" s="273">
        <v>17136</v>
      </c>
      <c r="B152" s="274" t="s">
        <v>1126</v>
      </c>
      <c r="C152" s="146" t="s">
        <v>269</v>
      </c>
      <c r="D152" s="275">
        <v>4</v>
      </c>
      <c r="E152" s="274"/>
      <c r="F152" s="274"/>
      <c r="G152" s="274" t="s">
        <v>889</v>
      </c>
      <c r="H152" s="276">
        <v>377</v>
      </c>
      <c r="I152" s="24">
        <v>103003</v>
      </c>
      <c r="J152" s="277">
        <v>4</v>
      </c>
      <c r="K152" s="276">
        <v>673</v>
      </c>
      <c r="L152" s="278">
        <v>5.4972295129775448</v>
      </c>
      <c r="M152" s="279">
        <v>445.96</v>
      </c>
      <c r="N152" s="277">
        <v>1783.84</v>
      </c>
      <c r="O152" s="280" t="s">
        <v>888</v>
      </c>
      <c r="P152" s="279">
        <v>0</v>
      </c>
      <c r="Q152" s="281">
        <v>0</v>
      </c>
      <c r="R152" s="282" t="s">
        <v>889</v>
      </c>
      <c r="S152" s="274" t="s">
        <v>931</v>
      </c>
      <c r="T152" s="44">
        <v>1</v>
      </c>
      <c r="U152" s="283">
        <v>45</v>
      </c>
      <c r="V152" s="284">
        <v>12</v>
      </c>
      <c r="W152" s="285" t="s">
        <v>889</v>
      </c>
      <c r="X152" s="286" t="s">
        <v>889</v>
      </c>
      <c r="Y152" s="287">
        <v>0</v>
      </c>
      <c r="Z152" s="287" t="s">
        <v>889</v>
      </c>
      <c r="AA152" s="286" t="s">
        <v>889</v>
      </c>
      <c r="AB152" s="287">
        <v>0</v>
      </c>
      <c r="AC152" s="287"/>
      <c r="AD152" s="288" t="s">
        <v>889</v>
      </c>
      <c r="AE152" s="289" t="s">
        <v>889</v>
      </c>
      <c r="AF152" s="279">
        <v>274</v>
      </c>
      <c r="AG152" s="282">
        <v>45034</v>
      </c>
      <c r="AH152" s="282" t="s">
        <v>889</v>
      </c>
      <c r="AI152" s="282">
        <v>44998</v>
      </c>
      <c r="AJ152" s="282" t="s">
        <v>889</v>
      </c>
      <c r="AK152" s="274"/>
    </row>
    <row r="153" spans="1:37" x14ac:dyDescent="0.3">
      <c r="A153" s="273">
        <v>17299</v>
      </c>
      <c r="B153" s="274" t="s">
        <v>1127</v>
      </c>
      <c r="C153" s="146" t="s">
        <v>267</v>
      </c>
      <c r="D153" s="275">
        <v>278</v>
      </c>
      <c r="E153" s="274"/>
      <c r="F153" s="274"/>
      <c r="G153" s="274" t="s">
        <v>889</v>
      </c>
      <c r="H153" s="276">
        <v>22</v>
      </c>
      <c r="I153" s="24">
        <v>103003</v>
      </c>
      <c r="J153" s="277">
        <v>278</v>
      </c>
      <c r="K153" s="276">
        <v>21</v>
      </c>
      <c r="L153" s="278">
        <v>12.571428571428571</v>
      </c>
      <c r="M153" s="279">
        <v>0</v>
      </c>
      <c r="N153" s="277">
        <v>0</v>
      </c>
      <c r="O153" s="280" t="s">
        <v>888</v>
      </c>
      <c r="P153" s="279">
        <v>0</v>
      </c>
      <c r="Q153" s="281">
        <v>0</v>
      </c>
      <c r="R153" s="282" t="s">
        <v>889</v>
      </c>
      <c r="S153" s="274" t="s">
        <v>1128</v>
      </c>
      <c r="T153" s="44">
        <v>1</v>
      </c>
      <c r="U153" s="283">
        <v>57</v>
      </c>
      <c r="V153" s="284">
        <v>18</v>
      </c>
      <c r="W153" s="285" t="s">
        <v>889</v>
      </c>
      <c r="X153" s="286" t="s">
        <v>889</v>
      </c>
      <c r="Y153" s="287">
        <v>0</v>
      </c>
      <c r="Z153" s="287" t="s">
        <v>889</v>
      </c>
      <c r="AA153" s="286" t="s">
        <v>889</v>
      </c>
      <c r="AB153" s="287">
        <v>0</v>
      </c>
      <c r="AC153" s="287"/>
      <c r="AD153" s="288" t="s">
        <v>889</v>
      </c>
      <c r="AE153" s="289" t="s">
        <v>889</v>
      </c>
      <c r="AF153" s="279">
        <v>0</v>
      </c>
      <c r="AG153" s="282">
        <v>43622</v>
      </c>
      <c r="AH153" s="282" t="s">
        <v>889</v>
      </c>
      <c r="AI153" s="282">
        <v>44952</v>
      </c>
      <c r="AJ153" s="282" t="s">
        <v>889</v>
      </c>
      <c r="AK153" s="274"/>
    </row>
    <row r="154" spans="1:37" x14ac:dyDescent="0.3">
      <c r="A154" s="273">
        <v>17362</v>
      </c>
      <c r="B154" s="274" t="s">
        <v>1129</v>
      </c>
      <c r="C154" s="146" t="s">
        <v>380</v>
      </c>
      <c r="D154" s="275">
        <v>1.25</v>
      </c>
      <c r="E154" s="274"/>
      <c r="F154" s="274"/>
      <c r="G154" s="274" t="s">
        <v>889</v>
      </c>
      <c r="H154" s="276">
        <v>0</v>
      </c>
      <c r="I154" s="24">
        <v>103003</v>
      </c>
      <c r="J154" s="277">
        <v>1.25</v>
      </c>
      <c r="K154" s="276">
        <v>5952</v>
      </c>
      <c r="L154" s="278">
        <v>0</v>
      </c>
      <c r="M154" s="279">
        <v>6599.96</v>
      </c>
      <c r="N154" s="277">
        <v>8249.9500000000007</v>
      </c>
      <c r="O154" s="280" t="s">
        <v>888</v>
      </c>
      <c r="P154" s="279">
        <v>0</v>
      </c>
      <c r="Q154" s="281">
        <v>0</v>
      </c>
      <c r="R154" s="282" t="s">
        <v>889</v>
      </c>
      <c r="S154" s="274" t="s">
        <v>1130</v>
      </c>
      <c r="T154" s="44">
        <v>1</v>
      </c>
      <c r="U154" s="283">
        <v>57</v>
      </c>
      <c r="V154" s="284">
        <v>15</v>
      </c>
      <c r="W154" s="285">
        <v>6989</v>
      </c>
      <c r="X154" s="286">
        <v>2023</v>
      </c>
      <c r="Y154" s="287">
        <v>1900</v>
      </c>
      <c r="Z154" s="287" t="s">
        <v>889</v>
      </c>
      <c r="AA154" s="286" t="s">
        <v>889</v>
      </c>
      <c r="AB154" s="287">
        <v>0</v>
      </c>
      <c r="AC154" s="287"/>
      <c r="AD154" s="288" t="s">
        <v>889</v>
      </c>
      <c r="AE154" s="289" t="s">
        <v>889</v>
      </c>
      <c r="AF154" s="279">
        <v>2834</v>
      </c>
      <c r="AG154" s="282">
        <v>44967</v>
      </c>
      <c r="AH154" s="282" t="s">
        <v>889</v>
      </c>
      <c r="AI154" s="282">
        <v>44959</v>
      </c>
      <c r="AJ154" s="282" t="s">
        <v>889</v>
      </c>
      <c r="AK154" s="274"/>
    </row>
    <row r="155" spans="1:37" x14ac:dyDescent="0.3">
      <c r="A155" s="273">
        <v>17370</v>
      </c>
      <c r="B155" s="274" t="s">
        <v>1131</v>
      </c>
      <c r="C155" s="146" t="s">
        <v>380</v>
      </c>
      <c r="D155" s="275">
        <v>1.25</v>
      </c>
      <c r="E155" s="274"/>
      <c r="F155" s="274"/>
      <c r="G155" s="274" t="s">
        <v>889</v>
      </c>
      <c r="H155" s="276">
        <v>0</v>
      </c>
      <c r="I155" s="24">
        <v>103003</v>
      </c>
      <c r="J155" s="277">
        <v>1.25</v>
      </c>
      <c r="K155" s="276">
        <v>5645</v>
      </c>
      <c r="L155" s="278">
        <v>0</v>
      </c>
      <c r="M155" s="279">
        <v>5477.96</v>
      </c>
      <c r="N155" s="277">
        <v>6847.45</v>
      </c>
      <c r="O155" s="280" t="s">
        <v>888</v>
      </c>
      <c r="P155" s="279">
        <v>0</v>
      </c>
      <c r="Q155" s="281">
        <v>0</v>
      </c>
      <c r="R155" s="282" t="s">
        <v>889</v>
      </c>
      <c r="S155" s="274" t="s">
        <v>1130</v>
      </c>
      <c r="T155" s="44">
        <v>1</v>
      </c>
      <c r="U155" s="283">
        <v>57</v>
      </c>
      <c r="V155" s="284">
        <v>15</v>
      </c>
      <c r="W155" s="285">
        <v>6989</v>
      </c>
      <c r="X155" s="286">
        <v>2023</v>
      </c>
      <c r="Y155" s="287">
        <v>1900</v>
      </c>
      <c r="Z155" s="287" t="s">
        <v>889</v>
      </c>
      <c r="AA155" s="286" t="s">
        <v>889</v>
      </c>
      <c r="AB155" s="287">
        <v>0</v>
      </c>
      <c r="AC155" s="287"/>
      <c r="AD155" s="288" t="s">
        <v>889</v>
      </c>
      <c r="AE155" s="289" t="s">
        <v>889</v>
      </c>
      <c r="AF155" s="279">
        <v>2460</v>
      </c>
      <c r="AG155" s="282">
        <v>45009</v>
      </c>
      <c r="AH155" s="282" t="s">
        <v>889</v>
      </c>
      <c r="AI155" s="282">
        <v>44959</v>
      </c>
      <c r="AJ155" s="282" t="s">
        <v>889</v>
      </c>
      <c r="AK155" s="274"/>
    </row>
    <row r="156" spans="1:37" x14ac:dyDescent="0.3">
      <c r="A156" s="273">
        <v>17371</v>
      </c>
      <c r="B156" s="274" t="s">
        <v>1132</v>
      </c>
      <c r="C156" s="146" t="s">
        <v>380</v>
      </c>
      <c r="D156" s="275">
        <v>1.35</v>
      </c>
      <c r="E156" s="274"/>
      <c r="F156" s="274"/>
      <c r="G156" s="274" t="s">
        <v>889</v>
      </c>
      <c r="H156" s="276">
        <v>0</v>
      </c>
      <c r="I156" s="24">
        <v>103003</v>
      </c>
      <c r="J156" s="277">
        <v>1.35</v>
      </c>
      <c r="K156" s="276">
        <v>5652</v>
      </c>
      <c r="L156" s="278">
        <v>0</v>
      </c>
      <c r="M156" s="279">
        <v>5192.96</v>
      </c>
      <c r="N156" s="277">
        <v>7010.4960000000001</v>
      </c>
      <c r="O156" s="280" t="s">
        <v>888</v>
      </c>
      <c r="P156" s="279">
        <v>0</v>
      </c>
      <c r="Q156" s="281">
        <v>0</v>
      </c>
      <c r="R156" s="282" t="s">
        <v>889</v>
      </c>
      <c r="S156" s="274" t="s">
        <v>1130</v>
      </c>
      <c r="T156" s="44">
        <v>1</v>
      </c>
      <c r="U156" s="283">
        <v>57</v>
      </c>
      <c r="V156" s="284">
        <v>15</v>
      </c>
      <c r="W156" s="285">
        <v>6989</v>
      </c>
      <c r="X156" s="286">
        <v>2023</v>
      </c>
      <c r="Y156" s="287">
        <v>1900</v>
      </c>
      <c r="Z156" s="287" t="s">
        <v>889</v>
      </c>
      <c r="AA156" s="286" t="s">
        <v>889</v>
      </c>
      <c r="AB156" s="287">
        <v>0</v>
      </c>
      <c r="AC156" s="287"/>
      <c r="AD156" s="288" t="s">
        <v>889</v>
      </c>
      <c r="AE156" s="289" t="s">
        <v>889</v>
      </c>
      <c r="AF156" s="279">
        <v>2364</v>
      </c>
      <c r="AG156" s="282">
        <v>44967</v>
      </c>
      <c r="AH156" s="282" t="s">
        <v>889</v>
      </c>
      <c r="AI156" s="282">
        <v>44959</v>
      </c>
      <c r="AJ156" s="282" t="s">
        <v>889</v>
      </c>
      <c r="AK156" s="274"/>
    </row>
    <row r="157" spans="1:37" x14ac:dyDescent="0.3">
      <c r="A157" s="273">
        <v>17422</v>
      </c>
      <c r="B157" s="274" t="s">
        <v>1133</v>
      </c>
      <c r="C157" s="146" t="s">
        <v>263</v>
      </c>
      <c r="D157" s="275">
        <v>22.48</v>
      </c>
      <c r="E157" s="274"/>
      <c r="F157" s="274"/>
      <c r="G157" s="274" t="s">
        <v>889</v>
      </c>
      <c r="H157" s="276">
        <v>57</v>
      </c>
      <c r="I157" s="24">
        <v>103003</v>
      </c>
      <c r="J157" s="277">
        <v>22.48</v>
      </c>
      <c r="K157" s="276">
        <v>2</v>
      </c>
      <c r="L157" s="278">
        <v>335.29411764705878</v>
      </c>
      <c r="M157" s="279">
        <v>0</v>
      </c>
      <c r="N157" s="277">
        <v>0</v>
      </c>
      <c r="O157" s="280" t="s">
        <v>888</v>
      </c>
      <c r="P157" s="279">
        <v>0</v>
      </c>
      <c r="Q157" s="281">
        <v>0</v>
      </c>
      <c r="R157" s="282" t="s">
        <v>889</v>
      </c>
      <c r="S157" s="274" t="s">
        <v>1003</v>
      </c>
      <c r="T157" s="44">
        <v>1</v>
      </c>
      <c r="U157" s="283">
        <v>61</v>
      </c>
      <c r="V157" s="284">
        <v>11</v>
      </c>
      <c r="W157" s="285" t="s">
        <v>889</v>
      </c>
      <c r="X157" s="286" t="s">
        <v>889</v>
      </c>
      <c r="Y157" s="287">
        <v>0</v>
      </c>
      <c r="Z157" s="287" t="s">
        <v>889</v>
      </c>
      <c r="AA157" s="286" t="s">
        <v>889</v>
      </c>
      <c r="AB157" s="287">
        <v>0</v>
      </c>
      <c r="AC157" s="287"/>
      <c r="AD157" s="288" t="s">
        <v>889</v>
      </c>
      <c r="AE157" s="289" t="s">
        <v>889</v>
      </c>
      <c r="AF157" s="279">
        <v>0</v>
      </c>
      <c r="AG157" s="282">
        <v>45181</v>
      </c>
      <c r="AH157" s="282" t="s">
        <v>889</v>
      </c>
      <c r="AI157" s="282">
        <v>45145</v>
      </c>
      <c r="AJ157" s="282" t="s">
        <v>889</v>
      </c>
      <c r="AK157" s="274"/>
    </row>
    <row r="158" spans="1:37" x14ac:dyDescent="0.3">
      <c r="A158" s="273">
        <v>17426</v>
      </c>
      <c r="B158" s="274" t="s">
        <v>1134</v>
      </c>
      <c r="C158" s="146" t="s">
        <v>263</v>
      </c>
      <c r="D158" s="275">
        <v>64</v>
      </c>
      <c r="E158" s="274"/>
      <c r="F158" s="274"/>
      <c r="G158" s="274" t="s">
        <v>889</v>
      </c>
      <c r="H158" s="276">
        <v>18</v>
      </c>
      <c r="I158" s="24">
        <v>103003</v>
      </c>
      <c r="J158" s="277">
        <v>64</v>
      </c>
      <c r="K158" s="276">
        <v>20</v>
      </c>
      <c r="L158" s="278">
        <v>10.778443113772456</v>
      </c>
      <c r="M158" s="279">
        <v>2.04</v>
      </c>
      <c r="N158" s="277">
        <v>130.56</v>
      </c>
      <c r="O158" s="280" t="s">
        <v>888</v>
      </c>
      <c r="P158" s="279">
        <v>0</v>
      </c>
      <c r="Q158" s="281">
        <v>0</v>
      </c>
      <c r="R158" s="282" t="s">
        <v>889</v>
      </c>
      <c r="S158" s="274" t="s">
        <v>1003</v>
      </c>
      <c r="T158" s="44">
        <v>1</v>
      </c>
      <c r="U158" s="283">
        <v>61</v>
      </c>
      <c r="V158" s="284">
        <v>11</v>
      </c>
      <c r="W158" s="285" t="s">
        <v>889</v>
      </c>
      <c r="X158" s="286" t="s">
        <v>889</v>
      </c>
      <c r="Y158" s="287">
        <v>0</v>
      </c>
      <c r="Z158" s="287" t="s">
        <v>889</v>
      </c>
      <c r="AA158" s="286" t="s">
        <v>889</v>
      </c>
      <c r="AB158" s="287">
        <v>0</v>
      </c>
      <c r="AC158" s="287"/>
      <c r="AD158" s="288" t="s">
        <v>889</v>
      </c>
      <c r="AE158" s="289" t="s">
        <v>889</v>
      </c>
      <c r="AF158" s="279">
        <v>6</v>
      </c>
      <c r="AG158" s="282">
        <v>45208</v>
      </c>
      <c r="AH158" s="282" t="s">
        <v>889</v>
      </c>
      <c r="AI158" s="282">
        <v>45145</v>
      </c>
      <c r="AJ158" s="282" t="s">
        <v>889</v>
      </c>
      <c r="AK158" s="274"/>
    </row>
    <row r="159" spans="1:37" x14ac:dyDescent="0.3">
      <c r="A159" s="273">
        <v>17454</v>
      </c>
      <c r="B159" s="274" t="s">
        <v>1135</v>
      </c>
      <c r="C159" s="146" t="s">
        <v>380</v>
      </c>
      <c r="D159" s="275">
        <v>0.24</v>
      </c>
      <c r="E159" s="274"/>
      <c r="F159" s="274"/>
      <c r="G159" s="274" t="s">
        <v>889</v>
      </c>
      <c r="H159" s="276">
        <v>1451</v>
      </c>
      <c r="I159" s="24">
        <v>103003</v>
      </c>
      <c r="J159" s="277">
        <v>0.24</v>
      </c>
      <c r="K159" s="276">
        <v>5002</v>
      </c>
      <c r="L159" s="278">
        <v>2.2403384439606588</v>
      </c>
      <c r="M159" s="279">
        <v>6321.04</v>
      </c>
      <c r="N159" s="277">
        <v>1517.0496000000001</v>
      </c>
      <c r="O159" s="280" t="s">
        <v>888</v>
      </c>
      <c r="P159" s="279">
        <v>0</v>
      </c>
      <c r="Q159" s="281">
        <v>0</v>
      </c>
      <c r="R159" s="282" t="s">
        <v>889</v>
      </c>
      <c r="S159" s="274" t="s">
        <v>1136</v>
      </c>
      <c r="T159" s="44">
        <v>1</v>
      </c>
      <c r="U159" s="283">
        <v>57</v>
      </c>
      <c r="V159" s="284">
        <v>2</v>
      </c>
      <c r="W159" s="285" t="s">
        <v>889</v>
      </c>
      <c r="X159" s="286" t="s">
        <v>889</v>
      </c>
      <c r="Y159" s="287">
        <v>0</v>
      </c>
      <c r="Z159" s="287" t="s">
        <v>889</v>
      </c>
      <c r="AA159" s="286" t="s">
        <v>889</v>
      </c>
      <c r="AB159" s="287">
        <v>0</v>
      </c>
      <c r="AC159" s="287"/>
      <c r="AD159" s="288" t="s">
        <v>889</v>
      </c>
      <c r="AE159" s="289" t="s">
        <v>889</v>
      </c>
      <c r="AF159" s="279">
        <v>2590</v>
      </c>
      <c r="AG159" s="282">
        <v>44147</v>
      </c>
      <c r="AH159" s="282" t="s">
        <v>889</v>
      </c>
      <c r="AI159" s="282">
        <v>44126</v>
      </c>
      <c r="AJ159" s="282" t="s">
        <v>889</v>
      </c>
      <c r="AK159" s="274"/>
    </row>
    <row r="160" spans="1:37" x14ac:dyDescent="0.3">
      <c r="A160" s="273">
        <v>17562</v>
      </c>
      <c r="B160" s="274" t="s">
        <v>1137</v>
      </c>
      <c r="C160" s="146" t="s">
        <v>263</v>
      </c>
      <c r="D160" s="275">
        <v>6.35</v>
      </c>
      <c r="E160" s="274"/>
      <c r="F160" s="274"/>
      <c r="G160" s="274" t="s">
        <v>889</v>
      </c>
      <c r="H160" s="276">
        <v>443</v>
      </c>
      <c r="I160" s="24">
        <v>103003</v>
      </c>
      <c r="J160" s="277">
        <v>6.35</v>
      </c>
      <c r="K160" s="276">
        <v>40</v>
      </c>
      <c r="L160" s="278">
        <v>133.03303303303301</v>
      </c>
      <c r="M160" s="279">
        <v>0</v>
      </c>
      <c r="N160" s="277">
        <v>0</v>
      </c>
      <c r="O160" s="280" t="s">
        <v>888</v>
      </c>
      <c r="P160" s="279">
        <v>0</v>
      </c>
      <c r="Q160" s="281">
        <v>0</v>
      </c>
      <c r="R160" s="282" t="s">
        <v>889</v>
      </c>
      <c r="S160" s="274" t="s">
        <v>1138</v>
      </c>
      <c r="T160" s="44">
        <v>1</v>
      </c>
      <c r="U160" s="283">
        <v>83</v>
      </c>
      <c r="V160" s="284">
        <v>8</v>
      </c>
      <c r="W160" s="285" t="s">
        <v>889</v>
      </c>
      <c r="X160" s="286" t="s">
        <v>889</v>
      </c>
      <c r="Y160" s="287">
        <v>0</v>
      </c>
      <c r="Z160" s="287" t="s">
        <v>889</v>
      </c>
      <c r="AA160" s="286" t="s">
        <v>889</v>
      </c>
      <c r="AB160" s="287">
        <v>0</v>
      </c>
      <c r="AC160" s="287"/>
      <c r="AD160" s="288" t="s">
        <v>889</v>
      </c>
      <c r="AE160" s="289" t="s">
        <v>889</v>
      </c>
      <c r="AF160" s="279">
        <v>14</v>
      </c>
      <c r="AG160" s="282">
        <v>43280</v>
      </c>
      <c r="AH160" s="282" t="s">
        <v>889</v>
      </c>
      <c r="AI160" s="282">
        <v>44231</v>
      </c>
      <c r="AJ160" s="282" t="s">
        <v>889</v>
      </c>
      <c r="AK160" s="274"/>
    </row>
    <row r="161" spans="1:37" x14ac:dyDescent="0.3">
      <c r="A161" s="273">
        <v>17662</v>
      </c>
      <c r="B161" s="274" t="s">
        <v>1139</v>
      </c>
      <c r="C161" s="146" t="s">
        <v>380</v>
      </c>
      <c r="D161" s="275">
        <v>0.99</v>
      </c>
      <c r="E161" s="274"/>
      <c r="F161" s="274"/>
      <c r="G161" s="274" t="s">
        <v>889</v>
      </c>
      <c r="H161" s="276">
        <v>1410</v>
      </c>
      <c r="I161" s="24">
        <v>103003</v>
      </c>
      <c r="J161" s="277">
        <v>0.99</v>
      </c>
      <c r="K161" s="276">
        <v>10</v>
      </c>
      <c r="L161" s="278">
        <v>1698.7951807228915</v>
      </c>
      <c r="M161" s="279">
        <v>0</v>
      </c>
      <c r="N161" s="277">
        <v>0</v>
      </c>
      <c r="O161" s="280" t="s">
        <v>888</v>
      </c>
      <c r="P161" s="279">
        <v>0</v>
      </c>
      <c r="Q161" s="281">
        <v>0</v>
      </c>
      <c r="R161" s="282" t="s">
        <v>889</v>
      </c>
      <c r="S161" s="274" t="s">
        <v>996</v>
      </c>
      <c r="T161" s="44">
        <v>1</v>
      </c>
      <c r="U161" s="283">
        <v>83</v>
      </c>
      <c r="V161" s="284">
        <v>2</v>
      </c>
      <c r="W161" s="285" t="s">
        <v>889</v>
      </c>
      <c r="X161" s="286" t="s">
        <v>889</v>
      </c>
      <c r="Y161" s="287">
        <v>0</v>
      </c>
      <c r="Z161" s="287" t="s">
        <v>889</v>
      </c>
      <c r="AA161" s="286" t="s">
        <v>889</v>
      </c>
      <c r="AB161" s="287">
        <v>0</v>
      </c>
      <c r="AC161" s="287"/>
      <c r="AD161" s="288" t="s">
        <v>889</v>
      </c>
      <c r="AE161" s="289" t="s">
        <v>889</v>
      </c>
      <c r="AF161" s="279">
        <v>4</v>
      </c>
      <c r="AG161" s="282">
        <v>43826</v>
      </c>
      <c r="AH161" s="282" t="s">
        <v>889</v>
      </c>
      <c r="AI161" s="282">
        <v>44349</v>
      </c>
      <c r="AJ161" s="282" t="s">
        <v>889</v>
      </c>
      <c r="AK161" s="274"/>
    </row>
    <row r="162" spans="1:37" x14ac:dyDescent="0.3">
      <c r="A162" s="273">
        <v>17663</v>
      </c>
      <c r="B162" s="274" t="s">
        <v>379</v>
      </c>
      <c r="C162" s="146" t="s">
        <v>380</v>
      </c>
      <c r="D162" s="275">
        <v>0.99</v>
      </c>
      <c r="E162" s="274"/>
      <c r="F162" s="274"/>
      <c r="G162" s="274" t="s">
        <v>889</v>
      </c>
      <c r="H162" s="276">
        <v>190</v>
      </c>
      <c r="I162" s="24">
        <v>103003</v>
      </c>
      <c r="J162" s="277">
        <v>0.99</v>
      </c>
      <c r="K162" s="276"/>
      <c r="L162" s="278">
        <v>0</v>
      </c>
      <c r="M162" s="279">
        <v>0</v>
      </c>
      <c r="N162" s="277">
        <v>0</v>
      </c>
      <c r="O162" s="280" t="s">
        <v>888</v>
      </c>
      <c r="P162" s="279">
        <v>0</v>
      </c>
      <c r="Q162" s="281">
        <v>0</v>
      </c>
      <c r="R162" s="282" t="s">
        <v>889</v>
      </c>
      <c r="S162" s="274" t="s">
        <v>996</v>
      </c>
      <c r="T162" s="44">
        <v>1</v>
      </c>
      <c r="U162" s="283">
        <v>83</v>
      </c>
      <c r="V162" s="284">
        <v>2</v>
      </c>
      <c r="W162" s="285" t="s">
        <v>889</v>
      </c>
      <c r="X162" s="286" t="s">
        <v>889</v>
      </c>
      <c r="Y162" s="287">
        <v>0</v>
      </c>
      <c r="Z162" s="287" t="s">
        <v>889</v>
      </c>
      <c r="AA162" s="286" t="s">
        <v>889</v>
      </c>
      <c r="AB162" s="287">
        <v>0</v>
      </c>
      <c r="AC162" s="287"/>
      <c r="AD162" s="288" t="s">
        <v>889</v>
      </c>
      <c r="AE162" s="289" t="s">
        <v>889</v>
      </c>
      <c r="AF162" s="279">
        <v>0</v>
      </c>
      <c r="AG162" s="282">
        <v>44067</v>
      </c>
      <c r="AH162" s="282" t="s">
        <v>889</v>
      </c>
      <c r="AI162" s="282">
        <v>44040</v>
      </c>
      <c r="AJ162" s="282" t="s">
        <v>889</v>
      </c>
      <c r="AK162" s="274"/>
    </row>
    <row r="163" spans="1:37" x14ac:dyDescent="0.3">
      <c r="A163" s="273">
        <v>17696</v>
      </c>
      <c r="B163" s="274" t="s">
        <v>1140</v>
      </c>
      <c r="C163" s="146" t="s">
        <v>380</v>
      </c>
      <c r="D163" s="275">
        <v>2.4</v>
      </c>
      <c r="E163" s="274"/>
      <c r="F163" s="274"/>
      <c r="G163" s="274" t="s">
        <v>889</v>
      </c>
      <c r="H163" s="276">
        <v>0</v>
      </c>
      <c r="I163" s="24">
        <v>103003</v>
      </c>
      <c r="J163" s="277">
        <v>2.4</v>
      </c>
      <c r="K163" s="276">
        <v>29</v>
      </c>
      <c r="L163" s="278">
        <v>0</v>
      </c>
      <c r="M163" s="279">
        <v>29.04</v>
      </c>
      <c r="N163" s="277">
        <v>69.695999999999998</v>
      </c>
      <c r="O163" s="280" t="s">
        <v>888</v>
      </c>
      <c r="P163" s="279">
        <v>0</v>
      </c>
      <c r="Q163" s="281">
        <v>0</v>
      </c>
      <c r="R163" s="282" t="s">
        <v>889</v>
      </c>
      <c r="S163" s="274" t="s">
        <v>996</v>
      </c>
      <c r="T163" s="44">
        <v>1</v>
      </c>
      <c r="U163" s="283">
        <v>83</v>
      </c>
      <c r="V163" s="284">
        <v>2</v>
      </c>
      <c r="W163" s="285" t="s">
        <v>889</v>
      </c>
      <c r="X163" s="286" t="s">
        <v>889</v>
      </c>
      <c r="Y163" s="287">
        <v>0</v>
      </c>
      <c r="Z163" s="287" t="s">
        <v>889</v>
      </c>
      <c r="AA163" s="286" t="s">
        <v>889</v>
      </c>
      <c r="AB163" s="287">
        <v>0</v>
      </c>
      <c r="AC163" s="287"/>
      <c r="AD163" s="288" t="s">
        <v>889</v>
      </c>
      <c r="AE163" s="289" t="s">
        <v>889</v>
      </c>
      <c r="AF163" s="279">
        <v>10</v>
      </c>
      <c r="AG163" s="282">
        <v>44743</v>
      </c>
      <c r="AH163" s="282" t="s">
        <v>889</v>
      </c>
      <c r="AI163" s="282">
        <v>44922</v>
      </c>
      <c r="AJ163" s="282" t="s">
        <v>889</v>
      </c>
      <c r="AK163" s="274"/>
    </row>
    <row r="164" spans="1:37" x14ac:dyDescent="0.3">
      <c r="A164" s="273">
        <v>17698</v>
      </c>
      <c r="B164" s="274" t="s">
        <v>1141</v>
      </c>
      <c r="C164" s="146" t="s">
        <v>380</v>
      </c>
      <c r="D164" s="275">
        <v>2.5</v>
      </c>
      <c r="E164" s="274"/>
      <c r="F164" s="274"/>
      <c r="G164" s="274" t="s">
        <v>889</v>
      </c>
      <c r="H164" s="276">
        <v>546</v>
      </c>
      <c r="I164" s="24">
        <v>103003</v>
      </c>
      <c r="J164" s="277">
        <v>2.5</v>
      </c>
      <c r="K164" s="276">
        <v>301</v>
      </c>
      <c r="L164" s="278">
        <v>21.555467824713777</v>
      </c>
      <c r="M164" s="279">
        <v>0</v>
      </c>
      <c r="N164" s="277">
        <v>0</v>
      </c>
      <c r="O164" s="280" t="s">
        <v>888</v>
      </c>
      <c r="P164" s="279">
        <v>0</v>
      </c>
      <c r="Q164" s="281">
        <v>0</v>
      </c>
      <c r="R164" s="282" t="s">
        <v>889</v>
      </c>
      <c r="S164" s="274" t="s">
        <v>996</v>
      </c>
      <c r="T164" s="44">
        <v>1</v>
      </c>
      <c r="U164" s="283">
        <v>83</v>
      </c>
      <c r="V164" s="284">
        <v>2</v>
      </c>
      <c r="W164" s="285" t="s">
        <v>889</v>
      </c>
      <c r="X164" s="286" t="s">
        <v>889</v>
      </c>
      <c r="Y164" s="287">
        <v>0</v>
      </c>
      <c r="Z164" s="287" t="s">
        <v>889</v>
      </c>
      <c r="AA164" s="286" t="s">
        <v>889</v>
      </c>
      <c r="AB164" s="287">
        <v>0</v>
      </c>
      <c r="AC164" s="287"/>
      <c r="AD164" s="288" t="s">
        <v>889</v>
      </c>
      <c r="AE164" s="289" t="s">
        <v>889</v>
      </c>
      <c r="AF164" s="279">
        <v>102</v>
      </c>
      <c r="AG164" s="282">
        <v>45201</v>
      </c>
      <c r="AH164" s="282" t="s">
        <v>889</v>
      </c>
      <c r="AI164" s="282">
        <v>45189</v>
      </c>
      <c r="AJ164" s="282" t="s">
        <v>889</v>
      </c>
      <c r="AK164" s="274"/>
    </row>
    <row r="165" spans="1:37" x14ac:dyDescent="0.3">
      <c r="A165" s="273">
        <v>17704</v>
      </c>
      <c r="B165" s="274" t="s">
        <v>1142</v>
      </c>
      <c r="C165" s="146" t="s">
        <v>263</v>
      </c>
      <c r="D165" s="275">
        <v>23.75</v>
      </c>
      <c r="E165" s="274"/>
      <c r="F165" s="274"/>
      <c r="G165" s="274" t="s">
        <v>889</v>
      </c>
      <c r="H165" s="276">
        <v>197</v>
      </c>
      <c r="I165" s="24">
        <v>103003</v>
      </c>
      <c r="J165" s="277">
        <v>23.75</v>
      </c>
      <c r="K165" s="276">
        <v>108</v>
      </c>
      <c r="L165" s="278">
        <v>15.861513687600645</v>
      </c>
      <c r="M165" s="279">
        <v>0</v>
      </c>
      <c r="N165" s="277">
        <v>0</v>
      </c>
      <c r="O165" s="280" t="s">
        <v>888</v>
      </c>
      <c r="P165" s="279">
        <v>0</v>
      </c>
      <c r="Q165" s="281">
        <v>0</v>
      </c>
      <c r="R165" s="282" t="s">
        <v>889</v>
      </c>
      <c r="S165" s="274" t="s">
        <v>1021</v>
      </c>
      <c r="T165" s="44">
        <v>1</v>
      </c>
      <c r="U165" s="283">
        <v>51</v>
      </c>
      <c r="V165" s="284">
        <v>12</v>
      </c>
      <c r="W165" s="285" t="s">
        <v>889</v>
      </c>
      <c r="X165" s="286" t="s">
        <v>889</v>
      </c>
      <c r="Y165" s="287">
        <v>0</v>
      </c>
      <c r="Z165" s="287" t="s">
        <v>889</v>
      </c>
      <c r="AA165" s="286" t="s">
        <v>889</v>
      </c>
      <c r="AB165" s="287">
        <v>0</v>
      </c>
      <c r="AC165" s="287"/>
      <c r="AD165" s="288" t="s">
        <v>889</v>
      </c>
      <c r="AE165" s="289" t="s">
        <v>889</v>
      </c>
      <c r="AF165" s="279">
        <v>50</v>
      </c>
      <c r="AG165" s="282">
        <v>45195</v>
      </c>
      <c r="AH165" s="282" t="s">
        <v>889</v>
      </c>
      <c r="AI165" s="282">
        <v>45202</v>
      </c>
      <c r="AJ165" s="282" t="s">
        <v>889</v>
      </c>
      <c r="AK165" s="274"/>
    </row>
    <row r="166" spans="1:37" x14ac:dyDescent="0.3">
      <c r="A166" s="273">
        <v>17946</v>
      </c>
      <c r="B166" s="274" t="s">
        <v>1143</v>
      </c>
      <c r="C166" s="146" t="s">
        <v>263</v>
      </c>
      <c r="D166" s="275">
        <v>5.29</v>
      </c>
      <c r="E166" s="274"/>
      <c r="F166" s="274"/>
      <c r="G166" s="274" t="s">
        <v>889</v>
      </c>
      <c r="H166" s="276">
        <v>2316</v>
      </c>
      <c r="I166" s="24">
        <v>103003</v>
      </c>
      <c r="J166" s="277">
        <v>5.29</v>
      </c>
      <c r="K166" s="276">
        <v>20</v>
      </c>
      <c r="L166" s="278">
        <v>1386.8263473053892</v>
      </c>
      <c r="M166" s="279">
        <v>0</v>
      </c>
      <c r="N166" s="277">
        <v>0</v>
      </c>
      <c r="O166" s="280" t="s">
        <v>888</v>
      </c>
      <c r="P166" s="279">
        <v>0</v>
      </c>
      <c r="Q166" s="281">
        <v>0</v>
      </c>
      <c r="R166" s="282" t="s">
        <v>889</v>
      </c>
      <c r="S166" s="274" t="s">
        <v>890</v>
      </c>
      <c r="T166" s="44">
        <v>1</v>
      </c>
      <c r="U166" s="283">
        <v>70</v>
      </c>
      <c r="V166" s="284">
        <v>17</v>
      </c>
      <c r="W166" s="285" t="s">
        <v>889</v>
      </c>
      <c r="X166" s="286" t="s">
        <v>889</v>
      </c>
      <c r="Y166" s="287">
        <v>0</v>
      </c>
      <c r="Z166" s="287" t="s">
        <v>889</v>
      </c>
      <c r="AA166" s="286" t="s">
        <v>889</v>
      </c>
      <c r="AB166" s="287">
        <v>0</v>
      </c>
      <c r="AC166" s="287"/>
      <c r="AD166" s="288" t="s">
        <v>889</v>
      </c>
      <c r="AE166" s="289" t="s">
        <v>889</v>
      </c>
      <c r="AF166" s="279">
        <v>6</v>
      </c>
      <c r="AG166" s="282">
        <v>43105</v>
      </c>
      <c r="AH166" s="282" t="s">
        <v>889</v>
      </c>
      <c r="AI166" s="282">
        <v>43045</v>
      </c>
      <c r="AJ166" s="282" t="s">
        <v>889</v>
      </c>
      <c r="AK166" s="274"/>
    </row>
    <row r="167" spans="1:37" x14ac:dyDescent="0.3">
      <c r="A167" s="273">
        <v>18337</v>
      </c>
      <c r="B167" s="274" t="s">
        <v>1144</v>
      </c>
      <c r="C167" s="146" t="s">
        <v>320</v>
      </c>
      <c r="D167" s="275">
        <v>28.66</v>
      </c>
      <c r="E167" s="274"/>
      <c r="F167" s="274"/>
      <c r="G167" s="274" t="s">
        <v>889</v>
      </c>
      <c r="H167" s="276">
        <v>22</v>
      </c>
      <c r="I167" s="24">
        <v>103003</v>
      </c>
      <c r="J167" s="277">
        <v>28.66</v>
      </c>
      <c r="K167" s="276">
        <v>1</v>
      </c>
      <c r="L167" s="278">
        <v>275</v>
      </c>
      <c r="M167" s="279">
        <v>0</v>
      </c>
      <c r="N167" s="277">
        <v>0</v>
      </c>
      <c r="O167" s="280" t="s">
        <v>888</v>
      </c>
      <c r="P167" s="279">
        <v>0</v>
      </c>
      <c r="Q167" s="281">
        <v>0</v>
      </c>
      <c r="R167" s="282" t="s">
        <v>889</v>
      </c>
      <c r="S167" s="274" t="s">
        <v>991</v>
      </c>
      <c r="T167" s="44">
        <v>1</v>
      </c>
      <c r="U167" s="283">
        <v>67</v>
      </c>
      <c r="V167" s="284">
        <v>6</v>
      </c>
      <c r="W167" s="285" t="s">
        <v>889</v>
      </c>
      <c r="X167" s="286" t="s">
        <v>889</v>
      </c>
      <c r="Y167" s="287">
        <v>0</v>
      </c>
      <c r="Z167" s="287" t="s">
        <v>889</v>
      </c>
      <c r="AA167" s="286" t="s">
        <v>889</v>
      </c>
      <c r="AB167" s="287">
        <v>0</v>
      </c>
      <c r="AC167" s="287"/>
      <c r="AD167" s="288" t="s">
        <v>889</v>
      </c>
      <c r="AE167" s="289" t="s">
        <v>889</v>
      </c>
      <c r="AF167" s="279">
        <v>0</v>
      </c>
      <c r="AG167" s="282">
        <v>43571</v>
      </c>
      <c r="AH167" s="282" t="s">
        <v>889</v>
      </c>
      <c r="AI167" s="282">
        <v>44547</v>
      </c>
      <c r="AJ167" s="282" t="s">
        <v>889</v>
      </c>
      <c r="AK167" s="274"/>
    </row>
    <row r="168" spans="1:37" x14ac:dyDescent="0.3">
      <c r="A168" s="273">
        <v>18346</v>
      </c>
      <c r="B168" s="274" t="s">
        <v>1145</v>
      </c>
      <c r="C168" s="146" t="s">
        <v>320</v>
      </c>
      <c r="D168" s="275">
        <v>14.87</v>
      </c>
      <c r="E168" s="274"/>
      <c r="F168" s="274"/>
      <c r="G168" s="274" t="s">
        <v>889</v>
      </c>
      <c r="H168" s="276">
        <v>250</v>
      </c>
      <c r="I168" s="24">
        <v>103003</v>
      </c>
      <c r="J168" s="277">
        <v>14.87</v>
      </c>
      <c r="K168" s="276">
        <v>8</v>
      </c>
      <c r="L168" s="278">
        <v>373.1343283582089</v>
      </c>
      <c r="M168" s="279">
        <v>0</v>
      </c>
      <c r="N168" s="277">
        <v>0</v>
      </c>
      <c r="O168" s="280" t="s">
        <v>888</v>
      </c>
      <c r="P168" s="279">
        <v>0</v>
      </c>
      <c r="Q168" s="281">
        <v>0</v>
      </c>
      <c r="R168" s="282" t="s">
        <v>889</v>
      </c>
      <c r="S168" s="274" t="s">
        <v>991</v>
      </c>
      <c r="T168" s="44">
        <v>1</v>
      </c>
      <c r="U168" s="283">
        <v>67</v>
      </c>
      <c r="V168" s="284">
        <v>6</v>
      </c>
      <c r="W168" s="285" t="s">
        <v>889</v>
      </c>
      <c r="X168" s="286" t="s">
        <v>889</v>
      </c>
      <c r="Y168" s="287">
        <v>0</v>
      </c>
      <c r="Z168" s="287" t="s">
        <v>889</v>
      </c>
      <c r="AA168" s="286" t="s">
        <v>889</v>
      </c>
      <c r="AB168" s="287">
        <v>0</v>
      </c>
      <c r="AC168" s="287"/>
      <c r="AD168" s="288" t="s">
        <v>889</v>
      </c>
      <c r="AE168" s="289" t="s">
        <v>889</v>
      </c>
      <c r="AF168" s="279">
        <v>2</v>
      </c>
      <c r="AG168" s="282">
        <v>43853</v>
      </c>
      <c r="AH168" s="282" t="s">
        <v>889</v>
      </c>
      <c r="AI168" s="282">
        <v>44922</v>
      </c>
      <c r="AJ168" s="282" t="s">
        <v>889</v>
      </c>
      <c r="AK168" s="274"/>
    </row>
    <row r="169" spans="1:37" x14ac:dyDescent="0.3">
      <c r="A169" s="273">
        <v>18353</v>
      </c>
      <c r="B169" s="274" t="s">
        <v>1146</v>
      </c>
      <c r="C169" s="146" t="s">
        <v>320</v>
      </c>
      <c r="D169" s="275">
        <v>11</v>
      </c>
      <c r="E169" s="274"/>
      <c r="F169" s="274"/>
      <c r="G169" s="274" t="s">
        <v>889</v>
      </c>
      <c r="H169" s="276">
        <v>999</v>
      </c>
      <c r="I169" s="24">
        <v>103003</v>
      </c>
      <c r="J169" s="277">
        <v>11</v>
      </c>
      <c r="K169" s="276">
        <v>100</v>
      </c>
      <c r="L169" s="278">
        <v>59.928014397120577</v>
      </c>
      <c r="M169" s="279">
        <v>0</v>
      </c>
      <c r="N169" s="277">
        <v>0</v>
      </c>
      <c r="O169" s="280" t="s">
        <v>888</v>
      </c>
      <c r="P169" s="279">
        <v>0</v>
      </c>
      <c r="Q169" s="281">
        <v>0</v>
      </c>
      <c r="R169" s="282" t="s">
        <v>889</v>
      </c>
      <c r="S169" s="274" t="s">
        <v>991</v>
      </c>
      <c r="T169" s="44">
        <v>1</v>
      </c>
      <c r="U169" s="283">
        <v>67</v>
      </c>
      <c r="V169" s="284">
        <v>6</v>
      </c>
      <c r="W169" s="285" t="s">
        <v>889</v>
      </c>
      <c r="X169" s="286" t="s">
        <v>889</v>
      </c>
      <c r="Y169" s="287">
        <v>0</v>
      </c>
      <c r="Z169" s="287" t="s">
        <v>889</v>
      </c>
      <c r="AA169" s="286" t="s">
        <v>889</v>
      </c>
      <c r="AB169" s="287">
        <v>0</v>
      </c>
      <c r="AC169" s="287"/>
      <c r="AD169" s="288" t="s">
        <v>889</v>
      </c>
      <c r="AE169" s="289" t="s">
        <v>889</v>
      </c>
      <c r="AF169" s="279">
        <v>66</v>
      </c>
      <c r="AG169" s="282">
        <v>45201</v>
      </c>
      <c r="AH169" s="282" t="s">
        <v>889</v>
      </c>
      <c r="AI169" s="282">
        <v>45189</v>
      </c>
      <c r="AJ169" s="282" t="s">
        <v>889</v>
      </c>
      <c r="AK169" s="274"/>
    </row>
    <row r="170" spans="1:37" x14ac:dyDescent="0.3">
      <c r="A170" s="273">
        <v>18357</v>
      </c>
      <c r="B170" s="274" t="s">
        <v>1147</v>
      </c>
      <c r="C170" s="146" t="s">
        <v>320</v>
      </c>
      <c r="D170" s="275">
        <v>10.6</v>
      </c>
      <c r="E170" s="274"/>
      <c r="F170" s="274"/>
      <c r="G170" s="274" t="s">
        <v>889</v>
      </c>
      <c r="H170" s="276">
        <v>1098</v>
      </c>
      <c r="I170" s="24">
        <v>103003</v>
      </c>
      <c r="J170" s="277">
        <v>10.6</v>
      </c>
      <c r="K170" s="276">
        <v>127</v>
      </c>
      <c r="L170" s="278">
        <v>58.311205523101435</v>
      </c>
      <c r="M170" s="279">
        <v>0</v>
      </c>
      <c r="N170" s="277">
        <v>0</v>
      </c>
      <c r="O170" s="280" t="s">
        <v>888</v>
      </c>
      <c r="P170" s="279">
        <v>0</v>
      </c>
      <c r="Q170" s="281">
        <v>0</v>
      </c>
      <c r="R170" s="282" t="s">
        <v>889</v>
      </c>
      <c r="S170" s="274" t="s">
        <v>991</v>
      </c>
      <c r="T170" s="44">
        <v>1</v>
      </c>
      <c r="U170" s="283">
        <v>67</v>
      </c>
      <c r="V170" s="284">
        <v>6</v>
      </c>
      <c r="W170" s="285" t="s">
        <v>889</v>
      </c>
      <c r="X170" s="286" t="s">
        <v>889</v>
      </c>
      <c r="Y170" s="287">
        <v>0</v>
      </c>
      <c r="Z170" s="287" t="s">
        <v>889</v>
      </c>
      <c r="AA170" s="286" t="s">
        <v>889</v>
      </c>
      <c r="AB170" s="287">
        <v>0</v>
      </c>
      <c r="AC170" s="287"/>
      <c r="AD170" s="288" t="s">
        <v>889</v>
      </c>
      <c r="AE170" s="289" t="s">
        <v>889</v>
      </c>
      <c r="AF170" s="279">
        <v>76</v>
      </c>
      <c r="AG170" s="282">
        <v>45201</v>
      </c>
      <c r="AH170" s="282" t="s">
        <v>889</v>
      </c>
      <c r="AI170" s="282">
        <v>45189</v>
      </c>
      <c r="AJ170" s="282" t="s">
        <v>889</v>
      </c>
      <c r="AK170" s="274"/>
    </row>
    <row r="171" spans="1:37" x14ac:dyDescent="0.3">
      <c r="A171" s="273">
        <v>18358</v>
      </c>
      <c r="B171" s="274" t="s">
        <v>1148</v>
      </c>
      <c r="C171" s="146" t="s">
        <v>320</v>
      </c>
      <c r="D171" s="275">
        <v>11.8</v>
      </c>
      <c r="E171" s="274"/>
      <c r="F171" s="274"/>
      <c r="G171" s="274" t="s">
        <v>889</v>
      </c>
      <c r="H171" s="276">
        <v>189</v>
      </c>
      <c r="I171" s="24">
        <v>103003</v>
      </c>
      <c r="J171" s="277">
        <v>11.8</v>
      </c>
      <c r="K171" s="276">
        <v>137</v>
      </c>
      <c r="L171" s="278">
        <v>13.917525773195877</v>
      </c>
      <c r="M171" s="279">
        <v>0</v>
      </c>
      <c r="N171" s="277">
        <v>0</v>
      </c>
      <c r="O171" s="280" t="s">
        <v>888</v>
      </c>
      <c r="P171" s="279">
        <v>0</v>
      </c>
      <c r="Q171" s="281">
        <v>0</v>
      </c>
      <c r="R171" s="282" t="s">
        <v>889</v>
      </c>
      <c r="S171" s="274" t="s">
        <v>991</v>
      </c>
      <c r="T171" s="44">
        <v>1</v>
      </c>
      <c r="U171" s="283">
        <v>67</v>
      </c>
      <c r="V171" s="284">
        <v>6</v>
      </c>
      <c r="W171" s="285" t="s">
        <v>889</v>
      </c>
      <c r="X171" s="286" t="s">
        <v>889</v>
      </c>
      <c r="Y171" s="287">
        <v>0</v>
      </c>
      <c r="Z171" s="287" t="s">
        <v>889</v>
      </c>
      <c r="AA171" s="286" t="s">
        <v>889</v>
      </c>
      <c r="AB171" s="287">
        <v>0</v>
      </c>
      <c r="AC171" s="287"/>
      <c r="AD171" s="288" t="s">
        <v>889</v>
      </c>
      <c r="AE171" s="289" t="s">
        <v>889</v>
      </c>
      <c r="AF171" s="279">
        <v>54</v>
      </c>
      <c r="AG171" s="282">
        <v>45201</v>
      </c>
      <c r="AH171" s="282" t="s">
        <v>889</v>
      </c>
      <c r="AI171" s="282">
        <v>45189</v>
      </c>
      <c r="AJ171" s="282" t="s">
        <v>889</v>
      </c>
      <c r="AK171" s="274"/>
    </row>
    <row r="172" spans="1:37" x14ac:dyDescent="0.3">
      <c r="A172" s="273">
        <v>19842</v>
      </c>
      <c r="B172" s="274" t="s">
        <v>1149</v>
      </c>
      <c r="C172" s="146" t="s">
        <v>263</v>
      </c>
      <c r="D172" s="275">
        <v>0.44</v>
      </c>
      <c r="E172" s="274"/>
      <c r="F172" s="274"/>
      <c r="G172" s="274" t="s">
        <v>889</v>
      </c>
      <c r="H172" s="276">
        <v>0</v>
      </c>
      <c r="I172" s="24">
        <v>103003</v>
      </c>
      <c r="J172" s="277">
        <v>0.44791999999999998</v>
      </c>
      <c r="K172" s="276">
        <v>8755</v>
      </c>
      <c r="L172" s="278">
        <v>0</v>
      </c>
      <c r="M172" s="279">
        <v>6775.04</v>
      </c>
      <c r="N172" s="277">
        <v>2981.0176000000001</v>
      </c>
      <c r="O172" s="280" t="s">
        <v>888</v>
      </c>
      <c r="P172" s="279">
        <v>0</v>
      </c>
      <c r="Q172" s="281">
        <v>0</v>
      </c>
      <c r="R172" s="282" t="s">
        <v>889</v>
      </c>
      <c r="S172" s="274" t="s">
        <v>1150</v>
      </c>
      <c r="T172" s="44">
        <v>1</v>
      </c>
      <c r="U172" s="283">
        <v>62</v>
      </c>
      <c r="V172" s="284">
        <v>12</v>
      </c>
      <c r="W172" s="285">
        <v>8985</v>
      </c>
      <c r="X172" s="286">
        <v>2023</v>
      </c>
      <c r="Y172" s="287">
        <v>2800</v>
      </c>
      <c r="Z172" s="287" t="s">
        <v>889</v>
      </c>
      <c r="AA172" s="286" t="s">
        <v>889</v>
      </c>
      <c r="AB172" s="287">
        <v>0</v>
      </c>
      <c r="AC172" s="287"/>
      <c r="AD172" s="288" t="s">
        <v>889</v>
      </c>
      <c r="AE172" s="289" t="s">
        <v>889</v>
      </c>
      <c r="AF172" s="279">
        <v>3192</v>
      </c>
      <c r="AG172" s="282">
        <v>44606</v>
      </c>
      <c r="AH172" s="282" t="s">
        <v>889</v>
      </c>
      <c r="AI172" s="282">
        <v>44582</v>
      </c>
      <c r="AJ172" s="282" t="s">
        <v>889</v>
      </c>
      <c r="AK172" s="274"/>
    </row>
    <row r="173" spans="1:37" x14ac:dyDescent="0.3">
      <c r="A173" s="273">
        <v>19871</v>
      </c>
      <c r="B173" s="274" t="s">
        <v>1151</v>
      </c>
      <c r="C173" s="146" t="s">
        <v>263</v>
      </c>
      <c r="D173" s="275">
        <v>4.17</v>
      </c>
      <c r="E173" s="274"/>
      <c r="F173" s="274"/>
      <c r="G173" s="274" t="s">
        <v>889</v>
      </c>
      <c r="H173" s="276">
        <v>95</v>
      </c>
      <c r="I173" s="24">
        <v>103003</v>
      </c>
      <c r="J173" s="277">
        <v>4.17</v>
      </c>
      <c r="K173" s="276">
        <v>38</v>
      </c>
      <c r="L173" s="278">
        <v>29.968454258675077</v>
      </c>
      <c r="M173" s="279">
        <v>0</v>
      </c>
      <c r="N173" s="277">
        <v>0</v>
      </c>
      <c r="O173" s="280" t="s">
        <v>888</v>
      </c>
      <c r="P173" s="279">
        <v>0</v>
      </c>
      <c r="Q173" s="281">
        <v>0</v>
      </c>
      <c r="R173" s="282" t="s">
        <v>889</v>
      </c>
      <c r="S173" s="274" t="s">
        <v>1152</v>
      </c>
      <c r="T173" s="44">
        <v>1</v>
      </c>
      <c r="U173" s="283">
        <v>70</v>
      </c>
      <c r="V173" s="284">
        <v>31</v>
      </c>
      <c r="W173" s="285" t="s">
        <v>889</v>
      </c>
      <c r="X173" s="286" t="s">
        <v>889</v>
      </c>
      <c r="Y173" s="287">
        <v>0</v>
      </c>
      <c r="Z173" s="287" t="s">
        <v>889</v>
      </c>
      <c r="AA173" s="286" t="s">
        <v>889</v>
      </c>
      <c r="AB173" s="287">
        <v>0</v>
      </c>
      <c r="AC173" s="287"/>
      <c r="AD173" s="288" t="s">
        <v>889</v>
      </c>
      <c r="AE173" s="289" t="s">
        <v>889</v>
      </c>
      <c r="AF173" s="279">
        <v>12</v>
      </c>
      <c r="AG173" s="282">
        <v>44375</v>
      </c>
      <c r="AH173" s="282" t="s">
        <v>889</v>
      </c>
      <c r="AI173" s="282">
        <v>44890</v>
      </c>
      <c r="AJ173" s="282" t="s">
        <v>889</v>
      </c>
      <c r="AK173" s="274"/>
    </row>
    <row r="174" spans="1:37" x14ac:dyDescent="0.3">
      <c r="A174" s="273">
        <v>19882</v>
      </c>
      <c r="B174" s="274" t="s">
        <v>1153</v>
      </c>
      <c r="C174" s="146" t="s">
        <v>263</v>
      </c>
      <c r="D174" s="275">
        <v>3.98</v>
      </c>
      <c r="E174" s="274"/>
      <c r="F174" s="274"/>
      <c r="G174" s="274" t="s">
        <v>889</v>
      </c>
      <c r="H174" s="276">
        <v>224</v>
      </c>
      <c r="I174" s="24">
        <v>103003</v>
      </c>
      <c r="J174" s="277">
        <v>3.9693100000000001</v>
      </c>
      <c r="K174" s="276">
        <v>34</v>
      </c>
      <c r="L174" s="278">
        <v>79.15194346289752</v>
      </c>
      <c r="M174" s="279">
        <v>0</v>
      </c>
      <c r="N174" s="277">
        <v>0</v>
      </c>
      <c r="O174" s="280" t="s">
        <v>888</v>
      </c>
      <c r="P174" s="279">
        <v>0</v>
      </c>
      <c r="Q174" s="281">
        <v>0</v>
      </c>
      <c r="R174" s="282" t="s">
        <v>889</v>
      </c>
      <c r="S174" s="274" t="s">
        <v>1152</v>
      </c>
      <c r="T174" s="44">
        <v>1</v>
      </c>
      <c r="U174" s="283">
        <v>70</v>
      </c>
      <c r="V174" s="284">
        <v>31</v>
      </c>
      <c r="W174" s="285" t="s">
        <v>889</v>
      </c>
      <c r="X174" s="286" t="s">
        <v>889</v>
      </c>
      <c r="Y174" s="287">
        <v>0</v>
      </c>
      <c r="Z174" s="287" t="s">
        <v>889</v>
      </c>
      <c r="AA174" s="286" t="s">
        <v>889</v>
      </c>
      <c r="AB174" s="287">
        <v>0</v>
      </c>
      <c r="AC174" s="287"/>
      <c r="AD174" s="288" t="s">
        <v>889</v>
      </c>
      <c r="AE174" s="289" t="s">
        <v>889</v>
      </c>
      <c r="AF174" s="279">
        <v>12</v>
      </c>
      <c r="AG174" s="282">
        <v>43748</v>
      </c>
      <c r="AH174" s="282" t="s">
        <v>889</v>
      </c>
      <c r="AI174" s="282">
        <v>43619</v>
      </c>
      <c r="AJ174" s="282" t="s">
        <v>889</v>
      </c>
      <c r="AK174" s="274"/>
    </row>
    <row r="175" spans="1:37" x14ac:dyDescent="0.3">
      <c r="A175" s="273">
        <v>19883</v>
      </c>
      <c r="B175" s="274" t="s">
        <v>1154</v>
      </c>
      <c r="C175" s="146" t="s">
        <v>263</v>
      </c>
      <c r="D175" s="275">
        <v>3.45</v>
      </c>
      <c r="E175" s="274"/>
      <c r="F175" s="274"/>
      <c r="G175" s="274" t="s">
        <v>889</v>
      </c>
      <c r="H175" s="276">
        <v>547</v>
      </c>
      <c r="I175" s="24">
        <v>103003</v>
      </c>
      <c r="J175" s="277">
        <v>3.45</v>
      </c>
      <c r="K175" s="276">
        <v>38</v>
      </c>
      <c r="L175" s="278">
        <v>172.55520504731859</v>
      </c>
      <c r="M175" s="279">
        <v>0</v>
      </c>
      <c r="N175" s="277">
        <v>0</v>
      </c>
      <c r="O175" s="280" t="s">
        <v>888</v>
      </c>
      <c r="P175" s="279">
        <v>0</v>
      </c>
      <c r="Q175" s="281">
        <v>0</v>
      </c>
      <c r="R175" s="282" t="s">
        <v>889</v>
      </c>
      <c r="S175" s="274" t="s">
        <v>1152</v>
      </c>
      <c r="T175" s="44">
        <v>1</v>
      </c>
      <c r="U175" s="283">
        <v>70</v>
      </c>
      <c r="V175" s="284">
        <v>31</v>
      </c>
      <c r="W175" s="285" t="s">
        <v>889</v>
      </c>
      <c r="X175" s="286" t="s">
        <v>889</v>
      </c>
      <c r="Y175" s="287">
        <v>0</v>
      </c>
      <c r="Z175" s="287" t="s">
        <v>889</v>
      </c>
      <c r="AA175" s="286" t="s">
        <v>889</v>
      </c>
      <c r="AB175" s="287">
        <v>0</v>
      </c>
      <c r="AC175" s="287"/>
      <c r="AD175" s="288" t="s">
        <v>889</v>
      </c>
      <c r="AE175" s="289" t="s">
        <v>889</v>
      </c>
      <c r="AF175" s="279">
        <v>12</v>
      </c>
      <c r="AG175" s="282">
        <v>44571</v>
      </c>
      <c r="AH175" s="282" t="s">
        <v>889</v>
      </c>
      <c r="AI175" s="282">
        <v>44536</v>
      </c>
      <c r="AJ175" s="282" t="s">
        <v>889</v>
      </c>
      <c r="AK175" s="274"/>
    </row>
    <row r="176" spans="1:37" x14ac:dyDescent="0.3">
      <c r="A176" s="273">
        <v>19998</v>
      </c>
      <c r="B176" s="274" t="s">
        <v>1155</v>
      </c>
      <c r="C176" s="146" t="s">
        <v>263</v>
      </c>
      <c r="D176" s="275">
        <v>10.45</v>
      </c>
      <c r="E176" s="274"/>
      <c r="F176" s="274"/>
      <c r="G176" s="274" t="s">
        <v>889</v>
      </c>
      <c r="H176" s="276">
        <v>0</v>
      </c>
      <c r="I176" s="24">
        <v>103003</v>
      </c>
      <c r="J176" s="277">
        <v>10.45</v>
      </c>
      <c r="K176" s="276">
        <v>14</v>
      </c>
      <c r="L176" s="278">
        <v>0</v>
      </c>
      <c r="M176" s="279">
        <v>14.04</v>
      </c>
      <c r="N176" s="277">
        <v>146.71799999999999</v>
      </c>
      <c r="O176" s="280" t="s">
        <v>888</v>
      </c>
      <c r="P176" s="279">
        <v>0</v>
      </c>
      <c r="Q176" s="281">
        <v>0</v>
      </c>
      <c r="R176" s="282" t="s">
        <v>889</v>
      </c>
      <c r="S176" s="274" t="s">
        <v>1152</v>
      </c>
      <c r="T176" s="44">
        <v>1</v>
      </c>
      <c r="U176" s="283">
        <v>70</v>
      </c>
      <c r="V176" s="284">
        <v>31</v>
      </c>
      <c r="W176" s="285" t="s">
        <v>889</v>
      </c>
      <c r="X176" s="286" t="s">
        <v>889</v>
      </c>
      <c r="Y176" s="287">
        <v>0</v>
      </c>
      <c r="Z176" s="287" t="s">
        <v>889</v>
      </c>
      <c r="AA176" s="286" t="s">
        <v>889</v>
      </c>
      <c r="AB176" s="287">
        <v>0</v>
      </c>
      <c r="AC176" s="287"/>
      <c r="AD176" s="288" t="s">
        <v>889</v>
      </c>
      <c r="AE176" s="289" t="s">
        <v>889</v>
      </c>
      <c r="AF176" s="279">
        <v>4</v>
      </c>
      <c r="AG176" s="282">
        <v>43553</v>
      </c>
      <c r="AH176" s="282" t="s">
        <v>889</v>
      </c>
      <c r="AI176" s="282">
        <v>43658</v>
      </c>
      <c r="AJ176" s="282" t="s">
        <v>889</v>
      </c>
      <c r="AK176" s="274"/>
    </row>
    <row r="177" spans="1:37" x14ac:dyDescent="0.3">
      <c r="A177" s="273">
        <v>20001</v>
      </c>
      <c r="B177" s="274" t="s">
        <v>1156</v>
      </c>
      <c r="C177" s="146" t="s">
        <v>263</v>
      </c>
      <c r="D177" s="275">
        <v>1.02</v>
      </c>
      <c r="E177" s="274"/>
      <c r="F177" s="274"/>
      <c r="G177" s="274" t="s">
        <v>889</v>
      </c>
      <c r="H177" s="276">
        <v>0</v>
      </c>
      <c r="I177" s="24">
        <v>103003</v>
      </c>
      <c r="J177" s="277">
        <v>1.02</v>
      </c>
      <c r="K177" s="276">
        <v>0</v>
      </c>
      <c r="L177" s="278">
        <v>0</v>
      </c>
      <c r="M177" s="279">
        <v>0</v>
      </c>
      <c r="N177" s="277">
        <v>0</v>
      </c>
      <c r="O177" s="280" t="s">
        <v>888</v>
      </c>
      <c r="P177" s="279">
        <v>0</v>
      </c>
      <c r="Q177" s="281">
        <v>0</v>
      </c>
      <c r="R177" s="282" t="s">
        <v>889</v>
      </c>
      <c r="S177" s="274" t="s">
        <v>1152</v>
      </c>
      <c r="T177" s="44">
        <v>1</v>
      </c>
      <c r="U177" s="283">
        <v>70</v>
      </c>
      <c r="V177" s="284">
        <v>31</v>
      </c>
      <c r="W177" s="285" t="s">
        <v>889</v>
      </c>
      <c r="X177" s="286" t="s">
        <v>889</v>
      </c>
      <c r="Y177" s="287">
        <v>0</v>
      </c>
      <c r="Z177" s="287" t="s">
        <v>889</v>
      </c>
      <c r="AA177" s="286" t="s">
        <v>889</v>
      </c>
      <c r="AB177" s="287">
        <v>0</v>
      </c>
      <c r="AC177" s="287"/>
      <c r="AD177" s="288" t="s">
        <v>889</v>
      </c>
      <c r="AE177" s="289" t="s">
        <v>889</v>
      </c>
      <c r="AF177" s="279">
        <v>0</v>
      </c>
      <c r="AG177" s="282">
        <v>43818</v>
      </c>
      <c r="AH177" s="282" t="s">
        <v>889</v>
      </c>
      <c r="AI177" s="282">
        <v>43812</v>
      </c>
      <c r="AJ177" s="282" t="s">
        <v>889</v>
      </c>
      <c r="AK177" s="274"/>
    </row>
    <row r="178" spans="1:37" x14ac:dyDescent="0.3">
      <c r="A178" s="273">
        <v>20034</v>
      </c>
      <c r="B178" s="274" t="s">
        <v>1157</v>
      </c>
      <c r="C178" s="146" t="s">
        <v>263</v>
      </c>
      <c r="D178" s="275">
        <v>2.44</v>
      </c>
      <c r="E178" s="274"/>
      <c r="F178" s="274"/>
      <c r="G178" s="274" t="s">
        <v>889</v>
      </c>
      <c r="H178" s="276">
        <v>241</v>
      </c>
      <c r="I178" s="24">
        <v>103003</v>
      </c>
      <c r="J178" s="277">
        <v>2.44</v>
      </c>
      <c r="K178" s="276">
        <v>540</v>
      </c>
      <c r="L178" s="278">
        <v>4.456360946745562</v>
      </c>
      <c r="M178" s="279">
        <v>407.96</v>
      </c>
      <c r="N178" s="277">
        <v>995.42240000000004</v>
      </c>
      <c r="O178" s="280" t="s">
        <v>888</v>
      </c>
      <c r="P178" s="279">
        <v>0</v>
      </c>
      <c r="Q178" s="281">
        <v>0</v>
      </c>
      <c r="R178" s="282" t="s">
        <v>889</v>
      </c>
      <c r="S178" s="274" t="s">
        <v>1152</v>
      </c>
      <c r="T178" s="44">
        <v>1</v>
      </c>
      <c r="U178" s="283">
        <v>70</v>
      </c>
      <c r="V178" s="284">
        <v>31</v>
      </c>
      <c r="W178" s="285" t="s">
        <v>889</v>
      </c>
      <c r="X178" s="286" t="s">
        <v>889</v>
      </c>
      <c r="Y178" s="287">
        <v>0</v>
      </c>
      <c r="Z178" s="287" t="s">
        <v>889</v>
      </c>
      <c r="AA178" s="286" t="s">
        <v>889</v>
      </c>
      <c r="AB178" s="287">
        <v>0</v>
      </c>
      <c r="AC178" s="287"/>
      <c r="AD178" s="288" t="s">
        <v>889</v>
      </c>
      <c r="AE178" s="289" t="s">
        <v>889</v>
      </c>
      <c r="AF178" s="279">
        <v>216</v>
      </c>
      <c r="AG178" s="282">
        <v>44607</v>
      </c>
      <c r="AH178" s="282" t="s">
        <v>889</v>
      </c>
      <c r="AI178" s="282">
        <v>44592</v>
      </c>
      <c r="AJ178" s="282" t="s">
        <v>889</v>
      </c>
      <c r="AK178" s="274"/>
    </row>
    <row r="179" spans="1:37" x14ac:dyDescent="0.3">
      <c r="A179" s="273">
        <v>20035</v>
      </c>
      <c r="B179" s="274" t="s">
        <v>1158</v>
      </c>
      <c r="C179" s="146" t="s">
        <v>263</v>
      </c>
      <c r="D179" s="275">
        <v>1.18</v>
      </c>
      <c r="E179" s="274"/>
      <c r="F179" s="274"/>
      <c r="G179" s="274" t="s">
        <v>889</v>
      </c>
      <c r="H179" s="276">
        <v>849</v>
      </c>
      <c r="I179" s="24">
        <v>103003</v>
      </c>
      <c r="J179" s="277">
        <v>1.18</v>
      </c>
      <c r="K179" s="276">
        <v>160</v>
      </c>
      <c r="L179" s="278">
        <v>55.965721819380356</v>
      </c>
      <c r="M179" s="279">
        <v>0</v>
      </c>
      <c r="N179" s="277">
        <v>0</v>
      </c>
      <c r="O179" s="280" t="s">
        <v>888</v>
      </c>
      <c r="P179" s="279">
        <v>0</v>
      </c>
      <c r="Q179" s="281">
        <v>0</v>
      </c>
      <c r="R179" s="282" t="s">
        <v>889</v>
      </c>
      <c r="S179" s="274" t="s">
        <v>1152</v>
      </c>
      <c r="T179" s="44">
        <v>1</v>
      </c>
      <c r="U179" s="283">
        <v>70</v>
      </c>
      <c r="V179" s="284">
        <v>31</v>
      </c>
      <c r="W179" s="285" t="s">
        <v>889</v>
      </c>
      <c r="X179" s="286" t="s">
        <v>889</v>
      </c>
      <c r="Y179" s="287">
        <v>0</v>
      </c>
      <c r="Z179" s="287" t="s">
        <v>889</v>
      </c>
      <c r="AA179" s="286" t="s">
        <v>889</v>
      </c>
      <c r="AB179" s="287">
        <v>0</v>
      </c>
      <c r="AC179" s="287"/>
      <c r="AD179" s="288" t="s">
        <v>889</v>
      </c>
      <c r="AE179" s="289" t="s">
        <v>889</v>
      </c>
      <c r="AF179" s="279">
        <v>60</v>
      </c>
      <c r="AG179" s="282">
        <v>44607</v>
      </c>
      <c r="AH179" s="282" t="s">
        <v>889</v>
      </c>
      <c r="AI179" s="282">
        <v>44592</v>
      </c>
      <c r="AJ179" s="282" t="s">
        <v>889</v>
      </c>
      <c r="AK179" s="274"/>
    </row>
    <row r="180" spans="1:37" x14ac:dyDescent="0.3">
      <c r="A180" s="273">
        <v>20037</v>
      </c>
      <c r="B180" s="274" t="s">
        <v>1159</v>
      </c>
      <c r="C180" s="146" t="s">
        <v>263</v>
      </c>
      <c r="D180" s="275">
        <v>9.98</v>
      </c>
      <c r="E180" s="274"/>
      <c r="F180" s="274"/>
      <c r="G180" s="274" t="s">
        <v>889</v>
      </c>
      <c r="H180" s="276">
        <v>148</v>
      </c>
      <c r="I180" s="24">
        <v>103003</v>
      </c>
      <c r="J180" s="277">
        <v>9.98</v>
      </c>
      <c r="K180" s="276">
        <v>110</v>
      </c>
      <c r="L180" s="278">
        <v>15.055951169888099</v>
      </c>
      <c r="M180" s="279">
        <v>0</v>
      </c>
      <c r="N180" s="277">
        <v>0</v>
      </c>
      <c r="O180" s="280" t="s">
        <v>888</v>
      </c>
      <c r="P180" s="279">
        <v>0</v>
      </c>
      <c r="Q180" s="281">
        <v>0</v>
      </c>
      <c r="R180" s="282" t="s">
        <v>889</v>
      </c>
      <c r="S180" s="274" t="s">
        <v>1152</v>
      </c>
      <c r="T180" s="44">
        <v>1</v>
      </c>
      <c r="U180" s="283">
        <v>70</v>
      </c>
      <c r="V180" s="284">
        <v>31</v>
      </c>
      <c r="W180" s="285" t="s">
        <v>889</v>
      </c>
      <c r="X180" s="286" t="s">
        <v>889</v>
      </c>
      <c r="Y180" s="287">
        <v>0</v>
      </c>
      <c r="Z180" s="287" t="s">
        <v>889</v>
      </c>
      <c r="AA180" s="286" t="s">
        <v>889</v>
      </c>
      <c r="AB180" s="287">
        <v>0</v>
      </c>
      <c r="AC180" s="287"/>
      <c r="AD180" s="288" t="s">
        <v>889</v>
      </c>
      <c r="AE180" s="289" t="s">
        <v>889</v>
      </c>
      <c r="AF180" s="279">
        <v>40</v>
      </c>
      <c r="AG180" s="282">
        <v>44607</v>
      </c>
      <c r="AH180" s="282" t="s">
        <v>889</v>
      </c>
      <c r="AI180" s="282">
        <v>44592</v>
      </c>
      <c r="AJ180" s="282" t="s">
        <v>889</v>
      </c>
      <c r="AK180" s="274"/>
    </row>
    <row r="181" spans="1:37" x14ac:dyDescent="0.3">
      <c r="A181" s="273">
        <v>20104</v>
      </c>
      <c r="B181" s="274" t="s">
        <v>1160</v>
      </c>
      <c r="C181" s="146" t="s">
        <v>263</v>
      </c>
      <c r="D181" s="275">
        <v>5.14</v>
      </c>
      <c r="E181" s="274"/>
      <c r="F181" s="274"/>
      <c r="G181" s="274" t="s">
        <v>889</v>
      </c>
      <c r="H181" s="276">
        <v>284</v>
      </c>
      <c r="I181" s="24">
        <v>103003</v>
      </c>
      <c r="J181" s="277">
        <v>5.14</v>
      </c>
      <c r="K181" s="276">
        <v>231</v>
      </c>
      <c r="L181" s="278">
        <v>14.692188308329023</v>
      </c>
      <c r="M181" s="279">
        <v>0</v>
      </c>
      <c r="N181" s="277">
        <v>0</v>
      </c>
      <c r="O181" s="280" t="s">
        <v>888</v>
      </c>
      <c r="P181" s="279">
        <v>0</v>
      </c>
      <c r="Q181" s="281">
        <v>0</v>
      </c>
      <c r="R181" s="282" t="s">
        <v>889</v>
      </c>
      <c r="S181" s="274" t="s">
        <v>1152</v>
      </c>
      <c r="T181" s="44">
        <v>1</v>
      </c>
      <c r="U181" s="283">
        <v>70</v>
      </c>
      <c r="V181" s="284">
        <v>31</v>
      </c>
      <c r="W181" s="285" t="s">
        <v>889</v>
      </c>
      <c r="X181" s="286" t="s">
        <v>889</v>
      </c>
      <c r="Y181" s="287">
        <v>0</v>
      </c>
      <c r="Z181" s="287" t="s">
        <v>889</v>
      </c>
      <c r="AA181" s="286" t="s">
        <v>889</v>
      </c>
      <c r="AB181" s="287">
        <v>0</v>
      </c>
      <c r="AC181" s="287"/>
      <c r="AD181" s="288" t="s">
        <v>889</v>
      </c>
      <c r="AE181" s="289" t="s">
        <v>889</v>
      </c>
      <c r="AF181" s="279">
        <v>78</v>
      </c>
      <c r="AG181" s="282">
        <v>44571</v>
      </c>
      <c r="AH181" s="282" t="s">
        <v>889</v>
      </c>
      <c r="AI181" s="282">
        <v>44536</v>
      </c>
      <c r="AJ181" s="282" t="s">
        <v>889</v>
      </c>
      <c r="AK181" s="274"/>
    </row>
    <row r="182" spans="1:37" x14ac:dyDescent="0.3">
      <c r="A182" s="273">
        <v>20106</v>
      </c>
      <c r="B182" s="274" t="s">
        <v>1161</v>
      </c>
      <c r="C182" s="146" t="s">
        <v>263</v>
      </c>
      <c r="D182" s="275">
        <v>1.42</v>
      </c>
      <c r="E182" s="274"/>
      <c r="F182" s="274"/>
      <c r="G182" s="274" t="s">
        <v>889</v>
      </c>
      <c r="H182" s="276">
        <v>518</v>
      </c>
      <c r="I182" s="24">
        <v>103003</v>
      </c>
      <c r="J182" s="277">
        <v>1.42</v>
      </c>
      <c r="K182" s="276">
        <v>335</v>
      </c>
      <c r="L182" s="278">
        <v>15.899324739103744</v>
      </c>
      <c r="M182" s="279">
        <v>0</v>
      </c>
      <c r="N182" s="277">
        <v>0</v>
      </c>
      <c r="O182" s="280" t="s">
        <v>888</v>
      </c>
      <c r="P182" s="279">
        <v>0</v>
      </c>
      <c r="Q182" s="281">
        <v>0</v>
      </c>
      <c r="R182" s="282" t="s">
        <v>889</v>
      </c>
      <c r="S182" s="274" t="s">
        <v>1152</v>
      </c>
      <c r="T182" s="44">
        <v>1</v>
      </c>
      <c r="U182" s="283">
        <v>70</v>
      </c>
      <c r="V182" s="284">
        <v>31</v>
      </c>
      <c r="W182" s="285" t="s">
        <v>889</v>
      </c>
      <c r="X182" s="286" t="s">
        <v>889</v>
      </c>
      <c r="Y182" s="287">
        <v>0</v>
      </c>
      <c r="Z182" s="287" t="s">
        <v>889</v>
      </c>
      <c r="AA182" s="286" t="s">
        <v>889</v>
      </c>
      <c r="AB182" s="287">
        <v>0</v>
      </c>
      <c r="AC182" s="287"/>
      <c r="AD182" s="288" t="s">
        <v>889</v>
      </c>
      <c r="AE182" s="289" t="s">
        <v>889</v>
      </c>
      <c r="AF182" s="279">
        <v>130</v>
      </c>
      <c r="AG182" s="282">
        <v>44607</v>
      </c>
      <c r="AH182" s="282" t="s">
        <v>889</v>
      </c>
      <c r="AI182" s="282">
        <v>44592</v>
      </c>
      <c r="AJ182" s="282" t="s">
        <v>889</v>
      </c>
      <c r="AK182" s="274"/>
    </row>
    <row r="183" spans="1:37" x14ac:dyDescent="0.3">
      <c r="A183" s="273">
        <v>20135</v>
      </c>
      <c r="B183" s="274" t="s">
        <v>1162</v>
      </c>
      <c r="C183" s="146" t="s">
        <v>263</v>
      </c>
      <c r="D183" s="275">
        <v>124</v>
      </c>
      <c r="E183" s="274"/>
      <c r="F183" s="274"/>
      <c r="G183" s="274" t="s">
        <v>889</v>
      </c>
      <c r="H183" s="276">
        <v>140</v>
      </c>
      <c r="I183" s="24">
        <v>103003</v>
      </c>
      <c r="J183" s="277">
        <v>124</v>
      </c>
      <c r="K183" s="276">
        <v>350</v>
      </c>
      <c r="L183" s="278">
        <v>4.6158918562479396</v>
      </c>
      <c r="M183" s="279">
        <v>223.96</v>
      </c>
      <c r="N183" s="277">
        <v>27771.040000000001</v>
      </c>
      <c r="O183" s="280" t="s">
        <v>888</v>
      </c>
      <c r="P183" s="279">
        <v>0</v>
      </c>
      <c r="Q183" s="281">
        <v>0</v>
      </c>
      <c r="R183" s="282" t="s">
        <v>889</v>
      </c>
      <c r="S183" s="274" t="s">
        <v>1163</v>
      </c>
      <c r="T183" s="44">
        <v>1</v>
      </c>
      <c r="U183" s="283">
        <v>69</v>
      </c>
      <c r="V183" s="284">
        <v>1</v>
      </c>
      <c r="W183" s="285" t="s">
        <v>889</v>
      </c>
      <c r="X183" s="286" t="s">
        <v>889</v>
      </c>
      <c r="Y183" s="287">
        <v>0</v>
      </c>
      <c r="Z183" s="287" t="s">
        <v>889</v>
      </c>
      <c r="AA183" s="286" t="s">
        <v>889</v>
      </c>
      <c r="AB183" s="287">
        <v>0</v>
      </c>
      <c r="AC183" s="287"/>
      <c r="AD183" s="288" t="s">
        <v>889</v>
      </c>
      <c r="AE183" s="289" t="s">
        <v>889</v>
      </c>
      <c r="AF183" s="279">
        <v>122</v>
      </c>
      <c r="AG183" s="282">
        <v>45173</v>
      </c>
      <c r="AH183" s="282" t="s">
        <v>889</v>
      </c>
      <c r="AI183" s="282">
        <v>45128</v>
      </c>
      <c r="AJ183" s="282" t="s">
        <v>889</v>
      </c>
      <c r="AK183" s="274"/>
    </row>
    <row r="184" spans="1:37" x14ac:dyDescent="0.3">
      <c r="A184" s="273">
        <v>20144</v>
      </c>
      <c r="B184" s="274" t="s">
        <v>1164</v>
      </c>
      <c r="C184" s="146" t="s">
        <v>263</v>
      </c>
      <c r="D184" s="275">
        <v>3.43</v>
      </c>
      <c r="E184" s="274"/>
      <c r="F184" s="274"/>
      <c r="G184" s="274" t="s">
        <v>889</v>
      </c>
      <c r="H184" s="276">
        <v>47</v>
      </c>
      <c r="I184" s="24">
        <v>103003</v>
      </c>
      <c r="J184" s="277">
        <v>3.43</v>
      </c>
      <c r="K184" s="276">
        <v>259</v>
      </c>
      <c r="L184" s="278">
        <v>1.7682468021068471</v>
      </c>
      <c r="M184" s="279">
        <v>271.95999999999998</v>
      </c>
      <c r="N184" s="277">
        <v>932.82280000000003</v>
      </c>
      <c r="O184" s="280" t="s">
        <v>888</v>
      </c>
      <c r="P184" s="279">
        <v>0</v>
      </c>
      <c r="Q184" s="281">
        <v>0</v>
      </c>
      <c r="R184" s="282" t="s">
        <v>889</v>
      </c>
      <c r="S184" s="274" t="s">
        <v>1152</v>
      </c>
      <c r="T184" s="44">
        <v>1</v>
      </c>
      <c r="U184" s="283">
        <v>70</v>
      </c>
      <c r="V184" s="284">
        <v>31</v>
      </c>
      <c r="W184" s="285" t="s">
        <v>889</v>
      </c>
      <c r="X184" s="286" t="s">
        <v>889</v>
      </c>
      <c r="Y184" s="287">
        <v>0</v>
      </c>
      <c r="Z184" s="287" t="s">
        <v>889</v>
      </c>
      <c r="AA184" s="286" t="s">
        <v>889</v>
      </c>
      <c r="AB184" s="287">
        <v>0</v>
      </c>
      <c r="AC184" s="287"/>
      <c r="AD184" s="288" t="s">
        <v>889</v>
      </c>
      <c r="AE184" s="289" t="s">
        <v>889</v>
      </c>
      <c r="AF184" s="279">
        <v>106</v>
      </c>
      <c r="AG184" s="282">
        <v>44202</v>
      </c>
      <c r="AH184" s="282" t="s">
        <v>889</v>
      </c>
      <c r="AI184" s="282">
        <v>44231</v>
      </c>
      <c r="AJ184" s="282" t="s">
        <v>889</v>
      </c>
      <c r="AK184" s="274"/>
    </row>
    <row r="185" spans="1:37" x14ac:dyDescent="0.3">
      <c r="A185" s="273">
        <v>20167</v>
      </c>
      <c r="B185" s="274" t="s">
        <v>1165</v>
      </c>
      <c r="C185" s="146" t="s">
        <v>263</v>
      </c>
      <c r="D185" s="275">
        <v>390</v>
      </c>
      <c r="E185" s="274"/>
      <c r="F185" s="274"/>
      <c r="G185" s="274" t="s">
        <v>889</v>
      </c>
      <c r="H185" s="276">
        <v>0</v>
      </c>
      <c r="I185" s="24">
        <v>103003</v>
      </c>
      <c r="J185" s="277">
        <v>390</v>
      </c>
      <c r="K185" s="276">
        <v>13</v>
      </c>
      <c r="L185" s="278">
        <v>0</v>
      </c>
      <c r="M185" s="279">
        <v>12.96</v>
      </c>
      <c r="N185" s="277">
        <v>5054.3999999999996</v>
      </c>
      <c r="O185" s="280" t="s">
        <v>888</v>
      </c>
      <c r="P185" s="279">
        <v>0</v>
      </c>
      <c r="Q185" s="281">
        <v>0</v>
      </c>
      <c r="R185" s="282" t="s">
        <v>889</v>
      </c>
      <c r="S185" s="274" t="s">
        <v>1166</v>
      </c>
      <c r="T185" s="44">
        <v>1</v>
      </c>
      <c r="U185" s="283">
        <v>79</v>
      </c>
      <c r="V185" s="284">
        <v>5</v>
      </c>
      <c r="W185" s="285" t="s">
        <v>889</v>
      </c>
      <c r="X185" s="286" t="s">
        <v>889</v>
      </c>
      <c r="Y185" s="287">
        <v>0</v>
      </c>
      <c r="Z185" s="287" t="s">
        <v>889</v>
      </c>
      <c r="AA185" s="286" t="s">
        <v>889</v>
      </c>
      <c r="AB185" s="287">
        <v>0</v>
      </c>
      <c r="AC185" s="287"/>
      <c r="AD185" s="288" t="s">
        <v>889</v>
      </c>
      <c r="AE185" s="289" t="s">
        <v>889</v>
      </c>
      <c r="AF185" s="279">
        <v>4</v>
      </c>
      <c r="AG185" s="282">
        <v>44582</v>
      </c>
      <c r="AH185" s="282" t="s">
        <v>889</v>
      </c>
      <c r="AI185" s="282">
        <v>44567</v>
      </c>
      <c r="AJ185" s="282" t="s">
        <v>889</v>
      </c>
      <c r="AK185" s="274"/>
    </row>
    <row r="186" spans="1:37" x14ac:dyDescent="0.3">
      <c r="A186" s="273">
        <v>20537</v>
      </c>
      <c r="B186" s="274" t="s">
        <v>1167</v>
      </c>
      <c r="C186" s="146" t="s">
        <v>320</v>
      </c>
      <c r="D186" s="275">
        <v>8.9</v>
      </c>
      <c r="E186" s="274"/>
      <c r="F186" s="274"/>
      <c r="G186" s="274" t="s">
        <v>889</v>
      </c>
      <c r="H186" s="276">
        <v>137</v>
      </c>
      <c r="I186" s="24">
        <v>103003</v>
      </c>
      <c r="J186" s="277">
        <v>8.9</v>
      </c>
      <c r="K186" s="276">
        <v>15</v>
      </c>
      <c r="L186" s="278">
        <v>109.6</v>
      </c>
      <c r="M186" s="279">
        <v>0</v>
      </c>
      <c r="N186" s="277">
        <v>0</v>
      </c>
      <c r="O186" s="280" t="s">
        <v>888</v>
      </c>
      <c r="P186" s="279">
        <v>0</v>
      </c>
      <c r="Q186" s="281">
        <v>0</v>
      </c>
      <c r="R186" s="282" t="s">
        <v>889</v>
      </c>
      <c r="S186" s="274" t="s">
        <v>991</v>
      </c>
      <c r="T186" s="44">
        <v>1</v>
      </c>
      <c r="U186" s="283">
        <v>67</v>
      </c>
      <c r="V186" s="284">
        <v>6</v>
      </c>
      <c r="W186" s="285" t="s">
        <v>889</v>
      </c>
      <c r="X186" s="286" t="s">
        <v>889</v>
      </c>
      <c r="Y186" s="287">
        <v>0</v>
      </c>
      <c r="Z186" s="287" t="s">
        <v>889</v>
      </c>
      <c r="AA186" s="286" t="s">
        <v>889</v>
      </c>
      <c r="AB186" s="287">
        <v>0</v>
      </c>
      <c r="AC186" s="287"/>
      <c r="AD186" s="288" t="s">
        <v>889</v>
      </c>
      <c r="AE186" s="289" t="s">
        <v>889</v>
      </c>
      <c r="AF186" s="279">
        <v>6</v>
      </c>
      <c r="AG186" s="282">
        <v>43853</v>
      </c>
      <c r="AH186" s="282" t="s">
        <v>889</v>
      </c>
      <c r="AI186" s="282">
        <v>44055</v>
      </c>
      <c r="AJ186" s="282" t="s">
        <v>889</v>
      </c>
      <c r="AK186" s="274"/>
    </row>
    <row r="187" spans="1:37" x14ac:dyDescent="0.3">
      <c r="A187" s="273">
        <v>20554</v>
      </c>
      <c r="B187" s="274" t="s">
        <v>1168</v>
      </c>
      <c r="C187" s="146" t="s">
        <v>263</v>
      </c>
      <c r="D187" s="275">
        <v>0.13</v>
      </c>
      <c r="E187" s="274"/>
      <c r="F187" s="274"/>
      <c r="G187" s="274" t="s">
        <v>889</v>
      </c>
      <c r="H187" s="276">
        <v>12260</v>
      </c>
      <c r="I187" s="24">
        <v>103003</v>
      </c>
      <c r="J187" s="277">
        <v>0.13</v>
      </c>
      <c r="K187" s="276">
        <v>7010</v>
      </c>
      <c r="L187" s="278">
        <v>14.81570996978852</v>
      </c>
      <c r="M187" s="279">
        <v>0</v>
      </c>
      <c r="N187" s="277">
        <v>0</v>
      </c>
      <c r="O187" s="280" t="s">
        <v>888</v>
      </c>
      <c r="P187" s="279">
        <v>0</v>
      </c>
      <c r="Q187" s="281">
        <v>0</v>
      </c>
      <c r="R187" s="282" t="s">
        <v>889</v>
      </c>
      <c r="S187" s="274" t="s">
        <v>1169</v>
      </c>
      <c r="T187" s="44">
        <v>1</v>
      </c>
      <c r="U187" s="283">
        <v>67</v>
      </c>
      <c r="V187" s="284">
        <v>7</v>
      </c>
      <c r="W187" s="285" t="s">
        <v>889</v>
      </c>
      <c r="X187" s="286" t="s">
        <v>889</v>
      </c>
      <c r="Y187" s="287">
        <v>0</v>
      </c>
      <c r="Z187" s="287" t="s">
        <v>889</v>
      </c>
      <c r="AA187" s="286" t="s">
        <v>889</v>
      </c>
      <c r="AB187" s="287">
        <v>0</v>
      </c>
      <c r="AC187" s="287"/>
      <c r="AD187" s="288" t="s">
        <v>889</v>
      </c>
      <c r="AE187" s="289" t="s">
        <v>889</v>
      </c>
      <c r="AF187" s="279">
        <v>3310</v>
      </c>
      <c r="AG187" s="282">
        <v>45201</v>
      </c>
      <c r="AH187" s="282" t="s">
        <v>889</v>
      </c>
      <c r="AI187" s="282">
        <v>45189</v>
      </c>
      <c r="AJ187" s="282" t="s">
        <v>889</v>
      </c>
      <c r="AK187" s="274"/>
    </row>
    <row r="188" spans="1:37" x14ac:dyDescent="0.3">
      <c r="A188" s="273">
        <v>20558</v>
      </c>
      <c r="B188" s="274" t="s">
        <v>1170</v>
      </c>
      <c r="C188" s="146" t="s">
        <v>263</v>
      </c>
      <c r="D188" s="275">
        <v>0.08</v>
      </c>
      <c r="E188" s="274"/>
      <c r="F188" s="274"/>
      <c r="G188" s="274" t="s">
        <v>889</v>
      </c>
      <c r="H188" s="276">
        <v>9000</v>
      </c>
      <c r="I188" s="24">
        <v>103003</v>
      </c>
      <c r="J188" s="277">
        <v>0.08</v>
      </c>
      <c r="K188" s="276">
        <v>7405</v>
      </c>
      <c r="L188" s="278">
        <v>12.808288385728721</v>
      </c>
      <c r="M188" s="279">
        <v>0</v>
      </c>
      <c r="N188" s="277">
        <v>0</v>
      </c>
      <c r="O188" s="280" t="s">
        <v>888</v>
      </c>
      <c r="P188" s="279">
        <v>0</v>
      </c>
      <c r="Q188" s="281">
        <v>0</v>
      </c>
      <c r="R188" s="282" t="s">
        <v>889</v>
      </c>
      <c r="S188" s="274" t="s">
        <v>1169</v>
      </c>
      <c r="T188" s="44">
        <v>1</v>
      </c>
      <c r="U188" s="283">
        <v>67</v>
      </c>
      <c r="V188" s="284">
        <v>7</v>
      </c>
      <c r="W188" s="285" t="s">
        <v>889</v>
      </c>
      <c r="X188" s="286" t="s">
        <v>889</v>
      </c>
      <c r="Y188" s="287">
        <v>0</v>
      </c>
      <c r="Z188" s="287" t="s">
        <v>889</v>
      </c>
      <c r="AA188" s="286" t="s">
        <v>889</v>
      </c>
      <c r="AB188" s="287">
        <v>0</v>
      </c>
      <c r="AC188" s="287"/>
      <c r="AD188" s="288" t="s">
        <v>889</v>
      </c>
      <c r="AE188" s="289" t="s">
        <v>889</v>
      </c>
      <c r="AF188" s="279">
        <v>2810</v>
      </c>
      <c r="AG188" s="282">
        <v>45201</v>
      </c>
      <c r="AH188" s="282" t="s">
        <v>889</v>
      </c>
      <c r="AI188" s="282">
        <v>45189</v>
      </c>
      <c r="AJ188" s="282" t="s">
        <v>889</v>
      </c>
      <c r="AK188" s="274"/>
    </row>
    <row r="189" spans="1:37" x14ac:dyDescent="0.3">
      <c r="A189" s="273">
        <v>20576</v>
      </c>
      <c r="B189" s="274" t="s">
        <v>1171</v>
      </c>
      <c r="C189" s="146" t="s">
        <v>263</v>
      </c>
      <c r="D189" s="275">
        <v>0.08</v>
      </c>
      <c r="E189" s="274"/>
      <c r="F189" s="274"/>
      <c r="G189" s="274" t="s">
        <v>889</v>
      </c>
      <c r="H189" s="276">
        <v>7415</v>
      </c>
      <c r="I189" s="24">
        <v>103003</v>
      </c>
      <c r="J189" s="277">
        <v>0.08</v>
      </c>
      <c r="K189" s="276">
        <v>4800</v>
      </c>
      <c r="L189" s="278">
        <v>18.159331912913576</v>
      </c>
      <c r="M189" s="279">
        <v>0</v>
      </c>
      <c r="N189" s="277">
        <v>0</v>
      </c>
      <c r="O189" s="280" t="s">
        <v>888</v>
      </c>
      <c r="P189" s="279">
        <v>0</v>
      </c>
      <c r="Q189" s="281">
        <v>0</v>
      </c>
      <c r="R189" s="282" t="s">
        <v>889</v>
      </c>
      <c r="S189" s="274" t="s">
        <v>1169</v>
      </c>
      <c r="T189" s="44">
        <v>1</v>
      </c>
      <c r="U189" s="283">
        <v>67</v>
      </c>
      <c r="V189" s="284">
        <v>7</v>
      </c>
      <c r="W189" s="285" t="s">
        <v>889</v>
      </c>
      <c r="X189" s="286" t="s">
        <v>889</v>
      </c>
      <c r="Y189" s="287">
        <v>0</v>
      </c>
      <c r="Z189" s="287" t="s">
        <v>889</v>
      </c>
      <c r="AA189" s="286" t="s">
        <v>889</v>
      </c>
      <c r="AB189" s="287">
        <v>0</v>
      </c>
      <c r="AC189" s="287"/>
      <c r="AD189" s="288" t="s">
        <v>889</v>
      </c>
      <c r="AE189" s="289" t="s">
        <v>889</v>
      </c>
      <c r="AF189" s="279">
        <v>1634</v>
      </c>
      <c r="AG189" s="282">
        <v>44092</v>
      </c>
      <c r="AH189" s="282" t="s">
        <v>889</v>
      </c>
      <c r="AI189" s="282">
        <v>44040</v>
      </c>
      <c r="AJ189" s="282" t="s">
        <v>889</v>
      </c>
      <c r="AK189" s="274"/>
    </row>
    <row r="190" spans="1:37" x14ac:dyDescent="0.3">
      <c r="A190" s="273">
        <v>20583</v>
      </c>
      <c r="B190" s="274" t="s">
        <v>1172</v>
      </c>
      <c r="C190" s="146" t="s">
        <v>263</v>
      </c>
      <c r="D190" s="275">
        <v>0.09</v>
      </c>
      <c r="E190" s="274"/>
      <c r="F190" s="274"/>
      <c r="G190" s="274" t="s">
        <v>889</v>
      </c>
      <c r="H190" s="276">
        <v>13063</v>
      </c>
      <c r="I190" s="24">
        <v>103003</v>
      </c>
      <c r="J190" s="277">
        <v>0.09</v>
      </c>
      <c r="K190" s="276">
        <v>2950</v>
      </c>
      <c r="L190" s="278">
        <v>53.138347638612046</v>
      </c>
      <c r="M190" s="279">
        <v>0</v>
      </c>
      <c r="N190" s="277">
        <v>0</v>
      </c>
      <c r="O190" s="280" t="s">
        <v>888</v>
      </c>
      <c r="P190" s="279">
        <v>0</v>
      </c>
      <c r="Q190" s="281">
        <v>0</v>
      </c>
      <c r="R190" s="282" t="s">
        <v>889</v>
      </c>
      <c r="S190" s="274" t="s">
        <v>1169</v>
      </c>
      <c r="T190" s="44">
        <v>1</v>
      </c>
      <c r="U190" s="283">
        <v>67</v>
      </c>
      <c r="V190" s="284">
        <v>7</v>
      </c>
      <c r="W190" s="285" t="s">
        <v>889</v>
      </c>
      <c r="X190" s="286" t="s">
        <v>889</v>
      </c>
      <c r="Y190" s="287">
        <v>0</v>
      </c>
      <c r="Z190" s="287" t="s">
        <v>889</v>
      </c>
      <c r="AA190" s="286" t="s">
        <v>889</v>
      </c>
      <c r="AB190" s="287">
        <v>0</v>
      </c>
      <c r="AC190" s="287"/>
      <c r="AD190" s="288" t="s">
        <v>889</v>
      </c>
      <c r="AE190" s="289" t="s">
        <v>889</v>
      </c>
      <c r="AF190" s="279">
        <v>984</v>
      </c>
      <c r="AG190" s="282">
        <v>43853</v>
      </c>
      <c r="AH190" s="282" t="s">
        <v>889</v>
      </c>
      <c r="AI190" s="282">
        <v>43826</v>
      </c>
      <c r="AJ190" s="282" t="s">
        <v>889</v>
      </c>
      <c r="AK190" s="274"/>
    </row>
    <row r="191" spans="1:37" x14ac:dyDescent="0.3">
      <c r="A191" s="273">
        <v>20584</v>
      </c>
      <c r="B191" s="274" t="s">
        <v>1173</v>
      </c>
      <c r="C191" s="146" t="s">
        <v>263</v>
      </c>
      <c r="D191" s="275">
        <v>0.09</v>
      </c>
      <c r="E191" s="274"/>
      <c r="F191" s="274"/>
      <c r="G191" s="274" t="s">
        <v>889</v>
      </c>
      <c r="H191" s="276">
        <v>24460</v>
      </c>
      <c r="I191" s="24">
        <v>103003</v>
      </c>
      <c r="J191" s="277">
        <v>0.09</v>
      </c>
      <c r="K191" s="276">
        <v>1850</v>
      </c>
      <c r="L191" s="278">
        <v>96.806110737325355</v>
      </c>
      <c r="M191" s="279">
        <v>0</v>
      </c>
      <c r="N191" s="277">
        <v>0</v>
      </c>
      <c r="O191" s="280" t="s">
        <v>888</v>
      </c>
      <c r="P191" s="279">
        <v>0</v>
      </c>
      <c r="Q191" s="281">
        <v>0</v>
      </c>
      <c r="R191" s="282" t="s">
        <v>889</v>
      </c>
      <c r="S191" s="274" t="s">
        <v>1169</v>
      </c>
      <c r="T191" s="44">
        <v>1</v>
      </c>
      <c r="U191" s="283">
        <v>67</v>
      </c>
      <c r="V191" s="284">
        <v>7</v>
      </c>
      <c r="W191" s="285" t="s">
        <v>889</v>
      </c>
      <c r="X191" s="286" t="s">
        <v>889</v>
      </c>
      <c r="Y191" s="287">
        <v>0</v>
      </c>
      <c r="Z191" s="287" t="s">
        <v>889</v>
      </c>
      <c r="AA191" s="286" t="s">
        <v>889</v>
      </c>
      <c r="AB191" s="287">
        <v>0</v>
      </c>
      <c r="AC191" s="287"/>
      <c r="AD191" s="288" t="s">
        <v>889</v>
      </c>
      <c r="AE191" s="289" t="s">
        <v>889</v>
      </c>
      <c r="AF191" s="279">
        <v>1010</v>
      </c>
      <c r="AG191" s="282">
        <v>43754</v>
      </c>
      <c r="AH191" s="282" t="s">
        <v>889</v>
      </c>
      <c r="AI191" s="282">
        <v>43747</v>
      </c>
      <c r="AJ191" s="282" t="s">
        <v>889</v>
      </c>
      <c r="AK191" s="274"/>
    </row>
    <row r="192" spans="1:37" x14ac:dyDescent="0.3">
      <c r="A192" s="273">
        <v>20760</v>
      </c>
      <c r="B192" s="274" t="s">
        <v>1174</v>
      </c>
      <c r="C192" s="146" t="s">
        <v>1070</v>
      </c>
      <c r="D192" s="275">
        <v>281.64999999999998</v>
      </c>
      <c r="E192" s="274"/>
      <c r="F192" s="274"/>
      <c r="G192" s="274" t="s">
        <v>889</v>
      </c>
      <c r="H192" s="276">
        <v>0</v>
      </c>
      <c r="I192" s="24">
        <v>103003</v>
      </c>
      <c r="J192" s="277">
        <v>281.64999999999998</v>
      </c>
      <c r="K192" s="276">
        <v>113</v>
      </c>
      <c r="L192" s="278">
        <v>0</v>
      </c>
      <c r="M192" s="279">
        <v>81.96</v>
      </c>
      <c r="N192" s="277">
        <v>23084.034</v>
      </c>
      <c r="O192" s="280" t="s">
        <v>888</v>
      </c>
      <c r="P192" s="279">
        <v>0</v>
      </c>
      <c r="Q192" s="281">
        <v>0</v>
      </c>
      <c r="R192" s="282" t="s">
        <v>889</v>
      </c>
      <c r="S192" s="274" t="s">
        <v>1071</v>
      </c>
      <c r="T192" s="44">
        <v>1</v>
      </c>
      <c r="U192" s="283">
        <v>76</v>
      </c>
      <c r="V192" s="284">
        <v>5</v>
      </c>
      <c r="W192" s="285" t="s">
        <v>889</v>
      </c>
      <c r="X192" s="286" t="s">
        <v>889</v>
      </c>
      <c r="Y192" s="287">
        <v>0</v>
      </c>
      <c r="Z192" s="287">
        <v>11620</v>
      </c>
      <c r="AA192" s="286">
        <v>2023</v>
      </c>
      <c r="AB192" s="287">
        <v>60</v>
      </c>
      <c r="AC192" s="287">
        <v>60</v>
      </c>
      <c r="AD192" s="288" t="s">
        <v>2059</v>
      </c>
      <c r="AE192" s="289">
        <v>45247</v>
      </c>
      <c r="AF192" s="279">
        <v>48</v>
      </c>
      <c r="AG192" s="282">
        <v>45043</v>
      </c>
      <c r="AH192" s="282" t="s">
        <v>889</v>
      </c>
      <c r="AI192" s="282">
        <v>45181</v>
      </c>
      <c r="AJ192" s="282" t="s">
        <v>889</v>
      </c>
      <c r="AK192" s="274"/>
    </row>
    <row r="193" spans="1:37" x14ac:dyDescent="0.3">
      <c r="A193" s="273">
        <v>20763</v>
      </c>
      <c r="B193" s="274" t="s">
        <v>1175</v>
      </c>
      <c r="C193" s="146" t="s">
        <v>1070</v>
      </c>
      <c r="D193" s="275">
        <v>275.47000000000003</v>
      </c>
      <c r="E193" s="274"/>
      <c r="F193" s="274"/>
      <c r="G193" s="274" t="s">
        <v>889</v>
      </c>
      <c r="H193" s="276">
        <v>0</v>
      </c>
      <c r="I193" s="24">
        <v>103003</v>
      </c>
      <c r="J193" s="277">
        <v>275.47000000000003</v>
      </c>
      <c r="K193" s="276">
        <v>36</v>
      </c>
      <c r="L193" s="278">
        <v>0</v>
      </c>
      <c r="M193" s="279">
        <v>0</v>
      </c>
      <c r="N193" s="277">
        <v>0</v>
      </c>
      <c r="O193" s="280" t="s">
        <v>888</v>
      </c>
      <c r="P193" s="279">
        <v>0</v>
      </c>
      <c r="Q193" s="281">
        <v>0</v>
      </c>
      <c r="R193" s="282" t="s">
        <v>889</v>
      </c>
      <c r="S193" s="274" t="s">
        <v>1071</v>
      </c>
      <c r="T193" s="44">
        <v>1</v>
      </c>
      <c r="U193" s="283">
        <v>76</v>
      </c>
      <c r="V193" s="284">
        <v>5</v>
      </c>
      <c r="W193" s="285" t="s">
        <v>889</v>
      </c>
      <c r="X193" s="286" t="s">
        <v>889</v>
      </c>
      <c r="Y193" s="287">
        <v>0</v>
      </c>
      <c r="Z193" s="287">
        <v>11622</v>
      </c>
      <c r="AA193" s="286">
        <v>2023</v>
      </c>
      <c r="AB193" s="287">
        <v>40</v>
      </c>
      <c r="AC193" s="287">
        <v>40</v>
      </c>
      <c r="AD193" s="288" t="s">
        <v>2059</v>
      </c>
      <c r="AE193" s="289">
        <v>45247</v>
      </c>
      <c r="AF193" s="279">
        <v>12</v>
      </c>
      <c r="AG193" s="282">
        <v>44986</v>
      </c>
      <c r="AH193" s="282" t="s">
        <v>889</v>
      </c>
      <c r="AI193" s="282">
        <v>45182</v>
      </c>
      <c r="AJ193" s="282" t="s">
        <v>889</v>
      </c>
      <c r="AK193" s="274"/>
    </row>
    <row r="194" spans="1:37" x14ac:dyDescent="0.3">
      <c r="A194" s="273">
        <v>23016</v>
      </c>
      <c r="B194" s="274" t="s">
        <v>1176</v>
      </c>
      <c r="C194" s="146" t="s">
        <v>287</v>
      </c>
      <c r="D194" s="275">
        <v>79.489999999999995</v>
      </c>
      <c r="E194" s="274"/>
      <c r="F194" s="274"/>
      <c r="G194" s="274" t="s">
        <v>889</v>
      </c>
      <c r="H194" s="276">
        <v>50</v>
      </c>
      <c r="I194" s="24">
        <v>103003</v>
      </c>
      <c r="J194" s="277">
        <v>79.489999999999995</v>
      </c>
      <c r="K194" s="276">
        <v>47</v>
      </c>
      <c r="L194" s="278">
        <v>12.755102040816327</v>
      </c>
      <c r="M194" s="279">
        <v>0</v>
      </c>
      <c r="N194" s="277">
        <v>0</v>
      </c>
      <c r="O194" s="280" t="s">
        <v>888</v>
      </c>
      <c r="P194" s="279">
        <v>0</v>
      </c>
      <c r="Q194" s="281">
        <v>0</v>
      </c>
      <c r="R194" s="282" t="s">
        <v>889</v>
      </c>
      <c r="S194" s="274" t="s">
        <v>963</v>
      </c>
      <c r="T194" s="44">
        <v>1</v>
      </c>
      <c r="U194" s="283">
        <v>51</v>
      </c>
      <c r="V194" s="284">
        <v>3</v>
      </c>
      <c r="W194" s="285" t="s">
        <v>889</v>
      </c>
      <c r="X194" s="286" t="s">
        <v>889</v>
      </c>
      <c r="Y194" s="287">
        <v>0</v>
      </c>
      <c r="Z194" s="287">
        <v>11594</v>
      </c>
      <c r="AA194" s="286">
        <v>2023</v>
      </c>
      <c r="AB194" s="287">
        <v>50</v>
      </c>
      <c r="AC194" s="287">
        <v>100</v>
      </c>
      <c r="AD194" s="288" t="s">
        <v>2056</v>
      </c>
      <c r="AE194" s="289">
        <v>45217</v>
      </c>
      <c r="AF194" s="279">
        <v>16</v>
      </c>
      <c r="AG194" s="282">
        <v>45217</v>
      </c>
      <c r="AH194" s="282" t="s">
        <v>889</v>
      </c>
      <c r="AI194" s="282">
        <v>45181</v>
      </c>
      <c r="AJ194" s="282" t="s">
        <v>889</v>
      </c>
      <c r="AK194" s="274"/>
    </row>
    <row r="195" spans="1:37" x14ac:dyDescent="0.3">
      <c r="A195" s="273">
        <v>23581</v>
      </c>
      <c r="B195" s="274" t="s">
        <v>1177</v>
      </c>
      <c r="C195" s="146" t="s">
        <v>31</v>
      </c>
      <c r="D195" s="275">
        <v>0.08</v>
      </c>
      <c r="E195" s="274"/>
      <c r="F195" s="274"/>
      <c r="G195" s="274" t="s">
        <v>889</v>
      </c>
      <c r="H195" s="276">
        <v>12976</v>
      </c>
      <c r="I195" s="24">
        <v>103003</v>
      </c>
      <c r="J195" s="277">
        <v>0.08</v>
      </c>
      <c r="K195" s="276">
        <v>11262</v>
      </c>
      <c r="L195" s="278">
        <v>8.5490469947227297</v>
      </c>
      <c r="M195" s="279">
        <v>5237.96</v>
      </c>
      <c r="N195" s="277">
        <v>419.03680000000003</v>
      </c>
      <c r="O195" s="280" t="s">
        <v>888</v>
      </c>
      <c r="P195" s="279">
        <v>0</v>
      </c>
      <c r="Q195" s="281">
        <v>0</v>
      </c>
      <c r="R195" s="282" t="s">
        <v>889</v>
      </c>
      <c r="S195" s="274" t="s">
        <v>941</v>
      </c>
      <c r="T195" s="44">
        <v>1</v>
      </c>
      <c r="U195" s="283">
        <v>45</v>
      </c>
      <c r="V195" s="284">
        <v>11</v>
      </c>
      <c r="W195" s="285" t="s">
        <v>889</v>
      </c>
      <c r="X195" s="286" t="s">
        <v>889</v>
      </c>
      <c r="Y195" s="287">
        <v>0</v>
      </c>
      <c r="Z195" s="287" t="s">
        <v>889</v>
      </c>
      <c r="AA195" s="286" t="s">
        <v>889</v>
      </c>
      <c r="AB195" s="287">
        <v>0</v>
      </c>
      <c r="AC195" s="287"/>
      <c r="AD195" s="288" t="s">
        <v>889</v>
      </c>
      <c r="AE195" s="289" t="s">
        <v>889</v>
      </c>
      <c r="AF195" s="279">
        <v>6072</v>
      </c>
      <c r="AG195" s="282">
        <v>43628</v>
      </c>
      <c r="AH195" s="282" t="s">
        <v>889</v>
      </c>
      <c r="AI195" s="282">
        <v>45107</v>
      </c>
      <c r="AJ195" s="282" t="s">
        <v>889</v>
      </c>
      <c r="AK195" s="274"/>
    </row>
    <row r="196" spans="1:37" x14ac:dyDescent="0.3">
      <c r="A196" s="273">
        <v>23607</v>
      </c>
      <c r="B196" s="274" t="s">
        <v>1178</v>
      </c>
      <c r="C196" s="146" t="s">
        <v>263</v>
      </c>
      <c r="D196" s="275">
        <v>1.28</v>
      </c>
      <c r="E196" s="274"/>
      <c r="F196" s="274"/>
      <c r="G196" s="274" t="s">
        <v>889</v>
      </c>
      <c r="H196" s="276">
        <v>575</v>
      </c>
      <c r="I196" s="24">
        <v>103003</v>
      </c>
      <c r="J196" s="277">
        <v>1.28</v>
      </c>
      <c r="K196" s="276">
        <v>50</v>
      </c>
      <c r="L196" s="278">
        <v>130.09049773755655</v>
      </c>
      <c r="M196" s="279">
        <v>0</v>
      </c>
      <c r="N196" s="277">
        <v>0</v>
      </c>
      <c r="O196" s="280" t="s">
        <v>888</v>
      </c>
      <c r="P196" s="279">
        <v>0</v>
      </c>
      <c r="Q196" s="281">
        <v>0</v>
      </c>
      <c r="R196" s="282" t="s">
        <v>889</v>
      </c>
      <c r="S196" s="274" t="s">
        <v>1005</v>
      </c>
      <c r="T196" s="44">
        <v>1</v>
      </c>
      <c r="U196" s="283">
        <v>51</v>
      </c>
      <c r="V196" s="284">
        <v>11</v>
      </c>
      <c r="W196" s="285" t="s">
        <v>889</v>
      </c>
      <c r="X196" s="286" t="s">
        <v>889</v>
      </c>
      <c r="Y196" s="287">
        <v>0</v>
      </c>
      <c r="Z196" s="287" t="s">
        <v>889</v>
      </c>
      <c r="AA196" s="286" t="s">
        <v>889</v>
      </c>
      <c r="AB196" s="287">
        <v>0</v>
      </c>
      <c r="AC196" s="287"/>
      <c r="AD196" s="288" t="s">
        <v>889</v>
      </c>
      <c r="AE196" s="289" t="s">
        <v>889</v>
      </c>
      <c r="AF196" s="279">
        <v>18</v>
      </c>
      <c r="AG196" s="282">
        <v>43775</v>
      </c>
      <c r="AH196" s="282" t="s">
        <v>889</v>
      </c>
      <c r="AI196" s="282">
        <v>43977</v>
      </c>
      <c r="AJ196" s="282" t="s">
        <v>889</v>
      </c>
      <c r="AK196" s="274"/>
    </row>
    <row r="197" spans="1:37" x14ac:dyDescent="0.3">
      <c r="A197" s="273">
        <v>23676</v>
      </c>
      <c r="B197" s="274" t="s">
        <v>1179</v>
      </c>
      <c r="C197" s="146" t="s">
        <v>847</v>
      </c>
      <c r="D197" s="275">
        <v>7.0000000000000007E-2</v>
      </c>
      <c r="E197" s="274"/>
      <c r="F197" s="274"/>
      <c r="G197" s="274" t="s">
        <v>889</v>
      </c>
      <c r="H197" s="276">
        <v>1931</v>
      </c>
      <c r="I197" s="24">
        <v>103003</v>
      </c>
      <c r="J197" s="277">
        <v>7.0000000000000007E-2</v>
      </c>
      <c r="K197" s="276">
        <v>3232</v>
      </c>
      <c r="L197" s="278">
        <v>6.0803577051451603</v>
      </c>
      <c r="M197" s="279">
        <v>1879.96</v>
      </c>
      <c r="N197" s="277">
        <v>131.59719999999999</v>
      </c>
      <c r="O197" s="280" t="s">
        <v>888</v>
      </c>
      <c r="P197" s="279">
        <v>0</v>
      </c>
      <c r="Q197" s="281">
        <v>0</v>
      </c>
      <c r="R197" s="282" t="s">
        <v>889</v>
      </c>
      <c r="S197" s="274" t="s">
        <v>1180</v>
      </c>
      <c r="T197" s="44">
        <v>1</v>
      </c>
      <c r="U197" s="283">
        <v>67</v>
      </c>
      <c r="V197" s="284">
        <v>5</v>
      </c>
      <c r="W197" s="285" t="s">
        <v>889</v>
      </c>
      <c r="X197" s="286" t="s">
        <v>889</v>
      </c>
      <c r="Y197" s="287">
        <v>0</v>
      </c>
      <c r="Z197" s="287" t="s">
        <v>889</v>
      </c>
      <c r="AA197" s="286" t="s">
        <v>889</v>
      </c>
      <c r="AB197" s="287">
        <v>0</v>
      </c>
      <c r="AC197" s="287"/>
      <c r="AD197" s="288" t="s">
        <v>889</v>
      </c>
      <c r="AE197" s="289" t="s">
        <v>889</v>
      </c>
      <c r="AF197" s="279">
        <v>1270</v>
      </c>
      <c r="AG197" s="282">
        <v>43864</v>
      </c>
      <c r="AH197" s="282" t="s">
        <v>889</v>
      </c>
      <c r="AI197" s="282">
        <v>43826</v>
      </c>
      <c r="AJ197" s="282" t="s">
        <v>889</v>
      </c>
      <c r="AK197" s="274"/>
    </row>
    <row r="198" spans="1:37" x14ac:dyDescent="0.3">
      <c r="A198" s="273">
        <v>23687</v>
      </c>
      <c r="B198" s="274" t="s">
        <v>1181</v>
      </c>
      <c r="C198" s="146" t="s">
        <v>380</v>
      </c>
      <c r="D198" s="275">
        <v>1.55</v>
      </c>
      <c r="E198" s="274"/>
      <c r="F198" s="274"/>
      <c r="G198" s="274" t="s">
        <v>889</v>
      </c>
      <c r="H198" s="276">
        <v>6899</v>
      </c>
      <c r="I198" s="24">
        <v>103003</v>
      </c>
      <c r="J198" s="277">
        <v>1.55</v>
      </c>
      <c r="K198" s="276">
        <v>14091</v>
      </c>
      <c r="L198" s="278">
        <v>3.8909693866041017</v>
      </c>
      <c r="M198" s="279">
        <v>14377.96</v>
      </c>
      <c r="N198" s="277">
        <v>22285.838</v>
      </c>
      <c r="O198" s="280" t="s">
        <v>888</v>
      </c>
      <c r="P198" s="279">
        <v>0</v>
      </c>
      <c r="Q198" s="281">
        <v>0</v>
      </c>
      <c r="R198" s="282" t="s">
        <v>889</v>
      </c>
      <c r="S198" s="274" t="s">
        <v>947</v>
      </c>
      <c r="T198" s="44">
        <v>1</v>
      </c>
      <c r="U198" s="283">
        <v>57</v>
      </c>
      <c r="V198" s="284">
        <v>16</v>
      </c>
      <c r="W198" s="285" t="s">
        <v>889</v>
      </c>
      <c r="X198" s="286" t="s">
        <v>889</v>
      </c>
      <c r="Y198" s="287">
        <v>0</v>
      </c>
      <c r="Z198" s="287" t="s">
        <v>889</v>
      </c>
      <c r="AA198" s="286" t="s">
        <v>889</v>
      </c>
      <c r="AB198" s="287">
        <v>0</v>
      </c>
      <c r="AC198" s="287"/>
      <c r="AD198" s="288" t="s">
        <v>889</v>
      </c>
      <c r="AE198" s="289" t="s">
        <v>889</v>
      </c>
      <c r="AF198" s="279">
        <v>7092</v>
      </c>
      <c r="AG198" s="282">
        <v>44971</v>
      </c>
      <c r="AH198" s="282" t="s">
        <v>889</v>
      </c>
      <c r="AI198" s="282">
        <v>44971</v>
      </c>
      <c r="AJ198" s="282" t="s">
        <v>889</v>
      </c>
      <c r="AK198" s="274"/>
    </row>
    <row r="199" spans="1:37" x14ac:dyDescent="0.3">
      <c r="A199" s="273">
        <v>23692</v>
      </c>
      <c r="B199" s="274" t="s">
        <v>1182</v>
      </c>
      <c r="C199" s="146" t="s">
        <v>380</v>
      </c>
      <c r="D199" s="275">
        <v>1.55</v>
      </c>
      <c r="E199" s="274"/>
      <c r="F199" s="274"/>
      <c r="G199" s="274" t="s">
        <v>889</v>
      </c>
      <c r="H199" s="276">
        <v>10439</v>
      </c>
      <c r="I199" s="24">
        <v>103003</v>
      </c>
      <c r="J199" s="277">
        <v>1.55</v>
      </c>
      <c r="K199" s="276">
        <v>9773</v>
      </c>
      <c r="L199" s="278">
        <v>8.0817855953920112</v>
      </c>
      <c r="M199" s="279">
        <v>5061.04</v>
      </c>
      <c r="N199" s="277">
        <v>7844.6120000000001</v>
      </c>
      <c r="O199" s="280" t="s">
        <v>888</v>
      </c>
      <c r="P199" s="279">
        <v>0</v>
      </c>
      <c r="Q199" s="281">
        <v>0</v>
      </c>
      <c r="R199" s="282" t="s">
        <v>889</v>
      </c>
      <c r="S199" s="274" t="s">
        <v>947</v>
      </c>
      <c r="T199" s="44">
        <v>1</v>
      </c>
      <c r="U199" s="283">
        <v>57</v>
      </c>
      <c r="V199" s="284">
        <v>16</v>
      </c>
      <c r="W199" s="285" t="s">
        <v>889</v>
      </c>
      <c r="X199" s="286" t="s">
        <v>889</v>
      </c>
      <c r="Y199" s="287">
        <v>0</v>
      </c>
      <c r="Z199" s="287" t="s">
        <v>889</v>
      </c>
      <c r="AA199" s="286" t="s">
        <v>889</v>
      </c>
      <c r="AB199" s="287">
        <v>0</v>
      </c>
      <c r="AC199" s="287"/>
      <c r="AD199" s="288" t="s">
        <v>889</v>
      </c>
      <c r="AE199" s="289" t="s">
        <v>889</v>
      </c>
      <c r="AF199" s="279">
        <v>5166</v>
      </c>
      <c r="AG199" s="282">
        <v>44425</v>
      </c>
      <c r="AH199" s="282" t="s">
        <v>889</v>
      </c>
      <c r="AI199" s="282">
        <v>44971</v>
      </c>
      <c r="AJ199" s="282" t="s">
        <v>889</v>
      </c>
      <c r="AK199" s="274"/>
    </row>
    <row r="200" spans="1:37" x14ac:dyDescent="0.3">
      <c r="A200" s="273">
        <v>23778</v>
      </c>
      <c r="B200" s="274" t="s">
        <v>1183</v>
      </c>
      <c r="C200" s="146" t="s">
        <v>1070</v>
      </c>
      <c r="D200" s="275">
        <v>235.4</v>
      </c>
      <c r="E200" s="274"/>
      <c r="F200" s="274"/>
      <c r="G200" s="274" t="s">
        <v>889</v>
      </c>
      <c r="H200" s="276">
        <v>41</v>
      </c>
      <c r="I200" s="24">
        <v>103003</v>
      </c>
      <c r="J200" s="277">
        <v>235.4</v>
      </c>
      <c r="K200" s="276">
        <v>134</v>
      </c>
      <c r="L200" s="278">
        <v>2.6588845654993514</v>
      </c>
      <c r="M200" s="279">
        <v>94.04</v>
      </c>
      <c r="N200" s="277">
        <v>22137.016</v>
      </c>
      <c r="O200" s="280" t="s">
        <v>888</v>
      </c>
      <c r="P200" s="279">
        <v>0</v>
      </c>
      <c r="Q200" s="281">
        <v>0</v>
      </c>
      <c r="R200" s="282" t="s">
        <v>889</v>
      </c>
      <c r="S200" s="274" t="s">
        <v>1184</v>
      </c>
      <c r="T200" s="44">
        <v>1</v>
      </c>
      <c r="U200" s="283">
        <v>76</v>
      </c>
      <c r="V200" s="284">
        <v>16</v>
      </c>
      <c r="W200" s="285" t="s">
        <v>889</v>
      </c>
      <c r="X200" s="286" t="s">
        <v>889</v>
      </c>
      <c r="Y200" s="287">
        <v>0</v>
      </c>
      <c r="Z200" s="287">
        <v>11600</v>
      </c>
      <c r="AA200" s="286">
        <v>2023</v>
      </c>
      <c r="AB200" s="287">
        <v>50</v>
      </c>
      <c r="AC200" s="287">
        <v>50</v>
      </c>
      <c r="AD200" s="288" t="s">
        <v>2060</v>
      </c>
      <c r="AE200" s="289">
        <v>45247</v>
      </c>
      <c r="AF200" s="279">
        <v>62</v>
      </c>
      <c r="AG200" s="282">
        <v>44986</v>
      </c>
      <c r="AH200" s="282" t="s">
        <v>889</v>
      </c>
      <c r="AI200" s="282">
        <v>45181</v>
      </c>
      <c r="AJ200" s="282" t="s">
        <v>889</v>
      </c>
      <c r="AK200" s="274"/>
    </row>
    <row r="201" spans="1:37" x14ac:dyDescent="0.3">
      <c r="A201" s="273">
        <v>23846</v>
      </c>
      <c r="B201" s="274" t="s">
        <v>1185</v>
      </c>
      <c r="C201" s="146" t="s">
        <v>380</v>
      </c>
      <c r="D201" s="275">
        <v>1.5</v>
      </c>
      <c r="E201" s="274"/>
      <c r="F201" s="274"/>
      <c r="G201" s="274" t="s">
        <v>889</v>
      </c>
      <c r="H201" s="276">
        <v>0</v>
      </c>
      <c r="I201" s="24">
        <v>103003</v>
      </c>
      <c r="J201" s="277">
        <v>1.5</v>
      </c>
      <c r="K201" s="276">
        <v>9077</v>
      </c>
      <c r="L201" s="278">
        <v>0</v>
      </c>
      <c r="M201" s="279">
        <v>7308</v>
      </c>
      <c r="N201" s="277">
        <v>10962</v>
      </c>
      <c r="O201" s="280" t="s">
        <v>888</v>
      </c>
      <c r="P201" s="279">
        <v>0</v>
      </c>
      <c r="Q201" s="281">
        <v>0</v>
      </c>
      <c r="R201" s="282" t="s">
        <v>889</v>
      </c>
      <c r="S201" s="274" t="s">
        <v>947</v>
      </c>
      <c r="T201" s="44">
        <v>1</v>
      </c>
      <c r="U201" s="283">
        <v>57</v>
      </c>
      <c r="V201" s="284">
        <v>16</v>
      </c>
      <c r="W201" s="285">
        <v>6984</v>
      </c>
      <c r="X201" s="286">
        <v>2023</v>
      </c>
      <c r="Y201" s="287">
        <v>6300</v>
      </c>
      <c r="Z201" s="287" t="s">
        <v>889</v>
      </c>
      <c r="AA201" s="286" t="s">
        <v>889</v>
      </c>
      <c r="AB201" s="287">
        <v>0</v>
      </c>
      <c r="AC201" s="287"/>
      <c r="AD201" s="288" t="s">
        <v>889</v>
      </c>
      <c r="AE201" s="289" t="s">
        <v>889</v>
      </c>
      <c r="AF201" s="279">
        <v>4536</v>
      </c>
      <c r="AG201" s="282">
        <v>44960</v>
      </c>
      <c r="AH201" s="282" t="s">
        <v>889</v>
      </c>
      <c r="AI201" s="282">
        <v>45054</v>
      </c>
      <c r="AJ201" s="282" t="s">
        <v>889</v>
      </c>
      <c r="AK201" s="274"/>
    </row>
    <row r="202" spans="1:37" x14ac:dyDescent="0.3">
      <c r="A202" s="273">
        <v>23862</v>
      </c>
      <c r="B202" s="274" t="s">
        <v>1186</v>
      </c>
      <c r="C202" s="146" t="s">
        <v>380</v>
      </c>
      <c r="D202" s="275">
        <v>1.5</v>
      </c>
      <c r="E202" s="274"/>
      <c r="F202" s="274"/>
      <c r="G202" s="274" t="s">
        <v>889</v>
      </c>
      <c r="H202" s="276">
        <v>0</v>
      </c>
      <c r="I202" s="24">
        <v>103003</v>
      </c>
      <c r="J202" s="277">
        <v>1.5</v>
      </c>
      <c r="K202" s="276">
        <v>9754</v>
      </c>
      <c r="L202" s="278">
        <v>0</v>
      </c>
      <c r="M202" s="279">
        <v>10500.04</v>
      </c>
      <c r="N202" s="277">
        <v>15750.06</v>
      </c>
      <c r="O202" s="280" t="s">
        <v>888</v>
      </c>
      <c r="P202" s="279">
        <v>0</v>
      </c>
      <c r="Q202" s="281">
        <v>0</v>
      </c>
      <c r="R202" s="282" t="s">
        <v>889</v>
      </c>
      <c r="S202" s="274" t="s">
        <v>947</v>
      </c>
      <c r="T202" s="44">
        <v>1</v>
      </c>
      <c r="U202" s="283">
        <v>57</v>
      </c>
      <c r="V202" s="284">
        <v>16</v>
      </c>
      <c r="W202" s="285">
        <v>6984</v>
      </c>
      <c r="X202" s="286">
        <v>2023</v>
      </c>
      <c r="Y202" s="287">
        <v>5000</v>
      </c>
      <c r="Z202" s="287" t="s">
        <v>889</v>
      </c>
      <c r="AA202" s="286" t="s">
        <v>889</v>
      </c>
      <c r="AB202" s="287">
        <v>0</v>
      </c>
      <c r="AC202" s="287"/>
      <c r="AD202" s="288" t="s">
        <v>889</v>
      </c>
      <c r="AE202" s="289" t="s">
        <v>889</v>
      </c>
      <c r="AF202" s="279">
        <v>5166</v>
      </c>
      <c r="AG202" s="282">
        <v>44960</v>
      </c>
      <c r="AH202" s="282" t="s">
        <v>889</v>
      </c>
      <c r="AI202" s="282">
        <v>45054</v>
      </c>
      <c r="AJ202" s="282" t="s">
        <v>889</v>
      </c>
      <c r="AK202" s="274"/>
    </row>
    <row r="203" spans="1:37" x14ac:dyDescent="0.3">
      <c r="A203" s="273">
        <v>23875</v>
      </c>
      <c r="B203" s="274" t="s">
        <v>1187</v>
      </c>
      <c r="C203" s="146" t="s">
        <v>380</v>
      </c>
      <c r="D203" s="275">
        <v>1.5</v>
      </c>
      <c r="E203" s="274"/>
      <c r="F203" s="274"/>
      <c r="G203" s="274" t="s">
        <v>889</v>
      </c>
      <c r="H203" s="276">
        <v>0</v>
      </c>
      <c r="I203" s="24">
        <v>103003</v>
      </c>
      <c r="J203" s="277">
        <v>1.5</v>
      </c>
      <c r="K203" s="276">
        <v>9055</v>
      </c>
      <c r="L203" s="278">
        <v>0</v>
      </c>
      <c r="M203" s="279">
        <v>10270.959999999999</v>
      </c>
      <c r="N203" s="277">
        <v>15406.44</v>
      </c>
      <c r="O203" s="280" t="s">
        <v>888</v>
      </c>
      <c r="P203" s="279">
        <v>0</v>
      </c>
      <c r="Q203" s="281">
        <v>0</v>
      </c>
      <c r="R203" s="282" t="s">
        <v>889</v>
      </c>
      <c r="S203" s="274" t="s">
        <v>947</v>
      </c>
      <c r="T203" s="44">
        <v>1</v>
      </c>
      <c r="U203" s="283">
        <v>57</v>
      </c>
      <c r="V203" s="284">
        <v>16</v>
      </c>
      <c r="W203" s="285">
        <v>6984</v>
      </c>
      <c r="X203" s="286">
        <v>2023</v>
      </c>
      <c r="Y203" s="287">
        <v>3500</v>
      </c>
      <c r="Z203" s="287" t="s">
        <v>889</v>
      </c>
      <c r="AA203" s="286" t="s">
        <v>889</v>
      </c>
      <c r="AB203" s="287">
        <v>0</v>
      </c>
      <c r="AC203" s="287"/>
      <c r="AD203" s="288" t="s">
        <v>889</v>
      </c>
      <c r="AE203" s="289" t="s">
        <v>889</v>
      </c>
      <c r="AF203" s="279">
        <v>4590</v>
      </c>
      <c r="AG203" s="282">
        <v>44960</v>
      </c>
      <c r="AH203" s="282" t="s">
        <v>889</v>
      </c>
      <c r="AI203" s="282">
        <v>45054</v>
      </c>
      <c r="AJ203" s="282" t="s">
        <v>889</v>
      </c>
      <c r="AK203" s="274"/>
    </row>
    <row r="204" spans="1:37" x14ac:dyDescent="0.3">
      <c r="A204" s="273">
        <v>23986</v>
      </c>
      <c r="B204" s="274" t="s">
        <v>1188</v>
      </c>
      <c r="C204" s="146" t="s">
        <v>260</v>
      </c>
      <c r="D204" s="275">
        <v>1.55</v>
      </c>
      <c r="E204" s="274"/>
      <c r="F204" s="274"/>
      <c r="G204" s="274" t="s">
        <v>889</v>
      </c>
      <c r="H204" s="276">
        <v>0</v>
      </c>
      <c r="I204" s="24">
        <v>103003</v>
      </c>
      <c r="J204" s="277">
        <v>1.55</v>
      </c>
      <c r="K204" s="276">
        <v>5397</v>
      </c>
      <c r="L204" s="278">
        <v>0</v>
      </c>
      <c r="M204" s="279">
        <v>6969</v>
      </c>
      <c r="N204" s="277">
        <v>10801.95</v>
      </c>
      <c r="O204" s="280" t="s">
        <v>888</v>
      </c>
      <c r="P204" s="279">
        <v>0</v>
      </c>
      <c r="Q204" s="281">
        <v>0</v>
      </c>
      <c r="R204" s="282" t="s">
        <v>889</v>
      </c>
      <c r="S204" s="274" t="s">
        <v>1136</v>
      </c>
      <c r="T204" s="44">
        <v>1</v>
      </c>
      <c r="U204" s="283">
        <v>57</v>
      </c>
      <c r="V204" s="284">
        <v>2</v>
      </c>
      <c r="W204" s="285">
        <v>6987</v>
      </c>
      <c r="X204" s="286">
        <v>2023</v>
      </c>
      <c r="Y204" s="287">
        <v>1200</v>
      </c>
      <c r="Z204" s="287" t="s">
        <v>889</v>
      </c>
      <c r="AA204" s="286" t="s">
        <v>889</v>
      </c>
      <c r="AB204" s="287">
        <v>0</v>
      </c>
      <c r="AC204" s="287"/>
      <c r="AD204" s="288" t="s">
        <v>889</v>
      </c>
      <c r="AE204" s="289" t="s">
        <v>889</v>
      </c>
      <c r="AF204" s="279">
        <v>2724</v>
      </c>
      <c r="AG204" s="282">
        <v>44966</v>
      </c>
      <c r="AH204" s="282" t="s">
        <v>889</v>
      </c>
      <c r="AI204" s="282">
        <v>45049</v>
      </c>
      <c r="AJ204" s="282" t="s">
        <v>889</v>
      </c>
      <c r="AK204" s="274"/>
    </row>
    <row r="205" spans="1:37" x14ac:dyDescent="0.3">
      <c r="A205" s="273">
        <v>23989</v>
      </c>
      <c r="B205" s="274" t="s">
        <v>1189</v>
      </c>
      <c r="C205" s="146" t="s">
        <v>260</v>
      </c>
      <c r="D205" s="275">
        <v>1.71</v>
      </c>
      <c r="E205" s="274"/>
      <c r="F205" s="274"/>
      <c r="G205" s="274" t="s">
        <v>889</v>
      </c>
      <c r="H205" s="276">
        <v>561</v>
      </c>
      <c r="I205" s="24">
        <v>103003</v>
      </c>
      <c r="J205" s="277">
        <v>1.71</v>
      </c>
      <c r="K205" s="276">
        <v>5171</v>
      </c>
      <c r="L205" s="278">
        <v>0.83762597984322518</v>
      </c>
      <c r="M205" s="279">
        <v>7476</v>
      </c>
      <c r="N205" s="277">
        <v>12783.96</v>
      </c>
      <c r="O205" s="280" t="s">
        <v>888</v>
      </c>
      <c r="P205" s="279">
        <v>0</v>
      </c>
      <c r="Q205" s="281">
        <v>0</v>
      </c>
      <c r="R205" s="282" t="s">
        <v>889</v>
      </c>
      <c r="S205" s="274" t="s">
        <v>1136</v>
      </c>
      <c r="T205" s="44">
        <v>1</v>
      </c>
      <c r="U205" s="283">
        <v>57</v>
      </c>
      <c r="V205" s="284">
        <v>2</v>
      </c>
      <c r="W205" s="285" t="s">
        <v>889</v>
      </c>
      <c r="X205" s="286" t="s">
        <v>889</v>
      </c>
      <c r="Y205" s="287">
        <v>0</v>
      </c>
      <c r="Z205" s="287" t="s">
        <v>889</v>
      </c>
      <c r="AA205" s="286" t="s">
        <v>889</v>
      </c>
      <c r="AB205" s="287">
        <v>0</v>
      </c>
      <c r="AC205" s="287"/>
      <c r="AD205" s="288" t="s">
        <v>889</v>
      </c>
      <c r="AE205" s="289" t="s">
        <v>889</v>
      </c>
      <c r="AF205" s="279">
        <v>2680</v>
      </c>
      <c r="AG205" s="282">
        <v>44966</v>
      </c>
      <c r="AH205" s="282" t="s">
        <v>889</v>
      </c>
      <c r="AI205" s="282">
        <v>45083</v>
      </c>
      <c r="AJ205" s="282" t="s">
        <v>889</v>
      </c>
      <c r="AK205" s="274"/>
    </row>
    <row r="206" spans="1:37" x14ac:dyDescent="0.3">
      <c r="A206" s="273">
        <v>23993</v>
      </c>
      <c r="B206" s="274" t="s">
        <v>1190</v>
      </c>
      <c r="C206" s="146" t="s">
        <v>260</v>
      </c>
      <c r="D206" s="275">
        <v>1.71</v>
      </c>
      <c r="E206" s="274"/>
      <c r="F206" s="274"/>
      <c r="G206" s="274" t="s">
        <v>889</v>
      </c>
      <c r="H206" s="276">
        <v>1315</v>
      </c>
      <c r="I206" s="24">
        <v>103003</v>
      </c>
      <c r="J206" s="277">
        <v>1.71</v>
      </c>
      <c r="K206" s="276">
        <v>5007</v>
      </c>
      <c r="L206" s="278">
        <v>2.0490845344760418</v>
      </c>
      <c r="M206" s="279">
        <v>6386</v>
      </c>
      <c r="N206" s="277">
        <v>10920.06</v>
      </c>
      <c r="O206" s="280" t="s">
        <v>888</v>
      </c>
      <c r="P206" s="279">
        <v>0</v>
      </c>
      <c r="Q206" s="281">
        <v>0</v>
      </c>
      <c r="R206" s="282" t="s">
        <v>889</v>
      </c>
      <c r="S206" s="274" t="s">
        <v>1136</v>
      </c>
      <c r="T206" s="44">
        <v>1</v>
      </c>
      <c r="U206" s="283">
        <v>57</v>
      </c>
      <c r="V206" s="284">
        <v>2</v>
      </c>
      <c r="W206" s="285" t="s">
        <v>889</v>
      </c>
      <c r="X206" s="286" t="s">
        <v>889</v>
      </c>
      <c r="Y206" s="287">
        <v>0</v>
      </c>
      <c r="Z206" s="287" t="s">
        <v>889</v>
      </c>
      <c r="AA206" s="286" t="s">
        <v>889</v>
      </c>
      <c r="AB206" s="287">
        <v>0</v>
      </c>
      <c r="AC206" s="287"/>
      <c r="AD206" s="288" t="s">
        <v>889</v>
      </c>
      <c r="AE206" s="289" t="s">
        <v>889</v>
      </c>
      <c r="AF206" s="279">
        <v>2568</v>
      </c>
      <c r="AG206" s="282">
        <v>44966</v>
      </c>
      <c r="AH206" s="282" t="s">
        <v>889</v>
      </c>
      <c r="AI206" s="282">
        <v>45083</v>
      </c>
      <c r="AJ206" s="282" t="s">
        <v>889</v>
      </c>
      <c r="AK206" s="274"/>
    </row>
    <row r="207" spans="1:37" x14ac:dyDescent="0.3">
      <c r="A207" s="273">
        <v>23996</v>
      </c>
      <c r="B207" s="274" t="s">
        <v>1191</v>
      </c>
      <c r="C207" s="146" t="s">
        <v>260</v>
      </c>
      <c r="D207" s="275">
        <v>1.55</v>
      </c>
      <c r="E207" s="274"/>
      <c r="F207" s="274"/>
      <c r="G207" s="274" t="s">
        <v>889</v>
      </c>
      <c r="H207" s="276">
        <v>0</v>
      </c>
      <c r="I207" s="24">
        <v>103003</v>
      </c>
      <c r="J207" s="277">
        <v>1.55</v>
      </c>
      <c r="K207" s="276">
        <v>5315</v>
      </c>
      <c r="L207" s="278">
        <v>0</v>
      </c>
      <c r="M207" s="279">
        <v>6145</v>
      </c>
      <c r="N207" s="277">
        <v>9524.75</v>
      </c>
      <c r="O207" s="280" t="s">
        <v>888</v>
      </c>
      <c r="P207" s="279">
        <v>0</v>
      </c>
      <c r="Q207" s="281">
        <v>0</v>
      </c>
      <c r="R207" s="282" t="s">
        <v>889</v>
      </c>
      <c r="S207" s="274" t="s">
        <v>1136</v>
      </c>
      <c r="T207" s="44">
        <v>1</v>
      </c>
      <c r="U207" s="283">
        <v>57</v>
      </c>
      <c r="V207" s="284">
        <v>2</v>
      </c>
      <c r="W207" s="285">
        <v>6216</v>
      </c>
      <c r="X207" s="286">
        <v>2023</v>
      </c>
      <c r="Y207" s="287">
        <v>2000</v>
      </c>
      <c r="Z207" s="287" t="s">
        <v>889</v>
      </c>
      <c r="AA207" s="286" t="s">
        <v>889</v>
      </c>
      <c r="AB207" s="287">
        <v>0</v>
      </c>
      <c r="AC207" s="287"/>
      <c r="AD207" s="288" t="s">
        <v>889</v>
      </c>
      <c r="AE207" s="289" t="s">
        <v>889</v>
      </c>
      <c r="AF207" s="279">
        <v>2716</v>
      </c>
      <c r="AG207" s="282">
        <v>44966</v>
      </c>
      <c r="AH207" s="282" t="s">
        <v>889</v>
      </c>
      <c r="AI207" s="282">
        <v>45049</v>
      </c>
      <c r="AJ207" s="282" t="s">
        <v>889</v>
      </c>
      <c r="AK207" s="274"/>
    </row>
    <row r="208" spans="1:37" x14ac:dyDescent="0.3">
      <c r="A208" s="273">
        <v>24204</v>
      </c>
      <c r="B208" s="274" t="s">
        <v>1192</v>
      </c>
      <c r="C208" s="146" t="s">
        <v>263</v>
      </c>
      <c r="D208" s="275">
        <v>4.63</v>
      </c>
      <c r="E208" s="274"/>
      <c r="F208" s="274"/>
      <c r="G208" s="274" t="s">
        <v>889</v>
      </c>
      <c r="H208" s="276">
        <v>0</v>
      </c>
      <c r="I208" s="24">
        <v>103003</v>
      </c>
      <c r="J208" s="277">
        <v>4.63</v>
      </c>
      <c r="K208" s="276">
        <v>503</v>
      </c>
      <c r="L208" s="278">
        <v>0</v>
      </c>
      <c r="M208" s="279">
        <v>277</v>
      </c>
      <c r="N208" s="277">
        <v>1282.51</v>
      </c>
      <c r="O208" s="280" t="s">
        <v>888</v>
      </c>
      <c r="P208" s="279">
        <v>0</v>
      </c>
      <c r="Q208" s="281">
        <v>0</v>
      </c>
      <c r="R208" s="282" t="s">
        <v>889</v>
      </c>
      <c r="S208" s="274" t="s">
        <v>964</v>
      </c>
      <c r="T208" s="44">
        <v>1</v>
      </c>
      <c r="U208" s="283">
        <v>76</v>
      </c>
      <c r="V208" s="284">
        <v>11</v>
      </c>
      <c r="W208" s="285">
        <v>2659</v>
      </c>
      <c r="X208" s="286">
        <v>2023</v>
      </c>
      <c r="Y208" s="287">
        <v>500</v>
      </c>
      <c r="Z208" s="287" t="s">
        <v>889</v>
      </c>
      <c r="AA208" s="286" t="s">
        <v>889</v>
      </c>
      <c r="AB208" s="287">
        <v>0</v>
      </c>
      <c r="AC208" s="287"/>
      <c r="AD208" s="288" t="s">
        <v>889</v>
      </c>
      <c r="AE208" s="289" t="s">
        <v>889</v>
      </c>
      <c r="AF208" s="279">
        <v>260</v>
      </c>
      <c r="AG208" s="282">
        <v>44523</v>
      </c>
      <c r="AH208" s="282" t="s">
        <v>889</v>
      </c>
      <c r="AI208" s="282">
        <v>45180</v>
      </c>
      <c r="AJ208" s="282" t="s">
        <v>889</v>
      </c>
      <c r="AK208" s="274"/>
    </row>
    <row r="209" spans="1:37" x14ac:dyDescent="0.3">
      <c r="A209" s="273">
        <v>24219</v>
      </c>
      <c r="B209" s="274" t="s">
        <v>1193</v>
      </c>
      <c r="C209" s="146" t="s">
        <v>263</v>
      </c>
      <c r="D209" s="275">
        <v>47</v>
      </c>
      <c r="E209" s="274"/>
      <c r="F209" s="274"/>
      <c r="G209" s="274" t="s">
        <v>889</v>
      </c>
      <c r="H209" s="276">
        <v>387</v>
      </c>
      <c r="I209" s="24">
        <v>103003</v>
      </c>
      <c r="J209" s="277">
        <v>47</v>
      </c>
      <c r="K209" s="276">
        <v>207</v>
      </c>
      <c r="L209" s="278">
        <v>14.072727272727272</v>
      </c>
      <c r="M209" s="279">
        <v>0</v>
      </c>
      <c r="N209" s="277">
        <v>0</v>
      </c>
      <c r="O209" s="280" t="s">
        <v>888</v>
      </c>
      <c r="P209" s="279">
        <v>0</v>
      </c>
      <c r="Q209" s="281">
        <v>0</v>
      </c>
      <c r="R209" s="282" t="s">
        <v>889</v>
      </c>
      <c r="S209" s="274" t="s">
        <v>1194</v>
      </c>
      <c r="T209" s="44">
        <v>1</v>
      </c>
      <c r="U209" s="283">
        <v>79</v>
      </c>
      <c r="V209" s="284">
        <v>6</v>
      </c>
      <c r="W209" s="285" t="s">
        <v>889</v>
      </c>
      <c r="X209" s="286" t="s">
        <v>889</v>
      </c>
      <c r="Y209" s="287">
        <v>0</v>
      </c>
      <c r="Z209" s="287" t="s">
        <v>889</v>
      </c>
      <c r="AA209" s="286" t="s">
        <v>889</v>
      </c>
      <c r="AB209" s="287">
        <v>0</v>
      </c>
      <c r="AC209" s="287"/>
      <c r="AD209" s="288" t="s">
        <v>889</v>
      </c>
      <c r="AE209" s="289" t="s">
        <v>889</v>
      </c>
      <c r="AF209" s="279">
        <v>110</v>
      </c>
      <c r="AG209" s="282">
        <v>44610</v>
      </c>
      <c r="AH209" s="282" t="s">
        <v>889</v>
      </c>
      <c r="AI209" s="282">
        <v>44582</v>
      </c>
      <c r="AJ209" s="282" t="s">
        <v>889</v>
      </c>
      <c r="AK209" s="274"/>
    </row>
    <row r="210" spans="1:37" x14ac:dyDescent="0.3">
      <c r="A210" s="273">
        <v>24371</v>
      </c>
      <c r="B210" s="274" t="s">
        <v>1195</v>
      </c>
      <c r="C210" s="146" t="s">
        <v>263</v>
      </c>
      <c r="D210" s="275">
        <v>2.96</v>
      </c>
      <c r="E210" s="274"/>
      <c r="F210" s="274" t="s">
        <v>1066</v>
      </c>
      <c r="G210" s="274" t="s">
        <v>1196</v>
      </c>
      <c r="H210" s="276">
        <v>19274</v>
      </c>
      <c r="I210" s="24">
        <v>103003</v>
      </c>
      <c r="J210" s="277">
        <v>2.96</v>
      </c>
      <c r="K210" s="276">
        <v>20572</v>
      </c>
      <c r="L210" s="278">
        <v>8.4454707580942703</v>
      </c>
      <c r="M210" s="279">
        <v>8112.04</v>
      </c>
      <c r="N210" s="277">
        <v>24011.6384</v>
      </c>
      <c r="O210" s="280" t="s">
        <v>1197</v>
      </c>
      <c r="P210" s="279">
        <v>38900</v>
      </c>
      <c r="Q210" s="281">
        <v>115144</v>
      </c>
      <c r="R210" s="282">
        <v>45327</v>
      </c>
      <c r="S210" s="274" t="s">
        <v>1198</v>
      </c>
      <c r="T210" s="44">
        <v>1</v>
      </c>
      <c r="U210" s="283">
        <v>51</v>
      </c>
      <c r="V210" s="284">
        <v>7</v>
      </c>
      <c r="W210" s="285" t="s">
        <v>889</v>
      </c>
      <c r="X210" s="286" t="s">
        <v>889</v>
      </c>
      <c r="Y210" s="287">
        <v>0</v>
      </c>
      <c r="Z210" s="287" t="s">
        <v>889</v>
      </c>
      <c r="AA210" s="286" t="s">
        <v>889</v>
      </c>
      <c r="AB210" s="287">
        <v>0</v>
      </c>
      <c r="AC210" s="287"/>
      <c r="AD210" s="288" t="s">
        <v>889</v>
      </c>
      <c r="AE210" s="289" t="s">
        <v>889</v>
      </c>
      <c r="AF210" s="279">
        <v>9128</v>
      </c>
      <c r="AG210" s="282">
        <v>45154</v>
      </c>
      <c r="AH210" s="282" t="s">
        <v>889</v>
      </c>
      <c r="AI210" s="282">
        <v>45076</v>
      </c>
      <c r="AJ210" s="282" t="s">
        <v>889</v>
      </c>
      <c r="AK210" s="274"/>
    </row>
    <row r="211" spans="1:37" x14ac:dyDescent="0.3">
      <c r="A211" s="273">
        <v>24476</v>
      </c>
      <c r="B211" s="274" t="s">
        <v>1199</v>
      </c>
      <c r="C211" s="146" t="s">
        <v>260</v>
      </c>
      <c r="D211" s="275">
        <v>1.71</v>
      </c>
      <c r="E211" s="274"/>
      <c r="F211" s="274"/>
      <c r="G211" s="274" t="s">
        <v>889</v>
      </c>
      <c r="H211" s="276">
        <v>0</v>
      </c>
      <c r="I211" s="24">
        <v>103003</v>
      </c>
      <c r="J211" s="277">
        <v>1.71</v>
      </c>
      <c r="K211" s="276">
        <v>5373</v>
      </c>
      <c r="L211" s="278">
        <v>0</v>
      </c>
      <c r="M211" s="279">
        <v>6405.04</v>
      </c>
      <c r="N211" s="277">
        <v>10952.618399999999</v>
      </c>
      <c r="O211" s="280" t="s">
        <v>888</v>
      </c>
      <c r="P211" s="279">
        <v>0</v>
      </c>
      <c r="Q211" s="281">
        <v>0</v>
      </c>
      <c r="R211" s="282" t="s">
        <v>889</v>
      </c>
      <c r="S211" s="274" t="s">
        <v>1136</v>
      </c>
      <c r="T211" s="44">
        <v>1</v>
      </c>
      <c r="U211" s="283">
        <v>57</v>
      </c>
      <c r="V211" s="284">
        <v>2</v>
      </c>
      <c r="W211" s="285">
        <v>6216</v>
      </c>
      <c r="X211" s="286">
        <v>2023</v>
      </c>
      <c r="Y211" s="287">
        <v>2000</v>
      </c>
      <c r="Z211" s="287" t="s">
        <v>889</v>
      </c>
      <c r="AA211" s="286" t="s">
        <v>889</v>
      </c>
      <c r="AB211" s="287">
        <v>0</v>
      </c>
      <c r="AC211" s="287"/>
      <c r="AD211" s="288" t="s">
        <v>889</v>
      </c>
      <c r="AE211" s="289" t="s">
        <v>889</v>
      </c>
      <c r="AF211" s="279">
        <v>2802</v>
      </c>
      <c r="AG211" s="282">
        <v>44974</v>
      </c>
      <c r="AH211" s="282" t="s">
        <v>889</v>
      </c>
      <c r="AI211" s="282">
        <v>45083</v>
      </c>
      <c r="AJ211" s="282" t="s">
        <v>889</v>
      </c>
      <c r="AK211" s="274"/>
    </row>
    <row r="212" spans="1:37" x14ac:dyDescent="0.3">
      <c r="A212" s="273">
        <v>24477</v>
      </c>
      <c r="B212" s="274" t="s">
        <v>1200</v>
      </c>
      <c r="C212" s="146" t="s">
        <v>260</v>
      </c>
      <c r="D212" s="275">
        <v>1.55</v>
      </c>
      <c r="E212" s="274"/>
      <c r="F212" s="274"/>
      <c r="G212" s="274" t="s">
        <v>889</v>
      </c>
      <c r="H212" s="276">
        <v>0</v>
      </c>
      <c r="I212" s="24">
        <v>103003</v>
      </c>
      <c r="J212" s="277">
        <v>1.55</v>
      </c>
      <c r="K212" s="276">
        <v>5268</v>
      </c>
      <c r="L212" s="278">
        <v>0</v>
      </c>
      <c r="M212" s="279">
        <v>6684.04</v>
      </c>
      <c r="N212" s="277">
        <v>10360.262000000001</v>
      </c>
      <c r="O212" s="280" t="s">
        <v>888</v>
      </c>
      <c r="P212" s="279">
        <v>0</v>
      </c>
      <c r="Q212" s="281">
        <v>0</v>
      </c>
      <c r="R212" s="282" t="s">
        <v>889</v>
      </c>
      <c r="S212" s="274" t="s">
        <v>1136</v>
      </c>
      <c r="T212" s="44">
        <v>1</v>
      </c>
      <c r="U212" s="283">
        <v>57</v>
      </c>
      <c r="V212" s="284">
        <v>2</v>
      </c>
      <c r="W212" s="285">
        <v>6987</v>
      </c>
      <c r="X212" s="286">
        <v>2023</v>
      </c>
      <c r="Y212" s="287">
        <v>1400</v>
      </c>
      <c r="Z212" s="287" t="s">
        <v>889</v>
      </c>
      <c r="AA212" s="286" t="s">
        <v>889</v>
      </c>
      <c r="AB212" s="287">
        <v>0</v>
      </c>
      <c r="AC212" s="287"/>
      <c r="AD212" s="288" t="s">
        <v>889</v>
      </c>
      <c r="AE212" s="289" t="s">
        <v>889</v>
      </c>
      <c r="AF212" s="279">
        <v>2694</v>
      </c>
      <c r="AG212" s="282">
        <v>44966</v>
      </c>
      <c r="AH212" s="282" t="s">
        <v>889</v>
      </c>
      <c r="AI212" s="282">
        <v>45049</v>
      </c>
      <c r="AJ212" s="282" t="s">
        <v>889</v>
      </c>
      <c r="AK212" s="274"/>
    </row>
    <row r="213" spans="1:37" x14ac:dyDescent="0.3">
      <c r="A213" s="273">
        <v>24500</v>
      </c>
      <c r="B213" s="274" t="s">
        <v>1201</v>
      </c>
      <c r="C213" s="146" t="s">
        <v>263</v>
      </c>
      <c r="D213" s="275">
        <v>23.08</v>
      </c>
      <c r="E213" s="274"/>
      <c r="F213" s="274"/>
      <c r="G213" s="274" t="s">
        <v>889</v>
      </c>
      <c r="H213" s="276">
        <v>0</v>
      </c>
      <c r="I213" s="24">
        <v>103003</v>
      </c>
      <c r="J213" s="277">
        <v>23.08</v>
      </c>
      <c r="K213" s="276">
        <v>1099</v>
      </c>
      <c r="L213" s="278">
        <v>0</v>
      </c>
      <c r="M213" s="279">
        <v>1103.04</v>
      </c>
      <c r="N213" s="277">
        <v>25458.163199999999</v>
      </c>
      <c r="O213" s="280" t="s">
        <v>888</v>
      </c>
      <c r="P213" s="279">
        <v>0</v>
      </c>
      <c r="Q213" s="281">
        <v>0</v>
      </c>
      <c r="R213" s="282" t="s">
        <v>889</v>
      </c>
      <c r="S213" s="274" t="s">
        <v>1015</v>
      </c>
      <c r="T213" s="44">
        <v>1</v>
      </c>
      <c r="U213" s="283">
        <v>61</v>
      </c>
      <c r="V213" s="284">
        <v>14</v>
      </c>
      <c r="W213" s="285" t="s">
        <v>889</v>
      </c>
      <c r="X213" s="286" t="s">
        <v>889</v>
      </c>
      <c r="Y213" s="287">
        <v>0</v>
      </c>
      <c r="Z213" s="287" t="s">
        <v>889</v>
      </c>
      <c r="AA213" s="286" t="s">
        <v>889</v>
      </c>
      <c r="AB213" s="287">
        <v>0</v>
      </c>
      <c r="AC213" s="287"/>
      <c r="AD213" s="288" t="s">
        <v>889</v>
      </c>
      <c r="AE213" s="289" t="s">
        <v>889</v>
      </c>
      <c r="AF213" s="279">
        <v>368</v>
      </c>
      <c r="AG213" s="282">
        <v>45159</v>
      </c>
      <c r="AH213" s="282" t="s">
        <v>889</v>
      </c>
      <c r="AI213" s="282">
        <v>45145</v>
      </c>
      <c r="AJ213" s="282" t="s">
        <v>889</v>
      </c>
      <c r="AK213" s="274"/>
    </row>
    <row r="214" spans="1:37" x14ac:dyDescent="0.3">
      <c r="A214" s="273">
        <v>24551</v>
      </c>
      <c r="B214" s="274" t="s">
        <v>1202</v>
      </c>
      <c r="C214" s="146" t="s">
        <v>263</v>
      </c>
      <c r="D214" s="275">
        <v>5.2</v>
      </c>
      <c r="E214" s="274"/>
      <c r="F214" s="274"/>
      <c r="G214" s="274" t="s">
        <v>889</v>
      </c>
      <c r="H214" s="276">
        <v>0</v>
      </c>
      <c r="I214" s="24">
        <v>103003</v>
      </c>
      <c r="J214" s="277">
        <v>5.2</v>
      </c>
      <c r="K214" s="276">
        <v>34</v>
      </c>
      <c r="L214" s="278">
        <v>0</v>
      </c>
      <c r="M214" s="279">
        <v>33.96</v>
      </c>
      <c r="N214" s="277">
        <v>176.59200000000001</v>
      </c>
      <c r="O214" s="280" t="s">
        <v>888</v>
      </c>
      <c r="P214" s="279">
        <v>0</v>
      </c>
      <c r="Q214" s="281">
        <v>0</v>
      </c>
      <c r="R214" s="282" t="s">
        <v>889</v>
      </c>
      <c r="S214" s="274" t="s">
        <v>1203</v>
      </c>
      <c r="T214" s="44">
        <v>1</v>
      </c>
      <c r="U214" s="283">
        <v>83</v>
      </c>
      <c r="V214" s="284">
        <v>3</v>
      </c>
      <c r="W214" s="285" t="s">
        <v>889</v>
      </c>
      <c r="X214" s="286" t="s">
        <v>889</v>
      </c>
      <c r="Y214" s="287">
        <v>0</v>
      </c>
      <c r="Z214" s="287" t="s">
        <v>889</v>
      </c>
      <c r="AA214" s="286" t="s">
        <v>889</v>
      </c>
      <c r="AB214" s="287">
        <v>0</v>
      </c>
      <c r="AC214" s="287"/>
      <c r="AD214" s="288" t="s">
        <v>889</v>
      </c>
      <c r="AE214" s="289" t="s">
        <v>889</v>
      </c>
      <c r="AF214" s="279">
        <v>12</v>
      </c>
      <c r="AG214" s="282">
        <v>43889</v>
      </c>
      <c r="AH214" s="282" t="s">
        <v>889</v>
      </c>
      <c r="AI214" s="282">
        <v>43826</v>
      </c>
      <c r="AJ214" s="282" t="s">
        <v>889</v>
      </c>
      <c r="AK214" s="274"/>
    </row>
    <row r="215" spans="1:37" x14ac:dyDescent="0.3">
      <c r="A215" s="273">
        <v>24888</v>
      </c>
      <c r="B215" s="274" t="s">
        <v>1204</v>
      </c>
      <c r="C215" s="146" t="s">
        <v>320</v>
      </c>
      <c r="D215" s="275">
        <v>15.8</v>
      </c>
      <c r="E215" s="274"/>
      <c r="F215" s="274"/>
      <c r="G215" s="274" t="s">
        <v>889</v>
      </c>
      <c r="H215" s="276">
        <v>96</v>
      </c>
      <c r="I215" s="24">
        <v>103003</v>
      </c>
      <c r="J215" s="277">
        <v>15.8</v>
      </c>
      <c r="K215" s="276">
        <v>1</v>
      </c>
      <c r="L215" s="278">
        <v>1200</v>
      </c>
      <c r="M215" s="279">
        <v>0</v>
      </c>
      <c r="N215" s="277">
        <v>0</v>
      </c>
      <c r="O215" s="280" t="s">
        <v>888</v>
      </c>
      <c r="P215" s="279">
        <v>0</v>
      </c>
      <c r="Q215" s="281">
        <v>0</v>
      </c>
      <c r="R215" s="282" t="s">
        <v>889</v>
      </c>
      <c r="S215" s="274" t="s">
        <v>991</v>
      </c>
      <c r="T215" s="44">
        <v>1</v>
      </c>
      <c r="U215" s="283">
        <v>67</v>
      </c>
      <c r="V215" s="284">
        <v>6</v>
      </c>
      <c r="W215" s="285" t="s">
        <v>889</v>
      </c>
      <c r="X215" s="286" t="s">
        <v>889</v>
      </c>
      <c r="Y215" s="287">
        <v>0</v>
      </c>
      <c r="Z215" s="287" t="s">
        <v>889</v>
      </c>
      <c r="AA215" s="286" t="s">
        <v>889</v>
      </c>
      <c r="AB215" s="287">
        <v>0</v>
      </c>
      <c r="AC215" s="287"/>
      <c r="AD215" s="288" t="s">
        <v>889</v>
      </c>
      <c r="AE215" s="289" t="s">
        <v>889</v>
      </c>
      <c r="AF215" s="279">
        <v>0</v>
      </c>
      <c r="AG215" s="282">
        <v>43853</v>
      </c>
      <c r="AH215" s="282" t="s">
        <v>889</v>
      </c>
      <c r="AI215" s="282">
        <v>44055</v>
      </c>
      <c r="AJ215" s="282" t="s">
        <v>889</v>
      </c>
      <c r="AK215" s="274"/>
    </row>
    <row r="216" spans="1:37" x14ac:dyDescent="0.3">
      <c r="A216" s="273">
        <v>25523</v>
      </c>
      <c r="B216" s="274" t="s">
        <v>1205</v>
      </c>
      <c r="C216" s="146" t="s">
        <v>263</v>
      </c>
      <c r="D216" s="275">
        <v>5.57</v>
      </c>
      <c r="E216" s="274"/>
      <c r="F216" s="274"/>
      <c r="G216" s="274" t="s">
        <v>889</v>
      </c>
      <c r="H216" s="276">
        <v>692</v>
      </c>
      <c r="I216" s="24">
        <v>103003</v>
      </c>
      <c r="J216" s="277">
        <v>5.57</v>
      </c>
      <c r="K216" s="276">
        <v>239</v>
      </c>
      <c r="L216" s="278">
        <v>30.524922805469782</v>
      </c>
      <c r="M216" s="279">
        <v>0</v>
      </c>
      <c r="N216" s="277">
        <v>0</v>
      </c>
      <c r="O216" s="280" t="s">
        <v>888</v>
      </c>
      <c r="P216" s="279">
        <v>0</v>
      </c>
      <c r="Q216" s="281">
        <v>0</v>
      </c>
      <c r="R216" s="282" t="s">
        <v>889</v>
      </c>
      <c r="S216" s="274" t="s">
        <v>966</v>
      </c>
      <c r="T216" s="44">
        <v>1</v>
      </c>
      <c r="U216" s="283">
        <v>61</v>
      </c>
      <c r="V216" s="284">
        <v>8</v>
      </c>
      <c r="W216" s="285" t="s">
        <v>889</v>
      </c>
      <c r="X216" s="286" t="s">
        <v>889</v>
      </c>
      <c r="Y216" s="287">
        <v>0</v>
      </c>
      <c r="Z216" s="287" t="s">
        <v>889</v>
      </c>
      <c r="AA216" s="286" t="s">
        <v>889</v>
      </c>
      <c r="AB216" s="287">
        <v>0</v>
      </c>
      <c r="AC216" s="287"/>
      <c r="AD216" s="288" t="s">
        <v>889</v>
      </c>
      <c r="AE216" s="289" t="s">
        <v>889</v>
      </c>
      <c r="AF216" s="279">
        <v>90</v>
      </c>
      <c r="AG216" s="282">
        <v>43903</v>
      </c>
      <c r="AH216" s="282" t="s">
        <v>889</v>
      </c>
      <c r="AI216" s="282">
        <v>44533</v>
      </c>
      <c r="AJ216" s="282" t="s">
        <v>889</v>
      </c>
      <c r="AK216" s="274"/>
    </row>
    <row r="217" spans="1:37" x14ac:dyDescent="0.3">
      <c r="A217" s="273">
        <v>25559</v>
      </c>
      <c r="B217" s="274" t="s">
        <v>1206</v>
      </c>
      <c r="C217" s="146" t="s">
        <v>380</v>
      </c>
      <c r="D217" s="275">
        <v>1.6</v>
      </c>
      <c r="E217" s="274"/>
      <c r="F217" s="274"/>
      <c r="G217" s="274" t="s">
        <v>889</v>
      </c>
      <c r="H217" s="276">
        <v>3611</v>
      </c>
      <c r="I217" s="24">
        <v>103003</v>
      </c>
      <c r="J217" s="277">
        <v>1.6</v>
      </c>
      <c r="K217" s="276">
        <v>4301</v>
      </c>
      <c r="L217" s="278">
        <v>5.6450982537871095</v>
      </c>
      <c r="M217" s="279">
        <v>4065.04</v>
      </c>
      <c r="N217" s="277">
        <v>6504.0640000000003</v>
      </c>
      <c r="O217" s="280" t="s">
        <v>888</v>
      </c>
      <c r="P217" s="279">
        <v>0</v>
      </c>
      <c r="Q217" s="281">
        <v>0</v>
      </c>
      <c r="R217" s="282" t="s">
        <v>889</v>
      </c>
      <c r="S217" s="274" t="s">
        <v>1136</v>
      </c>
      <c r="T217" s="44">
        <v>1</v>
      </c>
      <c r="U217" s="283">
        <v>57</v>
      </c>
      <c r="V217" s="284">
        <v>2</v>
      </c>
      <c r="W217" s="285" t="s">
        <v>889</v>
      </c>
      <c r="X217" s="286" t="s">
        <v>889</v>
      </c>
      <c r="Y217" s="287">
        <v>0</v>
      </c>
      <c r="Z217" s="287" t="s">
        <v>889</v>
      </c>
      <c r="AA217" s="286" t="s">
        <v>889</v>
      </c>
      <c r="AB217" s="287">
        <v>0</v>
      </c>
      <c r="AC217" s="287"/>
      <c r="AD217" s="288" t="s">
        <v>889</v>
      </c>
      <c r="AE217" s="289" t="s">
        <v>889</v>
      </c>
      <c r="AF217" s="279">
        <v>2558</v>
      </c>
      <c r="AG217" s="282">
        <v>44203</v>
      </c>
      <c r="AH217" s="282" t="s">
        <v>889</v>
      </c>
      <c r="AI217" s="282">
        <v>45083</v>
      </c>
      <c r="AJ217" s="282" t="s">
        <v>889</v>
      </c>
      <c r="AK217" s="274"/>
    </row>
    <row r="218" spans="1:37" x14ac:dyDescent="0.3">
      <c r="A218" s="273">
        <v>25630</v>
      </c>
      <c r="B218" s="274" t="s">
        <v>1207</v>
      </c>
      <c r="C218" s="146" t="s">
        <v>263</v>
      </c>
      <c r="D218" s="275">
        <v>62.87</v>
      </c>
      <c r="E218" s="274"/>
      <c r="F218" s="274"/>
      <c r="G218" s="274" t="s">
        <v>889</v>
      </c>
      <c r="H218" s="276">
        <v>124</v>
      </c>
      <c r="I218" s="24">
        <v>103003</v>
      </c>
      <c r="J218" s="277">
        <v>62.87</v>
      </c>
      <c r="K218" s="276">
        <v>58</v>
      </c>
      <c r="L218" s="278">
        <v>22.222222222222225</v>
      </c>
      <c r="M218" s="279">
        <v>0</v>
      </c>
      <c r="N218" s="277">
        <v>0</v>
      </c>
      <c r="O218" s="280" t="s">
        <v>888</v>
      </c>
      <c r="P218" s="279">
        <v>0</v>
      </c>
      <c r="Q218" s="281">
        <v>0</v>
      </c>
      <c r="R218" s="282" t="s">
        <v>889</v>
      </c>
      <c r="S218" s="274" t="s">
        <v>1011</v>
      </c>
      <c r="T218" s="44">
        <v>1</v>
      </c>
      <c r="U218" s="283">
        <v>61</v>
      </c>
      <c r="V218" s="284">
        <v>15</v>
      </c>
      <c r="W218" s="285" t="s">
        <v>889</v>
      </c>
      <c r="X218" s="286" t="s">
        <v>889</v>
      </c>
      <c r="Y218" s="287">
        <v>0</v>
      </c>
      <c r="Z218" s="287" t="s">
        <v>889</v>
      </c>
      <c r="AA218" s="286" t="s">
        <v>889</v>
      </c>
      <c r="AB218" s="287">
        <v>0</v>
      </c>
      <c r="AC218" s="287"/>
      <c r="AD218" s="288" t="s">
        <v>889</v>
      </c>
      <c r="AE218" s="289" t="s">
        <v>889</v>
      </c>
      <c r="AF218" s="279">
        <v>22</v>
      </c>
      <c r="AG218" s="282">
        <v>44526</v>
      </c>
      <c r="AH218" s="282" t="s">
        <v>889</v>
      </c>
      <c r="AI218" s="282">
        <v>45096</v>
      </c>
      <c r="AJ218" s="282" t="s">
        <v>889</v>
      </c>
      <c r="AK218" s="274"/>
    </row>
    <row r="219" spans="1:37" x14ac:dyDescent="0.3">
      <c r="A219" s="273">
        <v>25756</v>
      </c>
      <c r="B219" s="274" t="s">
        <v>1208</v>
      </c>
      <c r="C219" s="146" t="s">
        <v>263</v>
      </c>
      <c r="D219" s="275">
        <v>66.25</v>
      </c>
      <c r="E219" s="274"/>
      <c r="F219" s="274"/>
      <c r="G219" s="274" t="s">
        <v>889</v>
      </c>
      <c r="H219" s="276">
        <v>116</v>
      </c>
      <c r="I219" s="24">
        <v>103003</v>
      </c>
      <c r="J219" s="277">
        <v>66.25</v>
      </c>
      <c r="K219" s="276">
        <v>53</v>
      </c>
      <c r="L219" s="278">
        <v>25.327510917030565</v>
      </c>
      <c r="M219" s="279">
        <v>0</v>
      </c>
      <c r="N219" s="277">
        <v>0</v>
      </c>
      <c r="O219" s="280" t="s">
        <v>888</v>
      </c>
      <c r="P219" s="279">
        <v>0</v>
      </c>
      <c r="Q219" s="281">
        <v>0</v>
      </c>
      <c r="R219" s="282" t="s">
        <v>889</v>
      </c>
      <c r="S219" s="274" t="s">
        <v>1011</v>
      </c>
      <c r="T219" s="44">
        <v>1</v>
      </c>
      <c r="U219" s="283">
        <v>61</v>
      </c>
      <c r="V219" s="284">
        <v>15</v>
      </c>
      <c r="W219" s="285" t="s">
        <v>889</v>
      </c>
      <c r="X219" s="286" t="s">
        <v>889</v>
      </c>
      <c r="Y219" s="287">
        <v>0</v>
      </c>
      <c r="Z219" s="287" t="s">
        <v>889</v>
      </c>
      <c r="AA219" s="286" t="s">
        <v>889</v>
      </c>
      <c r="AB219" s="287">
        <v>0</v>
      </c>
      <c r="AC219" s="287"/>
      <c r="AD219" s="288" t="s">
        <v>889</v>
      </c>
      <c r="AE219" s="289" t="s">
        <v>889</v>
      </c>
      <c r="AF219" s="279">
        <v>18</v>
      </c>
      <c r="AG219" s="282">
        <v>44610</v>
      </c>
      <c r="AH219" s="282" t="s">
        <v>889</v>
      </c>
      <c r="AI219" s="282">
        <v>44607</v>
      </c>
      <c r="AJ219" s="282" t="s">
        <v>889</v>
      </c>
      <c r="AK219" s="274"/>
    </row>
    <row r="220" spans="1:37" x14ac:dyDescent="0.3">
      <c r="A220" s="273">
        <v>26215</v>
      </c>
      <c r="B220" s="274" t="s">
        <v>1209</v>
      </c>
      <c r="C220" s="146" t="s">
        <v>263</v>
      </c>
      <c r="D220" s="275">
        <v>250</v>
      </c>
      <c r="E220" s="274"/>
      <c r="F220" s="274"/>
      <c r="G220" s="274" t="s">
        <v>889</v>
      </c>
      <c r="H220" s="276">
        <v>20</v>
      </c>
      <c r="I220" s="24">
        <v>103003</v>
      </c>
      <c r="J220" s="277">
        <v>250</v>
      </c>
      <c r="K220" s="276">
        <v>99</v>
      </c>
      <c r="L220" s="278">
        <v>2.4242424242424248</v>
      </c>
      <c r="M220" s="279">
        <v>79</v>
      </c>
      <c r="N220" s="277">
        <v>19750</v>
      </c>
      <c r="O220" s="280" t="s">
        <v>888</v>
      </c>
      <c r="P220" s="279">
        <v>0</v>
      </c>
      <c r="Q220" s="281">
        <v>0</v>
      </c>
      <c r="R220" s="282" t="s">
        <v>889</v>
      </c>
      <c r="S220" s="274" t="s">
        <v>1210</v>
      </c>
      <c r="T220" s="44">
        <v>1</v>
      </c>
      <c r="U220" s="283">
        <v>74</v>
      </c>
      <c r="V220" s="284">
        <v>9</v>
      </c>
      <c r="W220" s="285" t="s">
        <v>889</v>
      </c>
      <c r="X220" s="286" t="s">
        <v>889</v>
      </c>
      <c r="Y220" s="287">
        <v>0</v>
      </c>
      <c r="Z220" s="287" t="s">
        <v>889</v>
      </c>
      <c r="AA220" s="286" t="s">
        <v>889</v>
      </c>
      <c r="AB220" s="287">
        <v>0</v>
      </c>
      <c r="AC220" s="287"/>
      <c r="AD220" s="288" t="s">
        <v>889</v>
      </c>
      <c r="AE220" s="289" t="s">
        <v>889</v>
      </c>
      <c r="AF220" s="279">
        <v>34</v>
      </c>
      <c r="AG220" s="282">
        <v>44083</v>
      </c>
      <c r="AH220" s="282" t="s">
        <v>889</v>
      </c>
      <c r="AI220" s="282">
        <v>45210</v>
      </c>
      <c r="AJ220" s="282" t="s">
        <v>889</v>
      </c>
      <c r="AK220" s="274"/>
    </row>
    <row r="221" spans="1:37" x14ac:dyDescent="0.3">
      <c r="A221" s="273">
        <v>26282</v>
      </c>
      <c r="B221" s="274" t="s">
        <v>1211</v>
      </c>
      <c r="C221" s="146" t="s">
        <v>263</v>
      </c>
      <c r="D221" s="275">
        <v>297</v>
      </c>
      <c r="E221" s="274"/>
      <c r="F221" s="274"/>
      <c r="G221" s="274" t="s">
        <v>889</v>
      </c>
      <c r="H221" s="276">
        <v>19</v>
      </c>
      <c r="I221" s="24">
        <v>103003</v>
      </c>
      <c r="J221" s="277">
        <v>297</v>
      </c>
      <c r="K221" s="276"/>
      <c r="L221" s="278">
        <v>0</v>
      </c>
      <c r="M221" s="279">
        <v>0</v>
      </c>
      <c r="N221" s="277">
        <v>0</v>
      </c>
      <c r="O221" s="280" t="s">
        <v>888</v>
      </c>
      <c r="P221" s="279">
        <v>0</v>
      </c>
      <c r="Q221" s="281">
        <v>0</v>
      </c>
      <c r="R221" s="282" t="s">
        <v>889</v>
      </c>
      <c r="S221" s="274" t="s">
        <v>1212</v>
      </c>
      <c r="T221" s="44">
        <v>1</v>
      </c>
      <c r="U221" s="283">
        <v>51</v>
      </c>
      <c r="V221" s="284">
        <v>26</v>
      </c>
      <c r="W221" s="285" t="s">
        <v>889</v>
      </c>
      <c r="X221" s="286" t="s">
        <v>889</v>
      </c>
      <c r="Y221" s="287">
        <v>0</v>
      </c>
      <c r="Z221" s="287" t="s">
        <v>889</v>
      </c>
      <c r="AA221" s="286" t="s">
        <v>889</v>
      </c>
      <c r="AB221" s="287">
        <v>0</v>
      </c>
      <c r="AC221" s="287"/>
      <c r="AD221" s="288" t="s">
        <v>889</v>
      </c>
      <c r="AE221" s="289" t="s">
        <v>889</v>
      </c>
      <c r="AF221" s="279">
        <v>0</v>
      </c>
      <c r="AG221" s="282">
        <v>42381</v>
      </c>
      <c r="AH221" s="282" t="s">
        <v>889</v>
      </c>
      <c r="AI221" s="282">
        <v>42349</v>
      </c>
      <c r="AJ221" s="282" t="s">
        <v>889</v>
      </c>
      <c r="AK221" s="274"/>
    </row>
    <row r="222" spans="1:37" x14ac:dyDescent="0.3">
      <c r="A222" s="273">
        <v>26504</v>
      </c>
      <c r="B222" s="274" t="s">
        <v>1213</v>
      </c>
      <c r="C222" s="146" t="s">
        <v>263</v>
      </c>
      <c r="D222" s="275">
        <v>14.2</v>
      </c>
      <c r="E222" s="274"/>
      <c r="F222" s="274"/>
      <c r="G222" s="274" t="s">
        <v>889</v>
      </c>
      <c r="H222" s="276">
        <v>750</v>
      </c>
      <c r="I222" s="24">
        <v>103003</v>
      </c>
      <c r="J222" s="277">
        <v>14.2</v>
      </c>
      <c r="K222" s="276"/>
      <c r="L222" s="278">
        <v>0</v>
      </c>
      <c r="M222" s="279">
        <v>0</v>
      </c>
      <c r="N222" s="277">
        <v>0</v>
      </c>
      <c r="O222" s="280" t="s">
        <v>888</v>
      </c>
      <c r="P222" s="279">
        <v>0</v>
      </c>
      <c r="Q222" s="281">
        <v>0</v>
      </c>
      <c r="R222" s="282" t="s">
        <v>889</v>
      </c>
      <c r="S222" s="274" t="s">
        <v>1214</v>
      </c>
      <c r="T222" s="44">
        <v>1</v>
      </c>
      <c r="U222" s="283">
        <v>78</v>
      </c>
      <c r="V222" s="284">
        <v>6</v>
      </c>
      <c r="W222" s="285" t="s">
        <v>889</v>
      </c>
      <c r="X222" s="286" t="s">
        <v>889</v>
      </c>
      <c r="Y222" s="287">
        <v>0</v>
      </c>
      <c r="Z222" s="287" t="s">
        <v>889</v>
      </c>
      <c r="AA222" s="286" t="s">
        <v>889</v>
      </c>
      <c r="AB222" s="287">
        <v>0</v>
      </c>
      <c r="AC222" s="287"/>
      <c r="AD222" s="288" t="s">
        <v>889</v>
      </c>
      <c r="AE222" s="289" t="s">
        <v>889</v>
      </c>
      <c r="AF222" s="279">
        <v>0</v>
      </c>
      <c r="AG222" s="282">
        <v>43777</v>
      </c>
      <c r="AH222" s="282" t="s">
        <v>889</v>
      </c>
      <c r="AI222" s="282">
        <v>43840</v>
      </c>
      <c r="AJ222" s="282" t="s">
        <v>889</v>
      </c>
      <c r="AK222" s="274"/>
    </row>
    <row r="223" spans="1:37" x14ac:dyDescent="0.3">
      <c r="A223" s="273">
        <v>26506</v>
      </c>
      <c r="B223" s="274" t="s">
        <v>1215</v>
      </c>
      <c r="C223" s="146" t="s">
        <v>263</v>
      </c>
      <c r="D223" s="275">
        <v>20.5</v>
      </c>
      <c r="E223" s="274"/>
      <c r="F223" s="274"/>
      <c r="G223" s="274" t="s">
        <v>889</v>
      </c>
      <c r="H223" s="276">
        <v>750</v>
      </c>
      <c r="I223" s="24">
        <v>103003</v>
      </c>
      <c r="J223" s="277">
        <v>20.5</v>
      </c>
      <c r="K223" s="276"/>
      <c r="L223" s="278">
        <v>0</v>
      </c>
      <c r="M223" s="279">
        <v>0</v>
      </c>
      <c r="N223" s="277">
        <v>0</v>
      </c>
      <c r="O223" s="280" t="s">
        <v>888</v>
      </c>
      <c r="P223" s="279">
        <v>0</v>
      </c>
      <c r="Q223" s="281">
        <v>0</v>
      </c>
      <c r="R223" s="282" t="s">
        <v>889</v>
      </c>
      <c r="S223" s="274" t="s">
        <v>1214</v>
      </c>
      <c r="T223" s="44">
        <v>1</v>
      </c>
      <c r="U223" s="283">
        <v>78</v>
      </c>
      <c r="V223" s="284">
        <v>6</v>
      </c>
      <c r="W223" s="285" t="s">
        <v>889</v>
      </c>
      <c r="X223" s="286" t="s">
        <v>889</v>
      </c>
      <c r="Y223" s="287">
        <v>0</v>
      </c>
      <c r="Z223" s="287" t="s">
        <v>889</v>
      </c>
      <c r="AA223" s="286" t="s">
        <v>889</v>
      </c>
      <c r="AB223" s="287">
        <v>0</v>
      </c>
      <c r="AC223" s="287"/>
      <c r="AD223" s="288" t="s">
        <v>889</v>
      </c>
      <c r="AE223" s="289" t="s">
        <v>889</v>
      </c>
      <c r="AF223" s="279">
        <v>0</v>
      </c>
      <c r="AG223" s="282">
        <v>43777</v>
      </c>
      <c r="AH223" s="282" t="s">
        <v>889</v>
      </c>
      <c r="AI223" s="282">
        <v>43840</v>
      </c>
      <c r="AJ223" s="282" t="s">
        <v>889</v>
      </c>
      <c r="AK223" s="274"/>
    </row>
    <row r="224" spans="1:37" x14ac:dyDescent="0.3">
      <c r="A224" s="273">
        <v>27136</v>
      </c>
      <c r="B224" s="274" t="s">
        <v>1216</v>
      </c>
      <c r="C224" s="146" t="s">
        <v>263</v>
      </c>
      <c r="D224" s="275">
        <v>7.0000000000000007E-2</v>
      </c>
      <c r="E224" s="274" t="s">
        <v>1217</v>
      </c>
      <c r="F224" s="274" t="s">
        <v>1218</v>
      </c>
      <c r="G224" s="274" t="s">
        <v>896</v>
      </c>
      <c r="H224" s="276">
        <v>34248</v>
      </c>
      <c r="I224" s="24">
        <v>103003</v>
      </c>
      <c r="J224" s="277">
        <v>7.0000000000000007E-2</v>
      </c>
      <c r="K224" s="276">
        <v>127569</v>
      </c>
      <c r="L224" s="278">
        <v>3.2233169067903491</v>
      </c>
      <c r="M224" s="279">
        <v>93252.96</v>
      </c>
      <c r="N224" s="277">
        <v>6527.7071999999998</v>
      </c>
      <c r="O224" s="280" t="s">
        <v>897</v>
      </c>
      <c r="P224" s="279">
        <v>275000</v>
      </c>
      <c r="Q224" s="281">
        <v>19250</v>
      </c>
      <c r="R224" s="282">
        <v>45377</v>
      </c>
      <c r="S224" s="274" t="s">
        <v>1219</v>
      </c>
      <c r="T224" s="44">
        <v>1</v>
      </c>
      <c r="U224" s="283">
        <v>62</v>
      </c>
      <c r="V224" s="284">
        <v>10</v>
      </c>
      <c r="W224" s="285" t="s">
        <v>889</v>
      </c>
      <c r="X224" s="286" t="s">
        <v>889</v>
      </c>
      <c r="Y224" s="287">
        <v>0</v>
      </c>
      <c r="Z224" s="287" t="s">
        <v>889</v>
      </c>
      <c r="AA224" s="286" t="s">
        <v>889</v>
      </c>
      <c r="AB224" s="287">
        <v>0</v>
      </c>
      <c r="AC224" s="287"/>
      <c r="AD224" s="288" t="s">
        <v>889</v>
      </c>
      <c r="AE224" s="289" t="s">
        <v>889</v>
      </c>
      <c r="AF224" s="279">
        <v>42500</v>
      </c>
      <c r="AG224" s="282">
        <v>45203</v>
      </c>
      <c r="AH224" s="282" t="s">
        <v>889</v>
      </c>
      <c r="AI224" s="282">
        <v>45196</v>
      </c>
      <c r="AJ224" s="282" t="s">
        <v>889</v>
      </c>
      <c r="AK224" s="274"/>
    </row>
    <row r="225" spans="1:37" x14ac:dyDescent="0.3">
      <c r="A225" s="273">
        <v>27137</v>
      </c>
      <c r="B225" s="274" t="s">
        <v>1220</v>
      </c>
      <c r="C225" s="146" t="s">
        <v>380</v>
      </c>
      <c r="D225" s="275">
        <v>1.49</v>
      </c>
      <c r="E225" s="274"/>
      <c r="F225" s="274"/>
      <c r="G225" s="274" t="s">
        <v>889</v>
      </c>
      <c r="H225" s="276">
        <v>8585</v>
      </c>
      <c r="I225" s="24">
        <v>103003</v>
      </c>
      <c r="J225" s="277">
        <v>1.49</v>
      </c>
      <c r="K225" s="276">
        <v>3761</v>
      </c>
      <c r="L225" s="278">
        <v>17.349392720732371</v>
      </c>
      <c r="M225" s="279">
        <v>0</v>
      </c>
      <c r="N225" s="277">
        <v>0</v>
      </c>
      <c r="O225" s="280" t="s">
        <v>888</v>
      </c>
      <c r="P225" s="279">
        <v>0</v>
      </c>
      <c r="Q225" s="281">
        <v>0</v>
      </c>
      <c r="R225" s="282" t="s">
        <v>889</v>
      </c>
      <c r="S225" s="274" t="s">
        <v>1136</v>
      </c>
      <c r="T225" s="44">
        <v>1</v>
      </c>
      <c r="U225" s="283">
        <v>57</v>
      </c>
      <c r="V225" s="284">
        <v>2</v>
      </c>
      <c r="W225" s="285" t="s">
        <v>889</v>
      </c>
      <c r="X225" s="286" t="s">
        <v>889</v>
      </c>
      <c r="Y225" s="287">
        <v>0</v>
      </c>
      <c r="Z225" s="287" t="s">
        <v>889</v>
      </c>
      <c r="AA225" s="286" t="s">
        <v>889</v>
      </c>
      <c r="AB225" s="287">
        <v>0</v>
      </c>
      <c r="AC225" s="287"/>
      <c r="AD225" s="288" t="s">
        <v>889</v>
      </c>
      <c r="AE225" s="289" t="s">
        <v>889</v>
      </c>
      <c r="AF225" s="279">
        <v>1980</v>
      </c>
      <c r="AG225" s="282">
        <v>44133</v>
      </c>
      <c r="AH225" s="282" t="s">
        <v>889</v>
      </c>
      <c r="AI225" s="282">
        <v>44951</v>
      </c>
      <c r="AJ225" s="282" t="s">
        <v>889</v>
      </c>
      <c r="AK225" s="274"/>
    </row>
    <row r="226" spans="1:37" x14ac:dyDescent="0.3">
      <c r="A226" s="273">
        <v>27138</v>
      </c>
      <c r="B226" s="274" t="s">
        <v>1221</v>
      </c>
      <c r="C226" s="146" t="s">
        <v>380</v>
      </c>
      <c r="D226" s="275">
        <v>0.48</v>
      </c>
      <c r="E226" s="274"/>
      <c r="F226" s="274"/>
      <c r="G226" s="274" t="s">
        <v>889</v>
      </c>
      <c r="H226" s="276">
        <v>7416</v>
      </c>
      <c r="I226" s="24">
        <v>103003</v>
      </c>
      <c r="J226" s="277">
        <v>0.48</v>
      </c>
      <c r="K226" s="276">
        <v>3814</v>
      </c>
      <c r="L226" s="278">
        <v>14.475045380906836</v>
      </c>
      <c r="M226" s="279">
        <v>0</v>
      </c>
      <c r="N226" s="277">
        <v>0</v>
      </c>
      <c r="O226" s="280" t="s">
        <v>888</v>
      </c>
      <c r="P226" s="279">
        <v>0</v>
      </c>
      <c r="Q226" s="281">
        <v>0</v>
      </c>
      <c r="R226" s="282" t="s">
        <v>889</v>
      </c>
      <c r="S226" s="274" t="s">
        <v>1136</v>
      </c>
      <c r="T226" s="44">
        <v>1</v>
      </c>
      <c r="U226" s="283">
        <v>57</v>
      </c>
      <c r="V226" s="284">
        <v>2</v>
      </c>
      <c r="W226" s="285" t="s">
        <v>889</v>
      </c>
      <c r="X226" s="286" t="s">
        <v>889</v>
      </c>
      <c r="Y226" s="287">
        <v>0</v>
      </c>
      <c r="Z226" s="287" t="s">
        <v>889</v>
      </c>
      <c r="AA226" s="286" t="s">
        <v>889</v>
      </c>
      <c r="AB226" s="287">
        <v>0</v>
      </c>
      <c r="AC226" s="287"/>
      <c r="AD226" s="288" t="s">
        <v>889</v>
      </c>
      <c r="AE226" s="289" t="s">
        <v>889</v>
      </c>
      <c r="AF226" s="279">
        <v>2050</v>
      </c>
      <c r="AG226" s="282">
        <v>44133</v>
      </c>
      <c r="AH226" s="282" t="s">
        <v>889</v>
      </c>
      <c r="AI226" s="282">
        <v>44126</v>
      </c>
      <c r="AJ226" s="282" t="s">
        <v>889</v>
      </c>
      <c r="AK226" s="274"/>
    </row>
    <row r="227" spans="1:37" x14ac:dyDescent="0.3">
      <c r="A227" s="273">
        <v>27139</v>
      </c>
      <c r="B227" s="274" t="s">
        <v>1222</v>
      </c>
      <c r="C227" s="146" t="s">
        <v>380</v>
      </c>
      <c r="D227" s="275">
        <v>1.49</v>
      </c>
      <c r="E227" s="274"/>
      <c r="F227" s="274"/>
      <c r="G227" s="274" t="s">
        <v>889</v>
      </c>
      <c r="H227" s="276">
        <v>7253</v>
      </c>
      <c r="I227" s="24">
        <v>103003</v>
      </c>
      <c r="J227" s="277">
        <v>1.49</v>
      </c>
      <c r="K227" s="276">
        <v>3811</v>
      </c>
      <c r="L227" s="278">
        <v>14.532740242045362</v>
      </c>
      <c r="M227" s="279">
        <v>0</v>
      </c>
      <c r="N227" s="277">
        <v>0</v>
      </c>
      <c r="O227" s="280" t="s">
        <v>888</v>
      </c>
      <c r="P227" s="279">
        <v>0</v>
      </c>
      <c r="Q227" s="281">
        <v>0</v>
      </c>
      <c r="R227" s="282" t="s">
        <v>889</v>
      </c>
      <c r="S227" s="274" t="s">
        <v>1136</v>
      </c>
      <c r="T227" s="44">
        <v>1</v>
      </c>
      <c r="U227" s="283">
        <v>57</v>
      </c>
      <c r="V227" s="284">
        <v>2</v>
      </c>
      <c r="W227" s="285" t="s">
        <v>889</v>
      </c>
      <c r="X227" s="286" t="s">
        <v>889</v>
      </c>
      <c r="Y227" s="287">
        <v>0</v>
      </c>
      <c r="Z227" s="287" t="s">
        <v>889</v>
      </c>
      <c r="AA227" s="286" t="s">
        <v>889</v>
      </c>
      <c r="AB227" s="287">
        <v>0</v>
      </c>
      <c r="AC227" s="287"/>
      <c r="AD227" s="288" t="s">
        <v>889</v>
      </c>
      <c r="AE227" s="289" t="s">
        <v>889</v>
      </c>
      <c r="AF227" s="279">
        <v>1996</v>
      </c>
      <c r="AG227" s="282">
        <v>44133</v>
      </c>
      <c r="AH227" s="282" t="s">
        <v>889</v>
      </c>
      <c r="AI227" s="282">
        <v>44951</v>
      </c>
      <c r="AJ227" s="282" t="s">
        <v>889</v>
      </c>
      <c r="AK227" s="274"/>
    </row>
    <row r="228" spans="1:37" x14ac:dyDescent="0.3">
      <c r="A228" s="273">
        <v>27140</v>
      </c>
      <c r="B228" s="274" t="s">
        <v>1223</v>
      </c>
      <c r="C228" s="146" t="s">
        <v>380</v>
      </c>
      <c r="D228" s="275">
        <v>1.6</v>
      </c>
      <c r="E228" s="274"/>
      <c r="F228" s="274"/>
      <c r="G228" s="274" t="s">
        <v>889</v>
      </c>
      <c r="H228" s="276">
        <v>3434</v>
      </c>
      <c r="I228" s="24">
        <v>103003</v>
      </c>
      <c r="J228" s="277">
        <v>1.6</v>
      </c>
      <c r="K228" s="276">
        <v>4316</v>
      </c>
      <c r="L228" s="278">
        <v>5.9394295795354308</v>
      </c>
      <c r="M228" s="279">
        <v>3504.04</v>
      </c>
      <c r="N228" s="277">
        <v>5606.4639999999999</v>
      </c>
      <c r="O228" s="280" t="s">
        <v>888</v>
      </c>
      <c r="P228" s="279">
        <v>0</v>
      </c>
      <c r="Q228" s="281">
        <v>0</v>
      </c>
      <c r="R228" s="282" t="s">
        <v>889</v>
      </c>
      <c r="S228" s="274" t="s">
        <v>1136</v>
      </c>
      <c r="T228" s="44">
        <v>1</v>
      </c>
      <c r="U228" s="283">
        <v>57</v>
      </c>
      <c r="V228" s="284">
        <v>2</v>
      </c>
      <c r="W228" s="285" t="s">
        <v>889</v>
      </c>
      <c r="X228" s="286" t="s">
        <v>889</v>
      </c>
      <c r="Y228" s="287">
        <v>0</v>
      </c>
      <c r="Z228" s="287" t="s">
        <v>889</v>
      </c>
      <c r="AA228" s="286" t="s">
        <v>889</v>
      </c>
      <c r="AB228" s="287">
        <v>0</v>
      </c>
      <c r="AC228" s="287"/>
      <c r="AD228" s="288" t="s">
        <v>889</v>
      </c>
      <c r="AE228" s="289" t="s">
        <v>889</v>
      </c>
      <c r="AF228" s="279">
        <v>2312</v>
      </c>
      <c r="AG228" s="282">
        <v>44133</v>
      </c>
      <c r="AH228" s="282" t="s">
        <v>889</v>
      </c>
      <c r="AI228" s="282">
        <v>45083</v>
      </c>
      <c r="AJ228" s="282" t="s">
        <v>889</v>
      </c>
      <c r="AK228" s="274"/>
    </row>
    <row r="229" spans="1:37" x14ac:dyDescent="0.3">
      <c r="A229" s="273">
        <v>27287</v>
      </c>
      <c r="B229" s="274" t="s">
        <v>1224</v>
      </c>
      <c r="C229" s="146" t="s">
        <v>345</v>
      </c>
      <c r="D229" s="275">
        <v>40</v>
      </c>
      <c r="E229" s="274"/>
      <c r="F229" s="274"/>
      <c r="G229" s="274" t="s">
        <v>889</v>
      </c>
      <c r="H229" s="276">
        <v>1114</v>
      </c>
      <c r="I229" s="24">
        <v>103003</v>
      </c>
      <c r="J229" s="277">
        <v>40</v>
      </c>
      <c r="K229" s="276">
        <v>85</v>
      </c>
      <c r="L229" s="278">
        <v>157.34463276836158</v>
      </c>
      <c r="M229" s="279">
        <v>0</v>
      </c>
      <c r="N229" s="277">
        <v>0</v>
      </c>
      <c r="O229" s="280" t="s">
        <v>888</v>
      </c>
      <c r="P229" s="279">
        <v>0</v>
      </c>
      <c r="Q229" s="281">
        <v>0</v>
      </c>
      <c r="R229" s="282" t="s">
        <v>889</v>
      </c>
      <c r="S229" s="274" t="s">
        <v>1225</v>
      </c>
      <c r="T229" s="44">
        <v>1</v>
      </c>
      <c r="U229" s="283">
        <v>51</v>
      </c>
      <c r="V229" s="284">
        <v>13</v>
      </c>
      <c r="W229" s="285" t="s">
        <v>889</v>
      </c>
      <c r="X229" s="286" t="s">
        <v>889</v>
      </c>
      <c r="Y229" s="287">
        <v>0</v>
      </c>
      <c r="Z229" s="287" t="s">
        <v>889</v>
      </c>
      <c r="AA229" s="286" t="s">
        <v>889</v>
      </c>
      <c r="AB229" s="287">
        <v>0</v>
      </c>
      <c r="AC229" s="287"/>
      <c r="AD229" s="288" t="s">
        <v>889</v>
      </c>
      <c r="AE229" s="289" t="s">
        <v>889</v>
      </c>
      <c r="AF229" s="279">
        <v>28</v>
      </c>
      <c r="AG229" s="282">
        <v>44495</v>
      </c>
      <c r="AH229" s="282" t="s">
        <v>889</v>
      </c>
      <c r="AI229" s="282">
        <v>44483</v>
      </c>
      <c r="AJ229" s="282" t="s">
        <v>889</v>
      </c>
      <c r="AK229" s="274"/>
    </row>
    <row r="230" spans="1:37" x14ac:dyDescent="0.3">
      <c r="A230" s="273">
        <v>27353</v>
      </c>
      <c r="B230" s="274" t="s">
        <v>1226</v>
      </c>
      <c r="C230" s="146" t="s">
        <v>611</v>
      </c>
      <c r="D230" s="275">
        <v>3.21</v>
      </c>
      <c r="E230" s="274"/>
      <c r="F230" s="274"/>
      <c r="G230" s="274" t="s">
        <v>889</v>
      </c>
      <c r="H230" s="276">
        <v>0</v>
      </c>
      <c r="I230" s="24">
        <v>103003</v>
      </c>
      <c r="J230" s="277">
        <v>3.21</v>
      </c>
      <c r="K230" s="276">
        <v>452</v>
      </c>
      <c r="L230" s="278">
        <v>0</v>
      </c>
      <c r="M230" s="279">
        <v>497.04</v>
      </c>
      <c r="N230" s="277">
        <v>1595.4983999999999</v>
      </c>
      <c r="O230" s="280" t="s">
        <v>888</v>
      </c>
      <c r="P230" s="279">
        <v>0</v>
      </c>
      <c r="Q230" s="281">
        <v>0</v>
      </c>
      <c r="R230" s="282" t="s">
        <v>889</v>
      </c>
      <c r="S230" s="274" t="s">
        <v>963</v>
      </c>
      <c r="T230" s="44">
        <v>1</v>
      </c>
      <c r="U230" s="283">
        <v>51</v>
      </c>
      <c r="V230" s="284">
        <v>3</v>
      </c>
      <c r="W230" s="285" t="s">
        <v>889</v>
      </c>
      <c r="X230" s="286" t="s">
        <v>889</v>
      </c>
      <c r="Y230" s="287">
        <v>0</v>
      </c>
      <c r="Z230" s="287" t="s">
        <v>889</v>
      </c>
      <c r="AA230" s="286" t="s">
        <v>889</v>
      </c>
      <c r="AB230" s="287">
        <v>0</v>
      </c>
      <c r="AC230" s="287"/>
      <c r="AD230" s="288" t="s">
        <v>889</v>
      </c>
      <c r="AE230" s="289" t="s">
        <v>889</v>
      </c>
      <c r="AF230" s="279">
        <v>166</v>
      </c>
      <c r="AG230" s="282">
        <v>45195</v>
      </c>
      <c r="AH230" s="282" t="s">
        <v>889</v>
      </c>
      <c r="AI230" s="282">
        <v>45160</v>
      </c>
      <c r="AJ230" s="282" t="s">
        <v>889</v>
      </c>
      <c r="AK230" s="274"/>
    </row>
    <row r="231" spans="1:37" x14ac:dyDescent="0.3">
      <c r="A231" s="273">
        <v>27760</v>
      </c>
      <c r="B231" s="274" t="s">
        <v>1227</v>
      </c>
      <c r="C231" s="146" t="s">
        <v>263</v>
      </c>
      <c r="D231" s="275">
        <v>63.5</v>
      </c>
      <c r="E231" s="274"/>
      <c r="F231" s="274"/>
      <c r="G231" s="274" t="s">
        <v>889</v>
      </c>
      <c r="H231" s="276">
        <v>48</v>
      </c>
      <c r="I231" s="24">
        <v>103003</v>
      </c>
      <c r="J231" s="277">
        <v>63.5</v>
      </c>
      <c r="K231" s="276">
        <v>40</v>
      </c>
      <c r="L231" s="278">
        <v>14.035087719298247</v>
      </c>
      <c r="M231" s="279">
        <v>0</v>
      </c>
      <c r="N231" s="277">
        <v>0</v>
      </c>
      <c r="O231" s="280" t="s">
        <v>888</v>
      </c>
      <c r="P231" s="279">
        <v>0</v>
      </c>
      <c r="Q231" s="281">
        <v>0</v>
      </c>
      <c r="R231" s="282" t="s">
        <v>889</v>
      </c>
      <c r="S231" s="274" t="s">
        <v>1011</v>
      </c>
      <c r="T231" s="44">
        <v>1</v>
      </c>
      <c r="U231" s="283">
        <v>61</v>
      </c>
      <c r="V231" s="284">
        <v>15</v>
      </c>
      <c r="W231" s="285" t="s">
        <v>889</v>
      </c>
      <c r="X231" s="286" t="s">
        <v>889</v>
      </c>
      <c r="Y231" s="287">
        <v>0</v>
      </c>
      <c r="Z231" s="287" t="s">
        <v>889</v>
      </c>
      <c r="AA231" s="286" t="s">
        <v>889</v>
      </c>
      <c r="AB231" s="287">
        <v>0</v>
      </c>
      <c r="AC231" s="287"/>
      <c r="AD231" s="288" t="s">
        <v>889</v>
      </c>
      <c r="AE231" s="289" t="s">
        <v>889</v>
      </c>
      <c r="AF231" s="279">
        <v>14</v>
      </c>
      <c r="AG231" s="282">
        <v>45166</v>
      </c>
      <c r="AH231" s="282" t="s">
        <v>889</v>
      </c>
      <c r="AI231" s="282">
        <v>45145</v>
      </c>
      <c r="AJ231" s="282" t="s">
        <v>889</v>
      </c>
      <c r="AK231" s="274"/>
    </row>
    <row r="232" spans="1:37" x14ac:dyDescent="0.3">
      <c r="A232" s="273">
        <v>27761</v>
      </c>
      <c r="B232" s="274" t="s">
        <v>1228</v>
      </c>
      <c r="C232" s="146" t="s">
        <v>345</v>
      </c>
      <c r="D232" s="275">
        <v>27.76</v>
      </c>
      <c r="E232" s="274"/>
      <c r="F232" s="274"/>
      <c r="G232" s="274" t="s">
        <v>889</v>
      </c>
      <c r="H232" s="276">
        <v>52</v>
      </c>
      <c r="I232" s="24">
        <v>103003</v>
      </c>
      <c r="J232" s="277">
        <v>27.76</v>
      </c>
      <c r="K232" s="276">
        <v>2</v>
      </c>
      <c r="L232" s="278">
        <v>305.88235294117646</v>
      </c>
      <c r="M232" s="279">
        <v>0</v>
      </c>
      <c r="N232" s="277">
        <v>0</v>
      </c>
      <c r="O232" s="280" t="s">
        <v>888</v>
      </c>
      <c r="P232" s="279">
        <v>0</v>
      </c>
      <c r="Q232" s="281">
        <v>0</v>
      </c>
      <c r="R232" s="282" t="s">
        <v>889</v>
      </c>
      <c r="S232" s="274" t="s">
        <v>1041</v>
      </c>
      <c r="T232" s="44">
        <v>1</v>
      </c>
      <c r="U232" s="283">
        <v>61</v>
      </c>
      <c r="V232" s="284">
        <v>2</v>
      </c>
      <c r="W232" s="285" t="s">
        <v>889</v>
      </c>
      <c r="X232" s="286" t="s">
        <v>889</v>
      </c>
      <c r="Y232" s="287">
        <v>0</v>
      </c>
      <c r="Z232" s="287" t="s">
        <v>889</v>
      </c>
      <c r="AA232" s="286" t="s">
        <v>889</v>
      </c>
      <c r="AB232" s="287">
        <v>0</v>
      </c>
      <c r="AC232" s="287"/>
      <c r="AD232" s="288" t="s">
        <v>889</v>
      </c>
      <c r="AE232" s="289" t="s">
        <v>889</v>
      </c>
      <c r="AF232" s="279">
        <v>0</v>
      </c>
      <c r="AG232" s="282">
        <v>42647</v>
      </c>
      <c r="AH232" s="282" t="s">
        <v>889</v>
      </c>
      <c r="AI232" s="282">
        <v>42635</v>
      </c>
      <c r="AJ232" s="282" t="s">
        <v>889</v>
      </c>
      <c r="AK232" s="274"/>
    </row>
    <row r="233" spans="1:37" x14ac:dyDescent="0.3">
      <c r="A233" s="273">
        <v>27764</v>
      </c>
      <c r="B233" s="274" t="s">
        <v>1229</v>
      </c>
      <c r="C233" s="146" t="s">
        <v>272</v>
      </c>
      <c r="D233" s="275">
        <v>2.58</v>
      </c>
      <c r="E233" s="274"/>
      <c r="F233" s="274"/>
      <c r="G233" s="274" t="s">
        <v>889</v>
      </c>
      <c r="H233" s="276">
        <v>560</v>
      </c>
      <c r="I233" s="24">
        <v>103003</v>
      </c>
      <c r="J233" s="277">
        <v>2.58</v>
      </c>
      <c r="K233" s="276"/>
      <c r="L233" s="278">
        <v>0</v>
      </c>
      <c r="M233" s="279">
        <v>0</v>
      </c>
      <c r="N233" s="277">
        <v>0</v>
      </c>
      <c r="O233" s="280" t="s">
        <v>888</v>
      </c>
      <c r="P233" s="279">
        <v>0</v>
      </c>
      <c r="Q233" s="281">
        <v>0</v>
      </c>
      <c r="R233" s="282" t="s">
        <v>889</v>
      </c>
      <c r="S233" s="274" t="s">
        <v>1041</v>
      </c>
      <c r="T233" s="44">
        <v>1</v>
      </c>
      <c r="U233" s="283">
        <v>61</v>
      </c>
      <c r="V233" s="284">
        <v>2</v>
      </c>
      <c r="W233" s="285" t="s">
        <v>889</v>
      </c>
      <c r="X233" s="286" t="s">
        <v>889</v>
      </c>
      <c r="Y233" s="287">
        <v>0</v>
      </c>
      <c r="Z233" s="287" t="s">
        <v>889</v>
      </c>
      <c r="AA233" s="286" t="s">
        <v>889</v>
      </c>
      <c r="AB233" s="287">
        <v>0</v>
      </c>
      <c r="AC233" s="287"/>
      <c r="AD233" s="288" t="s">
        <v>889</v>
      </c>
      <c r="AE233" s="289" t="s">
        <v>889</v>
      </c>
      <c r="AF233" s="279">
        <v>0</v>
      </c>
      <c r="AG233" s="282">
        <v>44172</v>
      </c>
      <c r="AH233" s="282" t="s">
        <v>889</v>
      </c>
      <c r="AI233" s="282">
        <v>44165</v>
      </c>
      <c r="AJ233" s="282" t="s">
        <v>889</v>
      </c>
      <c r="AK233" s="274"/>
    </row>
    <row r="234" spans="1:37" x14ac:dyDescent="0.3">
      <c r="A234" s="273">
        <v>28093</v>
      </c>
      <c r="B234" s="274" t="s">
        <v>1230</v>
      </c>
      <c r="C234" s="146" t="s">
        <v>263</v>
      </c>
      <c r="D234" s="275">
        <v>44.99</v>
      </c>
      <c r="E234" s="274"/>
      <c r="F234" s="274"/>
      <c r="G234" s="274" t="s">
        <v>889</v>
      </c>
      <c r="H234" s="276">
        <v>178</v>
      </c>
      <c r="I234" s="24">
        <v>103003</v>
      </c>
      <c r="J234" s="277">
        <v>44.99</v>
      </c>
      <c r="K234" s="276">
        <v>3</v>
      </c>
      <c r="L234" s="278">
        <v>712</v>
      </c>
      <c r="M234" s="279">
        <v>0</v>
      </c>
      <c r="N234" s="277">
        <v>0</v>
      </c>
      <c r="O234" s="280" t="s">
        <v>888</v>
      </c>
      <c r="P234" s="279">
        <v>0</v>
      </c>
      <c r="Q234" s="281">
        <v>0</v>
      </c>
      <c r="R234" s="282" t="s">
        <v>889</v>
      </c>
      <c r="S234" s="274" t="s">
        <v>1005</v>
      </c>
      <c r="T234" s="44">
        <v>1</v>
      </c>
      <c r="U234" s="283">
        <v>51</v>
      </c>
      <c r="V234" s="284">
        <v>11</v>
      </c>
      <c r="W234" s="285" t="s">
        <v>889</v>
      </c>
      <c r="X234" s="286" t="s">
        <v>889</v>
      </c>
      <c r="Y234" s="287">
        <v>0</v>
      </c>
      <c r="Z234" s="287" t="s">
        <v>889</v>
      </c>
      <c r="AA234" s="286" t="s">
        <v>889</v>
      </c>
      <c r="AB234" s="287">
        <v>0</v>
      </c>
      <c r="AC234" s="287"/>
      <c r="AD234" s="288" t="s">
        <v>889</v>
      </c>
      <c r="AE234" s="289" t="s">
        <v>889</v>
      </c>
      <c r="AF234" s="279">
        <v>2</v>
      </c>
      <c r="AG234" s="282">
        <v>44553</v>
      </c>
      <c r="AH234" s="282" t="s">
        <v>889</v>
      </c>
      <c r="AI234" s="282">
        <v>44547</v>
      </c>
      <c r="AJ234" s="282" t="s">
        <v>889</v>
      </c>
      <c r="AK234" s="274"/>
    </row>
    <row r="235" spans="1:37" x14ac:dyDescent="0.3">
      <c r="A235" s="273">
        <v>28181</v>
      </c>
      <c r="B235" s="274" t="s">
        <v>1231</v>
      </c>
      <c r="C235" s="146" t="s">
        <v>263</v>
      </c>
      <c r="D235" s="275">
        <v>11.99</v>
      </c>
      <c r="E235" s="274"/>
      <c r="F235" s="274"/>
      <c r="G235" s="274" t="s">
        <v>889</v>
      </c>
      <c r="H235" s="276">
        <v>12</v>
      </c>
      <c r="I235" s="24">
        <v>103003</v>
      </c>
      <c r="J235" s="277">
        <v>11.99</v>
      </c>
      <c r="K235" s="276">
        <v>5</v>
      </c>
      <c r="L235" s="278">
        <v>28.571428571428569</v>
      </c>
      <c r="M235" s="279">
        <v>0</v>
      </c>
      <c r="N235" s="277">
        <v>0</v>
      </c>
      <c r="O235" s="280" t="s">
        <v>888</v>
      </c>
      <c r="P235" s="279">
        <v>0</v>
      </c>
      <c r="Q235" s="281">
        <v>0</v>
      </c>
      <c r="R235" s="282" t="s">
        <v>889</v>
      </c>
      <c r="S235" s="274" t="s">
        <v>966</v>
      </c>
      <c r="T235" s="44">
        <v>1</v>
      </c>
      <c r="U235" s="283">
        <v>61</v>
      </c>
      <c r="V235" s="284">
        <v>8</v>
      </c>
      <c r="W235" s="285" t="s">
        <v>889</v>
      </c>
      <c r="X235" s="286" t="s">
        <v>889</v>
      </c>
      <c r="Y235" s="287">
        <v>0</v>
      </c>
      <c r="Z235" s="287" t="s">
        <v>889</v>
      </c>
      <c r="AA235" s="286" t="s">
        <v>889</v>
      </c>
      <c r="AB235" s="287">
        <v>0</v>
      </c>
      <c r="AC235" s="287"/>
      <c r="AD235" s="288" t="s">
        <v>889</v>
      </c>
      <c r="AE235" s="289" t="s">
        <v>889</v>
      </c>
      <c r="AF235" s="279">
        <v>2</v>
      </c>
      <c r="AG235" s="282">
        <v>43798</v>
      </c>
      <c r="AH235" s="282" t="s">
        <v>889</v>
      </c>
      <c r="AI235" s="282">
        <v>44421</v>
      </c>
      <c r="AJ235" s="282" t="s">
        <v>889</v>
      </c>
      <c r="AK235" s="274"/>
    </row>
    <row r="236" spans="1:37" x14ac:dyDescent="0.3">
      <c r="A236" s="273">
        <v>28184</v>
      </c>
      <c r="B236" s="274" t="s">
        <v>1232</v>
      </c>
      <c r="C236" s="146" t="s">
        <v>263</v>
      </c>
      <c r="D236" s="275">
        <v>1.95</v>
      </c>
      <c r="E236" s="274"/>
      <c r="F236" s="274"/>
      <c r="G236" s="274" t="s">
        <v>889</v>
      </c>
      <c r="H236" s="276">
        <v>380</v>
      </c>
      <c r="I236" s="24">
        <v>103003</v>
      </c>
      <c r="J236" s="277">
        <v>1.95</v>
      </c>
      <c r="K236" s="276">
        <v>111</v>
      </c>
      <c r="L236" s="278">
        <v>28.853454821564164</v>
      </c>
      <c r="M236" s="279">
        <v>0</v>
      </c>
      <c r="N236" s="277">
        <v>0</v>
      </c>
      <c r="O236" s="280" t="s">
        <v>888</v>
      </c>
      <c r="P236" s="279">
        <v>0</v>
      </c>
      <c r="Q236" s="281">
        <v>0</v>
      </c>
      <c r="R236" s="282" t="s">
        <v>889</v>
      </c>
      <c r="S236" s="274" t="s">
        <v>966</v>
      </c>
      <c r="T236" s="44">
        <v>1</v>
      </c>
      <c r="U236" s="283">
        <v>61</v>
      </c>
      <c r="V236" s="284">
        <v>8</v>
      </c>
      <c r="W236" s="285" t="s">
        <v>889</v>
      </c>
      <c r="X236" s="286" t="s">
        <v>889</v>
      </c>
      <c r="Y236" s="287">
        <v>0</v>
      </c>
      <c r="Z236" s="287" t="s">
        <v>889</v>
      </c>
      <c r="AA236" s="286" t="s">
        <v>889</v>
      </c>
      <c r="AB236" s="287">
        <v>0</v>
      </c>
      <c r="AC236" s="287"/>
      <c r="AD236" s="288" t="s">
        <v>889</v>
      </c>
      <c r="AE236" s="289" t="s">
        <v>889</v>
      </c>
      <c r="AF236" s="279">
        <v>52</v>
      </c>
      <c r="AG236" s="282">
        <v>44823</v>
      </c>
      <c r="AH236" s="282" t="s">
        <v>889</v>
      </c>
      <c r="AI236" s="282">
        <v>44776</v>
      </c>
      <c r="AJ236" s="282" t="s">
        <v>889</v>
      </c>
      <c r="AK236" s="274"/>
    </row>
    <row r="237" spans="1:37" x14ac:dyDescent="0.3">
      <c r="A237" s="273">
        <v>28306</v>
      </c>
      <c r="B237" s="274" t="s">
        <v>1233</v>
      </c>
      <c r="C237" s="146" t="s">
        <v>263</v>
      </c>
      <c r="D237" s="275">
        <v>29.08</v>
      </c>
      <c r="E237" s="274"/>
      <c r="F237" s="274"/>
      <c r="G237" s="274" t="s">
        <v>889</v>
      </c>
      <c r="H237" s="276">
        <v>133</v>
      </c>
      <c r="I237" s="24">
        <v>103003</v>
      </c>
      <c r="J237" s="277">
        <v>29.08</v>
      </c>
      <c r="K237" s="276">
        <v>21</v>
      </c>
      <c r="L237" s="278">
        <v>79.640718562874255</v>
      </c>
      <c r="M237" s="279">
        <v>0</v>
      </c>
      <c r="N237" s="277">
        <v>0</v>
      </c>
      <c r="O237" s="280" t="s">
        <v>888</v>
      </c>
      <c r="P237" s="279">
        <v>0</v>
      </c>
      <c r="Q237" s="281">
        <v>0</v>
      </c>
      <c r="R237" s="282" t="s">
        <v>889</v>
      </c>
      <c r="S237" s="274" t="s">
        <v>966</v>
      </c>
      <c r="T237" s="44">
        <v>1</v>
      </c>
      <c r="U237" s="283">
        <v>61</v>
      </c>
      <c r="V237" s="284">
        <v>8</v>
      </c>
      <c r="W237" s="285" t="s">
        <v>889</v>
      </c>
      <c r="X237" s="286" t="s">
        <v>889</v>
      </c>
      <c r="Y237" s="287">
        <v>0</v>
      </c>
      <c r="Z237" s="287" t="s">
        <v>889</v>
      </c>
      <c r="AA237" s="286" t="s">
        <v>889</v>
      </c>
      <c r="AB237" s="287">
        <v>0</v>
      </c>
      <c r="AC237" s="287"/>
      <c r="AD237" s="288" t="s">
        <v>889</v>
      </c>
      <c r="AE237" s="289" t="s">
        <v>889</v>
      </c>
      <c r="AF237" s="279">
        <v>6</v>
      </c>
      <c r="AG237" s="282">
        <v>44573</v>
      </c>
      <c r="AH237" s="282" t="s">
        <v>889</v>
      </c>
      <c r="AI237" s="282">
        <v>44522</v>
      </c>
      <c r="AJ237" s="282" t="s">
        <v>889</v>
      </c>
      <c r="AK237" s="274"/>
    </row>
    <row r="238" spans="1:37" x14ac:dyDescent="0.3">
      <c r="A238" s="273">
        <v>28307</v>
      </c>
      <c r="B238" s="274" t="s">
        <v>1234</v>
      </c>
      <c r="C238" s="146" t="s">
        <v>263</v>
      </c>
      <c r="D238" s="275">
        <v>7.6</v>
      </c>
      <c r="E238" s="274"/>
      <c r="F238" s="274"/>
      <c r="G238" s="274" t="s">
        <v>889</v>
      </c>
      <c r="H238" s="276">
        <v>22</v>
      </c>
      <c r="I238" s="24">
        <v>103003</v>
      </c>
      <c r="J238" s="277">
        <v>7.6</v>
      </c>
      <c r="K238" s="276">
        <v>8</v>
      </c>
      <c r="L238" s="278">
        <v>18.803418803418804</v>
      </c>
      <c r="M238" s="279">
        <v>0</v>
      </c>
      <c r="N238" s="277">
        <v>0</v>
      </c>
      <c r="O238" s="280" t="s">
        <v>888</v>
      </c>
      <c r="P238" s="279">
        <v>0</v>
      </c>
      <c r="Q238" s="281">
        <v>0</v>
      </c>
      <c r="R238" s="282" t="s">
        <v>889</v>
      </c>
      <c r="S238" s="274" t="s">
        <v>966</v>
      </c>
      <c r="T238" s="44">
        <v>1</v>
      </c>
      <c r="U238" s="283">
        <v>61</v>
      </c>
      <c r="V238" s="284">
        <v>8</v>
      </c>
      <c r="W238" s="285" t="s">
        <v>889</v>
      </c>
      <c r="X238" s="286" t="s">
        <v>889</v>
      </c>
      <c r="Y238" s="287">
        <v>0</v>
      </c>
      <c r="Z238" s="287" t="s">
        <v>889</v>
      </c>
      <c r="AA238" s="286" t="s">
        <v>889</v>
      </c>
      <c r="AB238" s="287">
        <v>0</v>
      </c>
      <c r="AC238" s="287"/>
      <c r="AD238" s="288" t="s">
        <v>889</v>
      </c>
      <c r="AE238" s="289" t="s">
        <v>889</v>
      </c>
      <c r="AF238" s="279">
        <v>4</v>
      </c>
      <c r="AG238" s="282">
        <v>42559</v>
      </c>
      <c r="AH238" s="282" t="s">
        <v>889</v>
      </c>
      <c r="AI238" s="282">
        <v>42551</v>
      </c>
      <c r="AJ238" s="282" t="s">
        <v>889</v>
      </c>
      <c r="AK238" s="274"/>
    </row>
    <row r="239" spans="1:37" x14ac:dyDescent="0.3">
      <c r="A239" s="273">
        <v>28308</v>
      </c>
      <c r="B239" s="274" t="s">
        <v>1235</v>
      </c>
      <c r="C239" s="146" t="s">
        <v>263</v>
      </c>
      <c r="D239" s="275">
        <v>13.09</v>
      </c>
      <c r="E239" s="274"/>
      <c r="F239" s="274"/>
      <c r="G239" s="274" t="s">
        <v>889</v>
      </c>
      <c r="H239" s="276">
        <v>74</v>
      </c>
      <c r="I239" s="24">
        <v>103003</v>
      </c>
      <c r="J239" s="277">
        <v>13.09</v>
      </c>
      <c r="K239" s="276">
        <v>59</v>
      </c>
      <c r="L239" s="278">
        <v>13.653136531365314</v>
      </c>
      <c r="M239" s="279">
        <v>0</v>
      </c>
      <c r="N239" s="277">
        <v>0</v>
      </c>
      <c r="O239" s="280" t="s">
        <v>888</v>
      </c>
      <c r="P239" s="279">
        <v>0</v>
      </c>
      <c r="Q239" s="281">
        <v>0</v>
      </c>
      <c r="R239" s="282" t="s">
        <v>889</v>
      </c>
      <c r="S239" s="274" t="s">
        <v>966</v>
      </c>
      <c r="T239" s="44">
        <v>1</v>
      </c>
      <c r="U239" s="283">
        <v>61</v>
      </c>
      <c r="V239" s="284">
        <v>8</v>
      </c>
      <c r="W239" s="285" t="s">
        <v>889</v>
      </c>
      <c r="X239" s="286" t="s">
        <v>889</v>
      </c>
      <c r="Y239" s="287">
        <v>0</v>
      </c>
      <c r="Z239" s="287" t="s">
        <v>889</v>
      </c>
      <c r="AA239" s="286" t="s">
        <v>889</v>
      </c>
      <c r="AB239" s="287">
        <v>0</v>
      </c>
      <c r="AC239" s="287"/>
      <c r="AD239" s="288" t="s">
        <v>889</v>
      </c>
      <c r="AE239" s="289" t="s">
        <v>889</v>
      </c>
      <c r="AF239" s="279">
        <v>22</v>
      </c>
      <c r="AG239" s="282">
        <v>44573</v>
      </c>
      <c r="AH239" s="282" t="s">
        <v>889</v>
      </c>
      <c r="AI239" s="282">
        <v>44522</v>
      </c>
      <c r="AJ239" s="282" t="s">
        <v>889</v>
      </c>
      <c r="AK239" s="274"/>
    </row>
    <row r="240" spans="1:37" x14ac:dyDescent="0.3">
      <c r="A240" s="273">
        <v>28512</v>
      </c>
      <c r="B240" s="274" t="s">
        <v>1236</v>
      </c>
      <c r="C240" s="146" t="s">
        <v>272</v>
      </c>
      <c r="D240" s="275">
        <v>3.51</v>
      </c>
      <c r="E240" s="274"/>
      <c r="F240" s="274"/>
      <c r="G240" s="274" t="s">
        <v>889</v>
      </c>
      <c r="H240" s="276">
        <v>404</v>
      </c>
      <c r="I240" s="24">
        <v>103003</v>
      </c>
      <c r="J240" s="277">
        <v>3.51</v>
      </c>
      <c r="K240" s="276"/>
      <c r="L240" s="278">
        <v>0</v>
      </c>
      <c r="M240" s="279">
        <v>0</v>
      </c>
      <c r="N240" s="277">
        <v>0</v>
      </c>
      <c r="O240" s="280" t="s">
        <v>888</v>
      </c>
      <c r="P240" s="279">
        <v>0</v>
      </c>
      <c r="Q240" s="281">
        <v>0</v>
      </c>
      <c r="R240" s="282" t="s">
        <v>889</v>
      </c>
      <c r="S240" s="274" t="s">
        <v>1041</v>
      </c>
      <c r="T240" s="44">
        <v>1</v>
      </c>
      <c r="U240" s="283">
        <v>61</v>
      </c>
      <c r="V240" s="284">
        <v>2</v>
      </c>
      <c r="W240" s="285" t="s">
        <v>889</v>
      </c>
      <c r="X240" s="286" t="s">
        <v>889</v>
      </c>
      <c r="Y240" s="287">
        <v>0</v>
      </c>
      <c r="Z240" s="287" t="s">
        <v>889</v>
      </c>
      <c r="AA240" s="286" t="s">
        <v>889</v>
      </c>
      <c r="AB240" s="287">
        <v>0</v>
      </c>
      <c r="AC240" s="287"/>
      <c r="AD240" s="288" t="s">
        <v>889</v>
      </c>
      <c r="AE240" s="289" t="s">
        <v>889</v>
      </c>
      <c r="AF240" s="279">
        <v>0</v>
      </c>
      <c r="AG240" s="282">
        <v>45170</v>
      </c>
      <c r="AH240" s="282" t="s">
        <v>889</v>
      </c>
      <c r="AI240" s="282">
        <v>45145</v>
      </c>
      <c r="AJ240" s="282" t="s">
        <v>889</v>
      </c>
      <c r="AK240" s="274"/>
    </row>
    <row r="241" spans="1:37" x14ac:dyDescent="0.3">
      <c r="A241" s="273">
        <v>29293</v>
      </c>
      <c r="B241" s="274" t="s">
        <v>1237</v>
      </c>
      <c r="C241" s="146" t="s">
        <v>263</v>
      </c>
      <c r="D241" s="275">
        <v>0.2</v>
      </c>
      <c r="E241" s="274"/>
      <c r="F241" s="274"/>
      <c r="G241" s="274" t="s">
        <v>889</v>
      </c>
      <c r="H241" s="276">
        <v>5000</v>
      </c>
      <c r="I241" s="24">
        <v>103003</v>
      </c>
      <c r="J241" s="277">
        <v>0.2</v>
      </c>
      <c r="K241" s="276">
        <v>3165</v>
      </c>
      <c r="L241" s="278">
        <v>18.957345971563981</v>
      </c>
      <c r="M241" s="279">
        <v>0</v>
      </c>
      <c r="N241" s="277">
        <v>0</v>
      </c>
      <c r="O241" s="280" t="s">
        <v>888</v>
      </c>
      <c r="P241" s="279">
        <v>0</v>
      </c>
      <c r="Q241" s="281">
        <v>0</v>
      </c>
      <c r="R241" s="282" t="s">
        <v>889</v>
      </c>
      <c r="S241" s="274" t="s">
        <v>1018</v>
      </c>
      <c r="T241" s="44">
        <v>1</v>
      </c>
      <c r="U241" s="283">
        <v>67</v>
      </c>
      <c r="V241" s="284">
        <v>9</v>
      </c>
      <c r="W241" s="285" t="s">
        <v>889</v>
      </c>
      <c r="X241" s="286" t="s">
        <v>889</v>
      </c>
      <c r="Y241" s="287">
        <v>0</v>
      </c>
      <c r="Z241" s="287" t="s">
        <v>889</v>
      </c>
      <c r="AA241" s="286" t="s">
        <v>889</v>
      </c>
      <c r="AB241" s="287">
        <v>0</v>
      </c>
      <c r="AC241" s="287"/>
      <c r="AD241" s="288" t="s">
        <v>889</v>
      </c>
      <c r="AE241" s="289" t="s">
        <v>889</v>
      </c>
      <c r="AF241" s="279">
        <v>1056</v>
      </c>
      <c r="AG241" s="282">
        <v>45195</v>
      </c>
      <c r="AH241" s="282" t="s">
        <v>889</v>
      </c>
      <c r="AI241" s="282">
        <v>45189</v>
      </c>
      <c r="AJ241" s="282" t="s">
        <v>889</v>
      </c>
      <c r="AK241" s="274"/>
    </row>
    <row r="242" spans="1:37" x14ac:dyDescent="0.3">
      <c r="A242" s="273">
        <v>29296</v>
      </c>
      <c r="B242" s="274" t="s">
        <v>1238</v>
      </c>
      <c r="C242" s="146" t="s">
        <v>267</v>
      </c>
      <c r="D242" s="275">
        <v>7.09</v>
      </c>
      <c r="E242" s="274"/>
      <c r="F242" s="274"/>
      <c r="G242" s="274" t="s">
        <v>889</v>
      </c>
      <c r="H242" s="276">
        <v>288</v>
      </c>
      <c r="I242" s="24">
        <v>103003</v>
      </c>
      <c r="J242" s="277">
        <v>7.09</v>
      </c>
      <c r="K242" s="276">
        <v>165</v>
      </c>
      <c r="L242" s="278">
        <v>15.425816818425281</v>
      </c>
      <c r="M242" s="279">
        <v>0</v>
      </c>
      <c r="N242" s="277">
        <v>0</v>
      </c>
      <c r="O242" s="280" t="s">
        <v>888</v>
      </c>
      <c r="P242" s="279">
        <v>0</v>
      </c>
      <c r="Q242" s="281">
        <v>0</v>
      </c>
      <c r="R242" s="282" t="s">
        <v>889</v>
      </c>
      <c r="S242" s="274" t="s">
        <v>956</v>
      </c>
      <c r="T242" s="44">
        <v>1</v>
      </c>
      <c r="U242" s="283">
        <v>72</v>
      </c>
      <c r="V242" s="284">
        <v>7</v>
      </c>
      <c r="W242" s="285" t="s">
        <v>889</v>
      </c>
      <c r="X242" s="286" t="s">
        <v>889</v>
      </c>
      <c r="Y242" s="287">
        <v>0</v>
      </c>
      <c r="Z242" s="287" t="s">
        <v>889</v>
      </c>
      <c r="AA242" s="286" t="s">
        <v>889</v>
      </c>
      <c r="AB242" s="287">
        <v>0</v>
      </c>
      <c r="AC242" s="287"/>
      <c r="AD242" s="288" t="s">
        <v>889</v>
      </c>
      <c r="AE242" s="289" t="s">
        <v>889</v>
      </c>
      <c r="AF242" s="279">
        <v>74</v>
      </c>
      <c r="AG242" s="282">
        <v>44358</v>
      </c>
      <c r="AH242" s="282" t="s">
        <v>889</v>
      </c>
      <c r="AI242" s="282">
        <v>44333</v>
      </c>
      <c r="AJ242" s="282" t="s">
        <v>889</v>
      </c>
      <c r="AK242" s="274"/>
    </row>
    <row r="243" spans="1:37" x14ac:dyDescent="0.3">
      <c r="A243" s="273">
        <v>29952</v>
      </c>
      <c r="B243" s="274" t="s">
        <v>1239</v>
      </c>
      <c r="C243" s="146" t="s">
        <v>263</v>
      </c>
      <c r="D243" s="275">
        <v>3.83</v>
      </c>
      <c r="E243" s="274"/>
      <c r="F243" s="274"/>
      <c r="G243" s="274" t="s">
        <v>889</v>
      </c>
      <c r="H243" s="276">
        <v>1256</v>
      </c>
      <c r="I243" s="24">
        <v>103003</v>
      </c>
      <c r="J243" s="277">
        <v>3.83</v>
      </c>
      <c r="K243" s="276">
        <v>3570</v>
      </c>
      <c r="L243" s="278">
        <v>3.1256999228529478</v>
      </c>
      <c r="M243" s="279">
        <v>3565.96</v>
      </c>
      <c r="N243" s="277">
        <v>13657.6268</v>
      </c>
      <c r="O243" s="280" t="s">
        <v>888</v>
      </c>
      <c r="P243" s="279">
        <v>0</v>
      </c>
      <c r="Q243" s="281">
        <v>0</v>
      </c>
      <c r="R243" s="282" t="s">
        <v>889</v>
      </c>
      <c r="S243" s="274" t="s">
        <v>931</v>
      </c>
      <c r="T243" s="44">
        <v>1</v>
      </c>
      <c r="U243" s="283">
        <v>45</v>
      </c>
      <c r="V243" s="284">
        <v>12</v>
      </c>
      <c r="W243" s="285" t="s">
        <v>889</v>
      </c>
      <c r="X243" s="286" t="s">
        <v>889</v>
      </c>
      <c r="Y243" s="287">
        <v>0</v>
      </c>
      <c r="Z243" s="287" t="s">
        <v>889</v>
      </c>
      <c r="AA243" s="286" t="s">
        <v>889</v>
      </c>
      <c r="AB243" s="287">
        <v>0</v>
      </c>
      <c r="AC243" s="287"/>
      <c r="AD243" s="288" t="s">
        <v>889</v>
      </c>
      <c r="AE243" s="289" t="s">
        <v>889</v>
      </c>
      <c r="AF243" s="279">
        <v>1608</v>
      </c>
      <c r="AG243" s="282">
        <v>45036</v>
      </c>
      <c r="AH243" s="282" t="s">
        <v>889</v>
      </c>
      <c r="AI243" s="282">
        <v>44998</v>
      </c>
      <c r="AJ243" s="282" t="s">
        <v>889</v>
      </c>
      <c r="AK243" s="274"/>
    </row>
    <row r="244" spans="1:37" x14ac:dyDescent="0.3">
      <c r="A244" s="273">
        <v>29956</v>
      </c>
      <c r="B244" s="274" t="s">
        <v>1240</v>
      </c>
      <c r="C244" s="146" t="s">
        <v>380</v>
      </c>
      <c r="D244" s="275">
        <v>1</v>
      </c>
      <c r="E244" s="274"/>
      <c r="F244" s="274"/>
      <c r="G244" s="274" t="s">
        <v>889</v>
      </c>
      <c r="H244" s="276">
        <v>0</v>
      </c>
      <c r="I244" s="24">
        <v>103003</v>
      </c>
      <c r="J244" s="277">
        <v>1</v>
      </c>
      <c r="K244" s="276">
        <v>4945</v>
      </c>
      <c r="L244" s="278">
        <v>0</v>
      </c>
      <c r="M244" s="279">
        <v>7398.04</v>
      </c>
      <c r="N244" s="277">
        <v>7398.04</v>
      </c>
      <c r="O244" s="280" t="s">
        <v>888</v>
      </c>
      <c r="P244" s="279">
        <v>0</v>
      </c>
      <c r="Q244" s="281">
        <v>0</v>
      </c>
      <c r="R244" s="282" t="s">
        <v>889</v>
      </c>
      <c r="S244" s="274" t="s">
        <v>1130</v>
      </c>
      <c r="T244" s="44">
        <v>1</v>
      </c>
      <c r="U244" s="283">
        <v>57</v>
      </c>
      <c r="V244" s="284">
        <v>15</v>
      </c>
      <c r="W244" s="285">
        <v>6984</v>
      </c>
      <c r="X244" s="286">
        <v>2023</v>
      </c>
      <c r="Y244" s="287">
        <v>500</v>
      </c>
      <c r="Z244" s="287" t="s">
        <v>889</v>
      </c>
      <c r="AA244" s="286" t="s">
        <v>889</v>
      </c>
      <c r="AB244" s="287">
        <v>0</v>
      </c>
      <c r="AC244" s="287"/>
      <c r="AD244" s="288" t="s">
        <v>889</v>
      </c>
      <c r="AE244" s="289" t="s">
        <v>889</v>
      </c>
      <c r="AF244" s="279">
        <v>2632</v>
      </c>
      <c r="AG244" s="282">
        <v>44994</v>
      </c>
      <c r="AH244" s="282" t="s">
        <v>889</v>
      </c>
      <c r="AI244" s="282">
        <v>44959</v>
      </c>
      <c r="AJ244" s="282" t="s">
        <v>889</v>
      </c>
      <c r="AK244" s="274"/>
    </row>
    <row r="245" spans="1:37" x14ac:dyDescent="0.3">
      <c r="A245" s="273">
        <v>29959</v>
      </c>
      <c r="B245" s="274" t="s">
        <v>1241</v>
      </c>
      <c r="C245" s="146" t="s">
        <v>380</v>
      </c>
      <c r="D245" s="275">
        <v>1.02</v>
      </c>
      <c r="E245" s="274"/>
      <c r="F245" s="274"/>
      <c r="G245" s="274" t="s">
        <v>889</v>
      </c>
      <c r="H245" s="276">
        <v>0</v>
      </c>
      <c r="I245" s="24">
        <v>103003</v>
      </c>
      <c r="J245" s="277">
        <v>1.02</v>
      </c>
      <c r="K245" s="276">
        <v>5461</v>
      </c>
      <c r="L245" s="278">
        <v>0</v>
      </c>
      <c r="M245" s="279">
        <v>6581.04</v>
      </c>
      <c r="N245" s="277">
        <v>6712.6607999999997</v>
      </c>
      <c r="O245" s="280" t="s">
        <v>888</v>
      </c>
      <c r="P245" s="279">
        <v>0</v>
      </c>
      <c r="Q245" s="281">
        <v>0</v>
      </c>
      <c r="R245" s="282" t="s">
        <v>889</v>
      </c>
      <c r="S245" s="274" t="s">
        <v>1130</v>
      </c>
      <c r="T245" s="44">
        <v>1</v>
      </c>
      <c r="U245" s="283">
        <v>57</v>
      </c>
      <c r="V245" s="284">
        <v>15</v>
      </c>
      <c r="W245" s="285">
        <v>6984</v>
      </c>
      <c r="X245" s="286">
        <v>2023</v>
      </c>
      <c r="Y245" s="287">
        <v>1200</v>
      </c>
      <c r="Z245" s="287" t="s">
        <v>889</v>
      </c>
      <c r="AA245" s="286" t="s">
        <v>889</v>
      </c>
      <c r="AB245" s="287">
        <v>0</v>
      </c>
      <c r="AC245" s="287"/>
      <c r="AD245" s="288" t="s">
        <v>889</v>
      </c>
      <c r="AE245" s="289" t="s">
        <v>889</v>
      </c>
      <c r="AF245" s="279">
        <v>2594</v>
      </c>
      <c r="AG245" s="282">
        <v>45014</v>
      </c>
      <c r="AH245" s="282" t="s">
        <v>889</v>
      </c>
      <c r="AI245" s="282">
        <v>44959</v>
      </c>
      <c r="AJ245" s="282" t="s">
        <v>889</v>
      </c>
      <c r="AK245" s="274"/>
    </row>
    <row r="246" spans="1:37" x14ac:dyDescent="0.3">
      <c r="A246" s="273">
        <v>29961</v>
      </c>
      <c r="B246" s="274" t="s">
        <v>1242</v>
      </c>
      <c r="C246" s="146" t="s">
        <v>380</v>
      </c>
      <c r="D246" s="275">
        <v>1.02</v>
      </c>
      <c r="E246" s="274"/>
      <c r="F246" s="274"/>
      <c r="G246" s="274" t="s">
        <v>889</v>
      </c>
      <c r="H246" s="276">
        <v>0</v>
      </c>
      <c r="I246" s="24">
        <v>103003</v>
      </c>
      <c r="J246" s="277">
        <v>1.02</v>
      </c>
      <c r="K246" s="276">
        <v>4953</v>
      </c>
      <c r="L246" s="278">
        <v>0</v>
      </c>
      <c r="M246" s="279">
        <v>6168.96</v>
      </c>
      <c r="N246" s="277">
        <v>6292.3392000000003</v>
      </c>
      <c r="O246" s="280" t="s">
        <v>888</v>
      </c>
      <c r="P246" s="279">
        <v>0</v>
      </c>
      <c r="Q246" s="281">
        <v>0</v>
      </c>
      <c r="R246" s="282" t="s">
        <v>889</v>
      </c>
      <c r="S246" s="274" t="s">
        <v>1130</v>
      </c>
      <c r="T246" s="44">
        <v>1</v>
      </c>
      <c r="U246" s="283">
        <v>57</v>
      </c>
      <c r="V246" s="284">
        <v>15</v>
      </c>
      <c r="W246" s="285">
        <v>6984</v>
      </c>
      <c r="X246" s="286">
        <v>2023</v>
      </c>
      <c r="Y246" s="287">
        <v>1500</v>
      </c>
      <c r="Z246" s="287" t="s">
        <v>889</v>
      </c>
      <c r="AA246" s="286" t="s">
        <v>889</v>
      </c>
      <c r="AB246" s="287">
        <v>0</v>
      </c>
      <c r="AC246" s="287"/>
      <c r="AD246" s="288" t="s">
        <v>889</v>
      </c>
      <c r="AE246" s="289" t="s">
        <v>889</v>
      </c>
      <c r="AF246" s="279">
        <v>2556</v>
      </c>
      <c r="AG246" s="282">
        <v>45014</v>
      </c>
      <c r="AH246" s="282" t="s">
        <v>889</v>
      </c>
      <c r="AI246" s="282">
        <v>44959</v>
      </c>
      <c r="AJ246" s="282" t="s">
        <v>889</v>
      </c>
      <c r="AK246" s="274"/>
    </row>
    <row r="247" spans="1:37" x14ac:dyDescent="0.3">
      <c r="A247" s="273">
        <v>29962</v>
      </c>
      <c r="B247" s="274" t="s">
        <v>1243</v>
      </c>
      <c r="C247" s="146" t="s">
        <v>380</v>
      </c>
      <c r="D247" s="275">
        <v>0.86</v>
      </c>
      <c r="E247" s="274"/>
      <c r="F247" s="274"/>
      <c r="G247" s="274" t="s">
        <v>889</v>
      </c>
      <c r="H247" s="276">
        <v>0</v>
      </c>
      <c r="I247" s="24">
        <v>103003</v>
      </c>
      <c r="J247" s="277">
        <v>0.86</v>
      </c>
      <c r="K247" s="276">
        <v>4726</v>
      </c>
      <c r="L247" s="278">
        <v>0</v>
      </c>
      <c r="M247" s="279">
        <v>5663.96</v>
      </c>
      <c r="N247" s="277">
        <v>4871.0056000000004</v>
      </c>
      <c r="O247" s="280" t="s">
        <v>888</v>
      </c>
      <c r="P247" s="279">
        <v>0</v>
      </c>
      <c r="Q247" s="281">
        <v>0</v>
      </c>
      <c r="R247" s="282" t="s">
        <v>889</v>
      </c>
      <c r="S247" s="274" t="s">
        <v>1130</v>
      </c>
      <c r="T247" s="44">
        <v>1</v>
      </c>
      <c r="U247" s="283">
        <v>57</v>
      </c>
      <c r="V247" s="284">
        <v>15</v>
      </c>
      <c r="W247" s="285">
        <v>6216</v>
      </c>
      <c r="X247" s="286">
        <v>2023</v>
      </c>
      <c r="Y247" s="287">
        <v>1000</v>
      </c>
      <c r="Z247" s="287" t="s">
        <v>889</v>
      </c>
      <c r="AA247" s="286" t="s">
        <v>889</v>
      </c>
      <c r="AB247" s="287">
        <v>0</v>
      </c>
      <c r="AC247" s="287"/>
      <c r="AD247" s="288" t="s">
        <v>889</v>
      </c>
      <c r="AE247" s="289" t="s">
        <v>889</v>
      </c>
      <c r="AF247" s="279">
        <v>2222</v>
      </c>
      <c r="AG247" s="282">
        <v>44974</v>
      </c>
      <c r="AH247" s="282" t="s">
        <v>889</v>
      </c>
      <c r="AI247" s="282">
        <v>44959</v>
      </c>
      <c r="AJ247" s="282" t="s">
        <v>889</v>
      </c>
      <c r="AK247" s="274"/>
    </row>
    <row r="248" spans="1:37" x14ac:dyDescent="0.3">
      <c r="A248" s="273">
        <v>29964</v>
      </c>
      <c r="B248" s="274" t="s">
        <v>1244</v>
      </c>
      <c r="C248" s="146" t="s">
        <v>380</v>
      </c>
      <c r="D248" s="275">
        <v>0.86</v>
      </c>
      <c r="E248" s="274"/>
      <c r="F248" s="274"/>
      <c r="G248" s="274" t="s">
        <v>889</v>
      </c>
      <c r="H248" s="276">
        <v>0</v>
      </c>
      <c r="I248" s="24">
        <v>103003</v>
      </c>
      <c r="J248" s="277">
        <v>0.86</v>
      </c>
      <c r="K248" s="276">
        <v>4668</v>
      </c>
      <c r="L248" s="278">
        <v>0</v>
      </c>
      <c r="M248" s="279">
        <v>6239.96</v>
      </c>
      <c r="N248" s="277">
        <v>5366.3656000000001</v>
      </c>
      <c r="O248" s="280" t="s">
        <v>888</v>
      </c>
      <c r="P248" s="279">
        <v>0</v>
      </c>
      <c r="Q248" s="281">
        <v>0</v>
      </c>
      <c r="R248" s="282" t="s">
        <v>889</v>
      </c>
      <c r="S248" s="274" t="s">
        <v>1130</v>
      </c>
      <c r="T248" s="44">
        <v>1</v>
      </c>
      <c r="U248" s="283">
        <v>57</v>
      </c>
      <c r="V248" s="284">
        <v>15</v>
      </c>
      <c r="W248" s="285">
        <v>6216</v>
      </c>
      <c r="X248" s="286">
        <v>2023</v>
      </c>
      <c r="Y248" s="287">
        <v>1000</v>
      </c>
      <c r="Z248" s="287" t="s">
        <v>889</v>
      </c>
      <c r="AA248" s="286" t="s">
        <v>889</v>
      </c>
      <c r="AB248" s="287">
        <v>0</v>
      </c>
      <c r="AC248" s="287"/>
      <c r="AD248" s="288" t="s">
        <v>889</v>
      </c>
      <c r="AE248" s="289" t="s">
        <v>889</v>
      </c>
      <c r="AF248" s="279">
        <v>2414</v>
      </c>
      <c r="AG248" s="282">
        <v>44974</v>
      </c>
      <c r="AH248" s="282" t="s">
        <v>889</v>
      </c>
      <c r="AI248" s="282">
        <v>44959</v>
      </c>
      <c r="AJ248" s="282" t="s">
        <v>889</v>
      </c>
      <c r="AK248" s="274"/>
    </row>
    <row r="249" spans="1:37" x14ac:dyDescent="0.3">
      <c r="A249" s="273">
        <v>30165</v>
      </c>
      <c r="B249" s="274" t="s">
        <v>1245</v>
      </c>
      <c r="C249" s="146" t="s">
        <v>380</v>
      </c>
      <c r="D249" s="275">
        <v>0.98</v>
      </c>
      <c r="E249" s="274"/>
      <c r="F249" s="274"/>
      <c r="G249" s="274" t="s">
        <v>889</v>
      </c>
      <c r="H249" s="276">
        <v>0</v>
      </c>
      <c r="I249" s="24">
        <v>103003</v>
      </c>
      <c r="J249" s="277">
        <v>0.98</v>
      </c>
      <c r="K249" s="276">
        <v>9596</v>
      </c>
      <c r="L249" s="278">
        <v>0</v>
      </c>
      <c r="M249" s="279">
        <v>5153</v>
      </c>
      <c r="N249" s="277">
        <v>5049.9399999999996</v>
      </c>
      <c r="O249" s="280" t="s">
        <v>888</v>
      </c>
      <c r="P249" s="279">
        <v>0</v>
      </c>
      <c r="Q249" s="281">
        <v>0</v>
      </c>
      <c r="R249" s="282" t="s">
        <v>889</v>
      </c>
      <c r="S249" s="274" t="s">
        <v>947</v>
      </c>
      <c r="T249" s="44">
        <v>1</v>
      </c>
      <c r="U249" s="283">
        <v>57</v>
      </c>
      <c r="V249" s="284">
        <v>16</v>
      </c>
      <c r="W249" s="285">
        <v>6984</v>
      </c>
      <c r="X249" s="286">
        <v>2023</v>
      </c>
      <c r="Y249" s="287">
        <v>7300</v>
      </c>
      <c r="Z249" s="287" t="s">
        <v>889</v>
      </c>
      <c r="AA249" s="286" t="s">
        <v>889</v>
      </c>
      <c r="AB249" s="287">
        <v>0</v>
      </c>
      <c r="AC249" s="287"/>
      <c r="AD249" s="288" t="s">
        <v>889</v>
      </c>
      <c r="AE249" s="289" t="s">
        <v>889</v>
      </c>
      <c r="AF249" s="279">
        <v>4152</v>
      </c>
      <c r="AG249" s="282">
        <v>44960</v>
      </c>
      <c r="AH249" s="282" t="s">
        <v>889</v>
      </c>
      <c r="AI249" s="282">
        <v>44910</v>
      </c>
      <c r="AJ249" s="282" t="s">
        <v>889</v>
      </c>
      <c r="AK249" s="274"/>
    </row>
    <row r="250" spans="1:37" x14ac:dyDescent="0.3">
      <c r="A250" s="273">
        <v>31555</v>
      </c>
      <c r="B250" s="274" t="s">
        <v>1246</v>
      </c>
      <c r="C250" s="146" t="s">
        <v>263</v>
      </c>
      <c r="D250" s="275">
        <v>33.700000000000003</v>
      </c>
      <c r="E250" s="274"/>
      <c r="F250" s="274"/>
      <c r="G250" s="274" t="s">
        <v>889</v>
      </c>
      <c r="H250" s="276">
        <v>74</v>
      </c>
      <c r="I250" s="24">
        <v>103003</v>
      </c>
      <c r="J250" s="277">
        <v>33.700000000000003</v>
      </c>
      <c r="K250" s="276"/>
      <c r="L250" s="278">
        <v>0</v>
      </c>
      <c r="M250" s="279">
        <v>0</v>
      </c>
      <c r="N250" s="277">
        <v>0</v>
      </c>
      <c r="O250" s="280" t="s">
        <v>888</v>
      </c>
      <c r="P250" s="279">
        <v>0</v>
      </c>
      <c r="Q250" s="281">
        <v>0</v>
      </c>
      <c r="R250" s="282" t="s">
        <v>889</v>
      </c>
      <c r="S250" s="274" t="s">
        <v>1073</v>
      </c>
      <c r="T250" s="44">
        <v>1</v>
      </c>
      <c r="U250" s="283">
        <v>55</v>
      </c>
      <c r="V250" s="284">
        <v>40</v>
      </c>
      <c r="W250" s="285" t="s">
        <v>889</v>
      </c>
      <c r="X250" s="286" t="s">
        <v>889</v>
      </c>
      <c r="Y250" s="287">
        <v>0</v>
      </c>
      <c r="Z250" s="287" t="s">
        <v>889</v>
      </c>
      <c r="AA250" s="286" t="s">
        <v>889</v>
      </c>
      <c r="AB250" s="287">
        <v>0</v>
      </c>
      <c r="AC250" s="287"/>
      <c r="AD250" s="288" t="s">
        <v>889</v>
      </c>
      <c r="AE250" s="289" t="s">
        <v>889</v>
      </c>
      <c r="AF250" s="279">
        <v>0</v>
      </c>
      <c r="AG250" s="282">
        <v>37826</v>
      </c>
      <c r="AH250" s="282" t="s">
        <v>889</v>
      </c>
      <c r="AI250" s="282">
        <v>43865</v>
      </c>
      <c r="AJ250" s="282" t="s">
        <v>889</v>
      </c>
      <c r="AK250" s="274"/>
    </row>
    <row r="251" spans="1:37" x14ac:dyDescent="0.3">
      <c r="A251" s="273">
        <v>31580</v>
      </c>
      <c r="B251" s="274" t="s">
        <v>1247</v>
      </c>
      <c r="C251" s="146" t="s">
        <v>263</v>
      </c>
      <c r="D251" s="275">
        <v>2.8</v>
      </c>
      <c r="E251" s="274"/>
      <c r="F251" s="274"/>
      <c r="G251" s="274" t="s">
        <v>889</v>
      </c>
      <c r="H251" s="276">
        <v>88</v>
      </c>
      <c r="I251" s="24">
        <v>103003</v>
      </c>
      <c r="J251" s="277">
        <v>2.8</v>
      </c>
      <c r="K251" s="276"/>
      <c r="L251" s="278">
        <v>1100</v>
      </c>
      <c r="M251" s="279">
        <v>0</v>
      </c>
      <c r="N251" s="277">
        <v>0</v>
      </c>
      <c r="O251" s="280" t="s">
        <v>888</v>
      </c>
      <c r="P251" s="279">
        <v>0</v>
      </c>
      <c r="Q251" s="281">
        <v>0</v>
      </c>
      <c r="R251" s="282" t="s">
        <v>889</v>
      </c>
      <c r="S251" s="274" t="s">
        <v>990</v>
      </c>
      <c r="T251" s="44">
        <v>1</v>
      </c>
      <c r="U251" s="283">
        <v>55</v>
      </c>
      <c r="V251" s="284">
        <v>32</v>
      </c>
      <c r="W251" s="285" t="s">
        <v>889</v>
      </c>
      <c r="X251" s="286" t="s">
        <v>889</v>
      </c>
      <c r="Y251" s="287">
        <v>0</v>
      </c>
      <c r="Z251" s="287" t="s">
        <v>889</v>
      </c>
      <c r="AA251" s="286" t="s">
        <v>889</v>
      </c>
      <c r="AB251" s="287">
        <v>0</v>
      </c>
      <c r="AC251" s="287"/>
      <c r="AD251" s="288" t="s">
        <v>889</v>
      </c>
      <c r="AE251" s="289" t="s">
        <v>889</v>
      </c>
      <c r="AF251" s="279">
        <v>0</v>
      </c>
      <c r="AG251" s="282">
        <v>41879</v>
      </c>
      <c r="AH251" s="282" t="s">
        <v>889</v>
      </c>
      <c r="AI251" s="282">
        <v>41823</v>
      </c>
      <c r="AJ251" s="282" t="s">
        <v>889</v>
      </c>
      <c r="AK251" s="274"/>
    </row>
    <row r="252" spans="1:37" x14ac:dyDescent="0.3">
      <c r="A252" s="273">
        <v>32534</v>
      </c>
      <c r="B252" s="274" t="s">
        <v>1248</v>
      </c>
      <c r="C252" s="146" t="s">
        <v>263</v>
      </c>
      <c r="D252" s="275">
        <v>3.97</v>
      </c>
      <c r="E252" s="274"/>
      <c r="F252" s="274" t="s">
        <v>1066</v>
      </c>
      <c r="G252" s="274" t="s">
        <v>1196</v>
      </c>
      <c r="H252" s="276">
        <v>4399</v>
      </c>
      <c r="I252" s="24">
        <v>103003</v>
      </c>
      <c r="J252" s="277">
        <v>3.97</v>
      </c>
      <c r="K252" s="276">
        <v>3382</v>
      </c>
      <c r="L252" s="278">
        <v>15.493801070724146</v>
      </c>
      <c r="M252" s="279">
        <v>0</v>
      </c>
      <c r="N252" s="277">
        <v>0</v>
      </c>
      <c r="O252" s="280" t="s">
        <v>1197</v>
      </c>
      <c r="P252" s="279">
        <v>10600</v>
      </c>
      <c r="Q252" s="281">
        <v>42082</v>
      </c>
      <c r="R252" s="282">
        <v>45327</v>
      </c>
      <c r="S252" s="274" t="s">
        <v>1198</v>
      </c>
      <c r="T252" s="44">
        <v>1</v>
      </c>
      <c r="U252" s="283">
        <v>51</v>
      </c>
      <c r="V252" s="284">
        <v>7</v>
      </c>
      <c r="W252" s="285" t="s">
        <v>889</v>
      </c>
      <c r="X252" s="286" t="s">
        <v>889</v>
      </c>
      <c r="Y252" s="287">
        <v>0</v>
      </c>
      <c r="Z252" s="287" t="s">
        <v>889</v>
      </c>
      <c r="AA252" s="286" t="s">
        <v>889</v>
      </c>
      <c r="AB252" s="287">
        <v>0</v>
      </c>
      <c r="AC252" s="287"/>
      <c r="AD252" s="288" t="s">
        <v>889</v>
      </c>
      <c r="AE252" s="289" t="s">
        <v>889</v>
      </c>
      <c r="AF252" s="279">
        <v>1136</v>
      </c>
      <c r="AG252" s="282">
        <v>45132</v>
      </c>
      <c r="AH252" s="282" t="s">
        <v>889</v>
      </c>
      <c r="AI252" s="282">
        <v>45076</v>
      </c>
      <c r="AJ252" s="282" t="s">
        <v>889</v>
      </c>
      <c r="AK252" s="274"/>
    </row>
    <row r="253" spans="1:37" x14ac:dyDescent="0.3">
      <c r="A253" s="273">
        <v>32927</v>
      </c>
      <c r="B253" s="274" t="s">
        <v>1249</v>
      </c>
      <c r="C253" s="146" t="s">
        <v>380</v>
      </c>
      <c r="D253" s="275">
        <v>0.53</v>
      </c>
      <c r="E253" s="274"/>
      <c r="F253" s="274"/>
      <c r="G253" s="274" t="s">
        <v>889</v>
      </c>
      <c r="H253" s="276">
        <v>0</v>
      </c>
      <c r="I253" s="24">
        <v>103003</v>
      </c>
      <c r="J253" s="277">
        <v>0.53</v>
      </c>
      <c r="K253" s="276">
        <v>5743</v>
      </c>
      <c r="L253" s="278">
        <v>0</v>
      </c>
      <c r="M253" s="279">
        <v>5472</v>
      </c>
      <c r="N253" s="277">
        <v>2900.16</v>
      </c>
      <c r="O253" s="280" t="s">
        <v>888</v>
      </c>
      <c r="P253" s="279">
        <v>0</v>
      </c>
      <c r="Q253" s="281">
        <v>0</v>
      </c>
      <c r="R253" s="282" t="s">
        <v>889</v>
      </c>
      <c r="S253" s="274" t="s">
        <v>1130</v>
      </c>
      <c r="T253" s="44">
        <v>1</v>
      </c>
      <c r="U253" s="283">
        <v>57</v>
      </c>
      <c r="V253" s="284">
        <v>15</v>
      </c>
      <c r="W253" s="285">
        <v>6989</v>
      </c>
      <c r="X253" s="286">
        <v>2023</v>
      </c>
      <c r="Y253" s="287">
        <v>2100</v>
      </c>
      <c r="Z253" s="287" t="s">
        <v>889</v>
      </c>
      <c r="AA253" s="286" t="s">
        <v>889</v>
      </c>
      <c r="AB253" s="287">
        <v>0</v>
      </c>
      <c r="AC253" s="287"/>
      <c r="AD253" s="288" t="s">
        <v>889</v>
      </c>
      <c r="AE253" s="289" t="s">
        <v>889</v>
      </c>
      <c r="AF253" s="279">
        <v>2524</v>
      </c>
      <c r="AG253" s="282">
        <v>44967</v>
      </c>
      <c r="AH253" s="282" t="s">
        <v>889</v>
      </c>
      <c r="AI253" s="282">
        <v>44959</v>
      </c>
      <c r="AJ253" s="282" t="s">
        <v>889</v>
      </c>
      <c r="AK253" s="274"/>
    </row>
    <row r="254" spans="1:37" x14ac:dyDescent="0.3">
      <c r="A254" s="273">
        <v>32933</v>
      </c>
      <c r="B254" s="274" t="s">
        <v>1250</v>
      </c>
      <c r="C254" s="146" t="s">
        <v>380</v>
      </c>
      <c r="D254" s="275">
        <v>0.98</v>
      </c>
      <c r="E254" s="274"/>
      <c r="F254" s="274"/>
      <c r="G254" s="274" t="s">
        <v>889</v>
      </c>
      <c r="H254" s="276">
        <v>0</v>
      </c>
      <c r="I254" s="24">
        <v>103003</v>
      </c>
      <c r="J254" s="277">
        <v>0.98</v>
      </c>
      <c r="K254" s="276">
        <v>9496</v>
      </c>
      <c r="L254" s="278">
        <v>0</v>
      </c>
      <c r="M254" s="279">
        <v>5808.96</v>
      </c>
      <c r="N254" s="277">
        <v>5692.7808000000005</v>
      </c>
      <c r="O254" s="280" t="s">
        <v>888</v>
      </c>
      <c r="P254" s="279">
        <v>0</v>
      </c>
      <c r="Q254" s="281">
        <v>0</v>
      </c>
      <c r="R254" s="282" t="s">
        <v>889</v>
      </c>
      <c r="S254" s="274" t="s">
        <v>947</v>
      </c>
      <c r="T254" s="44">
        <v>1</v>
      </c>
      <c r="U254" s="283">
        <v>57</v>
      </c>
      <c r="V254" s="284">
        <v>16</v>
      </c>
      <c r="W254" s="285">
        <v>6984</v>
      </c>
      <c r="X254" s="286">
        <v>2023</v>
      </c>
      <c r="Y254" s="287">
        <v>5700</v>
      </c>
      <c r="Z254" s="287" t="s">
        <v>889</v>
      </c>
      <c r="AA254" s="286" t="s">
        <v>889</v>
      </c>
      <c r="AB254" s="287">
        <v>0</v>
      </c>
      <c r="AC254" s="287"/>
      <c r="AD254" s="288" t="s">
        <v>889</v>
      </c>
      <c r="AE254" s="289" t="s">
        <v>889</v>
      </c>
      <c r="AF254" s="279">
        <v>3836</v>
      </c>
      <c r="AG254" s="282">
        <v>44960</v>
      </c>
      <c r="AH254" s="282" t="s">
        <v>889</v>
      </c>
      <c r="AI254" s="282">
        <v>44910</v>
      </c>
      <c r="AJ254" s="282" t="s">
        <v>889</v>
      </c>
      <c r="AK254" s="274"/>
    </row>
    <row r="255" spans="1:37" x14ac:dyDescent="0.3">
      <c r="A255" s="273">
        <v>33609</v>
      </c>
      <c r="B255" s="274" t="s">
        <v>1251</v>
      </c>
      <c r="C255" s="146" t="s">
        <v>320</v>
      </c>
      <c r="D255" s="275">
        <v>16.13</v>
      </c>
      <c r="E255" s="274"/>
      <c r="F255" s="274"/>
      <c r="G255" s="274" t="s">
        <v>889</v>
      </c>
      <c r="H255" s="276">
        <v>145</v>
      </c>
      <c r="I255" s="24">
        <v>103003</v>
      </c>
      <c r="J255" s="277">
        <v>16.13</v>
      </c>
      <c r="K255" s="276">
        <v>5</v>
      </c>
      <c r="L255" s="278">
        <v>345.23809523809524</v>
      </c>
      <c r="M255" s="279">
        <v>0</v>
      </c>
      <c r="N255" s="277">
        <v>0</v>
      </c>
      <c r="O255" s="280" t="s">
        <v>888</v>
      </c>
      <c r="P255" s="279">
        <v>0</v>
      </c>
      <c r="Q255" s="281">
        <v>0</v>
      </c>
      <c r="R255" s="282" t="s">
        <v>889</v>
      </c>
      <c r="S255" s="274" t="s">
        <v>1252</v>
      </c>
      <c r="T255" s="44">
        <v>1</v>
      </c>
      <c r="U255" s="283">
        <v>67</v>
      </c>
      <c r="V255" s="284">
        <v>14</v>
      </c>
      <c r="W255" s="285" t="s">
        <v>889</v>
      </c>
      <c r="X255" s="286" t="s">
        <v>889</v>
      </c>
      <c r="Y255" s="287">
        <v>0</v>
      </c>
      <c r="Z255" s="287" t="s">
        <v>889</v>
      </c>
      <c r="AA255" s="286" t="s">
        <v>889</v>
      </c>
      <c r="AB255" s="287">
        <v>0</v>
      </c>
      <c r="AC255" s="287"/>
      <c r="AD255" s="288" t="s">
        <v>889</v>
      </c>
      <c r="AE255" s="289" t="s">
        <v>889</v>
      </c>
      <c r="AF255" s="279">
        <v>2</v>
      </c>
      <c r="AG255" s="282">
        <v>43689</v>
      </c>
      <c r="AH255" s="282" t="s">
        <v>889</v>
      </c>
      <c r="AI255" s="282">
        <v>44921</v>
      </c>
      <c r="AJ255" s="282" t="s">
        <v>889</v>
      </c>
      <c r="AK255" s="274"/>
    </row>
    <row r="256" spans="1:37" x14ac:dyDescent="0.3">
      <c r="A256" s="273">
        <v>33612</v>
      </c>
      <c r="B256" s="274" t="s">
        <v>1253</v>
      </c>
      <c r="C256" s="146" t="s">
        <v>320</v>
      </c>
      <c r="D256" s="275">
        <v>17.55</v>
      </c>
      <c r="E256" s="274"/>
      <c r="F256" s="274"/>
      <c r="G256" s="274" t="s">
        <v>889</v>
      </c>
      <c r="H256" s="276">
        <v>325</v>
      </c>
      <c r="I256" s="24">
        <v>103003</v>
      </c>
      <c r="J256" s="277">
        <v>17.55</v>
      </c>
      <c r="K256" s="276">
        <v>61</v>
      </c>
      <c r="L256" s="278">
        <v>60.975609756097562</v>
      </c>
      <c r="M256" s="279">
        <v>0</v>
      </c>
      <c r="N256" s="277">
        <v>0</v>
      </c>
      <c r="O256" s="280" t="s">
        <v>888</v>
      </c>
      <c r="P256" s="279">
        <v>0</v>
      </c>
      <c r="Q256" s="281">
        <v>0</v>
      </c>
      <c r="R256" s="282" t="s">
        <v>889</v>
      </c>
      <c r="S256" s="274" t="s">
        <v>1252</v>
      </c>
      <c r="T256" s="44">
        <v>1</v>
      </c>
      <c r="U256" s="283">
        <v>67</v>
      </c>
      <c r="V256" s="284">
        <v>14</v>
      </c>
      <c r="W256" s="285" t="s">
        <v>889</v>
      </c>
      <c r="X256" s="286" t="s">
        <v>889</v>
      </c>
      <c r="Y256" s="287">
        <v>0</v>
      </c>
      <c r="Z256" s="287" t="s">
        <v>889</v>
      </c>
      <c r="AA256" s="286" t="s">
        <v>889</v>
      </c>
      <c r="AB256" s="287">
        <v>0</v>
      </c>
      <c r="AC256" s="287"/>
      <c r="AD256" s="288" t="s">
        <v>889</v>
      </c>
      <c r="AE256" s="289" t="s">
        <v>889</v>
      </c>
      <c r="AF256" s="279">
        <v>22</v>
      </c>
      <c r="AG256" s="282">
        <v>43860</v>
      </c>
      <c r="AH256" s="282" t="s">
        <v>889</v>
      </c>
      <c r="AI256" s="282">
        <v>45105</v>
      </c>
      <c r="AJ256" s="282" t="s">
        <v>889</v>
      </c>
      <c r="AK256" s="274"/>
    </row>
    <row r="257" spans="1:37" x14ac:dyDescent="0.3">
      <c r="A257" s="273">
        <v>33623</v>
      </c>
      <c r="B257" s="274" t="s">
        <v>1254</v>
      </c>
      <c r="C257" s="146" t="s">
        <v>320</v>
      </c>
      <c r="D257" s="275">
        <v>14</v>
      </c>
      <c r="E257" s="274"/>
      <c r="F257" s="274"/>
      <c r="G257" s="274" t="s">
        <v>889</v>
      </c>
      <c r="H257" s="276">
        <v>408</v>
      </c>
      <c r="I257" s="24">
        <v>103003</v>
      </c>
      <c r="J257" s="277">
        <v>14</v>
      </c>
      <c r="K257" s="276">
        <v>275</v>
      </c>
      <c r="L257" s="278">
        <v>14.315789473684211</v>
      </c>
      <c r="M257" s="279">
        <v>0</v>
      </c>
      <c r="N257" s="277">
        <v>0</v>
      </c>
      <c r="O257" s="280" t="s">
        <v>888</v>
      </c>
      <c r="P257" s="279">
        <v>0</v>
      </c>
      <c r="Q257" s="281">
        <v>0</v>
      </c>
      <c r="R257" s="282" t="s">
        <v>889</v>
      </c>
      <c r="S257" s="274" t="s">
        <v>1252</v>
      </c>
      <c r="T257" s="44">
        <v>1</v>
      </c>
      <c r="U257" s="283">
        <v>67</v>
      </c>
      <c r="V257" s="284">
        <v>14</v>
      </c>
      <c r="W257" s="285" t="s">
        <v>889</v>
      </c>
      <c r="X257" s="286" t="s">
        <v>889</v>
      </c>
      <c r="Y257" s="287">
        <v>0</v>
      </c>
      <c r="Z257" s="287" t="s">
        <v>889</v>
      </c>
      <c r="AA257" s="286" t="s">
        <v>889</v>
      </c>
      <c r="AB257" s="287">
        <v>0</v>
      </c>
      <c r="AC257" s="287"/>
      <c r="AD257" s="288" t="s">
        <v>889</v>
      </c>
      <c r="AE257" s="289" t="s">
        <v>889</v>
      </c>
      <c r="AF257" s="279">
        <v>114</v>
      </c>
      <c r="AG257" s="282">
        <v>45215</v>
      </c>
      <c r="AH257" s="282" t="s">
        <v>889</v>
      </c>
      <c r="AI257" s="282">
        <v>45189</v>
      </c>
      <c r="AJ257" s="282" t="s">
        <v>889</v>
      </c>
      <c r="AK257" s="274"/>
    </row>
    <row r="258" spans="1:37" x14ac:dyDescent="0.3">
      <c r="A258" s="273">
        <v>34214</v>
      </c>
      <c r="B258" s="274" t="s">
        <v>1255</v>
      </c>
      <c r="C258" s="146" t="s">
        <v>263</v>
      </c>
      <c r="D258" s="275">
        <v>655</v>
      </c>
      <c r="E258" s="274"/>
      <c r="F258" s="274"/>
      <c r="G258" s="274" t="s">
        <v>889</v>
      </c>
      <c r="H258" s="276">
        <v>21</v>
      </c>
      <c r="I258" s="24">
        <v>103003</v>
      </c>
      <c r="J258" s="277">
        <v>655</v>
      </c>
      <c r="K258" s="276"/>
      <c r="L258" s="278">
        <v>0</v>
      </c>
      <c r="M258" s="279">
        <v>0</v>
      </c>
      <c r="N258" s="277">
        <v>0</v>
      </c>
      <c r="O258" s="280" t="s">
        <v>888</v>
      </c>
      <c r="P258" s="279">
        <v>0</v>
      </c>
      <c r="Q258" s="281">
        <v>0</v>
      </c>
      <c r="R258" s="282" t="s">
        <v>889</v>
      </c>
      <c r="S258" s="274" t="s">
        <v>1212</v>
      </c>
      <c r="T258" s="44">
        <v>1</v>
      </c>
      <c r="U258" s="283">
        <v>51</v>
      </c>
      <c r="V258" s="284">
        <v>26</v>
      </c>
      <c r="W258" s="285" t="s">
        <v>889</v>
      </c>
      <c r="X258" s="286" t="s">
        <v>889</v>
      </c>
      <c r="Y258" s="287">
        <v>0</v>
      </c>
      <c r="Z258" s="287" t="s">
        <v>889</v>
      </c>
      <c r="AA258" s="286" t="s">
        <v>889</v>
      </c>
      <c r="AB258" s="287">
        <v>0</v>
      </c>
      <c r="AC258" s="287"/>
      <c r="AD258" s="288" t="s">
        <v>889</v>
      </c>
      <c r="AE258" s="289" t="s">
        <v>889</v>
      </c>
      <c r="AF258" s="279">
        <v>0</v>
      </c>
      <c r="AG258" s="282">
        <v>45201</v>
      </c>
      <c r="AH258" s="282" t="s">
        <v>889</v>
      </c>
      <c r="AI258" s="282">
        <v>45160</v>
      </c>
      <c r="AJ258" s="282" t="s">
        <v>889</v>
      </c>
      <c r="AK258" s="274"/>
    </row>
    <row r="259" spans="1:37" x14ac:dyDescent="0.3">
      <c r="A259" s="273">
        <v>34801</v>
      </c>
      <c r="B259" s="274" t="s">
        <v>1256</v>
      </c>
      <c r="C259" s="146" t="s">
        <v>263</v>
      </c>
      <c r="D259" s="275">
        <v>2.84</v>
      </c>
      <c r="E259" s="274"/>
      <c r="F259" s="274" t="s">
        <v>1066</v>
      </c>
      <c r="G259" s="274" t="s">
        <v>1196</v>
      </c>
      <c r="H259" s="276">
        <v>2439</v>
      </c>
      <c r="I259" s="24">
        <v>103003</v>
      </c>
      <c r="J259" s="277">
        <v>2.84</v>
      </c>
      <c r="K259" s="276">
        <v>2742</v>
      </c>
      <c r="L259" s="278">
        <v>10.26212816089536</v>
      </c>
      <c r="M259" s="279">
        <v>413.04</v>
      </c>
      <c r="N259" s="277">
        <v>1173.0336</v>
      </c>
      <c r="O259" s="280" t="s">
        <v>1197</v>
      </c>
      <c r="P259" s="279">
        <v>10100</v>
      </c>
      <c r="Q259" s="281">
        <v>28684</v>
      </c>
      <c r="R259" s="282">
        <v>45327</v>
      </c>
      <c r="S259" s="274" t="s">
        <v>1198</v>
      </c>
      <c r="T259" s="44">
        <v>1</v>
      </c>
      <c r="U259" s="283">
        <v>51</v>
      </c>
      <c r="V259" s="284">
        <v>7</v>
      </c>
      <c r="W259" s="285" t="s">
        <v>889</v>
      </c>
      <c r="X259" s="286" t="s">
        <v>889</v>
      </c>
      <c r="Y259" s="287">
        <v>0</v>
      </c>
      <c r="Z259" s="287" t="s">
        <v>889</v>
      </c>
      <c r="AA259" s="286" t="s">
        <v>889</v>
      </c>
      <c r="AB259" s="287">
        <v>0</v>
      </c>
      <c r="AC259" s="287"/>
      <c r="AD259" s="288" t="s">
        <v>889</v>
      </c>
      <c r="AE259" s="289" t="s">
        <v>889</v>
      </c>
      <c r="AF259" s="279">
        <v>950</v>
      </c>
      <c r="AG259" s="282">
        <v>45132</v>
      </c>
      <c r="AH259" s="282" t="s">
        <v>889</v>
      </c>
      <c r="AI259" s="282">
        <v>45082</v>
      </c>
      <c r="AJ259" s="282" t="s">
        <v>889</v>
      </c>
      <c r="AK259" s="274"/>
    </row>
    <row r="260" spans="1:37" x14ac:dyDescent="0.3">
      <c r="A260" s="273">
        <v>35224</v>
      </c>
      <c r="B260" s="274" t="s">
        <v>1257</v>
      </c>
      <c r="C260" s="146" t="s">
        <v>263</v>
      </c>
      <c r="D260" s="275">
        <v>50</v>
      </c>
      <c r="E260" s="274"/>
      <c r="F260" s="274"/>
      <c r="G260" s="274" t="s">
        <v>889</v>
      </c>
      <c r="H260" s="276">
        <v>20</v>
      </c>
      <c r="I260" s="24">
        <v>103003</v>
      </c>
      <c r="J260" s="277">
        <v>50</v>
      </c>
      <c r="K260" s="276">
        <v>19</v>
      </c>
      <c r="L260" s="278">
        <v>11.428571428571429</v>
      </c>
      <c r="M260" s="279">
        <v>1</v>
      </c>
      <c r="N260" s="277">
        <v>50</v>
      </c>
      <c r="O260" s="280" t="s">
        <v>888</v>
      </c>
      <c r="P260" s="279">
        <v>0</v>
      </c>
      <c r="Q260" s="281">
        <v>0</v>
      </c>
      <c r="R260" s="282" t="s">
        <v>889</v>
      </c>
      <c r="S260" s="274" t="s">
        <v>1011</v>
      </c>
      <c r="T260" s="44">
        <v>1</v>
      </c>
      <c r="U260" s="283">
        <v>61</v>
      </c>
      <c r="V260" s="284">
        <v>15</v>
      </c>
      <c r="W260" s="285" t="s">
        <v>889</v>
      </c>
      <c r="X260" s="286" t="s">
        <v>889</v>
      </c>
      <c r="Y260" s="287">
        <v>0</v>
      </c>
      <c r="Z260" s="287" t="s">
        <v>889</v>
      </c>
      <c r="AA260" s="286" t="s">
        <v>889</v>
      </c>
      <c r="AB260" s="287">
        <v>0</v>
      </c>
      <c r="AC260" s="287"/>
      <c r="AD260" s="288" t="s">
        <v>889</v>
      </c>
      <c r="AE260" s="289" t="s">
        <v>889</v>
      </c>
      <c r="AF260" s="279">
        <v>8</v>
      </c>
      <c r="AG260" s="282">
        <v>45166</v>
      </c>
      <c r="AH260" s="282" t="s">
        <v>889</v>
      </c>
      <c r="AI260" s="282">
        <v>45145</v>
      </c>
      <c r="AJ260" s="282" t="s">
        <v>889</v>
      </c>
      <c r="AK260" s="274"/>
    </row>
    <row r="261" spans="1:37" x14ac:dyDescent="0.3">
      <c r="A261" s="273">
        <v>35256</v>
      </c>
      <c r="B261" s="274" t="s">
        <v>1258</v>
      </c>
      <c r="C261" s="146" t="s">
        <v>345</v>
      </c>
      <c r="D261" s="275">
        <v>6</v>
      </c>
      <c r="E261" s="274"/>
      <c r="F261" s="274"/>
      <c r="G261" s="274" t="s">
        <v>889</v>
      </c>
      <c r="H261" s="276">
        <v>157</v>
      </c>
      <c r="I261" s="24">
        <v>103003</v>
      </c>
      <c r="J261" s="277">
        <v>6</v>
      </c>
      <c r="K261" s="276"/>
      <c r="L261" s="278">
        <v>0</v>
      </c>
      <c r="M261" s="279">
        <v>0</v>
      </c>
      <c r="N261" s="277">
        <v>0</v>
      </c>
      <c r="O261" s="280" t="s">
        <v>888</v>
      </c>
      <c r="P261" s="279">
        <v>0</v>
      </c>
      <c r="Q261" s="281">
        <v>0</v>
      </c>
      <c r="R261" s="282" t="s">
        <v>889</v>
      </c>
      <c r="S261" s="274" t="s">
        <v>1259</v>
      </c>
      <c r="T261" s="44">
        <v>1</v>
      </c>
      <c r="U261" s="283">
        <v>69</v>
      </c>
      <c r="V261" s="284">
        <v>3</v>
      </c>
      <c r="W261" s="285" t="s">
        <v>889</v>
      </c>
      <c r="X261" s="286" t="s">
        <v>889</v>
      </c>
      <c r="Y261" s="287">
        <v>0</v>
      </c>
      <c r="Z261" s="287" t="s">
        <v>889</v>
      </c>
      <c r="AA261" s="286" t="s">
        <v>889</v>
      </c>
      <c r="AB261" s="287">
        <v>0</v>
      </c>
      <c r="AC261" s="287"/>
      <c r="AD261" s="288" t="s">
        <v>889</v>
      </c>
      <c r="AE261" s="289" t="s">
        <v>889</v>
      </c>
      <c r="AF261" s="279">
        <v>0</v>
      </c>
      <c r="AG261" s="282">
        <v>43749</v>
      </c>
      <c r="AH261" s="282" t="s">
        <v>889</v>
      </c>
      <c r="AI261" s="282">
        <v>43734</v>
      </c>
      <c r="AJ261" s="282" t="s">
        <v>889</v>
      </c>
      <c r="AK261" s="274"/>
    </row>
    <row r="262" spans="1:37" x14ac:dyDescent="0.3">
      <c r="A262" s="273">
        <v>35550</v>
      </c>
      <c r="B262" s="274" t="s">
        <v>1260</v>
      </c>
      <c r="C262" s="146" t="s">
        <v>380</v>
      </c>
      <c r="D262" s="275">
        <v>0.4</v>
      </c>
      <c r="E262" s="274"/>
      <c r="F262" s="274"/>
      <c r="G262" s="274" t="s">
        <v>889</v>
      </c>
      <c r="H262" s="276">
        <v>39</v>
      </c>
      <c r="I262" s="24">
        <v>103003</v>
      </c>
      <c r="J262" s="277">
        <v>0.4</v>
      </c>
      <c r="K262" s="276">
        <v>76</v>
      </c>
      <c r="L262" s="278">
        <v>6.1611374407582939</v>
      </c>
      <c r="M262" s="279">
        <v>36.96</v>
      </c>
      <c r="N262" s="277">
        <v>14.784000000000001</v>
      </c>
      <c r="O262" s="280" t="s">
        <v>888</v>
      </c>
      <c r="P262" s="279">
        <v>0</v>
      </c>
      <c r="Q262" s="281">
        <v>0</v>
      </c>
      <c r="R262" s="282" t="s">
        <v>889</v>
      </c>
      <c r="S262" s="274" t="s">
        <v>996</v>
      </c>
      <c r="T262" s="44">
        <v>1</v>
      </c>
      <c r="U262" s="283">
        <v>83</v>
      </c>
      <c r="V262" s="284">
        <v>2</v>
      </c>
      <c r="W262" s="285" t="s">
        <v>889</v>
      </c>
      <c r="X262" s="286" t="s">
        <v>889</v>
      </c>
      <c r="Y262" s="287">
        <v>0</v>
      </c>
      <c r="Z262" s="287" t="s">
        <v>889</v>
      </c>
      <c r="AA262" s="286" t="s">
        <v>889</v>
      </c>
      <c r="AB262" s="287">
        <v>0</v>
      </c>
      <c r="AC262" s="287"/>
      <c r="AD262" s="288" t="s">
        <v>889</v>
      </c>
      <c r="AE262" s="289" t="s">
        <v>889</v>
      </c>
      <c r="AF262" s="279">
        <v>26</v>
      </c>
      <c r="AG262" s="282">
        <v>43257</v>
      </c>
      <c r="AH262" s="282" t="s">
        <v>889</v>
      </c>
      <c r="AI262" s="282">
        <v>43217</v>
      </c>
      <c r="AJ262" s="282" t="s">
        <v>889</v>
      </c>
      <c r="AK262" s="274"/>
    </row>
    <row r="263" spans="1:37" x14ac:dyDescent="0.3">
      <c r="A263" s="273">
        <v>35554</v>
      </c>
      <c r="B263" s="274" t="s">
        <v>1261</v>
      </c>
      <c r="C263" s="146" t="s">
        <v>380</v>
      </c>
      <c r="D263" s="275">
        <v>1.01</v>
      </c>
      <c r="E263" s="274"/>
      <c r="F263" s="274"/>
      <c r="G263" s="274" t="s">
        <v>889</v>
      </c>
      <c r="H263" s="276">
        <v>20</v>
      </c>
      <c r="I263" s="24">
        <v>103003</v>
      </c>
      <c r="J263" s="277">
        <v>1.01</v>
      </c>
      <c r="K263" s="276">
        <v>38</v>
      </c>
      <c r="L263" s="278">
        <v>6.3091482649842279</v>
      </c>
      <c r="M263" s="279">
        <v>18.04</v>
      </c>
      <c r="N263" s="277">
        <v>18.220400000000001</v>
      </c>
      <c r="O263" s="280" t="s">
        <v>888</v>
      </c>
      <c r="P263" s="279">
        <v>0</v>
      </c>
      <c r="Q263" s="281">
        <v>0</v>
      </c>
      <c r="R263" s="282" t="s">
        <v>889</v>
      </c>
      <c r="S263" s="274" t="s">
        <v>996</v>
      </c>
      <c r="T263" s="44">
        <v>1</v>
      </c>
      <c r="U263" s="283">
        <v>83</v>
      </c>
      <c r="V263" s="284">
        <v>2</v>
      </c>
      <c r="W263" s="285" t="s">
        <v>889</v>
      </c>
      <c r="X263" s="286" t="s">
        <v>889</v>
      </c>
      <c r="Y263" s="287">
        <v>0</v>
      </c>
      <c r="Z263" s="287" t="s">
        <v>889</v>
      </c>
      <c r="AA263" s="286" t="s">
        <v>889</v>
      </c>
      <c r="AB263" s="287">
        <v>0</v>
      </c>
      <c r="AC263" s="287"/>
      <c r="AD263" s="288" t="s">
        <v>889</v>
      </c>
      <c r="AE263" s="289" t="s">
        <v>889</v>
      </c>
      <c r="AF263" s="279">
        <v>12</v>
      </c>
      <c r="AG263" s="282">
        <v>45201</v>
      </c>
      <c r="AH263" s="282" t="s">
        <v>889</v>
      </c>
      <c r="AI263" s="282">
        <v>45189</v>
      </c>
      <c r="AJ263" s="282" t="s">
        <v>889</v>
      </c>
      <c r="AK263" s="274"/>
    </row>
    <row r="264" spans="1:37" x14ac:dyDescent="0.3">
      <c r="A264" s="273">
        <v>35555</v>
      </c>
      <c r="B264" s="274" t="s">
        <v>1262</v>
      </c>
      <c r="C264" s="146" t="s">
        <v>380</v>
      </c>
      <c r="D264" s="275">
        <v>0.4</v>
      </c>
      <c r="E264" s="274"/>
      <c r="F264" s="274"/>
      <c r="G264" s="274" t="s">
        <v>889</v>
      </c>
      <c r="H264" s="276">
        <v>63</v>
      </c>
      <c r="I264" s="24">
        <v>103003</v>
      </c>
      <c r="J264" s="277">
        <v>0.4</v>
      </c>
      <c r="K264" s="276">
        <v>75</v>
      </c>
      <c r="L264" s="278">
        <v>10.08</v>
      </c>
      <c r="M264" s="279">
        <v>12</v>
      </c>
      <c r="N264" s="277">
        <v>4.8</v>
      </c>
      <c r="O264" s="280" t="s">
        <v>888</v>
      </c>
      <c r="P264" s="279">
        <v>0</v>
      </c>
      <c r="Q264" s="281">
        <v>0</v>
      </c>
      <c r="R264" s="282" t="s">
        <v>889</v>
      </c>
      <c r="S264" s="274" t="s">
        <v>996</v>
      </c>
      <c r="T264" s="44">
        <v>1</v>
      </c>
      <c r="U264" s="283">
        <v>83</v>
      </c>
      <c r="V264" s="284">
        <v>2</v>
      </c>
      <c r="W264" s="285" t="s">
        <v>889</v>
      </c>
      <c r="X264" s="286" t="s">
        <v>889</v>
      </c>
      <c r="Y264" s="287">
        <v>0</v>
      </c>
      <c r="Z264" s="287" t="s">
        <v>889</v>
      </c>
      <c r="AA264" s="286" t="s">
        <v>889</v>
      </c>
      <c r="AB264" s="287">
        <v>0</v>
      </c>
      <c r="AC264" s="287"/>
      <c r="AD264" s="288" t="s">
        <v>889</v>
      </c>
      <c r="AE264" s="289" t="s">
        <v>889</v>
      </c>
      <c r="AF264" s="279">
        <v>26</v>
      </c>
      <c r="AG264" s="282">
        <v>43257</v>
      </c>
      <c r="AH264" s="282" t="s">
        <v>889</v>
      </c>
      <c r="AI264" s="282">
        <v>43217</v>
      </c>
      <c r="AJ264" s="282" t="s">
        <v>889</v>
      </c>
      <c r="AK264" s="274"/>
    </row>
    <row r="265" spans="1:37" x14ac:dyDescent="0.3">
      <c r="A265" s="273">
        <v>36031</v>
      </c>
      <c r="B265" s="274" t="s">
        <v>1263</v>
      </c>
      <c r="C265" s="146" t="s">
        <v>1264</v>
      </c>
      <c r="D265" s="275">
        <v>12.4</v>
      </c>
      <c r="E265" s="274"/>
      <c r="F265" s="274"/>
      <c r="G265" s="274" t="s">
        <v>889</v>
      </c>
      <c r="H265" s="276">
        <v>2616</v>
      </c>
      <c r="I265" s="24">
        <v>103003</v>
      </c>
      <c r="J265" s="277">
        <v>12.4</v>
      </c>
      <c r="K265" s="276">
        <v>38</v>
      </c>
      <c r="L265" s="278">
        <v>785.58558558558559</v>
      </c>
      <c r="M265" s="279">
        <v>0</v>
      </c>
      <c r="N265" s="277">
        <v>0</v>
      </c>
      <c r="O265" s="280" t="s">
        <v>888</v>
      </c>
      <c r="P265" s="279">
        <v>0</v>
      </c>
      <c r="Q265" s="281">
        <v>0</v>
      </c>
      <c r="R265" s="282" t="s">
        <v>889</v>
      </c>
      <c r="S265" s="274" t="s">
        <v>991</v>
      </c>
      <c r="T265" s="44">
        <v>1</v>
      </c>
      <c r="U265" s="283">
        <v>67</v>
      </c>
      <c r="V265" s="284">
        <v>6</v>
      </c>
      <c r="W265" s="285" t="s">
        <v>889</v>
      </c>
      <c r="X265" s="286" t="s">
        <v>889</v>
      </c>
      <c r="Y265" s="287">
        <v>0</v>
      </c>
      <c r="Z265" s="287" t="s">
        <v>889</v>
      </c>
      <c r="AA265" s="286" t="s">
        <v>889</v>
      </c>
      <c r="AB265" s="287">
        <v>0</v>
      </c>
      <c r="AC265" s="287"/>
      <c r="AD265" s="288" t="s">
        <v>889</v>
      </c>
      <c r="AE265" s="289" t="s">
        <v>889</v>
      </c>
      <c r="AF265" s="279">
        <v>14</v>
      </c>
      <c r="AG265" s="282">
        <v>43847</v>
      </c>
      <c r="AH265" s="282" t="s">
        <v>889</v>
      </c>
      <c r="AI265" s="282">
        <v>45175</v>
      </c>
      <c r="AJ265" s="282" t="s">
        <v>889</v>
      </c>
      <c r="AK265" s="274"/>
    </row>
    <row r="266" spans="1:37" x14ac:dyDescent="0.3">
      <c r="A266" s="273">
        <v>36399</v>
      </c>
      <c r="B266" s="274" t="s">
        <v>1265</v>
      </c>
      <c r="C266" s="146" t="s">
        <v>263</v>
      </c>
      <c r="D266" s="275">
        <v>5.7</v>
      </c>
      <c r="E266" s="274"/>
      <c r="F266" s="274"/>
      <c r="G266" s="274" t="s">
        <v>889</v>
      </c>
      <c r="H266" s="276">
        <v>143</v>
      </c>
      <c r="I266" s="24">
        <v>103003</v>
      </c>
      <c r="J266" s="277">
        <v>5.7</v>
      </c>
      <c r="K266" s="276">
        <v>40</v>
      </c>
      <c r="L266" s="278">
        <v>42.942942942942949</v>
      </c>
      <c r="M266" s="279">
        <v>0</v>
      </c>
      <c r="N266" s="277">
        <v>0</v>
      </c>
      <c r="O266" s="280" t="s">
        <v>888</v>
      </c>
      <c r="P266" s="279">
        <v>0</v>
      </c>
      <c r="Q266" s="281">
        <v>0</v>
      </c>
      <c r="R266" s="282" t="s">
        <v>889</v>
      </c>
      <c r="S266" s="274" t="s">
        <v>1266</v>
      </c>
      <c r="T266" s="44">
        <v>1</v>
      </c>
      <c r="U266" s="283">
        <v>89</v>
      </c>
      <c r="V266" s="284">
        <v>12</v>
      </c>
      <c r="W266" s="285" t="s">
        <v>889</v>
      </c>
      <c r="X266" s="286" t="s">
        <v>889</v>
      </c>
      <c r="Y266" s="287">
        <v>0</v>
      </c>
      <c r="Z266" s="287" t="s">
        <v>889</v>
      </c>
      <c r="AA266" s="286" t="s">
        <v>889</v>
      </c>
      <c r="AB266" s="287">
        <v>0</v>
      </c>
      <c r="AC266" s="287"/>
      <c r="AD266" s="288" t="s">
        <v>889</v>
      </c>
      <c r="AE266" s="289" t="s">
        <v>889</v>
      </c>
      <c r="AF266" s="279">
        <v>14</v>
      </c>
      <c r="AG266" s="282">
        <v>44406</v>
      </c>
      <c r="AH266" s="282" t="s">
        <v>889</v>
      </c>
      <c r="AI266" s="282">
        <v>44392</v>
      </c>
      <c r="AJ266" s="282" t="s">
        <v>889</v>
      </c>
      <c r="AK266" s="274"/>
    </row>
    <row r="267" spans="1:37" x14ac:dyDescent="0.3">
      <c r="A267" s="273">
        <v>37518</v>
      </c>
      <c r="B267" s="274" t="s">
        <v>1267</v>
      </c>
      <c r="C267" s="146" t="s">
        <v>263</v>
      </c>
      <c r="D267" s="275">
        <v>0.11</v>
      </c>
      <c r="E267" s="274"/>
      <c r="F267" s="274"/>
      <c r="G267" s="274" t="s">
        <v>889</v>
      </c>
      <c r="H267" s="276">
        <v>350</v>
      </c>
      <c r="I267" s="24">
        <v>103003</v>
      </c>
      <c r="J267" s="277">
        <v>0.11</v>
      </c>
      <c r="K267" s="276"/>
      <c r="L267" s="278">
        <v>0</v>
      </c>
      <c r="M267" s="279">
        <v>0</v>
      </c>
      <c r="N267" s="277">
        <v>0</v>
      </c>
      <c r="O267" s="280" t="s">
        <v>888</v>
      </c>
      <c r="P267" s="279">
        <v>0</v>
      </c>
      <c r="Q267" s="281">
        <v>0</v>
      </c>
      <c r="R267" s="282" t="s">
        <v>889</v>
      </c>
      <c r="S267" s="274" t="s">
        <v>1076</v>
      </c>
      <c r="T267" s="44">
        <v>1</v>
      </c>
      <c r="U267" s="283">
        <v>55</v>
      </c>
      <c r="V267" s="284">
        <v>27</v>
      </c>
      <c r="W267" s="285" t="s">
        <v>889</v>
      </c>
      <c r="X267" s="286" t="s">
        <v>889</v>
      </c>
      <c r="Y267" s="287">
        <v>0</v>
      </c>
      <c r="Z267" s="287" t="s">
        <v>889</v>
      </c>
      <c r="AA267" s="286" t="s">
        <v>889</v>
      </c>
      <c r="AB267" s="287">
        <v>0</v>
      </c>
      <c r="AC267" s="287"/>
      <c r="AD267" s="288" t="s">
        <v>889</v>
      </c>
      <c r="AE267" s="289" t="s">
        <v>889</v>
      </c>
      <c r="AF267" s="279">
        <v>0</v>
      </c>
      <c r="AG267" s="282">
        <v>41970</v>
      </c>
      <c r="AH267" s="282" t="s">
        <v>889</v>
      </c>
      <c r="AI267" s="282">
        <v>42142</v>
      </c>
      <c r="AJ267" s="282" t="s">
        <v>889</v>
      </c>
      <c r="AK267" s="274"/>
    </row>
    <row r="268" spans="1:37" x14ac:dyDescent="0.3">
      <c r="A268" s="273">
        <v>37519</v>
      </c>
      <c r="B268" s="274" t="s">
        <v>1268</v>
      </c>
      <c r="C268" s="146" t="s">
        <v>263</v>
      </c>
      <c r="D268" s="275">
        <v>0.25</v>
      </c>
      <c r="E268" s="274"/>
      <c r="F268" s="274"/>
      <c r="G268" s="274" t="s">
        <v>889</v>
      </c>
      <c r="H268" s="276">
        <v>2345</v>
      </c>
      <c r="I268" s="24">
        <v>103003</v>
      </c>
      <c r="J268" s="277">
        <v>0.25</v>
      </c>
      <c r="K268" s="276"/>
      <c r="L268" s="278">
        <v>0</v>
      </c>
      <c r="M268" s="279">
        <v>0</v>
      </c>
      <c r="N268" s="277">
        <v>0</v>
      </c>
      <c r="O268" s="280" t="s">
        <v>888</v>
      </c>
      <c r="P268" s="279">
        <v>0</v>
      </c>
      <c r="Q268" s="281">
        <v>0</v>
      </c>
      <c r="R268" s="282" t="s">
        <v>889</v>
      </c>
      <c r="S268" s="274" t="s">
        <v>1076</v>
      </c>
      <c r="T268" s="44">
        <v>1</v>
      </c>
      <c r="U268" s="283">
        <v>55</v>
      </c>
      <c r="V268" s="284">
        <v>27</v>
      </c>
      <c r="W268" s="285" t="s">
        <v>889</v>
      </c>
      <c r="X268" s="286" t="s">
        <v>889</v>
      </c>
      <c r="Y268" s="287">
        <v>0</v>
      </c>
      <c r="Z268" s="287" t="s">
        <v>889</v>
      </c>
      <c r="AA268" s="286" t="s">
        <v>889</v>
      </c>
      <c r="AB268" s="287">
        <v>0</v>
      </c>
      <c r="AC268" s="287"/>
      <c r="AD268" s="288" t="s">
        <v>889</v>
      </c>
      <c r="AE268" s="289" t="s">
        <v>889</v>
      </c>
      <c r="AF268" s="279">
        <v>0</v>
      </c>
      <c r="AG268" s="282">
        <v>41577</v>
      </c>
      <c r="AH268" s="282" t="s">
        <v>889</v>
      </c>
      <c r="AI268" s="282">
        <v>44027</v>
      </c>
      <c r="AJ268" s="282" t="s">
        <v>889</v>
      </c>
      <c r="AK268" s="274"/>
    </row>
    <row r="269" spans="1:37" x14ac:dyDescent="0.3">
      <c r="A269" s="273">
        <v>37528</v>
      </c>
      <c r="B269" s="274" t="s">
        <v>1269</v>
      </c>
      <c r="C269" s="146" t="s">
        <v>263</v>
      </c>
      <c r="D269" s="275">
        <v>1.91</v>
      </c>
      <c r="E269" s="274"/>
      <c r="F269" s="274"/>
      <c r="G269" s="274" t="s">
        <v>889</v>
      </c>
      <c r="H269" s="276">
        <v>673</v>
      </c>
      <c r="I269" s="24">
        <v>103003</v>
      </c>
      <c r="J269" s="277">
        <v>1.91</v>
      </c>
      <c r="K269" s="276">
        <v>652</v>
      </c>
      <c r="L269" s="278">
        <v>8.9733333333333327</v>
      </c>
      <c r="M269" s="279">
        <v>77</v>
      </c>
      <c r="N269" s="277">
        <v>147.07</v>
      </c>
      <c r="O269" s="280" t="s">
        <v>888</v>
      </c>
      <c r="P269" s="279">
        <v>0</v>
      </c>
      <c r="Q269" s="281">
        <v>0</v>
      </c>
      <c r="R269" s="282" t="s">
        <v>889</v>
      </c>
      <c r="S269" s="274" t="s">
        <v>1032</v>
      </c>
      <c r="T269" s="44">
        <v>1</v>
      </c>
      <c r="U269" s="283">
        <v>67</v>
      </c>
      <c r="V269" s="284">
        <v>1</v>
      </c>
      <c r="W269" s="285">
        <v>2483</v>
      </c>
      <c r="X269" s="286">
        <v>2023</v>
      </c>
      <c r="Y269" s="287">
        <v>150</v>
      </c>
      <c r="Z269" s="287" t="s">
        <v>889</v>
      </c>
      <c r="AA269" s="286" t="s">
        <v>889</v>
      </c>
      <c r="AB269" s="287">
        <v>0</v>
      </c>
      <c r="AC269" s="287"/>
      <c r="AD269" s="288" t="s">
        <v>889</v>
      </c>
      <c r="AE269" s="289" t="s">
        <v>889</v>
      </c>
      <c r="AF269" s="279">
        <v>300</v>
      </c>
      <c r="AG269" s="282">
        <v>44946</v>
      </c>
      <c r="AH269" s="282" t="s">
        <v>889</v>
      </c>
      <c r="AI269" s="282">
        <v>44922</v>
      </c>
      <c r="AJ269" s="282" t="s">
        <v>889</v>
      </c>
      <c r="AK269" s="274"/>
    </row>
    <row r="270" spans="1:37" x14ac:dyDescent="0.3">
      <c r="A270" s="273">
        <v>38534</v>
      </c>
      <c r="B270" s="274" t="s">
        <v>1270</v>
      </c>
      <c r="C270" s="146" t="s">
        <v>263</v>
      </c>
      <c r="D270" s="275">
        <v>2.86</v>
      </c>
      <c r="E270" s="274"/>
      <c r="F270" s="274"/>
      <c r="G270" s="274" t="s">
        <v>889</v>
      </c>
      <c r="H270" s="276">
        <v>102</v>
      </c>
      <c r="I270" s="24">
        <v>103003</v>
      </c>
      <c r="J270" s="277">
        <v>2.86</v>
      </c>
      <c r="K270" s="276">
        <v>6</v>
      </c>
      <c r="L270" s="278">
        <v>204</v>
      </c>
      <c r="M270" s="279">
        <v>0</v>
      </c>
      <c r="N270" s="277">
        <v>0</v>
      </c>
      <c r="O270" s="280" t="s">
        <v>888</v>
      </c>
      <c r="P270" s="279">
        <v>0</v>
      </c>
      <c r="Q270" s="281">
        <v>0</v>
      </c>
      <c r="R270" s="282" t="s">
        <v>889</v>
      </c>
      <c r="S270" s="274" t="s">
        <v>966</v>
      </c>
      <c r="T270" s="44">
        <v>1</v>
      </c>
      <c r="U270" s="283">
        <v>61</v>
      </c>
      <c r="V270" s="284">
        <v>8</v>
      </c>
      <c r="W270" s="285" t="s">
        <v>889</v>
      </c>
      <c r="X270" s="286" t="s">
        <v>889</v>
      </c>
      <c r="Y270" s="287">
        <v>0</v>
      </c>
      <c r="Z270" s="287" t="s">
        <v>889</v>
      </c>
      <c r="AA270" s="286" t="s">
        <v>889</v>
      </c>
      <c r="AB270" s="287">
        <v>0</v>
      </c>
      <c r="AC270" s="287"/>
      <c r="AD270" s="288" t="s">
        <v>889</v>
      </c>
      <c r="AE270" s="289" t="s">
        <v>889</v>
      </c>
      <c r="AF270" s="279">
        <v>2</v>
      </c>
      <c r="AG270" s="282">
        <v>40858</v>
      </c>
      <c r="AH270" s="282" t="s">
        <v>889</v>
      </c>
      <c r="AI270" s="282">
        <v>44291</v>
      </c>
      <c r="AJ270" s="282" t="s">
        <v>889</v>
      </c>
      <c r="AK270" s="274"/>
    </row>
    <row r="271" spans="1:37" x14ac:dyDescent="0.3">
      <c r="A271" s="273">
        <v>38648</v>
      </c>
      <c r="B271" s="274" t="s">
        <v>444</v>
      </c>
      <c r="C271" s="146" t="s">
        <v>272</v>
      </c>
      <c r="D271" s="275">
        <v>5.33</v>
      </c>
      <c r="E271" s="274"/>
      <c r="F271" s="274"/>
      <c r="G271" s="274" t="s">
        <v>889</v>
      </c>
      <c r="H271" s="276">
        <v>308</v>
      </c>
      <c r="I271" s="24">
        <v>103003</v>
      </c>
      <c r="J271" s="277">
        <v>5.33</v>
      </c>
      <c r="K271" s="276"/>
      <c r="L271" s="278">
        <v>0</v>
      </c>
      <c r="M271" s="279">
        <v>0</v>
      </c>
      <c r="N271" s="277">
        <v>0</v>
      </c>
      <c r="O271" s="280" t="s">
        <v>888</v>
      </c>
      <c r="P271" s="279">
        <v>0</v>
      </c>
      <c r="Q271" s="281">
        <v>0</v>
      </c>
      <c r="R271" s="282" t="s">
        <v>889</v>
      </c>
      <c r="S271" s="274" t="s">
        <v>1271</v>
      </c>
      <c r="T271" s="44">
        <v>1</v>
      </c>
      <c r="U271" s="283">
        <v>59</v>
      </c>
      <c r="V271" s="284">
        <v>18</v>
      </c>
      <c r="W271" s="285" t="s">
        <v>889</v>
      </c>
      <c r="X271" s="286" t="s">
        <v>889</v>
      </c>
      <c r="Y271" s="287">
        <v>0</v>
      </c>
      <c r="Z271" s="287" t="s">
        <v>889</v>
      </c>
      <c r="AA271" s="286" t="s">
        <v>889</v>
      </c>
      <c r="AB271" s="287">
        <v>0</v>
      </c>
      <c r="AC271" s="287"/>
      <c r="AD271" s="288" t="s">
        <v>889</v>
      </c>
      <c r="AE271" s="289" t="s">
        <v>889</v>
      </c>
      <c r="AF271" s="279">
        <v>0</v>
      </c>
      <c r="AG271" s="282">
        <v>44034</v>
      </c>
      <c r="AH271" s="282" t="s">
        <v>889</v>
      </c>
      <c r="AI271" s="282">
        <v>44027</v>
      </c>
      <c r="AJ271" s="282" t="s">
        <v>889</v>
      </c>
      <c r="AK271" s="274"/>
    </row>
    <row r="272" spans="1:37" x14ac:dyDescent="0.3">
      <c r="A272" s="273">
        <v>39378</v>
      </c>
      <c r="B272" s="274" t="s">
        <v>1272</v>
      </c>
      <c r="C272" s="146" t="s">
        <v>263</v>
      </c>
      <c r="D272" s="275">
        <v>1.99</v>
      </c>
      <c r="E272" s="274"/>
      <c r="F272" s="274"/>
      <c r="G272" s="274" t="s">
        <v>889</v>
      </c>
      <c r="H272" s="276">
        <v>3962</v>
      </c>
      <c r="I272" s="24">
        <v>103003</v>
      </c>
      <c r="J272" s="277">
        <v>1.99</v>
      </c>
      <c r="K272" s="276"/>
      <c r="L272" s="278">
        <v>0</v>
      </c>
      <c r="M272" s="279">
        <v>0</v>
      </c>
      <c r="N272" s="277">
        <v>0</v>
      </c>
      <c r="O272" s="280" t="s">
        <v>888</v>
      </c>
      <c r="P272" s="279">
        <v>0</v>
      </c>
      <c r="Q272" s="281">
        <v>0</v>
      </c>
      <c r="R272" s="282" t="s">
        <v>889</v>
      </c>
      <c r="S272" s="274" t="s">
        <v>1032</v>
      </c>
      <c r="T272" s="44">
        <v>1</v>
      </c>
      <c r="U272" s="283">
        <v>67</v>
      </c>
      <c r="V272" s="284">
        <v>1</v>
      </c>
      <c r="W272" s="285" t="s">
        <v>889</v>
      </c>
      <c r="X272" s="286" t="s">
        <v>889</v>
      </c>
      <c r="Y272" s="287">
        <v>0</v>
      </c>
      <c r="Z272" s="287" t="s">
        <v>889</v>
      </c>
      <c r="AA272" s="286" t="s">
        <v>889</v>
      </c>
      <c r="AB272" s="287">
        <v>0</v>
      </c>
      <c r="AC272" s="287"/>
      <c r="AD272" s="288" t="s">
        <v>889</v>
      </c>
      <c r="AE272" s="289" t="s">
        <v>889</v>
      </c>
      <c r="AF272" s="279">
        <v>0</v>
      </c>
      <c r="AG272" s="282">
        <v>44600</v>
      </c>
      <c r="AH272" s="282" t="s">
        <v>889</v>
      </c>
      <c r="AI272" s="282">
        <v>44823</v>
      </c>
      <c r="AJ272" s="282" t="s">
        <v>889</v>
      </c>
      <c r="AK272" s="274"/>
    </row>
    <row r="273" spans="1:37" x14ac:dyDescent="0.3">
      <c r="A273" s="273">
        <v>40086</v>
      </c>
      <c r="B273" s="274" t="s">
        <v>1273</v>
      </c>
      <c r="C273" s="146" t="s">
        <v>263</v>
      </c>
      <c r="D273" s="275">
        <v>1.84</v>
      </c>
      <c r="E273" s="274"/>
      <c r="F273" s="274"/>
      <c r="G273" s="274" t="s">
        <v>889</v>
      </c>
      <c r="H273" s="276">
        <v>927</v>
      </c>
      <c r="I273" s="24">
        <v>103003</v>
      </c>
      <c r="J273" s="277">
        <v>1.84</v>
      </c>
      <c r="K273" s="276">
        <v>24</v>
      </c>
      <c r="L273" s="278">
        <v>463.5</v>
      </c>
      <c r="M273" s="279">
        <v>0</v>
      </c>
      <c r="N273" s="277">
        <v>0</v>
      </c>
      <c r="O273" s="280" t="s">
        <v>888</v>
      </c>
      <c r="P273" s="279">
        <v>0</v>
      </c>
      <c r="Q273" s="281">
        <v>0</v>
      </c>
      <c r="R273" s="282" t="s">
        <v>889</v>
      </c>
      <c r="S273" s="274" t="s">
        <v>1274</v>
      </c>
      <c r="T273" s="44">
        <v>1</v>
      </c>
      <c r="U273" s="283">
        <v>51</v>
      </c>
      <c r="V273" s="284">
        <v>17</v>
      </c>
      <c r="W273" s="285" t="s">
        <v>889</v>
      </c>
      <c r="X273" s="286" t="s">
        <v>889</v>
      </c>
      <c r="Y273" s="287">
        <v>0</v>
      </c>
      <c r="Z273" s="287" t="s">
        <v>889</v>
      </c>
      <c r="AA273" s="286" t="s">
        <v>889</v>
      </c>
      <c r="AB273" s="287">
        <v>0</v>
      </c>
      <c r="AC273" s="287"/>
      <c r="AD273" s="288" t="s">
        <v>889</v>
      </c>
      <c r="AE273" s="289" t="s">
        <v>889</v>
      </c>
      <c r="AF273" s="279">
        <v>8</v>
      </c>
      <c r="AG273" s="282">
        <v>39646</v>
      </c>
      <c r="AH273" s="282" t="s">
        <v>889</v>
      </c>
      <c r="AI273" s="282">
        <v>44945</v>
      </c>
      <c r="AJ273" s="282" t="s">
        <v>889</v>
      </c>
      <c r="AK273" s="274"/>
    </row>
    <row r="274" spans="1:37" x14ac:dyDescent="0.3">
      <c r="A274" s="273">
        <v>40251</v>
      </c>
      <c r="B274" s="274" t="s">
        <v>1275</v>
      </c>
      <c r="C274" s="146" t="s">
        <v>263</v>
      </c>
      <c r="D274" s="275">
        <v>10</v>
      </c>
      <c r="E274" s="274"/>
      <c r="F274" s="274"/>
      <c r="G274" s="274" t="s">
        <v>889</v>
      </c>
      <c r="H274" s="276">
        <v>0</v>
      </c>
      <c r="I274" s="24">
        <v>103003</v>
      </c>
      <c r="J274" s="277">
        <v>10</v>
      </c>
      <c r="K274" s="276">
        <v>418</v>
      </c>
      <c r="L274" s="278">
        <v>0</v>
      </c>
      <c r="M274" s="279">
        <v>438</v>
      </c>
      <c r="N274" s="277">
        <v>4380</v>
      </c>
      <c r="O274" s="280" t="s">
        <v>888</v>
      </c>
      <c r="P274" s="279">
        <v>0</v>
      </c>
      <c r="Q274" s="281">
        <v>0</v>
      </c>
      <c r="R274" s="282" t="s">
        <v>889</v>
      </c>
      <c r="S274" s="274" t="s">
        <v>1276</v>
      </c>
      <c r="T274" s="44">
        <v>1</v>
      </c>
      <c r="U274" s="283">
        <v>83</v>
      </c>
      <c r="V274" s="284">
        <v>4</v>
      </c>
      <c r="W274" s="285" t="s">
        <v>889</v>
      </c>
      <c r="X274" s="286" t="s">
        <v>889</v>
      </c>
      <c r="Y274" s="287">
        <v>0</v>
      </c>
      <c r="Z274" s="287" t="s">
        <v>889</v>
      </c>
      <c r="AA274" s="286" t="s">
        <v>889</v>
      </c>
      <c r="AB274" s="287">
        <v>0</v>
      </c>
      <c r="AC274" s="287"/>
      <c r="AD274" s="288" t="s">
        <v>889</v>
      </c>
      <c r="AE274" s="289" t="s">
        <v>889</v>
      </c>
      <c r="AF274" s="279">
        <v>146</v>
      </c>
      <c r="AG274" s="282">
        <v>45201</v>
      </c>
      <c r="AH274" s="282" t="s">
        <v>889</v>
      </c>
      <c r="AI274" s="282">
        <v>45189</v>
      </c>
      <c r="AJ274" s="282" t="s">
        <v>889</v>
      </c>
      <c r="AK274" s="274"/>
    </row>
    <row r="275" spans="1:37" x14ac:dyDescent="0.3">
      <c r="A275" s="273">
        <v>40772</v>
      </c>
      <c r="B275" s="274" t="s">
        <v>1277</v>
      </c>
      <c r="C275" s="146" t="s">
        <v>263</v>
      </c>
      <c r="D275" s="275">
        <v>2.17</v>
      </c>
      <c r="E275" s="274"/>
      <c r="F275" s="274"/>
      <c r="G275" s="274" t="s">
        <v>889</v>
      </c>
      <c r="H275" s="276">
        <v>163</v>
      </c>
      <c r="I275" s="24">
        <v>103003</v>
      </c>
      <c r="J275" s="277">
        <v>2.17</v>
      </c>
      <c r="K275" s="276">
        <v>13</v>
      </c>
      <c r="L275" s="278">
        <v>150.92592592592592</v>
      </c>
      <c r="M275" s="279">
        <v>0</v>
      </c>
      <c r="N275" s="277">
        <v>0</v>
      </c>
      <c r="O275" s="280" t="s">
        <v>888</v>
      </c>
      <c r="P275" s="279">
        <v>0</v>
      </c>
      <c r="Q275" s="281">
        <v>0</v>
      </c>
      <c r="R275" s="282" t="s">
        <v>889</v>
      </c>
      <c r="S275" s="274" t="s">
        <v>966</v>
      </c>
      <c r="T275" s="44">
        <v>1</v>
      </c>
      <c r="U275" s="283">
        <v>61</v>
      </c>
      <c r="V275" s="284">
        <v>8</v>
      </c>
      <c r="W275" s="285" t="s">
        <v>889</v>
      </c>
      <c r="X275" s="286" t="s">
        <v>889</v>
      </c>
      <c r="Y275" s="287">
        <v>0</v>
      </c>
      <c r="Z275" s="287" t="s">
        <v>889</v>
      </c>
      <c r="AA275" s="286" t="s">
        <v>889</v>
      </c>
      <c r="AB275" s="287">
        <v>0</v>
      </c>
      <c r="AC275" s="287"/>
      <c r="AD275" s="288" t="s">
        <v>889</v>
      </c>
      <c r="AE275" s="289" t="s">
        <v>889</v>
      </c>
      <c r="AF275" s="279">
        <v>4</v>
      </c>
      <c r="AG275" s="282">
        <v>42654</v>
      </c>
      <c r="AH275" s="282" t="s">
        <v>889</v>
      </c>
      <c r="AI275" s="282">
        <v>42948</v>
      </c>
      <c r="AJ275" s="282" t="s">
        <v>889</v>
      </c>
      <c r="AK275" s="274"/>
    </row>
    <row r="276" spans="1:37" x14ac:dyDescent="0.3">
      <c r="A276" s="273">
        <v>42566</v>
      </c>
      <c r="B276" s="274" t="s">
        <v>1278</v>
      </c>
      <c r="C276" s="146" t="s">
        <v>31</v>
      </c>
      <c r="D276" s="275">
        <v>170</v>
      </c>
      <c r="E276" s="274" t="s">
        <v>1279</v>
      </c>
      <c r="F276" s="274" t="s">
        <v>1280</v>
      </c>
      <c r="G276" s="274" t="s">
        <v>1281</v>
      </c>
      <c r="H276" s="276">
        <v>47</v>
      </c>
      <c r="I276" s="24">
        <v>103003</v>
      </c>
      <c r="J276" s="277">
        <v>309.08999999999997</v>
      </c>
      <c r="K276" s="276">
        <v>20</v>
      </c>
      <c r="L276" s="278">
        <v>28.143712574850301</v>
      </c>
      <c r="M276" s="279">
        <v>0</v>
      </c>
      <c r="N276" s="277">
        <v>0</v>
      </c>
      <c r="O276" s="280" t="s">
        <v>1282</v>
      </c>
      <c r="P276" s="279">
        <v>160</v>
      </c>
      <c r="Q276" s="281">
        <v>27200</v>
      </c>
      <c r="R276" s="282">
        <v>45540</v>
      </c>
      <c r="S276" s="274" t="s">
        <v>1283</v>
      </c>
      <c r="T276" s="44">
        <v>1</v>
      </c>
      <c r="U276" s="283">
        <v>51</v>
      </c>
      <c r="V276" s="284">
        <v>28</v>
      </c>
      <c r="W276" s="285" t="s">
        <v>889</v>
      </c>
      <c r="X276" s="286" t="s">
        <v>889</v>
      </c>
      <c r="Y276" s="287">
        <v>0</v>
      </c>
      <c r="Z276" s="287" t="s">
        <v>889</v>
      </c>
      <c r="AA276" s="286" t="s">
        <v>889</v>
      </c>
      <c r="AB276" s="287">
        <v>0</v>
      </c>
      <c r="AC276" s="287"/>
      <c r="AD276" s="288" t="s">
        <v>889</v>
      </c>
      <c r="AE276" s="289" t="s">
        <v>889</v>
      </c>
      <c r="AF276" s="279">
        <v>6</v>
      </c>
      <c r="AG276" s="282">
        <v>45005</v>
      </c>
      <c r="AH276" s="282" t="s">
        <v>889</v>
      </c>
      <c r="AI276" s="282">
        <v>44995</v>
      </c>
      <c r="AJ276" s="282" t="s">
        <v>889</v>
      </c>
      <c r="AK276" s="274"/>
    </row>
    <row r="277" spans="1:37" x14ac:dyDescent="0.3">
      <c r="A277" s="273">
        <v>42854</v>
      </c>
      <c r="B277" s="274" t="s">
        <v>1284</v>
      </c>
      <c r="C277" s="146" t="s">
        <v>263</v>
      </c>
      <c r="D277" s="275">
        <v>17.98</v>
      </c>
      <c r="E277" s="274"/>
      <c r="F277" s="274"/>
      <c r="G277" s="274" t="s">
        <v>889</v>
      </c>
      <c r="H277" s="276">
        <v>293</v>
      </c>
      <c r="I277" s="24">
        <v>103003</v>
      </c>
      <c r="J277" s="277">
        <v>17.98</v>
      </c>
      <c r="K277" s="276">
        <v>713</v>
      </c>
      <c r="L277" s="278">
        <v>3.1934604904632153</v>
      </c>
      <c r="M277" s="279">
        <v>308</v>
      </c>
      <c r="N277" s="277">
        <v>5537.84</v>
      </c>
      <c r="O277" s="280" t="s">
        <v>888</v>
      </c>
      <c r="P277" s="279">
        <v>0</v>
      </c>
      <c r="Q277" s="281">
        <v>0</v>
      </c>
      <c r="R277" s="282" t="s">
        <v>889</v>
      </c>
      <c r="S277" s="274" t="s">
        <v>1285</v>
      </c>
      <c r="T277" s="44">
        <v>1</v>
      </c>
      <c r="U277" s="283">
        <v>49</v>
      </c>
      <c r="V277" s="284">
        <v>8</v>
      </c>
      <c r="W277" s="285" t="s">
        <v>889</v>
      </c>
      <c r="X277" s="286" t="s">
        <v>889</v>
      </c>
      <c r="Y277" s="287">
        <v>0</v>
      </c>
      <c r="Z277" s="287">
        <v>9670</v>
      </c>
      <c r="AA277" s="286">
        <v>2023</v>
      </c>
      <c r="AB277" s="287">
        <v>500</v>
      </c>
      <c r="AC277" s="287">
        <v>500</v>
      </c>
      <c r="AD277" s="288" t="s">
        <v>2061</v>
      </c>
      <c r="AE277" s="289">
        <v>45162</v>
      </c>
      <c r="AF277" s="279">
        <v>368</v>
      </c>
      <c r="AG277" s="282">
        <v>44991</v>
      </c>
      <c r="AH277" s="282" t="s">
        <v>889</v>
      </c>
      <c r="AI277" s="282">
        <v>45145</v>
      </c>
      <c r="AJ277" s="282" t="s">
        <v>889</v>
      </c>
      <c r="AK277" s="274"/>
    </row>
    <row r="278" spans="1:37" x14ac:dyDescent="0.3">
      <c r="A278" s="273">
        <v>44398</v>
      </c>
      <c r="B278" s="274" t="s">
        <v>1286</v>
      </c>
      <c r="C278" s="146" t="s">
        <v>345</v>
      </c>
      <c r="D278" s="275">
        <v>82</v>
      </c>
      <c r="E278" s="274"/>
      <c r="F278" s="274"/>
      <c r="G278" s="274" t="s">
        <v>889</v>
      </c>
      <c r="H278" s="276">
        <v>1070</v>
      </c>
      <c r="I278" s="24">
        <v>103003</v>
      </c>
      <c r="J278" s="277">
        <v>82</v>
      </c>
      <c r="K278" s="276">
        <v>562</v>
      </c>
      <c r="L278" s="278">
        <v>12.09039548022599</v>
      </c>
      <c r="M278" s="279">
        <v>0</v>
      </c>
      <c r="N278" s="277">
        <v>0</v>
      </c>
      <c r="O278" s="280" t="s">
        <v>888</v>
      </c>
      <c r="P278" s="279">
        <v>0</v>
      </c>
      <c r="Q278" s="281">
        <v>0</v>
      </c>
      <c r="R278" s="282" t="s">
        <v>889</v>
      </c>
      <c r="S278" s="274" t="s">
        <v>1039</v>
      </c>
      <c r="T278" s="44">
        <v>1</v>
      </c>
      <c r="U278" s="283">
        <v>69</v>
      </c>
      <c r="V278" s="284">
        <v>10</v>
      </c>
      <c r="W278" s="285" t="s">
        <v>889</v>
      </c>
      <c r="X278" s="286" t="s">
        <v>889</v>
      </c>
      <c r="Y278" s="287">
        <v>0</v>
      </c>
      <c r="Z278" s="287" t="s">
        <v>889</v>
      </c>
      <c r="AA278" s="286" t="s">
        <v>889</v>
      </c>
      <c r="AB278" s="287">
        <v>0</v>
      </c>
      <c r="AC278" s="287"/>
      <c r="AD278" s="288" t="s">
        <v>889</v>
      </c>
      <c r="AE278" s="289" t="s">
        <v>889</v>
      </c>
      <c r="AF278" s="279">
        <v>354</v>
      </c>
      <c r="AG278" s="282">
        <v>44924</v>
      </c>
      <c r="AH278" s="282" t="s">
        <v>889</v>
      </c>
      <c r="AI278" s="282">
        <v>44881</v>
      </c>
      <c r="AJ278" s="282" t="s">
        <v>889</v>
      </c>
      <c r="AK278" s="274"/>
    </row>
    <row r="279" spans="1:37" x14ac:dyDescent="0.3">
      <c r="A279" s="273">
        <v>44789</v>
      </c>
      <c r="B279" s="274" t="s">
        <v>1287</v>
      </c>
      <c r="C279" s="146" t="s">
        <v>263</v>
      </c>
      <c r="D279" s="275">
        <v>3.65</v>
      </c>
      <c r="E279" s="274"/>
      <c r="F279" s="274"/>
      <c r="G279" s="274" t="s">
        <v>889</v>
      </c>
      <c r="H279" s="276">
        <v>123</v>
      </c>
      <c r="I279" s="24">
        <v>103003</v>
      </c>
      <c r="J279" s="277">
        <v>3.65</v>
      </c>
      <c r="K279" s="276">
        <v>25</v>
      </c>
      <c r="L279" s="278">
        <v>59.134615384615387</v>
      </c>
      <c r="M279" s="279">
        <v>0</v>
      </c>
      <c r="N279" s="277">
        <v>0</v>
      </c>
      <c r="O279" s="280" t="s">
        <v>888</v>
      </c>
      <c r="P279" s="279">
        <v>0</v>
      </c>
      <c r="Q279" s="281">
        <v>0</v>
      </c>
      <c r="R279" s="282" t="s">
        <v>889</v>
      </c>
      <c r="S279" s="274" t="s">
        <v>966</v>
      </c>
      <c r="T279" s="44">
        <v>1</v>
      </c>
      <c r="U279" s="283">
        <v>61</v>
      </c>
      <c r="V279" s="284">
        <v>8</v>
      </c>
      <c r="W279" s="285" t="s">
        <v>889</v>
      </c>
      <c r="X279" s="286" t="s">
        <v>889</v>
      </c>
      <c r="Y279" s="287">
        <v>0</v>
      </c>
      <c r="Z279" s="287" t="s">
        <v>889</v>
      </c>
      <c r="AA279" s="286" t="s">
        <v>889</v>
      </c>
      <c r="AB279" s="287">
        <v>0</v>
      </c>
      <c r="AC279" s="287"/>
      <c r="AD279" s="288" t="s">
        <v>889</v>
      </c>
      <c r="AE279" s="289" t="s">
        <v>889</v>
      </c>
      <c r="AF279" s="279">
        <v>8</v>
      </c>
      <c r="AG279" s="282">
        <v>43455</v>
      </c>
      <c r="AH279" s="282" t="s">
        <v>889</v>
      </c>
      <c r="AI279" s="282">
        <v>43376</v>
      </c>
      <c r="AJ279" s="282" t="s">
        <v>889</v>
      </c>
      <c r="AK279" s="274"/>
    </row>
    <row r="280" spans="1:37" x14ac:dyDescent="0.3">
      <c r="A280" s="273">
        <v>45607</v>
      </c>
      <c r="B280" s="274" t="s">
        <v>1288</v>
      </c>
      <c r="C280" s="146" t="s">
        <v>263</v>
      </c>
      <c r="D280" s="275">
        <v>4.4800000000000004</v>
      </c>
      <c r="E280" s="274"/>
      <c r="F280" s="274"/>
      <c r="G280" s="274" t="s">
        <v>889</v>
      </c>
      <c r="H280" s="276">
        <v>692</v>
      </c>
      <c r="I280" s="24">
        <v>103003</v>
      </c>
      <c r="J280" s="277">
        <v>4.4800000000000004</v>
      </c>
      <c r="K280" s="276">
        <v>305</v>
      </c>
      <c r="L280" s="278">
        <v>20.011567379988435</v>
      </c>
      <c r="M280" s="279">
        <v>0</v>
      </c>
      <c r="N280" s="277">
        <v>0</v>
      </c>
      <c r="O280" s="280" t="s">
        <v>888</v>
      </c>
      <c r="P280" s="279">
        <v>0</v>
      </c>
      <c r="Q280" s="281">
        <v>0</v>
      </c>
      <c r="R280" s="282" t="s">
        <v>889</v>
      </c>
      <c r="S280" s="274" t="s">
        <v>966</v>
      </c>
      <c r="T280" s="44">
        <v>1</v>
      </c>
      <c r="U280" s="283">
        <v>61</v>
      </c>
      <c r="V280" s="284">
        <v>8</v>
      </c>
      <c r="W280" s="285" t="s">
        <v>889</v>
      </c>
      <c r="X280" s="286" t="s">
        <v>889</v>
      </c>
      <c r="Y280" s="287">
        <v>0</v>
      </c>
      <c r="Z280" s="287" t="s">
        <v>889</v>
      </c>
      <c r="AA280" s="286" t="s">
        <v>889</v>
      </c>
      <c r="AB280" s="287">
        <v>0</v>
      </c>
      <c r="AC280" s="287"/>
      <c r="AD280" s="288" t="s">
        <v>889</v>
      </c>
      <c r="AE280" s="289" t="s">
        <v>889</v>
      </c>
      <c r="AF280" s="279">
        <v>138</v>
      </c>
      <c r="AG280" s="282">
        <v>45180</v>
      </c>
      <c r="AH280" s="282" t="s">
        <v>889</v>
      </c>
      <c r="AI280" s="282">
        <v>45145</v>
      </c>
      <c r="AJ280" s="282" t="s">
        <v>889</v>
      </c>
      <c r="AK280" s="274"/>
    </row>
    <row r="281" spans="1:37" x14ac:dyDescent="0.3">
      <c r="A281" s="273">
        <v>45637</v>
      </c>
      <c r="B281" s="274" t="s">
        <v>1289</v>
      </c>
      <c r="C281" s="146" t="s">
        <v>263</v>
      </c>
      <c r="D281" s="275">
        <v>25.64</v>
      </c>
      <c r="E281" s="274"/>
      <c r="F281" s="274"/>
      <c r="G281" s="274" t="s">
        <v>889</v>
      </c>
      <c r="H281" s="276">
        <v>787</v>
      </c>
      <c r="I281" s="24">
        <v>103003</v>
      </c>
      <c r="J281" s="277">
        <v>11.99437</v>
      </c>
      <c r="K281" s="276"/>
      <c r="L281" s="278">
        <v>0</v>
      </c>
      <c r="M281" s="279">
        <v>0</v>
      </c>
      <c r="N281" s="277">
        <v>0</v>
      </c>
      <c r="O281" s="280" t="s">
        <v>888</v>
      </c>
      <c r="P281" s="279">
        <v>0</v>
      </c>
      <c r="Q281" s="281">
        <v>0</v>
      </c>
      <c r="R281" s="282" t="s">
        <v>889</v>
      </c>
      <c r="S281" s="274" t="s">
        <v>1290</v>
      </c>
      <c r="T281" s="44">
        <v>1</v>
      </c>
      <c r="U281" s="283">
        <v>55</v>
      </c>
      <c r="V281" s="284">
        <v>9</v>
      </c>
      <c r="W281" s="285" t="s">
        <v>889</v>
      </c>
      <c r="X281" s="286" t="s">
        <v>889</v>
      </c>
      <c r="Y281" s="287">
        <v>0</v>
      </c>
      <c r="Z281" s="287" t="s">
        <v>889</v>
      </c>
      <c r="AA281" s="286" t="s">
        <v>889</v>
      </c>
      <c r="AB281" s="287">
        <v>0</v>
      </c>
      <c r="AC281" s="287"/>
      <c r="AD281" s="288" t="s">
        <v>889</v>
      </c>
      <c r="AE281" s="289" t="s">
        <v>889</v>
      </c>
      <c r="AF281" s="279">
        <v>0</v>
      </c>
      <c r="AG281" s="282">
        <v>39846</v>
      </c>
      <c r="AH281" s="282" t="s">
        <v>889</v>
      </c>
      <c r="AI281" s="282">
        <v>39798</v>
      </c>
      <c r="AJ281" s="282" t="s">
        <v>889</v>
      </c>
      <c r="AK281" s="274"/>
    </row>
    <row r="282" spans="1:37" x14ac:dyDescent="0.3">
      <c r="A282" s="273">
        <v>47447</v>
      </c>
      <c r="B282" s="274" t="s">
        <v>1291</v>
      </c>
      <c r="C282" s="146" t="s">
        <v>380</v>
      </c>
      <c r="D282" s="275">
        <v>1.55</v>
      </c>
      <c r="E282" s="274"/>
      <c r="F282" s="274"/>
      <c r="G282" s="274" t="s">
        <v>889</v>
      </c>
      <c r="H282" s="276">
        <v>10908</v>
      </c>
      <c r="I282" s="24">
        <v>103003</v>
      </c>
      <c r="J282" s="277">
        <v>1.55</v>
      </c>
      <c r="K282" s="276">
        <v>11074</v>
      </c>
      <c r="L282" s="278">
        <v>7.2083264496943666</v>
      </c>
      <c r="M282" s="279">
        <v>7251</v>
      </c>
      <c r="N282" s="277">
        <v>11239.05</v>
      </c>
      <c r="O282" s="280" t="s">
        <v>888</v>
      </c>
      <c r="P282" s="279">
        <v>0</v>
      </c>
      <c r="Q282" s="281">
        <v>0</v>
      </c>
      <c r="R282" s="282" t="s">
        <v>889</v>
      </c>
      <c r="S282" s="274" t="s">
        <v>947</v>
      </c>
      <c r="T282" s="44">
        <v>1</v>
      </c>
      <c r="U282" s="283">
        <v>57</v>
      </c>
      <c r="V282" s="284">
        <v>16</v>
      </c>
      <c r="W282" s="285" t="s">
        <v>889</v>
      </c>
      <c r="X282" s="286" t="s">
        <v>889</v>
      </c>
      <c r="Y282" s="287">
        <v>0</v>
      </c>
      <c r="Z282" s="287" t="s">
        <v>889</v>
      </c>
      <c r="AA282" s="286" t="s">
        <v>889</v>
      </c>
      <c r="AB282" s="287">
        <v>0</v>
      </c>
      <c r="AC282" s="287"/>
      <c r="AD282" s="288" t="s">
        <v>889</v>
      </c>
      <c r="AE282" s="289" t="s">
        <v>889</v>
      </c>
      <c r="AF282" s="279">
        <v>6054</v>
      </c>
      <c r="AG282" s="282">
        <v>44960</v>
      </c>
      <c r="AH282" s="282" t="s">
        <v>889</v>
      </c>
      <c r="AI282" s="282">
        <v>44971</v>
      </c>
      <c r="AJ282" s="282" t="s">
        <v>889</v>
      </c>
      <c r="AK282" s="274"/>
    </row>
    <row r="283" spans="1:37" x14ac:dyDescent="0.3">
      <c r="A283" s="273">
        <v>48178</v>
      </c>
      <c r="B283" s="274" t="s">
        <v>456</v>
      </c>
      <c r="C283" s="146" t="s">
        <v>263</v>
      </c>
      <c r="D283" s="275">
        <v>182</v>
      </c>
      <c r="E283" s="274"/>
      <c r="F283" s="274"/>
      <c r="G283" s="274" t="s">
        <v>889</v>
      </c>
      <c r="H283" s="276">
        <v>36</v>
      </c>
      <c r="I283" s="24">
        <v>103003</v>
      </c>
      <c r="J283" s="277">
        <v>182</v>
      </c>
      <c r="K283" s="276"/>
      <c r="L283" s="278">
        <v>0</v>
      </c>
      <c r="M283" s="279">
        <v>0</v>
      </c>
      <c r="N283" s="277">
        <v>0</v>
      </c>
      <c r="O283" s="280" t="s">
        <v>888</v>
      </c>
      <c r="P283" s="279">
        <v>0</v>
      </c>
      <c r="Q283" s="281">
        <v>0</v>
      </c>
      <c r="R283" s="282" t="s">
        <v>889</v>
      </c>
      <c r="S283" s="274" t="s">
        <v>1115</v>
      </c>
      <c r="T283" s="44">
        <v>1</v>
      </c>
      <c r="U283" s="283">
        <v>74</v>
      </c>
      <c r="V283" s="284">
        <v>8</v>
      </c>
      <c r="W283" s="285" t="s">
        <v>889</v>
      </c>
      <c r="X283" s="286" t="s">
        <v>889</v>
      </c>
      <c r="Y283" s="287">
        <v>0</v>
      </c>
      <c r="Z283" s="287" t="s">
        <v>889</v>
      </c>
      <c r="AA283" s="286" t="s">
        <v>889</v>
      </c>
      <c r="AB283" s="287">
        <v>0</v>
      </c>
      <c r="AC283" s="287"/>
      <c r="AD283" s="288" t="s">
        <v>889</v>
      </c>
      <c r="AE283" s="289" t="s">
        <v>889</v>
      </c>
      <c r="AF283" s="279">
        <v>0</v>
      </c>
      <c r="AG283" s="282">
        <v>43284</v>
      </c>
      <c r="AH283" s="282" t="s">
        <v>889</v>
      </c>
      <c r="AI283" s="282">
        <v>43224</v>
      </c>
      <c r="AJ283" s="282" t="s">
        <v>889</v>
      </c>
      <c r="AK283" s="274"/>
    </row>
    <row r="284" spans="1:37" x14ac:dyDescent="0.3">
      <c r="A284" s="273">
        <v>48901</v>
      </c>
      <c r="B284" s="274" t="s">
        <v>1292</v>
      </c>
      <c r="C284" s="146" t="s">
        <v>263</v>
      </c>
      <c r="D284" s="275">
        <v>2.4</v>
      </c>
      <c r="E284" s="274"/>
      <c r="F284" s="274"/>
      <c r="G284" s="274" t="s">
        <v>889</v>
      </c>
      <c r="H284" s="276">
        <v>289</v>
      </c>
      <c r="I284" s="24">
        <v>103003</v>
      </c>
      <c r="J284" s="277">
        <v>2.4</v>
      </c>
      <c r="K284" s="276">
        <v>48</v>
      </c>
      <c r="L284" s="278">
        <v>60.84210526315789</v>
      </c>
      <c r="M284" s="279">
        <v>0</v>
      </c>
      <c r="N284" s="277">
        <v>0</v>
      </c>
      <c r="O284" s="280" t="s">
        <v>888</v>
      </c>
      <c r="P284" s="279">
        <v>0</v>
      </c>
      <c r="Q284" s="281">
        <v>0</v>
      </c>
      <c r="R284" s="282" t="s">
        <v>889</v>
      </c>
      <c r="S284" s="274" t="s">
        <v>937</v>
      </c>
      <c r="T284" s="44">
        <v>1</v>
      </c>
      <c r="U284" s="283">
        <v>45</v>
      </c>
      <c r="V284" s="284">
        <v>9</v>
      </c>
      <c r="W284" s="285" t="s">
        <v>889</v>
      </c>
      <c r="X284" s="286" t="s">
        <v>889</v>
      </c>
      <c r="Y284" s="287">
        <v>0</v>
      </c>
      <c r="Z284" s="287" t="s">
        <v>889</v>
      </c>
      <c r="AA284" s="286" t="s">
        <v>889</v>
      </c>
      <c r="AB284" s="287">
        <v>0</v>
      </c>
      <c r="AC284" s="287"/>
      <c r="AD284" s="288" t="s">
        <v>889</v>
      </c>
      <c r="AE284" s="289" t="s">
        <v>889</v>
      </c>
      <c r="AF284" s="279">
        <v>20</v>
      </c>
      <c r="AG284" s="282">
        <v>43616</v>
      </c>
      <c r="AH284" s="282" t="s">
        <v>889</v>
      </c>
      <c r="AI284" s="282">
        <v>45196</v>
      </c>
      <c r="AJ284" s="282" t="s">
        <v>889</v>
      </c>
      <c r="AK284" s="274"/>
    </row>
    <row r="285" spans="1:37" x14ac:dyDescent="0.3">
      <c r="A285" s="273">
        <v>49033</v>
      </c>
      <c r="B285" s="274" t="s">
        <v>1293</v>
      </c>
      <c r="C285" s="146" t="s">
        <v>263</v>
      </c>
      <c r="D285" s="275">
        <v>160.13</v>
      </c>
      <c r="E285" s="274" t="s">
        <v>1279</v>
      </c>
      <c r="F285" s="274" t="s">
        <v>1280</v>
      </c>
      <c r="G285" s="274" t="s">
        <v>1281</v>
      </c>
      <c r="H285" s="276">
        <v>30</v>
      </c>
      <c r="I285" s="24">
        <v>103003</v>
      </c>
      <c r="J285" s="277">
        <v>308.64999999999998</v>
      </c>
      <c r="K285" s="276">
        <v>12</v>
      </c>
      <c r="L285" s="278">
        <v>30</v>
      </c>
      <c r="M285" s="279">
        <v>0</v>
      </c>
      <c r="N285" s="277">
        <v>0</v>
      </c>
      <c r="O285" s="280" t="s">
        <v>1282</v>
      </c>
      <c r="P285" s="279">
        <v>141</v>
      </c>
      <c r="Q285" s="281">
        <v>22898.59</v>
      </c>
      <c r="R285" s="282">
        <v>45540</v>
      </c>
      <c r="S285" s="274" t="s">
        <v>1283</v>
      </c>
      <c r="T285" s="44">
        <v>1</v>
      </c>
      <c r="U285" s="283">
        <v>51</v>
      </c>
      <c r="V285" s="284">
        <v>28</v>
      </c>
      <c r="W285" s="285" t="s">
        <v>889</v>
      </c>
      <c r="X285" s="286" t="s">
        <v>889</v>
      </c>
      <c r="Y285" s="287">
        <v>0</v>
      </c>
      <c r="Z285" s="287" t="s">
        <v>889</v>
      </c>
      <c r="AA285" s="286" t="s">
        <v>889</v>
      </c>
      <c r="AB285" s="287">
        <v>0</v>
      </c>
      <c r="AC285" s="287"/>
      <c r="AD285" s="288" t="s">
        <v>889</v>
      </c>
      <c r="AE285" s="289" t="s">
        <v>889</v>
      </c>
      <c r="AF285" s="279">
        <v>4</v>
      </c>
      <c r="AG285" s="282">
        <v>45069</v>
      </c>
      <c r="AH285" s="282" t="s">
        <v>889</v>
      </c>
      <c r="AI285" s="282">
        <v>45034</v>
      </c>
      <c r="AJ285" s="282" t="s">
        <v>889</v>
      </c>
      <c r="AK285" s="274"/>
    </row>
    <row r="286" spans="1:37" x14ac:dyDescent="0.3">
      <c r="A286" s="273">
        <v>49254</v>
      </c>
      <c r="B286" s="274" t="s">
        <v>1294</v>
      </c>
      <c r="C286" s="146" t="s">
        <v>272</v>
      </c>
      <c r="D286" s="275">
        <v>10.199999999999999</v>
      </c>
      <c r="E286" s="274"/>
      <c r="F286" s="274"/>
      <c r="G286" s="274" t="s">
        <v>889</v>
      </c>
      <c r="H286" s="276">
        <v>0</v>
      </c>
      <c r="I286" s="24">
        <v>103003</v>
      </c>
      <c r="J286" s="277">
        <v>10.199999999999999</v>
      </c>
      <c r="K286" s="276">
        <v>1586</v>
      </c>
      <c r="L286" s="278">
        <v>0</v>
      </c>
      <c r="M286" s="279">
        <v>1449.96</v>
      </c>
      <c r="N286" s="277">
        <v>14789.592000000001</v>
      </c>
      <c r="O286" s="280" t="s">
        <v>888</v>
      </c>
      <c r="P286" s="279">
        <v>0</v>
      </c>
      <c r="Q286" s="281">
        <v>0</v>
      </c>
      <c r="R286" s="282" t="s">
        <v>889</v>
      </c>
      <c r="S286" s="274" t="s">
        <v>956</v>
      </c>
      <c r="T286" s="44">
        <v>1</v>
      </c>
      <c r="U286" s="283">
        <v>72</v>
      </c>
      <c r="V286" s="284">
        <v>7</v>
      </c>
      <c r="W286" s="285">
        <v>5540</v>
      </c>
      <c r="X286" s="286">
        <v>2023</v>
      </c>
      <c r="Y286" s="287">
        <v>600</v>
      </c>
      <c r="Z286" s="287" t="s">
        <v>889</v>
      </c>
      <c r="AA286" s="286" t="s">
        <v>889</v>
      </c>
      <c r="AB286" s="287">
        <v>0</v>
      </c>
      <c r="AC286" s="287"/>
      <c r="AD286" s="288" t="s">
        <v>889</v>
      </c>
      <c r="AE286" s="289" t="s">
        <v>889</v>
      </c>
      <c r="AF286" s="279">
        <v>684</v>
      </c>
      <c r="AG286" s="282">
        <v>45069</v>
      </c>
      <c r="AH286" s="282" t="s">
        <v>889</v>
      </c>
      <c r="AI286" s="282">
        <v>44998</v>
      </c>
      <c r="AJ286" s="282" t="s">
        <v>889</v>
      </c>
      <c r="AK286" s="274"/>
    </row>
    <row r="287" spans="1:37" x14ac:dyDescent="0.3">
      <c r="A287" s="273">
        <v>49695</v>
      </c>
      <c r="B287" s="274" t="s">
        <v>1295</v>
      </c>
      <c r="C287" s="146" t="s">
        <v>263</v>
      </c>
      <c r="D287" s="275">
        <v>14.5</v>
      </c>
      <c r="E287" s="274"/>
      <c r="F287" s="274"/>
      <c r="G287" s="274" t="s">
        <v>889</v>
      </c>
      <c r="H287" s="276">
        <v>100</v>
      </c>
      <c r="I287" s="24">
        <v>103003</v>
      </c>
      <c r="J287" s="277">
        <v>14.5</v>
      </c>
      <c r="K287" s="276">
        <v>280</v>
      </c>
      <c r="L287" s="278">
        <v>4.0816326530612246</v>
      </c>
      <c r="M287" s="279">
        <v>194</v>
      </c>
      <c r="N287" s="277">
        <v>2813</v>
      </c>
      <c r="O287" s="280" t="s">
        <v>888</v>
      </c>
      <c r="P287" s="279">
        <v>0</v>
      </c>
      <c r="Q287" s="281">
        <v>0</v>
      </c>
      <c r="R287" s="282" t="s">
        <v>889</v>
      </c>
      <c r="S287" s="274" t="s">
        <v>1028</v>
      </c>
      <c r="T287" s="44">
        <v>1</v>
      </c>
      <c r="U287" s="283">
        <v>51</v>
      </c>
      <c r="V287" s="284">
        <v>8</v>
      </c>
      <c r="W287" s="285" t="s">
        <v>889</v>
      </c>
      <c r="X287" s="286" t="s">
        <v>889</v>
      </c>
      <c r="Y287" s="287">
        <v>0</v>
      </c>
      <c r="Z287" s="287" t="s">
        <v>889</v>
      </c>
      <c r="AA287" s="286" t="s">
        <v>889</v>
      </c>
      <c r="AB287" s="287">
        <v>0</v>
      </c>
      <c r="AC287" s="287"/>
      <c r="AD287" s="288" t="s">
        <v>889</v>
      </c>
      <c r="AE287" s="289" t="s">
        <v>889</v>
      </c>
      <c r="AF287" s="279">
        <v>98</v>
      </c>
      <c r="AG287" s="282">
        <v>45201</v>
      </c>
      <c r="AH287" s="282" t="s">
        <v>889</v>
      </c>
      <c r="AI287" s="282">
        <v>45189</v>
      </c>
      <c r="AJ287" s="282" t="s">
        <v>889</v>
      </c>
      <c r="AK287" s="274"/>
    </row>
    <row r="288" spans="1:37" x14ac:dyDescent="0.3">
      <c r="A288" s="273">
        <v>49858</v>
      </c>
      <c r="B288" s="274" t="s">
        <v>1296</v>
      </c>
      <c r="C288" s="146" t="s">
        <v>1264</v>
      </c>
      <c r="D288" s="275">
        <v>2.0499999999999998</v>
      </c>
      <c r="E288" s="274"/>
      <c r="F288" s="274"/>
      <c r="G288" s="274" t="s">
        <v>889</v>
      </c>
      <c r="H288" s="276">
        <v>185</v>
      </c>
      <c r="I288" s="24">
        <v>103003</v>
      </c>
      <c r="J288" s="277">
        <v>2.0499999999999998</v>
      </c>
      <c r="K288" s="276">
        <v>10</v>
      </c>
      <c r="L288" s="278">
        <v>222.89156626506025</v>
      </c>
      <c r="M288" s="279">
        <v>0</v>
      </c>
      <c r="N288" s="277">
        <v>0</v>
      </c>
      <c r="O288" s="280" t="s">
        <v>888</v>
      </c>
      <c r="P288" s="279">
        <v>0</v>
      </c>
      <c r="Q288" s="281">
        <v>0</v>
      </c>
      <c r="R288" s="282" t="s">
        <v>889</v>
      </c>
      <c r="S288" s="274" t="s">
        <v>991</v>
      </c>
      <c r="T288" s="44">
        <v>1</v>
      </c>
      <c r="U288" s="283">
        <v>67</v>
      </c>
      <c r="V288" s="284">
        <v>6</v>
      </c>
      <c r="W288" s="285" t="s">
        <v>889</v>
      </c>
      <c r="X288" s="286" t="s">
        <v>889</v>
      </c>
      <c r="Y288" s="287">
        <v>0</v>
      </c>
      <c r="Z288" s="287" t="s">
        <v>889</v>
      </c>
      <c r="AA288" s="286" t="s">
        <v>889</v>
      </c>
      <c r="AB288" s="287">
        <v>0</v>
      </c>
      <c r="AC288" s="287"/>
      <c r="AD288" s="288" t="s">
        <v>889</v>
      </c>
      <c r="AE288" s="289" t="s">
        <v>889</v>
      </c>
      <c r="AF288" s="279">
        <v>4</v>
      </c>
      <c r="AG288" s="282">
        <v>41556</v>
      </c>
      <c r="AH288" s="282" t="s">
        <v>889</v>
      </c>
      <c r="AI288" s="282">
        <v>42041</v>
      </c>
      <c r="AJ288" s="282" t="s">
        <v>889</v>
      </c>
      <c r="AK288" s="274"/>
    </row>
    <row r="289" spans="1:37" x14ac:dyDescent="0.3">
      <c r="A289" s="273">
        <v>50475</v>
      </c>
      <c r="B289" s="274" t="s">
        <v>1297</v>
      </c>
      <c r="C289" s="146" t="s">
        <v>263</v>
      </c>
      <c r="D289" s="275">
        <v>1.94</v>
      </c>
      <c r="E289" s="274"/>
      <c r="F289" s="274"/>
      <c r="G289" s="274" t="s">
        <v>889</v>
      </c>
      <c r="H289" s="276">
        <v>230</v>
      </c>
      <c r="I289" s="24">
        <v>103003</v>
      </c>
      <c r="J289" s="277">
        <v>1.94</v>
      </c>
      <c r="K289" s="276"/>
      <c r="L289" s="278">
        <v>20.300088261253308</v>
      </c>
      <c r="M289" s="279">
        <v>0</v>
      </c>
      <c r="N289" s="277">
        <v>0</v>
      </c>
      <c r="O289" s="280" t="s">
        <v>888</v>
      </c>
      <c r="P289" s="279">
        <v>0</v>
      </c>
      <c r="Q289" s="281">
        <v>0</v>
      </c>
      <c r="R289" s="282" t="s">
        <v>889</v>
      </c>
      <c r="S289" s="274" t="s">
        <v>1274</v>
      </c>
      <c r="T289" s="44">
        <v>1</v>
      </c>
      <c r="U289" s="283">
        <v>51</v>
      </c>
      <c r="V289" s="284">
        <v>17</v>
      </c>
      <c r="W289" s="285" t="s">
        <v>889</v>
      </c>
      <c r="X289" s="286" t="s">
        <v>889</v>
      </c>
      <c r="Y289" s="287">
        <v>0</v>
      </c>
      <c r="Z289" s="287" t="s">
        <v>889</v>
      </c>
      <c r="AA289" s="286" t="s">
        <v>889</v>
      </c>
      <c r="AB289" s="287">
        <v>0</v>
      </c>
      <c r="AC289" s="287"/>
      <c r="AD289" s="288" t="s">
        <v>889</v>
      </c>
      <c r="AE289" s="289" t="s">
        <v>889</v>
      </c>
      <c r="AF289" s="279">
        <v>46</v>
      </c>
      <c r="AG289" s="282">
        <v>41472</v>
      </c>
      <c r="AH289" s="282" t="s">
        <v>889</v>
      </c>
      <c r="AI289" s="282">
        <v>44273</v>
      </c>
      <c r="AJ289" s="282" t="s">
        <v>889</v>
      </c>
      <c r="AK289" s="274"/>
    </row>
    <row r="290" spans="1:37" x14ac:dyDescent="0.3">
      <c r="A290" s="273">
        <v>50476</v>
      </c>
      <c r="B290" s="274" t="s">
        <v>466</v>
      </c>
      <c r="C290" s="146" t="s">
        <v>263</v>
      </c>
      <c r="D290" s="275">
        <v>1.24</v>
      </c>
      <c r="E290" s="274"/>
      <c r="F290" s="274"/>
      <c r="G290" s="274" t="s">
        <v>889</v>
      </c>
      <c r="H290" s="276">
        <v>571</v>
      </c>
      <c r="I290" s="24">
        <v>103003</v>
      </c>
      <c r="J290" s="277">
        <v>1.24</v>
      </c>
      <c r="K290" s="276">
        <v>11</v>
      </c>
      <c r="L290" s="278">
        <v>620.65217391304338</v>
      </c>
      <c r="M290" s="279">
        <v>0</v>
      </c>
      <c r="N290" s="277">
        <v>0</v>
      </c>
      <c r="O290" s="280" t="s">
        <v>888</v>
      </c>
      <c r="P290" s="279">
        <v>0</v>
      </c>
      <c r="Q290" s="281">
        <v>0</v>
      </c>
      <c r="R290" s="282" t="s">
        <v>889</v>
      </c>
      <c r="S290" s="274" t="s">
        <v>1274</v>
      </c>
      <c r="T290" s="44">
        <v>1</v>
      </c>
      <c r="U290" s="283">
        <v>51</v>
      </c>
      <c r="V290" s="284">
        <v>17</v>
      </c>
      <c r="W290" s="285" t="s">
        <v>889</v>
      </c>
      <c r="X290" s="286" t="s">
        <v>889</v>
      </c>
      <c r="Y290" s="287">
        <v>0</v>
      </c>
      <c r="Z290" s="287" t="s">
        <v>889</v>
      </c>
      <c r="AA290" s="286" t="s">
        <v>889</v>
      </c>
      <c r="AB290" s="287">
        <v>0</v>
      </c>
      <c r="AC290" s="287"/>
      <c r="AD290" s="288" t="s">
        <v>889</v>
      </c>
      <c r="AE290" s="289" t="s">
        <v>889</v>
      </c>
      <c r="AF290" s="279">
        <v>4</v>
      </c>
      <c r="AG290" s="282">
        <v>39820</v>
      </c>
      <c r="AH290" s="282" t="s">
        <v>889</v>
      </c>
      <c r="AI290" s="282">
        <v>40826</v>
      </c>
      <c r="AJ290" s="282" t="s">
        <v>889</v>
      </c>
      <c r="AK290" s="274"/>
    </row>
    <row r="291" spans="1:37" x14ac:dyDescent="0.3">
      <c r="A291" s="273">
        <v>50591</v>
      </c>
      <c r="B291" s="274" t="s">
        <v>1298</v>
      </c>
      <c r="C291" s="146" t="s">
        <v>263</v>
      </c>
      <c r="D291" s="275">
        <v>151.51</v>
      </c>
      <c r="E291" s="274" t="s">
        <v>1279</v>
      </c>
      <c r="F291" s="274" t="s">
        <v>1280</v>
      </c>
      <c r="G291" s="274" t="s">
        <v>1281</v>
      </c>
      <c r="H291" s="276">
        <v>30</v>
      </c>
      <c r="I291" s="24">
        <v>103003</v>
      </c>
      <c r="J291" s="277">
        <v>113.47</v>
      </c>
      <c r="K291" s="276">
        <v>12</v>
      </c>
      <c r="L291" s="278">
        <v>30</v>
      </c>
      <c r="M291" s="279">
        <v>0</v>
      </c>
      <c r="N291" s="277">
        <v>0</v>
      </c>
      <c r="O291" s="280" t="s">
        <v>1282</v>
      </c>
      <c r="P291" s="279">
        <v>64</v>
      </c>
      <c r="Q291" s="281">
        <v>9999.66</v>
      </c>
      <c r="R291" s="282">
        <v>45540</v>
      </c>
      <c r="S291" s="274" t="s">
        <v>1283</v>
      </c>
      <c r="T291" s="44">
        <v>1</v>
      </c>
      <c r="U291" s="283">
        <v>51</v>
      </c>
      <c r="V291" s="284">
        <v>28</v>
      </c>
      <c r="W291" s="285" t="s">
        <v>889</v>
      </c>
      <c r="X291" s="286" t="s">
        <v>889</v>
      </c>
      <c r="Y291" s="287">
        <v>0</v>
      </c>
      <c r="Z291" s="287" t="s">
        <v>889</v>
      </c>
      <c r="AA291" s="286" t="s">
        <v>889</v>
      </c>
      <c r="AB291" s="287">
        <v>0</v>
      </c>
      <c r="AC291" s="287"/>
      <c r="AD291" s="288" t="s">
        <v>889</v>
      </c>
      <c r="AE291" s="289" t="s">
        <v>889</v>
      </c>
      <c r="AF291" s="279">
        <v>4</v>
      </c>
      <c r="AG291" s="282">
        <v>43818</v>
      </c>
      <c r="AH291" s="282" t="s">
        <v>889</v>
      </c>
      <c r="AI291" s="282">
        <v>44238</v>
      </c>
      <c r="AJ291" s="282" t="s">
        <v>889</v>
      </c>
      <c r="AK291" s="274"/>
    </row>
    <row r="292" spans="1:37" x14ac:dyDescent="0.3">
      <c r="A292" s="273">
        <v>50797</v>
      </c>
      <c r="B292" s="274" t="s">
        <v>1299</v>
      </c>
      <c r="C292" s="146" t="s">
        <v>263</v>
      </c>
      <c r="D292" s="275">
        <v>38.17</v>
      </c>
      <c r="E292" s="274"/>
      <c r="F292" s="274"/>
      <c r="G292" s="274" t="s">
        <v>889</v>
      </c>
      <c r="H292" s="276">
        <v>108</v>
      </c>
      <c r="I292" s="24">
        <v>103003</v>
      </c>
      <c r="J292" s="277">
        <v>38.17</v>
      </c>
      <c r="K292" s="276">
        <v>190</v>
      </c>
      <c r="L292" s="278">
        <v>6.1714285714285717</v>
      </c>
      <c r="M292" s="279">
        <v>102</v>
      </c>
      <c r="N292" s="277">
        <v>3893.34</v>
      </c>
      <c r="O292" s="280" t="s">
        <v>888</v>
      </c>
      <c r="P292" s="279">
        <v>0</v>
      </c>
      <c r="Q292" s="281">
        <v>0</v>
      </c>
      <c r="R292" s="282" t="s">
        <v>889</v>
      </c>
      <c r="S292" s="274" t="s">
        <v>1300</v>
      </c>
      <c r="T292" s="44">
        <v>1</v>
      </c>
      <c r="U292" s="283">
        <v>61</v>
      </c>
      <c r="V292" s="284">
        <v>16</v>
      </c>
      <c r="W292" s="285" t="s">
        <v>889</v>
      </c>
      <c r="X292" s="286" t="s">
        <v>889</v>
      </c>
      <c r="Y292" s="287">
        <v>0</v>
      </c>
      <c r="Z292" s="287" t="s">
        <v>889</v>
      </c>
      <c r="AA292" s="286" t="s">
        <v>889</v>
      </c>
      <c r="AB292" s="287">
        <v>0</v>
      </c>
      <c r="AC292" s="287"/>
      <c r="AD292" s="288" t="s">
        <v>889</v>
      </c>
      <c r="AE292" s="289" t="s">
        <v>889</v>
      </c>
      <c r="AF292" s="279">
        <v>70</v>
      </c>
      <c r="AG292" s="282">
        <v>45189</v>
      </c>
      <c r="AH292" s="282" t="s">
        <v>889</v>
      </c>
      <c r="AI292" s="282">
        <v>45145</v>
      </c>
      <c r="AJ292" s="282" t="s">
        <v>889</v>
      </c>
      <c r="AK292" s="274"/>
    </row>
    <row r="293" spans="1:37" x14ac:dyDescent="0.3">
      <c r="A293" s="273">
        <v>51222</v>
      </c>
      <c r="B293" s="274" t="s">
        <v>1301</v>
      </c>
      <c r="C293" s="146" t="s">
        <v>263</v>
      </c>
      <c r="D293" s="275">
        <v>14.25</v>
      </c>
      <c r="E293" s="274"/>
      <c r="F293" s="274"/>
      <c r="G293" s="274" t="s">
        <v>889</v>
      </c>
      <c r="H293" s="276">
        <v>61</v>
      </c>
      <c r="I293" s="24">
        <v>103003</v>
      </c>
      <c r="J293" s="277">
        <v>14.25</v>
      </c>
      <c r="K293" s="276">
        <v>10</v>
      </c>
      <c r="L293" s="278">
        <v>73.493975903614455</v>
      </c>
      <c r="M293" s="279">
        <v>0</v>
      </c>
      <c r="N293" s="277">
        <v>0</v>
      </c>
      <c r="O293" s="280" t="s">
        <v>888</v>
      </c>
      <c r="P293" s="279">
        <v>0</v>
      </c>
      <c r="Q293" s="281">
        <v>0</v>
      </c>
      <c r="R293" s="282" t="s">
        <v>889</v>
      </c>
      <c r="S293" s="274" t="s">
        <v>1086</v>
      </c>
      <c r="T293" s="44">
        <v>1</v>
      </c>
      <c r="U293" s="283">
        <v>55</v>
      </c>
      <c r="V293" s="284">
        <v>49</v>
      </c>
      <c r="W293" s="285" t="s">
        <v>889</v>
      </c>
      <c r="X293" s="286" t="s">
        <v>889</v>
      </c>
      <c r="Y293" s="287">
        <v>0</v>
      </c>
      <c r="Z293" s="287" t="s">
        <v>889</v>
      </c>
      <c r="AA293" s="286" t="s">
        <v>889</v>
      </c>
      <c r="AB293" s="287">
        <v>0</v>
      </c>
      <c r="AC293" s="287"/>
      <c r="AD293" s="288" t="s">
        <v>889</v>
      </c>
      <c r="AE293" s="289" t="s">
        <v>889</v>
      </c>
      <c r="AF293" s="279">
        <v>4</v>
      </c>
      <c r="AG293" s="282">
        <v>43635</v>
      </c>
      <c r="AH293" s="282" t="s">
        <v>889</v>
      </c>
      <c r="AI293" s="282">
        <v>43623</v>
      </c>
      <c r="AJ293" s="282" t="s">
        <v>889</v>
      </c>
      <c r="AK293" s="274"/>
    </row>
    <row r="294" spans="1:37" x14ac:dyDescent="0.3">
      <c r="A294" s="273">
        <v>51579</v>
      </c>
      <c r="B294" s="274" t="s">
        <v>1302</v>
      </c>
      <c r="C294" s="146" t="s">
        <v>263</v>
      </c>
      <c r="D294" s="275">
        <v>18.149999999999999</v>
      </c>
      <c r="E294" s="274"/>
      <c r="F294" s="274"/>
      <c r="G294" s="274" t="s">
        <v>889</v>
      </c>
      <c r="H294" s="276">
        <v>422</v>
      </c>
      <c r="I294" s="24">
        <v>103003</v>
      </c>
      <c r="J294" s="277">
        <v>18.149999999999999</v>
      </c>
      <c r="K294" s="276">
        <v>577</v>
      </c>
      <c r="L294" s="278">
        <v>5.2208338488185086</v>
      </c>
      <c r="M294" s="279">
        <v>547.96</v>
      </c>
      <c r="N294" s="277">
        <v>9945.4740000000002</v>
      </c>
      <c r="O294" s="280" t="s">
        <v>888</v>
      </c>
      <c r="P294" s="279">
        <v>0</v>
      </c>
      <c r="Q294" s="281">
        <v>0</v>
      </c>
      <c r="R294" s="282" t="s">
        <v>889</v>
      </c>
      <c r="S294" s="274" t="s">
        <v>931</v>
      </c>
      <c r="T294" s="44">
        <v>1</v>
      </c>
      <c r="U294" s="283">
        <v>45</v>
      </c>
      <c r="V294" s="284">
        <v>12</v>
      </c>
      <c r="W294" s="285" t="s">
        <v>889</v>
      </c>
      <c r="X294" s="286" t="s">
        <v>889</v>
      </c>
      <c r="Y294" s="287">
        <v>0</v>
      </c>
      <c r="Z294" s="287" t="s">
        <v>889</v>
      </c>
      <c r="AA294" s="286" t="s">
        <v>889</v>
      </c>
      <c r="AB294" s="287">
        <v>0</v>
      </c>
      <c r="AC294" s="287"/>
      <c r="AD294" s="288" t="s">
        <v>889</v>
      </c>
      <c r="AE294" s="289" t="s">
        <v>889</v>
      </c>
      <c r="AF294" s="279">
        <v>324</v>
      </c>
      <c r="AG294" s="282">
        <v>45064</v>
      </c>
      <c r="AH294" s="282" t="s">
        <v>889</v>
      </c>
      <c r="AI294" s="282">
        <v>45141</v>
      </c>
      <c r="AJ294" s="282" t="s">
        <v>889</v>
      </c>
      <c r="AK294" s="274"/>
    </row>
    <row r="295" spans="1:37" x14ac:dyDescent="0.3">
      <c r="A295" s="273">
        <v>52129</v>
      </c>
      <c r="B295" s="274" t="s">
        <v>1303</v>
      </c>
      <c r="C295" s="146" t="s">
        <v>263</v>
      </c>
      <c r="D295" s="275">
        <v>7.79</v>
      </c>
      <c r="E295" s="274"/>
      <c r="F295" s="274"/>
      <c r="G295" s="274" t="s">
        <v>889</v>
      </c>
      <c r="H295" s="276">
        <v>455</v>
      </c>
      <c r="I295" s="24">
        <v>103003</v>
      </c>
      <c r="J295" s="277">
        <v>7.79</v>
      </c>
      <c r="K295" s="276">
        <v>215</v>
      </c>
      <c r="L295" s="278">
        <v>25.390625</v>
      </c>
      <c r="M295" s="279">
        <v>0</v>
      </c>
      <c r="N295" s="277">
        <v>0</v>
      </c>
      <c r="O295" s="280" t="s">
        <v>888</v>
      </c>
      <c r="P295" s="279">
        <v>0</v>
      </c>
      <c r="Q295" s="281">
        <v>0</v>
      </c>
      <c r="R295" s="282" t="s">
        <v>889</v>
      </c>
      <c r="S295" s="274" t="s">
        <v>1304</v>
      </c>
      <c r="T295" s="44">
        <v>1</v>
      </c>
      <c r="U295" s="283">
        <v>70</v>
      </c>
      <c r="V295" s="284">
        <v>30</v>
      </c>
      <c r="W295" s="285" t="s">
        <v>889</v>
      </c>
      <c r="X295" s="286" t="s">
        <v>889</v>
      </c>
      <c r="Y295" s="287">
        <v>0</v>
      </c>
      <c r="Z295" s="287" t="s">
        <v>889</v>
      </c>
      <c r="AA295" s="286" t="s">
        <v>889</v>
      </c>
      <c r="AB295" s="287">
        <v>0</v>
      </c>
      <c r="AC295" s="287"/>
      <c r="AD295" s="288" t="s">
        <v>889</v>
      </c>
      <c r="AE295" s="289" t="s">
        <v>889</v>
      </c>
      <c r="AF295" s="279">
        <v>72</v>
      </c>
      <c r="AG295" s="282">
        <v>44550</v>
      </c>
      <c r="AH295" s="282" t="s">
        <v>889</v>
      </c>
      <c r="AI295" s="282">
        <v>44536</v>
      </c>
      <c r="AJ295" s="282" t="s">
        <v>889</v>
      </c>
      <c r="AK295" s="274"/>
    </row>
    <row r="296" spans="1:37" x14ac:dyDescent="0.3">
      <c r="A296" s="273">
        <v>52946</v>
      </c>
      <c r="B296" s="274" t="s">
        <v>1305</v>
      </c>
      <c r="C296" s="146" t="s">
        <v>263</v>
      </c>
      <c r="D296" s="275">
        <v>212</v>
      </c>
      <c r="E296" s="274"/>
      <c r="F296" s="274"/>
      <c r="G296" s="274" t="s">
        <v>889</v>
      </c>
      <c r="H296" s="276">
        <v>34</v>
      </c>
      <c r="I296" s="24">
        <v>103003</v>
      </c>
      <c r="J296" s="277">
        <v>212</v>
      </c>
      <c r="K296" s="276"/>
      <c r="L296" s="278">
        <v>0</v>
      </c>
      <c r="M296" s="279">
        <v>0</v>
      </c>
      <c r="N296" s="277">
        <v>0</v>
      </c>
      <c r="O296" s="280" t="s">
        <v>888</v>
      </c>
      <c r="P296" s="279">
        <v>0</v>
      </c>
      <c r="Q296" s="281">
        <v>0</v>
      </c>
      <c r="R296" s="282" t="s">
        <v>889</v>
      </c>
      <c r="S296" s="274" t="s">
        <v>1212</v>
      </c>
      <c r="T296" s="44">
        <v>1</v>
      </c>
      <c r="U296" s="283">
        <v>51</v>
      </c>
      <c r="V296" s="284">
        <v>26</v>
      </c>
      <c r="W296" s="285" t="s">
        <v>889</v>
      </c>
      <c r="X296" s="286" t="s">
        <v>889</v>
      </c>
      <c r="Y296" s="287">
        <v>0</v>
      </c>
      <c r="Z296" s="287" t="s">
        <v>889</v>
      </c>
      <c r="AA296" s="286" t="s">
        <v>889</v>
      </c>
      <c r="AB296" s="287">
        <v>0</v>
      </c>
      <c r="AC296" s="287"/>
      <c r="AD296" s="288" t="s">
        <v>889</v>
      </c>
      <c r="AE296" s="289" t="s">
        <v>889</v>
      </c>
      <c r="AF296" s="279">
        <v>0</v>
      </c>
      <c r="AG296" s="282">
        <v>43644</v>
      </c>
      <c r="AH296" s="282" t="s">
        <v>889</v>
      </c>
      <c r="AI296" s="282">
        <v>44111</v>
      </c>
      <c r="AJ296" s="282" t="s">
        <v>889</v>
      </c>
      <c r="AK296" s="274"/>
    </row>
    <row r="297" spans="1:37" x14ac:dyDescent="0.3">
      <c r="A297" s="273">
        <v>52994</v>
      </c>
      <c r="B297" s="274" t="s">
        <v>1306</v>
      </c>
      <c r="C297" s="146" t="s">
        <v>263</v>
      </c>
      <c r="D297" s="275">
        <v>10.130000000000001</v>
      </c>
      <c r="E297" s="274"/>
      <c r="F297" s="274"/>
      <c r="G297" s="274" t="s">
        <v>889</v>
      </c>
      <c r="H297" s="276">
        <v>164</v>
      </c>
      <c r="I297" s="24">
        <v>103003</v>
      </c>
      <c r="J297" s="277">
        <v>10.130000000000001</v>
      </c>
      <c r="K297" s="276">
        <v>25</v>
      </c>
      <c r="L297" s="278">
        <v>75.576036866359445</v>
      </c>
      <c r="M297" s="279">
        <v>0</v>
      </c>
      <c r="N297" s="277">
        <v>0</v>
      </c>
      <c r="O297" s="280" t="s">
        <v>888</v>
      </c>
      <c r="P297" s="279">
        <v>0</v>
      </c>
      <c r="Q297" s="281">
        <v>0</v>
      </c>
      <c r="R297" s="282" t="s">
        <v>889</v>
      </c>
      <c r="S297" s="274" t="s">
        <v>966</v>
      </c>
      <c r="T297" s="44">
        <v>1</v>
      </c>
      <c r="U297" s="283">
        <v>61</v>
      </c>
      <c r="V297" s="284">
        <v>8</v>
      </c>
      <c r="W297" s="285" t="s">
        <v>889</v>
      </c>
      <c r="X297" s="286" t="s">
        <v>889</v>
      </c>
      <c r="Y297" s="287">
        <v>0</v>
      </c>
      <c r="Z297" s="287" t="s">
        <v>889</v>
      </c>
      <c r="AA297" s="286" t="s">
        <v>889</v>
      </c>
      <c r="AB297" s="287">
        <v>0</v>
      </c>
      <c r="AC297" s="287"/>
      <c r="AD297" s="288" t="s">
        <v>889</v>
      </c>
      <c r="AE297" s="289" t="s">
        <v>889</v>
      </c>
      <c r="AF297" s="279">
        <v>8</v>
      </c>
      <c r="AG297" s="282">
        <v>44573</v>
      </c>
      <c r="AH297" s="282" t="s">
        <v>889</v>
      </c>
      <c r="AI297" s="282">
        <v>44522</v>
      </c>
      <c r="AJ297" s="282" t="s">
        <v>889</v>
      </c>
      <c r="AK297" s="274"/>
    </row>
    <row r="298" spans="1:37" x14ac:dyDescent="0.3">
      <c r="A298" s="273">
        <v>53446</v>
      </c>
      <c r="B298" s="274" t="s">
        <v>1307</v>
      </c>
      <c r="C298" s="146" t="s">
        <v>611</v>
      </c>
      <c r="D298" s="275">
        <v>3.04</v>
      </c>
      <c r="E298" s="274"/>
      <c r="F298" s="274"/>
      <c r="G298" s="274" t="s">
        <v>889</v>
      </c>
      <c r="H298" s="276">
        <v>1853</v>
      </c>
      <c r="I298" s="24">
        <v>103003</v>
      </c>
      <c r="J298" s="277">
        <v>3.04</v>
      </c>
      <c r="K298" s="276">
        <v>1225</v>
      </c>
      <c r="L298" s="278">
        <v>13.064936896284284</v>
      </c>
      <c r="M298" s="279">
        <v>0</v>
      </c>
      <c r="N298" s="277">
        <v>0</v>
      </c>
      <c r="O298" s="280" t="s">
        <v>888</v>
      </c>
      <c r="P298" s="279">
        <v>0</v>
      </c>
      <c r="Q298" s="281">
        <v>0</v>
      </c>
      <c r="R298" s="282" t="s">
        <v>889</v>
      </c>
      <c r="S298" s="274" t="s">
        <v>1308</v>
      </c>
      <c r="T298" s="44">
        <v>1</v>
      </c>
      <c r="U298" s="283">
        <v>51</v>
      </c>
      <c r="V298" s="284">
        <v>19</v>
      </c>
      <c r="W298" s="285" t="s">
        <v>889</v>
      </c>
      <c r="X298" s="286" t="s">
        <v>889</v>
      </c>
      <c r="Y298" s="287">
        <v>0</v>
      </c>
      <c r="Z298" s="287" t="s">
        <v>889</v>
      </c>
      <c r="AA298" s="286" t="s">
        <v>889</v>
      </c>
      <c r="AB298" s="287">
        <v>0</v>
      </c>
      <c r="AC298" s="287"/>
      <c r="AD298" s="288" t="s">
        <v>889</v>
      </c>
      <c r="AE298" s="289" t="s">
        <v>889</v>
      </c>
      <c r="AF298" s="279">
        <v>568</v>
      </c>
      <c r="AG298" s="282">
        <v>45169</v>
      </c>
      <c r="AH298" s="282" t="s">
        <v>889</v>
      </c>
      <c r="AI298" s="282">
        <v>45174</v>
      </c>
      <c r="AJ298" s="282" t="s">
        <v>889</v>
      </c>
      <c r="AK298" s="274"/>
    </row>
    <row r="299" spans="1:37" x14ac:dyDescent="0.3">
      <c r="A299" s="273">
        <v>53813</v>
      </c>
      <c r="B299" s="274" t="s">
        <v>1309</v>
      </c>
      <c r="C299" s="146" t="s">
        <v>345</v>
      </c>
      <c r="D299" s="275">
        <v>80</v>
      </c>
      <c r="E299" s="274"/>
      <c r="F299" s="274"/>
      <c r="G299" s="274" t="s">
        <v>889</v>
      </c>
      <c r="H299" s="276">
        <v>234</v>
      </c>
      <c r="I299" s="24">
        <v>103003</v>
      </c>
      <c r="J299" s="277">
        <v>80</v>
      </c>
      <c r="K299" s="276">
        <v>9</v>
      </c>
      <c r="L299" s="278">
        <v>312</v>
      </c>
      <c r="M299" s="279">
        <v>0</v>
      </c>
      <c r="N299" s="277">
        <v>0</v>
      </c>
      <c r="O299" s="280" t="s">
        <v>888</v>
      </c>
      <c r="P299" s="279">
        <v>0</v>
      </c>
      <c r="Q299" s="281">
        <v>0</v>
      </c>
      <c r="R299" s="282" t="s">
        <v>889</v>
      </c>
      <c r="S299" s="274" t="s">
        <v>1225</v>
      </c>
      <c r="T299" s="44">
        <v>1</v>
      </c>
      <c r="U299" s="283">
        <v>51</v>
      </c>
      <c r="V299" s="284">
        <v>13</v>
      </c>
      <c r="W299" s="285" t="s">
        <v>889</v>
      </c>
      <c r="X299" s="286" t="s">
        <v>889</v>
      </c>
      <c r="Y299" s="287">
        <v>0</v>
      </c>
      <c r="Z299" s="287" t="s">
        <v>889</v>
      </c>
      <c r="AA299" s="286" t="s">
        <v>889</v>
      </c>
      <c r="AB299" s="287">
        <v>0</v>
      </c>
      <c r="AC299" s="287"/>
      <c r="AD299" s="288" t="s">
        <v>889</v>
      </c>
      <c r="AE299" s="289" t="s">
        <v>889</v>
      </c>
      <c r="AF299" s="279">
        <v>4</v>
      </c>
      <c r="AG299" s="282">
        <v>45195</v>
      </c>
      <c r="AH299" s="282" t="s">
        <v>889</v>
      </c>
      <c r="AI299" s="282">
        <v>45156</v>
      </c>
      <c r="AJ299" s="282" t="s">
        <v>889</v>
      </c>
      <c r="AK299" s="274"/>
    </row>
    <row r="300" spans="1:37" x14ac:dyDescent="0.3">
      <c r="A300" s="273">
        <v>53814</v>
      </c>
      <c r="B300" s="274" t="s">
        <v>1310</v>
      </c>
      <c r="C300" s="146" t="s">
        <v>345</v>
      </c>
      <c r="D300" s="275">
        <v>124.87</v>
      </c>
      <c r="E300" s="274"/>
      <c r="F300" s="274"/>
      <c r="G300" s="274" t="s">
        <v>889</v>
      </c>
      <c r="H300" s="276">
        <v>1159</v>
      </c>
      <c r="I300" s="24">
        <v>103003</v>
      </c>
      <c r="J300" s="277">
        <v>124.87</v>
      </c>
      <c r="K300" s="276">
        <v>293</v>
      </c>
      <c r="L300" s="278">
        <v>15.573770491803277</v>
      </c>
      <c r="M300" s="279">
        <v>0</v>
      </c>
      <c r="N300" s="277">
        <v>0</v>
      </c>
      <c r="O300" s="280" t="s">
        <v>888</v>
      </c>
      <c r="P300" s="279">
        <v>0</v>
      </c>
      <c r="Q300" s="281">
        <v>0</v>
      </c>
      <c r="R300" s="282" t="s">
        <v>889</v>
      </c>
      <c r="S300" s="274" t="s">
        <v>1225</v>
      </c>
      <c r="T300" s="44">
        <v>1</v>
      </c>
      <c r="U300" s="283">
        <v>51</v>
      </c>
      <c r="V300" s="284">
        <v>13</v>
      </c>
      <c r="W300" s="285" t="s">
        <v>889</v>
      </c>
      <c r="X300" s="286" t="s">
        <v>889</v>
      </c>
      <c r="Y300" s="287">
        <v>0</v>
      </c>
      <c r="Z300" s="287" t="s">
        <v>889</v>
      </c>
      <c r="AA300" s="286" t="s">
        <v>889</v>
      </c>
      <c r="AB300" s="287">
        <v>0</v>
      </c>
      <c r="AC300" s="287"/>
      <c r="AD300" s="288" t="s">
        <v>889</v>
      </c>
      <c r="AE300" s="289" t="s">
        <v>889</v>
      </c>
      <c r="AF300" s="279">
        <v>298</v>
      </c>
      <c r="AG300" s="282">
        <v>45184</v>
      </c>
      <c r="AH300" s="282" t="s">
        <v>889</v>
      </c>
      <c r="AI300" s="282">
        <v>45156</v>
      </c>
      <c r="AJ300" s="282" t="s">
        <v>889</v>
      </c>
      <c r="AK300" s="274"/>
    </row>
    <row r="301" spans="1:37" x14ac:dyDescent="0.3">
      <c r="A301" s="273">
        <v>53849</v>
      </c>
      <c r="B301" s="274" t="s">
        <v>1311</v>
      </c>
      <c r="C301" s="146" t="s">
        <v>263</v>
      </c>
      <c r="D301" s="275">
        <v>36.42</v>
      </c>
      <c r="E301" s="274"/>
      <c r="F301" s="274"/>
      <c r="G301" s="274" t="s">
        <v>889</v>
      </c>
      <c r="H301" s="276">
        <v>20</v>
      </c>
      <c r="I301" s="24">
        <v>103003</v>
      </c>
      <c r="J301" s="277">
        <v>36.42</v>
      </c>
      <c r="K301" s="276">
        <v>77</v>
      </c>
      <c r="L301" s="278">
        <v>2.554278416347382</v>
      </c>
      <c r="M301" s="279">
        <v>73.959999999999994</v>
      </c>
      <c r="N301" s="277">
        <v>2693.6232</v>
      </c>
      <c r="O301" s="280" t="s">
        <v>888</v>
      </c>
      <c r="P301" s="279">
        <v>0</v>
      </c>
      <c r="Q301" s="281">
        <v>0</v>
      </c>
      <c r="R301" s="282" t="s">
        <v>889</v>
      </c>
      <c r="S301" s="274" t="s">
        <v>1011</v>
      </c>
      <c r="T301" s="44">
        <v>1</v>
      </c>
      <c r="U301" s="283">
        <v>61</v>
      </c>
      <c r="V301" s="284">
        <v>15</v>
      </c>
      <c r="W301" s="285" t="s">
        <v>889</v>
      </c>
      <c r="X301" s="286" t="s">
        <v>889</v>
      </c>
      <c r="Y301" s="287">
        <v>0</v>
      </c>
      <c r="Z301" s="287" t="s">
        <v>889</v>
      </c>
      <c r="AA301" s="286" t="s">
        <v>889</v>
      </c>
      <c r="AB301" s="287">
        <v>0</v>
      </c>
      <c r="AC301" s="287"/>
      <c r="AD301" s="288" t="s">
        <v>889</v>
      </c>
      <c r="AE301" s="289" t="s">
        <v>889</v>
      </c>
      <c r="AF301" s="279">
        <v>32</v>
      </c>
      <c r="AG301" s="282">
        <v>45184</v>
      </c>
      <c r="AH301" s="282" t="s">
        <v>889</v>
      </c>
      <c r="AI301" s="282">
        <v>45145</v>
      </c>
      <c r="AJ301" s="282" t="s">
        <v>889</v>
      </c>
      <c r="AK301" s="274"/>
    </row>
    <row r="302" spans="1:37" x14ac:dyDescent="0.3">
      <c r="A302" s="273">
        <v>54017</v>
      </c>
      <c r="B302" s="274" t="s">
        <v>1312</v>
      </c>
      <c r="C302" s="146" t="s">
        <v>31</v>
      </c>
      <c r="D302" s="275">
        <v>4.2</v>
      </c>
      <c r="E302" s="274"/>
      <c r="F302" s="274"/>
      <c r="G302" s="274" t="s">
        <v>889</v>
      </c>
      <c r="H302" s="276">
        <v>0</v>
      </c>
      <c r="I302" s="24">
        <v>103003</v>
      </c>
      <c r="J302" s="277">
        <v>4.2</v>
      </c>
      <c r="K302" s="276">
        <v>174</v>
      </c>
      <c r="L302" s="278">
        <v>0</v>
      </c>
      <c r="M302" s="279">
        <v>116.04</v>
      </c>
      <c r="N302" s="277">
        <v>487.36799999999999</v>
      </c>
      <c r="O302" s="280" t="s">
        <v>888</v>
      </c>
      <c r="P302" s="279">
        <v>0</v>
      </c>
      <c r="Q302" s="281">
        <v>0</v>
      </c>
      <c r="R302" s="282" t="s">
        <v>889</v>
      </c>
      <c r="S302" s="274" t="s">
        <v>990</v>
      </c>
      <c r="T302" s="44">
        <v>1</v>
      </c>
      <c r="U302" s="283">
        <v>55</v>
      </c>
      <c r="V302" s="284">
        <v>32</v>
      </c>
      <c r="W302" s="285">
        <v>2442</v>
      </c>
      <c r="X302" s="286">
        <v>2023</v>
      </c>
      <c r="Y302" s="287">
        <v>60</v>
      </c>
      <c r="Z302" s="287" t="s">
        <v>889</v>
      </c>
      <c r="AA302" s="286" t="s">
        <v>889</v>
      </c>
      <c r="AB302" s="287">
        <v>0</v>
      </c>
      <c r="AC302" s="287"/>
      <c r="AD302" s="288" t="s">
        <v>889</v>
      </c>
      <c r="AE302" s="289" t="s">
        <v>889</v>
      </c>
      <c r="AF302" s="279">
        <v>58</v>
      </c>
      <c r="AG302" s="282">
        <v>44530</v>
      </c>
      <c r="AH302" s="282" t="s">
        <v>889</v>
      </c>
      <c r="AI302" s="282">
        <v>44516</v>
      </c>
      <c r="AJ302" s="282" t="s">
        <v>889</v>
      </c>
      <c r="AK302" s="274"/>
    </row>
    <row r="303" spans="1:37" x14ac:dyDescent="0.3">
      <c r="A303" s="273">
        <v>54018</v>
      </c>
      <c r="B303" s="274" t="s">
        <v>1313</v>
      </c>
      <c r="C303" s="146" t="s">
        <v>31</v>
      </c>
      <c r="D303" s="275">
        <v>2.5499999999999998</v>
      </c>
      <c r="E303" s="274"/>
      <c r="F303" s="274"/>
      <c r="G303" s="274" t="s">
        <v>889</v>
      </c>
      <c r="H303" s="276">
        <v>480</v>
      </c>
      <c r="I303" s="24">
        <v>103003</v>
      </c>
      <c r="J303" s="277">
        <v>2.5499999999999998</v>
      </c>
      <c r="K303" s="276">
        <v>100</v>
      </c>
      <c r="L303" s="278">
        <v>57.623049219687879</v>
      </c>
      <c r="M303" s="279">
        <v>0</v>
      </c>
      <c r="N303" s="277">
        <v>0</v>
      </c>
      <c r="O303" s="280" t="s">
        <v>888</v>
      </c>
      <c r="P303" s="279">
        <v>0</v>
      </c>
      <c r="Q303" s="281">
        <v>0</v>
      </c>
      <c r="R303" s="282" t="s">
        <v>889</v>
      </c>
      <c r="S303" s="274" t="s">
        <v>990</v>
      </c>
      <c r="T303" s="44">
        <v>1</v>
      </c>
      <c r="U303" s="283">
        <v>55</v>
      </c>
      <c r="V303" s="284">
        <v>32</v>
      </c>
      <c r="W303" s="285" t="s">
        <v>889</v>
      </c>
      <c r="X303" s="286" t="s">
        <v>889</v>
      </c>
      <c r="Y303" s="287">
        <v>0</v>
      </c>
      <c r="Z303" s="287" t="s">
        <v>889</v>
      </c>
      <c r="AA303" s="286" t="s">
        <v>889</v>
      </c>
      <c r="AB303" s="287">
        <v>0</v>
      </c>
      <c r="AC303" s="287"/>
      <c r="AD303" s="288" t="s">
        <v>889</v>
      </c>
      <c r="AE303" s="289" t="s">
        <v>889</v>
      </c>
      <c r="AF303" s="279">
        <v>34</v>
      </c>
      <c r="AG303" s="282">
        <v>44649</v>
      </c>
      <c r="AH303" s="282" t="s">
        <v>889</v>
      </c>
      <c r="AI303" s="282">
        <v>44616</v>
      </c>
      <c r="AJ303" s="282" t="s">
        <v>889</v>
      </c>
      <c r="AK303" s="274"/>
    </row>
    <row r="304" spans="1:37" x14ac:dyDescent="0.3">
      <c r="A304" s="273">
        <v>54019</v>
      </c>
      <c r="B304" s="274" t="s">
        <v>1314</v>
      </c>
      <c r="C304" s="146" t="s">
        <v>263</v>
      </c>
      <c r="D304" s="275">
        <v>3.2</v>
      </c>
      <c r="E304" s="274"/>
      <c r="F304" s="274"/>
      <c r="G304" s="274" t="s">
        <v>889</v>
      </c>
      <c r="H304" s="276">
        <v>455</v>
      </c>
      <c r="I304" s="24">
        <v>103003</v>
      </c>
      <c r="J304" s="277">
        <v>3.2</v>
      </c>
      <c r="K304" s="276">
        <v>394</v>
      </c>
      <c r="L304" s="278">
        <v>12.698855707507674</v>
      </c>
      <c r="M304" s="279">
        <v>0</v>
      </c>
      <c r="N304" s="277">
        <v>0</v>
      </c>
      <c r="O304" s="280" t="s">
        <v>888</v>
      </c>
      <c r="P304" s="279">
        <v>0</v>
      </c>
      <c r="Q304" s="281">
        <v>0</v>
      </c>
      <c r="R304" s="282" t="s">
        <v>889</v>
      </c>
      <c r="S304" s="274" t="s">
        <v>1315</v>
      </c>
      <c r="T304" s="44">
        <v>1</v>
      </c>
      <c r="U304" s="283">
        <v>55</v>
      </c>
      <c r="V304" s="284">
        <v>45</v>
      </c>
      <c r="W304" s="285">
        <v>2442</v>
      </c>
      <c r="X304" s="286">
        <v>2023</v>
      </c>
      <c r="Y304" s="287">
        <v>100</v>
      </c>
      <c r="Z304" s="287" t="s">
        <v>889</v>
      </c>
      <c r="AA304" s="286" t="s">
        <v>889</v>
      </c>
      <c r="AB304" s="287">
        <v>0</v>
      </c>
      <c r="AC304" s="287"/>
      <c r="AD304" s="288" t="s">
        <v>889</v>
      </c>
      <c r="AE304" s="289" t="s">
        <v>889</v>
      </c>
      <c r="AF304" s="279">
        <v>144</v>
      </c>
      <c r="AG304" s="282">
        <v>44965</v>
      </c>
      <c r="AH304" s="282" t="s">
        <v>889</v>
      </c>
      <c r="AI304" s="282">
        <v>44917</v>
      </c>
      <c r="AJ304" s="282" t="s">
        <v>889</v>
      </c>
      <c r="AK304" s="274"/>
    </row>
    <row r="305" spans="1:37" x14ac:dyDescent="0.3">
      <c r="A305" s="273">
        <v>54026</v>
      </c>
      <c r="B305" s="274" t="s">
        <v>1316</v>
      </c>
      <c r="C305" s="146" t="s">
        <v>345</v>
      </c>
      <c r="D305" s="275">
        <v>13.4</v>
      </c>
      <c r="E305" s="274"/>
      <c r="F305" s="274"/>
      <c r="G305" s="274" t="s">
        <v>889</v>
      </c>
      <c r="H305" s="276">
        <v>125</v>
      </c>
      <c r="I305" s="24">
        <v>103003</v>
      </c>
      <c r="J305" s="277">
        <v>13.4</v>
      </c>
      <c r="K305" s="276">
        <v>55</v>
      </c>
      <c r="L305" s="278">
        <v>25.879917184265011</v>
      </c>
      <c r="M305" s="279">
        <v>0</v>
      </c>
      <c r="N305" s="277">
        <v>0</v>
      </c>
      <c r="O305" s="280" t="s">
        <v>888</v>
      </c>
      <c r="P305" s="279">
        <v>0</v>
      </c>
      <c r="Q305" s="281">
        <v>0</v>
      </c>
      <c r="R305" s="282" t="s">
        <v>889</v>
      </c>
      <c r="S305" s="274" t="s">
        <v>990</v>
      </c>
      <c r="T305" s="44">
        <v>1</v>
      </c>
      <c r="U305" s="283">
        <v>55</v>
      </c>
      <c r="V305" s="284">
        <v>32</v>
      </c>
      <c r="W305" s="285" t="s">
        <v>889</v>
      </c>
      <c r="X305" s="286" t="s">
        <v>889</v>
      </c>
      <c r="Y305" s="287">
        <v>0</v>
      </c>
      <c r="Z305" s="287" t="s">
        <v>889</v>
      </c>
      <c r="AA305" s="286" t="s">
        <v>889</v>
      </c>
      <c r="AB305" s="287">
        <v>0</v>
      </c>
      <c r="AC305" s="287"/>
      <c r="AD305" s="288" t="s">
        <v>889</v>
      </c>
      <c r="AE305" s="289" t="s">
        <v>889</v>
      </c>
      <c r="AF305" s="279">
        <v>20</v>
      </c>
      <c r="AG305" s="282">
        <v>44965</v>
      </c>
      <c r="AH305" s="282" t="s">
        <v>889</v>
      </c>
      <c r="AI305" s="282">
        <v>44917</v>
      </c>
      <c r="AJ305" s="282" t="s">
        <v>889</v>
      </c>
      <c r="AK305" s="274"/>
    </row>
    <row r="306" spans="1:37" x14ac:dyDescent="0.3">
      <c r="A306" s="273">
        <v>54029</v>
      </c>
      <c r="B306" s="274" t="s">
        <v>1317</v>
      </c>
      <c r="C306" s="146" t="s">
        <v>31</v>
      </c>
      <c r="D306" s="275">
        <v>0.08</v>
      </c>
      <c r="E306" s="274"/>
      <c r="F306" s="274"/>
      <c r="G306" s="274" t="s">
        <v>889</v>
      </c>
      <c r="H306" s="276">
        <v>2115</v>
      </c>
      <c r="I306" s="24">
        <v>103003</v>
      </c>
      <c r="J306" s="277">
        <v>0.08</v>
      </c>
      <c r="K306" s="276">
        <v>1550</v>
      </c>
      <c r="L306" s="278">
        <v>16.373770999458078</v>
      </c>
      <c r="M306" s="279">
        <v>0</v>
      </c>
      <c r="N306" s="277">
        <v>0</v>
      </c>
      <c r="O306" s="280" t="s">
        <v>888</v>
      </c>
      <c r="P306" s="279">
        <v>0</v>
      </c>
      <c r="Q306" s="281">
        <v>0</v>
      </c>
      <c r="R306" s="282" t="s">
        <v>889</v>
      </c>
      <c r="S306" s="274" t="s">
        <v>1180</v>
      </c>
      <c r="T306" s="44">
        <v>1</v>
      </c>
      <c r="U306" s="283">
        <v>67</v>
      </c>
      <c r="V306" s="284">
        <v>5</v>
      </c>
      <c r="W306" s="285" t="s">
        <v>889</v>
      </c>
      <c r="X306" s="286" t="s">
        <v>889</v>
      </c>
      <c r="Y306" s="287">
        <v>0</v>
      </c>
      <c r="Z306" s="287" t="s">
        <v>889</v>
      </c>
      <c r="AA306" s="286" t="s">
        <v>889</v>
      </c>
      <c r="AB306" s="287">
        <v>0</v>
      </c>
      <c r="AC306" s="287"/>
      <c r="AD306" s="288" t="s">
        <v>889</v>
      </c>
      <c r="AE306" s="289" t="s">
        <v>889</v>
      </c>
      <c r="AF306" s="279">
        <v>516</v>
      </c>
      <c r="AG306" s="282">
        <v>44161</v>
      </c>
      <c r="AH306" s="282" t="s">
        <v>889</v>
      </c>
      <c r="AI306" s="282">
        <v>44369</v>
      </c>
      <c r="AJ306" s="282" t="s">
        <v>889</v>
      </c>
      <c r="AK306" s="274"/>
    </row>
    <row r="307" spans="1:37" x14ac:dyDescent="0.3">
      <c r="A307" s="273">
        <v>54032</v>
      </c>
      <c r="B307" s="274" t="s">
        <v>1318</v>
      </c>
      <c r="C307" s="146" t="s">
        <v>263</v>
      </c>
      <c r="D307" s="275">
        <v>7.0000000000000007E-2</v>
      </c>
      <c r="E307" s="274"/>
      <c r="F307" s="274"/>
      <c r="G307" s="274" t="s">
        <v>889</v>
      </c>
      <c r="H307" s="276">
        <v>22466</v>
      </c>
      <c r="I307" s="24">
        <v>103003</v>
      </c>
      <c r="J307" s="277">
        <v>7.0000000000000007E-2</v>
      </c>
      <c r="K307" s="276">
        <v>10324</v>
      </c>
      <c r="L307" s="278">
        <v>22.800483086884597</v>
      </c>
      <c r="M307" s="279">
        <v>0</v>
      </c>
      <c r="N307" s="277">
        <v>0</v>
      </c>
      <c r="O307" s="280" t="s">
        <v>888</v>
      </c>
      <c r="P307" s="279">
        <v>0</v>
      </c>
      <c r="Q307" s="281">
        <v>0</v>
      </c>
      <c r="R307" s="282" t="s">
        <v>889</v>
      </c>
      <c r="S307" s="274" t="s">
        <v>1180</v>
      </c>
      <c r="T307" s="44">
        <v>1</v>
      </c>
      <c r="U307" s="283">
        <v>67</v>
      </c>
      <c r="V307" s="284">
        <v>5</v>
      </c>
      <c r="W307" s="285" t="s">
        <v>889</v>
      </c>
      <c r="X307" s="286" t="s">
        <v>889</v>
      </c>
      <c r="Y307" s="287">
        <v>0</v>
      </c>
      <c r="Z307" s="287" t="s">
        <v>889</v>
      </c>
      <c r="AA307" s="286" t="s">
        <v>889</v>
      </c>
      <c r="AB307" s="287">
        <v>0</v>
      </c>
      <c r="AC307" s="287"/>
      <c r="AD307" s="288" t="s">
        <v>889</v>
      </c>
      <c r="AE307" s="289" t="s">
        <v>889</v>
      </c>
      <c r="AF307" s="279">
        <v>3942</v>
      </c>
      <c r="AG307" s="282">
        <v>44560</v>
      </c>
      <c r="AH307" s="282" t="s">
        <v>889</v>
      </c>
      <c r="AI307" s="282">
        <v>44547</v>
      </c>
      <c r="AJ307" s="282" t="s">
        <v>889</v>
      </c>
      <c r="AK307" s="274"/>
    </row>
    <row r="308" spans="1:37" x14ac:dyDescent="0.3">
      <c r="A308" s="273">
        <v>54144</v>
      </c>
      <c r="B308" s="274" t="s">
        <v>1319</v>
      </c>
      <c r="C308" s="146" t="s">
        <v>263</v>
      </c>
      <c r="D308" s="275">
        <v>1.29</v>
      </c>
      <c r="E308" s="274"/>
      <c r="F308" s="274"/>
      <c r="G308" s="274" t="s">
        <v>889</v>
      </c>
      <c r="H308" s="276">
        <v>326</v>
      </c>
      <c r="I308" s="24">
        <v>103003</v>
      </c>
      <c r="J308" s="277">
        <v>1.29</v>
      </c>
      <c r="K308" s="276">
        <v>253</v>
      </c>
      <c r="L308" s="278">
        <v>12.57716049382716</v>
      </c>
      <c r="M308" s="279">
        <v>0</v>
      </c>
      <c r="N308" s="277">
        <v>0</v>
      </c>
      <c r="O308" s="280" t="s">
        <v>888</v>
      </c>
      <c r="P308" s="279">
        <v>0</v>
      </c>
      <c r="Q308" s="281">
        <v>0</v>
      </c>
      <c r="R308" s="282" t="s">
        <v>889</v>
      </c>
      <c r="S308" s="274" t="s">
        <v>990</v>
      </c>
      <c r="T308" s="44">
        <v>1</v>
      </c>
      <c r="U308" s="283">
        <v>55</v>
      </c>
      <c r="V308" s="284">
        <v>32</v>
      </c>
      <c r="W308" s="285" t="s">
        <v>889</v>
      </c>
      <c r="X308" s="286" t="s">
        <v>889</v>
      </c>
      <c r="Y308" s="287">
        <v>0</v>
      </c>
      <c r="Z308" s="287" t="s">
        <v>889</v>
      </c>
      <c r="AA308" s="286" t="s">
        <v>889</v>
      </c>
      <c r="AB308" s="287">
        <v>0</v>
      </c>
      <c r="AC308" s="287"/>
      <c r="AD308" s="288" t="s">
        <v>889</v>
      </c>
      <c r="AE308" s="289" t="s">
        <v>889</v>
      </c>
      <c r="AF308" s="279">
        <v>104</v>
      </c>
      <c r="AG308" s="282">
        <v>43893</v>
      </c>
      <c r="AH308" s="282" t="s">
        <v>889</v>
      </c>
      <c r="AI308" s="282">
        <v>44061</v>
      </c>
      <c r="AJ308" s="282" t="s">
        <v>889</v>
      </c>
      <c r="AK308" s="274"/>
    </row>
    <row r="309" spans="1:37" x14ac:dyDescent="0.3">
      <c r="A309" s="273">
        <v>54550</v>
      </c>
      <c r="B309" s="274" t="s">
        <v>1320</v>
      </c>
      <c r="C309" s="146" t="s">
        <v>345</v>
      </c>
      <c r="D309" s="275">
        <v>140</v>
      </c>
      <c r="E309" s="274"/>
      <c r="F309" s="274"/>
      <c r="G309" s="274" t="s">
        <v>889</v>
      </c>
      <c r="H309" s="276">
        <v>655</v>
      </c>
      <c r="I309" s="24">
        <v>103003</v>
      </c>
      <c r="J309" s="277">
        <v>140</v>
      </c>
      <c r="K309" s="276">
        <v>442</v>
      </c>
      <c r="L309" s="278">
        <v>16.903225806451612</v>
      </c>
      <c r="M309" s="279">
        <v>0</v>
      </c>
      <c r="N309" s="277">
        <v>0</v>
      </c>
      <c r="O309" s="280" t="s">
        <v>888</v>
      </c>
      <c r="P309" s="279">
        <v>0</v>
      </c>
      <c r="Q309" s="281">
        <v>0</v>
      </c>
      <c r="R309" s="282" t="s">
        <v>889</v>
      </c>
      <c r="S309" s="274" t="s">
        <v>1039</v>
      </c>
      <c r="T309" s="44">
        <v>1</v>
      </c>
      <c r="U309" s="283">
        <v>69</v>
      </c>
      <c r="V309" s="284">
        <v>10</v>
      </c>
      <c r="W309" s="285" t="s">
        <v>889</v>
      </c>
      <c r="X309" s="286" t="s">
        <v>889</v>
      </c>
      <c r="Y309" s="287">
        <v>0</v>
      </c>
      <c r="Z309" s="287" t="s">
        <v>889</v>
      </c>
      <c r="AA309" s="286" t="s">
        <v>889</v>
      </c>
      <c r="AB309" s="287">
        <v>0</v>
      </c>
      <c r="AC309" s="287"/>
      <c r="AD309" s="288" t="s">
        <v>889</v>
      </c>
      <c r="AE309" s="289" t="s">
        <v>889</v>
      </c>
      <c r="AF309" s="279">
        <v>156</v>
      </c>
      <c r="AG309" s="282">
        <v>44519</v>
      </c>
      <c r="AH309" s="282" t="s">
        <v>889</v>
      </c>
      <c r="AI309" s="282">
        <v>44883</v>
      </c>
      <c r="AJ309" s="282" t="s">
        <v>889</v>
      </c>
      <c r="AK309" s="274"/>
    </row>
    <row r="310" spans="1:37" x14ac:dyDescent="0.3">
      <c r="A310" s="273">
        <v>54552</v>
      </c>
      <c r="B310" s="274" t="s">
        <v>1321</v>
      </c>
      <c r="C310" s="146" t="s">
        <v>345</v>
      </c>
      <c r="D310" s="275">
        <v>107</v>
      </c>
      <c r="E310" s="274"/>
      <c r="F310" s="274"/>
      <c r="G310" s="274" t="s">
        <v>889</v>
      </c>
      <c r="H310" s="276">
        <v>805</v>
      </c>
      <c r="I310" s="24">
        <v>103003</v>
      </c>
      <c r="J310" s="277">
        <v>107</v>
      </c>
      <c r="K310" s="276">
        <v>269</v>
      </c>
      <c r="L310" s="278">
        <v>9.0368208352043116</v>
      </c>
      <c r="M310" s="279">
        <v>263.95999999999998</v>
      </c>
      <c r="N310" s="277">
        <v>28243.72</v>
      </c>
      <c r="O310" s="280" t="s">
        <v>888</v>
      </c>
      <c r="P310" s="279">
        <v>0</v>
      </c>
      <c r="Q310" s="281">
        <v>0</v>
      </c>
      <c r="R310" s="282" t="s">
        <v>889</v>
      </c>
      <c r="S310" s="274" t="s">
        <v>1039</v>
      </c>
      <c r="T310" s="44">
        <v>1</v>
      </c>
      <c r="U310" s="283">
        <v>69</v>
      </c>
      <c r="V310" s="284">
        <v>10</v>
      </c>
      <c r="W310" s="285" t="s">
        <v>889</v>
      </c>
      <c r="X310" s="286" t="s">
        <v>889</v>
      </c>
      <c r="Y310" s="287">
        <v>0</v>
      </c>
      <c r="Z310" s="287" t="s">
        <v>889</v>
      </c>
      <c r="AA310" s="286" t="s">
        <v>889</v>
      </c>
      <c r="AB310" s="287">
        <v>0</v>
      </c>
      <c r="AC310" s="287"/>
      <c r="AD310" s="288" t="s">
        <v>889</v>
      </c>
      <c r="AE310" s="289" t="s">
        <v>889</v>
      </c>
      <c r="AF310" s="279">
        <v>356</v>
      </c>
      <c r="AG310" s="282">
        <v>45169</v>
      </c>
      <c r="AH310" s="282" t="s">
        <v>889</v>
      </c>
      <c r="AI310" s="282">
        <v>45156</v>
      </c>
      <c r="AJ310" s="282" t="s">
        <v>889</v>
      </c>
      <c r="AK310" s="274"/>
    </row>
    <row r="311" spans="1:37" x14ac:dyDescent="0.3">
      <c r="A311" s="273">
        <v>54586</v>
      </c>
      <c r="B311" s="274" t="s">
        <v>1322</v>
      </c>
      <c r="C311" s="146" t="s">
        <v>263</v>
      </c>
      <c r="D311" s="275">
        <v>15</v>
      </c>
      <c r="E311" s="274"/>
      <c r="F311" s="274"/>
      <c r="G311" s="274" t="s">
        <v>889</v>
      </c>
      <c r="H311" s="276">
        <v>10</v>
      </c>
      <c r="I311" s="24">
        <v>103003</v>
      </c>
      <c r="J311" s="277">
        <v>15</v>
      </c>
      <c r="K311" s="276">
        <v>62</v>
      </c>
      <c r="L311" s="278">
        <v>1.7391304347826089</v>
      </c>
      <c r="M311" s="279">
        <v>59</v>
      </c>
      <c r="N311" s="277">
        <v>885</v>
      </c>
      <c r="O311" s="280" t="s">
        <v>888</v>
      </c>
      <c r="P311" s="279">
        <v>0</v>
      </c>
      <c r="Q311" s="281">
        <v>0</v>
      </c>
      <c r="R311" s="282" t="s">
        <v>889</v>
      </c>
      <c r="S311" s="274" t="s">
        <v>1041</v>
      </c>
      <c r="T311" s="44">
        <v>1</v>
      </c>
      <c r="U311" s="283">
        <v>61</v>
      </c>
      <c r="V311" s="284">
        <v>2</v>
      </c>
      <c r="W311" s="285" t="s">
        <v>889</v>
      </c>
      <c r="X311" s="286" t="s">
        <v>889</v>
      </c>
      <c r="Y311" s="287">
        <v>0</v>
      </c>
      <c r="Z311" s="287" t="s">
        <v>889</v>
      </c>
      <c r="AA311" s="286" t="s">
        <v>889</v>
      </c>
      <c r="AB311" s="287">
        <v>0</v>
      </c>
      <c r="AC311" s="287"/>
      <c r="AD311" s="288" t="s">
        <v>889</v>
      </c>
      <c r="AE311" s="289" t="s">
        <v>889</v>
      </c>
      <c r="AF311" s="279">
        <v>24</v>
      </c>
      <c r="AG311" s="282">
        <v>45160</v>
      </c>
      <c r="AH311" s="282" t="s">
        <v>889</v>
      </c>
      <c r="AI311" s="282">
        <v>45145</v>
      </c>
      <c r="AJ311" s="282" t="s">
        <v>889</v>
      </c>
      <c r="AK311" s="274"/>
    </row>
    <row r="312" spans="1:37" x14ac:dyDescent="0.3">
      <c r="A312" s="273">
        <v>54587</v>
      </c>
      <c r="B312" s="274" t="s">
        <v>1323</v>
      </c>
      <c r="C312" s="146" t="s">
        <v>263</v>
      </c>
      <c r="D312" s="275">
        <v>17.829999999999998</v>
      </c>
      <c r="E312" s="274"/>
      <c r="F312" s="274"/>
      <c r="G312" s="274" t="s">
        <v>889</v>
      </c>
      <c r="H312" s="276">
        <v>27</v>
      </c>
      <c r="I312" s="24">
        <v>103003</v>
      </c>
      <c r="J312" s="277">
        <v>17.829999999999998</v>
      </c>
      <c r="K312" s="276">
        <v>71</v>
      </c>
      <c r="L312" s="278">
        <v>4.5608108108108114</v>
      </c>
      <c r="M312" s="279">
        <v>44.04</v>
      </c>
      <c r="N312" s="277">
        <v>785.23320000000001</v>
      </c>
      <c r="O312" s="280" t="s">
        <v>888</v>
      </c>
      <c r="P312" s="279">
        <v>0</v>
      </c>
      <c r="Q312" s="281">
        <v>0</v>
      </c>
      <c r="R312" s="282" t="s">
        <v>889</v>
      </c>
      <c r="S312" s="274" t="s">
        <v>1041</v>
      </c>
      <c r="T312" s="44">
        <v>1</v>
      </c>
      <c r="U312" s="283">
        <v>61</v>
      </c>
      <c r="V312" s="284">
        <v>2</v>
      </c>
      <c r="W312" s="285" t="s">
        <v>889</v>
      </c>
      <c r="X312" s="286" t="s">
        <v>889</v>
      </c>
      <c r="Y312" s="287">
        <v>0</v>
      </c>
      <c r="Z312" s="287" t="s">
        <v>889</v>
      </c>
      <c r="AA312" s="286" t="s">
        <v>889</v>
      </c>
      <c r="AB312" s="287">
        <v>0</v>
      </c>
      <c r="AC312" s="287"/>
      <c r="AD312" s="288" t="s">
        <v>889</v>
      </c>
      <c r="AE312" s="289" t="s">
        <v>889</v>
      </c>
      <c r="AF312" s="279">
        <v>24</v>
      </c>
      <c r="AG312" s="282">
        <v>45180</v>
      </c>
      <c r="AH312" s="282" t="s">
        <v>889</v>
      </c>
      <c r="AI312" s="282">
        <v>45145</v>
      </c>
      <c r="AJ312" s="282" t="s">
        <v>889</v>
      </c>
      <c r="AK312" s="274"/>
    </row>
    <row r="313" spans="1:37" x14ac:dyDescent="0.3">
      <c r="A313" s="273">
        <v>54680</v>
      </c>
      <c r="B313" s="274" t="s">
        <v>1324</v>
      </c>
      <c r="C313" s="146" t="s">
        <v>560</v>
      </c>
      <c r="D313" s="275">
        <v>38.31</v>
      </c>
      <c r="E313" s="274"/>
      <c r="F313" s="274" t="s">
        <v>1325</v>
      </c>
      <c r="G313" s="274" t="s">
        <v>1196</v>
      </c>
      <c r="H313" s="276">
        <v>130</v>
      </c>
      <c r="I313" s="24">
        <v>103003</v>
      </c>
      <c r="J313" s="277">
        <v>53.8</v>
      </c>
      <c r="K313" s="276">
        <v>151</v>
      </c>
      <c r="L313" s="278">
        <v>10.333863275039745</v>
      </c>
      <c r="M313" s="279">
        <v>20.96</v>
      </c>
      <c r="N313" s="277">
        <v>802.97760000000005</v>
      </c>
      <c r="O313" s="280" t="s">
        <v>1197</v>
      </c>
      <c r="P313" s="279">
        <v>5500</v>
      </c>
      <c r="Q313" s="281">
        <v>210705</v>
      </c>
      <c r="R313" s="282">
        <v>45328</v>
      </c>
      <c r="S313" s="274" t="s">
        <v>1326</v>
      </c>
      <c r="T313" s="44">
        <v>1</v>
      </c>
      <c r="U313" s="283">
        <v>51</v>
      </c>
      <c r="V313" s="284">
        <v>30</v>
      </c>
      <c r="W313" s="285" t="s">
        <v>889</v>
      </c>
      <c r="X313" s="286" t="s">
        <v>889</v>
      </c>
      <c r="Y313" s="287">
        <v>0</v>
      </c>
      <c r="Z313" s="287" t="s">
        <v>889</v>
      </c>
      <c r="AA313" s="286" t="s">
        <v>889</v>
      </c>
      <c r="AB313" s="287">
        <v>0</v>
      </c>
      <c r="AC313" s="287"/>
      <c r="AD313" s="288" t="s">
        <v>889</v>
      </c>
      <c r="AE313" s="289" t="s">
        <v>889</v>
      </c>
      <c r="AF313" s="279">
        <v>50</v>
      </c>
      <c r="AG313" s="282">
        <v>44616</v>
      </c>
      <c r="AH313" s="282" t="s">
        <v>889</v>
      </c>
      <c r="AI313" s="282">
        <v>44544</v>
      </c>
      <c r="AJ313" s="282" t="s">
        <v>889</v>
      </c>
      <c r="AK313" s="274"/>
    </row>
    <row r="314" spans="1:37" x14ac:dyDescent="0.3">
      <c r="A314" s="273">
        <v>54682</v>
      </c>
      <c r="B314" s="274" t="s">
        <v>1327</v>
      </c>
      <c r="C314" s="146" t="s">
        <v>260</v>
      </c>
      <c r="D314" s="275">
        <v>6.88</v>
      </c>
      <c r="E314" s="274"/>
      <c r="F314" s="274"/>
      <c r="G314" s="274" t="s">
        <v>889</v>
      </c>
      <c r="H314" s="276">
        <v>0</v>
      </c>
      <c r="I314" s="24">
        <v>103003</v>
      </c>
      <c r="J314" s="277">
        <v>6.88</v>
      </c>
      <c r="K314" s="276">
        <v>4237</v>
      </c>
      <c r="L314" s="278">
        <v>0</v>
      </c>
      <c r="M314" s="279">
        <v>4479</v>
      </c>
      <c r="N314" s="277">
        <v>30815.52</v>
      </c>
      <c r="O314" s="280" t="s">
        <v>888</v>
      </c>
      <c r="P314" s="279">
        <v>0</v>
      </c>
      <c r="Q314" s="281">
        <v>0</v>
      </c>
      <c r="R314" s="282" t="s">
        <v>889</v>
      </c>
      <c r="S314" s="274" t="s">
        <v>931</v>
      </c>
      <c r="T314" s="44">
        <v>1</v>
      </c>
      <c r="U314" s="283">
        <v>45</v>
      </c>
      <c r="V314" s="284">
        <v>12</v>
      </c>
      <c r="W314" s="285">
        <v>7338</v>
      </c>
      <c r="X314" s="286">
        <v>2023</v>
      </c>
      <c r="Y314" s="287">
        <v>1836</v>
      </c>
      <c r="Z314" s="287" t="s">
        <v>889</v>
      </c>
      <c r="AA314" s="286" t="s">
        <v>889</v>
      </c>
      <c r="AB314" s="287">
        <v>0</v>
      </c>
      <c r="AC314" s="287"/>
      <c r="AD314" s="288" t="s">
        <v>889</v>
      </c>
      <c r="AE314" s="289" t="s">
        <v>889</v>
      </c>
      <c r="AF314" s="279">
        <v>2106</v>
      </c>
      <c r="AG314" s="282">
        <v>44924</v>
      </c>
      <c r="AH314" s="282" t="s">
        <v>889</v>
      </c>
      <c r="AI314" s="282">
        <v>44910</v>
      </c>
      <c r="AJ314" s="282" t="s">
        <v>889</v>
      </c>
      <c r="AK314" s="274"/>
    </row>
    <row r="315" spans="1:37" x14ac:dyDescent="0.3">
      <c r="A315" s="273">
        <v>55836</v>
      </c>
      <c r="B315" s="274" t="s">
        <v>1328</v>
      </c>
      <c r="C315" s="146" t="s">
        <v>263</v>
      </c>
      <c r="D315" s="275">
        <v>0.51</v>
      </c>
      <c r="E315" s="274"/>
      <c r="F315" s="274"/>
      <c r="G315" s="274" t="s">
        <v>889</v>
      </c>
      <c r="H315" s="276">
        <v>9108</v>
      </c>
      <c r="I315" s="24">
        <v>103003</v>
      </c>
      <c r="J315" s="277">
        <v>0.51</v>
      </c>
      <c r="K315" s="276"/>
      <c r="L315" s="278">
        <v>0</v>
      </c>
      <c r="M315" s="279">
        <v>0</v>
      </c>
      <c r="N315" s="277">
        <v>0</v>
      </c>
      <c r="O315" s="280" t="s">
        <v>888</v>
      </c>
      <c r="P315" s="279">
        <v>0</v>
      </c>
      <c r="Q315" s="281">
        <v>0</v>
      </c>
      <c r="R315" s="282" t="s">
        <v>889</v>
      </c>
      <c r="S315" s="274" t="s">
        <v>1076</v>
      </c>
      <c r="T315" s="44">
        <v>1</v>
      </c>
      <c r="U315" s="283">
        <v>78</v>
      </c>
      <c r="V315" s="284">
        <v>2</v>
      </c>
      <c r="W315" s="285" t="s">
        <v>889</v>
      </c>
      <c r="X315" s="286" t="s">
        <v>889</v>
      </c>
      <c r="Y315" s="287">
        <v>0</v>
      </c>
      <c r="Z315" s="287" t="s">
        <v>889</v>
      </c>
      <c r="AA315" s="286" t="s">
        <v>889</v>
      </c>
      <c r="AB315" s="287">
        <v>0</v>
      </c>
      <c r="AC315" s="287"/>
      <c r="AD315" s="288" t="s">
        <v>889</v>
      </c>
      <c r="AE315" s="289" t="s">
        <v>889</v>
      </c>
      <c r="AF315" s="279">
        <v>0</v>
      </c>
      <c r="AG315" s="282">
        <v>40555</v>
      </c>
      <c r="AH315" s="282" t="s">
        <v>889</v>
      </c>
      <c r="AI315" s="282">
        <v>42571</v>
      </c>
      <c r="AJ315" s="282" t="s">
        <v>889</v>
      </c>
      <c r="AK315" s="274"/>
    </row>
    <row r="316" spans="1:37" x14ac:dyDescent="0.3">
      <c r="A316" s="273">
        <v>56519</v>
      </c>
      <c r="B316" s="274" t="s">
        <v>1329</v>
      </c>
      <c r="C316" s="146" t="s">
        <v>263</v>
      </c>
      <c r="D316" s="275">
        <v>615.38</v>
      </c>
      <c r="E316" s="274" t="s">
        <v>1330</v>
      </c>
      <c r="F316" s="274" t="s">
        <v>1331</v>
      </c>
      <c r="G316" s="274" t="s">
        <v>1281</v>
      </c>
      <c r="H316" s="276">
        <v>38</v>
      </c>
      <c r="I316" s="24">
        <v>103003</v>
      </c>
      <c r="J316" s="277">
        <v>689.98</v>
      </c>
      <c r="K316" s="276">
        <v>16</v>
      </c>
      <c r="L316" s="278">
        <v>28.571428571428569</v>
      </c>
      <c r="M316" s="279">
        <v>0</v>
      </c>
      <c r="N316" s="277">
        <v>0</v>
      </c>
      <c r="O316" s="280" t="s">
        <v>1282</v>
      </c>
      <c r="P316" s="279">
        <v>143</v>
      </c>
      <c r="Q316" s="281">
        <v>87999.34</v>
      </c>
      <c r="R316" s="282">
        <v>45540</v>
      </c>
      <c r="S316" s="274" t="s">
        <v>1283</v>
      </c>
      <c r="T316" s="44">
        <v>1</v>
      </c>
      <c r="U316" s="283">
        <v>51</v>
      </c>
      <c r="V316" s="284">
        <v>28</v>
      </c>
      <c r="W316" s="285" t="s">
        <v>889</v>
      </c>
      <c r="X316" s="286" t="s">
        <v>889</v>
      </c>
      <c r="Y316" s="287">
        <v>0</v>
      </c>
      <c r="Z316" s="287" t="s">
        <v>889</v>
      </c>
      <c r="AA316" s="286" t="s">
        <v>889</v>
      </c>
      <c r="AB316" s="287">
        <v>0</v>
      </c>
      <c r="AC316" s="287"/>
      <c r="AD316" s="288" t="s">
        <v>889</v>
      </c>
      <c r="AE316" s="289" t="s">
        <v>889</v>
      </c>
      <c r="AF316" s="279">
        <v>6</v>
      </c>
      <c r="AG316" s="282">
        <v>45048</v>
      </c>
      <c r="AH316" s="282" t="s">
        <v>889</v>
      </c>
      <c r="AI316" s="282">
        <v>45016</v>
      </c>
      <c r="AJ316" s="282" t="s">
        <v>889</v>
      </c>
      <c r="AK316" s="274"/>
    </row>
    <row r="317" spans="1:37" x14ac:dyDescent="0.3">
      <c r="A317" s="273">
        <v>56520</v>
      </c>
      <c r="B317" s="274" t="s">
        <v>1332</v>
      </c>
      <c r="C317" s="146" t="s">
        <v>263</v>
      </c>
      <c r="D317" s="275">
        <v>671.14</v>
      </c>
      <c r="E317" s="274" t="s">
        <v>1279</v>
      </c>
      <c r="F317" s="274" t="s">
        <v>1280</v>
      </c>
      <c r="G317" s="274" t="s">
        <v>1281</v>
      </c>
      <c r="H317" s="276">
        <v>0</v>
      </c>
      <c r="I317" s="24">
        <v>103003</v>
      </c>
      <c r="J317" s="277">
        <v>671.14</v>
      </c>
      <c r="K317" s="276">
        <v>44</v>
      </c>
      <c r="L317" s="278">
        <v>0</v>
      </c>
      <c r="M317" s="279">
        <v>5.96</v>
      </c>
      <c r="N317" s="277">
        <v>3999.9944</v>
      </c>
      <c r="O317" s="280" t="s">
        <v>1282</v>
      </c>
      <c r="P317" s="279">
        <v>109</v>
      </c>
      <c r="Q317" s="281">
        <v>73154.259999999995</v>
      </c>
      <c r="R317" s="282">
        <v>45540</v>
      </c>
      <c r="S317" s="274" t="s">
        <v>1283</v>
      </c>
      <c r="T317" s="44">
        <v>1</v>
      </c>
      <c r="U317" s="283">
        <v>51</v>
      </c>
      <c r="V317" s="284">
        <v>28</v>
      </c>
      <c r="W317" s="285" t="s">
        <v>889</v>
      </c>
      <c r="X317" s="286" t="s">
        <v>889</v>
      </c>
      <c r="Y317" s="287">
        <v>0</v>
      </c>
      <c r="Z317" s="287">
        <v>11685</v>
      </c>
      <c r="AA317" s="286">
        <v>2023</v>
      </c>
      <c r="AB317" s="287">
        <v>40</v>
      </c>
      <c r="AC317" s="287">
        <v>40</v>
      </c>
      <c r="AD317" s="288" t="s">
        <v>2062</v>
      </c>
      <c r="AE317" s="289">
        <v>45215</v>
      </c>
      <c r="AF317" s="279">
        <v>16</v>
      </c>
      <c r="AG317" s="282">
        <v>45048</v>
      </c>
      <c r="AH317" s="282" t="s">
        <v>889</v>
      </c>
      <c r="AI317" s="282">
        <v>45182</v>
      </c>
      <c r="AJ317" s="282" t="s">
        <v>889</v>
      </c>
      <c r="AK317" s="274"/>
    </row>
    <row r="318" spans="1:37" x14ac:dyDescent="0.3">
      <c r="A318" s="273">
        <v>57598</v>
      </c>
      <c r="B318" s="274" t="s">
        <v>1333</v>
      </c>
      <c r="C318" s="146" t="s">
        <v>611</v>
      </c>
      <c r="D318" s="275">
        <v>4.87</v>
      </c>
      <c r="E318" s="274"/>
      <c r="F318" s="274"/>
      <c r="G318" s="274" t="s">
        <v>889</v>
      </c>
      <c r="H318" s="276">
        <v>160</v>
      </c>
      <c r="I318" s="24">
        <v>103003</v>
      </c>
      <c r="J318" s="277">
        <v>4.87</v>
      </c>
      <c r="K318" s="276">
        <v>856</v>
      </c>
      <c r="L318" s="278">
        <v>1.8658892128279883</v>
      </c>
      <c r="M318" s="279">
        <v>269</v>
      </c>
      <c r="N318" s="277">
        <v>1310.03</v>
      </c>
      <c r="O318" s="280" t="s">
        <v>888</v>
      </c>
      <c r="P318" s="279">
        <v>0</v>
      </c>
      <c r="Q318" s="281">
        <v>0</v>
      </c>
      <c r="R318" s="282" t="s">
        <v>889</v>
      </c>
      <c r="S318" s="274" t="s">
        <v>1308</v>
      </c>
      <c r="T318" s="44">
        <v>1</v>
      </c>
      <c r="U318" s="283">
        <v>51</v>
      </c>
      <c r="V318" s="284">
        <v>19</v>
      </c>
      <c r="W318" s="285" t="s">
        <v>889</v>
      </c>
      <c r="X318" s="286" t="s">
        <v>889</v>
      </c>
      <c r="Y318" s="287">
        <v>0</v>
      </c>
      <c r="Z318" s="287">
        <v>10437</v>
      </c>
      <c r="AA318" s="286">
        <v>2023</v>
      </c>
      <c r="AB318" s="287">
        <v>600</v>
      </c>
      <c r="AC318" s="287">
        <v>1000</v>
      </c>
      <c r="AD318" s="288" t="s">
        <v>2063</v>
      </c>
      <c r="AE318" s="289">
        <v>45197</v>
      </c>
      <c r="AF318" s="279">
        <v>344</v>
      </c>
      <c r="AG318" s="282">
        <v>45201</v>
      </c>
      <c r="AH318" s="282" t="s">
        <v>889</v>
      </c>
      <c r="AI318" s="282">
        <v>45160</v>
      </c>
      <c r="AJ318" s="282" t="s">
        <v>889</v>
      </c>
      <c r="AK318" s="274"/>
    </row>
    <row r="319" spans="1:37" x14ac:dyDescent="0.3">
      <c r="A319" s="273">
        <v>57900</v>
      </c>
      <c r="B319" s="274" t="s">
        <v>1334</v>
      </c>
      <c r="C319" s="146" t="s">
        <v>287</v>
      </c>
      <c r="D319" s="275">
        <v>366.6</v>
      </c>
      <c r="E319" s="274"/>
      <c r="F319" s="274"/>
      <c r="G319" s="274" t="s">
        <v>889</v>
      </c>
      <c r="H319" s="276">
        <v>30</v>
      </c>
      <c r="I319" s="24">
        <v>103003</v>
      </c>
      <c r="J319" s="277">
        <v>366.6</v>
      </c>
      <c r="K319" s="276">
        <v>27</v>
      </c>
      <c r="L319" s="278">
        <v>12.875536480686694</v>
      </c>
      <c r="M319" s="279">
        <v>0</v>
      </c>
      <c r="N319" s="277">
        <v>0</v>
      </c>
      <c r="O319" s="280" t="s">
        <v>888</v>
      </c>
      <c r="P319" s="279">
        <v>0</v>
      </c>
      <c r="Q319" s="281">
        <v>0</v>
      </c>
      <c r="R319" s="282" t="s">
        <v>889</v>
      </c>
      <c r="S319" s="274" t="s">
        <v>1335</v>
      </c>
      <c r="T319" s="44">
        <v>1</v>
      </c>
      <c r="U319" s="283">
        <v>76</v>
      </c>
      <c r="V319" s="284">
        <v>8</v>
      </c>
      <c r="W319" s="285" t="s">
        <v>889</v>
      </c>
      <c r="X319" s="286" t="s">
        <v>889</v>
      </c>
      <c r="Y319" s="287">
        <v>0</v>
      </c>
      <c r="Z319" s="287" t="s">
        <v>889</v>
      </c>
      <c r="AA319" s="286" t="s">
        <v>889</v>
      </c>
      <c r="AB319" s="287">
        <v>0</v>
      </c>
      <c r="AC319" s="287"/>
      <c r="AD319" s="288" t="s">
        <v>889</v>
      </c>
      <c r="AE319" s="289" t="s">
        <v>889</v>
      </c>
      <c r="AF319" s="279">
        <v>10</v>
      </c>
      <c r="AG319" s="282">
        <v>45208</v>
      </c>
      <c r="AH319" s="282" t="s">
        <v>889</v>
      </c>
      <c r="AI319" s="282">
        <v>45181</v>
      </c>
      <c r="AJ319" s="282" t="s">
        <v>889</v>
      </c>
      <c r="AK319" s="274"/>
    </row>
    <row r="320" spans="1:37" x14ac:dyDescent="0.3">
      <c r="A320" s="273">
        <v>58436</v>
      </c>
      <c r="B320" s="274" t="s">
        <v>1336</v>
      </c>
      <c r="C320" s="146" t="s">
        <v>263</v>
      </c>
      <c r="D320" s="275">
        <v>32</v>
      </c>
      <c r="E320" s="274"/>
      <c r="F320" s="274"/>
      <c r="G320" s="274" t="s">
        <v>889</v>
      </c>
      <c r="H320" s="276">
        <v>427</v>
      </c>
      <c r="I320" s="24">
        <v>103003</v>
      </c>
      <c r="J320" s="277">
        <v>32</v>
      </c>
      <c r="K320" s="276">
        <v>15</v>
      </c>
      <c r="L320" s="278">
        <v>341.6</v>
      </c>
      <c r="M320" s="279">
        <v>0</v>
      </c>
      <c r="N320" s="277">
        <v>0</v>
      </c>
      <c r="O320" s="280" t="s">
        <v>888</v>
      </c>
      <c r="P320" s="279">
        <v>0</v>
      </c>
      <c r="Q320" s="281">
        <v>0</v>
      </c>
      <c r="R320" s="282" t="s">
        <v>889</v>
      </c>
      <c r="S320" s="274" t="s">
        <v>1337</v>
      </c>
      <c r="T320" s="44">
        <v>1</v>
      </c>
      <c r="U320" s="283">
        <v>69</v>
      </c>
      <c r="V320" s="284">
        <v>2</v>
      </c>
      <c r="W320" s="285" t="s">
        <v>889</v>
      </c>
      <c r="X320" s="286" t="s">
        <v>889</v>
      </c>
      <c r="Y320" s="287">
        <v>0</v>
      </c>
      <c r="Z320" s="287" t="s">
        <v>889</v>
      </c>
      <c r="AA320" s="286" t="s">
        <v>889</v>
      </c>
      <c r="AB320" s="287">
        <v>0</v>
      </c>
      <c r="AC320" s="287"/>
      <c r="AD320" s="288" t="s">
        <v>889</v>
      </c>
      <c r="AE320" s="289" t="s">
        <v>889</v>
      </c>
      <c r="AF320" s="279">
        <v>6</v>
      </c>
      <c r="AG320" s="282">
        <v>44586</v>
      </c>
      <c r="AH320" s="282" t="s">
        <v>889</v>
      </c>
      <c r="AI320" s="282">
        <v>44547</v>
      </c>
      <c r="AJ320" s="282" t="s">
        <v>889</v>
      </c>
      <c r="AK320" s="274"/>
    </row>
    <row r="321" spans="1:37" x14ac:dyDescent="0.3">
      <c r="A321" s="273">
        <v>58706</v>
      </c>
      <c r="B321" s="274" t="s">
        <v>1338</v>
      </c>
      <c r="C321" s="146" t="s">
        <v>263</v>
      </c>
      <c r="D321" s="275">
        <v>88.22</v>
      </c>
      <c r="E321" s="274"/>
      <c r="F321" s="274"/>
      <c r="G321" s="274" t="s">
        <v>889</v>
      </c>
      <c r="H321" s="276">
        <v>0</v>
      </c>
      <c r="I321" s="24">
        <v>103003</v>
      </c>
      <c r="J321" s="277">
        <v>88.22</v>
      </c>
      <c r="K321" s="276">
        <v>296</v>
      </c>
      <c r="L321" s="278">
        <v>0</v>
      </c>
      <c r="M321" s="279">
        <v>407.04</v>
      </c>
      <c r="N321" s="277">
        <v>35909.068800000001</v>
      </c>
      <c r="O321" s="280" t="s">
        <v>888</v>
      </c>
      <c r="P321" s="279">
        <v>0</v>
      </c>
      <c r="Q321" s="281">
        <v>0</v>
      </c>
      <c r="R321" s="282" t="s">
        <v>889</v>
      </c>
      <c r="S321" s="274" t="s">
        <v>1339</v>
      </c>
      <c r="T321" s="44">
        <v>1</v>
      </c>
      <c r="U321" s="283">
        <v>74</v>
      </c>
      <c r="V321" s="284">
        <v>3</v>
      </c>
      <c r="W321" s="285" t="s">
        <v>889</v>
      </c>
      <c r="X321" s="286" t="s">
        <v>889</v>
      </c>
      <c r="Y321" s="287">
        <v>0</v>
      </c>
      <c r="Z321" s="287" t="s">
        <v>889</v>
      </c>
      <c r="AA321" s="286" t="s">
        <v>889</v>
      </c>
      <c r="AB321" s="287">
        <v>0</v>
      </c>
      <c r="AC321" s="287"/>
      <c r="AD321" s="288" t="s">
        <v>889</v>
      </c>
      <c r="AE321" s="289" t="s">
        <v>889</v>
      </c>
      <c r="AF321" s="279">
        <v>136</v>
      </c>
      <c r="AG321" s="282">
        <v>44974</v>
      </c>
      <c r="AH321" s="282" t="s">
        <v>889</v>
      </c>
      <c r="AI321" s="282">
        <v>45210</v>
      </c>
      <c r="AJ321" s="282" t="s">
        <v>889</v>
      </c>
      <c r="AK321" s="274"/>
    </row>
    <row r="322" spans="1:37" x14ac:dyDescent="0.3">
      <c r="A322" s="273">
        <v>59018</v>
      </c>
      <c r="B322" s="274" t="s">
        <v>1340</v>
      </c>
      <c r="C322" s="146" t="s">
        <v>345</v>
      </c>
      <c r="D322" s="275">
        <v>146.83000000000001</v>
      </c>
      <c r="E322" s="274"/>
      <c r="F322" s="274"/>
      <c r="G322" s="274" t="s">
        <v>889</v>
      </c>
      <c r="H322" s="276">
        <v>732</v>
      </c>
      <c r="I322" s="24">
        <v>103003</v>
      </c>
      <c r="J322" s="277">
        <v>146.83000000000001</v>
      </c>
      <c r="K322" s="276">
        <v>166</v>
      </c>
      <c r="L322" s="278">
        <v>52.285714285714285</v>
      </c>
      <c r="M322" s="279">
        <v>0</v>
      </c>
      <c r="N322" s="277">
        <v>0</v>
      </c>
      <c r="O322" s="280" t="s">
        <v>888</v>
      </c>
      <c r="P322" s="279">
        <v>0</v>
      </c>
      <c r="Q322" s="281">
        <v>0</v>
      </c>
      <c r="R322" s="282" t="s">
        <v>889</v>
      </c>
      <c r="S322" s="274" t="s">
        <v>1259</v>
      </c>
      <c r="T322" s="44">
        <v>1</v>
      </c>
      <c r="U322" s="283">
        <v>69</v>
      </c>
      <c r="V322" s="284">
        <v>3</v>
      </c>
      <c r="W322" s="285" t="s">
        <v>889</v>
      </c>
      <c r="X322" s="286" t="s">
        <v>889</v>
      </c>
      <c r="Y322" s="287">
        <v>0</v>
      </c>
      <c r="Z322" s="287" t="s">
        <v>889</v>
      </c>
      <c r="AA322" s="286" t="s">
        <v>889</v>
      </c>
      <c r="AB322" s="287">
        <v>0</v>
      </c>
      <c r="AC322" s="287"/>
      <c r="AD322" s="288" t="s">
        <v>889</v>
      </c>
      <c r="AE322" s="289" t="s">
        <v>889</v>
      </c>
      <c r="AF322" s="279">
        <v>56</v>
      </c>
      <c r="AG322" s="282">
        <v>44579</v>
      </c>
      <c r="AH322" s="282" t="s">
        <v>889</v>
      </c>
      <c r="AI322" s="282">
        <v>44781</v>
      </c>
      <c r="AJ322" s="282" t="s">
        <v>889</v>
      </c>
      <c r="AK322" s="274"/>
    </row>
    <row r="323" spans="1:37" x14ac:dyDescent="0.3">
      <c r="A323" s="273">
        <v>59069</v>
      </c>
      <c r="B323" s="274" t="s">
        <v>1341</v>
      </c>
      <c r="C323" s="146" t="s">
        <v>263</v>
      </c>
      <c r="D323" s="275">
        <v>6.49</v>
      </c>
      <c r="E323" s="274"/>
      <c r="F323" s="274"/>
      <c r="G323" s="274" t="s">
        <v>889</v>
      </c>
      <c r="H323" s="276">
        <v>117</v>
      </c>
      <c r="I323" s="24">
        <v>103003</v>
      </c>
      <c r="J323" s="277">
        <v>6.49</v>
      </c>
      <c r="K323" s="276">
        <v>48</v>
      </c>
      <c r="L323" s="278">
        <v>29.25</v>
      </c>
      <c r="M323" s="279">
        <v>0</v>
      </c>
      <c r="N323" s="277">
        <v>0</v>
      </c>
      <c r="O323" s="280" t="s">
        <v>888</v>
      </c>
      <c r="P323" s="279">
        <v>0</v>
      </c>
      <c r="Q323" s="281">
        <v>0</v>
      </c>
      <c r="R323" s="282" t="s">
        <v>889</v>
      </c>
      <c r="S323" s="274" t="s">
        <v>966</v>
      </c>
      <c r="T323" s="44">
        <v>1</v>
      </c>
      <c r="U323" s="283">
        <v>61</v>
      </c>
      <c r="V323" s="284">
        <v>8</v>
      </c>
      <c r="W323" s="285" t="s">
        <v>889</v>
      </c>
      <c r="X323" s="286" t="s">
        <v>889</v>
      </c>
      <c r="Y323" s="287">
        <v>0</v>
      </c>
      <c r="Z323" s="287" t="s">
        <v>889</v>
      </c>
      <c r="AA323" s="286" t="s">
        <v>889</v>
      </c>
      <c r="AB323" s="287">
        <v>0</v>
      </c>
      <c r="AC323" s="287"/>
      <c r="AD323" s="288" t="s">
        <v>889</v>
      </c>
      <c r="AE323" s="289" t="s">
        <v>889</v>
      </c>
      <c r="AF323" s="279">
        <v>16</v>
      </c>
      <c r="AG323" s="282">
        <v>44560</v>
      </c>
      <c r="AH323" s="282" t="s">
        <v>889</v>
      </c>
      <c r="AI323" s="282">
        <v>44522</v>
      </c>
      <c r="AJ323" s="282" t="s">
        <v>889</v>
      </c>
      <c r="AK323" s="274"/>
    </row>
    <row r="324" spans="1:37" x14ac:dyDescent="0.3">
      <c r="A324" s="273">
        <v>59074</v>
      </c>
      <c r="B324" s="274" t="s">
        <v>1342</v>
      </c>
      <c r="C324" s="146" t="s">
        <v>1343</v>
      </c>
      <c r="D324" s="275">
        <v>2.4900000000000002</v>
      </c>
      <c r="E324" s="274"/>
      <c r="F324" s="274"/>
      <c r="G324" s="274" t="s">
        <v>889</v>
      </c>
      <c r="H324" s="276">
        <v>0</v>
      </c>
      <c r="I324" s="24">
        <v>103003</v>
      </c>
      <c r="J324" s="277">
        <v>2.4900000000000002</v>
      </c>
      <c r="K324" s="276">
        <v>1299</v>
      </c>
      <c r="L324" s="278">
        <v>0</v>
      </c>
      <c r="M324" s="279">
        <v>448.04</v>
      </c>
      <c r="N324" s="277">
        <v>1115.6196</v>
      </c>
      <c r="O324" s="280" t="s">
        <v>888</v>
      </c>
      <c r="P324" s="279">
        <v>0</v>
      </c>
      <c r="Q324" s="281">
        <v>0</v>
      </c>
      <c r="R324" s="282" t="s">
        <v>889</v>
      </c>
      <c r="S324" s="274" t="s">
        <v>941</v>
      </c>
      <c r="T324" s="44">
        <v>1</v>
      </c>
      <c r="U324" s="283">
        <v>45</v>
      </c>
      <c r="V324" s="284">
        <v>11</v>
      </c>
      <c r="W324" s="285">
        <v>6978</v>
      </c>
      <c r="X324" s="286">
        <v>2023</v>
      </c>
      <c r="Y324" s="287">
        <v>1000</v>
      </c>
      <c r="Z324" s="287" t="s">
        <v>889</v>
      </c>
      <c r="AA324" s="286" t="s">
        <v>889</v>
      </c>
      <c r="AB324" s="287">
        <v>0</v>
      </c>
      <c r="AC324" s="287"/>
      <c r="AD324" s="288" t="s">
        <v>889</v>
      </c>
      <c r="AE324" s="289" t="s">
        <v>889</v>
      </c>
      <c r="AF324" s="279">
        <v>482</v>
      </c>
      <c r="AG324" s="282">
        <v>43635</v>
      </c>
      <c r="AH324" s="282" t="s">
        <v>889</v>
      </c>
      <c r="AI324" s="282">
        <v>45107</v>
      </c>
      <c r="AJ324" s="282" t="s">
        <v>889</v>
      </c>
      <c r="AK324" s="274"/>
    </row>
    <row r="325" spans="1:37" x14ac:dyDescent="0.3">
      <c r="A325" s="273">
        <v>59097</v>
      </c>
      <c r="B325" s="274" t="s">
        <v>1344</v>
      </c>
      <c r="C325" s="146" t="s">
        <v>345</v>
      </c>
      <c r="D325" s="275">
        <v>139</v>
      </c>
      <c r="E325" s="274"/>
      <c r="F325" s="274"/>
      <c r="G325" s="274" t="s">
        <v>889</v>
      </c>
      <c r="H325" s="276">
        <v>0</v>
      </c>
      <c r="I325" s="24">
        <v>103003</v>
      </c>
      <c r="J325" s="277">
        <v>139</v>
      </c>
      <c r="K325" s="276">
        <v>61</v>
      </c>
      <c r="L325" s="278">
        <v>0</v>
      </c>
      <c r="M325" s="279">
        <v>0</v>
      </c>
      <c r="N325" s="277">
        <v>0</v>
      </c>
      <c r="O325" s="280" t="s">
        <v>888</v>
      </c>
      <c r="P325" s="279">
        <v>0</v>
      </c>
      <c r="Q325" s="281">
        <v>0</v>
      </c>
      <c r="R325" s="282" t="s">
        <v>889</v>
      </c>
      <c r="S325" s="274" t="s">
        <v>966</v>
      </c>
      <c r="T325" s="44">
        <v>1</v>
      </c>
      <c r="U325" s="283">
        <v>61</v>
      </c>
      <c r="V325" s="284">
        <v>8</v>
      </c>
      <c r="W325" s="285" t="s">
        <v>889</v>
      </c>
      <c r="X325" s="286" t="s">
        <v>889</v>
      </c>
      <c r="Y325" s="287">
        <v>0</v>
      </c>
      <c r="Z325" s="287">
        <v>9656</v>
      </c>
      <c r="AA325" s="286">
        <v>2023</v>
      </c>
      <c r="AB325" s="287">
        <v>100</v>
      </c>
      <c r="AC325" s="287">
        <v>100</v>
      </c>
      <c r="AD325" s="288" t="s">
        <v>2055</v>
      </c>
      <c r="AE325" s="289">
        <v>45162</v>
      </c>
      <c r="AF325" s="279">
        <v>22</v>
      </c>
      <c r="AG325" s="282">
        <v>44950</v>
      </c>
      <c r="AH325" s="282" t="s">
        <v>889</v>
      </c>
      <c r="AI325" s="282">
        <v>45145</v>
      </c>
      <c r="AJ325" s="282" t="s">
        <v>889</v>
      </c>
      <c r="AK325" s="274"/>
    </row>
    <row r="326" spans="1:37" x14ac:dyDescent="0.3">
      <c r="A326" s="273">
        <v>59400</v>
      </c>
      <c r="B326" s="274" t="s">
        <v>1345</v>
      </c>
      <c r="C326" s="146" t="s">
        <v>263</v>
      </c>
      <c r="D326" s="275">
        <v>1.7</v>
      </c>
      <c r="E326" s="274"/>
      <c r="F326" s="274"/>
      <c r="G326" s="274" t="s">
        <v>889</v>
      </c>
      <c r="H326" s="276">
        <v>138</v>
      </c>
      <c r="I326" s="24">
        <v>103003</v>
      </c>
      <c r="J326" s="277">
        <v>1.7</v>
      </c>
      <c r="K326" s="276">
        <v>60</v>
      </c>
      <c r="L326" s="278">
        <v>27.6</v>
      </c>
      <c r="M326" s="279">
        <v>0</v>
      </c>
      <c r="N326" s="277">
        <v>0</v>
      </c>
      <c r="O326" s="280" t="s">
        <v>888</v>
      </c>
      <c r="P326" s="279">
        <v>0</v>
      </c>
      <c r="Q326" s="281">
        <v>0</v>
      </c>
      <c r="R326" s="282" t="s">
        <v>889</v>
      </c>
      <c r="S326" s="274" t="s">
        <v>966</v>
      </c>
      <c r="T326" s="44">
        <v>1</v>
      </c>
      <c r="U326" s="283">
        <v>61</v>
      </c>
      <c r="V326" s="284">
        <v>8</v>
      </c>
      <c r="W326" s="285" t="s">
        <v>889</v>
      </c>
      <c r="X326" s="286" t="s">
        <v>889</v>
      </c>
      <c r="Y326" s="287">
        <v>0</v>
      </c>
      <c r="Z326" s="287" t="s">
        <v>889</v>
      </c>
      <c r="AA326" s="286" t="s">
        <v>889</v>
      </c>
      <c r="AB326" s="287">
        <v>0</v>
      </c>
      <c r="AC326" s="287"/>
      <c r="AD326" s="288" t="s">
        <v>889</v>
      </c>
      <c r="AE326" s="289" t="s">
        <v>889</v>
      </c>
      <c r="AF326" s="279">
        <v>20</v>
      </c>
      <c r="AG326" s="282">
        <v>44833</v>
      </c>
      <c r="AH326" s="282" t="s">
        <v>889</v>
      </c>
      <c r="AI326" s="282">
        <v>44813</v>
      </c>
      <c r="AJ326" s="282" t="s">
        <v>889</v>
      </c>
      <c r="AK326" s="274"/>
    </row>
    <row r="327" spans="1:37" x14ac:dyDescent="0.3">
      <c r="A327" s="273">
        <v>59882</v>
      </c>
      <c r="B327" s="274" t="s">
        <v>1346</v>
      </c>
      <c r="C327" s="146" t="s">
        <v>345</v>
      </c>
      <c r="D327" s="275">
        <v>47</v>
      </c>
      <c r="E327" s="274"/>
      <c r="F327" s="274"/>
      <c r="G327" s="274" t="s">
        <v>889</v>
      </c>
      <c r="H327" s="276">
        <v>1986</v>
      </c>
      <c r="I327" s="24">
        <v>103003</v>
      </c>
      <c r="J327" s="277">
        <v>46.943440000000002</v>
      </c>
      <c r="K327" s="276">
        <v>669</v>
      </c>
      <c r="L327" s="278">
        <v>29.422222222222221</v>
      </c>
      <c r="M327" s="279">
        <v>0</v>
      </c>
      <c r="N327" s="277">
        <v>0</v>
      </c>
      <c r="O327" s="280" t="s">
        <v>888</v>
      </c>
      <c r="P327" s="279">
        <v>0</v>
      </c>
      <c r="Q327" s="281">
        <v>0</v>
      </c>
      <c r="R327" s="282" t="s">
        <v>889</v>
      </c>
      <c r="S327" s="274" t="s">
        <v>1347</v>
      </c>
      <c r="T327" s="44">
        <v>1</v>
      </c>
      <c r="U327" s="283">
        <v>69</v>
      </c>
      <c r="V327" s="284">
        <v>8</v>
      </c>
      <c r="W327" s="285" t="s">
        <v>889</v>
      </c>
      <c r="X327" s="286" t="s">
        <v>889</v>
      </c>
      <c r="Y327" s="287">
        <v>0</v>
      </c>
      <c r="Z327" s="287" t="s">
        <v>889</v>
      </c>
      <c r="AA327" s="286" t="s">
        <v>889</v>
      </c>
      <c r="AB327" s="287">
        <v>0</v>
      </c>
      <c r="AC327" s="287"/>
      <c r="AD327" s="288" t="s">
        <v>889</v>
      </c>
      <c r="AE327" s="289" t="s">
        <v>889</v>
      </c>
      <c r="AF327" s="279">
        <v>270</v>
      </c>
      <c r="AG327" s="282">
        <v>45181</v>
      </c>
      <c r="AH327" s="282" t="s">
        <v>889</v>
      </c>
      <c r="AI327" s="282">
        <v>45141</v>
      </c>
      <c r="AJ327" s="282" t="s">
        <v>889</v>
      </c>
      <c r="AK327" s="274"/>
    </row>
    <row r="328" spans="1:37" x14ac:dyDescent="0.3">
      <c r="A328" s="273">
        <v>59942</v>
      </c>
      <c r="B328" s="274" t="s">
        <v>1348</v>
      </c>
      <c r="C328" s="146" t="s">
        <v>345</v>
      </c>
      <c r="D328" s="275">
        <v>31.4</v>
      </c>
      <c r="E328" s="274"/>
      <c r="F328" s="274"/>
      <c r="G328" s="274" t="s">
        <v>889</v>
      </c>
      <c r="H328" s="276">
        <v>508</v>
      </c>
      <c r="I328" s="24">
        <v>103003</v>
      </c>
      <c r="J328" s="277">
        <v>31.4</v>
      </c>
      <c r="K328" s="276">
        <v>116</v>
      </c>
      <c r="L328" s="278">
        <v>48.015122873345931</v>
      </c>
      <c r="M328" s="279">
        <v>0</v>
      </c>
      <c r="N328" s="277">
        <v>0</v>
      </c>
      <c r="O328" s="280" t="s">
        <v>888</v>
      </c>
      <c r="P328" s="279">
        <v>0</v>
      </c>
      <c r="Q328" s="281">
        <v>0</v>
      </c>
      <c r="R328" s="282" t="s">
        <v>889</v>
      </c>
      <c r="S328" s="274" t="s">
        <v>1347</v>
      </c>
      <c r="T328" s="44">
        <v>1</v>
      </c>
      <c r="U328" s="283">
        <v>69</v>
      </c>
      <c r="V328" s="284">
        <v>8</v>
      </c>
      <c r="W328" s="285" t="s">
        <v>889</v>
      </c>
      <c r="X328" s="286" t="s">
        <v>889</v>
      </c>
      <c r="Y328" s="287">
        <v>0</v>
      </c>
      <c r="Z328" s="287" t="s">
        <v>889</v>
      </c>
      <c r="AA328" s="286" t="s">
        <v>889</v>
      </c>
      <c r="AB328" s="287">
        <v>0</v>
      </c>
      <c r="AC328" s="287"/>
      <c r="AD328" s="288" t="s">
        <v>889</v>
      </c>
      <c r="AE328" s="289" t="s">
        <v>889</v>
      </c>
      <c r="AF328" s="279">
        <v>42</v>
      </c>
      <c r="AG328" s="282">
        <v>44551</v>
      </c>
      <c r="AH328" s="282" t="s">
        <v>889</v>
      </c>
      <c r="AI328" s="282">
        <v>45141</v>
      </c>
      <c r="AJ328" s="282" t="s">
        <v>889</v>
      </c>
      <c r="AK328" s="274"/>
    </row>
    <row r="329" spans="1:37" x14ac:dyDescent="0.3">
      <c r="A329" s="273">
        <v>60116</v>
      </c>
      <c r="B329" s="274" t="s">
        <v>1349</v>
      </c>
      <c r="C329" s="146" t="s">
        <v>263</v>
      </c>
      <c r="D329" s="275">
        <v>7.2</v>
      </c>
      <c r="E329" s="274"/>
      <c r="F329" s="274"/>
      <c r="G329" s="274" t="s">
        <v>889</v>
      </c>
      <c r="H329" s="276">
        <v>141</v>
      </c>
      <c r="I329" s="24">
        <v>103003</v>
      </c>
      <c r="J329" s="277">
        <v>7.2</v>
      </c>
      <c r="K329" s="276">
        <v>68</v>
      </c>
      <c r="L329" s="278">
        <v>18.8</v>
      </c>
      <c r="M329" s="279">
        <v>0</v>
      </c>
      <c r="N329" s="277">
        <v>0</v>
      </c>
      <c r="O329" s="280" t="s">
        <v>888</v>
      </c>
      <c r="P329" s="279">
        <v>0</v>
      </c>
      <c r="Q329" s="281">
        <v>0</v>
      </c>
      <c r="R329" s="282" t="s">
        <v>889</v>
      </c>
      <c r="S329" s="274" t="s">
        <v>1350</v>
      </c>
      <c r="T329" s="44">
        <v>1</v>
      </c>
      <c r="U329" s="283">
        <v>61</v>
      </c>
      <c r="V329" s="284">
        <v>3</v>
      </c>
      <c r="W329" s="285" t="s">
        <v>889</v>
      </c>
      <c r="X329" s="286" t="s">
        <v>889</v>
      </c>
      <c r="Y329" s="287">
        <v>0</v>
      </c>
      <c r="Z329" s="287" t="s">
        <v>889</v>
      </c>
      <c r="AA329" s="286" t="s">
        <v>889</v>
      </c>
      <c r="AB329" s="287">
        <v>0</v>
      </c>
      <c r="AC329" s="287"/>
      <c r="AD329" s="288" t="s">
        <v>889</v>
      </c>
      <c r="AE329" s="289" t="s">
        <v>889</v>
      </c>
      <c r="AF329" s="279">
        <v>30</v>
      </c>
      <c r="AG329" s="282">
        <v>45169</v>
      </c>
      <c r="AH329" s="282" t="s">
        <v>889</v>
      </c>
      <c r="AI329" s="282">
        <v>45145</v>
      </c>
      <c r="AJ329" s="282" t="s">
        <v>889</v>
      </c>
      <c r="AK329" s="274"/>
    </row>
    <row r="330" spans="1:37" x14ac:dyDescent="0.3">
      <c r="A330" s="273">
        <v>60517</v>
      </c>
      <c r="B330" s="274" t="s">
        <v>1351</v>
      </c>
      <c r="C330" s="146" t="s">
        <v>345</v>
      </c>
      <c r="D330" s="275">
        <v>75.56</v>
      </c>
      <c r="E330" s="274"/>
      <c r="F330" s="274"/>
      <c r="G330" s="274" t="s">
        <v>889</v>
      </c>
      <c r="H330" s="276">
        <v>1781</v>
      </c>
      <c r="I330" s="24">
        <v>103003</v>
      </c>
      <c r="J330" s="277">
        <v>75.56</v>
      </c>
      <c r="K330" s="276">
        <v>12</v>
      </c>
      <c r="L330" s="278">
        <v>98.018712162905885</v>
      </c>
      <c r="M330" s="279">
        <v>0</v>
      </c>
      <c r="N330" s="277">
        <v>0</v>
      </c>
      <c r="O330" s="280" t="s">
        <v>888</v>
      </c>
      <c r="P330" s="279">
        <v>0</v>
      </c>
      <c r="Q330" s="281">
        <v>0</v>
      </c>
      <c r="R330" s="282" t="s">
        <v>889</v>
      </c>
      <c r="S330" s="274" t="s">
        <v>1225</v>
      </c>
      <c r="T330" s="44">
        <v>1</v>
      </c>
      <c r="U330" s="283">
        <v>51</v>
      </c>
      <c r="V330" s="284">
        <v>13</v>
      </c>
      <c r="W330" s="285" t="s">
        <v>889</v>
      </c>
      <c r="X330" s="286" t="s">
        <v>889</v>
      </c>
      <c r="Y330" s="287">
        <v>0</v>
      </c>
      <c r="Z330" s="287" t="s">
        <v>889</v>
      </c>
      <c r="AA330" s="286" t="s">
        <v>889</v>
      </c>
      <c r="AB330" s="287">
        <v>0</v>
      </c>
      <c r="AC330" s="287"/>
      <c r="AD330" s="288" t="s">
        <v>889</v>
      </c>
      <c r="AE330" s="289" t="s">
        <v>889</v>
      </c>
      <c r="AF330" s="279">
        <v>72</v>
      </c>
      <c r="AG330" s="282">
        <v>44505</v>
      </c>
      <c r="AH330" s="282" t="s">
        <v>889</v>
      </c>
      <c r="AI330" s="282">
        <v>44882</v>
      </c>
      <c r="AJ330" s="282" t="s">
        <v>889</v>
      </c>
      <c r="AK330" s="274"/>
    </row>
    <row r="331" spans="1:37" x14ac:dyDescent="0.3">
      <c r="A331" s="273">
        <v>60830</v>
      </c>
      <c r="B331" s="274" t="s">
        <v>1352</v>
      </c>
      <c r="C331" s="146" t="s">
        <v>263</v>
      </c>
      <c r="D331" s="275">
        <v>0.98</v>
      </c>
      <c r="E331" s="274"/>
      <c r="F331" s="274"/>
      <c r="G331" s="274" t="s">
        <v>889</v>
      </c>
      <c r="H331" s="276">
        <v>78</v>
      </c>
      <c r="I331" s="24">
        <v>103003</v>
      </c>
      <c r="J331" s="277">
        <v>0.98</v>
      </c>
      <c r="K331" s="276"/>
      <c r="L331" s="278">
        <v>0</v>
      </c>
      <c r="M331" s="279">
        <v>0</v>
      </c>
      <c r="N331" s="277">
        <v>0</v>
      </c>
      <c r="O331" s="280" t="s">
        <v>888</v>
      </c>
      <c r="P331" s="279">
        <v>0</v>
      </c>
      <c r="Q331" s="281">
        <v>0</v>
      </c>
      <c r="R331" s="282" t="s">
        <v>889</v>
      </c>
      <c r="S331" s="274" t="s">
        <v>966</v>
      </c>
      <c r="T331" s="44">
        <v>1</v>
      </c>
      <c r="U331" s="283">
        <v>61</v>
      </c>
      <c r="V331" s="284">
        <v>8</v>
      </c>
      <c r="W331" s="285" t="s">
        <v>889</v>
      </c>
      <c r="X331" s="286" t="s">
        <v>889</v>
      </c>
      <c r="Y331" s="287">
        <v>0</v>
      </c>
      <c r="Z331" s="287" t="s">
        <v>889</v>
      </c>
      <c r="AA331" s="286" t="s">
        <v>889</v>
      </c>
      <c r="AB331" s="287">
        <v>0</v>
      </c>
      <c r="AC331" s="287"/>
      <c r="AD331" s="288" t="s">
        <v>889</v>
      </c>
      <c r="AE331" s="289" t="s">
        <v>889</v>
      </c>
      <c r="AF331" s="279">
        <v>0</v>
      </c>
      <c r="AG331" s="282">
        <v>44078</v>
      </c>
      <c r="AH331" s="282" t="s">
        <v>889</v>
      </c>
      <c r="AI331" s="282">
        <v>44029</v>
      </c>
      <c r="AJ331" s="282" t="s">
        <v>889</v>
      </c>
      <c r="AK331" s="274"/>
    </row>
    <row r="332" spans="1:37" x14ac:dyDescent="0.3">
      <c r="A332" s="273">
        <v>60889</v>
      </c>
      <c r="B332" s="274" t="s">
        <v>1353</v>
      </c>
      <c r="C332" s="146" t="s">
        <v>345</v>
      </c>
      <c r="D332" s="275">
        <v>34.659999999999997</v>
      </c>
      <c r="E332" s="274"/>
      <c r="F332" s="274"/>
      <c r="G332" s="274" t="s">
        <v>889</v>
      </c>
      <c r="H332" s="276">
        <v>408</v>
      </c>
      <c r="I332" s="24">
        <v>103003</v>
      </c>
      <c r="J332" s="277">
        <v>34.659999999999997</v>
      </c>
      <c r="K332" s="276">
        <v>1224</v>
      </c>
      <c r="L332" s="278">
        <v>2.5172754195459031</v>
      </c>
      <c r="M332" s="279">
        <v>1236.96</v>
      </c>
      <c r="N332" s="277">
        <v>42873.033600000002</v>
      </c>
      <c r="O332" s="280" t="s">
        <v>888</v>
      </c>
      <c r="P332" s="279">
        <v>0</v>
      </c>
      <c r="Q332" s="281">
        <v>0</v>
      </c>
      <c r="R332" s="282" t="s">
        <v>889</v>
      </c>
      <c r="S332" s="274" t="s">
        <v>990</v>
      </c>
      <c r="T332" s="44">
        <v>1</v>
      </c>
      <c r="U332" s="283">
        <v>55</v>
      </c>
      <c r="V332" s="284">
        <v>32</v>
      </c>
      <c r="W332" s="285">
        <v>2956</v>
      </c>
      <c r="X332" s="286">
        <v>2023</v>
      </c>
      <c r="Y332" s="287">
        <v>300</v>
      </c>
      <c r="Z332" s="287" t="s">
        <v>889</v>
      </c>
      <c r="AA332" s="286" t="s">
        <v>889</v>
      </c>
      <c r="AB332" s="287">
        <v>0</v>
      </c>
      <c r="AC332" s="287"/>
      <c r="AD332" s="288" t="s">
        <v>889</v>
      </c>
      <c r="AE332" s="289" t="s">
        <v>889</v>
      </c>
      <c r="AF332" s="279">
        <v>648</v>
      </c>
      <c r="AG332" s="282">
        <v>44874</v>
      </c>
      <c r="AH332" s="282" t="s">
        <v>889</v>
      </c>
      <c r="AI332" s="282">
        <v>44845</v>
      </c>
      <c r="AJ332" s="282" t="s">
        <v>889</v>
      </c>
      <c r="AK332" s="274"/>
    </row>
    <row r="333" spans="1:37" x14ac:dyDescent="0.3">
      <c r="A333" s="273">
        <v>60973</v>
      </c>
      <c r="B333" s="274" t="s">
        <v>1354</v>
      </c>
      <c r="C333" s="146" t="s">
        <v>263</v>
      </c>
      <c r="D333" s="275">
        <v>9.0299999999999994</v>
      </c>
      <c r="E333" s="274"/>
      <c r="F333" s="274"/>
      <c r="G333" s="274" t="s">
        <v>889</v>
      </c>
      <c r="H333" s="276">
        <v>50</v>
      </c>
      <c r="I333" s="24">
        <v>103003</v>
      </c>
      <c r="J333" s="277">
        <v>9.0299999999999994</v>
      </c>
      <c r="K333" s="276">
        <v>63</v>
      </c>
      <c r="L333" s="278">
        <v>9.5238095238095237</v>
      </c>
      <c r="M333" s="279">
        <v>13</v>
      </c>
      <c r="N333" s="277">
        <v>117.39</v>
      </c>
      <c r="O333" s="280" t="s">
        <v>888</v>
      </c>
      <c r="P333" s="279">
        <v>0</v>
      </c>
      <c r="Q333" s="281">
        <v>0</v>
      </c>
      <c r="R333" s="282" t="s">
        <v>889</v>
      </c>
      <c r="S333" s="274" t="s">
        <v>1203</v>
      </c>
      <c r="T333" s="44">
        <v>1</v>
      </c>
      <c r="U333" s="283">
        <v>83</v>
      </c>
      <c r="V333" s="284">
        <v>3</v>
      </c>
      <c r="W333" s="285" t="s">
        <v>889</v>
      </c>
      <c r="X333" s="286" t="s">
        <v>889</v>
      </c>
      <c r="Y333" s="287">
        <v>0</v>
      </c>
      <c r="Z333" s="287" t="s">
        <v>889</v>
      </c>
      <c r="AA333" s="286" t="s">
        <v>889</v>
      </c>
      <c r="AB333" s="287">
        <v>0</v>
      </c>
      <c r="AC333" s="287"/>
      <c r="AD333" s="288" t="s">
        <v>889</v>
      </c>
      <c r="AE333" s="289" t="s">
        <v>889</v>
      </c>
      <c r="AF333" s="279">
        <v>22</v>
      </c>
      <c r="AG333" s="282">
        <v>45203</v>
      </c>
      <c r="AH333" s="282" t="s">
        <v>889</v>
      </c>
      <c r="AI333" s="282">
        <v>45189</v>
      </c>
      <c r="AJ333" s="282" t="s">
        <v>889</v>
      </c>
      <c r="AK333" s="274"/>
    </row>
    <row r="334" spans="1:37" x14ac:dyDescent="0.3">
      <c r="A334" s="273">
        <v>61046</v>
      </c>
      <c r="B334" s="274" t="s">
        <v>1355</v>
      </c>
      <c r="C334" s="146" t="s">
        <v>345</v>
      </c>
      <c r="D334" s="275">
        <v>144</v>
      </c>
      <c r="E334" s="274"/>
      <c r="F334" s="274"/>
      <c r="G334" s="274" t="s">
        <v>889</v>
      </c>
      <c r="H334" s="276">
        <v>496</v>
      </c>
      <c r="I334" s="24">
        <v>103003</v>
      </c>
      <c r="J334" s="277">
        <v>144</v>
      </c>
      <c r="K334" s="276">
        <v>13</v>
      </c>
      <c r="L334" s="278">
        <v>459.25925925925924</v>
      </c>
      <c r="M334" s="279">
        <v>0</v>
      </c>
      <c r="N334" s="277">
        <v>0</v>
      </c>
      <c r="O334" s="280" t="s">
        <v>888</v>
      </c>
      <c r="P334" s="279">
        <v>0</v>
      </c>
      <c r="Q334" s="281">
        <v>0</v>
      </c>
      <c r="R334" s="282" t="s">
        <v>889</v>
      </c>
      <c r="S334" s="274" t="s">
        <v>1259</v>
      </c>
      <c r="T334" s="44">
        <v>1</v>
      </c>
      <c r="U334" s="283">
        <v>69</v>
      </c>
      <c r="V334" s="284">
        <v>3</v>
      </c>
      <c r="W334" s="285" t="s">
        <v>889</v>
      </c>
      <c r="X334" s="286" t="s">
        <v>889</v>
      </c>
      <c r="Y334" s="287">
        <v>0</v>
      </c>
      <c r="Z334" s="287" t="s">
        <v>889</v>
      </c>
      <c r="AA334" s="286" t="s">
        <v>889</v>
      </c>
      <c r="AB334" s="287">
        <v>0</v>
      </c>
      <c r="AC334" s="287"/>
      <c r="AD334" s="288" t="s">
        <v>889</v>
      </c>
      <c r="AE334" s="289" t="s">
        <v>889</v>
      </c>
      <c r="AF334" s="279">
        <v>4</v>
      </c>
      <c r="AG334" s="282">
        <v>44510</v>
      </c>
      <c r="AH334" s="282" t="s">
        <v>889</v>
      </c>
      <c r="AI334" s="282">
        <v>44483</v>
      </c>
      <c r="AJ334" s="282" t="s">
        <v>889</v>
      </c>
      <c r="AK334" s="274"/>
    </row>
    <row r="335" spans="1:37" x14ac:dyDescent="0.3">
      <c r="A335" s="273">
        <v>61200</v>
      </c>
      <c r="B335" s="274" t="s">
        <v>1356</v>
      </c>
      <c r="C335" s="146" t="s">
        <v>263</v>
      </c>
      <c r="D335" s="275">
        <v>4.5</v>
      </c>
      <c r="E335" s="274"/>
      <c r="F335" s="274"/>
      <c r="G335" s="274" t="s">
        <v>889</v>
      </c>
      <c r="H335" s="276">
        <v>69</v>
      </c>
      <c r="I335" s="24">
        <v>103003</v>
      </c>
      <c r="J335" s="277">
        <v>4.5</v>
      </c>
      <c r="K335" s="276">
        <v>55</v>
      </c>
      <c r="L335" s="278">
        <v>16.546762589928058</v>
      </c>
      <c r="M335" s="279">
        <v>0</v>
      </c>
      <c r="N335" s="277">
        <v>0</v>
      </c>
      <c r="O335" s="280" t="s">
        <v>888</v>
      </c>
      <c r="P335" s="279">
        <v>0</v>
      </c>
      <c r="Q335" s="281">
        <v>0</v>
      </c>
      <c r="R335" s="282" t="s">
        <v>889</v>
      </c>
      <c r="S335" s="274" t="s">
        <v>966</v>
      </c>
      <c r="T335" s="44">
        <v>1</v>
      </c>
      <c r="U335" s="283">
        <v>61</v>
      </c>
      <c r="V335" s="284">
        <v>8</v>
      </c>
      <c r="W335" s="285" t="s">
        <v>889</v>
      </c>
      <c r="X335" s="286" t="s">
        <v>889</v>
      </c>
      <c r="Y335" s="287">
        <v>0</v>
      </c>
      <c r="Z335" s="287" t="s">
        <v>889</v>
      </c>
      <c r="AA335" s="286" t="s">
        <v>889</v>
      </c>
      <c r="AB335" s="287">
        <v>0</v>
      </c>
      <c r="AC335" s="287"/>
      <c r="AD335" s="288" t="s">
        <v>889</v>
      </c>
      <c r="AE335" s="289" t="s">
        <v>889</v>
      </c>
      <c r="AF335" s="279">
        <v>16</v>
      </c>
      <c r="AG335" s="282">
        <v>45160</v>
      </c>
      <c r="AH335" s="282" t="s">
        <v>889</v>
      </c>
      <c r="AI335" s="282">
        <v>45145</v>
      </c>
      <c r="AJ335" s="282" t="s">
        <v>889</v>
      </c>
      <c r="AK335" s="274"/>
    </row>
    <row r="336" spans="1:37" x14ac:dyDescent="0.3">
      <c r="A336" s="273">
        <v>61201</v>
      </c>
      <c r="B336" s="274" t="s">
        <v>1357</v>
      </c>
      <c r="C336" s="146" t="s">
        <v>263</v>
      </c>
      <c r="D336" s="275">
        <v>5.29</v>
      </c>
      <c r="E336" s="274"/>
      <c r="F336" s="274"/>
      <c r="G336" s="274" t="s">
        <v>889</v>
      </c>
      <c r="H336" s="276">
        <v>1240</v>
      </c>
      <c r="I336" s="24">
        <v>103003</v>
      </c>
      <c r="J336" s="277">
        <v>5.29</v>
      </c>
      <c r="K336" s="276">
        <v>295</v>
      </c>
      <c r="L336" s="278">
        <v>47.382499044707686</v>
      </c>
      <c r="M336" s="279">
        <v>0</v>
      </c>
      <c r="N336" s="277">
        <v>0</v>
      </c>
      <c r="O336" s="280" t="s">
        <v>888</v>
      </c>
      <c r="P336" s="279">
        <v>0</v>
      </c>
      <c r="Q336" s="281">
        <v>0</v>
      </c>
      <c r="R336" s="282" t="s">
        <v>889</v>
      </c>
      <c r="S336" s="274" t="s">
        <v>966</v>
      </c>
      <c r="T336" s="44">
        <v>1</v>
      </c>
      <c r="U336" s="283">
        <v>61</v>
      </c>
      <c r="V336" s="284">
        <v>8</v>
      </c>
      <c r="W336" s="285" t="s">
        <v>889</v>
      </c>
      <c r="X336" s="286" t="s">
        <v>889</v>
      </c>
      <c r="Y336" s="287">
        <v>0</v>
      </c>
      <c r="Z336" s="287" t="s">
        <v>889</v>
      </c>
      <c r="AA336" s="286" t="s">
        <v>889</v>
      </c>
      <c r="AB336" s="287">
        <v>0</v>
      </c>
      <c r="AC336" s="287"/>
      <c r="AD336" s="288" t="s">
        <v>889</v>
      </c>
      <c r="AE336" s="289" t="s">
        <v>889</v>
      </c>
      <c r="AF336" s="279">
        <v>104</v>
      </c>
      <c r="AG336" s="282">
        <v>43796</v>
      </c>
      <c r="AH336" s="282" t="s">
        <v>889</v>
      </c>
      <c r="AI336" s="282">
        <v>45096</v>
      </c>
      <c r="AJ336" s="282" t="s">
        <v>889</v>
      </c>
      <c r="AK336" s="274"/>
    </row>
    <row r="337" spans="1:37" x14ac:dyDescent="0.3">
      <c r="A337" s="273">
        <v>63031</v>
      </c>
      <c r="B337" s="274" t="s">
        <v>1358</v>
      </c>
      <c r="C337" s="146" t="s">
        <v>263</v>
      </c>
      <c r="D337" s="275">
        <v>3.2</v>
      </c>
      <c r="E337" s="274"/>
      <c r="F337" s="274"/>
      <c r="G337" s="274" t="s">
        <v>889</v>
      </c>
      <c r="H337" s="276">
        <v>0</v>
      </c>
      <c r="I337" s="24">
        <v>103003</v>
      </c>
      <c r="J337" s="277">
        <v>3.2</v>
      </c>
      <c r="K337" s="276">
        <v>1125</v>
      </c>
      <c r="L337" s="278">
        <v>0</v>
      </c>
      <c r="M337" s="279">
        <v>1425</v>
      </c>
      <c r="N337" s="277">
        <v>4560</v>
      </c>
      <c r="O337" s="280" t="s">
        <v>888</v>
      </c>
      <c r="P337" s="279">
        <v>0</v>
      </c>
      <c r="Q337" s="281">
        <v>0</v>
      </c>
      <c r="R337" s="282" t="s">
        <v>889</v>
      </c>
      <c r="S337" s="274" t="s">
        <v>1003</v>
      </c>
      <c r="T337" s="44">
        <v>1</v>
      </c>
      <c r="U337" s="283">
        <v>61</v>
      </c>
      <c r="V337" s="284">
        <v>11</v>
      </c>
      <c r="W337" s="285" t="s">
        <v>889</v>
      </c>
      <c r="X337" s="286" t="s">
        <v>889</v>
      </c>
      <c r="Y337" s="287">
        <v>0</v>
      </c>
      <c r="Z337" s="287" t="s">
        <v>889</v>
      </c>
      <c r="AA337" s="286" t="s">
        <v>889</v>
      </c>
      <c r="AB337" s="287">
        <v>0</v>
      </c>
      <c r="AC337" s="287"/>
      <c r="AD337" s="288" t="s">
        <v>889</v>
      </c>
      <c r="AE337" s="289" t="s">
        <v>889</v>
      </c>
      <c r="AF337" s="279">
        <v>476</v>
      </c>
      <c r="AG337" s="282">
        <v>45166</v>
      </c>
      <c r="AH337" s="282" t="s">
        <v>889</v>
      </c>
      <c r="AI337" s="282">
        <v>45145</v>
      </c>
      <c r="AJ337" s="282" t="s">
        <v>889</v>
      </c>
      <c r="AK337" s="274"/>
    </row>
    <row r="338" spans="1:37" x14ac:dyDescent="0.3">
      <c r="A338" s="273">
        <v>63252</v>
      </c>
      <c r="B338" s="274" t="s">
        <v>1359</v>
      </c>
      <c r="C338" s="146" t="s">
        <v>31</v>
      </c>
      <c r="D338" s="275">
        <v>7.7</v>
      </c>
      <c r="E338" s="274"/>
      <c r="F338" s="274"/>
      <c r="G338" s="274" t="s">
        <v>889</v>
      </c>
      <c r="H338" s="276">
        <v>0</v>
      </c>
      <c r="I338" s="24">
        <v>103003</v>
      </c>
      <c r="J338" s="277">
        <v>7.7</v>
      </c>
      <c r="K338" s="276">
        <v>179</v>
      </c>
      <c r="L338" s="278">
        <v>0</v>
      </c>
      <c r="M338" s="279">
        <v>189.96</v>
      </c>
      <c r="N338" s="277">
        <v>1462.692</v>
      </c>
      <c r="O338" s="280" t="s">
        <v>888</v>
      </c>
      <c r="P338" s="279">
        <v>0</v>
      </c>
      <c r="Q338" s="281">
        <v>0</v>
      </c>
      <c r="R338" s="282" t="s">
        <v>889</v>
      </c>
      <c r="S338" s="274" t="s">
        <v>1360</v>
      </c>
      <c r="T338" s="44">
        <v>1</v>
      </c>
      <c r="U338" s="283">
        <v>72</v>
      </c>
      <c r="V338" s="284">
        <v>13</v>
      </c>
      <c r="W338" s="285" t="s">
        <v>889</v>
      </c>
      <c r="X338" s="286" t="s">
        <v>889</v>
      </c>
      <c r="Y338" s="287">
        <v>0</v>
      </c>
      <c r="Z338" s="287" t="s">
        <v>889</v>
      </c>
      <c r="AA338" s="286" t="s">
        <v>889</v>
      </c>
      <c r="AB338" s="287">
        <v>0</v>
      </c>
      <c r="AC338" s="287"/>
      <c r="AD338" s="288" t="s">
        <v>889</v>
      </c>
      <c r="AE338" s="289" t="s">
        <v>889</v>
      </c>
      <c r="AF338" s="279">
        <v>64</v>
      </c>
      <c r="AG338" s="282">
        <v>45188</v>
      </c>
      <c r="AH338" s="282" t="s">
        <v>889</v>
      </c>
      <c r="AI338" s="282">
        <v>45173</v>
      </c>
      <c r="AJ338" s="282" t="s">
        <v>889</v>
      </c>
      <c r="AK338" s="274"/>
    </row>
    <row r="339" spans="1:37" x14ac:dyDescent="0.3">
      <c r="A339" s="273">
        <v>63277</v>
      </c>
      <c r="B339" s="274" t="s">
        <v>1361</v>
      </c>
      <c r="C339" s="146" t="s">
        <v>263</v>
      </c>
      <c r="D339" s="275">
        <v>2.38</v>
      </c>
      <c r="E339" s="274"/>
      <c r="F339" s="274"/>
      <c r="G339" s="274" t="s">
        <v>889</v>
      </c>
      <c r="H339" s="276">
        <v>308</v>
      </c>
      <c r="I339" s="24">
        <v>103003</v>
      </c>
      <c r="J339" s="277">
        <v>2.38</v>
      </c>
      <c r="K339" s="276">
        <v>94</v>
      </c>
      <c r="L339" s="278">
        <v>38.5</v>
      </c>
      <c r="M339" s="279">
        <v>0</v>
      </c>
      <c r="N339" s="277">
        <v>0</v>
      </c>
      <c r="O339" s="280" t="s">
        <v>888</v>
      </c>
      <c r="P339" s="279">
        <v>0</v>
      </c>
      <c r="Q339" s="281">
        <v>0</v>
      </c>
      <c r="R339" s="282" t="s">
        <v>889</v>
      </c>
      <c r="S339" s="274" t="s">
        <v>966</v>
      </c>
      <c r="T339" s="44">
        <v>1</v>
      </c>
      <c r="U339" s="283">
        <v>61</v>
      </c>
      <c r="V339" s="284">
        <v>8</v>
      </c>
      <c r="W339" s="285" t="s">
        <v>889</v>
      </c>
      <c r="X339" s="286" t="s">
        <v>889</v>
      </c>
      <c r="Y339" s="287">
        <v>0</v>
      </c>
      <c r="Z339" s="287" t="s">
        <v>889</v>
      </c>
      <c r="AA339" s="286" t="s">
        <v>889</v>
      </c>
      <c r="AB339" s="287">
        <v>0</v>
      </c>
      <c r="AC339" s="287"/>
      <c r="AD339" s="288" t="s">
        <v>889</v>
      </c>
      <c r="AE339" s="289" t="s">
        <v>889</v>
      </c>
      <c r="AF339" s="279">
        <v>32</v>
      </c>
      <c r="AG339" s="282">
        <v>45180</v>
      </c>
      <c r="AH339" s="282" t="s">
        <v>889</v>
      </c>
      <c r="AI339" s="282">
        <v>45145</v>
      </c>
      <c r="AJ339" s="282" t="s">
        <v>889</v>
      </c>
      <c r="AK339" s="274"/>
    </row>
    <row r="340" spans="1:37" x14ac:dyDescent="0.3">
      <c r="A340" s="273">
        <v>63382</v>
      </c>
      <c r="B340" s="274" t="s">
        <v>1362</v>
      </c>
      <c r="C340" s="146" t="s">
        <v>269</v>
      </c>
      <c r="D340" s="275">
        <v>9.3000000000000007</v>
      </c>
      <c r="E340" s="274"/>
      <c r="F340" s="274"/>
      <c r="G340" s="274" t="s">
        <v>889</v>
      </c>
      <c r="H340" s="276">
        <v>214</v>
      </c>
      <c r="I340" s="24">
        <v>103003</v>
      </c>
      <c r="J340" s="277">
        <v>9.3000000000000007</v>
      </c>
      <c r="K340" s="276">
        <v>37</v>
      </c>
      <c r="L340" s="278">
        <v>67.50788643533123</v>
      </c>
      <c r="M340" s="279">
        <v>0</v>
      </c>
      <c r="N340" s="277">
        <v>0</v>
      </c>
      <c r="O340" s="280" t="s">
        <v>888</v>
      </c>
      <c r="P340" s="279">
        <v>0</v>
      </c>
      <c r="Q340" s="281">
        <v>0</v>
      </c>
      <c r="R340" s="282" t="s">
        <v>889</v>
      </c>
      <c r="S340" s="274" t="s">
        <v>1113</v>
      </c>
      <c r="T340" s="44">
        <v>1</v>
      </c>
      <c r="U340" s="283">
        <v>51</v>
      </c>
      <c r="V340" s="284">
        <v>33</v>
      </c>
      <c r="W340" s="285" t="s">
        <v>889</v>
      </c>
      <c r="X340" s="286" t="s">
        <v>889</v>
      </c>
      <c r="Y340" s="287">
        <v>0</v>
      </c>
      <c r="Z340" s="287" t="s">
        <v>889</v>
      </c>
      <c r="AA340" s="286" t="s">
        <v>889</v>
      </c>
      <c r="AB340" s="287">
        <v>0</v>
      </c>
      <c r="AC340" s="287"/>
      <c r="AD340" s="288" t="s">
        <v>889</v>
      </c>
      <c r="AE340" s="289" t="s">
        <v>889</v>
      </c>
      <c r="AF340" s="279">
        <v>12</v>
      </c>
      <c r="AG340" s="282">
        <v>43627</v>
      </c>
      <c r="AH340" s="282" t="s">
        <v>889</v>
      </c>
      <c r="AI340" s="282">
        <v>45161</v>
      </c>
      <c r="AJ340" s="282" t="s">
        <v>889</v>
      </c>
      <c r="AK340" s="274"/>
    </row>
    <row r="341" spans="1:37" x14ac:dyDescent="0.3">
      <c r="A341" s="273">
        <v>63385</v>
      </c>
      <c r="B341" s="274" t="s">
        <v>1363</v>
      </c>
      <c r="C341" s="146" t="s">
        <v>380</v>
      </c>
      <c r="D341" s="275">
        <v>0.62</v>
      </c>
      <c r="E341" s="274"/>
      <c r="F341" s="274"/>
      <c r="G341" s="274" t="s">
        <v>889</v>
      </c>
      <c r="H341" s="276">
        <v>0</v>
      </c>
      <c r="I341" s="24">
        <v>103003</v>
      </c>
      <c r="J341" s="277">
        <v>0.62</v>
      </c>
      <c r="K341" s="276">
        <v>20287</v>
      </c>
      <c r="L341" s="278">
        <v>0</v>
      </c>
      <c r="M341" s="279">
        <v>1486.96</v>
      </c>
      <c r="N341" s="277">
        <v>921.91520000000003</v>
      </c>
      <c r="O341" s="280" t="s">
        <v>888</v>
      </c>
      <c r="P341" s="279">
        <v>0</v>
      </c>
      <c r="Q341" s="281">
        <v>0</v>
      </c>
      <c r="R341" s="282" t="s">
        <v>889</v>
      </c>
      <c r="S341" s="274" t="s">
        <v>1364</v>
      </c>
      <c r="T341" s="44">
        <v>1</v>
      </c>
      <c r="U341" s="283">
        <v>57</v>
      </c>
      <c r="V341" s="284">
        <v>17</v>
      </c>
      <c r="W341" s="285">
        <v>6989</v>
      </c>
      <c r="X341" s="286">
        <v>2023</v>
      </c>
      <c r="Y341" s="287">
        <v>18800</v>
      </c>
      <c r="Z341" s="287" t="s">
        <v>889</v>
      </c>
      <c r="AA341" s="286" t="s">
        <v>889</v>
      </c>
      <c r="AB341" s="287">
        <v>0</v>
      </c>
      <c r="AC341" s="287"/>
      <c r="AD341" s="288" t="s">
        <v>889</v>
      </c>
      <c r="AE341" s="289" t="s">
        <v>889</v>
      </c>
      <c r="AF341" s="279">
        <v>6762</v>
      </c>
      <c r="AG341" s="282">
        <v>44967</v>
      </c>
      <c r="AH341" s="282" t="s">
        <v>889</v>
      </c>
      <c r="AI341" s="282">
        <v>44910</v>
      </c>
      <c r="AJ341" s="282" t="s">
        <v>889</v>
      </c>
      <c r="AK341" s="274"/>
    </row>
    <row r="342" spans="1:37" x14ac:dyDescent="0.3">
      <c r="A342" s="273">
        <v>63591</v>
      </c>
      <c r="B342" s="274" t="s">
        <v>1365</v>
      </c>
      <c r="C342" s="146" t="s">
        <v>380</v>
      </c>
      <c r="D342" s="275">
        <v>0.46</v>
      </c>
      <c r="E342" s="274"/>
      <c r="F342" s="274"/>
      <c r="G342" s="274" t="s">
        <v>889</v>
      </c>
      <c r="H342" s="276">
        <v>0</v>
      </c>
      <c r="I342" s="24">
        <v>103003</v>
      </c>
      <c r="J342" s="277">
        <v>0.46</v>
      </c>
      <c r="K342" s="276">
        <v>5589</v>
      </c>
      <c r="L342" s="278">
        <v>0</v>
      </c>
      <c r="M342" s="279">
        <v>7354.04</v>
      </c>
      <c r="N342" s="277">
        <v>3382.8584000000001</v>
      </c>
      <c r="O342" s="280" t="s">
        <v>888</v>
      </c>
      <c r="P342" s="279">
        <v>0</v>
      </c>
      <c r="Q342" s="281">
        <v>0</v>
      </c>
      <c r="R342" s="282" t="s">
        <v>889</v>
      </c>
      <c r="S342" s="274" t="s">
        <v>1136</v>
      </c>
      <c r="T342" s="44">
        <v>1</v>
      </c>
      <c r="U342" s="283">
        <v>57</v>
      </c>
      <c r="V342" s="284">
        <v>2</v>
      </c>
      <c r="W342" s="285">
        <v>6216</v>
      </c>
      <c r="X342" s="286">
        <v>2023</v>
      </c>
      <c r="Y342" s="287">
        <v>1000</v>
      </c>
      <c r="Z342" s="287" t="s">
        <v>889</v>
      </c>
      <c r="AA342" s="286" t="s">
        <v>889</v>
      </c>
      <c r="AB342" s="287">
        <v>0</v>
      </c>
      <c r="AC342" s="287"/>
      <c r="AD342" s="288" t="s">
        <v>889</v>
      </c>
      <c r="AE342" s="289" t="s">
        <v>889</v>
      </c>
      <c r="AF342" s="279">
        <v>2784</v>
      </c>
      <c r="AG342" s="282">
        <v>44586</v>
      </c>
      <c r="AH342" s="282" t="s">
        <v>889</v>
      </c>
      <c r="AI342" s="282">
        <v>44551</v>
      </c>
      <c r="AJ342" s="282" t="s">
        <v>889</v>
      </c>
      <c r="AK342" s="274"/>
    </row>
    <row r="343" spans="1:37" x14ac:dyDescent="0.3">
      <c r="A343" s="273">
        <v>63839</v>
      </c>
      <c r="B343" s="274" t="s">
        <v>1366</v>
      </c>
      <c r="C343" s="146" t="s">
        <v>301</v>
      </c>
      <c r="D343" s="275">
        <v>95</v>
      </c>
      <c r="E343" s="274"/>
      <c r="F343" s="274"/>
      <c r="G343" s="274" t="s">
        <v>889</v>
      </c>
      <c r="H343" s="276">
        <v>100</v>
      </c>
      <c r="I343" s="24">
        <v>103003</v>
      </c>
      <c r="J343" s="277">
        <v>95</v>
      </c>
      <c r="K343" s="276">
        <v>225</v>
      </c>
      <c r="L343" s="278">
        <v>5.2410901467505244</v>
      </c>
      <c r="M343" s="279">
        <v>128.96</v>
      </c>
      <c r="N343" s="277">
        <v>12251.2</v>
      </c>
      <c r="O343" s="280" t="s">
        <v>888</v>
      </c>
      <c r="P343" s="279">
        <v>0</v>
      </c>
      <c r="Q343" s="281">
        <v>0</v>
      </c>
      <c r="R343" s="282" t="s">
        <v>889</v>
      </c>
      <c r="S343" s="274" t="s">
        <v>1024</v>
      </c>
      <c r="T343" s="44">
        <v>1</v>
      </c>
      <c r="U343" s="283">
        <v>74</v>
      </c>
      <c r="V343" s="284">
        <v>4</v>
      </c>
      <c r="W343" s="285" t="s">
        <v>889</v>
      </c>
      <c r="X343" s="286" t="s">
        <v>889</v>
      </c>
      <c r="Y343" s="287">
        <v>0</v>
      </c>
      <c r="Z343" s="287" t="s">
        <v>889</v>
      </c>
      <c r="AA343" s="286" t="s">
        <v>889</v>
      </c>
      <c r="AB343" s="287">
        <v>0</v>
      </c>
      <c r="AC343" s="287"/>
      <c r="AD343" s="288" t="s">
        <v>889</v>
      </c>
      <c r="AE343" s="289" t="s">
        <v>889</v>
      </c>
      <c r="AF343" s="279">
        <v>76</v>
      </c>
      <c r="AG343" s="282">
        <v>45190</v>
      </c>
      <c r="AH343" s="282" t="s">
        <v>889</v>
      </c>
      <c r="AI343" s="282">
        <v>45181</v>
      </c>
      <c r="AJ343" s="282" t="s">
        <v>889</v>
      </c>
      <c r="AK343" s="274"/>
    </row>
    <row r="344" spans="1:37" x14ac:dyDescent="0.3">
      <c r="A344" s="273">
        <v>63991</v>
      </c>
      <c r="B344" s="274" t="s">
        <v>1367</v>
      </c>
      <c r="C344" s="146" t="s">
        <v>847</v>
      </c>
      <c r="D344" s="275">
        <v>4.3</v>
      </c>
      <c r="E344" s="274"/>
      <c r="F344" s="274"/>
      <c r="G344" s="274" t="s">
        <v>889</v>
      </c>
      <c r="H344" s="276">
        <v>3648</v>
      </c>
      <c r="I344" s="24">
        <v>103003</v>
      </c>
      <c r="J344" s="277">
        <v>4.3</v>
      </c>
      <c r="K344" s="276">
        <v>2731</v>
      </c>
      <c r="L344" s="278">
        <v>12.153113235833027</v>
      </c>
      <c r="M344" s="279">
        <v>0</v>
      </c>
      <c r="N344" s="277">
        <v>0</v>
      </c>
      <c r="O344" s="280" t="s">
        <v>888</v>
      </c>
      <c r="P344" s="279">
        <v>0</v>
      </c>
      <c r="Q344" s="281">
        <v>0</v>
      </c>
      <c r="R344" s="282" t="s">
        <v>889</v>
      </c>
      <c r="S344" s="274" t="s">
        <v>1368</v>
      </c>
      <c r="T344" s="44">
        <v>1</v>
      </c>
      <c r="U344" s="283">
        <v>58</v>
      </c>
      <c r="V344" s="284">
        <v>8</v>
      </c>
      <c r="W344" s="285" t="s">
        <v>889</v>
      </c>
      <c r="X344" s="286" t="s">
        <v>889</v>
      </c>
      <c r="Y344" s="287">
        <v>0</v>
      </c>
      <c r="Z344" s="287" t="s">
        <v>889</v>
      </c>
      <c r="AA344" s="286" t="s">
        <v>889</v>
      </c>
      <c r="AB344" s="287">
        <v>0</v>
      </c>
      <c r="AC344" s="287"/>
      <c r="AD344" s="288" t="s">
        <v>889</v>
      </c>
      <c r="AE344" s="289" t="s">
        <v>889</v>
      </c>
      <c r="AF344" s="279">
        <v>1200</v>
      </c>
      <c r="AG344" s="282">
        <v>45069</v>
      </c>
      <c r="AH344" s="282" t="s">
        <v>889</v>
      </c>
      <c r="AI344" s="282">
        <v>45020</v>
      </c>
      <c r="AJ344" s="282" t="s">
        <v>889</v>
      </c>
      <c r="AK344" s="274"/>
    </row>
    <row r="345" spans="1:37" x14ac:dyDescent="0.3">
      <c r="A345" s="273">
        <v>64044</v>
      </c>
      <c r="B345" s="274" t="s">
        <v>1369</v>
      </c>
      <c r="C345" s="146" t="s">
        <v>560</v>
      </c>
      <c r="D345" s="275">
        <v>38.31</v>
      </c>
      <c r="E345" s="274"/>
      <c r="F345" s="274" t="s">
        <v>1325</v>
      </c>
      <c r="G345" s="274" t="s">
        <v>1196</v>
      </c>
      <c r="H345" s="276">
        <v>320</v>
      </c>
      <c r="I345" s="24">
        <v>103003</v>
      </c>
      <c r="J345" s="277">
        <v>38.31</v>
      </c>
      <c r="K345" s="276">
        <v>170</v>
      </c>
      <c r="L345" s="278">
        <v>22.582921665490471</v>
      </c>
      <c r="M345" s="279">
        <v>0</v>
      </c>
      <c r="N345" s="277">
        <v>0</v>
      </c>
      <c r="O345" s="280" t="s">
        <v>1197</v>
      </c>
      <c r="P345" s="279">
        <v>3000</v>
      </c>
      <c r="Q345" s="281">
        <v>114930</v>
      </c>
      <c r="R345" s="282">
        <v>45328</v>
      </c>
      <c r="S345" s="274" t="s">
        <v>1326</v>
      </c>
      <c r="T345" s="44">
        <v>1</v>
      </c>
      <c r="U345" s="283">
        <v>51</v>
      </c>
      <c r="V345" s="284">
        <v>30</v>
      </c>
      <c r="W345" s="285" t="s">
        <v>889</v>
      </c>
      <c r="X345" s="286" t="s">
        <v>889</v>
      </c>
      <c r="Y345" s="287">
        <v>0</v>
      </c>
      <c r="Z345" s="287" t="s">
        <v>889</v>
      </c>
      <c r="AA345" s="286" t="s">
        <v>889</v>
      </c>
      <c r="AB345" s="287">
        <v>0</v>
      </c>
      <c r="AC345" s="287"/>
      <c r="AD345" s="288" t="s">
        <v>889</v>
      </c>
      <c r="AE345" s="289" t="s">
        <v>889</v>
      </c>
      <c r="AF345" s="279">
        <v>56</v>
      </c>
      <c r="AG345" s="282">
        <v>45104</v>
      </c>
      <c r="AH345" s="282" t="s">
        <v>889</v>
      </c>
      <c r="AI345" s="282">
        <v>45033</v>
      </c>
      <c r="AJ345" s="282" t="s">
        <v>889</v>
      </c>
      <c r="AK345" s="274"/>
    </row>
    <row r="346" spans="1:37" x14ac:dyDescent="0.3">
      <c r="A346" s="273">
        <v>64253</v>
      </c>
      <c r="B346" s="274" t="s">
        <v>1370</v>
      </c>
      <c r="C346" s="146" t="s">
        <v>345</v>
      </c>
      <c r="D346" s="275">
        <v>56.66</v>
      </c>
      <c r="E346" s="274"/>
      <c r="F346" s="274"/>
      <c r="G346" s="274" t="s">
        <v>889</v>
      </c>
      <c r="H346" s="276">
        <v>1590</v>
      </c>
      <c r="I346" s="24">
        <v>103003</v>
      </c>
      <c r="J346" s="277">
        <v>56.66</v>
      </c>
      <c r="K346" s="276">
        <v>1320</v>
      </c>
      <c r="L346" s="278">
        <v>14.281864726488816</v>
      </c>
      <c r="M346" s="279">
        <v>0</v>
      </c>
      <c r="N346" s="277">
        <v>0</v>
      </c>
      <c r="O346" s="280" t="s">
        <v>888</v>
      </c>
      <c r="P346" s="279">
        <v>0</v>
      </c>
      <c r="Q346" s="281">
        <v>0</v>
      </c>
      <c r="R346" s="282" t="s">
        <v>889</v>
      </c>
      <c r="S346" s="274" t="s">
        <v>1371</v>
      </c>
      <c r="T346" s="44">
        <v>1</v>
      </c>
      <c r="U346" s="283">
        <v>69</v>
      </c>
      <c r="V346" s="284">
        <v>17</v>
      </c>
      <c r="W346" s="285" t="s">
        <v>889</v>
      </c>
      <c r="X346" s="286" t="s">
        <v>889</v>
      </c>
      <c r="Y346" s="287">
        <v>0</v>
      </c>
      <c r="Z346" s="287" t="s">
        <v>889</v>
      </c>
      <c r="AA346" s="286" t="s">
        <v>889</v>
      </c>
      <c r="AB346" s="287">
        <v>0</v>
      </c>
      <c r="AC346" s="287"/>
      <c r="AD346" s="288" t="s">
        <v>889</v>
      </c>
      <c r="AE346" s="289" t="s">
        <v>889</v>
      </c>
      <c r="AF346" s="279">
        <v>446</v>
      </c>
      <c r="AG346" s="282">
        <v>44895</v>
      </c>
      <c r="AH346" s="282" t="s">
        <v>889</v>
      </c>
      <c r="AI346" s="282">
        <v>44881</v>
      </c>
      <c r="AJ346" s="282" t="s">
        <v>889</v>
      </c>
      <c r="AK346" s="274"/>
    </row>
    <row r="347" spans="1:37" x14ac:dyDescent="0.3">
      <c r="A347" s="273">
        <v>64462</v>
      </c>
      <c r="B347" s="274" t="s">
        <v>1372</v>
      </c>
      <c r="C347" s="146" t="s">
        <v>263</v>
      </c>
      <c r="D347" s="275">
        <v>0.19</v>
      </c>
      <c r="E347" s="274"/>
      <c r="F347" s="274"/>
      <c r="G347" s="274" t="s">
        <v>889</v>
      </c>
      <c r="H347" s="276">
        <v>8061</v>
      </c>
      <c r="I347" s="24">
        <v>103003</v>
      </c>
      <c r="J347" s="277">
        <v>0.19</v>
      </c>
      <c r="K347" s="276">
        <v>4039</v>
      </c>
      <c r="L347" s="278">
        <v>22.293821560927039</v>
      </c>
      <c r="M347" s="279">
        <v>0</v>
      </c>
      <c r="N347" s="277">
        <v>0</v>
      </c>
      <c r="O347" s="280" t="s">
        <v>888</v>
      </c>
      <c r="P347" s="279">
        <v>0</v>
      </c>
      <c r="Q347" s="281">
        <v>0</v>
      </c>
      <c r="R347" s="282" t="s">
        <v>889</v>
      </c>
      <c r="S347" s="274" t="s">
        <v>1373</v>
      </c>
      <c r="T347" s="44">
        <v>1</v>
      </c>
      <c r="U347" s="283">
        <v>67</v>
      </c>
      <c r="V347" s="284">
        <v>4</v>
      </c>
      <c r="W347" s="285" t="s">
        <v>889</v>
      </c>
      <c r="X347" s="286" t="s">
        <v>889</v>
      </c>
      <c r="Y347" s="287">
        <v>0</v>
      </c>
      <c r="Z347" s="287" t="s">
        <v>889</v>
      </c>
      <c r="AA347" s="286" t="s">
        <v>889</v>
      </c>
      <c r="AB347" s="287">
        <v>0</v>
      </c>
      <c r="AC347" s="287"/>
      <c r="AD347" s="288" t="s">
        <v>889</v>
      </c>
      <c r="AE347" s="289" t="s">
        <v>889</v>
      </c>
      <c r="AF347" s="279">
        <v>1446</v>
      </c>
      <c r="AG347" s="282">
        <v>45201</v>
      </c>
      <c r="AH347" s="282" t="s">
        <v>889</v>
      </c>
      <c r="AI347" s="282">
        <v>45189</v>
      </c>
      <c r="AJ347" s="282" t="s">
        <v>889</v>
      </c>
      <c r="AK347" s="274"/>
    </row>
    <row r="348" spans="1:37" x14ac:dyDescent="0.3">
      <c r="A348" s="273">
        <v>64466</v>
      </c>
      <c r="B348" s="274" t="s">
        <v>1374</v>
      </c>
      <c r="C348" s="146" t="s">
        <v>263</v>
      </c>
      <c r="D348" s="275">
        <v>7.0000000000000007E-2</v>
      </c>
      <c r="E348" s="274"/>
      <c r="F348" s="274"/>
      <c r="G348" s="274" t="s">
        <v>889</v>
      </c>
      <c r="H348" s="276">
        <v>5067</v>
      </c>
      <c r="I348" s="24">
        <v>103003</v>
      </c>
      <c r="J348" s="277">
        <v>7.0000000000000007E-2</v>
      </c>
      <c r="K348" s="276">
        <v>195</v>
      </c>
      <c r="L348" s="278">
        <v>311.81538461538463</v>
      </c>
      <c r="M348" s="279">
        <v>0</v>
      </c>
      <c r="N348" s="277">
        <v>0</v>
      </c>
      <c r="O348" s="280" t="s">
        <v>888</v>
      </c>
      <c r="P348" s="279">
        <v>0</v>
      </c>
      <c r="Q348" s="281">
        <v>0</v>
      </c>
      <c r="R348" s="282" t="s">
        <v>889</v>
      </c>
      <c r="S348" s="274" t="s">
        <v>1180</v>
      </c>
      <c r="T348" s="44">
        <v>1</v>
      </c>
      <c r="U348" s="283">
        <v>67</v>
      </c>
      <c r="V348" s="284">
        <v>5</v>
      </c>
      <c r="W348" s="285" t="s">
        <v>889</v>
      </c>
      <c r="X348" s="286" t="s">
        <v>889</v>
      </c>
      <c r="Y348" s="287">
        <v>0</v>
      </c>
      <c r="Z348" s="287" t="s">
        <v>889</v>
      </c>
      <c r="AA348" s="286" t="s">
        <v>889</v>
      </c>
      <c r="AB348" s="287">
        <v>0</v>
      </c>
      <c r="AC348" s="287"/>
      <c r="AD348" s="288" t="s">
        <v>889</v>
      </c>
      <c r="AE348" s="289" t="s">
        <v>889</v>
      </c>
      <c r="AF348" s="279">
        <v>66</v>
      </c>
      <c r="AG348" s="282">
        <v>43864</v>
      </c>
      <c r="AH348" s="282" t="s">
        <v>889</v>
      </c>
      <c r="AI348" s="282">
        <v>43826</v>
      </c>
      <c r="AJ348" s="282" t="s">
        <v>889</v>
      </c>
      <c r="AK348" s="274"/>
    </row>
    <row r="349" spans="1:37" x14ac:dyDescent="0.3">
      <c r="A349" s="273">
        <v>64604</v>
      </c>
      <c r="B349" s="274" t="s">
        <v>1375</v>
      </c>
      <c r="C349" s="146" t="s">
        <v>345</v>
      </c>
      <c r="D349" s="275">
        <v>19.579999999999998</v>
      </c>
      <c r="E349" s="274"/>
      <c r="F349" s="274"/>
      <c r="G349" s="274" t="s">
        <v>889</v>
      </c>
      <c r="H349" s="276">
        <v>1361</v>
      </c>
      <c r="I349" s="24">
        <v>103003</v>
      </c>
      <c r="J349" s="277">
        <v>19.579999999999998</v>
      </c>
      <c r="K349" s="276">
        <v>48</v>
      </c>
      <c r="L349" s="278">
        <v>173.81864623243933</v>
      </c>
      <c r="M349" s="279">
        <v>0</v>
      </c>
      <c r="N349" s="277">
        <v>0</v>
      </c>
      <c r="O349" s="280" t="s">
        <v>888</v>
      </c>
      <c r="P349" s="279">
        <v>0</v>
      </c>
      <c r="Q349" s="281">
        <v>0</v>
      </c>
      <c r="R349" s="282" t="s">
        <v>889</v>
      </c>
      <c r="S349" s="274" t="s">
        <v>1347</v>
      </c>
      <c r="T349" s="44">
        <v>1</v>
      </c>
      <c r="U349" s="283">
        <v>69</v>
      </c>
      <c r="V349" s="284">
        <v>8</v>
      </c>
      <c r="W349" s="285" t="s">
        <v>889</v>
      </c>
      <c r="X349" s="286" t="s">
        <v>889</v>
      </c>
      <c r="Y349" s="287">
        <v>0</v>
      </c>
      <c r="Z349" s="287" t="s">
        <v>889</v>
      </c>
      <c r="AA349" s="286" t="s">
        <v>889</v>
      </c>
      <c r="AB349" s="287">
        <v>0</v>
      </c>
      <c r="AC349" s="287"/>
      <c r="AD349" s="288" t="s">
        <v>889</v>
      </c>
      <c r="AE349" s="289" t="s">
        <v>889</v>
      </c>
      <c r="AF349" s="279">
        <v>32</v>
      </c>
      <c r="AG349" s="282">
        <v>44551</v>
      </c>
      <c r="AH349" s="282" t="s">
        <v>889</v>
      </c>
      <c r="AI349" s="282">
        <v>45141</v>
      </c>
      <c r="AJ349" s="282" t="s">
        <v>889</v>
      </c>
      <c r="AK349" s="274"/>
    </row>
    <row r="350" spans="1:37" x14ac:dyDescent="0.3">
      <c r="A350" s="273">
        <v>64605</v>
      </c>
      <c r="B350" s="274" t="s">
        <v>1376</v>
      </c>
      <c r="C350" s="146" t="s">
        <v>345</v>
      </c>
      <c r="D350" s="275">
        <v>9.98</v>
      </c>
      <c r="E350" s="274"/>
      <c r="F350" s="274"/>
      <c r="G350" s="274" t="s">
        <v>889</v>
      </c>
      <c r="H350" s="276">
        <v>1020</v>
      </c>
      <c r="I350" s="24">
        <v>103003</v>
      </c>
      <c r="J350" s="277">
        <v>9.8965800000000002</v>
      </c>
      <c r="K350" s="276">
        <v>398</v>
      </c>
      <c r="L350" s="278">
        <v>8.0632411067193672</v>
      </c>
      <c r="M350" s="279">
        <v>498</v>
      </c>
      <c r="N350" s="277">
        <v>4970.04</v>
      </c>
      <c r="O350" s="280" t="s">
        <v>888</v>
      </c>
      <c r="P350" s="279">
        <v>0</v>
      </c>
      <c r="Q350" s="281">
        <v>0</v>
      </c>
      <c r="R350" s="282" t="s">
        <v>889</v>
      </c>
      <c r="S350" s="274" t="s">
        <v>1347</v>
      </c>
      <c r="T350" s="44">
        <v>1</v>
      </c>
      <c r="U350" s="283">
        <v>69</v>
      </c>
      <c r="V350" s="284">
        <v>8</v>
      </c>
      <c r="W350" s="285" t="s">
        <v>889</v>
      </c>
      <c r="X350" s="286" t="s">
        <v>889</v>
      </c>
      <c r="Y350" s="287">
        <v>0</v>
      </c>
      <c r="Z350" s="287" t="s">
        <v>889</v>
      </c>
      <c r="AA350" s="286" t="s">
        <v>889</v>
      </c>
      <c r="AB350" s="287">
        <v>0</v>
      </c>
      <c r="AC350" s="287"/>
      <c r="AD350" s="288" t="s">
        <v>889</v>
      </c>
      <c r="AE350" s="289" t="s">
        <v>889</v>
      </c>
      <c r="AF350" s="279">
        <v>506</v>
      </c>
      <c r="AG350" s="282">
        <v>45190</v>
      </c>
      <c r="AH350" s="282" t="s">
        <v>889</v>
      </c>
      <c r="AI350" s="282">
        <v>45156</v>
      </c>
      <c r="AJ350" s="282" t="s">
        <v>889</v>
      </c>
      <c r="AK350" s="274"/>
    </row>
    <row r="351" spans="1:37" x14ac:dyDescent="0.3">
      <c r="A351" s="273">
        <v>64607</v>
      </c>
      <c r="B351" s="274" t="s">
        <v>1377</v>
      </c>
      <c r="C351" s="146" t="s">
        <v>345</v>
      </c>
      <c r="D351" s="275">
        <v>49.4</v>
      </c>
      <c r="E351" s="274"/>
      <c r="F351" s="274"/>
      <c r="G351" s="274" t="s">
        <v>889</v>
      </c>
      <c r="H351" s="276">
        <v>1236</v>
      </c>
      <c r="I351" s="24">
        <v>103003</v>
      </c>
      <c r="J351" s="277">
        <v>49.4</v>
      </c>
      <c r="K351" s="276">
        <v>510</v>
      </c>
      <c r="L351" s="278">
        <v>29.08235294117647</v>
      </c>
      <c r="M351" s="279">
        <v>0</v>
      </c>
      <c r="N351" s="277">
        <v>0</v>
      </c>
      <c r="O351" s="280" t="s">
        <v>888</v>
      </c>
      <c r="P351" s="279">
        <v>0</v>
      </c>
      <c r="Q351" s="281">
        <v>0</v>
      </c>
      <c r="R351" s="282" t="s">
        <v>889</v>
      </c>
      <c r="S351" s="274" t="s">
        <v>1259</v>
      </c>
      <c r="T351" s="44">
        <v>1</v>
      </c>
      <c r="U351" s="283">
        <v>69</v>
      </c>
      <c r="V351" s="284">
        <v>3</v>
      </c>
      <c r="W351" s="285" t="s">
        <v>889</v>
      </c>
      <c r="X351" s="286" t="s">
        <v>889</v>
      </c>
      <c r="Y351" s="287">
        <v>0</v>
      </c>
      <c r="Z351" s="287" t="s">
        <v>889</v>
      </c>
      <c r="AA351" s="286" t="s">
        <v>889</v>
      </c>
      <c r="AB351" s="287">
        <v>0</v>
      </c>
      <c r="AC351" s="287"/>
      <c r="AD351" s="288" t="s">
        <v>889</v>
      </c>
      <c r="AE351" s="289" t="s">
        <v>889</v>
      </c>
      <c r="AF351" s="279">
        <v>170</v>
      </c>
      <c r="AG351" s="282">
        <v>45181</v>
      </c>
      <c r="AH351" s="282" t="s">
        <v>889</v>
      </c>
      <c r="AI351" s="282">
        <v>45128</v>
      </c>
      <c r="AJ351" s="282" t="s">
        <v>889</v>
      </c>
      <c r="AK351" s="274"/>
    </row>
    <row r="352" spans="1:37" x14ac:dyDescent="0.3">
      <c r="A352" s="273">
        <v>64609</v>
      </c>
      <c r="B352" s="274" t="s">
        <v>1378</v>
      </c>
      <c r="C352" s="146" t="s">
        <v>345</v>
      </c>
      <c r="D352" s="275">
        <v>62</v>
      </c>
      <c r="E352" s="274"/>
      <c r="F352" s="274"/>
      <c r="G352" s="274" t="s">
        <v>889</v>
      </c>
      <c r="H352" s="276">
        <v>435</v>
      </c>
      <c r="I352" s="24">
        <v>103003</v>
      </c>
      <c r="J352" s="277">
        <v>62</v>
      </c>
      <c r="K352" s="276">
        <v>286</v>
      </c>
      <c r="L352" s="278">
        <v>17.997517583781548</v>
      </c>
      <c r="M352" s="279">
        <v>0</v>
      </c>
      <c r="N352" s="277">
        <v>0</v>
      </c>
      <c r="O352" s="280" t="s">
        <v>888</v>
      </c>
      <c r="P352" s="279">
        <v>0</v>
      </c>
      <c r="Q352" s="281">
        <v>0</v>
      </c>
      <c r="R352" s="282" t="s">
        <v>889</v>
      </c>
      <c r="S352" s="274" t="s">
        <v>1259</v>
      </c>
      <c r="T352" s="44">
        <v>1</v>
      </c>
      <c r="U352" s="283">
        <v>69</v>
      </c>
      <c r="V352" s="284">
        <v>3</v>
      </c>
      <c r="W352" s="285" t="s">
        <v>889</v>
      </c>
      <c r="X352" s="286" t="s">
        <v>889</v>
      </c>
      <c r="Y352" s="287">
        <v>0</v>
      </c>
      <c r="Z352" s="287" t="s">
        <v>889</v>
      </c>
      <c r="AA352" s="286" t="s">
        <v>889</v>
      </c>
      <c r="AB352" s="287">
        <v>0</v>
      </c>
      <c r="AC352" s="287"/>
      <c r="AD352" s="288" t="s">
        <v>889</v>
      </c>
      <c r="AE352" s="289" t="s">
        <v>889</v>
      </c>
      <c r="AF352" s="279">
        <v>96</v>
      </c>
      <c r="AG352" s="282">
        <v>44510</v>
      </c>
      <c r="AH352" s="282" t="s">
        <v>889</v>
      </c>
      <c r="AI352" s="282">
        <v>44781</v>
      </c>
      <c r="AJ352" s="282" t="s">
        <v>889</v>
      </c>
      <c r="AK352" s="274"/>
    </row>
    <row r="353" spans="1:37" x14ac:dyDescent="0.3">
      <c r="A353" s="273">
        <v>64610</v>
      </c>
      <c r="B353" s="274" t="s">
        <v>1379</v>
      </c>
      <c r="C353" s="146" t="s">
        <v>263</v>
      </c>
      <c r="D353" s="275">
        <v>96.6</v>
      </c>
      <c r="E353" s="274"/>
      <c r="F353" s="274"/>
      <c r="G353" s="274" t="s">
        <v>889</v>
      </c>
      <c r="H353" s="276">
        <v>806</v>
      </c>
      <c r="I353" s="24">
        <v>103003</v>
      </c>
      <c r="J353" s="277">
        <v>96.6</v>
      </c>
      <c r="K353" s="276">
        <v>357</v>
      </c>
      <c r="L353" s="278">
        <v>27.092436974789916</v>
      </c>
      <c r="M353" s="279">
        <v>0</v>
      </c>
      <c r="N353" s="277">
        <v>0</v>
      </c>
      <c r="O353" s="280" t="s">
        <v>888</v>
      </c>
      <c r="P353" s="279">
        <v>0</v>
      </c>
      <c r="Q353" s="281">
        <v>0</v>
      </c>
      <c r="R353" s="282" t="s">
        <v>889</v>
      </c>
      <c r="S353" s="274" t="s">
        <v>1163</v>
      </c>
      <c r="T353" s="44">
        <v>1</v>
      </c>
      <c r="U353" s="283">
        <v>69</v>
      </c>
      <c r="V353" s="284">
        <v>1</v>
      </c>
      <c r="W353" s="285" t="s">
        <v>889</v>
      </c>
      <c r="X353" s="286" t="s">
        <v>889</v>
      </c>
      <c r="Y353" s="287">
        <v>0</v>
      </c>
      <c r="Z353" s="287" t="s">
        <v>889</v>
      </c>
      <c r="AA353" s="286" t="s">
        <v>889</v>
      </c>
      <c r="AB353" s="287">
        <v>0</v>
      </c>
      <c r="AC353" s="287"/>
      <c r="AD353" s="288" t="s">
        <v>889</v>
      </c>
      <c r="AE353" s="289" t="s">
        <v>889</v>
      </c>
      <c r="AF353" s="279">
        <v>120</v>
      </c>
      <c r="AG353" s="282">
        <v>45184</v>
      </c>
      <c r="AH353" s="282" t="s">
        <v>889</v>
      </c>
      <c r="AI353" s="282">
        <v>45128</v>
      </c>
      <c r="AJ353" s="282" t="s">
        <v>889</v>
      </c>
      <c r="AK353" s="274"/>
    </row>
    <row r="354" spans="1:37" x14ac:dyDescent="0.3">
      <c r="A354" s="273">
        <v>64625</v>
      </c>
      <c r="B354" s="274" t="s">
        <v>1380</v>
      </c>
      <c r="C354" s="146" t="s">
        <v>345</v>
      </c>
      <c r="D354" s="275">
        <v>61.42</v>
      </c>
      <c r="E354" s="274"/>
      <c r="F354" s="274"/>
      <c r="G354" s="274" t="s">
        <v>889</v>
      </c>
      <c r="H354" s="276">
        <v>677</v>
      </c>
      <c r="I354" s="24">
        <v>103003</v>
      </c>
      <c r="J354" s="277">
        <v>61.42</v>
      </c>
      <c r="K354" s="276">
        <v>60</v>
      </c>
      <c r="L354" s="278">
        <v>135.4</v>
      </c>
      <c r="M354" s="279">
        <v>0</v>
      </c>
      <c r="N354" s="277">
        <v>0</v>
      </c>
      <c r="O354" s="280" t="s">
        <v>888</v>
      </c>
      <c r="P354" s="279">
        <v>0</v>
      </c>
      <c r="Q354" s="281">
        <v>0</v>
      </c>
      <c r="R354" s="282" t="s">
        <v>889</v>
      </c>
      <c r="S354" s="274" t="s">
        <v>1347</v>
      </c>
      <c r="T354" s="44">
        <v>1</v>
      </c>
      <c r="U354" s="283">
        <v>69</v>
      </c>
      <c r="V354" s="284">
        <v>8</v>
      </c>
      <c r="W354" s="285" t="s">
        <v>889</v>
      </c>
      <c r="X354" s="286" t="s">
        <v>889</v>
      </c>
      <c r="Y354" s="287">
        <v>0</v>
      </c>
      <c r="Z354" s="287" t="s">
        <v>889</v>
      </c>
      <c r="AA354" s="286" t="s">
        <v>889</v>
      </c>
      <c r="AB354" s="287">
        <v>0</v>
      </c>
      <c r="AC354" s="287"/>
      <c r="AD354" s="288" t="s">
        <v>889</v>
      </c>
      <c r="AE354" s="289" t="s">
        <v>889</v>
      </c>
      <c r="AF354" s="279">
        <v>20</v>
      </c>
      <c r="AG354" s="282">
        <v>44893</v>
      </c>
      <c r="AH354" s="282" t="s">
        <v>889</v>
      </c>
      <c r="AI354" s="282">
        <v>44881</v>
      </c>
      <c r="AJ354" s="282" t="s">
        <v>889</v>
      </c>
      <c r="AK354" s="274"/>
    </row>
    <row r="355" spans="1:37" x14ac:dyDescent="0.3">
      <c r="A355" s="273">
        <v>64626</v>
      </c>
      <c r="B355" s="274" t="s">
        <v>1381</v>
      </c>
      <c r="C355" s="146" t="s">
        <v>345</v>
      </c>
      <c r="D355" s="275">
        <v>75.400000000000006</v>
      </c>
      <c r="E355" s="274"/>
      <c r="F355" s="274"/>
      <c r="G355" s="274" t="s">
        <v>889</v>
      </c>
      <c r="H355" s="276">
        <v>2397</v>
      </c>
      <c r="I355" s="24">
        <v>103003</v>
      </c>
      <c r="J355" s="277">
        <v>75.400000000000006</v>
      </c>
      <c r="K355" s="276">
        <v>507</v>
      </c>
      <c r="L355" s="278">
        <v>56.73372781065089</v>
      </c>
      <c r="M355" s="279">
        <v>0</v>
      </c>
      <c r="N355" s="277">
        <v>0</v>
      </c>
      <c r="O355" s="280" t="s">
        <v>888</v>
      </c>
      <c r="P355" s="279">
        <v>0</v>
      </c>
      <c r="Q355" s="281">
        <v>0</v>
      </c>
      <c r="R355" s="282" t="s">
        <v>889</v>
      </c>
      <c r="S355" s="274" t="s">
        <v>1347</v>
      </c>
      <c r="T355" s="44">
        <v>1</v>
      </c>
      <c r="U355" s="283">
        <v>69</v>
      </c>
      <c r="V355" s="284">
        <v>8</v>
      </c>
      <c r="W355" s="285" t="s">
        <v>889</v>
      </c>
      <c r="X355" s="286" t="s">
        <v>889</v>
      </c>
      <c r="Y355" s="287">
        <v>0</v>
      </c>
      <c r="Z355" s="287" t="s">
        <v>889</v>
      </c>
      <c r="AA355" s="286" t="s">
        <v>889</v>
      </c>
      <c r="AB355" s="287">
        <v>0</v>
      </c>
      <c r="AC355" s="287"/>
      <c r="AD355" s="288" t="s">
        <v>889</v>
      </c>
      <c r="AE355" s="289" t="s">
        <v>889</v>
      </c>
      <c r="AF355" s="279">
        <v>170</v>
      </c>
      <c r="AG355" s="282">
        <v>45180</v>
      </c>
      <c r="AH355" s="282" t="s">
        <v>889</v>
      </c>
      <c r="AI355" s="282">
        <v>45128</v>
      </c>
      <c r="AJ355" s="282" t="s">
        <v>889</v>
      </c>
      <c r="AK355" s="274"/>
    </row>
    <row r="356" spans="1:37" x14ac:dyDescent="0.3">
      <c r="A356" s="273">
        <v>64627</v>
      </c>
      <c r="B356" s="274" t="s">
        <v>1382</v>
      </c>
      <c r="C356" s="146" t="s">
        <v>345</v>
      </c>
      <c r="D356" s="275">
        <v>66</v>
      </c>
      <c r="E356" s="274"/>
      <c r="F356" s="274"/>
      <c r="G356" s="274" t="s">
        <v>889</v>
      </c>
      <c r="H356" s="276">
        <v>2121</v>
      </c>
      <c r="I356" s="24">
        <v>103003</v>
      </c>
      <c r="J356" s="277">
        <v>66</v>
      </c>
      <c r="K356" s="276">
        <v>40</v>
      </c>
      <c r="L356" s="278">
        <v>636.93693693693683</v>
      </c>
      <c r="M356" s="279">
        <v>0</v>
      </c>
      <c r="N356" s="277">
        <v>0</v>
      </c>
      <c r="O356" s="280" t="s">
        <v>888</v>
      </c>
      <c r="P356" s="279">
        <v>0</v>
      </c>
      <c r="Q356" s="281">
        <v>0</v>
      </c>
      <c r="R356" s="282" t="s">
        <v>889</v>
      </c>
      <c r="S356" s="274" t="s">
        <v>1347</v>
      </c>
      <c r="T356" s="44">
        <v>1</v>
      </c>
      <c r="U356" s="283">
        <v>69</v>
      </c>
      <c r="V356" s="284">
        <v>8</v>
      </c>
      <c r="W356" s="285" t="s">
        <v>889</v>
      </c>
      <c r="X356" s="286" t="s">
        <v>889</v>
      </c>
      <c r="Y356" s="287">
        <v>0</v>
      </c>
      <c r="Z356" s="287" t="s">
        <v>889</v>
      </c>
      <c r="AA356" s="286" t="s">
        <v>889</v>
      </c>
      <c r="AB356" s="287">
        <v>0</v>
      </c>
      <c r="AC356" s="287"/>
      <c r="AD356" s="288" t="s">
        <v>889</v>
      </c>
      <c r="AE356" s="289" t="s">
        <v>889</v>
      </c>
      <c r="AF356" s="279">
        <v>14</v>
      </c>
      <c r="AG356" s="282">
        <v>44579</v>
      </c>
      <c r="AH356" s="282" t="s">
        <v>889</v>
      </c>
      <c r="AI356" s="282">
        <v>44883</v>
      </c>
      <c r="AJ356" s="282" t="s">
        <v>889</v>
      </c>
      <c r="AK356" s="274"/>
    </row>
    <row r="357" spans="1:37" x14ac:dyDescent="0.3">
      <c r="A357" s="273">
        <v>64634</v>
      </c>
      <c r="B357" s="274" t="s">
        <v>1383</v>
      </c>
      <c r="C357" s="146" t="s">
        <v>263</v>
      </c>
      <c r="D357" s="275">
        <v>3</v>
      </c>
      <c r="E357" s="274"/>
      <c r="F357" s="274"/>
      <c r="G357" s="274" t="s">
        <v>889</v>
      </c>
      <c r="H357" s="276">
        <v>89</v>
      </c>
      <c r="I357" s="24">
        <v>103003</v>
      </c>
      <c r="J357" s="277">
        <v>3</v>
      </c>
      <c r="K357" s="276"/>
      <c r="L357" s="278">
        <v>0</v>
      </c>
      <c r="M357" s="279">
        <v>0</v>
      </c>
      <c r="N357" s="277">
        <v>0</v>
      </c>
      <c r="O357" s="280" t="s">
        <v>888</v>
      </c>
      <c r="P357" s="279">
        <v>0</v>
      </c>
      <c r="Q357" s="281">
        <v>0</v>
      </c>
      <c r="R357" s="282" t="s">
        <v>889</v>
      </c>
      <c r="S357" s="274" t="s">
        <v>1384</v>
      </c>
      <c r="T357" s="44">
        <v>1</v>
      </c>
      <c r="U357" s="283">
        <v>83</v>
      </c>
      <c r="V357" s="284">
        <v>10</v>
      </c>
      <c r="W357" s="285" t="s">
        <v>889</v>
      </c>
      <c r="X357" s="286" t="s">
        <v>889</v>
      </c>
      <c r="Y357" s="287">
        <v>0</v>
      </c>
      <c r="Z357" s="287" t="s">
        <v>889</v>
      </c>
      <c r="AA357" s="286" t="s">
        <v>889</v>
      </c>
      <c r="AB357" s="287">
        <v>0</v>
      </c>
      <c r="AC357" s="287"/>
      <c r="AD357" s="288" t="s">
        <v>889</v>
      </c>
      <c r="AE357" s="289" t="s">
        <v>889</v>
      </c>
      <c r="AF357" s="279">
        <v>0</v>
      </c>
      <c r="AG357" s="282">
        <v>44162</v>
      </c>
      <c r="AH357" s="282" t="s">
        <v>889</v>
      </c>
      <c r="AI357" s="282">
        <v>44029</v>
      </c>
      <c r="AJ357" s="282" t="s">
        <v>889</v>
      </c>
      <c r="AK357" s="274"/>
    </row>
    <row r="358" spans="1:37" x14ac:dyDescent="0.3">
      <c r="A358" s="273">
        <v>64635</v>
      </c>
      <c r="B358" s="274" t="s">
        <v>1385</v>
      </c>
      <c r="C358" s="146" t="s">
        <v>263</v>
      </c>
      <c r="D358" s="275">
        <v>7.1</v>
      </c>
      <c r="E358" s="274"/>
      <c r="F358" s="274"/>
      <c r="G358" s="274" t="s">
        <v>889</v>
      </c>
      <c r="H358" s="276">
        <v>70</v>
      </c>
      <c r="I358" s="24">
        <v>103003</v>
      </c>
      <c r="J358" s="277">
        <v>7.3909500000000001</v>
      </c>
      <c r="K358" s="276">
        <v>2</v>
      </c>
      <c r="L358" s="278">
        <v>411.76470588235293</v>
      </c>
      <c r="M358" s="279">
        <v>0</v>
      </c>
      <c r="N358" s="277">
        <v>0</v>
      </c>
      <c r="O358" s="280" t="s">
        <v>888</v>
      </c>
      <c r="P358" s="279">
        <v>0</v>
      </c>
      <c r="Q358" s="281">
        <v>0</v>
      </c>
      <c r="R358" s="282" t="s">
        <v>889</v>
      </c>
      <c r="S358" s="274" t="s">
        <v>966</v>
      </c>
      <c r="T358" s="44">
        <v>1</v>
      </c>
      <c r="U358" s="283">
        <v>61</v>
      </c>
      <c r="V358" s="284">
        <v>8</v>
      </c>
      <c r="W358" s="285" t="s">
        <v>889</v>
      </c>
      <c r="X358" s="286" t="s">
        <v>889</v>
      </c>
      <c r="Y358" s="287">
        <v>0</v>
      </c>
      <c r="Z358" s="287" t="s">
        <v>889</v>
      </c>
      <c r="AA358" s="286" t="s">
        <v>889</v>
      </c>
      <c r="AB358" s="287">
        <v>0</v>
      </c>
      <c r="AC358" s="287"/>
      <c r="AD358" s="288" t="s">
        <v>889</v>
      </c>
      <c r="AE358" s="289" t="s">
        <v>889</v>
      </c>
      <c r="AF358" s="279">
        <v>0</v>
      </c>
      <c r="AG358" s="282">
        <v>39419</v>
      </c>
      <c r="AH358" s="282" t="s">
        <v>889</v>
      </c>
      <c r="AI358" s="282">
        <v>39380</v>
      </c>
      <c r="AJ358" s="282" t="s">
        <v>889</v>
      </c>
      <c r="AK358" s="274"/>
    </row>
    <row r="359" spans="1:37" x14ac:dyDescent="0.3">
      <c r="A359" s="273">
        <v>64636</v>
      </c>
      <c r="B359" s="274" t="s">
        <v>1386</v>
      </c>
      <c r="C359" s="146" t="s">
        <v>263</v>
      </c>
      <c r="D359" s="275">
        <v>4.5</v>
      </c>
      <c r="E359" s="274"/>
      <c r="F359" s="274"/>
      <c r="G359" s="274" t="s">
        <v>889</v>
      </c>
      <c r="H359" s="276">
        <v>41</v>
      </c>
      <c r="I359" s="24">
        <v>103003</v>
      </c>
      <c r="J359" s="277">
        <v>4.5</v>
      </c>
      <c r="K359" s="276">
        <v>51</v>
      </c>
      <c r="L359" s="278">
        <v>9.1111111111111107</v>
      </c>
      <c r="M359" s="279">
        <v>13</v>
      </c>
      <c r="N359" s="277">
        <v>58.5</v>
      </c>
      <c r="O359" s="280" t="s">
        <v>888</v>
      </c>
      <c r="P359" s="279">
        <v>0</v>
      </c>
      <c r="Q359" s="281">
        <v>0</v>
      </c>
      <c r="R359" s="282" t="s">
        <v>889</v>
      </c>
      <c r="S359" s="274" t="s">
        <v>966</v>
      </c>
      <c r="T359" s="44">
        <v>1</v>
      </c>
      <c r="U359" s="283">
        <v>61</v>
      </c>
      <c r="V359" s="284">
        <v>8</v>
      </c>
      <c r="W359" s="285" t="s">
        <v>889</v>
      </c>
      <c r="X359" s="286" t="s">
        <v>889</v>
      </c>
      <c r="Y359" s="287">
        <v>0</v>
      </c>
      <c r="Z359" s="287" t="s">
        <v>889</v>
      </c>
      <c r="AA359" s="286" t="s">
        <v>889</v>
      </c>
      <c r="AB359" s="287">
        <v>0</v>
      </c>
      <c r="AC359" s="287"/>
      <c r="AD359" s="288" t="s">
        <v>889</v>
      </c>
      <c r="AE359" s="289" t="s">
        <v>889</v>
      </c>
      <c r="AF359" s="279">
        <v>18</v>
      </c>
      <c r="AG359" s="282">
        <v>45160</v>
      </c>
      <c r="AH359" s="282" t="s">
        <v>889</v>
      </c>
      <c r="AI359" s="282">
        <v>45145</v>
      </c>
      <c r="AJ359" s="282" t="s">
        <v>889</v>
      </c>
      <c r="AK359" s="274"/>
    </row>
    <row r="360" spans="1:37" x14ac:dyDescent="0.3">
      <c r="A360" s="273">
        <v>64646</v>
      </c>
      <c r="B360" s="274" t="s">
        <v>1387</v>
      </c>
      <c r="C360" s="146" t="s">
        <v>263</v>
      </c>
      <c r="D360" s="275">
        <v>2.6</v>
      </c>
      <c r="E360" s="274"/>
      <c r="F360" s="274"/>
      <c r="G360" s="274" t="s">
        <v>889</v>
      </c>
      <c r="H360" s="276">
        <v>1080</v>
      </c>
      <c r="I360" s="24">
        <v>103003</v>
      </c>
      <c r="J360" s="277">
        <v>2.6</v>
      </c>
      <c r="K360" s="276">
        <v>660</v>
      </c>
      <c r="L360" s="278">
        <v>19.636363636363637</v>
      </c>
      <c r="M360" s="279">
        <v>0</v>
      </c>
      <c r="N360" s="277">
        <v>0</v>
      </c>
      <c r="O360" s="280" t="s">
        <v>888</v>
      </c>
      <c r="P360" s="279">
        <v>0</v>
      </c>
      <c r="Q360" s="281">
        <v>0</v>
      </c>
      <c r="R360" s="282" t="s">
        <v>889</v>
      </c>
      <c r="S360" s="274" t="s">
        <v>1076</v>
      </c>
      <c r="T360" s="44">
        <v>1</v>
      </c>
      <c r="U360" s="283">
        <v>78</v>
      </c>
      <c r="V360" s="284">
        <v>2</v>
      </c>
      <c r="W360" s="285" t="s">
        <v>889</v>
      </c>
      <c r="X360" s="286" t="s">
        <v>889</v>
      </c>
      <c r="Y360" s="287">
        <v>0</v>
      </c>
      <c r="Z360" s="287" t="s">
        <v>889</v>
      </c>
      <c r="AA360" s="286" t="s">
        <v>889</v>
      </c>
      <c r="AB360" s="287">
        <v>0</v>
      </c>
      <c r="AC360" s="287"/>
      <c r="AD360" s="288" t="s">
        <v>889</v>
      </c>
      <c r="AE360" s="289" t="s">
        <v>889</v>
      </c>
      <c r="AF360" s="279">
        <v>220</v>
      </c>
      <c r="AG360" s="282">
        <v>45201</v>
      </c>
      <c r="AH360" s="282" t="s">
        <v>889</v>
      </c>
      <c r="AI360" s="282">
        <v>45189</v>
      </c>
      <c r="AJ360" s="282" t="s">
        <v>889</v>
      </c>
      <c r="AK360" s="274"/>
    </row>
    <row r="361" spans="1:37" x14ac:dyDescent="0.3">
      <c r="A361" s="273">
        <v>64647</v>
      </c>
      <c r="B361" s="274" t="s">
        <v>1388</v>
      </c>
      <c r="C361" s="146" t="s">
        <v>263</v>
      </c>
      <c r="D361" s="275">
        <v>20.8</v>
      </c>
      <c r="E361" s="274"/>
      <c r="F361" s="274"/>
      <c r="G361" s="274" t="s">
        <v>889</v>
      </c>
      <c r="H361" s="276">
        <v>18</v>
      </c>
      <c r="I361" s="24">
        <v>103003</v>
      </c>
      <c r="J361" s="277">
        <v>20.8</v>
      </c>
      <c r="K361" s="276"/>
      <c r="L361" s="278">
        <v>0</v>
      </c>
      <c r="M361" s="279">
        <v>0</v>
      </c>
      <c r="N361" s="277">
        <v>0</v>
      </c>
      <c r="O361" s="280" t="s">
        <v>888</v>
      </c>
      <c r="P361" s="279">
        <v>0</v>
      </c>
      <c r="Q361" s="281">
        <v>0</v>
      </c>
      <c r="R361" s="282" t="s">
        <v>889</v>
      </c>
      <c r="S361" s="274" t="s">
        <v>966</v>
      </c>
      <c r="T361" s="44">
        <v>1</v>
      </c>
      <c r="U361" s="283">
        <v>61</v>
      </c>
      <c r="V361" s="284">
        <v>8</v>
      </c>
      <c r="W361" s="285" t="s">
        <v>889</v>
      </c>
      <c r="X361" s="286" t="s">
        <v>889</v>
      </c>
      <c r="Y361" s="287">
        <v>0</v>
      </c>
      <c r="Z361" s="287" t="s">
        <v>889</v>
      </c>
      <c r="AA361" s="286" t="s">
        <v>889</v>
      </c>
      <c r="AB361" s="287">
        <v>0</v>
      </c>
      <c r="AC361" s="287"/>
      <c r="AD361" s="288" t="s">
        <v>889</v>
      </c>
      <c r="AE361" s="289" t="s">
        <v>889</v>
      </c>
      <c r="AF361" s="279">
        <v>0</v>
      </c>
      <c r="AG361" s="282">
        <v>40688</v>
      </c>
      <c r="AH361" s="282" t="s">
        <v>889</v>
      </c>
      <c r="AI361" s="282">
        <v>43725</v>
      </c>
      <c r="AJ361" s="282" t="s">
        <v>889</v>
      </c>
      <c r="AK361" s="274"/>
    </row>
    <row r="362" spans="1:37" x14ac:dyDescent="0.3">
      <c r="A362" s="273">
        <v>64648</v>
      </c>
      <c r="B362" s="274" t="s">
        <v>1389</v>
      </c>
      <c r="C362" s="146" t="s">
        <v>263</v>
      </c>
      <c r="D362" s="275">
        <v>48.46</v>
      </c>
      <c r="E362" s="274"/>
      <c r="F362" s="274"/>
      <c r="G362" s="274" t="s">
        <v>889</v>
      </c>
      <c r="H362" s="276">
        <v>14</v>
      </c>
      <c r="I362" s="24">
        <v>103003</v>
      </c>
      <c r="J362" s="277">
        <v>48.46</v>
      </c>
      <c r="K362" s="276">
        <v>3</v>
      </c>
      <c r="L362" s="278">
        <v>4.3076923076923084</v>
      </c>
      <c r="M362" s="279">
        <v>15</v>
      </c>
      <c r="N362" s="277">
        <v>726.9</v>
      </c>
      <c r="O362" s="280" t="s">
        <v>888</v>
      </c>
      <c r="P362" s="279">
        <v>0</v>
      </c>
      <c r="Q362" s="281">
        <v>0</v>
      </c>
      <c r="R362" s="282" t="s">
        <v>889</v>
      </c>
      <c r="S362" s="274" t="s">
        <v>966</v>
      </c>
      <c r="T362" s="44">
        <v>1</v>
      </c>
      <c r="U362" s="283">
        <v>61</v>
      </c>
      <c r="V362" s="284">
        <v>8</v>
      </c>
      <c r="W362" s="285">
        <v>8979</v>
      </c>
      <c r="X362" s="286">
        <v>2023</v>
      </c>
      <c r="Y362" s="287">
        <v>10</v>
      </c>
      <c r="Z362" s="287" t="s">
        <v>889</v>
      </c>
      <c r="AA362" s="286" t="s">
        <v>889</v>
      </c>
      <c r="AB362" s="287">
        <v>0</v>
      </c>
      <c r="AC362" s="287"/>
      <c r="AD362" s="288" t="s">
        <v>889</v>
      </c>
      <c r="AE362" s="289" t="s">
        <v>889</v>
      </c>
      <c r="AF362" s="279">
        <v>14</v>
      </c>
      <c r="AG362" s="282">
        <v>44573</v>
      </c>
      <c r="AH362" s="282" t="s">
        <v>889</v>
      </c>
      <c r="AI362" s="282">
        <v>44522</v>
      </c>
      <c r="AJ362" s="282" t="s">
        <v>889</v>
      </c>
      <c r="AK362" s="274"/>
    </row>
    <row r="363" spans="1:37" x14ac:dyDescent="0.3">
      <c r="A363" s="273">
        <v>64817</v>
      </c>
      <c r="B363" s="274" t="s">
        <v>1390</v>
      </c>
      <c r="C363" s="146" t="s">
        <v>345</v>
      </c>
      <c r="D363" s="275">
        <v>16</v>
      </c>
      <c r="E363" s="274"/>
      <c r="F363" s="274"/>
      <c r="G363" s="274" t="s">
        <v>889</v>
      </c>
      <c r="H363" s="276">
        <v>86</v>
      </c>
      <c r="I363" s="24">
        <v>103003</v>
      </c>
      <c r="J363" s="277">
        <v>16</v>
      </c>
      <c r="K363" s="276">
        <v>2</v>
      </c>
      <c r="L363" s="278">
        <v>505.88235294117646</v>
      </c>
      <c r="M363" s="279">
        <v>0</v>
      </c>
      <c r="N363" s="277">
        <v>0</v>
      </c>
      <c r="O363" s="280" t="s">
        <v>888</v>
      </c>
      <c r="P363" s="279">
        <v>0</v>
      </c>
      <c r="Q363" s="281">
        <v>0</v>
      </c>
      <c r="R363" s="282" t="s">
        <v>889</v>
      </c>
      <c r="S363" s="274" t="s">
        <v>1347</v>
      </c>
      <c r="T363" s="44">
        <v>1</v>
      </c>
      <c r="U363" s="283">
        <v>69</v>
      </c>
      <c r="V363" s="284">
        <v>8</v>
      </c>
      <c r="W363" s="285" t="s">
        <v>889</v>
      </c>
      <c r="X363" s="286" t="s">
        <v>889</v>
      </c>
      <c r="Y363" s="287">
        <v>0</v>
      </c>
      <c r="Z363" s="287" t="s">
        <v>889</v>
      </c>
      <c r="AA363" s="286" t="s">
        <v>889</v>
      </c>
      <c r="AB363" s="287">
        <v>0</v>
      </c>
      <c r="AC363" s="287"/>
      <c r="AD363" s="288" t="s">
        <v>889</v>
      </c>
      <c r="AE363" s="289" t="s">
        <v>889</v>
      </c>
      <c r="AF363" s="279">
        <v>0</v>
      </c>
      <c r="AG363" s="282">
        <v>43788</v>
      </c>
      <c r="AH363" s="282" t="s">
        <v>889</v>
      </c>
      <c r="AI363" s="282">
        <v>44012</v>
      </c>
      <c r="AJ363" s="282" t="s">
        <v>889</v>
      </c>
      <c r="AK363" s="274"/>
    </row>
    <row r="364" spans="1:37" x14ac:dyDescent="0.3">
      <c r="A364" s="273">
        <v>64821</v>
      </c>
      <c r="B364" s="274" t="s">
        <v>507</v>
      </c>
      <c r="C364" s="146" t="s">
        <v>287</v>
      </c>
      <c r="D364" s="275">
        <v>99</v>
      </c>
      <c r="E364" s="274"/>
      <c r="F364" s="274"/>
      <c r="G364" s="274" t="s">
        <v>889</v>
      </c>
      <c r="H364" s="276">
        <v>18</v>
      </c>
      <c r="I364" s="24">
        <v>103003</v>
      </c>
      <c r="J364" s="277">
        <v>99</v>
      </c>
      <c r="K364" s="276">
        <v>5</v>
      </c>
      <c r="L364" s="278">
        <v>42.857142857142861</v>
      </c>
      <c r="M364" s="279">
        <v>0</v>
      </c>
      <c r="N364" s="277">
        <v>0</v>
      </c>
      <c r="O364" s="280" t="s">
        <v>888</v>
      </c>
      <c r="P364" s="279">
        <v>0</v>
      </c>
      <c r="Q364" s="281">
        <v>0</v>
      </c>
      <c r="R364" s="282" t="s">
        <v>889</v>
      </c>
      <c r="S364" s="274" t="s">
        <v>1391</v>
      </c>
      <c r="T364" s="44">
        <v>1</v>
      </c>
      <c r="U364" s="283">
        <v>76</v>
      </c>
      <c r="V364" s="284">
        <v>9</v>
      </c>
      <c r="W364" s="285" t="s">
        <v>889</v>
      </c>
      <c r="X364" s="286" t="s">
        <v>889</v>
      </c>
      <c r="Y364" s="287">
        <v>0</v>
      </c>
      <c r="Z364" s="287" t="s">
        <v>889</v>
      </c>
      <c r="AA364" s="286" t="s">
        <v>889</v>
      </c>
      <c r="AB364" s="287">
        <v>0</v>
      </c>
      <c r="AC364" s="287"/>
      <c r="AD364" s="288" t="s">
        <v>889</v>
      </c>
      <c r="AE364" s="289" t="s">
        <v>889</v>
      </c>
      <c r="AF364" s="279">
        <v>2</v>
      </c>
      <c r="AG364" s="282">
        <v>43497</v>
      </c>
      <c r="AH364" s="282" t="s">
        <v>889</v>
      </c>
      <c r="AI364" s="282">
        <v>43875</v>
      </c>
      <c r="AJ364" s="282" t="s">
        <v>889</v>
      </c>
      <c r="AK364" s="274"/>
    </row>
    <row r="365" spans="1:37" x14ac:dyDescent="0.3">
      <c r="A365" s="273">
        <v>64860</v>
      </c>
      <c r="B365" s="274" t="s">
        <v>1392</v>
      </c>
      <c r="C365" s="146" t="s">
        <v>345</v>
      </c>
      <c r="D365" s="275">
        <v>41</v>
      </c>
      <c r="E365" s="274"/>
      <c r="F365" s="274"/>
      <c r="G365" s="274" t="s">
        <v>889</v>
      </c>
      <c r="H365" s="276">
        <v>106</v>
      </c>
      <c r="I365" s="24">
        <v>103003</v>
      </c>
      <c r="J365" s="277">
        <v>41</v>
      </c>
      <c r="K365" s="276">
        <v>201</v>
      </c>
      <c r="L365" s="278">
        <v>6.3283582089552244</v>
      </c>
      <c r="M365" s="279">
        <v>95</v>
      </c>
      <c r="N365" s="277">
        <v>3895</v>
      </c>
      <c r="O365" s="280" t="s">
        <v>888</v>
      </c>
      <c r="P365" s="279">
        <v>0</v>
      </c>
      <c r="Q365" s="281">
        <v>0</v>
      </c>
      <c r="R365" s="282" t="s">
        <v>889</v>
      </c>
      <c r="S365" s="274" t="s">
        <v>1347</v>
      </c>
      <c r="T365" s="44">
        <v>1</v>
      </c>
      <c r="U365" s="283">
        <v>69</v>
      </c>
      <c r="V365" s="284">
        <v>8</v>
      </c>
      <c r="W365" s="285" t="s">
        <v>889</v>
      </c>
      <c r="X365" s="286" t="s">
        <v>889</v>
      </c>
      <c r="Y365" s="287">
        <v>0</v>
      </c>
      <c r="Z365" s="287" t="s">
        <v>889</v>
      </c>
      <c r="AA365" s="286" t="s">
        <v>889</v>
      </c>
      <c r="AB365" s="287">
        <v>0</v>
      </c>
      <c r="AC365" s="287"/>
      <c r="AD365" s="288" t="s">
        <v>889</v>
      </c>
      <c r="AE365" s="289" t="s">
        <v>889</v>
      </c>
      <c r="AF365" s="279">
        <v>68</v>
      </c>
      <c r="AG365" s="282">
        <v>45184</v>
      </c>
      <c r="AH365" s="282" t="s">
        <v>889</v>
      </c>
      <c r="AI365" s="282">
        <v>45156</v>
      </c>
      <c r="AJ365" s="282" t="s">
        <v>889</v>
      </c>
      <c r="AK365" s="274"/>
    </row>
    <row r="366" spans="1:37" x14ac:dyDescent="0.3">
      <c r="A366" s="273">
        <v>64861</v>
      </c>
      <c r="B366" s="274" t="s">
        <v>1393</v>
      </c>
      <c r="C366" s="146" t="s">
        <v>345</v>
      </c>
      <c r="D366" s="275">
        <v>38.89</v>
      </c>
      <c r="E366" s="274"/>
      <c r="F366" s="274"/>
      <c r="G366" s="274" t="s">
        <v>889</v>
      </c>
      <c r="H366" s="276">
        <v>1790</v>
      </c>
      <c r="I366" s="24">
        <v>103003</v>
      </c>
      <c r="J366" s="277">
        <v>38.89</v>
      </c>
      <c r="K366" s="276"/>
      <c r="L366" s="278">
        <v>0</v>
      </c>
      <c r="M366" s="279">
        <v>0</v>
      </c>
      <c r="N366" s="277">
        <v>0</v>
      </c>
      <c r="O366" s="280" t="s">
        <v>888</v>
      </c>
      <c r="P366" s="279">
        <v>0</v>
      </c>
      <c r="Q366" s="281">
        <v>0</v>
      </c>
      <c r="R366" s="282" t="s">
        <v>889</v>
      </c>
      <c r="S366" s="274" t="s">
        <v>1347</v>
      </c>
      <c r="T366" s="44">
        <v>1</v>
      </c>
      <c r="U366" s="283">
        <v>69</v>
      </c>
      <c r="V366" s="284">
        <v>8</v>
      </c>
      <c r="W366" s="285" t="s">
        <v>889</v>
      </c>
      <c r="X366" s="286" t="s">
        <v>889</v>
      </c>
      <c r="Y366" s="287">
        <v>0</v>
      </c>
      <c r="Z366" s="287" t="s">
        <v>889</v>
      </c>
      <c r="AA366" s="286" t="s">
        <v>889</v>
      </c>
      <c r="AB366" s="287">
        <v>0</v>
      </c>
      <c r="AC366" s="287"/>
      <c r="AD366" s="288" t="s">
        <v>889</v>
      </c>
      <c r="AE366" s="289" t="s">
        <v>889</v>
      </c>
      <c r="AF366" s="279">
        <v>0</v>
      </c>
      <c r="AG366" s="282">
        <v>44579</v>
      </c>
      <c r="AH366" s="282" t="s">
        <v>889</v>
      </c>
      <c r="AI366" s="282">
        <v>44883</v>
      </c>
      <c r="AJ366" s="282" t="s">
        <v>889</v>
      </c>
      <c r="AK366" s="274"/>
    </row>
    <row r="367" spans="1:37" x14ac:dyDescent="0.3">
      <c r="A367" s="273">
        <v>65173</v>
      </c>
      <c r="B367" s="274" t="s">
        <v>1394</v>
      </c>
      <c r="C367" s="146" t="s">
        <v>263</v>
      </c>
      <c r="D367" s="275">
        <v>72.959999999999994</v>
      </c>
      <c r="E367" s="274"/>
      <c r="F367" s="274"/>
      <c r="G367" s="274" t="s">
        <v>889</v>
      </c>
      <c r="H367" s="276">
        <v>50</v>
      </c>
      <c r="I367" s="24">
        <v>103003</v>
      </c>
      <c r="J367" s="277">
        <v>72.959999999999994</v>
      </c>
      <c r="K367" s="276">
        <v>125</v>
      </c>
      <c r="L367" s="278">
        <v>4.5454545454545459</v>
      </c>
      <c r="M367" s="279">
        <v>82</v>
      </c>
      <c r="N367" s="277">
        <v>5982.72</v>
      </c>
      <c r="O367" s="280" t="s">
        <v>888</v>
      </c>
      <c r="P367" s="279">
        <v>0</v>
      </c>
      <c r="Q367" s="281">
        <v>0</v>
      </c>
      <c r="R367" s="282" t="s">
        <v>889</v>
      </c>
      <c r="S367" s="274" t="s">
        <v>1011</v>
      </c>
      <c r="T367" s="44">
        <v>1</v>
      </c>
      <c r="U367" s="283">
        <v>61</v>
      </c>
      <c r="V367" s="284">
        <v>15</v>
      </c>
      <c r="W367" s="285" t="s">
        <v>889</v>
      </c>
      <c r="X367" s="286" t="s">
        <v>889</v>
      </c>
      <c r="Y367" s="287">
        <v>0</v>
      </c>
      <c r="Z367" s="287" t="s">
        <v>889</v>
      </c>
      <c r="AA367" s="286" t="s">
        <v>889</v>
      </c>
      <c r="AB367" s="287">
        <v>0</v>
      </c>
      <c r="AC367" s="287"/>
      <c r="AD367" s="288" t="s">
        <v>889</v>
      </c>
      <c r="AE367" s="289" t="s">
        <v>889</v>
      </c>
      <c r="AF367" s="279">
        <v>44</v>
      </c>
      <c r="AG367" s="282">
        <v>45189</v>
      </c>
      <c r="AH367" s="282" t="s">
        <v>889</v>
      </c>
      <c r="AI367" s="282">
        <v>45145</v>
      </c>
      <c r="AJ367" s="282" t="s">
        <v>889</v>
      </c>
      <c r="AK367" s="274"/>
    </row>
    <row r="368" spans="1:37" x14ac:dyDescent="0.3">
      <c r="A368" s="273">
        <v>65609</v>
      </c>
      <c r="B368" s="274" t="s">
        <v>509</v>
      </c>
      <c r="C368" s="146" t="s">
        <v>263</v>
      </c>
      <c r="D368" s="275">
        <v>21</v>
      </c>
      <c r="E368" s="274"/>
      <c r="F368" s="274"/>
      <c r="G368" s="274" t="s">
        <v>889</v>
      </c>
      <c r="H368" s="276">
        <v>3</v>
      </c>
      <c r="I368" s="24">
        <v>103003</v>
      </c>
      <c r="J368" s="277">
        <v>21</v>
      </c>
      <c r="K368" s="276"/>
      <c r="L368" s="278">
        <v>0</v>
      </c>
      <c r="M368" s="279">
        <v>0</v>
      </c>
      <c r="N368" s="277">
        <v>0</v>
      </c>
      <c r="O368" s="280" t="s">
        <v>888</v>
      </c>
      <c r="P368" s="279">
        <v>0</v>
      </c>
      <c r="Q368" s="281">
        <v>0</v>
      </c>
      <c r="R368" s="282" t="s">
        <v>889</v>
      </c>
      <c r="S368" s="274" t="s">
        <v>1274</v>
      </c>
      <c r="T368" s="44">
        <v>1</v>
      </c>
      <c r="U368" s="283">
        <v>51</v>
      </c>
      <c r="V368" s="284">
        <v>17</v>
      </c>
      <c r="W368" s="285" t="s">
        <v>889</v>
      </c>
      <c r="X368" s="286" t="s">
        <v>889</v>
      </c>
      <c r="Y368" s="287">
        <v>0</v>
      </c>
      <c r="Z368" s="287" t="s">
        <v>889</v>
      </c>
      <c r="AA368" s="286" t="s">
        <v>889</v>
      </c>
      <c r="AB368" s="287">
        <v>0</v>
      </c>
      <c r="AC368" s="287"/>
      <c r="AD368" s="288" t="s">
        <v>889</v>
      </c>
      <c r="AE368" s="289" t="s">
        <v>889</v>
      </c>
      <c r="AF368" s="279">
        <v>0</v>
      </c>
      <c r="AG368" s="282">
        <v>39779</v>
      </c>
      <c r="AH368" s="282" t="s">
        <v>889</v>
      </c>
      <c r="AI368" s="282">
        <v>39734</v>
      </c>
      <c r="AJ368" s="282" t="s">
        <v>889</v>
      </c>
      <c r="AK368" s="274"/>
    </row>
    <row r="369" spans="1:37" x14ac:dyDescent="0.3">
      <c r="A369" s="273">
        <v>65610</v>
      </c>
      <c r="B369" s="274" t="s">
        <v>510</v>
      </c>
      <c r="C369" s="146" t="s">
        <v>263</v>
      </c>
      <c r="D369" s="275">
        <v>30</v>
      </c>
      <c r="E369" s="274"/>
      <c r="F369" s="274"/>
      <c r="G369" s="274" t="s">
        <v>889</v>
      </c>
      <c r="H369" s="276">
        <v>15</v>
      </c>
      <c r="I369" s="24">
        <v>103003</v>
      </c>
      <c r="J369" s="277">
        <v>28.95</v>
      </c>
      <c r="K369" s="276"/>
      <c r="L369" s="278">
        <v>0</v>
      </c>
      <c r="M369" s="279">
        <v>0</v>
      </c>
      <c r="N369" s="277">
        <v>0</v>
      </c>
      <c r="O369" s="280" t="s">
        <v>888</v>
      </c>
      <c r="P369" s="279">
        <v>0</v>
      </c>
      <c r="Q369" s="281">
        <v>0</v>
      </c>
      <c r="R369" s="282" t="s">
        <v>889</v>
      </c>
      <c r="S369" s="274" t="s">
        <v>1274</v>
      </c>
      <c r="T369" s="44">
        <v>1</v>
      </c>
      <c r="U369" s="283">
        <v>51</v>
      </c>
      <c r="V369" s="284">
        <v>17</v>
      </c>
      <c r="W369" s="285" t="s">
        <v>889</v>
      </c>
      <c r="X369" s="286" t="s">
        <v>889</v>
      </c>
      <c r="Y369" s="287">
        <v>0</v>
      </c>
      <c r="Z369" s="287" t="s">
        <v>889</v>
      </c>
      <c r="AA369" s="286" t="s">
        <v>889</v>
      </c>
      <c r="AB369" s="287">
        <v>0</v>
      </c>
      <c r="AC369" s="287"/>
      <c r="AD369" s="288" t="s">
        <v>889</v>
      </c>
      <c r="AE369" s="289" t="s">
        <v>889</v>
      </c>
      <c r="AF369" s="279">
        <v>0</v>
      </c>
      <c r="AG369" s="282">
        <v>39636</v>
      </c>
      <c r="AH369" s="282" t="s">
        <v>889</v>
      </c>
      <c r="AI369" s="282">
        <v>39616</v>
      </c>
      <c r="AJ369" s="282" t="s">
        <v>889</v>
      </c>
      <c r="AK369" s="274"/>
    </row>
    <row r="370" spans="1:37" x14ac:dyDescent="0.3">
      <c r="A370" s="273">
        <v>66168</v>
      </c>
      <c r="B370" s="274" t="s">
        <v>1395</v>
      </c>
      <c r="C370" s="146" t="s">
        <v>345</v>
      </c>
      <c r="D370" s="275">
        <v>42</v>
      </c>
      <c r="E370" s="274"/>
      <c r="F370" s="274"/>
      <c r="G370" s="274" t="s">
        <v>889</v>
      </c>
      <c r="H370" s="276">
        <v>139</v>
      </c>
      <c r="I370" s="24">
        <v>103003</v>
      </c>
      <c r="J370" s="277">
        <v>42</v>
      </c>
      <c r="K370" s="276">
        <v>687</v>
      </c>
      <c r="L370" s="278">
        <v>2.1523691545370083</v>
      </c>
      <c r="M370" s="279">
        <v>635.96</v>
      </c>
      <c r="N370" s="277">
        <v>26710.32</v>
      </c>
      <c r="O370" s="280" t="s">
        <v>888</v>
      </c>
      <c r="P370" s="279">
        <v>0</v>
      </c>
      <c r="Q370" s="281">
        <v>0</v>
      </c>
      <c r="R370" s="282" t="s">
        <v>889</v>
      </c>
      <c r="S370" s="274" t="s">
        <v>1371</v>
      </c>
      <c r="T370" s="44">
        <v>1</v>
      </c>
      <c r="U370" s="283">
        <v>69</v>
      </c>
      <c r="V370" s="284">
        <v>17</v>
      </c>
      <c r="W370" s="285" t="s">
        <v>889</v>
      </c>
      <c r="X370" s="286" t="s">
        <v>889</v>
      </c>
      <c r="Y370" s="287">
        <v>0</v>
      </c>
      <c r="Z370" s="287" t="s">
        <v>889</v>
      </c>
      <c r="AA370" s="286" t="s">
        <v>889</v>
      </c>
      <c r="AB370" s="287">
        <v>0</v>
      </c>
      <c r="AC370" s="287"/>
      <c r="AD370" s="288" t="s">
        <v>889</v>
      </c>
      <c r="AE370" s="289" t="s">
        <v>889</v>
      </c>
      <c r="AF370" s="279">
        <v>258</v>
      </c>
      <c r="AG370" s="282">
        <v>45148</v>
      </c>
      <c r="AH370" s="282" t="s">
        <v>889</v>
      </c>
      <c r="AI370" s="282">
        <v>45128</v>
      </c>
      <c r="AJ370" s="282" t="s">
        <v>889</v>
      </c>
      <c r="AK370" s="274"/>
    </row>
    <row r="371" spans="1:37" x14ac:dyDescent="0.3">
      <c r="A371" s="273">
        <v>67375</v>
      </c>
      <c r="B371" s="274" t="s">
        <v>1396</v>
      </c>
      <c r="C371" s="146" t="s">
        <v>263</v>
      </c>
      <c r="D371" s="275">
        <v>46</v>
      </c>
      <c r="E371" s="274"/>
      <c r="F371" s="274"/>
      <c r="G371" s="274" t="s">
        <v>889</v>
      </c>
      <c r="H371" s="276">
        <v>103</v>
      </c>
      <c r="I371" s="24">
        <v>103003</v>
      </c>
      <c r="J371" s="277">
        <v>46</v>
      </c>
      <c r="K371" s="276">
        <v>85</v>
      </c>
      <c r="L371" s="278">
        <v>13.881401617250674</v>
      </c>
      <c r="M371" s="279">
        <v>0</v>
      </c>
      <c r="N371" s="277">
        <v>0</v>
      </c>
      <c r="O371" s="280" t="s">
        <v>888</v>
      </c>
      <c r="P371" s="279">
        <v>0</v>
      </c>
      <c r="Q371" s="281">
        <v>0</v>
      </c>
      <c r="R371" s="282" t="s">
        <v>889</v>
      </c>
      <c r="S371" s="274" t="s">
        <v>1274</v>
      </c>
      <c r="T371" s="44">
        <v>1</v>
      </c>
      <c r="U371" s="283">
        <v>51</v>
      </c>
      <c r="V371" s="284">
        <v>17</v>
      </c>
      <c r="W371" s="285" t="s">
        <v>889</v>
      </c>
      <c r="X371" s="286" t="s">
        <v>889</v>
      </c>
      <c r="Y371" s="287">
        <v>0</v>
      </c>
      <c r="Z371" s="287" t="s">
        <v>889</v>
      </c>
      <c r="AA371" s="286" t="s">
        <v>889</v>
      </c>
      <c r="AB371" s="287">
        <v>0</v>
      </c>
      <c r="AC371" s="287"/>
      <c r="AD371" s="288" t="s">
        <v>889</v>
      </c>
      <c r="AE371" s="289" t="s">
        <v>889</v>
      </c>
      <c r="AF371" s="279">
        <v>30</v>
      </c>
      <c r="AG371" s="282">
        <v>45208</v>
      </c>
      <c r="AH371" s="282" t="s">
        <v>889</v>
      </c>
      <c r="AI371" s="282">
        <v>45160</v>
      </c>
      <c r="AJ371" s="282" t="s">
        <v>889</v>
      </c>
      <c r="AK371" s="274"/>
    </row>
    <row r="372" spans="1:37" x14ac:dyDescent="0.3">
      <c r="A372" s="273">
        <v>67376</v>
      </c>
      <c r="B372" s="274" t="s">
        <v>1397</v>
      </c>
      <c r="C372" s="146" t="s">
        <v>263</v>
      </c>
      <c r="D372" s="275">
        <v>53</v>
      </c>
      <c r="E372" s="274"/>
      <c r="F372" s="274"/>
      <c r="G372" s="274" t="s">
        <v>889</v>
      </c>
      <c r="H372" s="276">
        <v>178</v>
      </c>
      <c r="I372" s="24">
        <v>103003</v>
      </c>
      <c r="J372" s="277">
        <v>53</v>
      </c>
      <c r="K372" s="276">
        <v>83</v>
      </c>
      <c r="L372" s="278">
        <v>25.722543352601157</v>
      </c>
      <c r="M372" s="279">
        <v>0</v>
      </c>
      <c r="N372" s="277">
        <v>0</v>
      </c>
      <c r="O372" s="280" t="s">
        <v>888</v>
      </c>
      <c r="P372" s="279">
        <v>0</v>
      </c>
      <c r="Q372" s="281">
        <v>0</v>
      </c>
      <c r="R372" s="282" t="s">
        <v>889</v>
      </c>
      <c r="S372" s="274" t="s">
        <v>1274</v>
      </c>
      <c r="T372" s="44">
        <v>1</v>
      </c>
      <c r="U372" s="283">
        <v>51</v>
      </c>
      <c r="V372" s="284">
        <v>17</v>
      </c>
      <c r="W372" s="285" t="s">
        <v>889</v>
      </c>
      <c r="X372" s="286" t="s">
        <v>889</v>
      </c>
      <c r="Y372" s="287">
        <v>0</v>
      </c>
      <c r="Z372" s="287" t="s">
        <v>889</v>
      </c>
      <c r="AA372" s="286" t="s">
        <v>889</v>
      </c>
      <c r="AB372" s="287">
        <v>0</v>
      </c>
      <c r="AC372" s="287"/>
      <c r="AD372" s="288" t="s">
        <v>889</v>
      </c>
      <c r="AE372" s="289" t="s">
        <v>889</v>
      </c>
      <c r="AF372" s="279">
        <v>28</v>
      </c>
      <c r="AG372" s="282">
        <v>45189</v>
      </c>
      <c r="AH372" s="282" t="s">
        <v>889</v>
      </c>
      <c r="AI372" s="282">
        <v>45160</v>
      </c>
      <c r="AJ372" s="282" t="s">
        <v>889</v>
      </c>
      <c r="AK372" s="274"/>
    </row>
    <row r="373" spans="1:37" x14ac:dyDescent="0.3">
      <c r="A373" s="273">
        <v>67939</v>
      </c>
      <c r="B373" s="274" t="s">
        <v>1398</v>
      </c>
      <c r="C373" s="146" t="s">
        <v>473</v>
      </c>
      <c r="D373" s="275">
        <v>39.96</v>
      </c>
      <c r="E373" s="274"/>
      <c r="F373" s="274"/>
      <c r="G373" s="274" t="s">
        <v>889</v>
      </c>
      <c r="H373" s="276">
        <v>3</v>
      </c>
      <c r="I373" s="24">
        <v>103003</v>
      </c>
      <c r="J373" s="277">
        <v>39.96</v>
      </c>
      <c r="K373" s="276">
        <v>132</v>
      </c>
      <c r="L373" s="278">
        <v>0.25167785234899326</v>
      </c>
      <c r="M373" s="279">
        <v>140.04</v>
      </c>
      <c r="N373" s="277">
        <v>5595.9984000000004</v>
      </c>
      <c r="O373" s="280" t="s">
        <v>888</v>
      </c>
      <c r="P373" s="279">
        <v>0</v>
      </c>
      <c r="Q373" s="281">
        <v>0</v>
      </c>
      <c r="R373" s="282" t="s">
        <v>889</v>
      </c>
      <c r="S373" s="274" t="s">
        <v>1283</v>
      </c>
      <c r="T373" s="44">
        <v>1</v>
      </c>
      <c r="U373" s="283">
        <v>51</v>
      </c>
      <c r="V373" s="284">
        <v>28</v>
      </c>
      <c r="W373" s="285" t="s">
        <v>889</v>
      </c>
      <c r="X373" s="286" t="s">
        <v>889</v>
      </c>
      <c r="Y373" s="287">
        <v>0</v>
      </c>
      <c r="Z373" s="287" t="s">
        <v>889</v>
      </c>
      <c r="AA373" s="286" t="s">
        <v>889</v>
      </c>
      <c r="AB373" s="287">
        <v>0</v>
      </c>
      <c r="AC373" s="287"/>
      <c r="AD373" s="288" t="s">
        <v>889</v>
      </c>
      <c r="AE373" s="289" t="s">
        <v>889</v>
      </c>
      <c r="AF373" s="279">
        <v>48</v>
      </c>
      <c r="AG373" s="282">
        <v>43853</v>
      </c>
      <c r="AH373" s="282" t="s">
        <v>889</v>
      </c>
      <c r="AI373" s="282">
        <v>45210</v>
      </c>
      <c r="AJ373" s="282" t="s">
        <v>889</v>
      </c>
      <c r="AK373" s="274"/>
    </row>
    <row r="374" spans="1:37" x14ac:dyDescent="0.3">
      <c r="A374" s="273">
        <v>69222</v>
      </c>
      <c r="B374" s="274" t="s">
        <v>1399</v>
      </c>
      <c r="C374" s="146" t="s">
        <v>1343</v>
      </c>
      <c r="D374" s="275">
        <v>1.8</v>
      </c>
      <c r="E374" s="274"/>
      <c r="F374" s="274"/>
      <c r="G374" s="274" t="s">
        <v>889</v>
      </c>
      <c r="H374" s="276">
        <v>0</v>
      </c>
      <c r="I374" s="24">
        <v>103003</v>
      </c>
      <c r="J374" s="277">
        <v>1.8</v>
      </c>
      <c r="K374" s="276">
        <v>3320</v>
      </c>
      <c r="L374" s="278">
        <v>0</v>
      </c>
      <c r="M374" s="279">
        <v>2073</v>
      </c>
      <c r="N374" s="277">
        <v>3731.4</v>
      </c>
      <c r="O374" s="280" t="s">
        <v>888</v>
      </c>
      <c r="P374" s="279">
        <v>0</v>
      </c>
      <c r="Q374" s="281">
        <v>0</v>
      </c>
      <c r="R374" s="282" t="s">
        <v>889</v>
      </c>
      <c r="S374" s="274" t="s">
        <v>941</v>
      </c>
      <c r="T374" s="44">
        <v>1</v>
      </c>
      <c r="U374" s="283">
        <v>45</v>
      </c>
      <c r="V374" s="284">
        <v>11</v>
      </c>
      <c r="W374" s="285">
        <v>6978</v>
      </c>
      <c r="X374" s="286">
        <v>2023</v>
      </c>
      <c r="Y374" s="287">
        <v>1500</v>
      </c>
      <c r="Z374" s="287" t="s">
        <v>889</v>
      </c>
      <c r="AA374" s="286" t="s">
        <v>889</v>
      </c>
      <c r="AB374" s="287">
        <v>0</v>
      </c>
      <c r="AC374" s="287"/>
      <c r="AD374" s="288" t="s">
        <v>889</v>
      </c>
      <c r="AE374" s="289" t="s">
        <v>889</v>
      </c>
      <c r="AF374" s="279">
        <v>1192</v>
      </c>
      <c r="AG374" s="282">
        <v>44973</v>
      </c>
      <c r="AH374" s="282" t="s">
        <v>889</v>
      </c>
      <c r="AI374" s="282">
        <v>45107</v>
      </c>
      <c r="AJ374" s="282" t="s">
        <v>889</v>
      </c>
      <c r="AK374" s="274"/>
    </row>
    <row r="375" spans="1:37" x14ac:dyDescent="0.3">
      <c r="A375" s="273">
        <v>69229</v>
      </c>
      <c r="B375" s="274" t="s">
        <v>1174</v>
      </c>
      <c r="C375" s="146" t="s">
        <v>1070</v>
      </c>
      <c r="D375" s="275">
        <v>279.98</v>
      </c>
      <c r="E375" s="274"/>
      <c r="F375" s="274"/>
      <c r="G375" s="274" t="s">
        <v>889</v>
      </c>
      <c r="H375" s="276">
        <v>46</v>
      </c>
      <c r="I375" s="24">
        <v>103003</v>
      </c>
      <c r="J375" s="277">
        <v>279.98</v>
      </c>
      <c r="K375" s="276">
        <v>74</v>
      </c>
      <c r="L375" s="278">
        <v>7.4554294975688817</v>
      </c>
      <c r="M375" s="279">
        <v>0</v>
      </c>
      <c r="N375" s="277">
        <v>0</v>
      </c>
      <c r="O375" s="280" t="s">
        <v>888</v>
      </c>
      <c r="P375" s="279">
        <v>0</v>
      </c>
      <c r="Q375" s="281">
        <v>0</v>
      </c>
      <c r="R375" s="282" t="s">
        <v>889</v>
      </c>
      <c r="S375" s="274" t="s">
        <v>1071</v>
      </c>
      <c r="T375" s="44">
        <v>1</v>
      </c>
      <c r="U375" s="283">
        <v>76</v>
      </c>
      <c r="V375" s="284">
        <v>5</v>
      </c>
      <c r="W375" s="285" t="s">
        <v>889</v>
      </c>
      <c r="X375" s="286" t="s">
        <v>889</v>
      </c>
      <c r="Y375" s="287">
        <v>0</v>
      </c>
      <c r="Z375" s="287">
        <v>11620</v>
      </c>
      <c r="AA375" s="286">
        <v>2023</v>
      </c>
      <c r="AB375" s="287">
        <v>60</v>
      </c>
      <c r="AC375" s="287">
        <v>60</v>
      </c>
      <c r="AD375" s="288" t="s">
        <v>2059</v>
      </c>
      <c r="AE375" s="289">
        <v>45247</v>
      </c>
      <c r="AF375" s="279">
        <v>24</v>
      </c>
      <c r="AG375" s="282">
        <v>45043</v>
      </c>
      <c r="AH375" s="282" t="s">
        <v>889</v>
      </c>
      <c r="AI375" s="282">
        <v>45181</v>
      </c>
      <c r="AJ375" s="282" t="s">
        <v>889</v>
      </c>
      <c r="AK375" s="274"/>
    </row>
    <row r="376" spans="1:37" x14ac:dyDescent="0.3">
      <c r="A376" s="273">
        <v>70379</v>
      </c>
      <c r="B376" s="274" t="s">
        <v>1400</v>
      </c>
      <c r="C376" s="146" t="s">
        <v>900</v>
      </c>
      <c r="D376" s="275">
        <v>39.15</v>
      </c>
      <c r="E376" s="274"/>
      <c r="F376" s="274"/>
      <c r="G376" s="274" t="s">
        <v>889</v>
      </c>
      <c r="H376" s="276">
        <v>2268</v>
      </c>
      <c r="I376" s="24">
        <v>103003</v>
      </c>
      <c r="J376" s="277">
        <v>39.15</v>
      </c>
      <c r="K376" s="276">
        <v>3140</v>
      </c>
      <c r="L376" s="278">
        <v>8.0305927342256211</v>
      </c>
      <c r="M376" s="279">
        <v>1121.04</v>
      </c>
      <c r="N376" s="277">
        <v>43888.716</v>
      </c>
      <c r="O376" s="280" t="s">
        <v>888</v>
      </c>
      <c r="P376" s="279">
        <v>0</v>
      </c>
      <c r="Q376" s="281">
        <v>0</v>
      </c>
      <c r="R376" s="282" t="s">
        <v>889</v>
      </c>
      <c r="S376" s="274" t="s">
        <v>1364</v>
      </c>
      <c r="T376" s="44">
        <v>1</v>
      </c>
      <c r="U376" s="283">
        <v>57</v>
      </c>
      <c r="V376" s="284">
        <v>17</v>
      </c>
      <c r="W376" s="285" t="s">
        <v>889</v>
      </c>
      <c r="X376" s="286" t="s">
        <v>889</v>
      </c>
      <c r="Y376" s="287">
        <v>0</v>
      </c>
      <c r="Z376" s="287" t="s">
        <v>889</v>
      </c>
      <c r="AA376" s="286" t="s">
        <v>889</v>
      </c>
      <c r="AB376" s="287">
        <v>0</v>
      </c>
      <c r="AC376" s="287"/>
      <c r="AD376" s="288" t="s">
        <v>889</v>
      </c>
      <c r="AE376" s="289" t="s">
        <v>889</v>
      </c>
      <c r="AF376" s="279">
        <v>1130</v>
      </c>
      <c r="AG376" s="282">
        <v>45090</v>
      </c>
      <c r="AH376" s="282" t="s">
        <v>889</v>
      </c>
      <c r="AI376" s="282">
        <v>45002</v>
      </c>
      <c r="AJ376" s="282" t="s">
        <v>889</v>
      </c>
      <c r="AK376" s="274"/>
    </row>
    <row r="377" spans="1:37" x14ac:dyDescent="0.3">
      <c r="A377" s="273">
        <v>70967</v>
      </c>
      <c r="B377" s="274" t="s">
        <v>1401</v>
      </c>
      <c r="C377" s="146" t="s">
        <v>263</v>
      </c>
      <c r="D377" s="275">
        <v>5.59</v>
      </c>
      <c r="E377" s="274"/>
      <c r="F377" s="274"/>
      <c r="G377" s="274" t="s">
        <v>889</v>
      </c>
      <c r="H377" s="276">
        <v>39</v>
      </c>
      <c r="I377" s="24">
        <v>103003</v>
      </c>
      <c r="J377" s="277">
        <v>5.59</v>
      </c>
      <c r="K377" s="276">
        <v>63</v>
      </c>
      <c r="L377" s="278">
        <v>7.4285714285714288</v>
      </c>
      <c r="M377" s="279">
        <v>24</v>
      </c>
      <c r="N377" s="277">
        <v>134.16</v>
      </c>
      <c r="O377" s="280" t="s">
        <v>888</v>
      </c>
      <c r="P377" s="279">
        <v>0</v>
      </c>
      <c r="Q377" s="281">
        <v>0</v>
      </c>
      <c r="R377" s="282" t="s">
        <v>889</v>
      </c>
      <c r="S377" s="274" t="s">
        <v>1350</v>
      </c>
      <c r="T377" s="44">
        <v>1</v>
      </c>
      <c r="U377" s="283">
        <v>61</v>
      </c>
      <c r="V377" s="284">
        <v>3</v>
      </c>
      <c r="W377" s="285" t="s">
        <v>889</v>
      </c>
      <c r="X377" s="286" t="s">
        <v>889</v>
      </c>
      <c r="Y377" s="287">
        <v>0</v>
      </c>
      <c r="Z377" s="287" t="s">
        <v>889</v>
      </c>
      <c r="AA377" s="286" t="s">
        <v>889</v>
      </c>
      <c r="AB377" s="287">
        <v>0</v>
      </c>
      <c r="AC377" s="287"/>
      <c r="AD377" s="288" t="s">
        <v>889</v>
      </c>
      <c r="AE377" s="289" t="s">
        <v>889</v>
      </c>
      <c r="AF377" s="279">
        <v>22</v>
      </c>
      <c r="AG377" s="282">
        <v>44166</v>
      </c>
      <c r="AH377" s="282" t="s">
        <v>889</v>
      </c>
      <c r="AI377" s="282">
        <v>44284</v>
      </c>
      <c r="AJ377" s="282" t="s">
        <v>889</v>
      </c>
      <c r="AK377" s="274"/>
    </row>
    <row r="378" spans="1:37" x14ac:dyDescent="0.3">
      <c r="A378" s="273">
        <v>71697</v>
      </c>
      <c r="B378" s="274" t="s">
        <v>1402</v>
      </c>
      <c r="C378" s="146" t="s">
        <v>380</v>
      </c>
      <c r="D378" s="275">
        <v>0.85</v>
      </c>
      <c r="E378" s="274"/>
      <c r="F378" s="274"/>
      <c r="G378" s="274" t="s">
        <v>889</v>
      </c>
      <c r="H378" s="276">
        <v>1894</v>
      </c>
      <c r="I378" s="24">
        <v>103003</v>
      </c>
      <c r="J378" s="277">
        <v>0.85</v>
      </c>
      <c r="K378" s="276">
        <v>1609</v>
      </c>
      <c r="L378" s="278">
        <v>9.6426025862946751</v>
      </c>
      <c r="M378" s="279">
        <v>463.04</v>
      </c>
      <c r="N378" s="277">
        <v>393.584</v>
      </c>
      <c r="O378" s="280" t="s">
        <v>888</v>
      </c>
      <c r="P378" s="279">
        <v>0</v>
      </c>
      <c r="Q378" s="281">
        <v>0</v>
      </c>
      <c r="R378" s="282" t="s">
        <v>889</v>
      </c>
      <c r="S378" s="274" t="s">
        <v>996</v>
      </c>
      <c r="T378" s="44">
        <v>1</v>
      </c>
      <c r="U378" s="283">
        <v>83</v>
      </c>
      <c r="V378" s="284">
        <v>2</v>
      </c>
      <c r="W378" s="285" t="s">
        <v>889</v>
      </c>
      <c r="X378" s="286" t="s">
        <v>889</v>
      </c>
      <c r="Y378" s="287">
        <v>0</v>
      </c>
      <c r="Z378" s="287" t="s">
        <v>889</v>
      </c>
      <c r="AA378" s="286" t="s">
        <v>889</v>
      </c>
      <c r="AB378" s="287">
        <v>0</v>
      </c>
      <c r="AC378" s="287"/>
      <c r="AD378" s="288" t="s">
        <v>889</v>
      </c>
      <c r="AE378" s="289" t="s">
        <v>889</v>
      </c>
      <c r="AF378" s="279">
        <v>786</v>
      </c>
      <c r="AG378" s="282">
        <v>45203</v>
      </c>
      <c r="AH378" s="282" t="s">
        <v>889</v>
      </c>
      <c r="AI378" s="282">
        <v>45189</v>
      </c>
      <c r="AJ378" s="282" t="s">
        <v>889</v>
      </c>
      <c r="AK378" s="274"/>
    </row>
    <row r="379" spans="1:37" x14ac:dyDescent="0.3">
      <c r="A379" s="273">
        <v>71874</v>
      </c>
      <c r="B379" s="274" t="s">
        <v>1403</v>
      </c>
      <c r="C379" s="146" t="s">
        <v>263</v>
      </c>
      <c r="D379" s="275">
        <v>1.7</v>
      </c>
      <c r="E379" s="274"/>
      <c r="F379" s="274"/>
      <c r="G379" s="274" t="s">
        <v>889</v>
      </c>
      <c r="H379" s="276">
        <v>126</v>
      </c>
      <c r="I379" s="24">
        <v>103003</v>
      </c>
      <c r="J379" s="277">
        <v>1.7</v>
      </c>
      <c r="K379" s="276">
        <v>5</v>
      </c>
      <c r="L379" s="278">
        <v>300</v>
      </c>
      <c r="M379" s="279">
        <v>0</v>
      </c>
      <c r="N379" s="277">
        <v>0</v>
      </c>
      <c r="O379" s="280" t="s">
        <v>888</v>
      </c>
      <c r="P379" s="279">
        <v>0</v>
      </c>
      <c r="Q379" s="281">
        <v>0</v>
      </c>
      <c r="R379" s="282" t="s">
        <v>889</v>
      </c>
      <c r="S379" s="274" t="s">
        <v>1266</v>
      </c>
      <c r="T379" s="44">
        <v>1</v>
      </c>
      <c r="U379" s="283">
        <v>89</v>
      </c>
      <c r="V379" s="284">
        <v>12</v>
      </c>
      <c r="W379" s="285" t="s">
        <v>889</v>
      </c>
      <c r="X379" s="286" t="s">
        <v>889</v>
      </c>
      <c r="Y379" s="287">
        <v>0</v>
      </c>
      <c r="Z379" s="287" t="s">
        <v>889</v>
      </c>
      <c r="AA379" s="286" t="s">
        <v>889</v>
      </c>
      <c r="AB379" s="287">
        <v>0</v>
      </c>
      <c r="AC379" s="287"/>
      <c r="AD379" s="288" t="s">
        <v>889</v>
      </c>
      <c r="AE379" s="289" t="s">
        <v>889</v>
      </c>
      <c r="AF379" s="279">
        <v>2</v>
      </c>
      <c r="AG379" s="282" t="s">
        <v>889</v>
      </c>
      <c r="AH379" s="282" t="s">
        <v>889</v>
      </c>
      <c r="AI379" s="282">
        <v>41570</v>
      </c>
      <c r="AJ379" s="282" t="s">
        <v>889</v>
      </c>
      <c r="AK379" s="274"/>
    </row>
    <row r="380" spans="1:37" x14ac:dyDescent="0.3">
      <c r="A380" s="273">
        <v>72184</v>
      </c>
      <c r="B380" s="274" t="s">
        <v>1404</v>
      </c>
      <c r="C380" s="146" t="s">
        <v>263</v>
      </c>
      <c r="D380" s="275">
        <v>1.8</v>
      </c>
      <c r="E380" s="274"/>
      <c r="F380" s="274"/>
      <c r="G380" s="274" t="s">
        <v>889</v>
      </c>
      <c r="H380" s="276">
        <v>5812</v>
      </c>
      <c r="I380" s="24">
        <v>103003</v>
      </c>
      <c r="J380" s="277">
        <v>1.8</v>
      </c>
      <c r="K380" s="276">
        <v>905</v>
      </c>
      <c r="L380" s="278">
        <v>69.88096669472165</v>
      </c>
      <c r="M380" s="279">
        <v>0</v>
      </c>
      <c r="N380" s="277">
        <v>0</v>
      </c>
      <c r="O380" s="280" t="s">
        <v>888</v>
      </c>
      <c r="P380" s="279">
        <v>0</v>
      </c>
      <c r="Q380" s="281">
        <v>0</v>
      </c>
      <c r="R380" s="282" t="s">
        <v>889</v>
      </c>
      <c r="S380" s="274" t="s">
        <v>1405</v>
      </c>
      <c r="T380" s="44">
        <v>1</v>
      </c>
      <c r="U380" s="283">
        <v>55</v>
      </c>
      <c r="V380" s="284">
        <v>16</v>
      </c>
      <c r="W380" s="285" t="s">
        <v>889</v>
      </c>
      <c r="X380" s="286" t="s">
        <v>889</v>
      </c>
      <c r="Y380" s="287">
        <v>0</v>
      </c>
      <c r="Z380" s="287" t="s">
        <v>889</v>
      </c>
      <c r="AA380" s="286" t="s">
        <v>889</v>
      </c>
      <c r="AB380" s="287">
        <v>0</v>
      </c>
      <c r="AC380" s="287"/>
      <c r="AD380" s="288" t="s">
        <v>889</v>
      </c>
      <c r="AE380" s="289" t="s">
        <v>889</v>
      </c>
      <c r="AF380" s="279">
        <v>332</v>
      </c>
      <c r="AG380" s="282">
        <v>45189</v>
      </c>
      <c r="AH380" s="282" t="s">
        <v>889</v>
      </c>
      <c r="AI380" s="282">
        <v>45167</v>
      </c>
      <c r="AJ380" s="282" t="s">
        <v>889</v>
      </c>
      <c r="AK380" s="274"/>
    </row>
    <row r="381" spans="1:37" x14ac:dyDescent="0.3">
      <c r="A381" s="273">
        <v>72222</v>
      </c>
      <c r="B381" s="274" t="s">
        <v>1406</v>
      </c>
      <c r="C381" s="146" t="s">
        <v>267</v>
      </c>
      <c r="D381" s="275">
        <v>7.34</v>
      </c>
      <c r="E381" s="274"/>
      <c r="F381" s="274"/>
      <c r="G381" s="274" t="s">
        <v>889</v>
      </c>
      <c r="H381" s="276">
        <v>1582</v>
      </c>
      <c r="I381" s="24">
        <v>103003</v>
      </c>
      <c r="J381" s="277">
        <v>7.34</v>
      </c>
      <c r="K381" s="276">
        <v>154</v>
      </c>
      <c r="L381" s="278">
        <v>82.524778299426188</v>
      </c>
      <c r="M381" s="279">
        <v>0</v>
      </c>
      <c r="N381" s="277">
        <v>0</v>
      </c>
      <c r="O381" s="280" t="s">
        <v>888</v>
      </c>
      <c r="P381" s="279">
        <v>0</v>
      </c>
      <c r="Q381" s="281">
        <v>0</v>
      </c>
      <c r="R381" s="282" t="s">
        <v>889</v>
      </c>
      <c r="S381" s="274" t="s">
        <v>1407</v>
      </c>
      <c r="T381" s="44">
        <v>1</v>
      </c>
      <c r="U381" s="283">
        <v>57</v>
      </c>
      <c r="V381" s="284">
        <v>6</v>
      </c>
      <c r="W381" s="285" t="s">
        <v>889</v>
      </c>
      <c r="X381" s="286" t="s">
        <v>889</v>
      </c>
      <c r="Y381" s="287">
        <v>0</v>
      </c>
      <c r="Z381" s="287" t="s">
        <v>889</v>
      </c>
      <c r="AA381" s="286" t="s">
        <v>889</v>
      </c>
      <c r="AB381" s="287">
        <v>0</v>
      </c>
      <c r="AC381" s="287"/>
      <c r="AD381" s="288" t="s">
        <v>889</v>
      </c>
      <c r="AE381" s="289" t="s">
        <v>889</v>
      </c>
      <c r="AF381" s="279">
        <v>76</v>
      </c>
      <c r="AG381" s="282">
        <v>43622</v>
      </c>
      <c r="AH381" s="282" t="s">
        <v>889</v>
      </c>
      <c r="AI381" s="282">
        <v>43608</v>
      </c>
      <c r="AJ381" s="282" t="s">
        <v>889</v>
      </c>
      <c r="AK381" s="274"/>
    </row>
    <row r="382" spans="1:37" x14ac:dyDescent="0.3">
      <c r="A382" s="273">
        <v>74907</v>
      </c>
      <c r="B382" s="274" t="s">
        <v>1408</v>
      </c>
      <c r="C382" s="146" t="s">
        <v>263</v>
      </c>
      <c r="D382" s="275">
        <v>200.47</v>
      </c>
      <c r="E382" s="274" t="s">
        <v>1409</v>
      </c>
      <c r="F382" s="274" t="s">
        <v>1410</v>
      </c>
      <c r="G382" s="274" t="s">
        <v>1281</v>
      </c>
      <c r="H382" s="276">
        <v>11</v>
      </c>
      <c r="I382" s="24">
        <v>103003</v>
      </c>
      <c r="J382" s="277">
        <v>200.47</v>
      </c>
      <c r="K382" s="276">
        <v>87</v>
      </c>
      <c r="L382" s="278">
        <v>1.517241379310345</v>
      </c>
      <c r="M382" s="279">
        <v>76</v>
      </c>
      <c r="N382" s="277">
        <v>15235.72</v>
      </c>
      <c r="O382" s="280" t="s">
        <v>1282</v>
      </c>
      <c r="P382" s="279">
        <v>199</v>
      </c>
      <c r="Q382" s="281">
        <v>39893.53</v>
      </c>
      <c r="R382" s="282">
        <v>45540</v>
      </c>
      <c r="S382" s="274" t="s">
        <v>1339</v>
      </c>
      <c r="T382" s="44">
        <v>1</v>
      </c>
      <c r="U382" s="283">
        <v>74</v>
      </c>
      <c r="V382" s="284">
        <v>3</v>
      </c>
      <c r="W382" s="285" t="s">
        <v>889</v>
      </c>
      <c r="X382" s="286" t="s">
        <v>889</v>
      </c>
      <c r="Y382" s="287">
        <v>0</v>
      </c>
      <c r="Z382" s="287" t="s">
        <v>889</v>
      </c>
      <c r="AA382" s="286" t="s">
        <v>889</v>
      </c>
      <c r="AB382" s="287">
        <v>0</v>
      </c>
      <c r="AC382" s="287"/>
      <c r="AD382" s="288" t="s">
        <v>889</v>
      </c>
      <c r="AE382" s="289" t="s">
        <v>889</v>
      </c>
      <c r="AF382" s="279">
        <v>30</v>
      </c>
      <c r="AG382" s="282">
        <v>44158</v>
      </c>
      <c r="AH382" s="282">
        <v>37845</v>
      </c>
      <c r="AI382" s="282">
        <v>45209</v>
      </c>
      <c r="AJ382" s="282" t="s">
        <v>889</v>
      </c>
      <c r="AK382" s="274"/>
    </row>
    <row r="383" spans="1:37" x14ac:dyDescent="0.3">
      <c r="A383" s="273">
        <v>74908</v>
      </c>
      <c r="B383" s="274" t="s">
        <v>1411</v>
      </c>
      <c r="C383" s="146" t="s">
        <v>263</v>
      </c>
      <c r="D383" s="275">
        <v>70.2</v>
      </c>
      <c r="E383" s="274"/>
      <c r="F383" s="274"/>
      <c r="G383" s="274" t="s">
        <v>889</v>
      </c>
      <c r="H383" s="276">
        <v>350</v>
      </c>
      <c r="I383" s="24">
        <v>103003</v>
      </c>
      <c r="J383" s="277">
        <v>70.2</v>
      </c>
      <c r="K383" s="276">
        <v>53</v>
      </c>
      <c r="L383" s="278">
        <v>79.185520361990953</v>
      </c>
      <c r="M383" s="279">
        <v>0</v>
      </c>
      <c r="N383" s="277">
        <v>0</v>
      </c>
      <c r="O383" s="280" t="s">
        <v>888</v>
      </c>
      <c r="P383" s="279">
        <v>0</v>
      </c>
      <c r="Q383" s="281">
        <v>0</v>
      </c>
      <c r="R383" s="282" t="s">
        <v>889</v>
      </c>
      <c r="S383" s="274" t="s">
        <v>1339</v>
      </c>
      <c r="T383" s="44">
        <v>1</v>
      </c>
      <c r="U383" s="283">
        <v>74</v>
      </c>
      <c r="V383" s="284">
        <v>3</v>
      </c>
      <c r="W383" s="285" t="s">
        <v>889</v>
      </c>
      <c r="X383" s="286" t="s">
        <v>889</v>
      </c>
      <c r="Y383" s="287">
        <v>0</v>
      </c>
      <c r="Z383" s="287" t="s">
        <v>889</v>
      </c>
      <c r="AA383" s="286" t="s">
        <v>889</v>
      </c>
      <c r="AB383" s="287">
        <v>0</v>
      </c>
      <c r="AC383" s="287"/>
      <c r="AD383" s="288" t="s">
        <v>889</v>
      </c>
      <c r="AE383" s="289" t="s">
        <v>889</v>
      </c>
      <c r="AF383" s="279">
        <v>18</v>
      </c>
      <c r="AG383" s="282">
        <v>44158</v>
      </c>
      <c r="AH383" s="282">
        <v>37845</v>
      </c>
      <c r="AI383" s="282">
        <v>44133</v>
      </c>
      <c r="AJ383" s="282" t="s">
        <v>889</v>
      </c>
      <c r="AK383" s="274"/>
    </row>
    <row r="384" spans="1:37" x14ac:dyDescent="0.3">
      <c r="A384" s="273">
        <v>74909</v>
      </c>
      <c r="B384" s="274" t="s">
        <v>1412</v>
      </c>
      <c r="C384" s="146" t="s">
        <v>263</v>
      </c>
      <c r="D384" s="275">
        <v>152</v>
      </c>
      <c r="E384" s="274"/>
      <c r="F384" s="274"/>
      <c r="G384" s="274" t="s">
        <v>889</v>
      </c>
      <c r="H384" s="276">
        <v>0</v>
      </c>
      <c r="I384" s="24">
        <v>103003</v>
      </c>
      <c r="J384" s="277">
        <v>152</v>
      </c>
      <c r="K384" s="276">
        <v>124</v>
      </c>
      <c r="L384" s="278">
        <v>0</v>
      </c>
      <c r="M384" s="279">
        <v>123.96</v>
      </c>
      <c r="N384" s="277">
        <v>18841.919999999998</v>
      </c>
      <c r="O384" s="280" t="s">
        <v>888</v>
      </c>
      <c r="P384" s="279">
        <v>0</v>
      </c>
      <c r="Q384" s="281">
        <v>0</v>
      </c>
      <c r="R384" s="282" t="s">
        <v>889</v>
      </c>
      <c r="S384" s="274" t="s">
        <v>1339</v>
      </c>
      <c r="T384" s="44">
        <v>1</v>
      </c>
      <c r="U384" s="283">
        <v>74</v>
      </c>
      <c r="V384" s="284">
        <v>3</v>
      </c>
      <c r="W384" s="285" t="s">
        <v>889</v>
      </c>
      <c r="X384" s="286" t="s">
        <v>889</v>
      </c>
      <c r="Y384" s="287">
        <v>0</v>
      </c>
      <c r="Z384" s="287" t="s">
        <v>889</v>
      </c>
      <c r="AA384" s="286" t="s">
        <v>889</v>
      </c>
      <c r="AB384" s="287">
        <v>0</v>
      </c>
      <c r="AC384" s="287"/>
      <c r="AD384" s="288" t="s">
        <v>889</v>
      </c>
      <c r="AE384" s="289" t="s">
        <v>889</v>
      </c>
      <c r="AF384" s="279">
        <v>42</v>
      </c>
      <c r="AG384" s="282">
        <v>44160</v>
      </c>
      <c r="AH384" s="282">
        <v>37845</v>
      </c>
      <c r="AI384" s="282">
        <v>45210</v>
      </c>
      <c r="AJ384" s="282" t="s">
        <v>889</v>
      </c>
      <c r="AK384" s="274"/>
    </row>
    <row r="385" spans="1:37" x14ac:dyDescent="0.3">
      <c r="A385" s="273">
        <v>74911</v>
      </c>
      <c r="B385" s="274" t="s">
        <v>1413</v>
      </c>
      <c r="C385" s="146" t="s">
        <v>263</v>
      </c>
      <c r="D385" s="275">
        <v>146</v>
      </c>
      <c r="E385" s="274"/>
      <c r="F385" s="274"/>
      <c r="G385" s="274" t="s">
        <v>889</v>
      </c>
      <c r="H385" s="276">
        <v>17</v>
      </c>
      <c r="I385" s="24">
        <v>103003</v>
      </c>
      <c r="J385" s="277">
        <v>146</v>
      </c>
      <c r="K385" s="276">
        <v>133</v>
      </c>
      <c r="L385" s="278">
        <v>1.5342960288808667</v>
      </c>
      <c r="M385" s="279">
        <v>115.96</v>
      </c>
      <c r="N385" s="277">
        <v>16930.16</v>
      </c>
      <c r="O385" s="280" t="s">
        <v>888</v>
      </c>
      <c r="P385" s="279">
        <v>0</v>
      </c>
      <c r="Q385" s="281">
        <v>0</v>
      </c>
      <c r="R385" s="282" t="s">
        <v>889</v>
      </c>
      <c r="S385" s="274" t="s">
        <v>1339</v>
      </c>
      <c r="T385" s="44">
        <v>1</v>
      </c>
      <c r="U385" s="283">
        <v>74</v>
      </c>
      <c r="V385" s="284">
        <v>3</v>
      </c>
      <c r="W385" s="285" t="s">
        <v>889</v>
      </c>
      <c r="X385" s="286" t="s">
        <v>889</v>
      </c>
      <c r="Y385" s="287">
        <v>0</v>
      </c>
      <c r="Z385" s="287" t="s">
        <v>889</v>
      </c>
      <c r="AA385" s="286" t="s">
        <v>889</v>
      </c>
      <c r="AB385" s="287">
        <v>0</v>
      </c>
      <c r="AC385" s="287"/>
      <c r="AD385" s="288" t="s">
        <v>889</v>
      </c>
      <c r="AE385" s="289" t="s">
        <v>889</v>
      </c>
      <c r="AF385" s="279">
        <v>44</v>
      </c>
      <c r="AG385" s="282">
        <v>44974</v>
      </c>
      <c r="AH385" s="282">
        <v>37845</v>
      </c>
      <c r="AI385" s="282">
        <v>45210</v>
      </c>
      <c r="AJ385" s="282" t="s">
        <v>889</v>
      </c>
      <c r="AK385" s="274"/>
    </row>
    <row r="386" spans="1:37" x14ac:dyDescent="0.3">
      <c r="A386" s="273">
        <v>74976</v>
      </c>
      <c r="B386" s="274" t="s">
        <v>1414</v>
      </c>
      <c r="C386" s="146" t="s">
        <v>263</v>
      </c>
      <c r="D386" s="275">
        <v>11.14</v>
      </c>
      <c r="E386" s="274"/>
      <c r="F386" s="274"/>
      <c r="G386" s="274" t="s">
        <v>889</v>
      </c>
      <c r="H386" s="276">
        <v>426</v>
      </c>
      <c r="I386" s="24">
        <v>103003</v>
      </c>
      <c r="J386" s="277">
        <v>11.14</v>
      </c>
      <c r="K386" s="276">
        <v>66</v>
      </c>
      <c r="L386" s="278">
        <v>77.454545454545453</v>
      </c>
      <c r="M386" s="279">
        <v>0</v>
      </c>
      <c r="N386" s="277">
        <v>0</v>
      </c>
      <c r="O386" s="280" t="s">
        <v>888</v>
      </c>
      <c r="P386" s="279">
        <v>0</v>
      </c>
      <c r="Q386" s="281">
        <v>0</v>
      </c>
      <c r="R386" s="282" t="s">
        <v>889</v>
      </c>
      <c r="S386" s="274" t="s">
        <v>966</v>
      </c>
      <c r="T386" s="44">
        <v>1</v>
      </c>
      <c r="U386" s="283">
        <v>61</v>
      </c>
      <c r="V386" s="284">
        <v>8</v>
      </c>
      <c r="W386" s="285" t="s">
        <v>889</v>
      </c>
      <c r="X386" s="286" t="s">
        <v>889</v>
      </c>
      <c r="Y386" s="287">
        <v>0</v>
      </c>
      <c r="Z386" s="287" t="s">
        <v>889</v>
      </c>
      <c r="AA386" s="286" t="s">
        <v>889</v>
      </c>
      <c r="AB386" s="287">
        <v>0</v>
      </c>
      <c r="AC386" s="287"/>
      <c r="AD386" s="288" t="s">
        <v>889</v>
      </c>
      <c r="AE386" s="289" t="s">
        <v>889</v>
      </c>
      <c r="AF386" s="279">
        <v>22</v>
      </c>
      <c r="AG386" s="282">
        <v>44560</v>
      </c>
      <c r="AH386" s="282">
        <v>37847</v>
      </c>
      <c r="AI386" s="282">
        <v>45096</v>
      </c>
      <c r="AJ386" s="282" t="s">
        <v>889</v>
      </c>
      <c r="AK386" s="274"/>
    </row>
    <row r="387" spans="1:37" x14ac:dyDescent="0.3">
      <c r="A387" s="273">
        <v>74979</v>
      </c>
      <c r="B387" s="274" t="s">
        <v>1415</v>
      </c>
      <c r="C387" s="146" t="s">
        <v>263</v>
      </c>
      <c r="D387" s="275">
        <v>28.49</v>
      </c>
      <c r="E387" s="274"/>
      <c r="F387" s="274"/>
      <c r="G387" s="274" t="s">
        <v>889</v>
      </c>
      <c r="H387" s="276">
        <v>169</v>
      </c>
      <c r="I387" s="24">
        <v>103003</v>
      </c>
      <c r="J387" s="277">
        <v>28.49</v>
      </c>
      <c r="K387" s="276">
        <v>56</v>
      </c>
      <c r="L387" s="278">
        <v>35.578947368421055</v>
      </c>
      <c r="M387" s="279">
        <v>0</v>
      </c>
      <c r="N387" s="277">
        <v>0</v>
      </c>
      <c r="O387" s="280" t="s">
        <v>888</v>
      </c>
      <c r="P387" s="279">
        <v>0</v>
      </c>
      <c r="Q387" s="281">
        <v>0</v>
      </c>
      <c r="R387" s="282" t="s">
        <v>889</v>
      </c>
      <c r="S387" s="274" t="s">
        <v>966</v>
      </c>
      <c r="T387" s="44">
        <v>1</v>
      </c>
      <c r="U387" s="283">
        <v>61</v>
      </c>
      <c r="V387" s="284">
        <v>8</v>
      </c>
      <c r="W387" s="285" t="s">
        <v>889</v>
      </c>
      <c r="X387" s="286" t="s">
        <v>889</v>
      </c>
      <c r="Y387" s="287">
        <v>0</v>
      </c>
      <c r="Z387" s="287" t="s">
        <v>889</v>
      </c>
      <c r="AA387" s="286" t="s">
        <v>889</v>
      </c>
      <c r="AB387" s="287">
        <v>0</v>
      </c>
      <c r="AC387" s="287"/>
      <c r="AD387" s="288" t="s">
        <v>889</v>
      </c>
      <c r="AE387" s="289" t="s">
        <v>889</v>
      </c>
      <c r="AF387" s="279">
        <v>20</v>
      </c>
      <c r="AG387" s="282">
        <v>44573</v>
      </c>
      <c r="AH387" s="282">
        <v>37847</v>
      </c>
      <c r="AI387" s="282">
        <v>44522</v>
      </c>
      <c r="AJ387" s="282" t="s">
        <v>889</v>
      </c>
      <c r="AK387" s="274"/>
    </row>
    <row r="388" spans="1:37" x14ac:dyDescent="0.3">
      <c r="A388" s="273">
        <v>75324</v>
      </c>
      <c r="B388" s="274" t="s">
        <v>1416</v>
      </c>
      <c r="C388" s="146" t="s">
        <v>263</v>
      </c>
      <c r="D388" s="275">
        <v>142.27000000000001</v>
      </c>
      <c r="E388" s="274"/>
      <c r="F388" s="274"/>
      <c r="G388" s="274" t="s">
        <v>889</v>
      </c>
      <c r="H388" s="276">
        <v>127</v>
      </c>
      <c r="I388" s="24">
        <v>103003</v>
      </c>
      <c r="J388" s="277">
        <v>142.27000000000001</v>
      </c>
      <c r="K388" s="276">
        <v>419</v>
      </c>
      <c r="L388" s="278">
        <v>1.8608058608058609</v>
      </c>
      <c r="M388" s="279">
        <v>692</v>
      </c>
      <c r="N388" s="277">
        <v>98450.84</v>
      </c>
      <c r="O388" s="280" t="s">
        <v>888</v>
      </c>
      <c r="P388" s="279">
        <v>0</v>
      </c>
      <c r="Q388" s="281">
        <v>0</v>
      </c>
      <c r="R388" s="282" t="s">
        <v>889</v>
      </c>
      <c r="S388" s="274" t="s">
        <v>1115</v>
      </c>
      <c r="T388" s="44">
        <v>1</v>
      </c>
      <c r="U388" s="283">
        <v>74</v>
      </c>
      <c r="V388" s="284">
        <v>8</v>
      </c>
      <c r="W388" s="285" t="s">
        <v>889</v>
      </c>
      <c r="X388" s="286" t="s">
        <v>889</v>
      </c>
      <c r="Y388" s="287">
        <v>0</v>
      </c>
      <c r="Z388" s="287" t="s">
        <v>889</v>
      </c>
      <c r="AA388" s="286" t="s">
        <v>889</v>
      </c>
      <c r="AB388" s="287">
        <v>0</v>
      </c>
      <c r="AC388" s="287"/>
      <c r="AD388" s="288" t="s">
        <v>889</v>
      </c>
      <c r="AE388" s="289" t="s">
        <v>889</v>
      </c>
      <c r="AF388" s="279">
        <v>274</v>
      </c>
      <c r="AG388" s="282">
        <v>44924</v>
      </c>
      <c r="AH388" s="282">
        <v>37879</v>
      </c>
      <c r="AI388" s="282">
        <v>45210</v>
      </c>
      <c r="AJ388" s="282" t="s">
        <v>889</v>
      </c>
      <c r="AK388" s="274"/>
    </row>
    <row r="389" spans="1:37" x14ac:dyDescent="0.3">
      <c r="A389" s="273">
        <v>75334</v>
      </c>
      <c r="B389" s="274" t="s">
        <v>1417</v>
      </c>
      <c r="C389" s="146" t="s">
        <v>727</v>
      </c>
      <c r="D389" s="275">
        <v>260.72000000000003</v>
      </c>
      <c r="E389" s="274" t="s">
        <v>1418</v>
      </c>
      <c r="F389" s="274" t="s">
        <v>1419</v>
      </c>
      <c r="G389" s="274" t="s">
        <v>1281</v>
      </c>
      <c r="H389" s="276">
        <v>383</v>
      </c>
      <c r="I389" s="24">
        <v>103003</v>
      </c>
      <c r="J389" s="277">
        <v>260.72000000000003</v>
      </c>
      <c r="K389" s="276">
        <v>336</v>
      </c>
      <c r="L389" s="278">
        <v>10.942857142857141</v>
      </c>
      <c r="M389" s="279">
        <v>37</v>
      </c>
      <c r="N389" s="277">
        <v>9646.64</v>
      </c>
      <c r="O389" s="280" t="s">
        <v>1282</v>
      </c>
      <c r="P389" s="279">
        <v>568</v>
      </c>
      <c r="Q389" s="281">
        <v>148088.95999999999</v>
      </c>
      <c r="R389" s="282">
        <v>45540</v>
      </c>
      <c r="S389" s="274" t="s">
        <v>1115</v>
      </c>
      <c r="T389" s="44">
        <v>1</v>
      </c>
      <c r="U389" s="283">
        <v>74</v>
      </c>
      <c r="V389" s="284">
        <v>8</v>
      </c>
      <c r="W389" s="285" t="s">
        <v>889</v>
      </c>
      <c r="X389" s="286" t="s">
        <v>889</v>
      </c>
      <c r="Y389" s="287">
        <v>0</v>
      </c>
      <c r="Z389" s="287" t="s">
        <v>889</v>
      </c>
      <c r="AA389" s="286" t="s">
        <v>889</v>
      </c>
      <c r="AB389" s="287">
        <v>0</v>
      </c>
      <c r="AC389" s="287"/>
      <c r="AD389" s="288" t="s">
        <v>889</v>
      </c>
      <c r="AE389" s="289" t="s">
        <v>889</v>
      </c>
      <c r="AF389" s="279">
        <v>140</v>
      </c>
      <c r="AG389" s="282">
        <v>44844</v>
      </c>
      <c r="AH389" s="282">
        <v>37879</v>
      </c>
      <c r="AI389" s="282">
        <v>45203</v>
      </c>
      <c r="AJ389" s="282" t="s">
        <v>889</v>
      </c>
      <c r="AK389" s="274"/>
    </row>
    <row r="390" spans="1:37" x14ac:dyDescent="0.3">
      <c r="A390" s="273">
        <v>75938</v>
      </c>
      <c r="B390" s="274" t="s">
        <v>1420</v>
      </c>
      <c r="C390" s="146" t="s">
        <v>380</v>
      </c>
      <c r="D390" s="275">
        <v>1.02</v>
      </c>
      <c r="E390" s="274"/>
      <c r="F390" s="274"/>
      <c r="G390" s="274" t="s">
        <v>889</v>
      </c>
      <c r="H390" s="276">
        <v>0</v>
      </c>
      <c r="I390" s="24">
        <v>103003</v>
      </c>
      <c r="J390" s="277">
        <v>1.02</v>
      </c>
      <c r="K390" s="276">
        <v>4923</v>
      </c>
      <c r="L390" s="278">
        <v>0</v>
      </c>
      <c r="M390" s="279">
        <v>5998.04</v>
      </c>
      <c r="N390" s="277">
        <v>6118.0007999999998</v>
      </c>
      <c r="O390" s="280" t="s">
        <v>888</v>
      </c>
      <c r="P390" s="279">
        <v>0</v>
      </c>
      <c r="Q390" s="281">
        <v>0</v>
      </c>
      <c r="R390" s="282" t="s">
        <v>889</v>
      </c>
      <c r="S390" s="274" t="s">
        <v>1130</v>
      </c>
      <c r="T390" s="44">
        <v>1</v>
      </c>
      <c r="U390" s="283">
        <v>57</v>
      </c>
      <c r="V390" s="284">
        <v>15</v>
      </c>
      <c r="W390" s="285">
        <v>6984</v>
      </c>
      <c r="X390" s="286">
        <v>2023</v>
      </c>
      <c r="Y390" s="287">
        <v>1300</v>
      </c>
      <c r="Z390" s="287" t="s">
        <v>889</v>
      </c>
      <c r="AA390" s="286" t="s">
        <v>889</v>
      </c>
      <c r="AB390" s="287">
        <v>0</v>
      </c>
      <c r="AC390" s="287"/>
      <c r="AD390" s="288" t="s">
        <v>889</v>
      </c>
      <c r="AE390" s="289" t="s">
        <v>889</v>
      </c>
      <c r="AF390" s="279">
        <v>2432</v>
      </c>
      <c r="AG390" s="282">
        <v>44974</v>
      </c>
      <c r="AH390" s="282">
        <v>37931</v>
      </c>
      <c r="AI390" s="282">
        <v>44959</v>
      </c>
      <c r="AJ390" s="282" t="s">
        <v>889</v>
      </c>
      <c r="AK390" s="274"/>
    </row>
    <row r="391" spans="1:37" x14ac:dyDescent="0.3">
      <c r="A391" s="273">
        <v>76218</v>
      </c>
      <c r="B391" s="274" t="s">
        <v>1421</v>
      </c>
      <c r="C391" s="146" t="s">
        <v>263</v>
      </c>
      <c r="D391" s="275">
        <v>781.2</v>
      </c>
      <c r="E391" s="274"/>
      <c r="F391" s="274"/>
      <c r="G391" s="274" t="s">
        <v>889</v>
      </c>
      <c r="H391" s="276">
        <v>36</v>
      </c>
      <c r="I391" s="24">
        <v>103003</v>
      </c>
      <c r="J391" s="277">
        <v>781.2</v>
      </c>
      <c r="K391" s="276">
        <v>4</v>
      </c>
      <c r="L391" s="278">
        <v>109.09090909090908</v>
      </c>
      <c r="M391" s="279">
        <v>0</v>
      </c>
      <c r="N391" s="277">
        <v>0</v>
      </c>
      <c r="O391" s="280" t="s">
        <v>888</v>
      </c>
      <c r="P391" s="279">
        <v>0</v>
      </c>
      <c r="Q391" s="281">
        <v>0</v>
      </c>
      <c r="R391" s="282" t="s">
        <v>889</v>
      </c>
      <c r="S391" s="274" t="s">
        <v>1274</v>
      </c>
      <c r="T391" s="44">
        <v>1</v>
      </c>
      <c r="U391" s="283">
        <v>51</v>
      </c>
      <c r="V391" s="284">
        <v>17</v>
      </c>
      <c r="W391" s="285" t="s">
        <v>889</v>
      </c>
      <c r="X391" s="286" t="s">
        <v>889</v>
      </c>
      <c r="Y391" s="287">
        <v>0</v>
      </c>
      <c r="Z391" s="287" t="s">
        <v>889</v>
      </c>
      <c r="AA391" s="286" t="s">
        <v>889</v>
      </c>
      <c r="AB391" s="287">
        <v>0</v>
      </c>
      <c r="AC391" s="287"/>
      <c r="AD391" s="288" t="s">
        <v>889</v>
      </c>
      <c r="AE391" s="289" t="s">
        <v>889</v>
      </c>
      <c r="AF391" s="279">
        <v>2</v>
      </c>
      <c r="AG391" s="282">
        <v>44195</v>
      </c>
      <c r="AH391" s="282">
        <v>37956</v>
      </c>
      <c r="AI391" s="282">
        <v>44945</v>
      </c>
      <c r="AJ391" s="282" t="s">
        <v>889</v>
      </c>
      <c r="AK391" s="274"/>
    </row>
    <row r="392" spans="1:37" x14ac:dyDescent="0.3">
      <c r="A392" s="273">
        <v>76583</v>
      </c>
      <c r="B392" s="274" t="s">
        <v>1422</v>
      </c>
      <c r="C392" s="146" t="s">
        <v>263</v>
      </c>
      <c r="D392" s="275">
        <v>207.87</v>
      </c>
      <c r="E392" s="274" t="s">
        <v>1423</v>
      </c>
      <c r="F392" s="274" t="s">
        <v>1419</v>
      </c>
      <c r="G392" s="274" t="s">
        <v>1281</v>
      </c>
      <c r="H392" s="276">
        <v>190</v>
      </c>
      <c r="I392" s="24">
        <v>103003</v>
      </c>
      <c r="J392" s="277">
        <v>207.87</v>
      </c>
      <c r="K392" s="276">
        <v>84</v>
      </c>
      <c r="L392" s="278">
        <v>9.7435897435897427</v>
      </c>
      <c r="M392" s="279">
        <v>44</v>
      </c>
      <c r="N392" s="277">
        <v>9146.2800000000007</v>
      </c>
      <c r="O392" s="280" t="s">
        <v>1282</v>
      </c>
      <c r="P392" s="279">
        <v>407</v>
      </c>
      <c r="Q392" s="281">
        <v>84603.09</v>
      </c>
      <c r="R392" s="282">
        <v>45540</v>
      </c>
      <c r="S392" s="274" t="s">
        <v>1210</v>
      </c>
      <c r="T392" s="44">
        <v>1</v>
      </c>
      <c r="U392" s="283">
        <v>74</v>
      </c>
      <c r="V392" s="284">
        <v>9</v>
      </c>
      <c r="W392" s="285" t="s">
        <v>889</v>
      </c>
      <c r="X392" s="286" t="s">
        <v>889</v>
      </c>
      <c r="Y392" s="287">
        <v>0</v>
      </c>
      <c r="Z392" s="287" t="s">
        <v>889</v>
      </c>
      <c r="AA392" s="286" t="s">
        <v>889</v>
      </c>
      <c r="AB392" s="287">
        <v>0</v>
      </c>
      <c r="AC392" s="287"/>
      <c r="AD392" s="288" t="s">
        <v>889</v>
      </c>
      <c r="AE392" s="289" t="s">
        <v>889</v>
      </c>
      <c r="AF392" s="279">
        <v>78</v>
      </c>
      <c r="AG392" s="282">
        <v>45188</v>
      </c>
      <c r="AH392" s="282">
        <v>37995</v>
      </c>
      <c r="AI392" s="282">
        <v>45182</v>
      </c>
      <c r="AJ392" s="282" t="s">
        <v>889</v>
      </c>
      <c r="AK392" s="274"/>
    </row>
    <row r="393" spans="1:37" x14ac:dyDescent="0.3">
      <c r="A393" s="273">
        <v>76806</v>
      </c>
      <c r="B393" s="274" t="s">
        <v>1424</v>
      </c>
      <c r="C393" s="146" t="s">
        <v>345</v>
      </c>
      <c r="D393" s="275">
        <v>63.5</v>
      </c>
      <c r="E393" s="274"/>
      <c r="F393" s="274"/>
      <c r="G393" s="274" t="s">
        <v>889</v>
      </c>
      <c r="H393" s="276">
        <v>103</v>
      </c>
      <c r="I393" s="24">
        <v>103003</v>
      </c>
      <c r="J393" s="277">
        <v>63.5</v>
      </c>
      <c r="K393" s="276">
        <v>314</v>
      </c>
      <c r="L393" s="278">
        <v>3.4425133689839575</v>
      </c>
      <c r="M393" s="279">
        <v>206.04</v>
      </c>
      <c r="N393" s="277">
        <v>13083.54</v>
      </c>
      <c r="O393" s="280" t="s">
        <v>888</v>
      </c>
      <c r="P393" s="279">
        <v>0</v>
      </c>
      <c r="Q393" s="281">
        <v>0</v>
      </c>
      <c r="R393" s="282" t="s">
        <v>889</v>
      </c>
      <c r="S393" s="274" t="s">
        <v>1337</v>
      </c>
      <c r="T393" s="44">
        <v>1</v>
      </c>
      <c r="U393" s="283">
        <v>69</v>
      </c>
      <c r="V393" s="284">
        <v>2</v>
      </c>
      <c r="W393" s="285">
        <v>2975</v>
      </c>
      <c r="X393" s="286">
        <v>2023</v>
      </c>
      <c r="Y393" s="287">
        <v>50</v>
      </c>
      <c r="Z393" s="287" t="s">
        <v>889</v>
      </c>
      <c r="AA393" s="286" t="s">
        <v>889</v>
      </c>
      <c r="AB393" s="287">
        <v>0</v>
      </c>
      <c r="AC393" s="287"/>
      <c r="AD393" s="288" t="s">
        <v>889</v>
      </c>
      <c r="AE393" s="289" t="s">
        <v>889</v>
      </c>
      <c r="AF393" s="279">
        <v>120</v>
      </c>
      <c r="AG393" s="282">
        <v>44637</v>
      </c>
      <c r="AH393" s="282">
        <v>38014</v>
      </c>
      <c r="AI393" s="282">
        <v>44616</v>
      </c>
      <c r="AJ393" s="282" t="s">
        <v>889</v>
      </c>
      <c r="AK393" s="274"/>
    </row>
    <row r="394" spans="1:37" x14ac:dyDescent="0.3">
      <c r="A394" s="273">
        <v>77109</v>
      </c>
      <c r="B394" s="274" t="s">
        <v>1425</v>
      </c>
      <c r="C394" s="146" t="s">
        <v>263</v>
      </c>
      <c r="D394" s="275">
        <v>1.05</v>
      </c>
      <c r="E394" s="274"/>
      <c r="F394" s="274"/>
      <c r="G394" s="274" t="s">
        <v>889</v>
      </c>
      <c r="H394" s="276">
        <v>181</v>
      </c>
      <c r="I394" s="24">
        <v>103003</v>
      </c>
      <c r="J394" s="277">
        <v>1.05</v>
      </c>
      <c r="K394" s="276">
        <v>117</v>
      </c>
      <c r="L394" s="278">
        <v>17.107750472589792</v>
      </c>
      <c r="M394" s="279">
        <v>0</v>
      </c>
      <c r="N394" s="277">
        <v>0</v>
      </c>
      <c r="O394" s="280" t="s">
        <v>888</v>
      </c>
      <c r="P394" s="279">
        <v>0</v>
      </c>
      <c r="Q394" s="281">
        <v>0</v>
      </c>
      <c r="R394" s="282" t="s">
        <v>889</v>
      </c>
      <c r="S394" s="274" t="s">
        <v>966</v>
      </c>
      <c r="T394" s="44">
        <v>1</v>
      </c>
      <c r="U394" s="283">
        <v>61</v>
      </c>
      <c r="V394" s="284">
        <v>8</v>
      </c>
      <c r="W394" s="285" t="s">
        <v>889</v>
      </c>
      <c r="X394" s="286" t="s">
        <v>889</v>
      </c>
      <c r="Y394" s="287">
        <v>0</v>
      </c>
      <c r="Z394" s="287" t="s">
        <v>889</v>
      </c>
      <c r="AA394" s="286" t="s">
        <v>889</v>
      </c>
      <c r="AB394" s="287">
        <v>0</v>
      </c>
      <c r="AC394" s="287"/>
      <c r="AD394" s="288" t="s">
        <v>889</v>
      </c>
      <c r="AE394" s="289" t="s">
        <v>889</v>
      </c>
      <c r="AF394" s="279">
        <v>42</v>
      </c>
      <c r="AG394" s="282">
        <v>45160</v>
      </c>
      <c r="AH394" s="282">
        <v>38028</v>
      </c>
      <c r="AI394" s="282">
        <v>45180</v>
      </c>
      <c r="AJ394" s="282" t="s">
        <v>889</v>
      </c>
      <c r="AK394" s="274"/>
    </row>
    <row r="395" spans="1:37" x14ac:dyDescent="0.3">
      <c r="A395" s="273">
        <v>77110</v>
      </c>
      <c r="B395" s="274" t="s">
        <v>1426</v>
      </c>
      <c r="C395" s="146" t="s">
        <v>263</v>
      </c>
      <c r="D395" s="275">
        <v>0.47</v>
      </c>
      <c r="E395" s="274"/>
      <c r="F395" s="274"/>
      <c r="G395" s="274" t="s">
        <v>889</v>
      </c>
      <c r="H395" s="276">
        <v>228</v>
      </c>
      <c r="I395" s="24">
        <v>103003</v>
      </c>
      <c r="J395" s="277">
        <v>0.47</v>
      </c>
      <c r="K395" s="276">
        <v>22</v>
      </c>
      <c r="L395" s="278">
        <v>124.59016393442622</v>
      </c>
      <c r="M395" s="279">
        <v>0</v>
      </c>
      <c r="N395" s="277">
        <v>0</v>
      </c>
      <c r="O395" s="280" t="s">
        <v>888</v>
      </c>
      <c r="P395" s="279">
        <v>0</v>
      </c>
      <c r="Q395" s="281">
        <v>0</v>
      </c>
      <c r="R395" s="282" t="s">
        <v>889</v>
      </c>
      <c r="S395" s="274" t="s">
        <v>966</v>
      </c>
      <c r="T395" s="44">
        <v>1</v>
      </c>
      <c r="U395" s="283">
        <v>61</v>
      </c>
      <c r="V395" s="284">
        <v>8</v>
      </c>
      <c r="W395" s="285" t="s">
        <v>889</v>
      </c>
      <c r="X395" s="286" t="s">
        <v>889</v>
      </c>
      <c r="Y395" s="287">
        <v>0</v>
      </c>
      <c r="Z395" s="287" t="s">
        <v>889</v>
      </c>
      <c r="AA395" s="286" t="s">
        <v>889</v>
      </c>
      <c r="AB395" s="287">
        <v>0</v>
      </c>
      <c r="AC395" s="287"/>
      <c r="AD395" s="288" t="s">
        <v>889</v>
      </c>
      <c r="AE395" s="289" t="s">
        <v>889</v>
      </c>
      <c r="AF395" s="279">
        <v>8</v>
      </c>
      <c r="AG395" s="282">
        <v>41942</v>
      </c>
      <c r="AH395" s="282">
        <v>38028</v>
      </c>
      <c r="AI395" s="282">
        <v>42594</v>
      </c>
      <c r="AJ395" s="282" t="s">
        <v>889</v>
      </c>
      <c r="AK395" s="274"/>
    </row>
    <row r="396" spans="1:37" x14ac:dyDescent="0.3">
      <c r="A396" s="273">
        <v>77493</v>
      </c>
      <c r="B396" s="274" t="s">
        <v>1427</v>
      </c>
      <c r="C396" s="146" t="s">
        <v>263</v>
      </c>
      <c r="D396" s="275">
        <v>13.51</v>
      </c>
      <c r="E396" s="274"/>
      <c r="F396" s="274"/>
      <c r="G396" s="274" t="s">
        <v>889</v>
      </c>
      <c r="H396" s="276">
        <v>131</v>
      </c>
      <c r="I396" s="24">
        <v>103003</v>
      </c>
      <c r="J396" s="277">
        <v>13.51</v>
      </c>
      <c r="K396" s="276">
        <v>20</v>
      </c>
      <c r="L396" s="278">
        <v>68.229166666666671</v>
      </c>
      <c r="M396" s="279">
        <v>0</v>
      </c>
      <c r="N396" s="277">
        <v>0</v>
      </c>
      <c r="O396" s="280" t="s">
        <v>888</v>
      </c>
      <c r="P396" s="279">
        <v>0</v>
      </c>
      <c r="Q396" s="281">
        <v>0</v>
      </c>
      <c r="R396" s="282" t="s">
        <v>889</v>
      </c>
      <c r="S396" s="274" t="s">
        <v>1088</v>
      </c>
      <c r="T396" s="44">
        <v>1</v>
      </c>
      <c r="U396" s="283">
        <v>55</v>
      </c>
      <c r="V396" s="284">
        <v>34</v>
      </c>
      <c r="W396" s="285" t="s">
        <v>889</v>
      </c>
      <c r="X396" s="286" t="s">
        <v>889</v>
      </c>
      <c r="Y396" s="287">
        <v>0</v>
      </c>
      <c r="Z396" s="287" t="s">
        <v>889</v>
      </c>
      <c r="AA396" s="286" t="s">
        <v>889</v>
      </c>
      <c r="AB396" s="287">
        <v>0</v>
      </c>
      <c r="AC396" s="287"/>
      <c r="AD396" s="288" t="s">
        <v>889</v>
      </c>
      <c r="AE396" s="289" t="s">
        <v>889</v>
      </c>
      <c r="AF396" s="279">
        <v>8</v>
      </c>
      <c r="AG396" s="282">
        <v>42101</v>
      </c>
      <c r="AH396" s="282">
        <v>38054</v>
      </c>
      <c r="AI396" s="282">
        <v>42894</v>
      </c>
      <c r="AJ396" s="282" t="s">
        <v>889</v>
      </c>
      <c r="AK396" s="274"/>
    </row>
    <row r="397" spans="1:37" x14ac:dyDescent="0.3">
      <c r="A397" s="273">
        <v>77554</v>
      </c>
      <c r="B397" s="274" t="s">
        <v>1428</v>
      </c>
      <c r="C397" s="146" t="s">
        <v>263</v>
      </c>
      <c r="D397" s="275">
        <v>194.61</v>
      </c>
      <c r="E397" s="274"/>
      <c r="F397" s="274"/>
      <c r="G397" s="274" t="s">
        <v>889</v>
      </c>
      <c r="H397" s="276">
        <v>24</v>
      </c>
      <c r="I397" s="24">
        <v>103003</v>
      </c>
      <c r="J397" s="277">
        <v>194.61</v>
      </c>
      <c r="K397" s="276">
        <v>220</v>
      </c>
      <c r="L397" s="278">
        <v>1.28</v>
      </c>
      <c r="M397" s="279">
        <v>201</v>
      </c>
      <c r="N397" s="277">
        <v>39116.61</v>
      </c>
      <c r="O397" s="280" t="s">
        <v>888</v>
      </c>
      <c r="P397" s="279">
        <v>0</v>
      </c>
      <c r="Q397" s="281">
        <v>0</v>
      </c>
      <c r="R397" s="282" t="s">
        <v>889</v>
      </c>
      <c r="S397" s="274" t="s">
        <v>1339</v>
      </c>
      <c r="T397" s="44">
        <v>1</v>
      </c>
      <c r="U397" s="283">
        <v>74</v>
      </c>
      <c r="V397" s="284">
        <v>3</v>
      </c>
      <c r="W397" s="285" t="s">
        <v>889</v>
      </c>
      <c r="X397" s="286" t="s">
        <v>889</v>
      </c>
      <c r="Y397" s="287">
        <v>0</v>
      </c>
      <c r="Z397" s="287" t="s">
        <v>889</v>
      </c>
      <c r="AA397" s="286" t="s">
        <v>889</v>
      </c>
      <c r="AB397" s="287">
        <v>0</v>
      </c>
      <c r="AC397" s="287"/>
      <c r="AD397" s="288" t="s">
        <v>889</v>
      </c>
      <c r="AE397" s="289" t="s">
        <v>889</v>
      </c>
      <c r="AF397" s="279">
        <v>76</v>
      </c>
      <c r="AG397" s="282">
        <v>44974</v>
      </c>
      <c r="AH397" s="282">
        <v>38056</v>
      </c>
      <c r="AI397" s="282">
        <v>44887</v>
      </c>
      <c r="AJ397" s="282" t="s">
        <v>889</v>
      </c>
      <c r="AK397" s="274"/>
    </row>
    <row r="398" spans="1:37" x14ac:dyDescent="0.3">
      <c r="A398" s="273">
        <v>77556</v>
      </c>
      <c r="B398" s="274" t="s">
        <v>1429</v>
      </c>
      <c r="C398" s="146" t="s">
        <v>263</v>
      </c>
      <c r="D398" s="275">
        <v>153.84</v>
      </c>
      <c r="E398" s="274" t="s">
        <v>1409</v>
      </c>
      <c r="F398" s="274" t="s">
        <v>1410</v>
      </c>
      <c r="G398" s="274" t="s">
        <v>1281</v>
      </c>
      <c r="H398" s="276">
        <v>87</v>
      </c>
      <c r="I398" s="24">
        <v>103003</v>
      </c>
      <c r="J398" s="277">
        <v>253.2</v>
      </c>
      <c r="K398" s="276">
        <v>65</v>
      </c>
      <c r="L398" s="278">
        <v>16.051660516605164</v>
      </c>
      <c r="M398" s="279">
        <v>0</v>
      </c>
      <c r="N398" s="277">
        <v>0</v>
      </c>
      <c r="O398" s="280" t="s">
        <v>1282</v>
      </c>
      <c r="P398" s="279">
        <v>1001</v>
      </c>
      <c r="Q398" s="281">
        <v>153993.84</v>
      </c>
      <c r="R398" s="282">
        <v>45540</v>
      </c>
      <c r="S398" s="274" t="s">
        <v>1339</v>
      </c>
      <c r="T398" s="44">
        <v>1</v>
      </c>
      <c r="U398" s="283">
        <v>74</v>
      </c>
      <c r="V398" s="284">
        <v>3</v>
      </c>
      <c r="W398" s="285" t="s">
        <v>889</v>
      </c>
      <c r="X398" s="286" t="s">
        <v>889</v>
      </c>
      <c r="Y398" s="287">
        <v>0</v>
      </c>
      <c r="Z398" s="287" t="s">
        <v>889</v>
      </c>
      <c r="AA398" s="286" t="s">
        <v>889</v>
      </c>
      <c r="AB398" s="287">
        <v>0</v>
      </c>
      <c r="AC398" s="287"/>
      <c r="AD398" s="288" t="s">
        <v>889</v>
      </c>
      <c r="AE398" s="289" t="s">
        <v>889</v>
      </c>
      <c r="AF398" s="279">
        <v>22</v>
      </c>
      <c r="AG398" s="282">
        <v>44158</v>
      </c>
      <c r="AH398" s="282">
        <v>38056</v>
      </c>
      <c r="AI398" s="282">
        <v>45084</v>
      </c>
      <c r="AJ398" s="282" t="s">
        <v>889</v>
      </c>
      <c r="AK398" s="274"/>
    </row>
    <row r="399" spans="1:37" x14ac:dyDescent="0.3">
      <c r="A399" s="273">
        <v>77557</v>
      </c>
      <c r="B399" s="274" t="s">
        <v>1430</v>
      </c>
      <c r="C399" s="146" t="s">
        <v>263</v>
      </c>
      <c r="D399" s="275">
        <v>128.13999999999999</v>
      </c>
      <c r="E399" s="274"/>
      <c r="F399" s="274"/>
      <c r="G399" s="274" t="s">
        <v>889</v>
      </c>
      <c r="H399" s="276">
        <v>186</v>
      </c>
      <c r="I399" s="24">
        <v>103003</v>
      </c>
      <c r="J399" s="277">
        <v>128.13999999999999</v>
      </c>
      <c r="K399" s="276">
        <v>43</v>
      </c>
      <c r="L399" s="278">
        <v>51.955307262569832</v>
      </c>
      <c r="M399" s="279">
        <v>0</v>
      </c>
      <c r="N399" s="277">
        <v>0</v>
      </c>
      <c r="O399" s="280" t="s">
        <v>888</v>
      </c>
      <c r="P399" s="279">
        <v>0</v>
      </c>
      <c r="Q399" s="281">
        <v>0</v>
      </c>
      <c r="R399" s="282" t="s">
        <v>889</v>
      </c>
      <c r="S399" s="274" t="s">
        <v>1339</v>
      </c>
      <c r="T399" s="44">
        <v>1</v>
      </c>
      <c r="U399" s="283">
        <v>74</v>
      </c>
      <c r="V399" s="284">
        <v>3</v>
      </c>
      <c r="W399" s="285" t="s">
        <v>889</v>
      </c>
      <c r="X399" s="286" t="s">
        <v>889</v>
      </c>
      <c r="Y399" s="287">
        <v>0</v>
      </c>
      <c r="Z399" s="287" t="s">
        <v>889</v>
      </c>
      <c r="AA399" s="286" t="s">
        <v>889</v>
      </c>
      <c r="AB399" s="287">
        <v>0</v>
      </c>
      <c r="AC399" s="287"/>
      <c r="AD399" s="288" t="s">
        <v>889</v>
      </c>
      <c r="AE399" s="289" t="s">
        <v>889</v>
      </c>
      <c r="AF399" s="279">
        <v>14</v>
      </c>
      <c r="AG399" s="282">
        <v>43745</v>
      </c>
      <c r="AH399" s="282">
        <v>38056</v>
      </c>
      <c r="AI399" s="282">
        <v>44238</v>
      </c>
      <c r="AJ399" s="282" t="s">
        <v>889</v>
      </c>
      <c r="AK399" s="274"/>
    </row>
    <row r="400" spans="1:37" x14ac:dyDescent="0.3">
      <c r="A400" s="273">
        <v>77562</v>
      </c>
      <c r="B400" s="274" t="s">
        <v>1431</v>
      </c>
      <c r="C400" s="146" t="s">
        <v>263</v>
      </c>
      <c r="D400" s="275">
        <v>49.49</v>
      </c>
      <c r="E400" s="274" t="s">
        <v>1409</v>
      </c>
      <c r="F400" s="274" t="s">
        <v>1410</v>
      </c>
      <c r="G400" s="274" t="s">
        <v>1281</v>
      </c>
      <c r="H400" s="276">
        <v>0</v>
      </c>
      <c r="I400" s="24">
        <v>103003</v>
      </c>
      <c r="J400" s="277">
        <v>49.49</v>
      </c>
      <c r="K400" s="276">
        <v>3468</v>
      </c>
      <c r="L400" s="278">
        <v>0</v>
      </c>
      <c r="M400" s="279">
        <v>3724.96</v>
      </c>
      <c r="N400" s="277">
        <v>184348.27040000001</v>
      </c>
      <c r="O400" s="280" t="s">
        <v>1282</v>
      </c>
      <c r="P400" s="279">
        <v>9410</v>
      </c>
      <c r="Q400" s="281">
        <v>465700.9</v>
      </c>
      <c r="R400" s="282">
        <v>45540</v>
      </c>
      <c r="S400" s="274" t="s">
        <v>1432</v>
      </c>
      <c r="T400" s="44">
        <v>1</v>
      </c>
      <c r="U400" s="283">
        <v>74</v>
      </c>
      <c r="V400" s="284">
        <v>2</v>
      </c>
      <c r="W400" s="285" t="s">
        <v>889</v>
      </c>
      <c r="X400" s="286" t="s">
        <v>889</v>
      </c>
      <c r="Y400" s="287">
        <v>0</v>
      </c>
      <c r="Z400" s="287">
        <v>11692</v>
      </c>
      <c r="AA400" s="286">
        <v>2023</v>
      </c>
      <c r="AB400" s="287">
        <v>2300</v>
      </c>
      <c r="AC400" s="287">
        <v>2300</v>
      </c>
      <c r="AD400" s="288" t="s">
        <v>2064</v>
      </c>
      <c r="AE400" s="289">
        <v>45215</v>
      </c>
      <c r="AF400" s="279">
        <v>2008</v>
      </c>
      <c r="AG400" s="282">
        <v>44985</v>
      </c>
      <c r="AH400" s="282">
        <v>38056</v>
      </c>
      <c r="AI400" s="282">
        <v>45203</v>
      </c>
      <c r="AJ400" s="282" t="s">
        <v>889</v>
      </c>
      <c r="AK400" s="274"/>
    </row>
    <row r="401" spans="1:37" x14ac:dyDescent="0.3">
      <c r="A401" s="273">
        <v>77755</v>
      </c>
      <c r="B401" s="274" t="s">
        <v>1433</v>
      </c>
      <c r="C401" s="146" t="s">
        <v>263</v>
      </c>
      <c r="D401" s="275">
        <v>1.19</v>
      </c>
      <c r="E401" s="274"/>
      <c r="F401" s="274"/>
      <c r="G401" s="274" t="s">
        <v>889</v>
      </c>
      <c r="H401" s="276">
        <v>0</v>
      </c>
      <c r="I401" s="24">
        <v>103003</v>
      </c>
      <c r="J401" s="277">
        <v>1.19</v>
      </c>
      <c r="K401" s="276">
        <v>5066</v>
      </c>
      <c r="L401" s="278">
        <v>0</v>
      </c>
      <c r="M401" s="279">
        <v>3623</v>
      </c>
      <c r="N401" s="277">
        <v>4311.37</v>
      </c>
      <c r="O401" s="280" t="s">
        <v>888</v>
      </c>
      <c r="P401" s="279">
        <v>0</v>
      </c>
      <c r="Q401" s="281">
        <v>0</v>
      </c>
      <c r="R401" s="282" t="s">
        <v>889</v>
      </c>
      <c r="S401" s="274" t="s">
        <v>909</v>
      </c>
      <c r="T401" s="44">
        <v>1</v>
      </c>
      <c r="U401" s="283">
        <v>45</v>
      </c>
      <c r="V401" s="284">
        <v>10</v>
      </c>
      <c r="W401" s="285">
        <v>6211</v>
      </c>
      <c r="X401" s="286">
        <v>2023</v>
      </c>
      <c r="Y401" s="287">
        <v>2500</v>
      </c>
      <c r="Z401" s="287" t="s">
        <v>889</v>
      </c>
      <c r="AA401" s="286" t="s">
        <v>889</v>
      </c>
      <c r="AB401" s="287">
        <v>0</v>
      </c>
      <c r="AC401" s="287"/>
      <c r="AD401" s="288" t="s">
        <v>889</v>
      </c>
      <c r="AE401" s="289" t="s">
        <v>889</v>
      </c>
      <c r="AF401" s="279">
        <v>2042</v>
      </c>
      <c r="AG401" s="282">
        <v>44966</v>
      </c>
      <c r="AH401" s="282">
        <v>38063</v>
      </c>
      <c r="AI401" s="282">
        <v>44959</v>
      </c>
      <c r="AJ401" s="282" t="s">
        <v>889</v>
      </c>
      <c r="AK401" s="274"/>
    </row>
    <row r="402" spans="1:37" x14ac:dyDescent="0.3">
      <c r="A402" s="273">
        <v>77786</v>
      </c>
      <c r="B402" s="274" t="s">
        <v>1434</v>
      </c>
      <c r="C402" s="146" t="s">
        <v>263</v>
      </c>
      <c r="D402" s="275">
        <v>115</v>
      </c>
      <c r="E402" s="274"/>
      <c r="F402" s="274"/>
      <c r="G402" s="274" t="s">
        <v>889</v>
      </c>
      <c r="H402" s="276">
        <v>50</v>
      </c>
      <c r="I402" s="24">
        <v>103003</v>
      </c>
      <c r="J402" s="277">
        <v>115</v>
      </c>
      <c r="K402" s="276"/>
      <c r="L402" s="278">
        <v>0</v>
      </c>
      <c r="M402" s="279">
        <v>0</v>
      </c>
      <c r="N402" s="277">
        <v>0</v>
      </c>
      <c r="O402" s="280" t="s">
        <v>888</v>
      </c>
      <c r="P402" s="279">
        <v>0</v>
      </c>
      <c r="Q402" s="281">
        <v>0</v>
      </c>
      <c r="R402" s="282" t="s">
        <v>889</v>
      </c>
      <c r="S402" s="274" t="s">
        <v>1347</v>
      </c>
      <c r="T402" s="44">
        <v>1</v>
      </c>
      <c r="U402" s="283">
        <v>69</v>
      </c>
      <c r="V402" s="284">
        <v>8</v>
      </c>
      <c r="W402" s="285" t="s">
        <v>889</v>
      </c>
      <c r="X402" s="286" t="s">
        <v>889</v>
      </c>
      <c r="Y402" s="287">
        <v>0</v>
      </c>
      <c r="Z402" s="287" t="s">
        <v>889</v>
      </c>
      <c r="AA402" s="286" t="s">
        <v>889</v>
      </c>
      <c r="AB402" s="287">
        <v>0</v>
      </c>
      <c r="AC402" s="287"/>
      <c r="AD402" s="288" t="s">
        <v>889</v>
      </c>
      <c r="AE402" s="289" t="s">
        <v>889</v>
      </c>
      <c r="AF402" s="279">
        <v>0</v>
      </c>
      <c r="AG402" s="282">
        <v>44067</v>
      </c>
      <c r="AH402" s="282">
        <v>38064</v>
      </c>
      <c r="AI402" s="282">
        <v>44047</v>
      </c>
      <c r="AJ402" s="282" t="s">
        <v>889</v>
      </c>
      <c r="AK402" s="274"/>
    </row>
    <row r="403" spans="1:37" x14ac:dyDescent="0.3">
      <c r="A403" s="273">
        <v>77788</v>
      </c>
      <c r="B403" s="274" t="s">
        <v>1435</v>
      </c>
      <c r="C403" s="146" t="s">
        <v>263</v>
      </c>
      <c r="D403" s="275">
        <v>14.2</v>
      </c>
      <c r="E403" s="274"/>
      <c r="F403" s="274"/>
      <c r="G403" s="274" t="s">
        <v>889</v>
      </c>
      <c r="H403" s="276">
        <v>776</v>
      </c>
      <c r="I403" s="24">
        <v>103003</v>
      </c>
      <c r="J403" s="277">
        <v>14.2</v>
      </c>
      <c r="K403" s="276">
        <v>49</v>
      </c>
      <c r="L403" s="278">
        <v>190.19607843137254</v>
      </c>
      <c r="M403" s="279">
        <v>0</v>
      </c>
      <c r="N403" s="277">
        <v>0</v>
      </c>
      <c r="O403" s="280" t="s">
        <v>888</v>
      </c>
      <c r="P403" s="279">
        <v>0</v>
      </c>
      <c r="Q403" s="281">
        <v>0</v>
      </c>
      <c r="R403" s="282" t="s">
        <v>889</v>
      </c>
      <c r="S403" s="274" t="s">
        <v>1436</v>
      </c>
      <c r="T403" s="44">
        <v>1</v>
      </c>
      <c r="U403" s="283">
        <v>67</v>
      </c>
      <c r="V403" s="284">
        <v>13</v>
      </c>
      <c r="W403" s="285" t="s">
        <v>889</v>
      </c>
      <c r="X403" s="286" t="s">
        <v>889</v>
      </c>
      <c r="Y403" s="287">
        <v>0</v>
      </c>
      <c r="Z403" s="287" t="s">
        <v>889</v>
      </c>
      <c r="AA403" s="286" t="s">
        <v>889</v>
      </c>
      <c r="AB403" s="287">
        <v>0</v>
      </c>
      <c r="AC403" s="287"/>
      <c r="AD403" s="288" t="s">
        <v>889</v>
      </c>
      <c r="AE403" s="289" t="s">
        <v>889</v>
      </c>
      <c r="AF403" s="279">
        <v>16</v>
      </c>
      <c r="AG403" s="282">
        <v>43622</v>
      </c>
      <c r="AH403" s="282">
        <v>38064</v>
      </c>
      <c r="AI403" s="282">
        <v>45117</v>
      </c>
      <c r="AJ403" s="282" t="s">
        <v>889</v>
      </c>
      <c r="AK403" s="274"/>
    </row>
    <row r="404" spans="1:37" x14ac:dyDescent="0.3">
      <c r="A404" s="273">
        <v>77819</v>
      </c>
      <c r="B404" s="274" t="s">
        <v>1437</v>
      </c>
      <c r="C404" s="146" t="s">
        <v>393</v>
      </c>
      <c r="D404" s="275">
        <v>27.65</v>
      </c>
      <c r="E404" s="274"/>
      <c r="F404" s="274"/>
      <c r="G404" s="274" t="s">
        <v>889</v>
      </c>
      <c r="H404" s="276">
        <v>3044</v>
      </c>
      <c r="I404" s="24">
        <v>103003</v>
      </c>
      <c r="J404" s="277">
        <v>27.65</v>
      </c>
      <c r="K404" s="276">
        <v>1696</v>
      </c>
      <c r="L404" s="278">
        <v>9.6152631246446401</v>
      </c>
      <c r="M404" s="279">
        <v>254.96</v>
      </c>
      <c r="N404" s="277">
        <v>7049.6440000000002</v>
      </c>
      <c r="O404" s="280" t="s">
        <v>888</v>
      </c>
      <c r="P404" s="279">
        <v>0</v>
      </c>
      <c r="Q404" s="281">
        <v>0</v>
      </c>
      <c r="R404" s="282" t="s">
        <v>889</v>
      </c>
      <c r="S404" s="274" t="s">
        <v>1438</v>
      </c>
      <c r="T404" s="44">
        <v>1</v>
      </c>
      <c r="U404" s="283">
        <v>52</v>
      </c>
      <c r="V404" s="284">
        <v>15</v>
      </c>
      <c r="W404" s="285">
        <v>2998</v>
      </c>
      <c r="X404" s="286">
        <v>2023</v>
      </c>
      <c r="Y404" s="287">
        <v>500</v>
      </c>
      <c r="Z404" s="287" t="s">
        <v>889</v>
      </c>
      <c r="AA404" s="286" t="s">
        <v>889</v>
      </c>
      <c r="AB404" s="287">
        <v>0</v>
      </c>
      <c r="AC404" s="287"/>
      <c r="AD404" s="288" t="s">
        <v>889</v>
      </c>
      <c r="AE404" s="289" t="s">
        <v>889</v>
      </c>
      <c r="AF404" s="279">
        <v>1266</v>
      </c>
      <c r="AG404" s="282">
        <v>44942</v>
      </c>
      <c r="AH404" s="282">
        <v>38065</v>
      </c>
      <c r="AI404" s="282">
        <v>44895</v>
      </c>
      <c r="AJ404" s="282" t="s">
        <v>889</v>
      </c>
      <c r="AK404" s="274"/>
    </row>
    <row r="405" spans="1:37" x14ac:dyDescent="0.3">
      <c r="A405" s="273">
        <v>77823</v>
      </c>
      <c r="B405" s="274" t="s">
        <v>1439</v>
      </c>
      <c r="C405" s="146" t="s">
        <v>263</v>
      </c>
      <c r="D405" s="275">
        <v>21.71</v>
      </c>
      <c r="E405" s="274"/>
      <c r="F405" s="274"/>
      <c r="G405" s="274" t="s">
        <v>889</v>
      </c>
      <c r="H405" s="276">
        <v>37</v>
      </c>
      <c r="I405" s="24">
        <v>103003</v>
      </c>
      <c r="J405" s="277">
        <v>21.71</v>
      </c>
      <c r="K405" s="276">
        <v>24</v>
      </c>
      <c r="L405" s="278">
        <v>18.5</v>
      </c>
      <c r="M405" s="279">
        <v>0</v>
      </c>
      <c r="N405" s="277">
        <v>0</v>
      </c>
      <c r="O405" s="280" t="s">
        <v>888</v>
      </c>
      <c r="P405" s="279">
        <v>0</v>
      </c>
      <c r="Q405" s="281">
        <v>0</v>
      </c>
      <c r="R405" s="282" t="s">
        <v>889</v>
      </c>
      <c r="S405" s="274" t="s">
        <v>1440</v>
      </c>
      <c r="T405" s="44">
        <v>1</v>
      </c>
      <c r="U405" s="283">
        <v>72</v>
      </c>
      <c r="V405" s="284">
        <v>5</v>
      </c>
      <c r="W405" s="285" t="s">
        <v>889</v>
      </c>
      <c r="X405" s="286" t="s">
        <v>889</v>
      </c>
      <c r="Y405" s="287">
        <v>0</v>
      </c>
      <c r="Z405" s="287" t="s">
        <v>889</v>
      </c>
      <c r="AA405" s="286" t="s">
        <v>889</v>
      </c>
      <c r="AB405" s="287">
        <v>0</v>
      </c>
      <c r="AC405" s="287"/>
      <c r="AD405" s="288" t="s">
        <v>889</v>
      </c>
      <c r="AE405" s="289" t="s">
        <v>889</v>
      </c>
      <c r="AF405" s="279">
        <v>8</v>
      </c>
      <c r="AG405" s="282">
        <v>43279</v>
      </c>
      <c r="AH405" s="282">
        <v>38065</v>
      </c>
      <c r="AI405" s="282">
        <v>44711</v>
      </c>
      <c r="AJ405" s="282" t="s">
        <v>889</v>
      </c>
      <c r="AK405" s="274"/>
    </row>
    <row r="406" spans="1:37" x14ac:dyDescent="0.3">
      <c r="A406" s="273">
        <v>78055</v>
      </c>
      <c r="B406" s="274" t="s">
        <v>1441</v>
      </c>
      <c r="C406" s="146" t="s">
        <v>436</v>
      </c>
      <c r="D406" s="275">
        <v>31.07</v>
      </c>
      <c r="E406" s="274"/>
      <c r="F406" s="274"/>
      <c r="G406" s="274" t="s">
        <v>889</v>
      </c>
      <c r="H406" s="276">
        <v>0</v>
      </c>
      <c r="I406" s="24">
        <v>103003</v>
      </c>
      <c r="J406" s="277">
        <v>31.07</v>
      </c>
      <c r="K406" s="276">
        <v>261</v>
      </c>
      <c r="L406" s="278">
        <v>0</v>
      </c>
      <c r="M406" s="279">
        <v>261</v>
      </c>
      <c r="N406" s="277">
        <v>8109.27</v>
      </c>
      <c r="O406" s="280" t="s">
        <v>888</v>
      </c>
      <c r="P406" s="279">
        <v>0</v>
      </c>
      <c r="Q406" s="281">
        <v>0</v>
      </c>
      <c r="R406" s="282" t="s">
        <v>889</v>
      </c>
      <c r="S406" s="274" t="s">
        <v>1076</v>
      </c>
      <c r="T406" s="44">
        <v>1</v>
      </c>
      <c r="U406" s="283">
        <v>78</v>
      </c>
      <c r="V406" s="284">
        <v>2</v>
      </c>
      <c r="W406" s="285" t="s">
        <v>889</v>
      </c>
      <c r="X406" s="286" t="s">
        <v>889</v>
      </c>
      <c r="Y406" s="287">
        <v>0</v>
      </c>
      <c r="Z406" s="287" t="s">
        <v>889</v>
      </c>
      <c r="AA406" s="286" t="s">
        <v>889</v>
      </c>
      <c r="AB406" s="287">
        <v>0</v>
      </c>
      <c r="AC406" s="287"/>
      <c r="AD406" s="288" t="s">
        <v>889</v>
      </c>
      <c r="AE406" s="289" t="s">
        <v>889</v>
      </c>
      <c r="AF406" s="279">
        <v>88</v>
      </c>
      <c r="AG406" s="282">
        <v>45209</v>
      </c>
      <c r="AH406" s="282">
        <v>38072</v>
      </c>
      <c r="AI406" s="282">
        <v>45189</v>
      </c>
      <c r="AJ406" s="282" t="s">
        <v>889</v>
      </c>
      <c r="AK406" s="274"/>
    </row>
    <row r="407" spans="1:37" x14ac:dyDescent="0.3">
      <c r="A407" s="273">
        <v>78057</v>
      </c>
      <c r="B407" s="274" t="s">
        <v>1442</v>
      </c>
      <c r="C407" s="146" t="s">
        <v>267</v>
      </c>
      <c r="D407" s="275">
        <v>15</v>
      </c>
      <c r="E407" s="274"/>
      <c r="F407" s="274"/>
      <c r="G407" s="274" t="s">
        <v>889</v>
      </c>
      <c r="H407" s="276">
        <v>0</v>
      </c>
      <c r="I407" s="24">
        <v>103003</v>
      </c>
      <c r="J407" s="277">
        <v>15</v>
      </c>
      <c r="K407" s="276">
        <v>294</v>
      </c>
      <c r="L407" s="278">
        <v>0</v>
      </c>
      <c r="M407" s="279">
        <v>243.96</v>
      </c>
      <c r="N407" s="277">
        <v>3659.4</v>
      </c>
      <c r="O407" s="280" t="s">
        <v>888</v>
      </c>
      <c r="P407" s="279">
        <v>0</v>
      </c>
      <c r="Q407" s="281">
        <v>0</v>
      </c>
      <c r="R407" s="282" t="s">
        <v>889</v>
      </c>
      <c r="S407" s="274" t="s">
        <v>1076</v>
      </c>
      <c r="T407" s="44">
        <v>1</v>
      </c>
      <c r="U407" s="283">
        <v>78</v>
      </c>
      <c r="V407" s="284">
        <v>2</v>
      </c>
      <c r="W407" s="285">
        <v>7339</v>
      </c>
      <c r="X407" s="286">
        <v>2023</v>
      </c>
      <c r="Y407" s="287">
        <v>150</v>
      </c>
      <c r="Z407" s="287" t="s">
        <v>889</v>
      </c>
      <c r="AA407" s="286" t="s">
        <v>889</v>
      </c>
      <c r="AB407" s="287">
        <v>0</v>
      </c>
      <c r="AC407" s="287"/>
      <c r="AD407" s="288" t="s">
        <v>889</v>
      </c>
      <c r="AE407" s="289" t="s">
        <v>889</v>
      </c>
      <c r="AF407" s="279">
        <v>132</v>
      </c>
      <c r="AG407" s="282">
        <v>44931</v>
      </c>
      <c r="AH407" s="282">
        <v>38072</v>
      </c>
      <c r="AI407" s="282">
        <v>44970</v>
      </c>
      <c r="AJ407" s="282" t="s">
        <v>889</v>
      </c>
      <c r="AK407" s="274"/>
    </row>
    <row r="408" spans="1:37" x14ac:dyDescent="0.3">
      <c r="A408" s="273">
        <v>78181</v>
      </c>
      <c r="B408" s="274" t="s">
        <v>1443</v>
      </c>
      <c r="C408" s="146" t="s">
        <v>653</v>
      </c>
      <c r="D408" s="275">
        <v>7</v>
      </c>
      <c r="E408" s="274"/>
      <c r="F408" s="274"/>
      <c r="G408" s="274" t="s">
        <v>889</v>
      </c>
      <c r="H408" s="276">
        <v>188</v>
      </c>
      <c r="I408" s="24">
        <v>103003</v>
      </c>
      <c r="J408" s="277">
        <v>7</v>
      </c>
      <c r="K408" s="276">
        <v>50</v>
      </c>
      <c r="L408" s="278">
        <v>47.959183673469383</v>
      </c>
      <c r="M408" s="279">
        <v>0</v>
      </c>
      <c r="N408" s="277">
        <v>0</v>
      </c>
      <c r="O408" s="280" t="s">
        <v>888</v>
      </c>
      <c r="P408" s="279">
        <v>0</v>
      </c>
      <c r="Q408" s="281">
        <v>0</v>
      </c>
      <c r="R408" s="282" t="s">
        <v>889</v>
      </c>
      <c r="S408" s="274" t="s">
        <v>1444</v>
      </c>
      <c r="T408" s="44">
        <v>1</v>
      </c>
      <c r="U408" s="283">
        <v>72</v>
      </c>
      <c r="V408" s="284">
        <v>8</v>
      </c>
      <c r="W408" s="285" t="s">
        <v>889</v>
      </c>
      <c r="X408" s="286" t="s">
        <v>889</v>
      </c>
      <c r="Y408" s="287">
        <v>0</v>
      </c>
      <c r="Z408" s="287" t="s">
        <v>889</v>
      </c>
      <c r="AA408" s="286" t="s">
        <v>889</v>
      </c>
      <c r="AB408" s="287">
        <v>0</v>
      </c>
      <c r="AC408" s="287"/>
      <c r="AD408" s="288" t="s">
        <v>889</v>
      </c>
      <c r="AE408" s="289" t="s">
        <v>889</v>
      </c>
      <c r="AF408" s="279">
        <v>16</v>
      </c>
      <c r="AG408" s="282">
        <v>45153</v>
      </c>
      <c r="AH408" s="282">
        <v>38079</v>
      </c>
      <c r="AI408" s="282">
        <v>45133</v>
      </c>
      <c r="AJ408" s="282" t="s">
        <v>889</v>
      </c>
      <c r="AK408" s="274"/>
    </row>
    <row r="409" spans="1:37" x14ac:dyDescent="0.3">
      <c r="A409" s="273">
        <v>78303</v>
      </c>
      <c r="B409" s="274" t="s">
        <v>1445</v>
      </c>
      <c r="C409" s="146" t="s">
        <v>263</v>
      </c>
      <c r="D409" s="275">
        <v>274</v>
      </c>
      <c r="E409" s="274"/>
      <c r="F409" s="274"/>
      <c r="G409" s="274" t="s">
        <v>889</v>
      </c>
      <c r="H409" s="276">
        <v>17</v>
      </c>
      <c r="I409" s="24">
        <v>103003</v>
      </c>
      <c r="J409" s="277">
        <v>274</v>
      </c>
      <c r="K409" s="276">
        <v>9</v>
      </c>
      <c r="L409" s="278">
        <v>22.666666666666664</v>
      </c>
      <c r="M409" s="279">
        <v>0</v>
      </c>
      <c r="N409" s="277">
        <v>0</v>
      </c>
      <c r="O409" s="280" t="s">
        <v>888</v>
      </c>
      <c r="P409" s="279">
        <v>0</v>
      </c>
      <c r="Q409" s="281">
        <v>0</v>
      </c>
      <c r="R409" s="282" t="s">
        <v>889</v>
      </c>
      <c r="S409" s="274" t="s">
        <v>1446</v>
      </c>
      <c r="T409" s="44">
        <v>1</v>
      </c>
      <c r="U409" s="283">
        <v>51</v>
      </c>
      <c r="V409" s="284">
        <v>36</v>
      </c>
      <c r="W409" s="285" t="s">
        <v>889</v>
      </c>
      <c r="X409" s="286" t="s">
        <v>889</v>
      </c>
      <c r="Y409" s="287">
        <v>0</v>
      </c>
      <c r="Z409" s="287" t="s">
        <v>889</v>
      </c>
      <c r="AA409" s="286" t="s">
        <v>889</v>
      </c>
      <c r="AB409" s="287">
        <v>0</v>
      </c>
      <c r="AC409" s="287"/>
      <c r="AD409" s="288" t="s">
        <v>889</v>
      </c>
      <c r="AE409" s="289" t="s">
        <v>889</v>
      </c>
      <c r="AF409" s="279">
        <v>4</v>
      </c>
      <c r="AG409" s="282">
        <v>45153</v>
      </c>
      <c r="AH409" s="282">
        <v>38085</v>
      </c>
      <c r="AI409" s="282">
        <v>45131</v>
      </c>
      <c r="AJ409" s="282" t="s">
        <v>889</v>
      </c>
      <c r="AK409" s="274"/>
    </row>
    <row r="410" spans="1:37" x14ac:dyDescent="0.3">
      <c r="A410" s="273">
        <v>78307</v>
      </c>
      <c r="B410" s="274" t="s">
        <v>1447</v>
      </c>
      <c r="C410" s="146" t="s">
        <v>263</v>
      </c>
      <c r="D410" s="275">
        <v>238.63</v>
      </c>
      <c r="E410" s="274" t="s">
        <v>1448</v>
      </c>
      <c r="F410" s="274" t="s">
        <v>1419</v>
      </c>
      <c r="G410" s="274" t="s">
        <v>1281</v>
      </c>
      <c r="H410" s="276">
        <v>34</v>
      </c>
      <c r="I410" s="24">
        <v>103003</v>
      </c>
      <c r="J410" s="277">
        <v>273</v>
      </c>
      <c r="K410" s="276"/>
      <c r="L410" s="278">
        <v>0</v>
      </c>
      <c r="M410" s="279">
        <v>0</v>
      </c>
      <c r="N410" s="277">
        <v>0</v>
      </c>
      <c r="O410" s="280" t="s">
        <v>1282</v>
      </c>
      <c r="P410" s="279">
        <v>44</v>
      </c>
      <c r="Q410" s="281">
        <v>10499.72</v>
      </c>
      <c r="R410" s="282">
        <v>45540</v>
      </c>
      <c r="S410" s="274" t="s">
        <v>1283</v>
      </c>
      <c r="T410" s="44">
        <v>1</v>
      </c>
      <c r="U410" s="283">
        <v>51</v>
      </c>
      <c r="V410" s="284">
        <v>28</v>
      </c>
      <c r="W410" s="285" t="s">
        <v>889</v>
      </c>
      <c r="X410" s="286" t="s">
        <v>889</v>
      </c>
      <c r="Y410" s="287">
        <v>0</v>
      </c>
      <c r="Z410" s="287" t="s">
        <v>889</v>
      </c>
      <c r="AA410" s="286" t="s">
        <v>889</v>
      </c>
      <c r="AB410" s="287">
        <v>0</v>
      </c>
      <c r="AC410" s="287"/>
      <c r="AD410" s="288" t="s">
        <v>889</v>
      </c>
      <c r="AE410" s="289" t="s">
        <v>889</v>
      </c>
      <c r="AF410" s="279">
        <v>11</v>
      </c>
      <c r="AG410" s="282">
        <v>43818</v>
      </c>
      <c r="AH410" s="282">
        <v>38085</v>
      </c>
      <c r="AI410" s="282">
        <v>44579</v>
      </c>
      <c r="AJ410" s="282" t="s">
        <v>889</v>
      </c>
      <c r="AK410" s="274"/>
    </row>
    <row r="411" spans="1:37" x14ac:dyDescent="0.3">
      <c r="A411" s="273">
        <v>78399</v>
      </c>
      <c r="B411" s="274" t="s">
        <v>1449</v>
      </c>
      <c r="C411" s="146" t="s">
        <v>263</v>
      </c>
      <c r="D411" s="275">
        <v>1.4</v>
      </c>
      <c r="E411" s="274"/>
      <c r="F411" s="274"/>
      <c r="G411" s="274" t="s">
        <v>889</v>
      </c>
      <c r="H411" s="276">
        <v>325</v>
      </c>
      <c r="I411" s="24">
        <v>103003</v>
      </c>
      <c r="J411" s="277">
        <v>1.4</v>
      </c>
      <c r="K411" s="276">
        <v>16</v>
      </c>
      <c r="L411" s="278">
        <v>244.3609022556391</v>
      </c>
      <c r="M411" s="279">
        <v>0</v>
      </c>
      <c r="N411" s="277">
        <v>0</v>
      </c>
      <c r="O411" s="280" t="s">
        <v>888</v>
      </c>
      <c r="P411" s="279">
        <v>0</v>
      </c>
      <c r="Q411" s="281">
        <v>0</v>
      </c>
      <c r="R411" s="282" t="s">
        <v>889</v>
      </c>
      <c r="S411" s="274" t="s">
        <v>1052</v>
      </c>
      <c r="T411" s="44">
        <v>1</v>
      </c>
      <c r="U411" s="283">
        <v>55</v>
      </c>
      <c r="V411" s="284">
        <v>46</v>
      </c>
      <c r="W411" s="285" t="s">
        <v>889</v>
      </c>
      <c r="X411" s="286" t="s">
        <v>889</v>
      </c>
      <c r="Y411" s="287">
        <v>0</v>
      </c>
      <c r="Z411" s="287" t="s">
        <v>889</v>
      </c>
      <c r="AA411" s="286" t="s">
        <v>889</v>
      </c>
      <c r="AB411" s="287">
        <v>0</v>
      </c>
      <c r="AC411" s="287"/>
      <c r="AD411" s="288" t="s">
        <v>889</v>
      </c>
      <c r="AE411" s="289" t="s">
        <v>889</v>
      </c>
      <c r="AF411" s="279">
        <v>6</v>
      </c>
      <c r="AG411" s="282">
        <v>44186</v>
      </c>
      <c r="AH411" s="282">
        <v>38096</v>
      </c>
      <c r="AI411" s="282">
        <v>44176</v>
      </c>
      <c r="AJ411" s="282" t="s">
        <v>889</v>
      </c>
      <c r="AK411" s="274"/>
    </row>
    <row r="412" spans="1:37" x14ac:dyDescent="0.3">
      <c r="A412" s="273">
        <v>78416</v>
      </c>
      <c r="B412" s="274" t="s">
        <v>1450</v>
      </c>
      <c r="C412" s="146" t="s">
        <v>263</v>
      </c>
      <c r="D412" s="275">
        <v>3.49</v>
      </c>
      <c r="E412" s="274"/>
      <c r="F412" s="274"/>
      <c r="G412" s="274" t="s">
        <v>889</v>
      </c>
      <c r="H412" s="276">
        <v>1019</v>
      </c>
      <c r="I412" s="24">
        <v>103003</v>
      </c>
      <c r="J412" s="277">
        <v>3.49</v>
      </c>
      <c r="K412" s="276">
        <v>315</v>
      </c>
      <c r="L412" s="278">
        <v>38.819047619047623</v>
      </c>
      <c r="M412" s="279">
        <v>0</v>
      </c>
      <c r="N412" s="277">
        <v>0</v>
      </c>
      <c r="O412" s="280" t="s">
        <v>888</v>
      </c>
      <c r="P412" s="279">
        <v>0</v>
      </c>
      <c r="Q412" s="281">
        <v>0</v>
      </c>
      <c r="R412" s="282" t="s">
        <v>889</v>
      </c>
      <c r="S412" s="274" t="s">
        <v>1451</v>
      </c>
      <c r="T412" s="44">
        <v>1</v>
      </c>
      <c r="U412" s="283">
        <v>67</v>
      </c>
      <c r="V412" s="284">
        <v>18</v>
      </c>
      <c r="W412" s="285" t="s">
        <v>889</v>
      </c>
      <c r="X412" s="286" t="s">
        <v>889</v>
      </c>
      <c r="Y412" s="287">
        <v>0</v>
      </c>
      <c r="Z412" s="287" t="s">
        <v>889</v>
      </c>
      <c r="AA412" s="286" t="s">
        <v>889</v>
      </c>
      <c r="AB412" s="287">
        <v>0</v>
      </c>
      <c r="AC412" s="287"/>
      <c r="AD412" s="288" t="s">
        <v>889</v>
      </c>
      <c r="AE412" s="289" t="s">
        <v>889</v>
      </c>
      <c r="AF412" s="279">
        <v>106</v>
      </c>
      <c r="AG412" s="282">
        <v>44071</v>
      </c>
      <c r="AH412" s="282">
        <v>38097</v>
      </c>
      <c r="AI412" s="282">
        <v>44040</v>
      </c>
      <c r="AJ412" s="282" t="s">
        <v>889</v>
      </c>
      <c r="AK412" s="274"/>
    </row>
    <row r="413" spans="1:37" x14ac:dyDescent="0.3">
      <c r="A413" s="273">
        <v>78418</v>
      </c>
      <c r="B413" s="274" t="s">
        <v>1452</v>
      </c>
      <c r="C413" s="146" t="s">
        <v>263</v>
      </c>
      <c r="D413" s="275">
        <v>2.75</v>
      </c>
      <c r="E413" s="274"/>
      <c r="F413" s="274"/>
      <c r="G413" s="274" t="s">
        <v>889</v>
      </c>
      <c r="H413" s="276">
        <v>255</v>
      </c>
      <c r="I413" s="24">
        <v>103003</v>
      </c>
      <c r="J413" s="277">
        <v>2.75</v>
      </c>
      <c r="K413" s="276">
        <v>60</v>
      </c>
      <c r="L413" s="278">
        <v>51</v>
      </c>
      <c r="M413" s="279">
        <v>0</v>
      </c>
      <c r="N413" s="277">
        <v>0</v>
      </c>
      <c r="O413" s="280" t="s">
        <v>888</v>
      </c>
      <c r="P413" s="279">
        <v>0</v>
      </c>
      <c r="Q413" s="281">
        <v>0</v>
      </c>
      <c r="R413" s="282" t="s">
        <v>889</v>
      </c>
      <c r="S413" s="274" t="s">
        <v>1453</v>
      </c>
      <c r="T413" s="44">
        <v>1</v>
      </c>
      <c r="U413" s="283">
        <v>67</v>
      </c>
      <c r="V413" s="284">
        <v>16</v>
      </c>
      <c r="W413" s="285" t="s">
        <v>889</v>
      </c>
      <c r="X413" s="286" t="s">
        <v>889</v>
      </c>
      <c r="Y413" s="287">
        <v>0</v>
      </c>
      <c r="Z413" s="287" t="s">
        <v>889</v>
      </c>
      <c r="AA413" s="286" t="s">
        <v>889</v>
      </c>
      <c r="AB413" s="287">
        <v>0</v>
      </c>
      <c r="AC413" s="287"/>
      <c r="AD413" s="288" t="s">
        <v>889</v>
      </c>
      <c r="AE413" s="289" t="s">
        <v>889</v>
      </c>
      <c r="AF413" s="279">
        <v>20</v>
      </c>
      <c r="AG413" s="282">
        <v>45201</v>
      </c>
      <c r="AH413" s="282">
        <v>38097</v>
      </c>
      <c r="AI413" s="282">
        <v>45189</v>
      </c>
      <c r="AJ413" s="282" t="s">
        <v>889</v>
      </c>
      <c r="AK413" s="274"/>
    </row>
    <row r="414" spans="1:37" x14ac:dyDescent="0.3">
      <c r="A414" s="273">
        <v>78509</v>
      </c>
      <c r="B414" s="274" t="s">
        <v>1454</v>
      </c>
      <c r="C414" s="146" t="s">
        <v>263</v>
      </c>
      <c r="D414" s="275">
        <v>206.5</v>
      </c>
      <c r="E414" s="274"/>
      <c r="F414" s="274"/>
      <c r="G414" s="274" t="s">
        <v>889</v>
      </c>
      <c r="H414" s="276">
        <v>9</v>
      </c>
      <c r="I414" s="24">
        <v>103003</v>
      </c>
      <c r="J414" s="277">
        <v>206.5</v>
      </c>
      <c r="K414" s="276">
        <v>15</v>
      </c>
      <c r="L414" s="278">
        <v>5.3892215568862278</v>
      </c>
      <c r="M414" s="279">
        <v>11.04</v>
      </c>
      <c r="N414" s="277">
        <v>2279.7600000000002</v>
      </c>
      <c r="O414" s="280" t="s">
        <v>888</v>
      </c>
      <c r="P414" s="279">
        <v>0</v>
      </c>
      <c r="Q414" s="281">
        <v>0</v>
      </c>
      <c r="R414" s="282" t="s">
        <v>889</v>
      </c>
      <c r="S414" s="274" t="s">
        <v>1446</v>
      </c>
      <c r="T414" s="44">
        <v>1</v>
      </c>
      <c r="U414" s="283">
        <v>51</v>
      </c>
      <c r="V414" s="284">
        <v>36</v>
      </c>
      <c r="W414" s="285" t="s">
        <v>889</v>
      </c>
      <c r="X414" s="286" t="s">
        <v>889</v>
      </c>
      <c r="Y414" s="287">
        <v>0</v>
      </c>
      <c r="Z414" s="287" t="s">
        <v>889</v>
      </c>
      <c r="AA414" s="286" t="s">
        <v>889</v>
      </c>
      <c r="AB414" s="287">
        <v>0</v>
      </c>
      <c r="AC414" s="287"/>
      <c r="AD414" s="288" t="s">
        <v>889</v>
      </c>
      <c r="AE414" s="289" t="s">
        <v>889</v>
      </c>
      <c r="AF414" s="279">
        <v>6</v>
      </c>
      <c r="AG414" s="282">
        <v>45180</v>
      </c>
      <c r="AH414" s="282">
        <v>38100</v>
      </c>
      <c r="AI414" s="282">
        <v>45131</v>
      </c>
      <c r="AJ414" s="282" t="s">
        <v>889</v>
      </c>
      <c r="AK414" s="274"/>
    </row>
    <row r="415" spans="1:37" x14ac:dyDescent="0.3">
      <c r="A415" s="273">
        <v>78641</v>
      </c>
      <c r="B415" s="274" t="s">
        <v>1455</v>
      </c>
      <c r="C415" s="146" t="s">
        <v>653</v>
      </c>
      <c r="D415" s="275">
        <v>7.4</v>
      </c>
      <c r="E415" s="274"/>
      <c r="F415" s="274"/>
      <c r="G415" s="274" t="s">
        <v>889</v>
      </c>
      <c r="H415" s="276">
        <v>0</v>
      </c>
      <c r="I415" s="24">
        <v>103003</v>
      </c>
      <c r="J415" s="277">
        <v>7.4</v>
      </c>
      <c r="K415" s="276">
        <v>3236</v>
      </c>
      <c r="L415" s="278">
        <v>0</v>
      </c>
      <c r="M415" s="279">
        <v>3577.96</v>
      </c>
      <c r="N415" s="277">
        <v>26476.903999999999</v>
      </c>
      <c r="O415" s="280" t="s">
        <v>888</v>
      </c>
      <c r="P415" s="279">
        <v>0</v>
      </c>
      <c r="Q415" s="281">
        <v>0</v>
      </c>
      <c r="R415" s="282" t="s">
        <v>889</v>
      </c>
      <c r="S415" s="274" t="s">
        <v>1456</v>
      </c>
      <c r="T415" s="44">
        <v>1</v>
      </c>
      <c r="U415" s="283">
        <v>45</v>
      </c>
      <c r="V415" s="284">
        <v>30</v>
      </c>
      <c r="W415" s="285">
        <v>6978</v>
      </c>
      <c r="X415" s="286">
        <v>2023</v>
      </c>
      <c r="Y415" s="287">
        <v>1100</v>
      </c>
      <c r="Z415" s="287" t="s">
        <v>889</v>
      </c>
      <c r="AA415" s="286" t="s">
        <v>889</v>
      </c>
      <c r="AB415" s="287">
        <v>0</v>
      </c>
      <c r="AC415" s="287"/>
      <c r="AD415" s="288" t="s">
        <v>889</v>
      </c>
      <c r="AE415" s="289" t="s">
        <v>889</v>
      </c>
      <c r="AF415" s="279">
        <v>1560</v>
      </c>
      <c r="AG415" s="282">
        <v>44463</v>
      </c>
      <c r="AH415" s="282">
        <v>38104</v>
      </c>
      <c r="AI415" s="282">
        <v>45044</v>
      </c>
      <c r="AJ415" s="282" t="s">
        <v>889</v>
      </c>
      <c r="AK415" s="274"/>
    </row>
    <row r="416" spans="1:37" x14ac:dyDescent="0.3">
      <c r="A416" s="273">
        <v>78642</v>
      </c>
      <c r="B416" s="274" t="s">
        <v>1457</v>
      </c>
      <c r="C416" s="146" t="s">
        <v>653</v>
      </c>
      <c r="D416" s="275">
        <v>2.64</v>
      </c>
      <c r="E416" s="274"/>
      <c r="F416" s="274"/>
      <c r="G416" s="274" t="s">
        <v>889</v>
      </c>
      <c r="H416" s="276">
        <v>128</v>
      </c>
      <c r="I416" s="24">
        <v>103003</v>
      </c>
      <c r="J416" s="277">
        <v>2.64</v>
      </c>
      <c r="K416" s="276">
        <v>3064</v>
      </c>
      <c r="L416" s="278">
        <v>0.34454912516823688</v>
      </c>
      <c r="M416" s="279">
        <v>3730</v>
      </c>
      <c r="N416" s="277">
        <v>9847.2000000000007</v>
      </c>
      <c r="O416" s="280" t="s">
        <v>888</v>
      </c>
      <c r="P416" s="279">
        <v>0</v>
      </c>
      <c r="Q416" s="281">
        <v>0</v>
      </c>
      <c r="R416" s="282" t="s">
        <v>889</v>
      </c>
      <c r="S416" s="274" t="s">
        <v>1456</v>
      </c>
      <c r="T416" s="44">
        <v>1</v>
      </c>
      <c r="U416" s="283">
        <v>45</v>
      </c>
      <c r="V416" s="284">
        <v>30</v>
      </c>
      <c r="W416" s="285">
        <v>6978</v>
      </c>
      <c r="X416" s="286">
        <v>2023</v>
      </c>
      <c r="Y416" s="287">
        <v>600</v>
      </c>
      <c r="Z416" s="287" t="s">
        <v>889</v>
      </c>
      <c r="AA416" s="286" t="s">
        <v>889</v>
      </c>
      <c r="AB416" s="287">
        <v>0</v>
      </c>
      <c r="AC416" s="287"/>
      <c r="AD416" s="288" t="s">
        <v>889</v>
      </c>
      <c r="AE416" s="289" t="s">
        <v>889</v>
      </c>
      <c r="AF416" s="279">
        <v>1486</v>
      </c>
      <c r="AG416" s="282">
        <v>44463</v>
      </c>
      <c r="AH416" s="282">
        <v>38104</v>
      </c>
      <c r="AI416" s="282">
        <v>44363</v>
      </c>
      <c r="AJ416" s="282" t="s">
        <v>889</v>
      </c>
      <c r="AK416" s="274"/>
    </row>
    <row r="417" spans="1:37" x14ac:dyDescent="0.3">
      <c r="A417" s="273">
        <v>78643</v>
      </c>
      <c r="B417" s="274" t="s">
        <v>1458</v>
      </c>
      <c r="C417" s="146" t="s">
        <v>653</v>
      </c>
      <c r="D417" s="275">
        <v>7.4</v>
      </c>
      <c r="E417" s="274"/>
      <c r="F417" s="274"/>
      <c r="G417" s="274" t="s">
        <v>889</v>
      </c>
      <c r="H417" s="276">
        <v>0</v>
      </c>
      <c r="I417" s="24">
        <v>103003</v>
      </c>
      <c r="J417" s="277">
        <v>7.4</v>
      </c>
      <c r="K417" s="276">
        <v>3444</v>
      </c>
      <c r="L417" s="278">
        <v>0</v>
      </c>
      <c r="M417" s="279">
        <v>3872.04</v>
      </c>
      <c r="N417" s="277">
        <v>28653.096000000001</v>
      </c>
      <c r="O417" s="280" t="s">
        <v>888</v>
      </c>
      <c r="P417" s="279">
        <v>0</v>
      </c>
      <c r="Q417" s="281">
        <v>0</v>
      </c>
      <c r="R417" s="282" t="s">
        <v>889</v>
      </c>
      <c r="S417" s="274" t="s">
        <v>1456</v>
      </c>
      <c r="T417" s="44">
        <v>1</v>
      </c>
      <c r="U417" s="283">
        <v>45</v>
      </c>
      <c r="V417" s="284">
        <v>30</v>
      </c>
      <c r="W417" s="285">
        <v>6978</v>
      </c>
      <c r="X417" s="286">
        <v>2023</v>
      </c>
      <c r="Y417" s="287">
        <v>1200</v>
      </c>
      <c r="Z417" s="287" t="s">
        <v>889</v>
      </c>
      <c r="AA417" s="286" t="s">
        <v>889</v>
      </c>
      <c r="AB417" s="287">
        <v>0</v>
      </c>
      <c r="AC417" s="287"/>
      <c r="AD417" s="288" t="s">
        <v>889</v>
      </c>
      <c r="AE417" s="289" t="s">
        <v>889</v>
      </c>
      <c r="AF417" s="279">
        <v>1690</v>
      </c>
      <c r="AG417" s="282">
        <v>44928</v>
      </c>
      <c r="AH417" s="282">
        <v>38104</v>
      </c>
      <c r="AI417" s="282">
        <v>45044</v>
      </c>
      <c r="AJ417" s="282" t="s">
        <v>889</v>
      </c>
      <c r="AK417" s="274"/>
    </row>
    <row r="418" spans="1:37" x14ac:dyDescent="0.3">
      <c r="A418" s="273">
        <v>78646</v>
      </c>
      <c r="B418" s="274" t="s">
        <v>1459</v>
      </c>
      <c r="C418" s="146" t="s">
        <v>653</v>
      </c>
      <c r="D418" s="275">
        <v>3.37</v>
      </c>
      <c r="E418" s="274"/>
      <c r="F418" s="274"/>
      <c r="G418" s="274" t="s">
        <v>889</v>
      </c>
      <c r="H418" s="276">
        <v>309</v>
      </c>
      <c r="I418" s="24">
        <v>103003</v>
      </c>
      <c r="J418" s="277">
        <v>3.37</v>
      </c>
      <c r="K418" s="276">
        <v>3842</v>
      </c>
      <c r="L418" s="278">
        <v>0.67149097072820918</v>
      </c>
      <c r="M418" s="279">
        <v>4313.04</v>
      </c>
      <c r="N418" s="277">
        <v>14534.944799999999</v>
      </c>
      <c r="O418" s="280" t="s">
        <v>888</v>
      </c>
      <c r="P418" s="279">
        <v>0</v>
      </c>
      <c r="Q418" s="281">
        <v>0</v>
      </c>
      <c r="R418" s="282" t="s">
        <v>889</v>
      </c>
      <c r="S418" s="274" t="s">
        <v>1456</v>
      </c>
      <c r="T418" s="44">
        <v>1</v>
      </c>
      <c r="U418" s="283">
        <v>45</v>
      </c>
      <c r="V418" s="284">
        <v>30</v>
      </c>
      <c r="W418" s="285">
        <v>6978</v>
      </c>
      <c r="X418" s="286">
        <v>2023</v>
      </c>
      <c r="Y418" s="287">
        <v>900</v>
      </c>
      <c r="Z418" s="287" t="s">
        <v>889</v>
      </c>
      <c r="AA418" s="286" t="s">
        <v>889</v>
      </c>
      <c r="AB418" s="287">
        <v>0</v>
      </c>
      <c r="AC418" s="287"/>
      <c r="AD418" s="288" t="s">
        <v>889</v>
      </c>
      <c r="AE418" s="289" t="s">
        <v>889</v>
      </c>
      <c r="AF418" s="279">
        <v>1840</v>
      </c>
      <c r="AG418" s="282">
        <v>44928</v>
      </c>
      <c r="AH418" s="282">
        <v>38104</v>
      </c>
      <c r="AI418" s="282">
        <v>44910</v>
      </c>
      <c r="AJ418" s="282" t="s">
        <v>889</v>
      </c>
      <c r="AK418" s="274"/>
    </row>
    <row r="419" spans="1:37" x14ac:dyDescent="0.3">
      <c r="A419" s="273">
        <v>79687</v>
      </c>
      <c r="B419" s="274" t="s">
        <v>1460</v>
      </c>
      <c r="C419" s="146" t="s">
        <v>263</v>
      </c>
      <c r="D419" s="275">
        <v>0.33</v>
      </c>
      <c r="E419" s="274"/>
      <c r="F419" s="274"/>
      <c r="G419" s="274" t="s">
        <v>889</v>
      </c>
      <c r="H419" s="276">
        <v>11982</v>
      </c>
      <c r="I419" s="24">
        <v>103003</v>
      </c>
      <c r="J419" s="277">
        <v>0.33</v>
      </c>
      <c r="K419" s="276">
        <v>9835</v>
      </c>
      <c r="L419" s="278">
        <v>8.3261528198571302</v>
      </c>
      <c r="M419" s="279">
        <v>5286.96</v>
      </c>
      <c r="N419" s="277">
        <v>1744.6967999999999</v>
      </c>
      <c r="O419" s="280" t="s">
        <v>888</v>
      </c>
      <c r="P419" s="279">
        <v>0</v>
      </c>
      <c r="Q419" s="281">
        <v>0</v>
      </c>
      <c r="R419" s="282" t="s">
        <v>889</v>
      </c>
      <c r="S419" s="274" t="s">
        <v>941</v>
      </c>
      <c r="T419" s="44">
        <v>1</v>
      </c>
      <c r="U419" s="283">
        <v>45</v>
      </c>
      <c r="V419" s="284">
        <v>11</v>
      </c>
      <c r="W419" s="285" t="s">
        <v>889</v>
      </c>
      <c r="X419" s="286" t="s">
        <v>889</v>
      </c>
      <c r="Y419" s="287">
        <v>0</v>
      </c>
      <c r="Z419" s="287" t="s">
        <v>889</v>
      </c>
      <c r="AA419" s="286" t="s">
        <v>889</v>
      </c>
      <c r="AB419" s="287">
        <v>0</v>
      </c>
      <c r="AC419" s="287"/>
      <c r="AD419" s="288" t="s">
        <v>889</v>
      </c>
      <c r="AE419" s="289" t="s">
        <v>889</v>
      </c>
      <c r="AF419" s="279">
        <v>5756</v>
      </c>
      <c r="AG419" s="282">
        <v>45019</v>
      </c>
      <c r="AH419" s="282">
        <v>38138</v>
      </c>
      <c r="AI419" s="282">
        <v>44959</v>
      </c>
      <c r="AJ419" s="282" t="s">
        <v>889</v>
      </c>
      <c r="AK419" s="274"/>
    </row>
    <row r="420" spans="1:37" x14ac:dyDescent="0.3">
      <c r="A420" s="273">
        <v>79688</v>
      </c>
      <c r="B420" s="274" t="s">
        <v>1461</v>
      </c>
      <c r="C420" s="146" t="s">
        <v>263</v>
      </c>
      <c r="D420" s="275">
        <v>0.26</v>
      </c>
      <c r="E420" s="274"/>
      <c r="F420" s="274"/>
      <c r="G420" s="274" t="s">
        <v>889</v>
      </c>
      <c r="H420" s="276">
        <v>17737</v>
      </c>
      <c r="I420" s="24">
        <v>103003</v>
      </c>
      <c r="J420" s="277">
        <v>0.26</v>
      </c>
      <c r="K420" s="276">
        <v>8507</v>
      </c>
      <c r="L420" s="278">
        <v>14.695111847555925</v>
      </c>
      <c r="M420" s="279">
        <v>0</v>
      </c>
      <c r="N420" s="277">
        <v>0</v>
      </c>
      <c r="O420" s="280" t="s">
        <v>888</v>
      </c>
      <c r="P420" s="279">
        <v>0</v>
      </c>
      <c r="Q420" s="281">
        <v>0</v>
      </c>
      <c r="R420" s="282" t="s">
        <v>889</v>
      </c>
      <c r="S420" s="274" t="s">
        <v>941</v>
      </c>
      <c r="T420" s="44">
        <v>1</v>
      </c>
      <c r="U420" s="283">
        <v>45</v>
      </c>
      <c r="V420" s="284">
        <v>11</v>
      </c>
      <c r="W420" s="285" t="s">
        <v>889</v>
      </c>
      <c r="X420" s="286" t="s">
        <v>889</v>
      </c>
      <c r="Y420" s="287">
        <v>0</v>
      </c>
      <c r="Z420" s="287" t="s">
        <v>889</v>
      </c>
      <c r="AA420" s="286" t="s">
        <v>889</v>
      </c>
      <c r="AB420" s="287">
        <v>0</v>
      </c>
      <c r="AC420" s="287"/>
      <c r="AD420" s="288" t="s">
        <v>889</v>
      </c>
      <c r="AE420" s="289" t="s">
        <v>889</v>
      </c>
      <c r="AF420" s="279">
        <v>4828</v>
      </c>
      <c r="AG420" s="282">
        <v>44974</v>
      </c>
      <c r="AH420" s="282">
        <v>38138</v>
      </c>
      <c r="AI420" s="282">
        <v>44959</v>
      </c>
      <c r="AJ420" s="282" t="s">
        <v>889</v>
      </c>
      <c r="AK420" s="274"/>
    </row>
    <row r="421" spans="1:37" x14ac:dyDescent="0.3">
      <c r="A421" s="273">
        <v>80298</v>
      </c>
      <c r="B421" s="274" t="s">
        <v>1462</v>
      </c>
      <c r="C421" s="146" t="s">
        <v>263</v>
      </c>
      <c r="D421" s="275">
        <v>1240</v>
      </c>
      <c r="E421" s="274"/>
      <c r="F421" s="274"/>
      <c r="G421" s="274" t="s">
        <v>889</v>
      </c>
      <c r="H421" s="276">
        <v>35</v>
      </c>
      <c r="I421" s="24">
        <v>103003</v>
      </c>
      <c r="J421" s="277">
        <v>1240</v>
      </c>
      <c r="K421" s="276">
        <v>8</v>
      </c>
      <c r="L421" s="278">
        <v>42.168674698795179</v>
      </c>
      <c r="M421" s="279">
        <v>0</v>
      </c>
      <c r="N421" s="277">
        <v>0</v>
      </c>
      <c r="O421" s="280" t="s">
        <v>888</v>
      </c>
      <c r="P421" s="279">
        <v>0</v>
      </c>
      <c r="Q421" s="281">
        <v>0</v>
      </c>
      <c r="R421" s="282" t="s">
        <v>889</v>
      </c>
      <c r="S421" s="274" t="s">
        <v>1326</v>
      </c>
      <c r="T421" s="44">
        <v>1</v>
      </c>
      <c r="U421" s="283">
        <v>51</v>
      </c>
      <c r="V421" s="284">
        <v>30</v>
      </c>
      <c r="W421" s="285" t="s">
        <v>889</v>
      </c>
      <c r="X421" s="286" t="s">
        <v>889</v>
      </c>
      <c r="Y421" s="287">
        <v>0</v>
      </c>
      <c r="Z421" s="287" t="s">
        <v>889</v>
      </c>
      <c r="AA421" s="286" t="s">
        <v>889</v>
      </c>
      <c r="AB421" s="287">
        <v>0</v>
      </c>
      <c r="AC421" s="287"/>
      <c r="AD421" s="288" t="s">
        <v>889</v>
      </c>
      <c r="AE421" s="289" t="s">
        <v>889</v>
      </c>
      <c r="AF421" s="279">
        <v>4</v>
      </c>
      <c r="AG421" s="282">
        <v>44525</v>
      </c>
      <c r="AH421" s="282">
        <v>38166</v>
      </c>
      <c r="AI421" s="282">
        <v>44508</v>
      </c>
      <c r="AJ421" s="282" t="s">
        <v>889</v>
      </c>
      <c r="AK421" s="274"/>
    </row>
    <row r="422" spans="1:37" x14ac:dyDescent="0.3">
      <c r="A422" s="273">
        <v>80300</v>
      </c>
      <c r="B422" s="274" t="s">
        <v>1463</v>
      </c>
      <c r="C422" s="146" t="s">
        <v>263</v>
      </c>
      <c r="D422" s="275">
        <v>174.66</v>
      </c>
      <c r="E422" s="274"/>
      <c r="F422" s="274"/>
      <c r="G422" s="274" t="s">
        <v>889</v>
      </c>
      <c r="H422" s="276">
        <v>54</v>
      </c>
      <c r="I422" s="24">
        <v>103003</v>
      </c>
      <c r="J422" s="277">
        <v>174.66</v>
      </c>
      <c r="K422" s="276">
        <v>48</v>
      </c>
      <c r="L422" s="278">
        <v>12.949640287769784</v>
      </c>
      <c r="M422" s="279">
        <v>0</v>
      </c>
      <c r="N422" s="277">
        <v>0</v>
      </c>
      <c r="O422" s="280" t="s">
        <v>888</v>
      </c>
      <c r="P422" s="279">
        <v>0</v>
      </c>
      <c r="Q422" s="281">
        <v>0</v>
      </c>
      <c r="R422" s="282" t="s">
        <v>889</v>
      </c>
      <c r="S422" s="274" t="s">
        <v>1464</v>
      </c>
      <c r="T422" s="44">
        <v>1</v>
      </c>
      <c r="U422" s="283">
        <v>74</v>
      </c>
      <c r="V422" s="284">
        <v>10</v>
      </c>
      <c r="W422" s="285" t="s">
        <v>889</v>
      </c>
      <c r="X422" s="286" t="s">
        <v>889</v>
      </c>
      <c r="Y422" s="287">
        <v>0</v>
      </c>
      <c r="Z422" s="287" t="s">
        <v>889</v>
      </c>
      <c r="AA422" s="286" t="s">
        <v>889</v>
      </c>
      <c r="AB422" s="287">
        <v>0</v>
      </c>
      <c r="AC422" s="287"/>
      <c r="AD422" s="288" t="s">
        <v>889</v>
      </c>
      <c r="AE422" s="289" t="s">
        <v>889</v>
      </c>
      <c r="AF422" s="279">
        <v>16</v>
      </c>
      <c r="AG422" s="282">
        <v>44182</v>
      </c>
      <c r="AH422" s="282">
        <v>38166</v>
      </c>
      <c r="AI422" s="282">
        <v>45210</v>
      </c>
      <c r="AJ422" s="282" t="s">
        <v>889</v>
      </c>
      <c r="AK422" s="274"/>
    </row>
    <row r="423" spans="1:37" x14ac:dyDescent="0.3">
      <c r="A423" s="273">
        <v>80385</v>
      </c>
      <c r="B423" s="274" t="s">
        <v>1465</v>
      </c>
      <c r="C423" s="146" t="s">
        <v>847</v>
      </c>
      <c r="D423" s="275">
        <v>29.12</v>
      </c>
      <c r="E423" s="274"/>
      <c r="F423" s="274"/>
      <c r="G423" s="274" t="s">
        <v>889</v>
      </c>
      <c r="H423" s="276">
        <v>20</v>
      </c>
      <c r="I423" s="24">
        <v>103003</v>
      </c>
      <c r="J423" s="277">
        <v>29.12</v>
      </c>
      <c r="K423" s="276">
        <v>60</v>
      </c>
      <c r="L423" s="278">
        <v>4</v>
      </c>
      <c r="M423" s="279">
        <v>40</v>
      </c>
      <c r="N423" s="277">
        <v>1164.8</v>
      </c>
      <c r="O423" s="280" t="s">
        <v>888</v>
      </c>
      <c r="P423" s="279">
        <v>0</v>
      </c>
      <c r="Q423" s="281">
        <v>0</v>
      </c>
      <c r="R423" s="282" t="s">
        <v>889</v>
      </c>
      <c r="S423" s="274" t="s">
        <v>1011</v>
      </c>
      <c r="T423" s="44">
        <v>1</v>
      </c>
      <c r="U423" s="283">
        <v>61</v>
      </c>
      <c r="V423" s="284">
        <v>15</v>
      </c>
      <c r="W423" s="285" t="s">
        <v>889</v>
      </c>
      <c r="X423" s="286" t="s">
        <v>889</v>
      </c>
      <c r="Y423" s="287">
        <v>0</v>
      </c>
      <c r="Z423" s="287" t="s">
        <v>889</v>
      </c>
      <c r="AA423" s="286" t="s">
        <v>889</v>
      </c>
      <c r="AB423" s="287">
        <v>0</v>
      </c>
      <c r="AC423" s="287"/>
      <c r="AD423" s="288" t="s">
        <v>889</v>
      </c>
      <c r="AE423" s="289" t="s">
        <v>889</v>
      </c>
      <c r="AF423" s="279">
        <v>20</v>
      </c>
      <c r="AG423" s="282">
        <v>44798</v>
      </c>
      <c r="AH423" s="282">
        <v>38169</v>
      </c>
      <c r="AI423" s="282">
        <v>44776</v>
      </c>
      <c r="AJ423" s="282" t="s">
        <v>889</v>
      </c>
      <c r="AK423" s="274"/>
    </row>
    <row r="424" spans="1:37" x14ac:dyDescent="0.3">
      <c r="A424" s="273">
        <v>80387</v>
      </c>
      <c r="B424" s="274" t="s">
        <v>1466</v>
      </c>
      <c r="C424" s="146" t="s">
        <v>263</v>
      </c>
      <c r="D424" s="275">
        <v>5.51</v>
      </c>
      <c r="E424" s="274"/>
      <c r="F424" s="274"/>
      <c r="G424" s="274" t="s">
        <v>889</v>
      </c>
      <c r="H424" s="276">
        <v>130</v>
      </c>
      <c r="I424" s="24">
        <v>103003</v>
      </c>
      <c r="J424" s="277">
        <v>5.51</v>
      </c>
      <c r="K424" s="276">
        <v>710</v>
      </c>
      <c r="L424" s="278">
        <v>2.1079941624777039</v>
      </c>
      <c r="M424" s="279">
        <v>610.04</v>
      </c>
      <c r="N424" s="277">
        <v>3361.3204000000001</v>
      </c>
      <c r="O424" s="280" t="s">
        <v>888</v>
      </c>
      <c r="P424" s="279">
        <v>0</v>
      </c>
      <c r="Q424" s="281">
        <v>0</v>
      </c>
      <c r="R424" s="282" t="s">
        <v>889</v>
      </c>
      <c r="S424" s="274" t="s">
        <v>1276</v>
      </c>
      <c r="T424" s="44">
        <v>1</v>
      </c>
      <c r="U424" s="283">
        <v>83</v>
      </c>
      <c r="V424" s="284">
        <v>4</v>
      </c>
      <c r="W424" s="285" t="s">
        <v>889</v>
      </c>
      <c r="X424" s="286" t="s">
        <v>889</v>
      </c>
      <c r="Y424" s="287">
        <v>0</v>
      </c>
      <c r="Z424" s="287" t="s">
        <v>889</v>
      </c>
      <c r="AA424" s="286" t="s">
        <v>889</v>
      </c>
      <c r="AB424" s="287">
        <v>0</v>
      </c>
      <c r="AC424" s="287"/>
      <c r="AD424" s="288" t="s">
        <v>889</v>
      </c>
      <c r="AE424" s="289" t="s">
        <v>889</v>
      </c>
      <c r="AF424" s="279">
        <v>246</v>
      </c>
      <c r="AG424" s="282">
        <v>43882</v>
      </c>
      <c r="AH424" s="282">
        <v>38169</v>
      </c>
      <c r="AI424" s="282">
        <v>43826</v>
      </c>
      <c r="AJ424" s="282" t="s">
        <v>889</v>
      </c>
      <c r="AK424" s="274"/>
    </row>
    <row r="425" spans="1:37" x14ac:dyDescent="0.3">
      <c r="A425" s="273">
        <v>80390</v>
      </c>
      <c r="B425" s="274" t="s">
        <v>1467</v>
      </c>
      <c r="C425" s="146" t="s">
        <v>263</v>
      </c>
      <c r="D425" s="275">
        <v>16.5</v>
      </c>
      <c r="E425" s="274"/>
      <c r="F425" s="274"/>
      <c r="G425" s="274" t="s">
        <v>889</v>
      </c>
      <c r="H425" s="276">
        <v>75</v>
      </c>
      <c r="I425" s="24">
        <v>103003</v>
      </c>
      <c r="J425" s="277">
        <v>16.5</v>
      </c>
      <c r="K425" s="276">
        <v>90</v>
      </c>
      <c r="L425" s="278">
        <v>10</v>
      </c>
      <c r="M425" s="279">
        <v>15</v>
      </c>
      <c r="N425" s="277">
        <v>247.5</v>
      </c>
      <c r="O425" s="280" t="s">
        <v>888</v>
      </c>
      <c r="P425" s="279">
        <v>0</v>
      </c>
      <c r="Q425" s="281">
        <v>0</v>
      </c>
      <c r="R425" s="282" t="s">
        <v>889</v>
      </c>
      <c r="S425" s="274" t="s">
        <v>1011</v>
      </c>
      <c r="T425" s="44">
        <v>1</v>
      </c>
      <c r="U425" s="283">
        <v>61</v>
      </c>
      <c r="V425" s="284">
        <v>15</v>
      </c>
      <c r="W425" s="285" t="s">
        <v>889</v>
      </c>
      <c r="X425" s="286" t="s">
        <v>889</v>
      </c>
      <c r="Y425" s="287">
        <v>0</v>
      </c>
      <c r="Z425" s="287" t="s">
        <v>889</v>
      </c>
      <c r="AA425" s="286" t="s">
        <v>889</v>
      </c>
      <c r="AB425" s="287">
        <v>0</v>
      </c>
      <c r="AC425" s="287"/>
      <c r="AD425" s="288" t="s">
        <v>889</v>
      </c>
      <c r="AE425" s="289" t="s">
        <v>889</v>
      </c>
      <c r="AF425" s="279">
        <v>30</v>
      </c>
      <c r="AG425" s="282">
        <v>44830</v>
      </c>
      <c r="AH425" s="282">
        <v>38169</v>
      </c>
      <c r="AI425" s="282">
        <v>44748</v>
      </c>
      <c r="AJ425" s="282" t="s">
        <v>889</v>
      </c>
      <c r="AK425" s="274"/>
    </row>
    <row r="426" spans="1:37" x14ac:dyDescent="0.3">
      <c r="A426" s="273">
        <v>80872</v>
      </c>
      <c r="B426" s="274" t="s">
        <v>1468</v>
      </c>
      <c r="C426" s="146" t="s">
        <v>653</v>
      </c>
      <c r="D426" s="275">
        <v>7.4</v>
      </c>
      <c r="E426" s="274"/>
      <c r="F426" s="274"/>
      <c r="G426" s="274" t="s">
        <v>889</v>
      </c>
      <c r="H426" s="276">
        <v>0</v>
      </c>
      <c r="I426" s="24">
        <v>103003</v>
      </c>
      <c r="J426" s="277">
        <v>7.4</v>
      </c>
      <c r="K426" s="276">
        <v>3239</v>
      </c>
      <c r="L426" s="278">
        <v>0</v>
      </c>
      <c r="M426" s="279">
        <v>1605.04</v>
      </c>
      <c r="N426" s="277">
        <v>11877.296</v>
      </c>
      <c r="O426" s="280" t="s">
        <v>888</v>
      </c>
      <c r="P426" s="279">
        <v>0</v>
      </c>
      <c r="Q426" s="281">
        <v>0</v>
      </c>
      <c r="R426" s="282" t="s">
        <v>889</v>
      </c>
      <c r="S426" s="274" t="s">
        <v>1456</v>
      </c>
      <c r="T426" s="44">
        <v>1</v>
      </c>
      <c r="U426" s="283">
        <v>45</v>
      </c>
      <c r="V426" s="284">
        <v>30</v>
      </c>
      <c r="W426" s="285">
        <v>6978</v>
      </c>
      <c r="X426" s="286">
        <v>2023</v>
      </c>
      <c r="Y426" s="287">
        <v>2300</v>
      </c>
      <c r="Z426" s="287" t="s">
        <v>889</v>
      </c>
      <c r="AA426" s="286" t="s">
        <v>889</v>
      </c>
      <c r="AB426" s="287">
        <v>0</v>
      </c>
      <c r="AC426" s="287"/>
      <c r="AD426" s="288" t="s">
        <v>889</v>
      </c>
      <c r="AE426" s="289" t="s">
        <v>889</v>
      </c>
      <c r="AF426" s="279">
        <v>1302</v>
      </c>
      <c r="AG426" s="282">
        <v>44463</v>
      </c>
      <c r="AH426" s="282">
        <v>38196</v>
      </c>
      <c r="AI426" s="282">
        <v>45044</v>
      </c>
      <c r="AJ426" s="282" t="s">
        <v>889</v>
      </c>
      <c r="AK426" s="274"/>
    </row>
    <row r="427" spans="1:37" x14ac:dyDescent="0.3">
      <c r="A427" s="273">
        <v>80874</v>
      </c>
      <c r="B427" s="274" t="s">
        <v>1469</v>
      </c>
      <c r="C427" s="146" t="s">
        <v>653</v>
      </c>
      <c r="D427" s="275">
        <v>3.37</v>
      </c>
      <c r="E427" s="274"/>
      <c r="F427" s="274"/>
      <c r="G427" s="274" t="s">
        <v>889</v>
      </c>
      <c r="H427" s="276">
        <v>360</v>
      </c>
      <c r="I427" s="24">
        <v>103003</v>
      </c>
      <c r="J427" s="277">
        <v>3.37</v>
      </c>
      <c r="K427" s="276">
        <v>3600</v>
      </c>
      <c r="L427" s="278">
        <v>0.80058709720461674</v>
      </c>
      <c r="M427" s="279">
        <v>4336.04</v>
      </c>
      <c r="N427" s="277">
        <v>14612.4548</v>
      </c>
      <c r="O427" s="280" t="s">
        <v>888</v>
      </c>
      <c r="P427" s="279">
        <v>0</v>
      </c>
      <c r="Q427" s="281">
        <v>0</v>
      </c>
      <c r="R427" s="282" t="s">
        <v>889</v>
      </c>
      <c r="S427" s="274" t="s">
        <v>1456</v>
      </c>
      <c r="T427" s="44">
        <v>1</v>
      </c>
      <c r="U427" s="283">
        <v>45</v>
      </c>
      <c r="V427" s="284">
        <v>30</v>
      </c>
      <c r="W427" s="285">
        <v>6978</v>
      </c>
      <c r="X427" s="286">
        <v>2023</v>
      </c>
      <c r="Y427" s="287">
        <v>700</v>
      </c>
      <c r="Z427" s="287" t="s">
        <v>889</v>
      </c>
      <c r="AA427" s="286" t="s">
        <v>889</v>
      </c>
      <c r="AB427" s="287">
        <v>0</v>
      </c>
      <c r="AC427" s="287"/>
      <c r="AD427" s="288" t="s">
        <v>889</v>
      </c>
      <c r="AE427" s="289" t="s">
        <v>889</v>
      </c>
      <c r="AF427" s="279">
        <v>1798</v>
      </c>
      <c r="AG427" s="282">
        <v>44928</v>
      </c>
      <c r="AH427" s="282">
        <v>38196</v>
      </c>
      <c r="AI427" s="282">
        <v>44910</v>
      </c>
      <c r="AJ427" s="282" t="s">
        <v>889</v>
      </c>
      <c r="AK427" s="274"/>
    </row>
    <row r="428" spans="1:37" x14ac:dyDescent="0.3">
      <c r="A428" s="273">
        <v>81131</v>
      </c>
      <c r="B428" s="274" t="s">
        <v>1470</v>
      </c>
      <c r="C428" s="146" t="s">
        <v>267</v>
      </c>
      <c r="D428" s="275">
        <v>0.52</v>
      </c>
      <c r="E428" s="274"/>
      <c r="F428" s="274"/>
      <c r="G428" s="274" t="s">
        <v>889</v>
      </c>
      <c r="H428" s="276">
        <v>0</v>
      </c>
      <c r="I428" s="24">
        <v>103003</v>
      </c>
      <c r="J428" s="277">
        <v>0.52</v>
      </c>
      <c r="K428" s="276">
        <v>210</v>
      </c>
      <c r="L428" s="278">
        <v>0</v>
      </c>
      <c r="M428" s="279">
        <v>163.04</v>
      </c>
      <c r="N428" s="277">
        <v>84.780799999999999</v>
      </c>
      <c r="O428" s="280" t="s">
        <v>888</v>
      </c>
      <c r="P428" s="279">
        <v>0</v>
      </c>
      <c r="Q428" s="281">
        <v>0</v>
      </c>
      <c r="R428" s="282" t="s">
        <v>889</v>
      </c>
      <c r="S428" s="274" t="s">
        <v>898</v>
      </c>
      <c r="T428" s="44">
        <v>1</v>
      </c>
      <c r="U428" s="283">
        <v>72</v>
      </c>
      <c r="V428" s="284">
        <v>6</v>
      </c>
      <c r="W428" s="285">
        <v>9010</v>
      </c>
      <c r="X428" s="286">
        <v>2023</v>
      </c>
      <c r="Y428" s="287">
        <v>70</v>
      </c>
      <c r="Z428" s="287" t="s">
        <v>889</v>
      </c>
      <c r="AA428" s="286" t="s">
        <v>889</v>
      </c>
      <c r="AB428" s="287">
        <v>0</v>
      </c>
      <c r="AC428" s="287"/>
      <c r="AD428" s="288" t="s">
        <v>889</v>
      </c>
      <c r="AE428" s="289" t="s">
        <v>889</v>
      </c>
      <c r="AF428" s="279">
        <v>78</v>
      </c>
      <c r="AG428" s="282">
        <v>43682</v>
      </c>
      <c r="AH428" s="282">
        <v>38205</v>
      </c>
      <c r="AI428" s="282">
        <v>43851</v>
      </c>
      <c r="AJ428" s="282" t="s">
        <v>889</v>
      </c>
      <c r="AK428" s="274"/>
    </row>
    <row r="429" spans="1:37" x14ac:dyDescent="0.3">
      <c r="A429" s="273">
        <v>81152</v>
      </c>
      <c r="B429" s="274" t="s">
        <v>1471</v>
      </c>
      <c r="C429" s="146" t="s">
        <v>267</v>
      </c>
      <c r="D429" s="275">
        <v>132.19999999999999</v>
      </c>
      <c r="E429" s="274"/>
      <c r="F429" s="274"/>
      <c r="G429" s="274" t="s">
        <v>889</v>
      </c>
      <c r="H429" s="276">
        <v>609</v>
      </c>
      <c r="I429" s="24">
        <v>103003</v>
      </c>
      <c r="J429" s="277">
        <v>132.19999999999999</v>
      </c>
      <c r="K429" s="276">
        <v>13</v>
      </c>
      <c r="L429" s="278">
        <v>428.87323943661966</v>
      </c>
      <c r="M429" s="279">
        <v>0</v>
      </c>
      <c r="N429" s="277">
        <v>0</v>
      </c>
      <c r="O429" s="280" t="s">
        <v>888</v>
      </c>
      <c r="P429" s="279">
        <v>0</v>
      </c>
      <c r="Q429" s="281">
        <v>0</v>
      </c>
      <c r="R429" s="282" t="s">
        <v>889</v>
      </c>
      <c r="S429" s="274" t="s">
        <v>1472</v>
      </c>
      <c r="T429" s="44">
        <v>1</v>
      </c>
      <c r="U429" s="283">
        <v>73</v>
      </c>
      <c r="V429" s="284">
        <v>1</v>
      </c>
      <c r="W429" s="285" t="s">
        <v>889</v>
      </c>
      <c r="X429" s="286" t="s">
        <v>889</v>
      </c>
      <c r="Y429" s="287">
        <v>0</v>
      </c>
      <c r="Z429" s="287" t="s">
        <v>889</v>
      </c>
      <c r="AA429" s="286" t="s">
        <v>889</v>
      </c>
      <c r="AB429" s="287">
        <v>0</v>
      </c>
      <c r="AC429" s="287"/>
      <c r="AD429" s="288" t="s">
        <v>889</v>
      </c>
      <c r="AE429" s="289" t="s">
        <v>889</v>
      </c>
      <c r="AF429" s="279">
        <v>6</v>
      </c>
      <c r="AG429" s="282">
        <v>44426</v>
      </c>
      <c r="AH429" s="282">
        <v>38208</v>
      </c>
      <c r="AI429" s="282">
        <v>44405</v>
      </c>
      <c r="AJ429" s="282" t="s">
        <v>889</v>
      </c>
      <c r="AK429" s="274"/>
    </row>
    <row r="430" spans="1:37" x14ac:dyDescent="0.3">
      <c r="A430" s="273">
        <v>81370</v>
      </c>
      <c r="B430" s="274" t="s">
        <v>1473</v>
      </c>
      <c r="C430" s="146" t="s">
        <v>335</v>
      </c>
      <c r="D430" s="275">
        <v>1.61</v>
      </c>
      <c r="E430" s="274"/>
      <c r="F430" s="274"/>
      <c r="G430" s="274" t="s">
        <v>889</v>
      </c>
      <c r="H430" s="276">
        <v>0</v>
      </c>
      <c r="I430" s="24">
        <v>103003</v>
      </c>
      <c r="J430" s="277">
        <v>1.61</v>
      </c>
      <c r="K430" s="276">
        <v>2865</v>
      </c>
      <c r="L430" s="278">
        <v>0</v>
      </c>
      <c r="M430" s="279">
        <v>2004.04</v>
      </c>
      <c r="N430" s="277">
        <v>3226.5043999999998</v>
      </c>
      <c r="O430" s="280" t="s">
        <v>888</v>
      </c>
      <c r="P430" s="279">
        <v>0</v>
      </c>
      <c r="Q430" s="281">
        <v>0</v>
      </c>
      <c r="R430" s="282" t="s">
        <v>889</v>
      </c>
      <c r="S430" s="274" t="s">
        <v>1474</v>
      </c>
      <c r="T430" s="44">
        <v>1</v>
      </c>
      <c r="U430" s="283">
        <v>71</v>
      </c>
      <c r="V430" s="284">
        <v>33</v>
      </c>
      <c r="W430" s="285">
        <v>6219</v>
      </c>
      <c r="X430" s="286">
        <v>2023</v>
      </c>
      <c r="Y430" s="287">
        <v>1700</v>
      </c>
      <c r="Z430" s="287" t="s">
        <v>889</v>
      </c>
      <c r="AA430" s="286" t="s">
        <v>889</v>
      </c>
      <c r="AB430" s="287">
        <v>0</v>
      </c>
      <c r="AC430" s="287"/>
      <c r="AD430" s="288" t="s">
        <v>889</v>
      </c>
      <c r="AE430" s="289" t="s">
        <v>889</v>
      </c>
      <c r="AF430" s="279">
        <v>1234</v>
      </c>
      <c r="AG430" s="282">
        <v>45027</v>
      </c>
      <c r="AH430" s="282">
        <v>38217</v>
      </c>
      <c r="AI430" s="282">
        <v>44998</v>
      </c>
      <c r="AJ430" s="282" t="s">
        <v>889</v>
      </c>
      <c r="AK430" s="274"/>
    </row>
    <row r="431" spans="1:37" x14ac:dyDescent="0.3">
      <c r="A431" s="273">
        <v>81371</v>
      </c>
      <c r="B431" s="274" t="s">
        <v>1475</v>
      </c>
      <c r="C431" s="146" t="s">
        <v>335</v>
      </c>
      <c r="D431" s="275">
        <v>1.61</v>
      </c>
      <c r="E431" s="274"/>
      <c r="F431" s="274"/>
      <c r="G431" s="274" t="s">
        <v>889</v>
      </c>
      <c r="H431" s="276">
        <v>0</v>
      </c>
      <c r="I431" s="24">
        <v>103003</v>
      </c>
      <c r="J431" s="277">
        <v>1.61</v>
      </c>
      <c r="K431" s="276">
        <v>2819</v>
      </c>
      <c r="L431" s="278">
        <v>0</v>
      </c>
      <c r="M431" s="279">
        <v>1863.04</v>
      </c>
      <c r="N431" s="277">
        <v>2999.4944</v>
      </c>
      <c r="O431" s="280" t="s">
        <v>888</v>
      </c>
      <c r="P431" s="279">
        <v>0</v>
      </c>
      <c r="Q431" s="281">
        <v>0</v>
      </c>
      <c r="R431" s="282" t="s">
        <v>889</v>
      </c>
      <c r="S431" s="274" t="s">
        <v>1474</v>
      </c>
      <c r="T431" s="44">
        <v>1</v>
      </c>
      <c r="U431" s="283">
        <v>71</v>
      </c>
      <c r="V431" s="284">
        <v>33</v>
      </c>
      <c r="W431" s="285">
        <v>6219</v>
      </c>
      <c r="X431" s="286">
        <v>2023</v>
      </c>
      <c r="Y431" s="287">
        <v>1700</v>
      </c>
      <c r="Z431" s="287" t="s">
        <v>889</v>
      </c>
      <c r="AA431" s="286" t="s">
        <v>889</v>
      </c>
      <c r="AB431" s="287">
        <v>0</v>
      </c>
      <c r="AC431" s="287"/>
      <c r="AD431" s="288" t="s">
        <v>889</v>
      </c>
      <c r="AE431" s="289" t="s">
        <v>889</v>
      </c>
      <c r="AF431" s="279">
        <v>1188</v>
      </c>
      <c r="AG431" s="282">
        <v>45027</v>
      </c>
      <c r="AH431" s="282">
        <v>38217</v>
      </c>
      <c r="AI431" s="282">
        <v>44998</v>
      </c>
      <c r="AJ431" s="282" t="s">
        <v>889</v>
      </c>
      <c r="AK431" s="274"/>
    </row>
    <row r="432" spans="1:37" x14ac:dyDescent="0.3">
      <c r="A432" s="273">
        <v>81455</v>
      </c>
      <c r="B432" s="274" t="s">
        <v>1476</v>
      </c>
      <c r="C432" s="146" t="s">
        <v>263</v>
      </c>
      <c r="D432" s="275">
        <v>7.22</v>
      </c>
      <c r="E432" s="274"/>
      <c r="F432" s="274"/>
      <c r="G432" s="274" t="s">
        <v>889</v>
      </c>
      <c r="H432" s="276">
        <v>81</v>
      </c>
      <c r="I432" s="24">
        <v>103003</v>
      </c>
      <c r="J432" s="277">
        <v>7.22</v>
      </c>
      <c r="K432" s="276">
        <v>582</v>
      </c>
      <c r="L432" s="278">
        <v>1.6701030927835052</v>
      </c>
      <c r="M432" s="279">
        <v>501</v>
      </c>
      <c r="N432" s="277">
        <v>3617.22</v>
      </c>
      <c r="O432" s="280" t="s">
        <v>888</v>
      </c>
      <c r="P432" s="279">
        <v>0</v>
      </c>
      <c r="Q432" s="281">
        <v>0</v>
      </c>
      <c r="R432" s="282" t="s">
        <v>889</v>
      </c>
      <c r="S432" s="274" t="s">
        <v>1276</v>
      </c>
      <c r="T432" s="44">
        <v>1</v>
      </c>
      <c r="U432" s="283">
        <v>83</v>
      </c>
      <c r="V432" s="284">
        <v>4</v>
      </c>
      <c r="W432" s="285" t="s">
        <v>889</v>
      </c>
      <c r="X432" s="286" t="s">
        <v>889</v>
      </c>
      <c r="Y432" s="287">
        <v>0</v>
      </c>
      <c r="Z432" s="287" t="s">
        <v>889</v>
      </c>
      <c r="AA432" s="286" t="s">
        <v>889</v>
      </c>
      <c r="AB432" s="287">
        <v>0</v>
      </c>
      <c r="AC432" s="287"/>
      <c r="AD432" s="288" t="s">
        <v>889</v>
      </c>
      <c r="AE432" s="289" t="s">
        <v>889</v>
      </c>
      <c r="AF432" s="279">
        <v>194</v>
      </c>
      <c r="AG432" s="282">
        <v>45201</v>
      </c>
      <c r="AH432" s="282">
        <v>38223</v>
      </c>
      <c r="AI432" s="282">
        <v>45189</v>
      </c>
      <c r="AJ432" s="282" t="s">
        <v>889</v>
      </c>
      <c r="AK432" s="274"/>
    </row>
    <row r="433" spans="1:37" x14ac:dyDescent="0.3">
      <c r="A433" s="273">
        <v>81493</v>
      </c>
      <c r="B433" s="274" t="s">
        <v>1477</v>
      </c>
      <c r="C433" s="146" t="s">
        <v>287</v>
      </c>
      <c r="D433" s="275">
        <v>14.8</v>
      </c>
      <c r="E433" s="274"/>
      <c r="F433" s="274"/>
      <c r="G433" s="274" t="s">
        <v>889</v>
      </c>
      <c r="H433" s="276">
        <v>0</v>
      </c>
      <c r="I433" s="24">
        <v>103003</v>
      </c>
      <c r="J433" s="277">
        <v>14.8</v>
      </c>
      <c r="K433" s="276">
        <v>96</v>
      </c>
      <c r="L433" s="278">
        <v>0</v>
      </c>
      <c r="M433" s="279">
        <v>114.96</v>
      </c>
      <c r="N433" s="277">
        <v>1701.4079999999999</v>
      </c>
      <c r="O433" s="280" t="s">
        <v>888</v>
      </c>
      <c r="P433" s="279">
        <v>0</v>
      </c>
      <c r="Q433" s="281">
        <v>0</v>
      </c>
      <c r="R433" s="282" t="s">
        <v>889</v>
      </c>
      <c r="S433" s="274" t="s">
        <v>1478</v>
      </c>
      <c r="T433" s="44">
        <v>1</v>
      </c>
      <c r="U433" s="283">
        <v>76</v>
      </c>
      <c r="V433" s="284">
        <v>6</v>
      </c>
      <c r="W433" s="285" t="s">
        <v>889</v>
      </c>
      <c r="X433" s="286" t="s">
        <v>889</v>
      </c>
      <c r="Y433" s="287">
        <v>0</v>
      </c>
      <c r="Z433" s="287" t="s">
        <v>889</v>
      </c>
      <c r="AA433" s="286" t="s">
        <v>889</v>
      </c>
      <c r="AB433" s="287">
        <v>0</v>
      </c>
      <c r="AC433" s="287"/>
      <c r="AD433" s="288" t="s">
        <v>889</v>
      </c>
      <c r="AE433" s="289" t="s">
        <v>889</v>
      </c>
      <c r="AF433" s="279">
        <v>38</v>
      </c>
      <c r="AG433" s="282">
        <v>44742</v>
      </c>
      <c r="AH433" s="282">
        <v>38225</v>
      </c>
      <c r="AI433" s="282">
        <v>44713</v>
      </c>
      <c r="AJ433" s="282" t="s">
        <v>889</v>
      </c>
      <c r="AK433" s="274"/>
    </row>
    <row r="434" spans="1:37" x14ac:dyDescent="0.3">
      <c r="A434" s="273">
        <v>81514</v>
      </c>
      <c r="B434" s="274" t="s">
        <v>1479</v>
      </c>
      <c r="C434" s="146" t="s">
        <v>263</v>
      </c>
      <c r="D434" s="275">
        <v>0.02</v>
      </c>
      <c r="E434" s="274"/>
      <c r="F434" s="274"/>
      <c r="G434" s="274" t="s">
        <v>889</v>
      </c>
      <c r="H434" s="276">
        <v>131012</v>
      </c>
      <c r="I434" s="24">
        <v>103003</v>
      </c>
      <c r="J434" s="277">
        <v>0.02</v>
      </c>
      <c r="K434" s="276">
        <v>34753</v>
      </c>
      <c r="L434" s="278">
        <v>38.314100052055608</v>
      </c>
      <c r="M434" s="279">
        <v>0</v>
      </c>
      <c r="N434" s="277">
        <v>0</v>
      </c>
      <c r="O434" s="280" t="s">
        <v>888</v>
      </c>
      <c r="P434" s="279">
        <v>0</v>
      </c>
      <c r="Q434" s="281">
        <v>0</v>
      </c>
      <c r="R434" s="282" t="s">
        <v>889</v>
      </c>
      <c r="S434" s="274" t="s">
        <v>1480</v>
      </c>
      <c r="T434" s="44">
        <v>1</v>
      </c>
      <c r="U434" s="283">
        <v>67</v>
      </c>
      <c r="V434" s="284">
        <v>15</v>
      </c>
      <c r="W434" s="285" t="s">
        <v>889</v>
      </c>
      <c r="X434" s="286" t="s">
        <v>889</v>
      </c>
      <c r="Y434" s="287">
        <v>0</v>
      </c>
      <c r="Z434" s="287" t="s">
        <v>889</v>
      </c>
      <c r="AA434" s="286" t="s">
        <v>889</v>
      </c>
      <c r="AB434" s="287">
        <v>0</v>
      </c>
      <c r="AC434" s="287"/>
      <c r="AD434" s="288" t="s">
        <v>889</v>
      </c>
      <c r="AE434" s="289" t="s">
        <v>889</v>
      </c>
      <c r="AF434" s="279">
        <v>13678</v>
      </c>
      <c r="AG434" s="282">
        <v>43864</v>
      </c>
      <c r="AH434" s="282">
        <v>38226</v>
      </c>
      <c r="AI434" s="282">
        <v>43826</v>
      </c>
      <c r="AJ434" s="282" t="s">
        <v>889</v>
      </c>
      <c r="AK434" s="274"/>
    </row>
    <row r="435" spans="1:37" x14ac:dyDescent="0.3">
      <c r="A435" s="273">
        <v>81563</v>
      </c>
      <c r="B435" s="274" t="s">
        <v>1481</v>
      </c>
      <c r="C435" s="146" t="s">
        <v>473</v>
      </c>
      <c r="D435" s="275">
        <v>24.87</v>
      </c>
      <c r="E435" s="274"/>
      <c r="F435" s="274"/>
      <c r="G435" s="274" t="s">
        <v>889</v>
      </c>
      <c r="H435" s="276">
        <v>47</v>
      </c>
      <c r="I435" s="24">
        <v>103003</v>
      </c>
      <c r="J435" s="277">
        <v>24.87</v>
      </c>
      <c r="K435" s="276"/>
      <c r="L435" s="278">
        <v>0</v>
      </c>
      <c r="M435" s="279">
        <v>0</v>
      </c>
      <c r="N435" s="277">
        <v>0</v>
      </c>
      <c r="O435" s="280" t="s">
        <v>888</v>
      </c>
      <c r="P435" s="279">
        <v>0</v>
      </c>
      <c r="Q435" s="281">
        <v>0</v>
      </c>
      <c r="R435" s="282" t="s">
        <v>889</v>
      </c>
      <c r="S435" s="274" t="s">
        <v>1011</v>
      </c>
      <c r="T435" s="44">
        <v>1</v>
      </c>
      <c r="U435" s="283">
        <v>61</v>
      </c>
      <c r="V435" s="284">
        <v>15</v>
      </c>
      <c r="W435" s="285" t="s">
        <v>889</v>
      </c>
      <c r="X435" s="286" t="s">
        <v>889</v>
      </c>
      <c r="Y435" s="287">
        <v>0</v>
      </c>
      <c r="Z435" s="287" t="s">
        <v>889</v>
      </c>
      <c r="AA435" s="286" t="s">
        <v>889</v>
      </c>
      <c r="AB435" s="287">
        <v>0</v>
      </c>
      <c r="AC435" s="287"/>
      <c r="AD435" s="288" t="s">
        <v>889</v>
      </c>
      <c r="AE435" s="289" t="s">
        <v>889</v>
      </c>
      <c r="AF435" s="279">
        <v>0</v>
      </c>
      <c r="AG435" s="282">
        <v>44281</v>
      </c>
      <c r="AH435" s="282">
        <v>38231</v>
      </c>
      <c r="AI435" s="282">
        <v>44211</v>
      </c>
      <c r="AJ435" s="282" t="s">
        <v>889</v>
      </c>
      <c r="AK435" s="274"/>
    </row>
    <row r="436" spans="1:37" x14ac:dyDescent="0.3">
      <c r="A436" s="273">
        <v>81564</v>
      </c>
      <c r="B436" s="274" t="s">
        <v>1482</v>
      </c>
      <c r="C436" s="146" t="s">
        <v>473</v>
      </c>
      <c r="D436" s="275">
        <v>4.38</v>
      </c>
      <c r="E436" s="274"/>
      <c r="F436" s="274"/>
      <c r="G436" s="274" t="s">
        <v>889</v>
      </c>
      <c r="H436" s="276">
        <v>11</v>
      </c>
      <c r="I436" s="24">
        <v>103003</v>
      </c>
      <c r="J436" s="277">
        <v>4.38</v>
      </c>
      <c r="K436" s="276"/>
      <c r="L436" s="278">
        <v>0</v>
      </c>
      <c r="M436" s="279">
        <v>0</v>
      </c>
      <c r="N436" s="277">
        <v>0</v>
      </c>
      <c r="O436" s="280" t="s">
        <v>888</v>
      </c>
      <c r="P436" s="279">
        <v>0</v>
      </c>
      <c r="Q436" s="281">
        <v>0</v>
      </c>
      <c r="R436" s="282" t="s">
        <v>889</v>
      </c>
      <c r="S436" s="274" t="s">
        <v>1011</v>
      </c>
      <c r="T436" s="44">
        <v>1</v>
      </c>
      <c r="U436" s="283">
        <v>61</v>
      </c>
      <c r="V436" s="284">
        <v>15</v>
      </c>
      <c r="W436" s="285" t="s">
        <v>889</v>
      </c>
      <c r="X436" s="286" t="s">
        <v>889</v>
      </c>
      <c r="Y436" s="287">
        <v>0</v>
      </c>
      <c r="Z436" s="287" t="s">
        <v>889</v>
      </c>
      <c r="AA436" s="286" t="s">
        <v>889</v>
      </c>
      <c r="AB436" s="287">
        <v>0</v>
      </c>
      <c r="AC436" s="287"/>
      <c r="AD436" s="288" t="s">
        <v>889</v>
      </c>
      <c r="AE436" s="289" t="s">
        <v>889</v>
      </c>
      <c r="AF436" s="279">
        <v>0</v>
      </c>
      <c r="AG436" s="282">
        <v>41579</v>
      </c>
      <c r="AH436" s="282">
        <v>38231</v>
      </c>
      <c r="AI436" s="282">
        <v>41557</v>
      </c>
      <c r="AJ436" s="282" t="s">
        <v>889</v>
      </c>
      <c r="AK436" s="274"/>
    </row>
    <row r="437" spans="1:37" x14ac:dyDescent="0.3">
      <c r="A437" s="273">
        <v>81565</v>
      </c>
      <c r="B437" s="274" t="s">
        <v>1483</v>
      </c>
      <c r="C437" s="146" t="s">
        <v>473</v>
      </c>
      <c r="D437" s="275">
        <v>19.690000000000001</v>
      </c>
      <c r="E437" s="274"/>
      <c r="F437" s="274"/>
      <c r="G437" s="274" t="s">
        <v>889</v>
      </c>
      <c r="H437" s="276">
        <v>19</v>
      </c>
      <c r="I437" s="24">
        <v>103003</v>
      </c>
      <c r="J437" s="277">
        <v>19.690000000000001</v>
      </c>
      <c r="K437" s="276"/>
      <c r="L437" s="278">
        <v>237.5</v>
      </c>
      <c r="M437" s="279">
        <v>0</v>
      </c>
      <c r="N437" s="277">
        <v>0</v>
      </c>
      <c r="O437" s="280" t="s">
        <v>888</v>
      </c>
      <c r="P437" s="279">
        <v>0</v>
      </c>
      <c r="Q437" s="281">
        <v>0</v>
      </c>
      <c r="R437" s="282" t="s">
        <v>889</v>
      </c>
      <c r="S437" s="274" t="s">
        <v>1011</v>
      </c>
      <c r="T437" s="44">
        <v>1</v>
      </c>
      <c r="U437" s="283">
        <v>61</v>
      </c>
      <c r="V437" s="284">
        <v>15</v>
      </c>
      <c r="W437" s="285" t="s">
        <v>889</v>
      </c>
      <c r="X437" s="286" t="s">
        <v>889</v>
      </c>
      <c r="Y437" s="287">
        <v>0</v>
      </c>
      <c r="Z437" s="287" t="s">
        <v>889</v>
      </c>
      <c r="AA437" s="286" t="s">
        <v>889</v>
      </c>
      <c r="AB437" s="287">
        <v>0</v>
      </c>
      <c r="AC437" s="287"/>
      <c r="AD437" s="288" t="s">
        <v>889</v>
      </c>
      <c r="AE437" s="289" t="s">
        <v>889</v>
      </c>
      <c r="AF437" s="279">
        <v>0</v>
      </c>
      <c r="AG437" s="282">
        <v>43810</v>
      </c>
      <c r="AH437" s="282">
        <v>38231</v>
      </c>
      <c r="AI437" s="282">
        <v>43788</v>
      </c>
      <c r="AJ437" s="282" t="s">
        <v>889</v>
      </c>
      <c r="AK437" s="274"/>
    </row>
    <row r="438" spans="1:37" x14ac:dyDescent="0.3">
      <c r="A438" s="273">
        <v>81807</v>
      </c>
      <c r="B438" s="274" t="s">
        <v>1484</v>
      </c>
      <c r="C438" s="146" t="s">
        <v>263</v>
      </c>
      <c r="D438" s="275">
        <v>43.41</v>
      </c>
      <c r="E438" s="274"/>
      <c r="F438" s="274"/>
      <c r="G438" s="274" t="s">
        <v>889</v>
      </c>
      <c r="H438" s="276">
        <v>31</v>
      </c>
      <c r="I438" s="24">
        <v>103003</v>
      </c>
      <c r="J438" s="277">
        <v>43.41</v>
      </c>
      <c r="K438" s="276">
        <v>6</v>
      </c>
      <c r="L438" s="278">
        <v>62</v>
      </c>
      <c r="M438" s="279">
        <v>0</v>
      </c>
      <c r="N438" s="277">
        <v>0</v>
      </c>
      <c r="O438" s="280" t="s">
        <v>888</v>
      </c>
      <c r="P438" s="279">
        <v>0</v>
      </c>
      <c r="Q438" s="281">
        <v>0</v>
      </c>
      <c r="R438" s="282" t="s">
        <v>889</v>
      </c>
      <c r="S438" s="274" t="s">
        <v>1011</v>
      </c>
      <c r="T438" s="44">
        <v>1</v>
      </c>
      <c r="U438" s="283">
        <v>61</v>
      </c>
      <c r="V438" s="284">
        <v>15</v>
      </c>
      <c r="W438" s="285" t="s">
        <v>889</v>
      </c>
      <c r="X438" s="286" t="s">
        <v>889</v>
      </c>
      <c r="Y438" s="287">
        <v>0</v>
      </c>
      <c r="Z438" s="287" t="s">
        <v>889</v>
      </c>
      <c r="AA438" s="286" t="s">
        <v>889</v>
      </c>
      <c r="AB438" s="287">
        <v>0</v>
      </c>
      <c r="AC438" s="287"/>
      <c r="AD438" s="288" t="s">
        <v>889</v>
      </c>
      <c r="AE438" s="289" t="s">
        <v>889</v>
      </c>
      <c r="AF438" s="279">
        <v>2</v>
      </c>
      <c r="AG438" s="282">
        <v>45170</v>
      </c>
      <c r="AH438" s="282">
        <v>38246</v>
      </c>
      <c r="AI438" s="282">
        <v>45180</v>
      </c>
      <c r="AJ438" s="282" t="s">
        <v>889</v>
      </c>
      <c r="AK438" s="274"/>
    </row>
    <row r="439" spans="1:37" x14ac:dyDescent="0.3">
      <c r="A439" s="273">
        <v>81808</v>
      </c>
      <c r="B439" s="274" t="s">
        <v>1485</v>
      </c>
      <c r="C439" s="146" t="s">
        <v>263</v>
      </c>
      <c r="D439" s="275">
        <v>23</v>
      </c>
      <c r="E439" s="274"/>
      <c r="F439" s="274"/>
      <c r="G439" s="274" t="s">
        <v>889</v>
      </c>
      <c r="H439" s="276">
        <v>36</v>
      </c>
      <c r="I439" s="24">
        <v>103003</v>
      </c>
      <c r="J439" s="277">
        <v>23</v>
      </c>
      <c r="K439" s="276"/>
      <c r="L439" s="278">
        <v>0</v>
      </c>
      <c r="M439" s="279">
        <v>0</v>
      </c>
      <c r="N439" s="277">
        <v>0</v>
      </c>
      <c r="O439" s="280" t="s">
        <v>888</v>
      </c>
      <c r="P439" s="279">
        <v>0</v>
      </c>
      <c r="Q439" s="281">
        <v>0</v>
      </c>
      <c r="R439" s="282" t="s">
        <v>889</v>
      </c>
      <c r="S439" s="274" t="s">
        <v>1011</v>
      </c>
      <c r="T439" s="44">
        <v>1</v>
      </c>
      <c r="U439" s="283">
        <v>61</v>
      </c>
      <c r="V439" s="284">
        <v>15</v>
      </c>
      <c r="W439" s="285" t="s">
        <v>889</v>
      </c>
      <c r="X439" s="286" t="s">
        <v>889</v>
      </c>
      <c r="Y439" s="287">
        <v>0</v>
      </c>
      <c r="Z439" s="287" t="s">
        <v>889</v>
      </c>
      <c r="AA439" s="286" t="s">
        <v>889</v>
      </c>
      <c r="AB439" s="287">
        <v>0</v>
      </c>
      <c r="AC439" s="287"/>
      <c r="AD439" s="288" t="s">
        <v>889</v>
      </c>
      <c r="AE439" s="289" t="s">
        <v>889</v>
      </c>
      <c r="AF439" s="279">
        <v>0</v>
      </c>
      <c r="AG439" s="282">
        <v>45170</v>
      </c>
      <c r="AH439" s="282">
        <v>38246</v>
      </c>
      <c r="AI439" s="282">
        <v>45145</v>
      </c>
      <c r="AJ439" s="282" t="s">
        <v>889</v>
      </c>
      <c r="AK439" s="274"/>
    </row>
    <row r="440" spans="1:37" x14ac:dyDescent="0.3">
      <c r="A440" s="273">
        <v>82185</v>
      </c>
      <c r="B440" s="274" t="s">
        <v>1486</v>
      </c>
      <c r="C440" s="146" t="s">
        <v>263</v>
      </c>
      <c r="D440" s="275">
        <v>88</v>
      </c>
      <c r="E440" s="274"/>
      <c r="F440" s="274"/>
      <c r="G440" s="274" t="s">
        <v>889</v>
      </c>
      <c r="H440" s="276">
        <v>159</v>
      </c>
      <c r="I440" s="24">
        <v>103003</v>
      </c>
      <c r="J440" s="277">
        <v>96.650639999999996</v>
      </c>
      <c r="K440" s="276">
        <v>74</v>
      </c>
      <c r="L440" s="278">
        <v>25.769854132901134</v>
      </c>
      <c r="M440" s="279">
        <v>0</v>
      </c>
      <c r="N440" s="277">
        <v>0</v>
      </c>
      <c r="O440" s="280" t="s">
        <v>888</v>
      </c>
      <c r="P440" s="279">
        <v>0</v>
      </c>
      <c r="Q440" s="281">
        <v>0</v>
      </c>
      <c r="R440" s="282" t="s">
        <v>889</v>
      </c>
      <c r="S440" s="274" t="s">
        <v>1339</v>
      </c>
      <c r="T440" s="44">
        <v>1</v>
      </c>
      <c r="U440" s="283">
        <v>74</v>
      </c>
      <c r="V440" s="284">
        <v>3</v>
      </c>
      <c r="W440" s="285" t="s">
        <v>889</v>
      </c>
      <c r="X440" s="286" t="s">
        <v>889</v>
      </c>
      <c r="Y440" s="287">
        <v>0</v>
      </c>
      <c r="Z440" s="287" t="s">
        <v>889</v>
      </c>
      <c r="AA440" s="286" t="s">
        <v>889</v>
      </c>
      <c r="AB440" s="287">
        <v>0</v>
      </c>
      <c r="AC440" s="287"/>
      <c r="AD440" s="288" t="s">
        <v>889</v>
      </c>
      <c r="AE440" s="289" t="s">
        <v>889</v>
      </c>
      <c r="AF440" s="279">
        <v>24</v>
      </c>
      <c r="AG440" s="282">
        <v>44160</v>
      </c>
      <c r="AH440" s="282">
        <v>38273</v>
      </c>
      <c r="AI440" s="282">
        <v>44151</v>
      </c>
      <c r="AJ440" s="282" t="s">
        <v>889</v>
      </c>
      <c r="AK440" s="274"/>
    </row>
    <row r="441" spans="1:37" x14ac:dyDescent="0.3">
      <c r="A441" s="273">
        <v>82452</v>
      </c>
      <c r="B441" s="274" t="s">
        <v>1487</v>
      </c>
      <c r="C441" s="146" t="s">
        <v>263</v>
      </c>
      <c r="D441" s="275">
        <v>6.8</v>
      </c>
      <c r="E441" s="274"/>
      <c r="F441" s="274"/>
      <c r="G441" s="274" t="s">
        <v>889</v>
      </c>
      <c r="H441" s="276">
        <v>10</v>
      </c>
      <c r="I441" s="24">
        <v>103003</v>
      </c>
      <c r="J441" s="277">
        <v>6.8</v>
      </c>
      <c r="K441" s="276">
        <v>116</v>
      </c>
      <c r="L441" s="278">
        <v>1.0341261633919339</v>
      </c>
      <c r="M441" s="279">
        <v>106.04</v>
      </c>
      <c r="N441" s="277">
        <v>721.072</v>
      </c>
      <c r="O441" s="280" t="s">
        <v>888</v>
      </c>
      <c r="P441" s="279">
        <v>0</v>
      </c>
      <c r="Q441" s="281">
        <v>0</v>
      </c>
      <c r="R441" s="282" t="s">
        <v>889</v>
      </c>
      <c r="S441" s="274" t="s">
        <v>966</v>
      </c>
      <c r="T441" s="44">
        <v>1</v>
      </c>
      <c r="U441" s="283">
        <v>61</v>
      </c>
      <c r="V441" s="284">
        <v>8</v>
      </c>
      <c r="W441" s="285" t="s">
        <v>889</v>
      </c>
      <c r="X441" s="286" t="s">
        <v>889</v>
      </c>
      <c r="Y441" s="287">
        <v>0</v>
      </c>
      <c r="Z441" s="287" t="s">
        <v>889</v>
      </c>
      <c r="AA441" s="286" t="s">
        <v>889</v>
      </c>
      <c r="AB441" s="287">
        <v>0</v>
      </c>
      <c r="AC441" s="287"/>
      <c r="AD441" s="288" t="s">
        <v>889</v>
      </c>
      <c r="AE441" s="289" t="s">
        <v>889</v>
      </c>
      <c r="AF441" s="279">
        <v>38</v>
      </c>
      <c r="AG441" s="282">
        <v>45170</v>
      </c>
      <c r="AH441" s="282">
        <v>38296</v>
      </c>
      <c r="AI441" s="282">
        <v>45145</v>
      </c>
      <c r="AJ441" s="282" t="s">
        <v>889</v>
      </c>
      <c r="AK441" s="274"/>
    </row>
    <row r="442" spans="1:37" x14ac:dyDescent="0.3">
      <c r="A442" s="273">
        <v>82995</v>
      </c>
      <c r="B442" s="274" t="s">
        <v>1488</v>
      </c>
      <c r="C442" s="146" t="s">
        <v>263</v>
      </c>
      <c r="D442" s="275">
        <v>8.14</v>
      </c>
      <c r="E442" s="274"/>
      <c r="F442" s="274"/>
      <c r="G442" s="274" t="s">
        <v>889</v>
      </c>
      <c r="H442" s="276">
        <v>300</v>
      </c>
      <c r="I442" s="24">
        <v>103003</v>
      </c>
      <c r="J442" s="277">
        <v>8.14</v>
      </c>
      <c r="K442" s="276">
        <v>670</v>
      </c>
      <c r="L442" s="278">
        <v>5.3734551316496502</v>
      </c>
      <c r="M442" s="279">
        <v>369.96</v>
      </c>
      <c r="N442" s="277">
        <v>3011.4744000000001</v>
      </c>
      <c r="O442" s="280" t="s">
        <v>888</v>
      </c>
      <c r="P442" s="279">
        <v>0</v>
      </c>
      <c r="Q442" s="281">
        <v>0</v>
      </c>
      <c r="R442" s="282" t="s">
        <v>889</v>
      </c>
      <c r="S442" s="274" t="s">
        <v>1028</v>
      </c>
      <c r="T442" s="44">
        <v>1</v>
      </c>
      <c r="U442" s="283">
        <v>51</v>
      </c>
      <c r="V442" s="284">
        <v>8</v>
      </c>
      <c r="W442" s="285" t="s">
        <v>889</v>
      </c>
      <c r="X442" s="286" t="s">
        <v>889</v>
      </c>
      <c r="Y442" s="287">
        <v>0</v>
      </c>
      <c r="Z442" s="287" t="s">
        <v>889</v>
      </c>
      <c r="AA442" s="286" t="s">
        <v>889</v>
      </c>
      <c r="AB442" s="287">
        <v>0</v>
      </c>
      <c r="AC442" s="287"/>
      <c r="AD442" s="288" t="s">
        <v>889</v>
      </c>
      <c r="AE442" s="289" t="s">
        <v>889</v>
      </c>
      <c r="AF442" s="279">
        <v>224</v>
      </c>
      <c r="AG442" s="282">
        <v>45181</v>
      </c>
      <c r="AH442" s="282">
        <v>38317</v>
      </c>
      <c r="AI442" s="282">
        <v>45160</v>
      </c>
      <c r="AJ442" s="282" t="s">
        <v>889</v>
      </c>
      <c r="AK442" s="274"/>
    </row>
    <row r="443" spans="1:37" x14ac:dyDescent="0.3">
      <c r="A443" s="273">
        <v>82996</v>
      </c>
      <c r="B443" s="274" t="s">
        <v>1489</v>
      </c>
      <c r="C443" s="146" t="s">
        <v>263</v>
      </c>
      <c r="D443" s="275">
        <v>8.56</v>
      </c>
      <c r="E443" s="274"/>
      <c r="F443" s="274"/>
      <c r="G443" s="274" t="s">
        <v>889</v>
      </c>
      <c r="H443" s="276">
        <v>480</v>
      </c>
      <c r="I443" s="24">
        <v>103003</v>
      </c>
      <c r="J443" s="277">
        <v>8.56</v>
      </c>
      <c r="K443" s="276">
        <v>100</v>
      </c>
      <c r="L443" s="278">
        <v>57.623049219687879</v>
      </c>
      <c r="M443" s="279">
        <v>0</v>
      </c>
      <c r="N443" s="277">
        <v>0</v>
      </c>
      <c r="O443" s="280" t="s">
        <v>888</v>
      </c>
      <c r="P443" s="279">
        <v>0</v>
      </c>
      <c r="Q443" s="281">
        <v>0</v>
      </c>
      <c r="R443" s="282" t="s">
        <v>889</v>
      </c>
      <c r="S443" s="274" t="s">
        <v>1028</v>
      </c>
      <c r="T443" s="44">
        <v>1</v>
      </c>
      <c r="U443" s="283">
        <v>51</v>
      </c>
      <c r="V443" s="284">
        <v>8</v>
      </c>
      <c r="W443" s="285" t="s">
        <v>889</v>
      </c>
      <c r="X443" s="286" t="s">
        <v>889</v>
      </c>
      <c r="Y443" s="287">
        <v>0</v>
      </c>
      <c r="Z443" s="287" t="s">
        <v>889</v>
      </c>
      <c r="AA443" s="286" t="s">
        <v>889</v>
      </c>
      <c r="AB443" s="287">
        <v>0</v>
      </c>
      <c r="AC443" s="287"/>
      <c r="AD443" s="288" t="s">
        <v>889</v>
      </c>
      <c r="AE443" s="289" t="s">
        <v>889</v>
      </c>
      <c r="AF443" s="279">
        <v>34</v>
      </c>
      <c r="AG443" s="282">
        <v>44161</v>
      </c>
      <c r="AH443" s="282">
        <v>38317</v>
      </c>
      <c r="AI443" s="282">
        <v>44133</v>
      </c>
      <c r="AJ443" s="282" t="s">
        <v>889</v>
      </c>
      <c r="AK443" s="274"/>
    </row>
    <row r="444" spans="1:37" x14ac:dyDescent="0.3">
      <c r="A444" s="273">
        <v>83627</v>
      </c>
      <c r="B444" s="274" t="s">
        <v>1490</v>
      </c>
      <c r="C444" s="146" t="s">
        <v>31</v>
      </c>
      <c r="D444" s="275">
        <v>0.29799999999999999</v>
      </c>
      <c r="E444" s="274"/>
      <c r="F444" s="274"/>
      <c r="G444" s="274" t="s">
        <v>889</v>
      </c>
      <c r="H444" s="276">
        <v>39672</v>
      </c>
      <c r="I444" s="24">
        <v>103003</v>
      </c>
      <c r="J444" s="277">
        <v>0.29799999999999999</v>
      </c>
      <c r="K444" s="276">
        <v>63006</v>
      </c>
      <c r="L444" s="278">
        <v>4.3285612814601366</v>
      </c>
      <c r="M444" s="279">
        <v>70310.039999999994</v>
      </c>
      <c r="N444" s="277">
        <v>20952.391919999998</v>
      </c>
      <c r="O444" s="280" t="s">
        <v>888</v>
      </c>
      <c r="P444" s="279">
        <v>0</v>
      </c>
      <c r="Q444" s="281">
        <v>0</v>
      </c>
      <c r="R444" s="282" t="s">
        <v>889</v>
      </c>
      <c r="S444" s="274" t="s">
        <v>941</v>
      </c>
      <c r="T444" s="44">
        <v>1</v>
      </c>
      <c r="U444" s="283">
        <v>45</v>
      </c>
      <c r="V444" s="284">
        <v>11</v>
      </c>
      <c r="W444" s="285" t="s">
        <v>889</v>
      </c>
      <c r="X444" s="286" t="s">
        <v>889</v>
      </c>
      <c r="Y444" s="287">
        <v>0</v>
      </c>
      <c r="Z444" s="287" t="s">
        <v>889</v>
      </c>
      <c r="AA444" s="286" t="s">
        <v>889</v>
      </c>
      <c r="AB444" s="287">
        <v>0</v>
      </c>
      <c r="AC444" s="287"/>
      <c r="AD444" s="288" t="s">
        <v>889</v>
      </c>
      <c r="AE444" s="289" t="s">
        <v>889</v>
      </c>
      <c r="AF444" s="279">
        <v>36660</v>
      </c>
      <c r="AG444" s="282">
        <v>44943</v>
      </c>
      <c r="AH444" s="282">
        <v>38369</v>
      </c>
      <c r="AI444" s="282">
        <v>45048</v>
      </c>
      <c r="AJ444" s="282" t="s">
        <v>889</v>
      </c>
      <c r="AK444" s="274"/>
    </row>
    <row r="445" spans="1:37" x14ac:dyDescent="0.3">
      <c r="A445" s="273">
        <v>83838</v>
      </c>
      <c r="B445" s="274" t="s">
        <v>1491</v>
      </c>
      <c r="C445" s="146" t="s">
        <v>269</v>
      </c>
      <c r="D445" s="275">
        <v>11.87</v>
      </c>
      <c r="E445" s="274"/>
      <c r="F445" s="274"/>
      <c r="G445" s="274" t="s">
        <v>889</v>
      </c>
      <c r="H445" s="276">
        <v>3775</v>
      </c>
      <c r="I445" s="24">
        <v>103003</v>
      </c>
      <c r="J445" s="277">
        <v>11.87</v>
      </c>
      <c r="K445" s="276">
        <v>12812</v>
      </c>
      <c r="L445" s="278">
        <v>2.1065848214285716</v>
      </c>
      <c r="M445" s="279">
        <v>17729</v>
      </c>
      <c r="N445" s="277">
        <v>210443.23</v>
      </c>
      <c r="O445" s="280" t="s">
        <v>888</v>
      </c>
      <c r="P445" s="279">
        <v>0</v>
      </c>
      <c r="Q445" s="281">
        <v>0</v>
      </c>
      <c r="R445" s="282" t="s">
        <v>889</v>
      </c>
      <c r="S445" s="274" t="s">
        <v>1492</v>
      </c>
      <c r="T445" s="44">
        <v>1</v>
      </c>
      <c r="U445" s="283">
        <v>54</v>
      </c>
      <c r="V445" s="284">
        <v>4</v>
      </c>
      <c r="W445" s="285" t="s">
        <v>889</v>
      </c>
      <c r="X445" s="286" t="s">
        <v>889</v>
      </c>
      <c r="Y445" s="287">
        <v>0</v>
      </c>
      <c r="Z445" s="287" t="s">
        <v>889</v>
      </c>
      <c r="AA445" s="286" t="s">
        <v>889</v>
      </c>
      <c r="AB445" s="287">
        <v>0</v>
      </c>
      <c r="AC445" s="287"/>
      <c r="AD445" s="288" t="s">
        <v>889</v>
      </c>
      <c r="AE445" s="289" t="s">
        <v>889</v>
      </c>
      <c r="AF445" s="279">
        <v>7168</v>
      </c>
      <c r="AG445" s="282">
        <v>44876</v>
      </c>
      <c r="AH445" s="282">
        <v>38384</v>
      </c>
      <c r="AI445" s="282">
        <v>44833</v>
      </c>
      <c r="AJ445" s="282" t="s">
        <v>889</v>
      </c>
      <c r="AK445" s="274"/>
    </row>
    <row r="446" spans="1:37" x14ac:dyDescent="0.3">
      <c r="A446" s="273">
        <v>83839</v>
      </c>
      <c r="B446" s="274" t="s">
        <v>1493</v>
      </c>
      <c r="C446" s="146" t="s">
        <v>269</v>
      </c>
      <c r="D446" s="275">
        <v>20.85</v>
      </c>
      <c r="E446" s="274"/>
      <c r="F446" s="274"/>
      <c r="G446" s="274" t="s">
        <v>889</v>
      </c>
      <c r="H446" s="276">
        <v>0</v>
      </c>
      <c r="I446" s="24">
        <v>103003</v>
      </c>
      <c r="J446" s="277">
        <v>20.85</v>
      </c>
      <c r="K446" s="276">
        <v>3308</v>
      </c>
      <c r="L446" s="278">
        <v>0</v>
      </c>
      <c r="M446" s="279">
        <v>5718.96</v>
      </c>
      <c r="N446" s="277">
        <v>119240.31600000001</v>
      </c>
      <c r="O446" s="280" t="s">
        <v>888</v>
      </c>
      <c r="P446" s="279">
        <v>0</v>
      </c>
      <c r="Q446" s="281">
        <v>0</v>
      </c>
      <c r="R446" s="282" t="s">
        <v>889</v>
      </c>
      <c r="S446" s="274" t="s">
        <v>1492</v>
      </c>
      <c r="T446" s="44">
        <v>1</v>
      </c>
      <c r="U446" s="283">
        <v>54</v>
      </c>
      <c r="V446" s="284">
        <v>4</v>
      </c>
      <c r="W446" s="285" t="s">
        <v>889</v>
      </c>
      <c r="X446" s="286" t="s">
        <v>889</v>
      </c>
      <c r="Y446" s="287">
        <v>0</v>
      </c>
      <c r="Z446" s="287" t="s">
        <v>889</v>
      </c>
      <c r="AA446" s="286" t="s">
        <v>889</v>
      </c>
      <c r="AB446" s="287">
        <v>0</v>
      </c>
      <c r="AC446" s="287"/>
      <c r="AD446" s="288" t="s">
        <v>889</v>
      </c>
      <c r="AE446" s="289" t="s">
        <v>889</v>
      </c>
      <c r="AF446" s="279">
        <v>1906</v>
      </c>
      <c r="AG446" s="282">
        <v>44558</v>
      </c>
      <c r="AH446" s="282">
        <v>38384</v>
      </c>
      <c r="AI446" s="282">
        <v>44538</v>
      </c>
      <c r="AJ446" s="282" t="s">
        <v>889</v>
      </c>
      <c r="AK446" s="274"/>
    </row>
    <row r="447" spans="1:37" x14ac:dyDescent="0.3">
      <c r="A447" s="273">
        <v>84878</v>
      </c>
      <c r="B447" s="274" t="s">
        <v>1494</v>
      </c>
      <c r="C447" s="146" t="s">
        <v>31</v>
      </c>
      <c r="D447" s="275">
        <v>0.12</v>
      </c>
      <c r="E447" s="274"/>
      <c r="F447" s="274"/>
      <c r="G447" s="274" t="s">
        <v>889</v>
      </c>
      <c r="H447" s="276">
        <v>50966</v>
      </c>
      <c r="I447" s="24">
        <v>103003</v>
      </c>
      <c r="J447" s="277">
        <v>0.12</v>
      </c>
      <c r="K447" s="276">
        <v>61239</v>
      </c>
      <c r="L447" s="278">
        <v>6.622685224288464</v>
      </c>
      <c r="M447" s="279">
        <v>41382.04</v>
      </c>
      <c r="N447" s="277">
        <v>4965.8447999999999</v>
      </c>
      <c r="O447" s="280" t="s">
        <v>888</v>
      </c>
      <c r="P447" s="279">
        <v>0</v>
      </c>
      <c r="Q447" s="281">
        <v>0</v>
      </c>
      <c r="R447" s="282" t="s">
        <v>889</v>
      </c>
      <c r="S447" s="274" t="s">
        <v>941</v>
      </c>
      <c r="T447" s="44">
        <v>1</v>
      </c>
      <c r="U447" s="283">
        <v>45</v>
      </c>
      <c r="V447" s="284">
        <v>11</v>
      </c>
      <c r="W447" s="285" t="s">
        <v>889</v>
      </c>
      <c r="X447" s="286" t="s">
        <v>889</v>
      </c>
      <c r="Y447" s="287">
        <v>0</v>
      </c>
      <c r="Z447" s="287" t="s">
        <v>889</v>
      </c>
      <c r="AA447" s="286" t="s">
        <v>889</v>
      </c>
      <c r="AB447" s="287">
        <v>0</v>
      </c>
      <c r="AC447" s="287"/>
      <c r="AD447" s="288" t="s">
        <v>889</v>
      </c>
      <c r="AE447" s="289" t="s">
        <v>889</v>
      </c>
      <c r="AF447" s="279">
        <v>30782</v>
      </c>
      <c r="AG447" s="282">
        <v>44967</v>
      </c>
      <c r="AH447" s="282">
        <v>38448</v>
      </c>
      <c r="AI447" s="282">
        <v>44998</v>
      </c>
      <c r="AJ447" s="282" t="s">
        <v>889</v>
      </c>
      <c r="AK447" s="274"/>
    </row>
    <row r="448" spans="1:37" x14ac:dyDescent="0.3">
      <c r="A448" s="273">
        <v>85798</v>
      </c>
      <c r="B448" s="274" t="s">
        <v>566</v>
      </c>
      <c r="C448" s="146" t="s">
        <v>263</v>
      </c>
      <c r="D448" s="275">
        <v>6.36</v>
      </c>
      <c r="E448" s="274"/>
      <c r="F448" s="274"/>
      <c r="G448" s="274" t="s">
        <v>889</v>
      </c>
      <c r="H448" s="276">
        <v>264</v>
      </c>
      <c r="I448" s="24">
        <v>103003</v>
      </c>
      <c r="J448" s="277">
        <v>6.36</v>
      </c>
      <c r="K448" s="276">
        <v>2</v>
      </c>
      <c r="L448" s="278">
        <v>1552.9411764705881</v>
      </c>
      <c r="M448" s="279">
        <v>0</v>
      </c>
      <c r="N448" s="277">
        <v>0</v>
      </c>
      <c r="O448" s="280" t="s">
        <v>888</v>
      </c>
      <c r="P448" s="279">
        <v>0</v>
      </c>
      <c r="Q448" s="281">
        <v>0</v>
      </c>
      <c r="R448" s="282" t="s">
        <v>889</v>
      </c>
      <c r="S448" s="274" t="s">
        <v>1276</v>
      </c>
      <c r="T448" s="44">
        <v>1</v>
      </c>
      <c r="U448" s="283">
        <v>83</v>
      </c>
      <c r="V448" s="284">
        <v>4</v>
      </c>
      <c r="W448" s="285" t="s">
        <v>889</v>
      </c>
      <c r="X448" s="286" t="s">
        <v>889</v>
      </c>
      <c r="Y448" s="287">
        <v>0</v>
      </c>
      <c r="Z448" s="287" t="s">
        <v>889</v>
      </c>
      <c r="AA448" s="286" t="s">
        <v>889</v>
      </c>
      <c r="AB448" s="287">
        <v>0</v>
      </c>
      <c r="AC448" s="287"/>
      <c r="AD448" s="288" t="s">
        <v>889</v>
      </c>
      <c r="AE448" s="289" t="s">
        <v>889</v>
      </c>
      <c r="AF448" s="279">
        <v>0</v>
      </c>
      <c r="AG448" s="282">
        <v>44055</v>
      </c>
      <c r="AH448" s="282">
        <v>38502</v>
      </c>
      <c r="AI448" s="282">
        <v>44594</v>
      </c>
      <c r="AJ448" s="282" t="s">
        <v>889</v>
      </c>
      <c r="AK448" s="274"/>
    </row>
    <row r="449" spans="1:37" x14ac:dyDescent="0.3">
      <c r="A449" s="273">
        <v>86891</v>
      </c>
      <c r="B449" s="274" t="s">
        <v>569</v>
      </c>
      <c r="C449" s="146" t="s">
        <v>263</v>
      </c>
      <c r="D449" s="275">
        <v>0.4</v>
      </c>
      <c r="E449" s="274"/>
      <c r="F449" s="274"/>
      <c r="G449" s="274" t="s">
        <v>889</v>
      </c>
      <c r="H449" s="276">
        <v>12840</v>
      </c>
      <c r="I449" s="24">
        <v>103003</v>
      </c>
      <c r="J449" s="277">
        <v>0.4</v>
      </c>
      <c r="K449" s="276"/>
      <c r="L449" s="278">
        <v>6420</v>
      </c>
      <c r="M449" s="279">
        <v>0</v>
      </c>
      <c r="N449" s="277">
        <v>0</v>
      </c>
      <c r="O449" s="280" t="s">
        <v>888</v>
      </c>
      <c r="P449" s="279">
        <v>0</v>
      </c>
      <c r="Q449" s="281">
        <v>0</v>
      </c>
      <c r="R449" s="282" t="s">
        <v>889</v>
      </c>
      <c r="S449" s="274" t="s">
        <v>1076</v>
      </c>
      <c r="T449" s="44">
        <v>1</v>
      </c>
      <c r="U449" s="283">
        <v>78</v>
      </c>
      <c r="V449" s="284">
        <v>2</v>
      </c>
      <c r="W449" s="285" t="s">
        <v>889</v>
      </c>
      <c r="X449" s="286" t="s">
        <v>889</v>
      </c>
      <c r="Y449" s="287">
        <v>0</v>
      </c>
      <c r="Z449" s="287" t="s">
        <v>889</v>
      </c>
      <c r="AA449" s="286" t="s">
        <v>889</v>
      </c>
      <c r="AB449" s="287">
        <v>0</v>
      </c>
      <c r="AC449" s="287"/>
      <c r="AD449" s="288" t="s">
        <v>889</v>
      </c>
      <c r="AE449" s="289" t="s">
        <v>889</v>
      </c>
      <c r="AF449" s="279">
        <v>8</v>
      </c>
      <c r="AG449" s="282" t="s">
        <v>889</v>
      </c>
      <c r="AH449" s="282">
        <v>38567</v>
      </c>
      <c r="AI449" s="282">
        <v>42142</v>
      </c>
      <c r="AJ449" s="282" t="s">
        <v>889</v>
      </c>
      <c r="AK449" s="274"/>
    </row>
    <row r="450" spans="1:37" x14ac:dyDescent="0.3">
      <c r="A450" s="273">
        <v>87157</v>
      </c>
      <c r="B450" s="274" t="s">
        <v>570</v>
      </c>
      <c r="C450" s="146" t="s">
        <v>560</v>
      </c>
      <c r="D450" s="275">
        <v>20.9</v>
      </c>
      <c r="E450" s="274"/>
      <c r="F450" s="274"/>
      <c r="G450" s="274" t="s">
        <v>889</v>
      </c>
      <c r="H450" s="276">
        <v>329.48</v>
      </c>
      <c r="I450" s="24">
        <v>103003</v>
      </c>
      <c r="J450" s="277">
        <v>20.9</v>
      </c>
      <c r="K450" s="276">
        <v>26</v>
      </c>
      <c r="L450" s="278">
        <v>151.83410138248848</v>
      </c>
      <c r="M450" s="279">
        <v>0</v>
      </c>
      <c r="N450" s="277">
        <v>0</v>
      </c>
      <c r="O450" s="280" t="s">
        <v>888</v>
      </c>
      <c r="P450" s="279">
        <v>0</v>
      </c>
      <c r="Q450" s="281">
        <v>0</v>
      </c>
      <c r="R450" s="282" t="s">
        <v>889</v>
      </c>
      <c r="S450" s="274" t="s">
        <v>1308</v>
      </c>
      <c r="T450" s="44">
        <v>1</v>
      </c>
      <c r="U450" s="283">
        <v>51</v>
      </c>
      <c r="V450" s="284">
        <v>19</v>
      </c>
      <c r="W450" s="285" t="s">
        <v>889</v>
      </c>
      <c r="X450" s="286" t="s">
        <v>889</v>
      </c>
      <c r="Y450" s="287">
        <v>0</v>
      </c>
      <c r="Z450" s="287" t="s">
        <v>889</v>
      </c>
      <c r="AA450" s="286" t="s">
        <v>889</v>
      </c>
      <c r="AB450" s="287">
        <v>0</v>
      </c>
      <c r="AC450" s="287"/>
      <c r="AD450" s="288" t="s">
        <v>889</v>
      </c>
      <c r="AE450" s="289" t="s">
        <v>889</v>
      </c>
      <c r="AF450" s="279">
        <v>8</v>
      </c>
      <c r="AG450" s="282">
        <v>40616</v>
      </c>
      <c r="AH450" s="282">
        <v>38580</v>
      </c>
      <c r="AI450" s="282">
        <v>40508</v>
      </c>
      <c r="AJ450" s="282" t="s">
        <v>889</v>
      </c>
      <c r="AK450" s="274"/>
    </row>
    <row r="451" spans="1:37" x14ac:dyDescent="0.3">
      <c r="A451" s="273">
        <v>87247</v>
      </c>
      <c r="B451" s="274" t="s">
        <v>1495</v>
      </c>
      <c r="C451" s="146" t="s">
        <v>263</v>
      </c>
      <c r="D451" s="275">
        <v>2.7</v>
      </c>
      <c r="E451" s="274"/>
      <c r="F451" s="274"/>
      <c r="G451" s="274" t="s">
        <v>889</v>
      </c>
      <c r="H451" s="276">
        <v>347</v>
      </c>
      <c r="I451" s="24">
        <v>103003</v>
      </c>
      <c r="J451" s="277">
        <v>2.7</v>
      </c>
      <c r="K451" s="276">
        <v>39</v>
      </c>
      <c r="L451" s="278">
        <v>106.76923076923077</v>
      </c>
      <c r="M451" s="279">
        <v>0</v>
      </c>
      <c r="N451" s="277">
        <v>0</v>
      </c>
      <c r="O451" s="280" t="s">
        <v>888</v>
      </c>
      <c r="P451" s="279">
        <v>0</v>
      </c>
      <c r="Q451" s="281">
        <v>0</v>
      </c>
      <c r="R451" s="282" t="s">
        <v>889</v>
      </c>
      <c r="S451" s="274" t="s">
        <v>1021</v>
      </c>
      <c r="T451" s="44">
        <v>1</v>
      </c>
      <c r="U451" s="283">
        <v>51</v>
      </c>
      <c r="V451" s="284">
        <v>12</v>
      </c>
      <c r="W451" s="285" t="s">
        <v>889</v>
      </c>
      <c r="X451" s="286" t="s">
        <v>889</v>
      </c>
      <c r="Y451" s="287">
        <v>0</v>
      </c>
      <c r="Z451" s="287" t="s">
        <v>889</v>
      </c>
      <c r="AA451" s="286" t="s">
        <v>889</v>
      </c>
      <c r="AB451" s="287">
        <v>0</v>
      </c>
      <c r="AC451" s="287"/>
      <c r="AD451" s="288" t="s">
        <v>889</v>
      </c>
      <c r="AE451" s="289" t="s">
        <v>889</v>
      </c>
      <c r="AF451" s="279">
        <v>14</v>
      </c>
      <c r="AG451" s="282">
        <v>43991</v>
      </c>
      <c r="AH451" s="282">
        <v>38581</v>
      </c>
      <c r="AI451" s="282">
        <v>44592</v>
      </c>
      <c r="AJ451" s="282" t="s">
        <v>889</v>
      </c>
      <c r="AK451" s="274"/>
    </row>
    <row r="452" spans="1:37" x14ac:dyDescent="0.3">
      <c r="A452" s="273">
        <v>87348</v>
      </c>
      <c r="B452" s="274" t="s">
        <v>1496</v>
      </c>
      <c r="C452" s="146" t="s">
        <v>345</v>
      </c>
      <c r="D452" s="275">
        <v>16.32</v>
      </c>
      <c r="E452" s="274"/>
      <c r="F452" s="274"/>
      <c r="G452" s="274" t="s">
        <v>889</v>
      </c>
      <c r="H452" s="276">
        <v>832</v>
      </c>
      <c r="I452" s="24">
        <v>103003</v>
      </c>
      <c r="J452" s="277">
        <v>16.32</v>
      </c>
      <c r="K452" s="276">
        <v>35</v>
      </c>
      <c r="L452" s="278">
        <v>284.93150684931504</v>
      </c>
      <c r="M452" s="279">
        <v>0</v>
      </c>
      <c r="N452" s="277">
        <v>0</v>
      </c>
      <c r="O452" s="280" t="s">
        <v>888</v>
      </c>
      <c r="P452" s="279">
        <v>0</v>
      </c>
      <c r="Q452" s="281">
        <v>0</v>
      </c>
      <c r="R452" s="282" t="s">
        <v>889</v>
      </c>
      <c r="S452" s="274" t="s">
        <v>1225</v>
      </c>
      <c r="T452" s="44">
        <v>1</v>
      </c>
      <c r="U452" s="283">
        <v>51</v>
      </c>
      <c r="V452" s="284">
        <v>13</v>
      </c>
      <c r="W452" s="285" t="s">
        <v>889</v>
      </c>
      <c r="X452" s="286" t="s">
        <v>889</v>
      </c>
      <c r="Y452" s="287">
        <v>0</v>
      </c>
      <c r="Z452" s="287" t="s">
        <v>889</v>
      </c>
      <c r="AA452" s="286" t="s">
        <v>889</v>
      </c>
      <c r="AB452" s="287">
        <v>0</v>
      </c>
      <c r="AC452" s="287"/>
      <c r="AD452" s="288" t="s">
        <v>889</v>
      </c>
      <c r="AE452" s="289" t="s">
        <v>889</v>
      </c>
      <c r="AF452" s="279">
        <v>12</v>
      </c>
      <c r="AG452" s="282">
        <v>43852</v>
      </c>
      <c r="AH452" s="282">
        <v>38583</v>
      </c>
      <c r="AI452" s="282">
        <v>44005</v>
      </c>
      <c r="AJ452" s="282" t="s">
        <v>889</v>
      </c>
      <c r="AK452" s="274"/>
    </row>
    <row r="453" spans="1:37" x14ac:dyDescent="0.3">
      <c r="A453" s="273">
        <v>87586</v>
      </c>
      <c r="B453" s="274" t="s">
        <v>1497</v>
      </c>
      <c r="C453" s="146" t="s">
        <v>1070</v>
      </c>
      <c r="D453" s="275">
        <v>428.15</v>
      </c>
      <c r="E453" s="274"/>
      <c r="F453" s="274"/>
      <c r="G453" s="274" t="s">
        <v>889</v>
      </c>
      <c r="H453" s="276">
        <v>0</v>
      </c>
      <c r="I453" s="24">
        <v>103003</v>
      </c>
      <c r="J453" s="277">
        <v>428.15</v>
      </c>
      <c r="K453" s="276">
        <v>26</v>
      </c>
      <c r="L453" s="278">
        <v>0</v>
      </c>
      <c r="M453" s="279">
        <v>16.04</v>
      </c>
      <c r="N453" s="277">
        <v>6867.5259999999998</v>
      </c>
      <c r="O453" s="280" t="s">
        <v>888</v>
      </c>
      <c r="P453" s="279">
        <v>0</v>
      </c>
      <c r="Q453" s="281">
        <v>0</v>
      </c>
      <c r="R453" s="282" t="s">
        <v>889</v>
      </c>
      <c r="S453" s="274" t="s">
        <v>1071</v>
      </c>
      <c r="T453" s="44">
        <v>1</v>
      </c>
      <c r="U453" s="283">
        <v>76</v>
      </c>
      <c r="V453" s="284">
        <v>5</v>
      </c>
      <c r="W453" s="285" t="s">
        <v>889</v>
      </c>
      <c r="X453" s="286" t="s">
        <v>889</v>
      </c>
      <c r="Y453" s="287">
        <v>0</v>
      </c>
      <c r="Z453" s="287">
        <v>11601</v>
      </c>
      <c r="AA453" s="286">
        <v>2023</v>
      </c>
      <c r="AB453" s="287">
        <v>10</v>
      </c>
      <c r="AC453" s="287">
        <v>10</v>
      </c>
      <c r="AD453" s="288" t="s">
        <v>2060</v>
      </c>
      <c r="AE453" s="289">
        <v>45247</v>
      </c>
      <c r="AF453" s="279">
        <v>8</v>
      </c>
      <c r="AG453" s="282">
        <v>44986</v>
      </c>
      <c r="AH453" s="282">
        <v>38603</v>
      </c>
      <c r="AI453" s="282">
        <v>45181</v>
      </c>
      <c r="AJ453" s="282" t="s">
        <v>889</v>
      </c>
      <c r="AK453" s="274"/>
    </row>
    <row r="454" spans="1:37" x14ac:dyDescent="0.3">
      <c r="A454" s="273">
        <v>87698</v>
      </c>
      <c r="B454" s="274" t="s">
        <v>1498</v>
      </c>
      <c r="C454" s="146" t="s">
        <v>263</v>
      </c>
      <c r="D454" s="275">
        <v>3.63</v>
      </c>
      <c r="E454" s="274" t="s">
        <v>1499</v>
      </c>
      <c r="F454" s="274" t="s">
        <v>1500</v>
      </c>
      <c r="G454" s="274" t="s">
        <v>896</v>
      </c>
      <c r="H454" s="276">
        <v>10</v>
      </c>
      <c r="I454" s="24">
        <v>103003</v>
      </c>
      <c r="J454" s="277">
        <v>3.63</v>
      </c>
      <c r="K454" s="276">
        <v>15</v>
      </c>
      <c r="L454" s="278">
        <v>8</v>
      </c>
      <c r="M454" s="279">
        <v>5</v>
      </c>
      <c r="N454" s="277">
        <v>18.149999999999999</v>
      </c>
      <c r="O454" s="280" t="s">
        <v>897</v>
      </c>
      <c r="P454" s="279">
        <v>330</v>
      </c>
      <c r="Q454" s="281">
        <v>1197.9000000000001</v>
      </c>
      <c r="R454" s="282">
        <v>45377</v>
      </c>
      <c r="S454" s="274" t="s">
        <v>1440</v>
      </c>
      <c r="T454" s="44">
        <v>1</v>
      </c>
      <c r="U454" s="283">
        <v>72</v>
      </c>
      <c r="V454" s="284">
        <v>5</v>
      </c>
      <c r="W454" s="285" t="s">
        <v>889</v>
      </c>
      <c r="X454" s="286" t="s">
        <v>889</v>
      </c>
      <c r="Y454" s="287">
        <v>0</v>
      </c>
      <c r="Z454" s="287" t="s">
        <v>889</v>
      </c>
      <c r="AA454" s="286" t="s">
        <v>889</v>
      </c>
      <c r="AB454" s="287">
        <v>0</v>
      </c>
      <c r="AC454" s="287"/>
      <c r="AD454" s="288" t="s">
        <v>889</v>
      </c>
      <c r="AE454" s="289" t="s">
        <v>889</v>
      </c>
      <c r="AF454" s="279">
        <v>6</v>
      </c>
      <c r="AG454" s="282">
        <v>45075</v>
      </c>
      <c r="AH454" s="282">
        <v>38611</v>
      </c>
      <c r="AI454" s="282">
        <v>45209</v>
      </c>
      <c r="AJ454" s="282" t="s">
        <v>889</v>
      </c>
      <c r="AK454" s="274"/>
    </row>
    <row r="455" spans="1:37" x14ac:dyDescent="0.3">
      <c r="A455" s="273">
        <v>87699</v>
      </c>
      <c r="B455" s="274" t="s">
        <v>1501</v>
      </c>
      <c r="C455" s="146" t="s">
        <v>263</v>
      </c>
      <c r="D455" s="275">
        <v>3.18</v>
      </c>
      <c r="E455" s="274" t="s">
        <v>1499</v>
      </c>
      <c r="F455" s="274" t="s">
        <v>1500</v>
      </c>
      <c r="G455" s="274" t="s">
        <v>896</v>
      </c>
      <c r="H455" s="276">
        <v>86</v>
      </c>
      <c r="I455" s="24">
        <v>103003</v>
      </c>
      <c r="J455" s="277">
        <v>3.18</v>
      </c>
      <c r="K455" s="276">
        <v>3</v>
      </c>
      <c r="L455" s="278">
        <v>344</v>
      </c>
      <c r="M455" s="279">
        <v>0</v>
      </c>
      <c r="N455" s="277">
        <v>0</v>
      </c>
      <c r="O455" s="280" t="s">
        <v>897</v>
      </c>
      <c r="P455" s="279">
        <v>330</v>
      </c>
      <c r="Q455" s="281">
        <v>1049.4000000000001</v>
      </c>
      <c r="R455" s="282">
        <v>45377</v>
      </c>
      <c r="S455" s="274" t="s">
        <v>1440</v>
      </c>
      <c r="T455" s="44">
        <v>1</v>
      </c>
      <c r="U455" s="283">
        <v>72</v>
      </c>
      <c r="V455" s="284">
        <v>5</v>
      </c>
      <c r="W455" s="285" t="s">
        <v>889</v>
      </c>
      <c r="X455" s="286" t="s">
        <v>889</v>
      </c>
      <c r="Y455" s="287">
        <v>0</v>
      </c>
      <c r="Z455" s="287" t="s">
        <v>889</v>
      </c>
      <c r="AA455" s="286" t="s">
        <v>889</v>
      </c>
      <c r="AB455" s="287">
        <v>0</v>
      </c>
      <c r="AC455" s="287"/>
      <c r="AD455" s="288" t="s">
        <v>889</v>
      </c>
      <c r="AE455" s="289" t="s">
        <v>889</v>
      </c>
      <c r="AF455" s="279">
        <v>0</v>
      </c>
      <c r="AG455" s="282">
        <v>43279</v>
      </c>
      <c r="AH455" s="282">
        <v>38611</v>
      </c>
      <c r="AI455" s="282">
        <v>45209</v>
      </c>
      <c r="AJ455" s="282" t="s">
        <v>889</v>
      </c>
      <c r="AK455" s="274"/>
    </row>
    <row r="456" spans="1:37" x14ac:dyDescent="0.3">
      <c r="A456" s="273">
        <v>88718</v>
      </c>
      <c r="B456" s="274" t="s">
        <v>575</v>
      </c>
      <c r="C456" s="146" t="s">
        <v>263</v>
      </c>
      <c r="D456" s="275">
        <v>33.1</v>
      </c>
      <c r="E456" s="274"/>
      <c r="F456" s="274"/>
      <c r="G456" s="274" t="s">
        <v>889</v>
      </c>
      <c r="H456" s="276">
        <v>96</v>
      </c>
      <c r="I456" s="24">
        <v>103003</v>
      </c>
      <c r="J456" s="277">
        <v>33.1</v>
      </c>
      <c r="K456" s="276">
        <v>12</v>
      </c>
      <c r="L456" s="278">
        <v>96</v>
      </c>
      <c r="M456" s="279">
        <v>0</v>
      </c>
      <c r="N456" s="277">
        <v>0</v>
      </c>
      <c r="O456" s="280" t="s">
        <v>888</v>
      </c>
      <c r="P456" s="279">
        <v>0</v>
      </c>
      <c r="Q456" s="281">
        <v>0</v>
      </c>
      <c r="R456" s="282" t="s">
        <v>889</v>
      </c>
      <c r="S456" s="274" t="s">
        <v>1502</v>
      </c>
      <c r="T456" s="44">
        <v>1</v>
      </c>
      <c r="U456" s="283">
        <v>55</v>
      </c>
      <c r="V456" s="284">
        <v>26</v>
      </c>
      <c r="W456" s="285" t="s">
        <v>889</v>
      </c>
      <c r="X456" s="286" t="s">
        <v>889</v>
      </c>
      <c r="Y456" s="287">
        <v>0</v>
      </c>
      <c r="Z456" s="287" t="s">
        <v>889</v>
      </c>
      <c r="AA456" s="286" t="s">
        <v>889</v>
      </c>
      <c r="AB456" s="287">
        <v>0</v>
      </c>
      <c r="AC456" s="287"/>
      <c r="AD456" s="288" t="s">
        <v>889</v>
      </c>
      <c r="AE456" s="289" t="s">
        <v>889</v>
      </c>
      <c r="AF456" s="279">
        <v>4</v>
      </c>
      <c r="AG456" s="282">
        <v>44951</v>
      </c>
      <c r="AH456" s="282">
        <v>38656</v>
      </c>
      <c r="AI456" s="282">
        <v>44917</v>
      </c>
      <c r="AJ456" s="282" t="s">
        <v>889</v>
      </c>
      <c r="AK456" s="274"/>
    </row>
    <row r="457" spans="1:37" x14ac:dyDescent="0.3">
      <c r="A457" s="273">
        <v>88726</v>
      </c>
      <c r="B457" s="274" t="s">
        <v>1503</v>
      </c>
      <c r="C457" s="146" t="s">
        <v>263</v>
      </c>
      <c r="D457" s="275">
        <v>20</v>
      </c>
      <c r="E457" s="274"/>
      <c r="F457" s="274"/>
      <c r="G457" s="274" t="s">
        <v>889</v>
      </c>
      <c r="H457" s="276">
        <v>130</v>
      </c>
      <c r="I457" s="24">
        <v>103003</v>
      </c>
      <c r="J457" s="277">
        <v>20</v>
      </c>
      <c r="K457" s="276">
        <v>46</v>
      </c>
      <c r="L457" s="278">
        <v>31.175059952038371</v>
      </c>
      <c r="M457" s="279">
        <v>0</v>
      </c>
      <c r="N457" s="277">
        <v>0</v>
      </c>
      <c r="O457" s="280" t="s">
        <v>888</v>
      </c>
      <c r="P457" s="279">
        <v>0</v>
      </c>
      <c r="Q457" s="281">
        <v>0</v>
      </c>
      <c r="R457" s="282" t="s">
        <v>889</v>
      </c>
      <c r="S457" s="274" t="s">
        <v>1502</v>
      </c>
      <c r="T457" s="44">
        <v>1</v>
      </c>
      <c r="U457" s="283">
        <v>55</v>
      </c>
      <c r="V457" s="284">
        <v>26</v>
      </c>
      <c r="W457" s="285" t="s">
        <v>889</v>
      </c>
      <c r="X457" s="286" t="s">
        <v>889</v>
      </c>
      <c r="Y457" s="287">
        <v>0</v>
      </c>
      <c r="Z457" s="287" t="s">
        <v>889</v>
      </c>
      <c r="AA457" s="286" t="s">
        <v>889</v>
      </c>
      <c r="AB457" s="287">
        <v>0</v>
      </c>
      <c r="AC457" s="287"/>
      <c r="AD457" s="288" t="s">
        <v>889</v>
      </c>
      <c r="AE457" s="289" t="s">
        <v>889</v>
      </c>
      <c r="AF457" s="279">
        <v>16</v>
      </c>
      <c r="AG457" s="282">
        <v>44336</v>
      </c>
      <c r="AH457" s="282">
        <v>38656</v>
      </c>
      <c r="AI457" s="282">
        <v>44333</v>
      </c>
      <c r="AJ457" s="282" t="s">
        <v>889</v>
      </c>
      <c r="AK457" s="274"/>
    </row>
    <row r="458" spans="1:37" x14ac:dyDescent="0.3">
      <c r="A458" s="273">
        <v>88727</v>
      </c>
      <c r="B458" s="274" t="s">
        <v>1504</v>
      </c>
      <c r="C458" s="146" t="s">
        <v>263</v>
      </c>
      <c r="D458" s="275">
        <v>20.61</v>
      </c>
      <c r="E458" s="274"/>
      <c r="F458" s="274"/>
      <c r="G458" s="274" t="s">
        <v>889</v>
      </c>
      <c r="H458" s="276">
        <v>218</v>
      </c>
      <c r="I458" s="24">
        <v>103003</v>
      </c>
      <c r="J458" s="277">
        <v>20.61</v>
      </c>
      <c r="K458" s="276">
        <v>165</v>
      </c>
      <c r="L458" s="278">
        <v>14.137483787289234</v>
      </c>
      <c r="M458" s="279">
        <v>0</v>
      </c>
      <c r="N458" s="277">
        <v>0</v>
      </c>
      <c r="O458" s="280" t="s">
        <v>888</v>
      </c>
      <c r="P458" s="279">
        <v>0</v>
      </c>
      <c r="Q458" s="281">
        <v>0</v>
      </c>
      <c r="R458" s="282" t="s">
        <v>889</v>
      </c>
      <c r="S458" s="274" t="s">
        <v>1502</v>
      </c>
      <c r="T458" s="44">
        <v>1</v>
      </c>
      <c r="U458" s="283">
        <v>55</v>
      </c>
      <c r="V458" s="284">
        <v>26</v>
      </c>
      <c r="W458" s="285" t="s">
        <v>889</v>
      </c>
      <c r="X458" s="286" t="s">
        <v>889</v>
      </c>
      <c r="Y458" s="287">
        <v>0</v>
      </c>
      <c r="Z458" s="287" t="s">
        <v>889</v>
      </c>
      <c r="AA458" s="286" t="s">
        <v>889</v>
      </c>
      <c r="AB458" s="287">
        <v>0</v>
      </c>
      <c r="AC458" s="287"/>
      <c r="AD458" s="288" t="s">
        <v>889</v>
      </c>
      <c r="AE458" s="289" t="s">
        <v>889</v>
      </c>
      <c r="AF458" s="279">
        <v>62</v>
      </c>
      <c r="AG458" s="282">
        <v>44545</v>
      </c>
      <c r="AH458" s="282">
        <v>38656</v>
      </c>
      <c r="AI458" s="282">
        <v>44516</v>
      </c>
      <c r="AJ458" s="282" t="s">
        <v>889</v>
      </c>
      <c r="AK458" s="274"/>
    </row>
    <row r="459" spans="1:37" x14ac:dyDescent="0.3">
      <c r="A459" s="273">
        <v>88728</v>
      </c>
      <c r="B459" s="274" t="s">
        <v>1505</v>
      </c>
      <c r="C459" s="146" t="s">
        <v>263</v>
      </c>
      <c r="D459" s="275">
        <v>28</v>
      </c>
      <c r="E459" s="274"/>
      <c r="F459" s="274"/>
      <c r="G459" s="274" t="s">
        <v>889</v>
      </c>
      <c r="H459" s="276">
        <v>186</v>
      </c>
      <c r="I459" s="24">
        <v>103003</v>
      </c>
      <c r="J459" s="277">
        <v>28</v>
      </c>
      <c r="K459" s="276">
        <v>87</v>
      </c>
      <c r="L459" s="278">
        <v>23.019801980198018</v>
      </c>
      <c r="M459" s="279">
        <v>0</v>
      </c>
      <c r="N459" s="277">
        <v>0</v>
      </c>
      <c r="O459" s="280" t="s">
        <v>888</v>
      </c>
      <c r="P459" s="279">
        <v>0</v>
      </c>
      <c r="Q459" s="281">
        <v>0</v>
      </c>
      <c r="R459" s="282" t="s">
        <v>889</v>
      </c>
      <c r="S459" s="274" t="s">
        <v>1502</v>
      </c>
      <c r="T459" s="44">
        <v>1</v>
      </c>
      <c r="U459" s="283">
        <v>55</v>
      </c>
      <c r="V459" s="284">
        <v>26</v>
      </c>
      <c r="W459" s="285" t="s">
        <v>889</v>
      </c>
      <c r="X459" s="286" t="s">
        <v>889</v>
      </c>
      <c r="Y459" s="287">
        <v>0</v>
      </c>
      <c r="Z459" s="287" t="s">
        <v>889</v>
      </c>
      <c r="AA459" s="286" t="s">
        <v>889</v>
      </c>
      <c r="AB459" s="287">
        <v>0</v>
      </c>
      <c r="AC459" s="287"/>
      <c r="AD459" s="288" t="s">
        <v>889</v>
      </c>
      <c r="AE459" s="289" t="s">
        <v>889</v>
      </c>
      <c r="AF459" s="279">
        <v>32</v>
      </c>
      <c r="AG459" s="282">
        <v>44336</v>
      </c>
      <c r="AH459" s="282">
        <v>38656</v>
      </c>
      <c r="AI459" s="282">
        <v>45075</v>
      </c>
      <c r="AJ459" s="282" t="s">
        <v>889</v>
      </c>
      <c r="AK459" s="274"/>
    </row>
    <row r="460" spans="1:37" x14ac:dyDescent="0.3">
      <c r="A460" s="273">
        <v>88729</v>
      </c>
      <c r="B460" s="274" t="s">
        <v>1506</v>
      </c>
      <c r="C460" s="146" t="s">
        <v>263</v>
      </c>
      <c r="D460" s="275">
        <v>27.87</v>
      </c>
      <c r="E460" s="274"/>
      <c r="F460" s="274"/>
      <c r="G460" s="274" t="s">
        <v>889</v>
      </c>
      <c r="H460" s="276">
        <v>17</v>
      </c>
      <c r="I460" s="24">
        <v>103003</v>
      </c>
      <c r="J460" s="277">
        <v>27.87</v>
      </c>
      <c r="K460" s="276">
        <v>47</v>
      </c>
      <c r="L460" s="278">
        <v>4.166666666666667</v>
      </c>
      <c r="M460" s="279">
        <v>16.96</v>
      </c>
      <c r="N460" s="277">
        <v>472.67520000000002</v>
      </c>
      <c r="O460" s="280" t="s">
        <v>888</v>
      </c>
      <c r="P460" s="279">
        <v>0</v>
      </c>
      <c r="Q460" s="281">
        <v>0</v>
      </c>
      <c r="R460" s="282" t="s">
        <v>889</v>
      </c>
      <c r="S460" s="274" t="s">
        <v>1502</v>
      </c>
      <c r="T460" s="44">
        <v>1</v>
      </c>
      <c r="U460" s="283">
        <v>55</v>
      </c>
      <c r="V460" s="284">
        <v>26</v>
      </c>
      <c r="W460" s="285">
        <v>2442</v>
      </c>
      <c r="X460" s="286">
        <v>2023</v>
      </c>
      <c r="Y460" s="287">
        <v>15</v>
      </c>
      <c r="Z460" s="287" t="s">
        <v>889</v>
      </c>
      <c r="AA460" s="286" t="s">
        <v>889</v>
      </c>
      <c r="AB460" s="287">
        <v>0</v>
      </c>
      <c r="AC460" s="287"/>
      <c r="AD460" s="288" t="s">
        <v>889</v>
      </c>
      <c r="AE460" s="289" t="s">
        <v>889</v>
      </c>
      <c r="AF460" s="279">
        <v>16</v>
      </c>
      <c r="AG460" s="282">
        <v>44175</v>
      </c>
      <c r="AH460" s="282">
        <v>38656</v>
      </c>
      <c r="AI460" s="282">
        <v>44865</v>
      </c>
      <c r="AJ460" s="282" t="s">
        <v>889</v>
      </c>
      <c r="AK460" s="274"/>
    </row>
    <row r="461" spans="1:37" x14ac:dyDescent="0.3">
      <c r="A461" s="273">
        <v>88730</v>
      </c>
      <c r="B461" s="274" t="s">
        <v>1507</v>
      </c>
      <c r="C461" s="146" t="s">
        <v>263</v>
      </c>
      <c r="D461" s="275">
        <v>22.5</v>
      </c>
      <c r="E461" s="274"/>
      <c r="F461" s="274"/>
      <c r="G461" s="274" t="s">
        <v>889</v>
      </c>
      <c r="H461" s="276">
        <v>18</v>
      </c>
      <c r="I461" s="24">
        <v>103003</v>
      </c>
      <c r="J461" s="277">
        <v>22.5</v>
      </c>
      <c r="K461" s="276">
        <v>30</v>
      </c>
      <c r="L461" s="278">
        <v>7.2</v>
      </c>
      <c r="M461" s="279">
        <v>2</v>
      </c>
      <c r="N461" s="277">
        <v>45</v>
      </c>
      <c r="O461" s="280" t="s">
        <v>888</v>
      </c>
      <c r="P461" s="279">
        <v>0</v>
      </c>
      <c r="Q461" s="281">
        <v>0</v>
      </c>
      <c r="R461" s="282" t="s">
        <v>889</v>
      </c>
      <c r="S461" s="274" t="s">
        <v>1502</v>
      </c>
      <c r="T461" s="44">
        <v>1</v>
      </c>
      <c r="U461" s="283">
        <v>55</v>
      </c>
      <c r="V461" s="284">
        <v>26</v>
      </c>
      <c r="W461" s="285">
        <v>2442</v>
      </c>
      <c r="X461" s="286">
        <v>2023</v>
      </c>
      <c r="Y461" s="287">
        <v>10</v>
      </c>
      <c r="Z461" s="287" t="s">
        <v>889</v>
      </c>
      <c r="AA461" s="286" t="s">
        <v>889</v>
      </c>
      <c r="AB461" s="287">
        <v>0</v>
      </c>
      <c r="AC461" s="287"/>
      <c r="AD461" s="288" t="s">
        <v>889</v>
      </c>
      <c r="AE461" s="289" t="s">
        <v>889</v>
      </c>
      <c r="AF461" s="279">
        <v>10</v>
      </c>
      <c r="AG461" s="282">
        <v>44874</v>
      </c>
      <c r="AH461" s="282">
        <v>38656</v>
      </c>
      <c r="AI461" s="282">
        <v>44845</v>
      </c>
      <c r="AJ461" s="282" t="s">
        <v>889</v>
      </c>
      <c r="AK461" s="274"/>
    </row>
    <row r="462" spans="1:37" x14ac:dyDescent="0.3">
      <c r="A462" s="273">
        <v>88731</v>
      </c>
      <c r="B462" s="274" t="s">
        <v>1508</v>
      </c>
      <c r="C462" s="146" t="s">
        <v>263</v>
      </c>
      <c r="D462" s="275">
        <v>15.28</v>
      </c>
      <c r="E462" s="274"/>
      <c r="F462" s="274"/>
      <c r="G462" s="274" t="s">
        <v>889</v>
      </c>
      <c r="H462" s="276">
        <v>40</v>
      </c>
      <c r="I462" s="24">
        <v>103003</v>
      </c>
      <c r="J462" s="277">
        <v>15.28</v>
      </c>
      <c r="K462" s="276">
        <v>1</v>
      </c>
      <c r="L462" s="278">
        <v>500</v>
      </c>
      <c r="M462" s="279">
        <v>0</v>
      </c>
      <c r="N462" s="277">
        <v>0</v>
      </c>
      <c r="O462" s="280" t="s">
        <v>888</v>
      </c>
      <c r="P462" s="279">
        <v>0</v>
      </c>
      <c r="Q462" s="281">
        <v>0</v>
      </c>
      <c r="R462" s="282" t="s">
        <v>889</v>
      </c>
      <c r="S462" s="274" t="s">
        <v>1502</v>
      </c>
      <c r="T462" s="44">
        <v>1</v>
      </c>
      <c r="U462" s="283">
        <v>55</v>
      </c>
      <c r="V462" s="284">
        <v>26</v>
      </c>
      <c r="W462" s="285" t="s">
        <v>889</v>
      </c>
      <c r="X462" s="286" t="s">
        <v>889</v>
      </c>
      <c r="Y462" s="287">
        <v>0</v>
      </c>
      <c r="Z462" s="287" t="s">
        <v>889</v>
      </c>
      <c r="AA462" s="286" t="s">
        <v>889</v>
      </c>
      <c r="AB462" s="287">
        <v>0</v>
      </c>
      <c r="AC462" s="287"/>
      <c r="AD462" s="288" t="s">
        <v>889</v>
      </c>
      <c r="AE462" s="289" t="s">
        <v>889</v>
      </c>
      <c r="AF462" s="279">
        <v>0</v>
      </c>
      <c r="AG462" s="282">
        <v>40200</v>
      </c>
      <c r="AH462" s="282">
        <v>38656</v>
      </c>
      <c r="AI462" s="282">
        <v>41040</v>
      </c>
      <c r="AJ462" s="282" t="s">
        <v>889</v>
      </c>
      <c r="AK462" s="274"/>
    </row>
    <row r="463" spans="1:37" x14ac:dyDescent="0.3">
      <c r="A463" s="273">
        <v>88732</v>
      </c>
      <c r="B463" s="274" t="s">
        <v>1509</v>
      </c>
      <c r="C463" s="146" t="s">
        <v>263</v>
      </c>
      <c r="D463" s="275">
        <v>19.5</v>
      </c>
      <c r="E463" s="274"/>
      <c r="F463" s="274"/>
      <c r="G463" s="274" t="s">
        <v>889</v>
      </c>
      <c r="H463" s="276">
        <v>24</v>
      </c>
      <c r="I463" s="24">
        <v>103003</v>
      </c>
      <c r="J463" s="277">
        <v>19.5</v>
      </c>
      <c r="K463" s="276">
        <v>32</v>
      </c>
      <c r="L463" s="278">
        <v>8.9887640449438209</v>
      </c>
      <c r="M463" s="279">
        <v>0</v>
      </c>
      <c r="N463" s="277">
        <v>0</v>
      </c>
      <c r="O463" s="280" t="s">
        <v>888</v>
      </c>
      <c r="P463" s="279">
        <v>0</v>
      </c>
      <c r="Q463" s="281">
        <v>0</v>
      </c>
      <c r="R463" s="282" t="s">
        <v>889</v>
      </c>
      <c r="S463" s="274" t="s">
        <v>1502</v>
      </c>
      <c r="T463" s="44">
        <v>1</v>
      </c>
      <c r="U463" s="283">
        <v>55</v>
      </c>
      <c r="V463" s="284">
        <v>26</v>
      </c>
      <c r="W463" s="285">
        <v>2442</v>
      </c>
      <c r="X463" s="286">
        <v>2023</v>
      </c>
      <c r="Y463" s="287">
        <v>10</v>
      </c>
      <c r="Z463" s="287" t="s">
        <v>889</v>
      </c>
      <c r="AA463" s="286" t="s">
        <v>889</v>
      </c>
      <c r="AB463" s="287">
        <v>0</v>
      </c>
      <c r="AC463" s="287"/>
      <c r="AD463" s="288" t="s">
        <v>889</v>
      </c>
      <c r="AE463" s="289" t="s">
        <v>889</v>
      </c>
      <c r="AF463" s="279">
        <v>10</v>
      </c>
      <c r="AG463" s="282">
        <v>43903</v>
      </c>
      <c r="AH463" s="282">
        <v>38656</v>
      </c>
      <c r="AI463" s="282">
        <v>43892</v>
      </c>
      <c r="AJ463" s="282" t="s">
        <v>889</v>
      </c>
      <c r="AK463" s="274"/>
    </row>
    <row r="464" spans="1:37" x14ac:dyDescent="0.3">
      <c r="A464" s="273">
        <v>88733</v>
      </c>
      <c r="B464" s="274" t="s">
        <v>1510</v>
      </c>
      <c r="C464" s="146" t="s">
        <v>263</v>
      </c>
      <c r="D464" s="275">
        <v>28.2</v>
      </c>
      <c r="E464" s="274"/>
      <c r="F464" s="274"/>
      <c r="G464" s="274" t="s">
        <v>889</v>
      </c>
      <c r="H464" s="276">
        <v>0</v>
      </c>
      <c r="I464" s="24">
        <v>103003</v>
      </c>
      <c r="J464" s="277">
        <v>28.2</v>
      </c>
      <c r="K464" s="276">
        <v>56</v>
      </c>
      <c r="L464" s="278">
        <v>0</v>
      </c>
      <c r="M464" s="279">
        <v>36.04</v>
      </c>
      <c r="N464" s="277">
        <v>1016.328</v>
      </c>
      <c r="O464" s="280" t="s">
        <v>888</v>
      </c>
      <c r="P464" s="279">
        <v>0</v>
      </c>
      <c r="Q464" s="281">
        <v>0</v>
      </c>
      <c r="R464" s="282" t="s">
        <v>889</v>
      </c>
      <c r="S464" s="274" t="s">
        <v>1502</v>
      </c>
      <c r="T464" s="44">
        <v>1</v>
      </c>
      <c r="U464" s="283">
        <v>55</v>
      </c>
      <c r="V464" s="284">
        <v>26</v>
      </c>
      <c r="W464" s="285">
        <v>2956</v>
      </c>
      <c r="X464" s="286">
        <v>2023</v>
      </c>
      <c r="Y464" s="287">
        <v>20</v>
      </c>
      <c r="Z464" s="287" t="s">
        <v>889</v>
      </c>
      <c r="AA464" s="286" t="s">
        <v>889</v>
      </c>
      <c r="AB464" s="287">
        <v>0</v>
      </c>
      <c r="AC464" s="287"/>
      <c r="AD464" s="288" t="s">
        <v>889</v>
      </c>
      <c r="AE464" s="289" t="s">
        <v>889</v>
      </c>
      <c r="AF464" s="279">
        <v>18</v>
      </c>
      <c r="AG464" s="282">
        <v>44175</v>
      </c>
      <c r="AH464" s="282">
        <v>38656</v>
      </c>
      <c r="AI464" s="282">
        <v>44167</v>
      </c>
      <c r="AJ464" s="282" t="s">
        <v>889</v>
      </c>
      <c r="AK464" s="274"/>
    </row>
    <row r="465" spans="1:37" x14ac:dyDescent="0.3">
      <c r="A465" s="273">
        <v>88734</v>
      </c>
      <c r="B465" s="274" t="s">
        <v>1511</v>
      </c>
      <c r="C465" s="146" t="s">
        <v>263</v>
      </c>
      <c r="D465" s="275">
        <v>44</v>
      </c>
      <c r="E465" s="274"/>
      <c r="F465" s="274"/>
      <c r="G465" s="274" t="s">
        <v>889</v>
      </c>
      <c r="H465" s="276">
        <v>44</v>
      </c>
      <c r="I465" s="24">
        <v>103003</v>
      </c>
      <c r="J465" s="277">
        <v>44</v>
      </c>
      <c r="K465" s="276">
        <v>8</v>
      </c>
      <c r="L465" s="278">
        <v>65.671641791044777</v>
      </c>
      <c r="M465" s="279">
        <v>0</v>
      </c>
      <c r="N465" s="277">
        <v>0</v>
      </c>
      <c r="O465" s="280" t="s">
        <v>888</v>
      </c>
      <c r="P465" s="279">
        <v>0</v>
      </c>
      <c r="Q465" s="281">
        <v>0</v>
      </c>
      <c r="R465" s="282" t="s">
        <v>889</v>
      </c>
      <c r="S465" s="274" t="s">
        <v>1502</v>
      </c>
      <c r="T465" s="44">
        <v>1</v>
      </c>
      <c r="U465" s="283">
        <v>55</v>
      </c>
      <c r="V465" s="284">
        <v>26</v>
      </c>
      <c r="W465" s="285" t="s">
        <v>889</v>
      </c>
      <c r="X465" s="286" t="s">
        <v>889</v>
      </c>
      <c r="Y465" s="287">
        <v>0</v>
      </c>
      <c r="Z465" s="287" t="s">
        <v>889</v>
      </c>
      <c r="AA465" s="286" t="s">
        <v>889</v>
      </c>
      <c r="AB465" s="287">
        <v>0</v>
      </c>
      <c r="AC465" s="287"/>
      <c r="AD465" s="288" t="s">
        <v>889</v>
      </c>
      <c r="AE465" s="289" t="s">
        <v>889</v>
      </c>
      <c r="AF465" s="279">
        <v>2</v>
      </c>
      <c r="AG465" s="282">
        <v>43903</v>
      </c>
      <c r="AH465" s="282">
        <v>38656</v>
      </c>
      <c r="AI465" s="282">
        <v>44687</v>
      </c>
      <c r="AJ465" s="282" t="s">
        <v>889</v>
      </c>
      <c r="AK465" s="274"/>
    </row>
    <row r="466" spans="1:37" x14ac:dyDescent="0.3">
      <c r="A466" s="273">
        <v>88735</v>
      </c>
      <c r="B466" s="274" t="s">
        <v>1512</v>
      </c>
      <c r="C466" s="146" t="s">
        <v>263</v>
      </c>
      <c r="D466" s="275">
        <v>34.299999999999997</v>
      </c>
      <c r="E466" s="274"/>
      <c r="F466" s="274"/>
      <c r="G466" s="274" t="s">
        <v>889</v>
      </c>
      <c r="H466" s="276">
        <v>91</v>
      </c>
      <c r="I466" s="24">
        <v>103003</v>
      </c>
      <c r="J466" s="277">
        <v>34.299999999999997</v>
      </c>
      <c r="K466" s="276">
        <v>22</v>
      </c>
      <c r="L466" s="278">
        <v>47.395833333333329</v>
      </c>
      <c r="M466" s="279">
        <v>0</v>
      </c>
      <c r="N466" s="277">
        <v>0</v>
      </c>
      <c r="O466" s="280" t="s">
        <v>888</v>
      </c>
      <c r="P466" s="279">
        <v>0</v>
      </c>
      <c r="Q466" s="281">
        <v>0</v>
      </c>
      <c r="R466" s="282" t="s">
        <v>889</v>
      </c>
      <c r="S466" s="274" t="s">
        <v>1502</v>
      </c>
      <c r="T466" s="44">
        <v>1</v>
      </c>
      <c r="U466" s="283">
        <v>55</v>
      </c>
      <c r="V466" s="284">
        <v>26</v>
      </c>
      <c r="W466" s="285" t="s">
        <v>889</v>
      </c>
      <c r="X466" s="286" t="s">
        <v>889</v>
      </c>
      <c r="Y466" s="287">
        <v>0</v>
      </c>
      <c r="Z466" s="287" t="s">
        <v>889</v>
      </c>
      <c r="AA466" s="286" t="s">
        <v>889</v>
      </c>
      <c r="AB466" s="287">
        <v>0</v>
      </c>
      <c r="AC466" s="287"/>
      <c r="AD466" s="288" t="s">
        <v>889</v>
      </c>
      <c r="AE466" s="289" t="s">
        <v>889</v>
      </c>
      <c r="AF466" s="279">
        <v>8</v>
      </c>
      <c r="AG466" s="282">
        <v>44628</v>
      </c>
      <c r="AH466" s="282">
        <v>38656</v>
      </c>
      <c r="AI466" s="282">
        <v>44616</v>
      </c>
      <c r="AJ466" s="282" t="s">
        <v>889</v>
      </c>
      <c r="AK466" s="274"/>
    </row>
    <row r="467" spans="1:37" x14ac:dyDescent="0.3">
      <c r="A467" s="273">
        <v>88740</v>
      </c>
      <c r="B467" s="274" t="s">
        <v>1513</v>
      </c>
      <c r="C467" s="146" t="s">
        <v>263</v>
      </c>
      <c r="D467" s="275">
        <v>20.079999999999998</v>
      </c>
      <c r="E467" s="274"/>
      <c r="F467" s="274"/>
      <c r="G467" s="274" t="s">
        <v>889</v>
      </c>
      <c r="H467" s="276">
        <v>74</v>
      </c>
      <c r="I467" s="24">
        <v>103003</v>
      </c>
      <c r="J467" s="277">
        <v>20.079999999999998</v>
      </c>
      <c r="K467" s="276">
        <v>84</v>
      </c>
      <c r="L467" s="278">
        <v>10.571428571428571</v>
      </c>
      <c r="M467" s="279">
        <v>10</v>
      </c>
      <c r="N467" s="277">
        <v>200.8</v>
      </c>
      <c r="O467" s="280" t="s">
        <v>888</v>
      </c>
      <c r="P467" s="279">
        <v>0</v>
      </c>
      <c r="Q467" s="281">
        <v>0</v>
      </c>
      <c r="R467" s="282" t="s">
        <v>889</v>
      </c>
      <c r="S467" s="274" t="s">
        <v>1502</v>
      </c>
      <c r="T467" s="44">
        <v>1</v>
      </c>
      <c r="U467" s="283">
        <v>55</v>
      </c>
      <c r="V467" s="284">
        <v>26</v>
      </c>
      <c r="W467" s="285" t="s">
        <v>889</v>
      </c>
      <c r="X467" s="286" t="s">
        <v>889</v>
      </c>
      <c r="Y467" s="287">
        <v>0</v>
      </c>
      <c r="Z467" s="287" t="s">
        <v>889</v>
      </c>
      <c r="AA467" s="286" t="s">
        <v>889</v>
      </c>
      <c r="AB467" s="287">
        <v>0</v>
      </c>
      <c r="AC467" s="287"/>
      <c r="AD467" s="288" t="s">
        <v>889</v>
      </c>
      <c r="AE467" s="289" t="s">
        <v>889</v>
      </c>
      <c r="AF467" s="279">
        <v>28</v>
      </c>
      <c r="AG467" s="282">
        <v>41173</v>
      </c>
      <c r="AH467" s="282">
        <v>38656</v>
      </c>
      <c r="AI467" s="282">
        <v>44291</v>
      </c>
      <c r="AJ467" s="282" t="s">
        <v>889</v>
      </c>
      <c r="AK467" s="274"/>
    </row>
    <row r="468" spans="1:37" x14ac:dyDescent="0.3">
      <c r="A468" s="273">
        <v>88744</v>
      </c>
      <c r="B468" s="274" t="s">
        <v>1514</v>
      </c>
      <c r="C468" s="146" t="s">
        <v>263</v>
      </c>
      <c r="D468" s="275">
        <v>44</v>
      </c>
      <c r="E468" s="274"/>
      <c r="F468" s="274"/>
      <c r="G468" s="274" t="s">
        <v>889</v>
      </c>
      <c r="H468" s="276">
        <v>30</v>
      </c>
      <c r="I468" s="24">
        <v>103003</v>
      </c>
      <c r="J468" s="277">
        <v>44</v>
      </c>
      <c r="K468" s="276">
        <v>17</v>
      </c>
      <c r="L468" s="278">
        <v>18.987341772151897</v>
      </c>
      <c r="M468" s="279">
        <v>0</v>
      </c>
      <c r="N468" s="277">
        <v>0</v>
      </c>
      <c r="O468" s="280" t="s">
        <v>888</v>
      </c>
      <c r="P468" s="279">
        <v>0</v>
      </c>
      <c r="Q468" s="281">
        <v>0</v>
      </c>
      <c r="R468" s="282" t="s">
        <v>889</v>
      </c>
      <c r="S468" s="274" t="s">
        <v>1502</v>
      </c>
      <c r="T468" s="44">
        <v>1</v>
      </c>
      <c r="U468" s="283">
        <v>55</v>
      </c>
      <c r="V468" s="284">
        <v>26</v>
      </c>
      <c r="W468" s="285" t="s">
        <v>889</v>
      </c>
      <c r="X468" s="286" t="s">
        <v>889</v>
      </c>
      <c r="Y468" s="287">
        <v>0</v>
      </c>
      <c r="Z468" s="287" t="s">
        <v>889</v>
      </c>
      <c r="AA468" s="286" t="s">
        <v>889</v>
      </c>
      <c r="AB468" s="287">
        <v>0</v>
      </c>
      <c r="AC468" s="287"/>
      <c r="AD468" s="288" t="s">
        <v>889</v>
      </c>
      <c r="AE468" s="289" t="s">
        <v>889</v>
      </c>
      <c r="AF468" s="279">
        <v>6</v>
      </c>
      <c r="AG468" s="282">
        <v>44509</v>
      </c>
      <c r="AH468" s="282">
        <v>38656</v>
      </c>
      <c r="AI468" s="282">
        <v>44687</v>
      </c>
      <c r="AJ468" s="282" t="s">
        <v>889</v>
      </c>
      <c r="AK468" s="274"/>
    </row>
    <row r="469" spans="1:37" x14ac:dyDescent="0.3">
      <c r="A469" s="273">
        <v>88745</v>
      </c>
      <c r="B469" s="274" t="s">
        <v>1515</v>
      </c>
      <c r="C469" s="146" t="s">
        <v>263</v>
      </c>
      <c r="D469" s="275">
        <v>80</v>
      </c>
      <c r="E469" s="274"/>
      <c r="F469" s="274"/>
      <c r="G469" s="274" t="s">
        <v>889</v>
      </c>
      <c r="H469" s="276">
        <v>17</v>
      </c>
      <c r="I469" s="24">
        <v>103003</v>
      </c>
      <c r="J469" s="277">
        <v>80</v>
      </c>
      <c r="K469" s="276">
        <v>12</v>
      </c>
      <c r="L469" s="278">
        <v>17</v>
      </c>
      <c r="M469" s="279">
        <v>0</v>
      </c>
      <c r="N469" s="277">
        <v>0</v>
      </c>
      <c r="O469" s="280" t="s">
        <v>888</v>
      </c>
      <c r="P469" s="279">
        <v>0</v>
      </c>
      <c r="Q469" s="281">
        <v>0</v>
      </c>
      <c r="R469" s="282" t="s">
        <v>889</v>
      </c>
      <c r="S469" s="274" t="s">
        <v>1502</v>
      </c>
      <c r="T469" s="44">
        <v>1</v>
      </c>
      <c r="U469" s="283">
        <v>55</v>
      </c>
      <c r="V469" s="284">
        <v>26</v>
      </c>
      <c r="W469" s="285">
        <v>2678</v>
      </c>
      <c r="X469" s="286">
        <v>2023</v>
      </c>
      <c r="Y469" s="287">
        <v>70</v>
      </c>
      <c r="Z469" s="287" t="s">
        <v>889</v>
      </c>
      <c r="AA469" s="286" t="s">
        <v>889</v>
      </c>
      <c r="AB469" s="287">
        <v>0</v>
      </c>
      <c r="AC469" s="287"/>
      <c r="AD469" s="288" t="s">
        <v>889</v>
      </c>
      <c r="AE469" s="289" t="s">
        <v>889</v>
      </c>
      <c r="AF469" s="279">
        <v>4</v>
      </c>
      <c r="AG469" s="282">
        <v>44855</v>
      </c>
      <c r="AH469" s="282">
        <v>38656</v>
      </c>
      <c r="AI469" s="282">
        <v>44845</v>
      </c>
      <c r="AJ469" s="282" t="s">
        <v>889</v>
      </c>
      <c r="AK469" s="274"/>
    </row>
    <row r="470" spans="1:37" x14ac:dyDescent="0.3">
      <c r="A470" s="273">
        <v>88746</v>
      </c>
      <c r="B470" s="274" t="s">
        <v>1516</v>
      </c>
      <c r="C470" s="146" t="s">
        <v>263</v>
      </c>
      <c r="D470" s="275">
        <v>158.69999999999999</v>
      </c>
      <c r="E470" s="274"/>
      <c r="F470" s="274"/>
      <c r="G470" s="274" t="s">
        <v>889</v>
      </c>
      <c r="H470" s="276">
        <v>42</v>
      </c>
      <c r="I470" s="24">
        <v>103003</v>
      </c>
      <c r="J470" s="277">
        <v>158.69999999999999</v>
      </c>
      <c r="K470" s="276">
        <v>9</v>
      </c>
      <c r="L470" s="278">
        <v>56</v>
      </c>
      <c r="M470" s="279">
        <v>0</v>
      </c>
      <c r="N470" s="277">
        <v>0</v>
      </c>
      <c r="O470" s="280" t="s">
        <v>888</v>
      </c>
      <c r="P470" s="279">
        <v>0</v>
      </c>
      <c r="Q470" s="281">
        <v>0</v>
      </c>
      <c r="R470" s="282" t="s">
        <v>889</v>
      </c>
      <c r="S470" s="274" t="s">
        <v>1502</v>
      </c>
      <c r="T470" s="44">
        <v>1</v>
      </c>
      <c r="U470" s="283">
        <v>55</v>
      </c>
      <c r="V470" s="284">
        <v>26</v>
      </c>
      <c r="W470" s="285" t="s">
        <v>889</v>
      </c>
      <c r="X470" s="286" t="s">
        <v>889</v>
      </c>
      <c r="Y470" s="287">
        <v>0</v>
      </c>
      <c r="Z470" s="287" t="s">
        <v>889</v>
      </c>
      <c r="AA470" s="286" t="s">
        <v>889</v>
      </c>
      <c r="AB470" s="287">
        <v>0</v>
      </c>
      <c r="AC470" s="287"/>
      <c r="AD470" s="288" t="s">
        <v>889</v>
      </c>
      <c r="AE470" s="289" t="s">
        <v>889</v>
      </c>
      <c r="AF470" s="279">
        <v>4</v>
      </c>
      <c r="AG470" s="282">
        <v>43818</v>
      </c>
      <c r="AH470" s="282">
        <v>38656</v>
      </c>
      <c r="AI470" s="282">
        <v>44923</v>
      </c>
      <c r="AJ470" s="282" t="s">
        <v>889</v>
      </c>
      <c r="AK470" s="274"/>
    </row>
    <row r="471" spans="1:37" x14ac:dyDescent="0.3">
      <c r="A471" s="273">
        <v>88747</v>
      </c>
      <c r="B471" s="274" t="s">
        <v>1517</v>
      </c>
      <c r="C471" s="146" t="s">
        <v>263</v>
      </c>
      <c r="D471" s="275">
        <v>205</v>
      </c>
      <c r="E471" s="274"/>
      <c r="F471" s="274"/>
      <c r="G471" s="274" t="s">
        <v>889</v>
      </c>
      <c r="H471" s="276">
        <v>5</v>
      </c>
      <c r="I471" s="24">
        <v>103003</v>
      </c>
      <c r="J471" s="277">
        <v>205</v>
      </c>
      <c r="K471" s="276">
        <v>5</v>
      </c>
      <c r="L471" s="278">
        <v>11.904761904761905</v>
      </c>
      <c r="M471" s="279">
        <v>0.04</v>
      </c>
      <c r="N471" s="277">
        <v>8.1999999999999993</v>
      </c>
      <c r="O471" s="280" t="s">
        <v>888</v>
      </c>
      <c r="P471" s="279">
        <v>0</v>
      </c>
      <c r="Q471" s="281">
        <v>0</v>
      </c>
      <c r="R471" s="282" t="s">
        <v>889</v>
      </c>
      <c r="S471" s="274" t="s">
        <v>1502</v>
      </c>
      <c r="T471" s="44">
        <v>1</v>
      </c>
      <c r="U471" s="283">
        <v>55</v>
      </c>
      <c r="V471" s="284">
        <v>26</v>
      </c>
      <c r="W471" s="285" t="s">
        <v>889</v>
      </c>
      <c r="X471" s="286" t="s">
        <v>889</v>
      </c>
      <c r="Y471" s="287">
        <v>0</v>
      </c>
      <c r="Z471" s="287" t="s">
        <v>889</v>
      </c>
      <c r="AA471" s="286" t="s">
        <v>889</v>
      </c>
      <c r="AB471" s="287">
        <v>0</v>
      </c>
      <c r="AC471" s="287"/>
      <c r="AD471" s="288" t="s">
        <v>889</v>
      </c>
      <c r="AE471" s="289" t="s">
        <v>889</v>
      </c>
      <c r="AF471" s="279">
        <v>2</v>
      </c>
      <c r="AG471" s="282">
        <v>44649</v>
      </c>
      <c r="AH471" s="282">
        <v>38656</v>
      </c>
      <c r="AI471" s="282">
        <v>44687</v>
      </c>
      <c r="AJ471" s="282" t="s">
        <v>889</v>
      </c>
      <c r="AK471" s="274"/>
    </row>
    <row r="472" spans="1:37" x14ac:dyDescent="0.3">
      <c r="A472" s="273">
        <v>88838</v>
      </c>
      <c r="B472" s="274" t="s">
        <v>1518</v>
      </c>
      <c r="C472" s="146" t="s">
        <v>380</v>
      </c>
      <c r="D472" s="275">
        <v>0.7</v>
      </c>
      <c r="E472" s="274"/>
      <c r="F472" s="274"/>
      <c r="G472" s="274" t="s">
        <v>889</v>
      </c>
      <c r="H472" s="276">
        <v>2384</v>
      </c>
      <c r="I472" s="24">
        <v>103003</v>
      </c>
      <c r="J472" s="277">
        <v>0.7</v>
      </c>
      <c r="K472" s="276">
        <v>2044</v>
      </c>
      <c r="L472" s="278">
        <v>8.4338628082216012</v>
      </c>
      <c r="M472" s="279">
        <v>1008.04</v>
      </c>
      <c r="N472" s="277">
        <v>705.62800000000004</v>
      </c>
      <c r="O472" s="280" t="s">
        <v>888</v>
      </c>
      <c r="P472" s="279">
        <v>0</v>
      </c>
      <c r="Q472" s="281">
        <v>0</v>
      </c>
      <c r="R472" s="282" t="s">
        <v>889</v>
      </c>
      <c r="S472" s="274" t="s">
        <v>996</v>
      </c>
      <c r="T472" s="44">
        <v>1</v>
      </c>
      <c r="U472" s="283">
        <v>83</v>
      </c>
      <c r="V472" s="284">
        <v>2</v>
      </c>
      <c r="W472" s="285" t="s">
        <v>889</v>
      </c>
      <c r="X472" s="286" t="s">
        <v>889</v>
      </c>
      <c r="Y472" s="287">
        <v>0</v>
      </c>
      <c r="Z472" s="287" t="s">
        <v>889</v>
      </c>
      <c r="AA472" s="286" t="s">
        <v>889</v>
      </c>
      <c r="AB472" s="287">
        <v>0</v>
      </c>
      <c r="AC472" s="287"/>
      <c r="AD472" s="288" t="s">
        <v>889</v>
      </c>
      <c r="AE472" s="289" t="s">
        <v>889</v>
      </c>
      <c r="AF472" s="279">
        <v>1130</v>
      </c>
      <c r="AG472" s="282">
        <v>45203</v>
      </c>
      <c r="AH472" s="282">
        <v>38663</v>
      </c>
      <c r="AI472" s="282">
        <v>45189</v>
      </c>
      <c r="AJ472" s="282" t="s">
        <v>889</v>
      </c>
      <c r="AK472" s="274"/>
    </row>
    <row r="473" spans="1:37" x14ac:dyDescent="0.3">
      <c r="A473" s="273">
        <v>88839</v>
      </c>
      <c r="B473" s="274" t="s">
        <v>1519</v>
      </c>
      <c r="C473" s="146" t="s">
        <v>287</v>
      </c>
      <c r="D473" s="275">
        <v>62.2</v>
      </c>
      <c r="E473" s="274"/>
      <c r="F473" s="274"/>
      <c r="G473" s="274" t="s">
        <v>889</v>
      </c>
      <c r="H473" s="276">
        <v>51</v>
      </c>
      <c r="I473" s="24">
        <v>103003</v>
      </c>
      <c r="J473" s="277">
        <v>62.2</v>
      </c>
      <c r="K473" s="276">
        <v>37</v>
      </c>
      <c r="L473" s="278">
        <v>14.912280701754385</v>
      </c>
      <c r="M473" s="279">
        <v>0</v>
      </c>
      <c r="N473" s="277">
        <v>0</v>
      </c>
      <c r="O473" s="280" t="s">
        <v>888</v>
      </c>
      <c r="P473" s="279">
        <v>0</v>
      </c>
      <c r="Q473" s="281">
        <v>0</v>
      </c>
      <c r="R473" s="282" t="s">
        <v>889</v>
      </c>
      <c r="S473" s="274" t="s">
        <v>1520</v>
      </c>
      <c r="T473" s="44">
        <v>1</v>
      </c>
      <c r="U473" s="283">
        <v>76</v>
      </c>
      <c r="V473" s="284">
        <v>13</v>
      </c>
      <c r="W473" s="285" t="s">
        <v>889</v>
      </c>
      <c r="X473" s="286" t="s">
        <v>889</v>
      </c>
      <c r="Y473" s="287">
        <v>0</v>
      </c>
      <c r="Z473" s="287" t="s">
        <v>889</v>
      </c>
      <c r="AA473" s="286" t="s">
        <v>889</v>
      </c>
      <c r="AB473" s="287">
        <v>0</v>
      </c>
      <c r="AC473" s="287"/>
      <c r="AD473" s="288" t="s">
        <v>889</v>
      </c>
      <c r="AE473" s="289" t="s">
        <v>889</v>
      </c>
      <c r="AF473" s="279">
        <v>14</v>
      </c>
      <c r="AG473" s="282">
        <v>45190</v>
      </c>
      <c r="AH473" s="282">
        <v>38663</v>
      </c>
      <c r="AI473" s="282">
        <v>45181</v>
      </c>
      <c r="AJ473" s="282" t="s">
        <v>889</v>
      </c>
      <c r="AK473" s="274"/>
    </row>
    <row r="474" spans="1:37" x14ac:dyDescent="0.3">
      <c r="A474" s="273">
        <v>88849</v>
      </c>
      <c r="B474" s="274" t="s">
        <v>1521</v>
      </c>
      <c r="C474" s="146" t="s">
        <v>320</v>
      </c>
      <c r="D474" s="275">
        <v>15.4</v>
      </c>
      <c r="E474" s="274"/>
      <c r="F474" s="274"/>
      <c r="G474" s="274" t="s">
        <v>889</v>
      </c>
      <c r="H474" s="276">
        <v>563</v>
      </c>
      <c r="I474" s="24">
        <v>103003</v>
      </c>
      <c r="J474" s="277">
        <v>15.4</v>
      </c>
      <c r="K474" s="276">
        <v>447</v>
      </c>
      <c r="L474" s="278">
        <v>15.045430251202566</v>
      </c>
      <c r="M474" s="279">
        <v>0</v>
      </c>
      <c r="N474" s="277">
        <v>0</v>
      </c>
      <c r="O474" s="280" t="s">
        <v>888</v>
      </c>
      <c r="P474" s="279">
        <v>0</v>
      </c>
      <c r="Q474" s="281">
        <v>0</v>
      </c>
      <c r="R474" s="282" t="s">
        <v>889</v>
      </c>
      <c r="S474" s="274" t="s">
        <v>1180</v>
      </c>
      <c r="T474" s="44">
        <v>1</v>
      </c>
      <c r="U474" s="283">
        <v>67</v>
      </c>
      <c r="V474" s="284">
        <v>5</v>
      </c>
      <c r="W474" s="285">
        <v>2488</v>
      </c>
      <c r="X474" s="286">
        <v>2023</v>
      </c>
      <c r="Y474" s="287">
        <v>1000</v>
      </c>
      <c r="Z474" s="287" t="s">
        <v>889</v>
      </c>
      <c r="AA474" s="286" t="s">
        <v>889</v>
      </c>
      <c r="AB474" s="287">
        <v>0</v>
      </c>
      <c r="AC474" s="287"/>
      <c r="AD474" s="288" t="s">
        <v>889</v>
      </c>
      <c r="AE474" s="289" t="s">
        <v>889</v>
      </c>
      <c r="AF474" s="279">
        <v>150</v>
      </c>
      <c r="AG474" s="282">
        <v>44154</v>
      </c>
      <c r="AH474" s="282">
        <v>38664</v>
      </c>
      <c r="AI474" s="282">
        <v>44125</v>
      </c>
      <c r="AJ474" s="282" t="s">
        <v>889</v>
      </c>
      <c r="AK474" s="274"/>
    </row>
    <row r="475" spans="1:37" x14ac:dyDescent="0.3">
      <c r="A475" s="273">
        <v>88856</v>
      </c>
      <c r="B475" s="274" t="s">
        <v>1522</v>
      </c>
      <c r="C475" s="146" t="s">
        <v>345</v>
      </c>
      <c r="D475" s="275">
        <v>104.74</v>
      </c>
      <c r="E475" s="274"/>
      <c r="F475" s="274"/>
      <c r="G475" s="274" t="s">
        <v>889</v>
      </c>
      <c r="H475" s="276">
        <v>450</v>
      </c>
      <c r="I475" s="24">
        <v>103003</v>
      </c>
      <c r="J475" s="277">
        <v>104.74</v>
      </c>
      <c r="K475" s="276">
        <v>225</v>
      </c>
      <c r="L475" s="278">
        <v>23.474178403755868</v>
      </c>
      <c r="M475" s="279">
        <v>0</v>
      </c>
      <c r="N475" s="277">
        <v>0</v>
      </c>
      <c r="O475" s="280" t="s">
        <v>888</v>
      </c>
      <c r="P475" s="279">
        <v>0</v>
      </c>
      <c r="Q475" s="281">
        <v>0</v>
      </c>
      <c r="R475" s="282" t="s">
        <v>889</v>
      </c>
      <c r="S475" s="274" t="s">
        <v>1337</v>
      </c>
      <c r="T475" s="44">
        <v>1</v>
      </c>
      <c r="U475" s="283">
        <v>69</v>
      </c>
      <c r="V475" s="284">
        <v>2</v>
      </c>
      <c r="W475" s="285" t="s">
        <v>889</v>
      </c>
      <c r="X475" s="286" t="s">
        <v>889</v>
      </c>
      <c r="Y475" s="287">
        <v>0</v>
      </c>
      <c r="Z475" s="287" t="s">
        <v>889</v>
      </c>
      <c r="AA475" s="286" t="s">
        <v>889</v>
      </c>
      <c r="AB475" s="287">
        <v>0</v>
      </c>
      <c r="AC475" s="287"/>
      <c r="AD475" s="288" t="s">
        <v>889</v>
      </c>
      <c r="AE475" s="289" t="s">
        <v>889</v>
      </c>
      <c r="AF475" s="279">
        <v>76</v>
      </c>
      <c r="AG475" s="282">
        <v>44592</v>
      </c>
      <c r="AH475" s="282">
        <v>38664</v>
      </c>
      <c r="AI475" s="282">
        <v>44578</v>
      </c>
      <c r="AJ475" s="282" t="s">
        <v>889</v>
      </c>
      <c r="AK475" s="274"/>
    </row>
    <row r="476" spans="1:37" x14ac:dyDescent="0.3">
      <c r="A476" s="273">
        <v>88876</v>
      </c>
      <c r="B476" s="274" t="s">
        <v>1523</v>
      </c>
      <c r="C476" s="146" t="s">
        <v>263</v>
      </c>
      <c r="D476" s="275">
        <v>12.35</v>
      </c>
      <c r="E476" s="274"/>
      <c r="F476" s="274"/>
      <c r="G476" s="274" t="s">
        <v>889</v>
      </c>
      <c r="H476" s="276">
        <v>692</v>
      </c>
      <c r="I476" s="24">
        <v>103003</v>
      </c>
      <c r="J476" s="277">
        <v>12.35</v>
      </c>
      <c r="K476" s="276">
        <v>200</v>
      </c>
      <c r="L476" s="278">
        <v>41.51169766046791</v>
      </c>
      <c r="M476" s="279">
        <v>0</v>
      </c>
      <c r="N476" s="277">
        <v>0</v>
      </c>
      <c r="O476" s="280" t="s">
        <v>888</v>
      </c>
      <c r="P476" s="279">
        <v>0</v>
      </c>
      <c r="Q476" s="281">
        <v>0</v>
      </c>
      <c r="R476" s="282" t="s">
        <v>889</v>
      </c>
      <c r="S476" s="274" t="s">
        <v>1212</v>
      </c>
      <c r="T476" s="44">
        <v>1</v>
      </c>
      <c r="U476" s="283">
        <v>51</v>
      </c>
      <c r="V476" s="284">
        <v>26</v>
      </c>
      <c r="W476" s="285" t="s">
        <v>889</v>
      </c>
      <c r="X476" s="286" t="s">
        <v>889</v>
      </c>
      <c r="Y476" s="287">
        <v>0</v>
      </c>
      <c r="Z476" s="287" t="s">
        <v>889</v>
      </c>
      <c r="AA476" s="286" t="s">
        <v>889</v>
      </c>
      <c r="AB476" s="287">
        <v>0</v>
      </c>
      <c r="AC476" s="287"/>
      <c r="AD476" s="288" t="s">
        <v>889</v>
      </c>
      <c r="AE476" s="289" t="s">
        <v>889</v>
      </c>
      <c r="AF476" s="279">
        <v>66</v>
      </c>
      <c r="AG476" s="282">
        <v>44553</v>
      </c>
      <c r="AH476" s="282">
        <v>38664</v>
      </c>
      <c r="AI476" s="282">
        <v>44929</v>
      </c>
      <c r="AJ476" s="282" t="s">
        <v>889</v>
      </c>
      <c r="AK476" s="274"/>
    </row>
    <row r="477" spans="1:37" x14ac:dyDescent="0.3">
      <c r="A477" s="273">
        <v>89194</v>
      </c>
      <c r="B477" s="274" t="s">
        <v>1524</v>
      </c>
      <c r="C477" s="146" t="s">
        <v>263</v>
      </c>
      <c r="D477" s="275">
        <v>69.900000000000006</v>
      </c>
      <c r="E477" s="274"/>
      <c r="F477" s="274"/>
      <c r="G477" s="274" t="s">
        <v>889</v>
      </c>
      <c r="H477" s="276">
        <v>0</v>
      </c>
      <c r="I477" s="24">
        <v>103003</v>
      </c>
      <c r="J477" s="277">
        <v>69.900000000000006</v>
      </c>
      <c r="K477" s="276">
        <v>711</v>
      </c>
      <c r="L477" s="278">
        <v>0</v>
      </c>
      <c r="M477" s="279">
        <v>391</v>
      </c>
      <c r="N477" s="277">
        <v>27330.9</v>
      </c>
      <c r="O477" s="280" t="s">
        <v>888</v>
      </c>
      <c r="P477" s="279">
        <v>0</v>
      </c>
      <c r="Q477" s="281">
        <v>0</v>
      </c>
      <c r="R477" s="282" t="s">
        <v>889</v>
      </c>
      <c r="S477" s="274" t="s">
        <v>1525</v>
      </c>
      <c r="T477" s="44">
        <v>1</v>
      </c>
      <c r="U477" s="283">
        <v>73</v>
      </c>
      <c r="V477" s="284">
        <v>4</v>
      </c>
      <c r="W477" s="285">
        <v>6284</v>
      </c>
      <c r="X477" s="286">
        <v>2023</v>
      </c>
      <c r="Y477" s="287">
        <v>500</v>
      </c>
      <c r="Z477" s="287" t="s">
        <v>889</v>
      </c>
      <c r="AA477" s="286" t="s">
        <v>889</v>
      </c>
      <c r="AB477" s="287">
        <v>0</v>
      </c>
      <c r="AC477" s="287"/>
      <c r="AD477" s="288" t="s">
        <v>889</v>
      </c>
      <c r="AE477" s="289" t="s">
        <v>889</v>
      </c>
      <c r="AF477" s="279">
        <v>298</v>
      </c>
      <c r="AG477" s="282">
        <v>44796</v>
      </c>
      <c r="AH477" s="282">
        <v>38688</v>
      </c>
      <c r="AI477" s="282">
        <v>45190</v>
      </c>
      <c r="AJ477" s="282" t="s">
        <v>889</v>
      </c>
      <c r="AK477" s="274"/>
    </row>
    <row r="478" spans="1:37" x14ac:dyDescent="0.3">
      <c r="A478" s="273">
        <v>89863</v>
      </c>
      <c r="B478" s="274" t="s">
        <v>1526</v>
      </c>
      <c r="C478" s="146" t="s">
        <v>269</v>
      </c>
      <c r="D478" s="275">
        <v>23.33</v>
      </c>
      <c r="E478" s="274"/>
      <c r="F478" s="274"/>
      <c r="G478" s="274" t="s">
        <v>889</v>
      </c>
      <c r="H478" s="276">
        <v>357</v>
      </c>
      <c r="I478" s="24">
        <v>103003</v>
      </c>
      <c r="J478" s="277">
        <v>23.33</v>
      </c>
      <c r="K478" s="276">
        <v>124</v>
      </c>
      <c r="L478" s="278">
        <v>29.334428923582582</v>
      </c>
      <c r="M478" s="279">
        <v>0</v>
      </c>
      <c r="N478" s="277">
        <v>0</v>
      </c>
      <c r="O478" s="280" t="s">
        <v>888</v>
      </c>
      <c r="P478" s="279">
        <v>0</v>
      </c>
      <c r="Q478" s="281">
        <v>0</v>
      </c>
      <c r="R478" s="282" t="s">
        <v>889</v>
      </c>
      <c r="S478" s="274" t="s">
        <v>1527</v>
      </c>
      <c r="T478" s="44">
        <v>1</v>
      </c>
      <c r="U478" s="283">
        <v>67</v>
      </c>
      <c r="V478" s="284">
        <v>3</v>
      </c>
      <c r="W478" s="285" t="s">
        <v>889</v>
      </c>
      <c r="X478" s="286" t="s">
        <v>889</v>
      </c>
      <c r="Y478" s="287">
        <v>0</v>
      </c>
      <c r="Z478" s="287" t="s">
        <v>889</v>
      </c>
      <c r="AA478" s="286" t="s">
        <v>889</v>
      </c>
      <c r="AB478" s="287">
        <v>0</v>
      </c>
      <c r="AC478" s="287"/>
      <c r="AD478" s="288" t="s">
        <v>889</v>
      </c>
      <c r="AE478" s="289" t="s">
        <v>889</v>
      </c>
      <c r="AF478" s="279">
        <v>48</v>
      </c>
      <c r="AG478" s="282">
        <v>43864</v>
      </c>
      <c r="AH478" s="282">
        <v>38743</v>
      </c>
      <c r="AI478" s="282">
        <v>45175</v>
      </c>
      <c r="AJ478" s="282" t="s">
        <v>889</v>
      </c>
      <c r="AK478" s="274"/>
    </row>
    <row r="479" spans="1:37" x14ac:dyDescent="0.3">
      <c r="A479" s="273">
        <v>89864</v>
      </c>
      <c r="B479" s="274" t="s">
        <v>1528</v>
      </c>
      <c r="C479" s="146" t="s">
        <v>269</v>
      </c>
      <c r="D479" s="275">
        <v>26.51</v>
      </c>
      <c r="E479" s="274"/>
      <c r="F479" s="274"/>
      <c r="G479" s="274" t="s">
        <v>889</v>
      </c>
      <c r="H479" s="276">
        <v>774</v>
      </c>
      <c r="I479" s="24">
        <v>103003</v>
      </c>
      <c r="J479" s="277">
        <v>26.51</v>
      </c>
      <c r="K479" s="276">
        <v>45</v>
      </c>
      <c r="L479" s="278">
        <v>206.4</v>
      </c>
      <c r="M479" s="279">
        <v>0</v>
      </c>
      <c r="N479" s="277">
        <v>0</v>
      </c>
      <c r="O479" s="280" t="s">
        <v>888</v>
      </c>
      <c r="P479" s="279">
        <v>0</v>
      </c>
      <c r="Q479" s="281">
        <v>0</v>
      </c>
      <c r="R479" s="282" t="s">
        <v>889</v>
      </c>
      <c r="S479" s="274" t="s">
        <v>1527</v>
      </c>
      <c r="T479" s="44">
        <v>1</v>
      </c>
      <c r="U479" s="283">
        <v>67</v>
      </c>
      <c r="V479" s="284">
        <v>3</v>
      </c>
      <c r="W479" s="285" t="s">
        <v>889</v>
      </c>
      <c r="X479" s="286" t="s">
        <v>889</v>
      </c>
      <c r="Y479" s="287">
        <v>0</v>
      </c>
      <c r="Z479" s="287" t="s">
        <v>889</v>
      </c>
      <c r="AA479" s="286" t="s">
        <v>889</v>
      </c>
      <c r="AB479" s="287">
        <v>0</v>
      </c>
      <c r="AC479" s="287"/>
      <c r="AD479" s="288" t="s">
        <v>889</v>
      </c>
      <c r="AE479" s="289" t="s">
        <v>889</v>
      </c>
      <c r="AF479" s="279">
        <v>16</v>
      </c>
      <c r="AG479" s="282">
        <v>43853</v>
      </c>
      <c r="AH479" s="282">
        <v>38743</v>
      </c>
      <c r="AI479" s="282">
        <v>45175</v>
      </c>
      <c r="AJ479" s="282" t="s">
        <v>889</v>
      </c>
      <c r="AK479" s="274"/>
    </row>
    <row r="480" spans="1:37" x14ac:dyDescent="0.3">
      <c r="A480" s="273">
        <v>89865</v>
      </c>
      <c r="B480" s="274" t="s">
        <v>1529</v>
      </c>
      <c r="C480" s="146" t="s">
        <v>269</v>
      </c>
      <c r="D480" s="275">
        <v>78.599999999999994</v>
      </c>
      <c r="E480" s="274"/>
      <c r="F480" s="274"/>
      <c r="G480" s="274" t="s">
        <v>889</v>
      </c>
      <c r="H480" s="276">
        <v>138</v>
      </c>
      <c r="I480" s="24">
        <v>103003</v>
      </c>
      <c r="J480" s="277">
        <v>78.599999999999994</v>
      </c>
      <c r="K480" s="276">
        <v>60</v>
      </c>
      <c r="L480" s="278">
        <v>27.6</v>
      </c>
      <c r="M480" s="279">
        <v>0</v>
      </c>
      <c r="N480" s="277">
        <v>0</v>
      </c>
      <c r="O480" s="280" t="s">
        <v>888</v>
      </c>
      <c r="P480" s="279">
        <v>0</v>
      </c>
      <c r="Q480" s="281">
        <v>0</v>
      </c>
      <c r="R480" s="282" t="s">
        <v>889</v>
      </c>
      <c r="S480" s="274" t="s">
        <v>1527</v>
      </c>
      <c r="T480" s="44">
        <v>1</v>
      </c>
      <c r="U480" s="283">
        <v>67</v>
      </c>
      <c r="V480" s="284">
        <v>3</v>
      </c>
      <c r="W480" s="285" t="s">
        <v>889</v>
      </c>
      <c r="X480" s="286" t="s">
        <v>889</v>
      </c>
      <c r="Y480" s="287">
        <v>0</v>
      </c>
      <c r="Z480" s="287" t="s">
        <v>889</v>
      </c>
      <c r="AA480" s="286" t="s">
        <v>889</v>
      </c>
      <c r="AB480" s="287">
        <v>0</v>
      </c>
      <c r="AC480" s="287"/>
      <c r="AD480" s="288" t="s">
        <v>889</v>
      </c>
      <c r="AE480" s="289" t="s">
        <v>889</v>
      </c>
      <c r="AF480" s="279">
        <v>20</v>
      </c>
      <c r="AG480" s="282">
        <v>43864</v>
      </c>
      <c r="AH480" s="282">
        <v>38743</v>
      </c>
      <c r="AI480" s="282">
        <v>44335</v>
      </c>
      <c r="AJ480" s="282" t="s">
        <v>889</v>
      </c>
      <c r="AK480" s="274"/>
    </row>
    <row r="481" spans="1:37" x14ac:dyDescent="0.3">
      <c r="A481" s="273">
        <v>91250</v>
      </c>
      <c r="B481" s="274" t="s">
        <v>1530</v>
      </c>
      <c r="C481" s="146" t="s">
        <v>272</v>
      </c>
      <c r="D481" s="275">
        <v>0.64</v>
      </c>
      <c r="E481" s="274"/>
      <c r="F481" s="274"/>
      <c r="G481" s="274" t="s">
        <v>889</v>
      </c>
      <c r="H481" s="276">
        <v>665</v>
      </c>
      <c r="I481" s="24">
        <v>103003</v>
      </c>
      <c r="J481" s="277">
        <v>0.64</v>
      </c>
      <c r="K481" s="276">
        <v>42</v>
      </c>
      <c r="L481" s="278">
        <v>190</v>
      </c>
      <c r="M481" s="279">
        <v>0</v>
      </c>
      <c r="N481" s="277">
        <v>0</v>
      </c>
      <c r="O481" s="280" t="s">
        <v>888</v>
      </c>
      <c r="P481" s="279">
        <v>0</v>
      </c>
      <c r="Q481" s="281">
        <v>0</v>
      </c>
      <c r="R481" s="282" t="s">
        <v>889</v>
      </c>
      <c r="S481" s="274" t="s">
        <v>1037</v>
      </c>
      <c r="T481" s="44">
        <v>1</v>
      </c>
      <c r="U481" s="283">
        <v>45</v>
      </c>
      <c r="V481" s="284">
        <v>17</v>
      </c>
      <c r="W481" s="285" t="s">
        <v>889</v>
      </c>
      <c r="X481" s="286" t="s">
        <v>889</v>
      </c>
      <c r="Y481" s="287">
        <v>0</v>
      </c>
      <c r="Z481" s="287" t="s">
        <v>889</v>
      </c>
      <c r="AA481" s="286" t="s">
        <v>889</v>
      </c>
      <c r="AB481" s="287">
        <v>0</v>
      </c>
      <c r="AC481" s="287"/>
      <c r="AD481" s="288" t="s">
        <v>889</v>
      </c>
      <c r="AE481" s="289" t="s">
        <v>889</v>
      </c>
      <c r="AF481" s="279">
        <v>14</v>
      </c>
      <c r="AG481" s="282">
        <v>44160</v>
      </c>
      <c r="AH481" s="282">
        <v>38820</v>
      </c>
      <c r="AI481" s="282">
        <v>44110</v>
      </c>
      <c r="AJ481" s="282" t="s">
        <v>889</v>
      </c>
      <c r="AK481" s="274"/>
    </row>
    <row r="482" spans="1:37" x14ac:dyDescent="0.3">
      <c r="A482" s="273">
        <v>91669</v>
      </c>
      <c r="B482" s="274" t="s">
        <v>1531</v>
      </c>
      <c r="C482" s="146" t="s">
        <v>31</v>
      </c>
      <c r="D482" s="275">
        <v>4.46</v>
      </c>
      <c r="E482" s="274" t="s">
        <v>1532</v>
      </c>
      <c r="F482" s="274" t="s">
        <v>1533</v>
      </c>
      <c r="G482" s="274" t="s">
        <v>896</v>
      </c>
      <c r="H482" s="276">
        <v>668</v>
      </c>
      <c r="I482" s="24">
        <v>103003</v>
      </c>
      <c r="J482" s="277">
        <v>4.46</v>
      </c>
      <c r="K482" s="276">
        <v>4189</v>
      </c>
      <c r="L482" s="278">
        <v>1.2241831143365038</v>
      </c>
      <c r="M482" s="279">
        <v>5080.04</v>
      </c>
      <c r="N482" s="277">
        <v>22656.9784</v>
      </c>
      <c r="O482" s="280" t="s">
        <v>897</v>
      </c>
      <c r="P482" s="279">
        <v>4950</v>
      </c>
      <c r="Q482" s="281">
        <v>22077</v>
      </c>
      <c r="R482" s="282">
        <v>45377</v>
      </c>
      <c r="S482" s="274" t="s">
        <v>1534</v>
      </c>
      <c r="T482" s="44">
        <v>1</v>
      </c>
      <c r="U482" s="283">
        <v>72</v>
      </c>
      <c r="V482" s="284">
        <v>9</v>
      </c>
      <c r="W482" s="285" t="s">
        <v>889</v>
      </c>
      <c r="X482" s="286" t="s">
        <v>889</v>
      </c>
      <c r="Y482" s="287">
        <v>0</v>
      </c>
      <c r="Z482" s="287">
        <v>12191</v>
      </c>
      <c r="AA482" s="286">
        <v>2023</v>
      </c>
      <c r="AB482" s="287">
        <v>800</v>
      </c>
      <c r="AC482" s="287">
        <v>800</v>
      </c>
      <c r="AD482" s="288" t="s">
        <v>2065</v>
      </c>
      <c r="AE482" s="289">
        <v>45229</v>
      </c>
      <c r="AF482" s="279">
        <v>2182</v>
      </c>
      <c r="AG482" s="282">
        <v>45092</v>
      </c>
      <c r="AH482" s="282">
        <v>38847</v>
      </c>
      <c r="AI482" s="282">
        <v>45196</v>
      </c>
      <c r="AJ482" s="282" t="s">
        <v>889</v>
      </c>
      <c r="AK482" s="274"/>
    </row>
    <row r="483" spans="1:37" x14ac:dyDescent="0.3">
      <c r="A483" s="273">
        <v>92907</v>
      </c>
      <c r="B483" s="274" t="s">
        <v>1535</v>
      </c>
      <c r="C483" s="146" t="s">
        <v>267</v>
      </c>
      <c r="D483" s="275">
        <v>38</v>
      </c>
      <c r="E483" s="274"/>
      <c r="F483" s="274"/>
      <c r="G483" s="274" t="s">
        <v>889</v>
      </c>
      <c r="H483" s="276">
        <v>2381</v>
      </c>
      <c r="I483" s="24">
        <v>103003</v>
      </c>
      <c r="J483" s="277">
        <v>38</v>
      </c>
      <c r="K483" s="276">
        <v>2939</v>
      </c>
      <c r="L483" s="278">
        <v>7.536718156495315</v>
      </c>
      <c r="M483" s="279">
        <v>1410.04</v>
      </c>
      <c r="N483" s="277">
        <v>53581.52</v>
      </c>
      <c r="O483" s="280" t="s">
        <v>888</v>
      </c>
      <c r="P483" s="279">
        <v>0</v>
      </c>
      <c r="Q483" s="281">
        <v>0</v>
      </c>
      <c r="R483" s="282" t="s">
        <v>889</v>
      </c>
      <c r="S483" s="274" t="s">
        <v>1364</v>
      </c>
      <c r="T483" s="44">
        <v>1</v>
      </c>
      <c r="U483" s="283">
        <v>57</v>
      </c>
      <c r="V483" s="284">
        <v>17</v>
      </c>
      <c r="W483" s="285" t="s">
        <v>889</v>
      </c>
      <c r="X483" s="286" t="s">
        <v>889</v>
      </c>
      <c r="Y483" s="287">
        <v>0</v>
      </c>
      <c r="Z483" s="287" t="s">
        <v>889</v>
      </c>
      <c r="AA483" s="286" t="s">
        <v>889</v>
      </c>
      <c r="AB483" s="287">
        <v>0</v>
      </c>
      <c r="AC483" s="287"/>
      <c r="AD483" s="288" t="s">
        <v>889</v>
      </c>
      <c r="AE483" s="289" t="s">
        <v>889</v>
      </c>
      <c r="AF483" s="279">
        <v>1264</v>
      </c>
      <c r="AG483" s="282">
        <v>44131</v>
      </c>
      <c r="AH483" s="282">
        <v>38904</v>
      </c>
      <c r="AI483" s="282">
        <v>45049</v>
      </c>
      <c r="AJ483" s="282" t="s">
        <v>889</v>
      </c>
      <c r="AK483" s="274"/>
    </row>
    <row r="484" spans="1:37" x14ac:dyDescent="0.3">
      <c r="A484" s="273">
        <v>92908</v>
      </c>
      <c r="B484" s="274" t="s">
        <v>1536</v>
      </c>
      <c r="C484" s="146" t="s">
        <v>267</v>
      </c>
      <c r="D484" s="275">
        <v>38</v>
      </c>
      <c r="E484" s="274"/>
      <c r="F484" s="274"/>
      <c r="G484" s="274" t="s">
        <v>889</v>
      </c>
      <c r="H484" s="276">
        <v>1822</v>
      </c>
      <c r="I484" s="24">
        <v>103003</v>
      </c>
      <c r="J484" s="277">
        <v>38</v>
      </c>
      <c r="K484" s="276">
        <v>3092</v>
      </c>
      <c r="L484" s="278">
        <v>5.4866297277764398</v>
      </c>
      <c r="M484" s="279">
        <v>2162.96</v>
      </c>
      <c r="N484" s="277">
        <v>82192.479999999996</v>
      </c>
      <c r="O484" s="280" t="s">
        <v>888</v>
      </c>
      <c r="P484" s="279">
        <v>0</v>
      </c>
      <c r="Q484" s="281">
        <v>0</v>
      </c>
      <c r="R484" s="282" t="s">
        <v>889</v>
      </c>
      <c r="S484" s="274" t="s">
        <v>1364</v>
      </c>
      <c r="T484" s="44">
        <v>1</v>
      </c>
      <c r="U484" s="283">
        <v>57</v>
      </c>
      <c r="V484" s="284">
        <v>17</v>
      </c>
      <c r="W484" s="285" t="s">
        <v>889</v>
      </c>
      <c r="X484" s="286" t="s">
        <v>889</v>
      </c>
      <c r="Y484" s="287">
        <v>0</v>
      </c>
      <c r="Z484" s="287" t="s">
        <v>889</v>
      </c>
      <c r="AA484" s="286" t="s">
        <v>889</v>
      </c>
      <c r="AB484" s="287">
        <v>0</v>
      </c>
      <c r="AC484" s="287"/>
      <c r="AD484" s="288" t="s">
        <v>889</v>
      </c>
      <c r="AE484" s="289" t="s">
        <v>889</v>
      </c>
      <c r="AF484" s="279">
        <v>1328</v>
      </c>
      <c r="AG484" s="282">
        <v>44141</v>
      </c>
      <c r="AH484" s="282">
        <v>38904</v>
      </c>
      <c r="AI484" s="282">
        <v>45049</v>
      </c>
      <c r="AJ484" s="282" t="s">
        <v>889</v>
      </c>
      <c r="AK484" s="274"/>
    </row>
    <row r="485" spans="1:37" x14ac:dyDescent="0.3">
      <c r="A485" s="273">
        <v>93139</v>
      </c>
      <c r="B485" s="274" t="s">
        <v>1537</v>
      </c>
      <c r="C485" s="146" t="s">
        <v>260</v>
      </c>
      <c r="D485" s="275">
        <v>8.2899999999999991</v>
      </c>
      <c r="E485" s="274"/>
      <c r="F485" s="274"/>
      <c r="G485" s="274" t="s">
        <v>889</v>
      </c>
      <c r="H485" s="276">
        <v>150</v>
      </c>
      <c r="I485" s="24">
        <v>103003</v>
      </c>
      <c r="J485" s="277">
        <v>8.2899999999999991</v>
      </c>
      <c r="K485" s="276">
        <v>120</v>
      </c>
      <c r="L485" s="278">
        <v>12.325390304026294</v>
      </c>
      <c r="M485" s="279">
        <v>0</v>
      </c>
      <c r="N485" s="277">
        <v>0</v>
      </c>
      <c r="O485" s="280" t="s">
        <v>888</v>
      </c>
      <c r="P485" s="279">
        <v>0</v>
      </c>
      <c r="Q485" s="281">
        <v>0</v>
      </c>
      <c r="R485" s="282" t="s">
        <v>889</v>
      </c>
      <c r="S485" s="274" t="s">
        <v>1538</v>
      </c>
      <c r="T485" s="44">
        <v>1</v>
      </c>
      <c r="U485" s="283">
        <v>54</v>
      </c>
      <c r="V485" s="284">
        <v>8</v>
      </c>
      <c r="W485" s="285" t="s">
        <v>889</v>
      </c>
      <c r="X485" s="286" t="s">
        <v>889</v>
      </c>
      <c r="Y485" s="287">
        <v>0</v>
      </c>
      <c r="Z485" s="287" t="s">
        <v>889</v>
      </c>
      <c r="AA485" s="286" t="s">
        <v>889</v>
      </c>
      <c r="AB485" s="287">
        <v>0</v>
      </c>
      <c r="AC485" s="287"/>
      <c r="AD485" s="288" t="s">
        <v>889</v>
      </c>
      <c r="AE485" s="289" t="s">
        <v>889</v>
      </c>
      <c r="AF485" s="279">
        <v>48</v>
      </c>
      <c r="AG485" s="282">
        <v>45181</v>
      </c>
      <c r="AH485" s="282">
        <v>38912</v>
      </c>
      <c r="AI485" s="282">
        <v>45163</v>
      </c>
      <c r="AJ485" s="282" t="s">
        <v>889</v>
      </c>
      <c r="AK485" s="274"/>
    </row>
    <row r="486" spans="1:37" x14ac:dyDescent="0.3">
      <c r="A486" s="273">
        <v>93325</v>
      </c>
      <c r="B486" s="274" t="s">
        <v>1539</v>
      </c>
      <c r="C486" s="146" t="s">
        <v>380</v>
      </c>
      <c r="D486" s="275">
        <v>0.45</v>
      </c>
      <c r="E486" s="274"/>
      <c r="F486" s="274"/>
      <c r="G486" s="274" t="s">
        <v>889</v>
      </c>
      <c r="H486" s="276">
        <v>0</v>
      </c>
      <c r="I486" s="24">
        <v>103003</v>
      </c>
      <c r="J486" s="277">
        <v>0.45</v>
      </c>
      <c r="K486" s="276">
        <v>4579</v>
      </c>
      <c r="L486" s="278">
        <v>0</v>
      </c>
      <c r="M486" s="279">
        <v>4165</v>
      </c>
      <c r="N486" s="277">
        <v>1874.25</v>
      </c>
      <c r="O486" s="280" t="s">
        <v>888</v>
      </c>
      <c r="P486" s="279">
        <v>0</v>
      </c>
      <c r="Q486" s="281">
        <v>0</v>
      </c>
      <c r="R486" s="282" t="s">
        <v>889</v>
      </c>
      <c r="S486" s="274" t="s">
        <v>1136</v>
      </c>
      <c r="T486" s="44">
        <v>1</v>
      </c>
      <c r="U486" s="283">
        <v>57</v>
      </c>
      <c r="V486" s="284">
        <v>2</v>
      </c>
      <c r="W486" s="285">
        <v>6984</v>
      </c>
      <c r="X486" s="286">
        <v>2023</v>
      </c>
      <c r="Y486" s="287">
        <v>1700</v>
      </c>
      <c r="Z486" s="287" t="s">
        <v>889</v>
      </c>
      <c r="AA486" s="286" t="s">
        <v>889</v>
      </c>
      <c r="AB486" s="287">
        <v>0</v>
      </c>
      <c r="AC486" s="287"/>
      <c r="AD486" s="288" t="s">
        <v>889</v>
      </c>
      <c r="AE486" s="289" t="s">
        <v>889</v>
      </c>
      <c r="AF486" s="279">
        <v>1956</v>
      </c>
      <c r="AG486" s="282">
        <v>44974</v>
      </c>
      <c r="AH486" s="282">
        <v>38919</v>
      </c>
      <c r="AI486" s="282">
        <v>45049</v>
      </c>
      <c r="AJ486" s="282" t="s">
        <v>889</v>
      </c>
      <c r="AK486" s="274"/>
    </row>
    <row r="487" spans="1:37" x14ac:dyDescent="0.3">
      <c r="A487" s="273">
        <v>93327</v>
      </c>
      <c r="B487" s="274" t="s">
        <v>1540</v>
      </c>
      <c r="C487" s="146" t="s">
        <v>380</v>
      </c>
      <c r="D487" s="275">
        <v>0.34</v>
      </c>
      <c r="E487" s="274"/>
      <c r="F487" s="274"/>
      <c r="G487" s="274" t="s">
        <v>889</v>
      </c>
      <c r="H487" s="276">
        <v>0</v>
      </c>
      <c r="I487" s="24">
        <v>103003</v>
      </c>
      <c r="J487" s="277">
        <v>0.34</v>
      </c>
      <c r="K487" s="276">
        <v>4474</v>
      </c>
      <c r="L487" s="278">
        <v>0</v>
      </c>
      <c r="M487" s="279">
        <v>3939.04</v>
      </c>
      <c r="N487" s="277">
        <v>1339.2736</v>
      </c>
      <c r="O487" s="280" t="s">
        <v>888</v>
      </c>
      <c r="P487" s="279">
        <v>0</v>
      </c>
      <c r="Q487" s="281">
        <v>0</v>
      </c>
      <c r="R487" s="282" t="s">
        <v>889</v>
      </c>
      <c r="S487" s="274" t="s">
        <v>1136</v>
      </c>
      <c r="T487" s="44">
        <v>1</v>
      </c>
      <c r="U487" s="283">
        <v>57</v>
      </c>
      <c r="V487" s="284">
        <v>2</v>
      </c>
      <c r="W487" s="285">
        <v>6984</v>
      </c>
      <c r="X487" s="286">
        <v>2023</v>
      </c>
      <c r="Y487" s="287">
        <v>1700</v>
      </c>
      <c r="Z487" s="287" t="s">
        <v>889</v>
      </c>
      <c r="AA487" s="286" t="s">
        <v>889</v>
      </c>
      <c r="AB487" s="287">
        <v>0</v>
      </c>
      <c r="AC487" s="287"/>
      <c r="AD487" s="288" t="s">
        <v>889</v>
      </c>
      <c r="AE487" s="289" t="s">
        <v>889</v>
      </c>
      <c r="AF487" s="279">
        <v>1880</v>
      </c>
      <c r="AG487" s="282">
        <v>44967</v>
      </c>
      <c r="AH487" s="282">
        <v>38919</v>
      </c>
      <c r="AI487" s="282">
        <v>45194</v>
      </c>
      <c r="AJ487" s="282" t="s">
        <v>889</v>
      </c>
      <c r="AK487" s="274"/>
    </row>
    <row r="488" spans="1:37" x14ac:dyDescent="0.3">
      <c r="A488" s="273">
        <v>93329</v>
      </c>
      <c r="B488" s="274" t="s">
        <v>1541</v>
      </c>
      <c r="C488" s="146" t="s">
        <v>380</v>
      </c>
      <c r="D488" s="275">
        <v>0.45</v>
      </c>
      <c r="E488" s="274"/>
      <c r="F488" s="274"/>
      <c r="G488" s="274" t="s">
        <v>889</v>
      </c>
      <c r="H488" s="276">
        <v>0</v>
      </c>
      <c r="I488" s="24">
        <v>103003</v>
      </c>
      <c r="J488" s="277">
        <v>0.45</v>
      </c>
      <c r="K488" s="276">
        <v>4655</v>
      </c>
      <c r="L488" s="278">
        <v>0</v>
      </c>
      <c r="M488" s="279">
        <v>4183</v>
      </c>
      <c r="N488" s="277">
        <v>1882.35</v>
      </c>
      <c r="O488" s="280" t="s">
        <v>888</v>
      </c>
      <c r="P488" s="279">
        <v>0</v>
      </c>
      <c r="Q488" s="281">
        <v>0</v>
      </c>
      <c r="R488" s="282" t="s">
        <v>889</v>
      </c>
      <c r="S488" s="274" t="s">
        <v>1136</v>
      </c>
      <c r="T488" s="44">
        <v>1</v>
      </c>
      <c r="U488" s="283">
        <v>57</v>
      </c>
      <c r="V488" s="284">
        <v>2</v>
      </c>
      <c r="W488" s="285">
        <v>6216</v>
      </c>
      <c r="X488" s="286">
        <v>2023</v>
      </c>
      <c r="Y488" s="287">
        <v>2000</v>
      </c>
      <c r="Z488" s="287" t="s">
        <v>889</v>
      </c>
      <c r="AA488" s="286" t="s">
        <v>889</v>
      </c>
      <c r="AB488" s="287">
        <v>0</v>
      </c>
      <c r="AC488" s="287"/>
      <c r="AD488" s="288" t="s">
        <v>889</v>
      </c>
      <c r="AE488" s="289" t="s">
        <v>889</v>
      </c>
      <c r="AF488" s="279">
        <v>2062</v>
      </c>
      <c r="AG488" s="282">
        <v>44967</v>
      </c>
      <c r="AH488" s="282">
        <v>38919</v>
      </c>
      <c r="AI488" s="282">
        <v>45049</v>
      </c>
      <c r="AJ488" s="282" t="s">
        <v>889</v>
      </c>
      <c r="AK488" s="274"/>
    </row>
    <row r="489" spans="1:37" x14ac:dyDescent="0.3">
      <c r="A489" s="273">
        <v>93332</v>
      </c>
      <c r="B489" s="274" t="s">
        <v>1542</v>
      </c>
      <c r="C489" s="146" t="s">
        <v>380</v>
      </c>
      <c r="D489" s="275">
        <v>0.34</v>
      </c>
      <c r="E489" s="274"/>
      <c r="F489" s="274"/>
      <c r="G489" s="274" t="s">
        <v>889</v>
      </c>
      <c r="H489" s="276">
        <v>0</v>
      </c>
      <c r="I489" s="24">
        <v>103003</v>
      </c>
      <c r="J489" s="277">
        <v>0.34</v>
      </c>
      <c r="K489" s="276">
        <v>4683</v>
      </c>
      <c r="L489" s="278">
        <v>0</v>
      </c>
      <c r="M489" s="279">
        <v>4374.04</v>
      </c>
      <c r="N489" s="277">
        <v>1487.1736000000001</v>
      </c>
      <c r="O489" s="280" t="s">
        <v>888</v>
      </c>
      <c r="P489" s="279">
        <v>0</v>
      </c>
      <c r="Q489" s="281">
        <v>0</v>
      </c>
      <c r="R489" s="282" t="s">
        <v>889</v>
      </c>
      <c r="S489" s="274" t="s">
        <v>1136</v>
      </c>
      <c r="T489" s="44">
        <v>1</v>
      </c>
      <c r="U489" s="283">
        <v>57</v>
      </c>
      <c r="V489" s="284">
        <v>2</v>
      </c>
      <c r="W489" s="285">
        <v>6216</v>
      </c>
      <c r="X489" s="286">
        <v>2023</v>
      </c>
      <c r="Y489" s="287">
        <v>2000</v>
      </c>
      <c r="Z489" s="287" t="s">
        <v>889</v>
      </c>
      <c r="AA489" s="286" t="s">
        <v>889</v>
      </c>
      <c r="AB489" s="287">
        <v>0</v>
      </c>
      <c r="AC489" s="287"/>
      <c r="AD489" s="288" t="s">
        <v>889</v>
      </c>
      <c r="AE489" s="289" t="s">
        <v>889</v>
      </c>
      <c r="AF489" s="279">
        <v>2124</v>
      </c>
      <c r="AG489" s="282">
        <v>44967</v>
      </c>
      <c r="AH489" s="282">
        <v>38919</v>
      </c>
      <c r="AI489" s="282">
        <v>45118</v>
      </c>
      <c r="AJ489" s="282" t="s">
        <v>889</v>
      </c>
      <c r="AK489" s="274"/>
    </row>
    <row r="490" spans="1:37" x14ac:dyDescent="0.3">
      <c r="A490" s="273">
        <v>93334</v>
      </c>
      <c r="B490" s="274" t="s">
        <v>1543</v>
      </c>
      <c r="C490" s="146" t="s">
        <v>380</v>
      </c>
      <c r="D490" s="275">
        <v>0.45</v>
      </c>
      <c r="E490" s="274"/>
      <c r="F490" s="274"/>
      <c r="G490" s="274" t="s">
        <v>889</v>
      </c>
      <c r="H490" s="276">
        <v>0</v>
      </c>
      <c r="I490" s="24">
        <v>103003</v>
      </c>
      <c r="J490" s="277">
        <v>0.45</v>
      </c>
      <c r="K490" s="276">
        <v>4720</v>
      </c>
      <c r="L490" s="278">
        <v>0</v>
      </c>
      <c r="M490" s="279">
        <v>4686.04</v>
      </c>
      <c r="N490" s="277">
        <v>2108.7179999999998</v>
      </c>
      <c r="O490" s="280" t="s">
        <v>888</v>
      </c>
      <c r="P490" s="279">
        <v>0</v>
      </c>
      <c r="Q490" s="281">
        <v>0</v>
      </c>
      <c r="R490" s="282" t="s">
        <v>889</v>
      </c>
      <c r="S490" s="274" t="s">
        <v>1136</v>
      </c>
      <c r="T490" s="44">
        <v>1</v>
      </c>
      <c r="U490" s="283">
        <v>57</v>
      </c>
      <c r="V490" s="284">
        <v>2</v>
      </c>
      <c r="W490" s="285">
        <v>6216</v>
      </c>
      <c r="X490" s="286">
        <v>2023</v>
      </c>
      <c r="Y490" s="287">
        <v>2000</v>
      </c>
      <c r="Z490" s="287" t="s">
        <v>889</v>
      </c>
      <c r="AA490" s="286" t="s">
        <v>889</v>
      </c>
      <c r="AB490" s="287">
        <v>0</v>
      </c>
      <c r="AC490" s="287"/>
      <c r="AD490" s="288" t="s">
        <v>889</v>
      </c>
      <c r="AE490" s="289" t="s">
        <v>889</v>
      </c>
      <c r="AF490" s="279">
        <v>2228</v>
      </c>
      <c r="AG490" s="282">
        <v>44974</v>
      </c>
      <c r="AH490" s="282">
        <v>38919</v>
      </c>
      <c r="AI490" s="282">
        <v>45049</v>
      </c>
      <c r="AJ490" s="282" t="s">
        <v>889</v>
      </c>
      <c r="AK490" s="274"/>
    </row>
    <row r="491" spans="1:37" x14ac:dyDescent="0.3">
      <c r="A491" s="273">
        <v>93335</v>
      </c>
      <c r="B491" s="274" t="s">
        <v>1544</v>
      </c>
      <c r="C491" s="146" t="s">
        <v>380</v>
      </c>
      <c r="D491" s="275">
        <v>0.45</v>
      </c>
      <c r="E491" s="274"/>
      <c r="F491" s="274"/>
      <c r="G491" s="274" t="s">
        <v>889</v>
      </c>
      <c r="H491" s="276">
        <v>0</v>
      </c>
      <c r="I491" s="24">
        <v>103003</v>
      </c>
      <c r="J491" s="277">
        <v>0.45</v>
      </c>
      <c r="K491" s="276">
        <v>4657</v>
      </c>
      <c r="L491" s="278">
        <v>0</v>
      </c>
      <c r="M491" s="279">
        <v>5093.96</v>
      </c>
      <c r="N491" s="277">
        <v>2292.2820000000002</v>
      </c>
      <c r="O491" s="280" t="s">
        <v>888</v>
      </c>
      <c r="P491" s="279">
        <v>0</v>
      </c>
      <c r="Q491" s="281">
        <v>0</v>
      </c>
      <c r="R491" s="282" t="s">
        <v>889</v>
      </c>
      <c r="S491" s="274" t="s">
        <v>1136</v>
      </c>
      <c r="T491" s="44">
        <v>1</v>
      </c>
      <c r="U491" s="283">
        <v>57</v>
      </c>
      <c r="V491" s="284">
        <v>2</v>
      </c>
      <c r="W491" s="285">
        <v>6216</v>
      </c>
      <c r="X491" s="286">
        <v>2023</v>
      </c>
      <c r="Y491" s="287">
        <v>1000</v>
      </c>
      <c r="Z491" s="287" t="s">
        <v>889</v>
      </c>
      <c r="AA491" s="286" t="s">
        <v>889</v>
      </c>
      <c r="AB491" s="287">
        <v>0</v>
      </c>
      <c r="AC491" s="287"/>
      <c r="AD491" s="288" t="s">
        <v>889</v>
      </c>
      <c r="AE491" s="289" t="s">
        <v>889</v>
      </c>
      <c r="AF491" s="279">
        <v>2032</v>
      </c>
      <c r="AG491" s="282">
        <v>44974</v>
      </c>
      <c r="AH491" s="282">
        <v>38919</v>
      </c>
      <c r="AI491" s="282">
        <v>45049</v>
      </c>
      <c r="AJ491" s="282" t="s">
        <v>889</v>
      </c>
      <c r="AK491" s="274"/>
    </row>
    <row r="492" spans="1:37" x14ac:dyDescent="0.3">
      <c r="A492" s="273">
        <v>93453</v>
      </c>
      <c r="B492" s="274" t="s">
        <v>1545</v>
      </c>
      <c r="C492" s="146" t="s">
        <v>380</v>
      </c>
      <c r="D492" s="275">
        <v>0.24</v>
      </c>
      <c r="E492" s="274"/>
      <c r="F492" s="274"/>
      <c r="G492" s="274" t="s">
        <v>889</v>
      </c>
      <c r="H492" s="276">
        <v>0</v>
      </c>
      <c r="I492" s="24">
        <v>103003</v>
      </c>
      <c r="J492" s="277">
        <v>0.24</v>
      </c>
      <c r="K492" s="276">
        <v>4600</v>
      </c>
      <c r="L492" s="278">
        <v>0</v>
      </c>
      <c r="M492" s="279">
        <v>2616</v>
      </c>
      <c r="N492" s="277">
        <v>627.84</v>
      </c>
      <c r="O492" s="280" t="s">
        <v>888</v>
      </c>
      <c r="P492" s="279">
        <v>0</v>
      </c>
      <c r="Q492" s="281">
        <v>0</v>
      </c>
      <c r="R492" s="282" t="s">
        <v>889</v>
      </c>
      <c r="S492" s="274" t="s">
        <v>1136</v>
      </c>
      <c r="T492" s="44">
        <v>1</v>
      </c>
      <c r="U492" s="283">
        <v>57</v>
      </c>
      <c r="V492" s="284">
        <v>2</v>
      </c>
      <c r="W492" s="285">
        <v>6985</v>
      </c>
      <c r="X492" s="286">
        <v>2023</v>
      </c>
      <c r="Y492" s="287">
        <v>3300</v>
      </c>
      <c r="Z492" s="287" t="s">
        <v>889</v>
      </c>
      <c r="AA492" s="286" t="s">
        <v>889</v>
      </c>
      <c r="AB492" s="287">
        <v>0</v>
      </c>
      <c r="AC492" s="287"/>
      <c r="AD492" s="288" t="s">
        <v>889</v>
      </c>
      <c r="AE492" s="289" t="s">
        <v>889</v>
      </c>
      <c r="AF492" s="279">
        <v>1972</v>
      </c>
      <c r="AG492" s="282">
        <v>44147</v>
      </c>
      <c r="AH492" s="282">
        <v>38930</v>
      </c>
      <c r="AI492" s="282">
        <v>44126</v>
      </c>
      <c r="AJ492" s="282" t="s">
        <v>889</v>
      </c>
      <c r="AK492" s="274"/>
    </row>
    <row r="493" spans="1:37" x14ac:dyDescent="0.3">
      <c r="A493" s="273">
        <v>93454</v>
      </c>
      <c r="B493" s="274" t="s">
        <v>1546</v>
      </c>
      <c r="C493" s="146" t="s">
        <v>380</v>
      </c>
      <c r="D493" s="275">
        <v>0.24</v>
      </c>
      <c r="E493" s="274"/>
      <c r="F493" s="274"/>
      <c r="G493" s="274" t="s">
        <v>889</v>
      </c>
      <c r="H493" s="276">
        <v>0</v>
      </c>
      <c r="I493" s="24">
        <v>103003</v>
      </c>
      <c r="J493" s="277">
        <v>0.24</v>
      </c>
      <c r="K493" s="276">
        <v>4275</v>
      </c>
      <c r="L493" s="278">
        <v>0</v>
      </c>
      <c r="M493" s="279">
        <v>3193</v>
      </c>
      <c r="N493" s="277">
        <v>766.32</v>
      </c>
      <c r="O493" s="280" t="s">
        <v>888</v>
      </c>
      <c r="P493" s="279">
        <v>0</v>
      </c>
      <c r="Q493" s="281">
        <v>0</v>
      </c>
      <c r="R493" s="282" t="s">
        <v>889</v>
      </c>
      <c r="S493" s="274" t="s">
        <v>1136</v>
      </c>
      <c r="T493" s="44">
        <v>1</v>
      </c>
      <c r="U493" s="283">
        <v>57</v>
      </c>
      <c r="V493" s="284">
        <v>2</v>
      </c>
      <c r="W493" s="285">
        <v>6985</v>
      </c>
      <c r="X493" s="286">
        <v>2023</v>
      </c>
      <c r="Y493" s="287">
        <v>3500</v>
      </c>
      <c r="Z493" s="287" t="s">
        <v>889</v>
      </c>
      <c r="AA493" s="286" t="s">
        <v>889</v>
      </c>
      <c r="AB493" s="287">
        <v>0</v>
      </c>
      <c r="AC493" s="287"/>
      <c r="AD493" s="288" t="s">
        <v>889</v>
      </c>
      <c r="AE493" s="289" t="s">
        <v>889</v>
      </c>
      <c r="AF493" s="279">
        <v>2232</v>
      </c>
      <c r="AG493" s="282">
        <v>44147</v>
      </c>
      <c r="AH493" s="282">
        <v>38930</v>
      </c>
      <c r="AI493" s="282">
        <v>44126</v>
      </c>
      <c r="AJ493" s="282" t="s">
        <v>889</v>
      </c>
      <c r="AK493" s="274"/>
    </row>
    <row r="494" spans="1:37" x14ac:dyDescent="0.3">
      <c r="A494" s="273">
        <v>93456</v>
      </c>
      <c r="B494" s="274" t="s">
        <v>1547</v>
      </c>
      <c r="C494" s="146" t="s">
        <v>380</v>
      </c>
      <c r="D494" s="275">
        <v>0.24</v>
      </c>
      <c r="E494" s="274"/>
      <c r="F494" s="274"/>
      <c r="G494" s="274" t="s">
        <v>889</v>
      </c>
      <c r="H494" s="276">
        <v>0</v>
      </c>
      <c r="I494" s="24">
        <v>103003</v>
      </c>
      <c r="J494" s="277">
        <v>0.24</v>
      </c>
      <c r="K494" s="276">
        <v>4817</v>
      </c>
      <c r="L494" s="278">
        <v>0</v>
      </c>
      <c r="M494" s="279">
        <v>3901.96</v>
      </c>
      <c r="N494" s="277">
        <v>936.47040000000004</v>
      </c>
      <c r="O494" s="280" t="s">
        <v>888</v>
      </c>
      <c r="P494" s="279">
        <v>0</v>
      </c>
      <c r="Q494" s="281">
        <v>0</v>
      </c>
      <c r="R494" s="282" t="s">
        <v>889</v>
      </c>
      <c r="S494" s="274" t="s">
        <v>1136</v>
      </c>
      <c r="T494" s="44">
        <v>1</v>
      </c>
      <c r="U494" s="283">
        <v>57</v>
      </c>
      <c r="V494" s="284">
        <v>2</v>
      </c>
      <c r="W494" s="285">
        <v>6985</v>
      </c>
      <c r="X494" s="286">
        <v>2023</v>
      </c>
      <c r="Y494" s="287">
        <v>2300</v>
      </c>
      <c r="Z494" s="287" t="s">
        <v>889</v>
      </c>
      <c r="AA494" s="286" t="s">
        <v>889</v>
      </c>
      <c r="AB494" s="287">
        <v>0</v>
      </c>
      <c r="AC494" s="287"/>
      <c r="AD494" s="288" t="s">
        <v>889</v>
      </c>
      <c r="AE494" s="289" t="s">
        <v>889</v>
      </c>
      <c r="AF494" s="279">
        <v>2068</v>
      </c>
      <c r="AG494" s="282">
        <v>44147</v>
      </c>
      <c r="AH494" s="282">
        <v>38930</v>
      </c>
      <c r="AI494" s="282">
        <v>44126</v>
      </c>
      <c r="AJ494" s="282" t="s">
        <v>889</v>
      </c>
      <c r="AK494" s="274"/>
    </row>
    <row r="495" spans="1:37" x14ac:dyDescent="0.3">
      <c r="A495" s="273">
        <v>93461</v>
      </c>
      <c r="B495" s="274" t="s">
        <v>1548</v>
      </c>
      <c r="C495" s="146" t="s">
        <v>380</v>
      </c>
      <c r="D495" s="275">
        <v>0.24</v>
      </c>
      <c r="E495" s="274"/>
      <c r="F495" s="274"/>
      <c r="G495" s="274" t="s">
        <v>889</v>
      </c>
      <c r="H495" s="276">
        <v>0</v>
      </c>
      <c r="I495" s="24">
        <v>103003</v>
      </c>
      <c r="J495" s="277">
        <v>0.24</v>
      </c>
      <c r="K495" s="276">
        <v>5217</v>
      </c>
      <c r="L495" s="278">
        <v>0</v>
      </c>
      <c r="M495" s="279">
        <v>7160.96</v>
      </c>
      <c r="N495" s="277">
        <v>1718.6304</v>
      </c>
      <c r="O495" s="280" t="s">
        <v>888</v>
      </c>
      <c r="P495" s="279">
        <v>0</v>
      </c>
      <c r="Q495" s="281">
        <v>0</v>
      </c>
      <c r="R495" s="282" t="s">
        <v>889</v>
      </c>
      <c r="S495" s="274" t="s">
        <v>1136</v>
      </c>
      <c r="T495" s="44">
        <v>1</v>
      </c>
      <c r="U495" s="283">
        <v>57</v>
      </c>
      <c r="V495" s="284">
        <v>2</v>
      </c>
      <c r="W495" s="285">
        <v>6217</v>
      </c>
      <c r="X495" s="286">
        <v>2023</v>
      </c>
      <c r="Y495" s="287">
        <v>1000</v>
      </c>
      <c r="Z495" s="287" t="s">
        <v>889</v>
      </c>
      <c r="AA495" s="286" t="s">
        <v>889</v>
      </c>
      <c r="AB495" s="287">
        <v>0</v>
      </c>
      <c r="AC495" s="287"/>
      <c r="AD495" s="288" t="s">
        <v>889</v>
      </c>
      <c r="AE495" s="289" t="s">
        <v>889</v>
      </c>
      <c r="AF495" s="279">
        <v>2720</v>
      </c>
      <c r="AG495" s="282">
        <v>44147</v>
      </c>
      <c r="AH495" s="282">
        <v>38930</v>
      </c>
      <c r="AI495" s="282">
        <v>44126</v>
      </c>
      <c r="AJ495" s="282" t="s">
        <v>889</v>
      </c>
      <c r="AK495" s="274"/>
    </row>
    <row r="496" spans="1:37" x14ac:dyDescent="0.3">
      <c r="A496" s="273">
        <v>93462</v>
      </c>
      <c r="B496" s="274" t="s">
        <v>1549</v>
      </c>
      <c r="C496" s="146" t="s">
        <v>380</v>
      </c>
      <c r="D496" s="275">
        <v>0.24</v>
      </c>
      <c r="E496" s="274"/>
      <c r="F496" s="274"/>
      <c r="G496" s="274" t="s">
        <v>889</v>
      </c>
      <c r="H496" s="276">
        <v>0</v>
      </c>
      <c r="I496" s="24">
        <v>103003</v>
      </c>
      <c r="J496" s="277">
        <v>0.24</v>
      </c>
      <c r="K496" s="276">
        <v>4540</v>
      </c>
      <c r="L496" s="278">
        <v>0</v>
      </c>
      <c r="M496" s="279">
        <v>2373.96</v>
      </c>
      <c r="N496" s="277">
        <v>569.75040000000001</v>
      </c>
      <c r="O496" s="280" t="s">
        <v>888</v>
      </c>
      <c r="P496" s="279">
        <v>0</v>
      </c>
      <c r="Q496" s="281">
        <v>0</v>
      </c>
      <c r="R496" s="282" t="s">
        <v>889</v>
      </c>
      <c r="S496" s="274" t="s">
        <v>1136</v>
      </c>
      <c r="T496" s="44">
        <v>1</v>
      </c>
      <c r="U496" s="283">
        <v>57</v>
      </c>
      <c r="V496" s="284">
        <v>2</v>
      </c>
      <c r="W496" s="285">
        <v>6985</v>
      </c>
      <c r="X496" s="286">
        <v>2023</v>
      </c>
      <c r="Y496" s="287">
        <v>3300</v>
      </c>
      <c r="Z496" s="287" t="s">
        <v>889</v>
      </c>
      <c r="AA496" s="286" t="s">
        <v>889</v>
      </c>
      <c r="AB496" s="287">
        <v>0</v>
      </c>
      <c r="AC496" s="287"/>
      <c r="AD496" s="288" t="s">
        <v>889</v>
      </c>
      <c r="AE496" s="289" t="s">
        <v>889</v>
      </c>
      <c r="AF496" s="279">
        <v>1892</v>
      </c>
      <c r="AG496" s="282">
        <v>44147</v>
      </c>
      <c r="AH496" s="282">
        <v>38930</v>
      </c>
      <c r="AI496" s="282">
        <v>44126</v>
      </c>
      <c r="AJ496" s="282" t="s">
        <v>889</v>
      </c>
      <c r="AK496" s="274"/>
    </row>
    <row r="497" spans="1:37" x14ac:dyDescent="0.3">
      <c r="A497" s="273">
        <v>93486</v>
      </c>
      <c r="B497" s="274" t="s">
        <v>1550</v>
      </c>
      <c r="C497" s="146" t="s">
        <v>263</v>
      </c>
      <c r="D497" s="275">
        <v>50.5</v>
      </c>
      <c r="E497" s="274"/>
      <c r="F497" s="274"/>
      <c r="G497" s="274" t="s">
        <v>889</v>
      </c>
      <c r="H497" s="276">
        <v>87</v>
      </c>
      <c r="I497" s="24">
        <v>103003</v>
      </c>
      <c r="J497" s="277">
        <v>50.5</v>
      </c>
      <c r="K497" s="276">
        <v>3</v>
      </c>
      <c r="L497" s="278">
        <v>348</v>
      </c>
      <c r="M497" s="279">
        <v>0</v>
      </c>
      <c r="N497" s="277">
        <v>0</v>
      </c>
      <c r="O497" s="280" t="s">
        <v>888</v>
      </c>
      <c r="P497" s="279">
        <v>0</v>
      </c>
      <c r="Q497" s="281">
        <v>0</v>
      </c>
      <c r="R497" s="282" t="s">
        <v>889</v>
      </c>
      <c r="S497" s="274" t="s">
        <v>1502</v>
      </c>
      <c r="T497" s="44">
        <v>1</v>
      </c>
      <c r="U497" s="283">
        <v>55</v>
      </c>
      <c r="V497" s="284">
        <v>26</v>
      </c>
      <c r="W497" s="285" t="s">
        <v>889</v>
      </c>
      <c r="X497" s="286" t="s">
        <v>889</v>
      </c>
      <c r="Y497" s="287">
        <v>0</v>
      </c>
      <c r="Z497" s="287" t="s">
        <v>889</v>
      </c>
      <c r="AA497" s="286" t="s">
        <v>889</v>
      </c>
      <c r="AB497" s="287">
        <v>0</v>
      </c>
      <c r="AC497" s="287"/>
      <c r="AD497" s="288" t="s">
        <v>889</v>
      </c>
      <c r="AE497" s="289" t="s">
        <v>889</v>
      </c>
      <c r="AF497" s="279">
        <v>2</v>
      </c>
      <c r="AG497" s="282">
        <v>43641</v>
      </c>
      <c r="AH497" s="282">
        <v>38930</v>
      </c>
      <c r="AI497" s="282">
        <v>43623</v>
      </c>
      <c r="AJ497" s="282" t="s">
        <v>889</v>
      </c>
      <c r="AK497" s="274"/>
    </row>
    <row r="498" spans="1:37" x14ac:dyDescent="0.3">
      <c r="A498" s="273">
        <v>93487</v>
      </c>
      <c r="B498" s="274" t="s">
        <v>1551</v>
      </c>
      <c r="C498" s="146" t="s">
        <v>263</v>
      </c>
      <c r="D498" s="275">
        <v>66.900000000000006</v>
      </c>
      <c r="E498" s="274"/>
      <c r="F498" s="274"/>
      <c r="G498" s="274" t="s">
        <v>889</v>
      </c>
      <c r="H498" s="276">
        <v>7</v>
      </c>
      <c r="I498" s="24">
        <v>103003</v>
      </c>
      <c r="J498" s="277">
        <v>66.900000000000006</v>
      </c>
      <c r="K498" s="276"/>
      <c r="L498" s="278">
        <v>0</v>
      </c>
      <c r="M498" s="279">
        <v>0</v>
      </c>
      <c r="N498" s="277">
        <v>0</v>
      </c>
      <c r="O498" s="280" t="s">
        <v>888</v>
      </c>
      <c r="P498" s="279">
        <v>0</v>
      </c>
      <c r="Q498" s="281">
        <v>0</v>
      </c>
      <c r="R498" s="282" t="s">
        <v>889</v>
      </c>
      <c r="S498" s="274" t="s">
        <v>1502</v>
      </c>
      <c r="T498" s="44">
        <v>1</v>
      </c>
      <c r="U498" s="283">
        <v>55</v>
      </c>
      <c r="V498" s="284">
        <v>26</v>
      </c>
      <c r="W498" s="285" t="s">
        <v>889</v>
      </c>
      <c r="X498" s="286" t="s">
        <v>889</v>
      </c>
      <c r="Y498" s="287">
        <v>0</v>
      </c>
      <c r="Z498" s="287" t="s">
        <v>889</v>
      </c>
      <c r="AA498" s="286" t="s">
        <v>889</v>
      </c>
      <c r="AB498" s="287">
        <v>0</v>
      </c>
      <c r="AC498" s="287"/>
      <c r="AD498" s="288" t="s">
        <v>889</v>
      </c>
      <c r="AE498" s="289" t="s">
        <v>889</v>
      </c>
      <c r="AF498" s="279">
        <v>0</v>
      </c>
      <c r="AG498" s="282">
        <v>43440</v>
      </c>
      <c r="AH498" s="282">
        <v>38930</v>
      </c>
      <c r="AI498" s="282">
        <v>43411</v>
      </c>
      <c r="AJ498" s="282" t="s">
        <v>889</v>
      </c>
      <c r="AK498" s="274"/>
    </row>
    <row r="499" spans="1:37" x14ac:dyDescent="0.3">
      <c r="A499" s="273">
        <v>93488</v>
      </c>
      <c r="B499" s="274" t="s">
        <v>1552</v>
      </c>
      <c r="C499" s="146" t="s">
        <v>263</v>
      </c>
      <c r="D499" s="275">
        <v>78.400000000000006</v>
      </c>
      <c r="E499" s="274"/>
      <c r="F499" s="274"/>
      <c r="G499" s="274" t="s">
        <v>889</v>
      </c>
      <c r="H499" s="276">
        <v>17</v>
      </c>
      <c r="I499" s="24">
        <v>103003</v>
      </c>
      <c r="J499" s="277">
        <v>78.400000000000006</v>
      </c>
      <c r="K499" s="276">
        <v>5</v>
      </c>
      <c r="L499" s="278">
        <v>40.476190476190474</v>
      </c>
      <c r="M499" s="279">
        <v>0</v>
      </c>
      <c r="N499" s="277">
        <v>0</v>
      </c>
      <c r="O499" s="280" t="s">
        <v>888</v>
      </c>
      <c r="P499" s="279">
        <v>0</v>
      </c>
      <c r="Q499" s="281">
        <v>0</v>
      </c>
      <c r="R499" s="282" t="s">
        <v>889</v>
      </c>
      <c r="S499" s="274" t="s">
        <v>1502</v>
      </c>
      <c r="T499" s="44">
        <v>1</v>
      </c>
      <c r="U499" s="283">
        <v>55</v>
      </c>
      <c r="V499" s="284">
        <v>26</v>
      </c>
      <c r="W499" s="285" t="s">
        <v>889</v>
      </c>
      <c r="X499" s="286" t="s">
        <v>889</v>
      </c>
      <c r="Y499" s="287">
        <v>0</v>
      </c>
      <c r="Z499" s="287" t="s">
        <v>889</v>
      </c>
      <c r="AA499" s="286" t="s">
        <v>889</v>
      </c>
      <c r="AB499" s="287">
        <v>0</v>
      </c>
      <c r="AC499" s="287"/>
      <c r="AD499" s="288" t="s">
        <v>889</v>
      </c>
      <c r="AE499" s="289" t="s">
        <v>889</v>
      </c>
      <c r="AF499" s="279">
        <v>2</v>
      </c>
      <c r="AG499" s="282">
        <v>43424</v>
      </c>
      <c r="AH499" s="282">
        <v>38930</v>
      </c>
      <c r="AI499" s="282">
        <v>43411</v>
      </c>
      <c r="AJ499" s="282" t="s">
        <v>889</v>
      </c>
      <c r="AK499" s="274"/>
    </row>
    <row r="500" spans="1:37" x14ac:dyDescent="0.3">
      <c r="A500" s="273">
        <v>95121</v>
      </c>
      <c r="B500" s="274" t="s">
        <v>1553</v>
      </c>
      <c r="C500" s="146" t="s">
        <v>263</v>
      </c>
      <c r="D500" s="275">
        <v>0.7</v>
      </c>
      <c r="E500" s="274"/>
      <c r="F500" s="274"/>
      <c r="G500" s="274" t="s">
        <v>889</v>
      </c>
      <c r="H500" s="276">
        <v>0</v>
      </c>
      <c r="I500" s="24">
        <v>103003</v>
      </c>
      <c r="J500" s="277">
        <v>0.7</v>
      </c>
      <c r="K500" s="276">
        <v>274</v>
      </c>
      <c r="L500" s="278">
        <v>0</v>
      </c>
      <c r="M500" s="279">
        <v>345</v>
      </c>
      <c r="N500" s="277">
        <v>241.5</v>
      </c>
      <c r="O500" s="280" t="s">
        <v>888</v>
      </c>
      <c r="P500" s="279">
        <v>0</v>
      </c>
      <c r="Q500" s="281">
        <v>0</v>
      </c>
      <c r="R500" s="282" t="s">
        <v>889</v>
      </c>
      <c r="S500" s="274" t="s">
        <v>966</v>
      </c>
      <c r="T500" s="44">
        <v>1</v>
      </c>
      <c r="U500" s="283">
        <v>61</v>
      </c>
      <c r="V500" s="284">
        <v>8</v>
      </c>
      <c r="W500" s="285" t="s">
        <v>889</v>
      </c>
      <c r="X500" s="286" t="s">
        <v>889</v>
      </c>
      <c r="Y500" s="287">
        <v>0</v>
      </c>
      <c r="Z500" s="287" t="s">
        <v>889</v>
      </c>
      <c r="AA500" s="286" t="s">
        <v>889</v>
      </c>
      <c r="AB500" s="287">
        <v>0</v>
      </c>
      <c r="AC500" s="287"/>
      <c r="AD500" s="288" t="s">
        <v>889</v>
      </c>
      <c r="AE500" s="289" t="s">
        <v>889</v>
      </c>
      <c r="AF500" s="279">
        <v>116</v>
      </c>
      <c r="AG500" s="282">
        <v>45160</v>
      </c>
      <c r="AH500" s="282">
        <v>39001</v>
      </c>
      <c r="AI500" s="282">
        <v>45145</v>
      </c>
      <c r="AJ500" s="282" t="s">
        <v>889</v>
      </c>
      <c r="AK500" s="274"/>
    </row>
    <row r="501" spans="1:37" x14ac:dyDescent="0.3">
      <c r="A501" s="273">
        <v>95209</v>
      </c>
      <c r="B501" s="274" t="s">
        <v>1554</v>
      </c>
      <c r="C501" s="146" t="s">
        <v>263</v>
      </c>
      <c r="D501" s="275">
        <v>1.8</v>
      </c>
      <c r="E501" s="274"/>
      <c r="F501" s="274"/>
      <c r="G501" s="274" t="s">
        <v>889</v>
      </c>
      <c r="H501" s="276">
        <v>0</v>
      </c>
      <c r="I501" s="24">
        <v>103003</v>
      </c>
      <c r="J501" s="277">
        <v>1.8</v>
      </c>
      <c r="K501" s="276">
        <v>290</v>
      </c>
      <c r="L501" s="278">
        <v>0</v>
      </c>
      <c r="M501" s="279">
        <v>336</v>
      </c>
      <c r="N501" s="277">
        <v>604.79999999999995</v>
      </c>
      <c r="O501" s="280" t="s">
        <v>888</v>
      </c>
      <c r="P501" s="279">
        <v>0</v>
      </c>
      <c r="Q501" s="281">
        <v>0</v>
      </c>
      <c r="R501" s="282" t="s">
        <v>889</v>
      </c>
      <c r="S501" s="274" t="s">
        <v>1011</v>
      </c>
      <c r="T501" s="44">
        <v>1</v>
      </c>
      <c r="U501" s="283">
        <v>61</v>
      </c>
      <c r="V501" s="284">
        <v>15</v>
      </c>
      <c r="W501" s="285" t="s">
        <v>889</v>
      </c>
      <c r="X501" s="286" t="s">
        <v>889</v>
      </c>
      <c r="Y501" s="287">
        <v>0</v>
      </c>
      <c r="Z501" s="287" t="s">
        <v>889</v>
      </c>
      <c r="AA501" s="286" t="s">
        <v>889</v>
      </c>
      <c r="AB501" s="287">
        <v>0</v>
      </c>
      <c r="AC501" s="287"/>
      <c r="AD501" s="288" t="s">
        <v>889</v>
      </c>
      <c r="AE501" s="289" t="s">
        <v>889</v>
      </c>
      <c r="AF501" s="279">
        <v>112</v>
      </c>
      <c r="AG501" s="282">
        <v>45166</v>
      </c>
      <c r="AH501" s="282">
        <v>39007</v>
      </c>
      <c r="AI501" s="282">
        <v>45145</v>
      </c>
      <c r="AJ501" s="282" t="s">
        <v>889</v>
      </c>
      <c r="AK501" s="274"/>
    </row>
    <row r="502" spans="1:37" x14ac:dyDescent="0.3">
      <c r="A502" s="273">
        <v>95228</v>
      </c>
      <c r="B502" s="274" t="s">
        <v>1555</v>
      </c>
      <c r="C502" s="146" t="s">
        <v>263</v>
      </c>
      <c r="D502" s="275">
        <v>8.2699999999999996E-2</v>
      </c>
      <c r="E502" s="274"/>
      <c r="F502" s="274"/>
      <c r="G502" s="274" t="s">
        <v>889</v>
      </c>
      <c r="H502" s="276">
        <v>0</v>
      </c>
      <c r="I502" s="24">
        <v>103003</v>
      </c>
      <c r="J502" s="277">
        <v>8.2699999999999996E-2</v>
      </c>
      <c r="K502" s="276">
        <v>5502</v>
      </c>
      <c r="L502" s="278">
        <v>0</v>
      </c>
      <c r="M502" s="279">
        <v>4783.04</v>
      </c>
      <c r="N502" s="277">
        <v>395.55740800000001</v>
      </c>
      <c r="O502" s="280" t="s">
        <v>888</v>
      </c>
      <c r="P502" s="279">
        <v>0</v>
      </c>
      <c r="Q502" s="281">
        <v>0</v>
      </c>
      <c r="R502" s="282" t="s">
        <v>889</v>
      </c>
      <c r="S502" s="274" t="s">
        <v>1052</v>
      </c>
      <c r="T502" s="44">
        <v>1</v>
      </c>
      <c r="U502" s="283">
        <v>55</v>
      </c>
      <c r="V502" s="284">
        <v>46</v>
      </c>
      <c r="W502" s="285">
        <v>2442</v>
      </c>
      <c r="X502" s="286">
        <v>2023</v>
      </c>
      <c r="Y502" s="287">
        <v>1000</v>
      </c>
      <c r="Z502" s="287" t="s">
        <v>889</v>
      </c>
      <c r="AA502" s="286" t="s">
        <v>889</v>
      </c>
      <c r="AB502" s="287">
        <v>0</v>
      </c>
      <c r="AC502" s="287"/>
      <c r="AD502" s="288" t="s">
        <v>889</v>
      </c>
      <c r="AE502" s="289" t="s">
        <v>889</v>
      </c>
      <c r="AF502" s="279">
        <v>1928</v>
      </c>
      <c r="AG502" s="282">
        <v>44172</v>
      </c>
      <c r="AH502" s="282">
        <v>39007</v>
      </c>
      <c r="AI502" s="282">
        <v>44383</v>
      </c>
      <c r="AJ502" s="282" t="s">
        <v>889</v>
      </c>
      <c r="AK502" s="274"/>
    </row>
    <row r="503" spans="1:37" x14ac:dyDescent="0.3">
      <c r="A503" s="273">
        <v>95229</v>
      </c>
      <c r="B503" s="274" t="s">
        <v>1556</v>
      </c>
      <c r="C503" s="146" t="s">
        <v>263</v>
      </c>
      <c r="D503" s="275">
        <v>0.19</v>
      </c>
      <c r="E503" s="274"/>
      <c r="F503" s="274"/>
      <c r="G503" s="274" t="s">
        <v>889</v>
      </c>
      <c r="H503" s="276">
        <v>0</v>
      </c>
      <c r="I503" s="24">
        <v>103003</v>
      </c>
      <c r="J503" s="277">
        <v>0.19</v>
      </c>
      <c r="K503" s="276">
        <v>8356</v>
      </c>
      <c r="L503" s="278">
        <v>0</v>
      </c>
      <c r="M503" s="279">
        <v>7719.04</v>
      </c>
      <c r="N503" s="277">
        <v>1466.6176</v>
      </c>
      <c r="O503" s="280" t="s">
        <v>888</v>
      </c>
      <c r="P503" s="279">
        <v>0</v>
      </c>
      <c r="Q503" s="281">
        <v>0</v>
      </c>
      <c r="R503" s="282" t="s">
        <v>889</v>
      </c>
      <c r="S503" s="274" t="s">
        <v>1052</v>
      </c>
      <c r="T503" s="44">
        <v>1</v>
      </c>
      <c r="U503" s="283">
        <v>55</v>
      </c>
      <c r="V503" s="284">
        <v>46</v>
      </c>
      <c r="W503" s="285">
        <v>10083</v>
      </c>
      <c r="X503" s="286">
        <v>2023</v>
      </c>
      <c r="Y503" s="287">
        <v>2000</v>
      </c>
      <c r="Z503" s="287" t="s">
        <v>889</v>
      </c>
      <c r="AA503" s="286" t="s">
        <v>889</v>
      </c>
      <c r="AB503" s="287">
        <v>0</v>
      </c>
      <c r="AC503" s="287"/>
      <c r="AD503" s="288" t="s">
        <v>889</v>
      </c>
      <c r="AE503" s="289" t="s">
        <v>889</v>
      </c>
      <c r="AF503" s="279">
        <v>3240</v>
      </c>
      <c r="AG503" s="282">
        <v>44599</v>
      </c>
      <c r="AH503" s="282">
        <v>39007</v>
      </c>
      <c r="AI503" s="282">
        <v>45105</v>
      </c>
      <c r="AJ503" s="282" t="s">
        <v>889</v>
      </c>
      <c r="AK503" s="274"/>
    </row>
    <row r="504" spans="1:37" x14ac:dyDescent="0.3">
      <c r="A504" s="273">
        <v>96516</v>
      </c>
      <c r="B504" s="274" t="s">
        <v>1557</v>
      </c>
      <c r="C504" s="146" t="s">
        <v>436</v>
      </c>
      <c r="D504" s="275">
        <v>2.2799999999999998</v>
      </c>
      <c r="E504" s="274" t="s">
        <v>1558</v>
      </c>
      <c r="F504" s="274" t="s">
        <v>1559</v>
      </c>
      <c r="G504" s="274" t="s">
        <v>951</v>
      </c>
      <c r="H504" s="276">
        <v>2989</v>
      </c>
      <c r="I504" s="24">
        <v>103003</v>
      </c>
      <c r="J504" s="277">
        <v>2.2799999999999998</v>
      </c>
      <c r="K504" s="276">
        <v>368</v>
      </c>
      <c r="L504" s="278">
        <v>77.475375842405398</v>
      </c>
      <c r="M504" s="279">
        <v>0</v>
      </c>
      <c r="N504" s="277">
        <v>0</v>
      </c>
      <c r="O504" s="280" t="s">
        <v>952</v>
      </c>
      <c r="P504" s="279">
        <v>1220</v>
      </c>
      <c r="Q504" s="281">
        <v>2781.6</v>
      </c>
      <c r="R504" s="282">
        <v>45454</v>
      </c>
      <c r="S504" s="274" t="s">
        <v>1492</v>
      </c>
      <c r="T504" s="44">
        <v>1</v>
      </c>
      <c r="U504" s="283">
        <v>54</v>
      </c>
      <c r="V504" s="284">
        <v>4</v>
      </c>
      <c r="W504" s="285" t="s">
        <v>889</v>
      </c>
      <c r="X504" s="286" t="s">
        <v>889</v>
      </c>
      <c r="Y504" s="287">
        <v>0</v>
      </c>
      <c r="Z504" s="287" t="s">
        <v>889</v>
      </c>
      <c r="AA504" s="286" t="s">
        <v>889</v>
      </c>
      <c r="AB504" s="287">
        <v>0</v>
      </c>
      <c r="AC504" s="287"/>
      <c r="AD504" s="288" t="s">
        <v>889</v>
      </c>
      <c r="AE504" s="289" t="s">
        <v>889</v>
      </c>
      <c r="AF504" s="279">
        <v>154</v>
      </c>
      <c r="AG504" s="282">
        <v>43759</v>
      </c>
      <c r="AH504" s="282">
        <v>39063</v>
      </c>
      <c r="AI504" s="282">
        <v>45104</v>
      </c>
      <c r="AJ504" s="282" t="s">
        <v>889</v>
      </c>
      <c r="AK504" s="274"/>
    </row>
    <row r="505" spans="1:37" x14ac:dyDescent="0.3">
      <c r="A505" s="273">
        <v>98080</v>
      </c>
      <c r="B505" s="274" t="s">
        <v>1560</v>
      </c>
      <c r="C505" s="146" t="s">
        <v>436</v>
      </c>
      <c r="D505" s="275">
        <v>2.27</v>
      </c>
      <c r="E505" s="274" t="s">
        <v>1558</v>
      </c>
      <c r="F505" s="274" t="s">
        <v>1559</v>
      </c>
      <c r="G505" s="274" t="s">
        <v>951</v>
      </c>
      <c r="H505" s="276">
        <v>2328</v>
      </c>
      <c r="I505" s="24">
        <v>103003</v>
      </c>
      <c r="J505" s="277">
        <v>2.27</v>
      </c>
      <c r="K505" s="276">
        <v>178</v>
      </c>
      <c r="L505" s="278">
        <v>103.83586083853702</v>
      </c>
      <c r="M505" s="279">
        <v>0</v>
      </c>
      <c r="N505" s="277">
        <v>0</v>
      </c>
      <c r="O505" s="280" t="s">
        <v>952</v>
      </c>
      <c r="P505" s="279">
        <v>1220</v>
      </c>
      <c r="Q505" s="281">
        <v>2769.4</v>
      </c>
      <c r="R505" s="282">
        <v>45454</v>
      </c>
      <c r="S505" s="274" t="s">
        <v>1561</v>
      </c>
      <c r="T505" s="44">
        <v>1</v>
      </c>
      <c r="U505" s="283">
        <v>54</v>
      </c>
      <c r="V505" s="284">
        <v>19</v>
      </c>
      <c r="W505" s="285" t="s">
        <v>889</v>
      </c>
      <c r="X505" s="286" t="s">
        <v>889</v>
      </c>
      <c r="Y505" s="287">
        <v>0</v>
      </c>
      <c r="Z505" s="287" t="s">
        <v>889</v>
      </c>
      <c r="AA505" s="286" t="s">
        <v>889</v>
      </c>
      <c r="AB505" s="287">
        <v>0</v>
      </c>
      <c r="AC505" s="287"/>
      <c r="AD505" s="288" t="s">
        <v>889</v>
      </c>
      <c r="AE505" s="289" t="s">
        <v>889</v>
      </c>
      <c r="AF505" s="279">
        <v>90</v>
      </c>
      <c r="AG505" s="282">
        <v>43798</v>
      </c>
      <c r="AH505" s="282">
        <v>39154</v>
      </c>
      <c r="AI505" s="282">
        <v>45104</v>
      </c>
      <c r="AJ505" s="282" t="s">
        <v>889</v>
      </c>
      <c r="AK505" s="274"/>
    </row>
    <row r="506" spans="1:37" x14ac:dyDescent="0.3">
      <c r="A506" s="273">
        <v>98359</v>
      </c>
      <c r="B506" s="274" t="s">
        <v>1562</v>
      </c>
      <c r="C506" s="146" t="s">
        <v>260</v>
      </c>
      <c r="D506" s="275">
        <v>137</v>
      </c>
      <c r="E506" s="274"/>
      <c r="F506" s="274"/>
      <c r="G506" s="274" t="s">
        <v>889</v>
      </c>
      <c r="H506" s="276">
        <v>56</v>
      </c>
      <c r="I506" s="24">
        <v>103003</v>
      </c>
      <c r="J506" s="277">
        <v>137</v>
      </c>
      <c r="K506" s="276">
        <v>21</v>
      </c>
      <c r="L506" s="278">
        <v>32</v>
      </c>
      <c r="M506" s="279">
        <v>0</v>
      </c>
      <c r="N506" s="277">
        <v>0</v>
      </c>
      <c r="O506" s="280" t="s">
        <v>888</v>
      </c>
      <c r="P506" s="279">
        <v>0</v>
      </c>
      <c r="Q506" s="281">
        <v>0</v>
      </c>
      <c r="R506" s="282" t="s">
        <v>889</v>
      </c>
      <c r="S506" s="274" t="s">
        <v>1076</v>
      </c>
      <c r="T506" s="44">
        <v>1</v>
      </c>
      <c r="U506" s="283">
        <v>78</v>
      </c>
      <c r="V506" s="284">
        <v>2</v>
      </c>
      <c r="W506" s="285" t="s">
        <v>889</v>
      </c>
      <c r="X506" s="286" t="s">
        <v>889</v>
      </c>
      <c r="Y506" s="287">
        <v>0</v>
      </c>
      <c r="Z506" s="287" t="s">
        <v>889</v>
      </c>
      <c r="AA506" s="286" t="s">
        <v>889</v>
      </c>
      <c r="AB506" s="287">
        <v>0</v>
      </c>
      <c r="AC506" s="287"/>
      <c r="AD506" s="288" t="s">
        <v>889</v>
      </c>
      <c r="AE506" s="289" t="s">
        <v>889</v>
      </c>
      <c r="AF506" s="279">
        <v>8</v>
      </c>
      <c r="AG506" s="282">
        <v>44165</v>
      </c>
      <c r="AH506" s="282">
        <v>39168</v>
      </c>
      <c r="AI506" s="282">
        <v>44789</v>
      </c>
      <c r="AJ506" s="282" t="s">
        <v>889</v>
      </c>
      <c r="AK506" s="274"/>
    </row>
    <row r="507" spans="1:37" x14ac:dyDescent="0.3">
      <c r="A507" s="273">
        <v>98360</v>
      </c>
      <c r="B507" s="274" t="s">
        <v>612</v>
      </c>
      <c r="C507" s="146" t="s">
        <v>260</v>
      </c>
      <c r="D507" s="275">
        <v>42</v>
      </c>
      <c r="E507" s="274"/>
      <c r="F507" s="274"/>
      <c r="G507" s="274" t="s">
        <v>889</v>
      </c>
      <c r="H507" s="276">
        <v>55</v>
      </c>
      <c r="I507" s="24">
        <v>103003</v>
      </c>
      <c r="J507" s="277">
        <v>42</v>
      </c>
      <c r="K507" s="276"/>
      <c r="L507" s="278">
        <v>0</v>
      </c>
      <c r="M507" s="279">
        <v>0</v>
      </c>
      <c r="N507" s="277">
        <v>0</v>
      </c>
      <c r="O507" s="280" t="s">
        <v>888</v>
      </c>
      <c r="P507" s="279">
        <v>0</v>
      </c>
      <c r="Q507" s="281">
        <v>0</v>
      </c>
      <c r="R507" s="282" t="s">
        <v>889</v>
      </c>
      <c r="S507" s="274" t="s">
        <v>1563</v>
      </c>
      <c r="T507" s="44">
        <v>1</v>
      </c>
      <c r="U507" s="283">
        <v>70</v>
      </c>
      <c r="V507" s="284">
        <v>47</v>
      </c>
      <c r="W507" s="285" t="s">
        <v>889</v>
      </c>
      <c r="X507" s="286" t="s">
        <v>889</v>
      </c>
      <c r="Y507" s="287">
        <v>0</v>
      </c>
      <c r="Z507" s="287" t="s">
        <v>889</v>
      </c>
      <c r="AA507" s="286" t="s">
        <v>889</v>
      </c>
      <c r="AB507" s="287">
        <v>0</v>
      </c>
      <c r="AC507" s="287"/>
      <c r="AD507" s="288" t="s">
        <v>889</v>
      </c>
      <c r="AE507" s="289" t="s">
        <v>889</v>
      </c>
      <c r="AF507" s="279">
        <v>0</v>
      </c>
      <c r="AG507" s="282">
        <v>43063</v>
      </c>
      <c r="AH507" s="282">
        <v>39168</v>
      </c>
      <c r="AI507" s="282">
        <v>44789</v>
      </c>
      <c r="AJ507" s="282" t="s">
        <v>889</v>
      </c>
      <c r="AK507" s="274"/>
    </row>
    <row r="508" spans="1:37" x14ac:dyDescent="0.3">
      <c r="A508" s="273">
        <v>98702</v>
      </c>
      <c r="B508" s="274" t="s">
        <v>1564</v>
      </c>
      <c r="C508" s="146" t="s">
        <v>560</v>
      </c>
      <c r="D508" s="275">
        <v>18.75</v>
      </c>
      <c r="E508" s="274"/>
      <c r="F508" s="274"/>
      <c r="G508" s="274" t="s">
        <v>889</v>
      </c>
      <c r="H508" s="276">
        <v>7791</v>
      </c>
      <c r="I508" s="24">
        <v>103003</v>
      </c>
      <c r="J508" s="277">
        <v>18.75</v>
      </c>
      <c r="K508" s="276">
        <v>3580.6</v>
      </c>
      <c r="L508" s="278">
        <v>18.74503765368236</v>
      </c>
      <c r="M508" s="279">
        <v>0</v>
      </c>
      <c r="N508" s="277">
        <v>0</v>
      </c>
      <c r="O508" s="280" t="s">
        <v>888</v>
      </c>
      <c r="P508" s="279">
        <v>0</v>
      </c>
      <c r="Q508" s="281">
        <v>0</v>
      </c>
      <c r="R508" s="282" t="s">
        <v>889</v>
      </c>
      <c r="S508" s="274" t="s">
        <v>1565</v>
      </c>
      <c r="T508" s="44">
        <v>1</v>
      </c>
      <c r="U508" s="283">
        <v>51</v>
      </c>
      <c r="V508" s="284">
        <v>24</v>
      </c>
      <c r="W508" s="285" t="s">
        <v>889</v>
      </c>
      <c r="X508" s="286" t="s">
        <v>889</v>
      </c>
      <c r="Y508" s="287">
        <v>0</v>
      </c>
      <c r="Z508" s="287" t="s">
        <v>889</v>
      </c>
      <c r="AA508" s="286" t="s">
        <v>889</v>
      </c>
      <c r="AB508" s="287">
        <v>0</v>
      </c>
      <c r="AC508" s="287"/>
      <c r="AD508" s="288" t="s">
        <v>889</v>
      </c>
      <c r="AE508" s="289" t="s">
        <v>889</v>
      </c>
      <c r="AF508" s="279">
        <v>1662</v>
      </c>
      <c r="AG508" s="282">
        <v>45208</v>
      </c>
      <c r="AH508" s="282">
        <v>39183</v>
      </c>
      <c r="AI508" s="282">
        <v>45160</v>
      </c>
      <c r="AJ508" s="282" t="s">
        <v>889</v>
      </c>
      <c r="AK508" s="274"/>
    </row>
    <row r="509" spans="1:37" x14ac:dyDescent="0.3">
      <c r="A509" s="273">
        <v>98703</v>
      </c>
      <c r="B509" s="274" t="s">
        <v>1566</v>
      </c>
      <c r="C509" s="146" t="s">
        <v>345</v>
      </c>
      <c r="D509" s="275">
        <v>45.37</v>
      </c>
      <c r="E509" s="274"/>
      <c r="F509" s="274"/>
      <c r="G509" s="274" t="s">
        <v>889</v>
      </c>
      <c r="H509" s="276">
        <v>229</v>
      </c>
      <c r="I509" s="24">
        <v>103003</v>
      </c>
      <c r="J509" s="277">
        <v>45.37</v>
      </c>
      <c r="K509" s="276">
        <v>706</v>
      </c>
      <c r="L509" s="278">
        <v>3.1262798634812285</v>
      </c>
      <c r="M509" s="279">
        <v>150</v>
      </c>
      <c r="N509" s="277">
        <v>6805.5</v>
      </c>
      <c r="O509" s="280" t="s">
        <v>888</v>
      </c>
      <c r="P509" s="279">
        <v>0</v>
      </c>
      <c r="Q509" s="281">
        <v>0</v>
      </c>
      <c r="R509" s="282" t="s">
        <v>889</v>
      </c>
      <c r="S509" s="274" t="s">
        <v>1259</v>
      </c>
      <c r="T509" s="44">
        <v>1</v>
      </c>
      <c r="U509" s="283">
        <v>69</v>
      </c>
      <c r="V509" s="284">
        <v>3</v>
      </c>
      <c r="W509" s="285">
        <v>7337</v>
      </c>
      <c r="X509" s="286">
        <v>2023</v>
      </c>
      <c r="Y509" s="287">
        <v>500</v>
      </c>
      <c r="Z509" s="287" t="s">
        <v>889</v>
      </c>
      <c r="AA509" s="286" t="s">
        <v>889</v>
      </c>
      <c r="AB509" s="287">
        <v>0</v>
      </c>
      <c r="AC509" s="287"/>
      <c r="AD509" s="288" t="s">
        <v>889</v>
      </c>
      <c r="AE509" s="289" t="s">
        <v>889</v>
      </c>
      <c r="AF509" s="279">
        <v>294</v>
      </c>
      <c r="AG509" s="282">
        <v>44148</v>
      </c>
      <c r="AH509" s="282">
        <v>39183</v>
      </c>
      <c r="AI509" s="282">
        <v>44685</v>
      </c>
      <c r="AJ509" s="282" t="s">
        <v>889</v>
      </c>
      <c r="AK509" s="274"/>
    </row>
    <row r="510" spans="1:37" x14ac:dyDescent="0.3">
      <c r="A510" s="273">
        <v>98704</v>
      </c>
      <c r="B510" s="274" t="s">
        <v>1567</v>
      </c>
      <c r="C510" s="146" t="s">
        <v>345</v>
      </c>
      <c r="D510" s="275">
        <v>44</v>
      </c>
      <c r="E510" s="274"/>
      <c r="F510" s="274"/>
      <c r="G510" s="274" t="s">
        <v>889</v>
      </c>
      <c r="H510" s="276">
        <v>184</v>
      </c>
      <c r="I510" s="24">
        <v>103003</v>
      </c>
      <c r="J510" s="277">
        <v>44</v>
      </c>
      <c r="K510" s="276">
        <v>163</v>
      </c>
      <c r="L510" s="278">
        <v>12.266666666666667</v>
      </c>
      <c r="M510" s="279">
        <v>0</v>
      </c>
      <c r="N510" s="277">
        <v>0</v>
      </c>
      <c r="O510" s="280" t="s">
        <v>888</v>
      </c>
      <c r="P510" s="279">
        <v>0</v>
      </c>
      <c r="Q510" s="281">
        <v>0</v>
      </c>
      <c r="R510" s="282" t="s">
        <v>889</v>
      </c>
      <c r="S510" s="274" t="s">
        <v>1259</v>
      </c>
      <c r="T510" s="44">
        <v>1</v>
      </c>
      <c r="U510" s="283">
        <v>69</v>
      </c>
      <c r="V510" s="284">
        <v>3</v>
      </c>
      <c r="W510" s="285" t="s">
        <v>889</v>
      </c>
      <c r="X510" s="286" t="s">
        <v>889</v>
      </c>
      <c r="Y510" s="287">
        <v>0</v>
      </c>
      <c r="Z510" s="287" t="s">
        <v>889</v>
      </c>
      <c r="AA510" s="286" t="s">
        <v>889</v>
      </c>
      <c r="AB510" s="287">
        <v>0</v>
      </c>
      <c r="AC510" s="287"/>
      <c r="AD510" s="288" t="s">
        <v>889</v>
      </c>
      <c r="AE510" s="289" t="s">
        <v>889</v>
      </c>
      <c r="AF510" s="279">
        <v>60</v>
      </c>
      <c r="AG510" s="282">
        <v>45189</v>
      </c>
      <c r="AH510" s="282">
        <v>39183</v>
      </c>
      <c r="AI510" s="282">
        <v>45160</v>
      </c>
      <c r="AJ510" s="282" t="s">
        <v>889</v>
      </c>
      <c r="AK510" s="274"/>
    </row>
    <row r="511" spans="1:37" x14ac:dyDescent="0.3">
      <c r="A511" s="273">
        <v>98732</v>
      </c>
      <c r="B511" s="274" t="s">
        <v>1568</v>
      </c>
      <c r="C511" s="146" t="s">
        <v>31</v>
      </c>
      <c r="D511" s="275">
        <v>134</v>
      </c>
      <c r="E511" s="274"/>
      <c r="F511" s="274"/>
      <c r="G511" s="274" t="s">
        <v>889</v>
      </c>
      <c r="H511" s="276">
        <v>55</v>
      </c>
      <c r="I511" s="24">
        <v>103003</v>
      </c>
      <c r="J511" s="277">
        <v>143.14286000000001</v>
      </c>
      <c r="K511" s="276"/>
      <c r="L511" s="278">
        <v>0</v>
      </c>
      <c r="M511" s="279">
        <v>0</v>
      </c>
      <c r="N511" s="277">
        <v>0</v>
      </c>
      <c r="O511" s="280" t="s">
        <v>888</v>
      </c>
      <c r="P511" s="279">
        <v>0</v>
      </c>
      <c r="Q511" s="281">
        <v>0</v>
      </c>
      <c r="R511" s="282" t="s">
        <v>889</v>
      </c>
      <c r="S511" s="274" t="s">
        <v>1569</v>
      </c>
      <c r="T511" s="44">
        <v>1</v>
      </c>
      <c r="U511" s="283">
        <v>58</v>
      </c>
      <c r="V511" s="284">
        <v>14</v>
      </c>
      <c r="W511" s="285" t="s">
        <v>889</v>
      </c>
      <c r="X511" s="286" t="s">
        <v>889</v>
      </c>
      <c r="Y511" s="287">
        <v>0</v>
      </c>
      <c r="Z511" s="287" t="s">
        <v>889</v>
      </c>
      <c r="AA511" s="286" t="s">
        <v>889</v>
      </c>
      <c r="AB511" s="287">
        <v>0</v>
      </c>
      <c r="AC511" s="287"/>
      <c r="AD511" s="288" t="s">
        <v>889</v>
      </c>
      <c r="AE511" s="289" t="s">
        <v>889</v>
      </c>
      <c r="AF511" s="279">
        <v>0</v>
      </c>
      <c r="AG511" s="282">
        <v>43619</v>
      </c>
      <c r="AH511" s="282">
        <v>39184</v>
      </c>
      <c r="AI511" s="282">
        <v>43585</v>
      </c>
      <c r="AJ511" s="282" t="s">
        <v>889</v>
      </c>
      <c r="AK511" s="274"/>
    </row>
    <row r="512" spans="1:37" x14ac:dyDescent="0.3">
      <c r="A512" s="273">
        <v>98733</v>
      </c>
      <c r="B512" s="274" t="s">
        <v>1570</v>
      </c>
      <c r="C512" s="146" t="s">
        <v>31</v>
      </c>
      <c r="D512" s="275">
        <v>134</v>
      </c>
      <c r="E512" s="274"/>
      <c r="F512" s="274"/>
      <c r="G512" s="274" t="s">
        <v>889</v>
      </c>
      <c r="H512" s="276">
        <v>41</v>
      </c>
      <c r="I512" s="24">
        <v>103003</v>
      </c>
      <c r="J512" s="277">
        <v>144.25</v>
      </c>
      <c r="K512" s="276"/>
      <c r="L512" s="278">
        <v>0</v>
      </c>
      <c r="M512" s="279">
        <v>0</v>
      </c>
      <c r="N512" s="277">
        <v>0</v>
      </c>
      <c r="O512" s="280" t="s">
        <v>888</v>
      </c>
      <c r="P512" s="279">
        <v>0</v>
      </c>
      <c r="Q512" s="281">
        <v>0</v>
      </c>
      <c r="R512" s="282" t="s">
        <v>889</v>
      </c>
      <c r="S512" s="274" t="s">
        <v>1569</v>
      </c>
      <c r="T512" s="44">
        <v>1</v>
      </c>
      <c r="U512" s="283">
        <v>58</v>
      </c>
      <c r="V512" s="284">
        <v>14</v>
      </c>
      <c r="W512" s="285" t="s">
        <v>889</v>
      </c>
      <c r="X512" s="286" t="s">
        <v>889</v>
      </c>
      <c r="Y512" s="287">
        <v>0</v>
      </c>
      <c r="Z512" s="287" t="s">
        <v>889</v>
      </c>
      <c r="AA512" s="286" t="s">
        <v>889</v>
      </c>
      <c r="AB512" s="287">
        <v>0</v>
      </c>
      <c r="AC512" s="287"/>
      <c r="AD512" s="288" t="s">
        <v>889</v>
      </c>
      <c r="AE512" s="289" t="s">
        <v>889</v>
      </c>
      <c r="AF512" s="279">
        <v>0</v>
      </c>
      <c r="AG512" s="282">
        <v>43613</v>
      </c>
      <c r="AH512" s="282">
        <v>39184</v>
      </c>
      <c r="AI512" s="282">
        <v>43585</v>
      </c>
      <c r="AJ512" s="282" t="s">
        <v>889</v>
      </c>
      <c r="AK512" s="274"/>
    </row>
    <row r="513" spans="1:37" x14ac:dyDescent="0.3">
      <c r="A513" s="273">
        <v>98734</v>
      </c>
      <c r="B513" s="274" t="s">
        <v>1571</v>
      </c>
      <c r="C513" s="146" t="s">
        <v>31</v>
      </c>
      <c r="D513" s="275">
        <v>134</v>
      </c>
      <c r="E513" s="274"/>
      <c r="F513" s="274"/>
      <c r="G513" s="274" t="s">
        <v>889</v>
      </c>
      <c r="H513" s="276">
        <v>36</v>
      </c>
      <c r="I513" s="24">
        <v>103003</v>
      </c>
      <c r="J513" s="277">
        <v>160.98412999999999</v>
      </c>
      <c r="K513" s="276"/>
      <c r="L513" s="278">
        <v>0</v>
      </c>
      <c r="M513" s="279">
        <v>0</v>
      </c>
      <c r="N513" s="277">
        <v>0</v>
      </c>
      <c r="O513" s="280" t="s">
        <v>888</v>
      </c>
      <c r="P513" s="279">
        <v>0</v>
      </c>
      <c r="Q513" s="281">
        <v>0</v>
      </c>
      <c r="R513" s="282" t="s">
        <v>889</v>
      </c>
      <c r="S513" s="274" t="s">
        <v>1569</v>
      </c>
      <c r="T513" s="44">
        <v>1</v>
      </c>
      <c r="U513" s="283">
        <v>58</v>
      </c>
      <c r="V513" s="284">
        <v>14</v>
      </c>
      <c r="W513" s="285" t="s">
        <v>889</v>
      </c>
      <c r="X513" s="286" t="s">
        <v>889</v>
      </c>
      <c r="Y513" s="287">
        <v>0</v>
      </c>
      <c r="Z513" s="287" t="s">
        <v>889</v>
      </c>
      <c r="AA513" s="286" t="s">
        <v>889</v>
      </c>
      <c r="AB513" s="287">
        <v>0</v>
      </c>
      <c r="AC513" s="287"/>
      <c r="AD513" s="288" t="s">
        <v>889</v>
      </c>
      <c r="AE513" s="289" t="s">
        <v>889</v>
      </c>
      <c r="AF513" s="279">
        <v>0</v>
      </c>
      <c r="AG513" s="282">
        <v>43619</v>
      </c>
      <c r="AH513" s="282">
        <v>39184</v>
      </c>
      <c r="AI513" s="282">
        <v>43585</v>
      </c>
      <c r="AJ513" s="282" t="s">
        <v>889</v>
      </c>
      <c r="AK513" s="274"/>
    </row>
    <row r="514" spans="1:37" x14ac:dyDescent="0.3">
      <c r="A514" s="273">
        <v>99787</v>
      </c>
      <c r="B514" s="274" t="s">
        <v>1572</v>
      </c>
      <c r="C514" s="146" t="s">
        <v>263</v>
      </c>
      <c r="D514" s="275">
        <v>73</v>
      </c>
      <c r="E514" s="274"/>
      <c r="F514" s="274"/>
      <c r="G514" s="274" t="s">
        <v>889</v>
      </c>
      <c r="H514" s="276">
        <v>16</v>
      </c>
      <c r="I514" s="24">
        <v>103003</v>
      </c>
      <c r="J514" s="277">
        <v>73</v>
      </c>
      <c r="K514" s="276">
        <v>62</v>
      </c>
      <c r="L514" s="278">
        <v>3.0018761726078802</v>
      </c>
      <c r="M514" s="279">
        <v>0</v>
      </c>
      <c r="N514" s="277">
        <v>0</v>
      </c>
      <c r="O514" s="280" t="s">
        <v>888</v>
      </c>
      <c r="P514" s="279">
        <v>0</v>
      </c>
      <c r="Q514" s="281">
        <v>0</v>
      </c>
      <c r="R514" s="282" t="s">
        <v>889</v>
      </c>
      <c r="S514" s="274" t="s">
        <v>990</v>
      </c>
      <c r="T514" s="44">
        <v>1</v>
      </c>
      <c r="U514" s="283">
        <v>55</v>
      </c>
      <c r="V514" s="284">
        <v>32</v>
      </c>
      <c r="W514" s="285">
        <v>2691</v>
      </c>
      <c r="X514" s="286">
        <v>2023</v>
      </c>
      <c r="Y514" s="287">
        <v>60</v>
      </c>
      <c r="Z514" s="287" t="s">
        <v>889</v>
      </c>
      <c r="AA514" s="286" t="s">
        <v>889</v>
      </c>
      <c r="AB514" s="287">
        <v>0</v>
      </c>
      <c r="AC514" s="287"/>
      <c r="AD514" s="288" t="s">
        <v>889</v>
      </c>
      <c r="AE514" s="289" t="s">
        <v>889</v>
      </c>
      <c r="AF514" s="279">
        <v>22</v>
      </c>
      <c r="AG514" s="282">
        <v>44874</v>
      </c>
      <c r="AH514" s="282">
        <v>39227</v>
      </c>
      <c r="AI514" s="282">
        <v>44845</v>
      </c>
      <c r="AJ514" s="282" t="s">
        <v>889</v>
      </c>
      <c r="AK514" s="274"/>
    </row>
    <row r="515" spans="1:37" x14ac:dyDescent="0.3">
      <c r="A515" s="273">
        <v>99788</v>
      </c>
      <c r="B515" s="274" t="s">
        <v>1573</v>
      </c>
      <c r="C515" s="146" t="s">
        <v>263</v>
      </c>
      <c r="D515" s="275">
        <v>1.49</v>
      </c>
      <c r="E515" s="274"/>
      <c r="F515" s="274"/>
      <c r="G515" s="274" t="s">
        <v>889</v>
      </c>
      <c r="H515" s="276">
        <v>150</v>
      </c>
      <c r="I515" s="24">
        <v>103003</v>
      </c>
      <c r="J515" s="277">
        <v>1.49</v>
      </c>
      <c r="K515" s="276"/>
      <c r="L515" s="278">
        <v>0</v>
      </c>
      <c r="M515" s="279">
        <v>0</v>
      </c>
      <c r="N515" s="277">
        <v>0</v>
      </c>
      <c r="O515" s="280" t="s">
        <v>888</v>
      </c>
      <c r="P515" s="279">
        <v>0</v>
      </c>
      <c r="Q515" s="281">
        <v>0</v>
      </c>
      <c r="R515" s="282" t="s">
        <v>889</v>
      </c>
      <c r="S515" s="274" t="s">
        <v>990</v>
      </c>
      <c r="T515" s="44">
        <v>1</v>
      </c>
      <c r="U515" s="283">
        <v>55</v>
      </c>
      <c r="V515" s="284">
        <v>32</v>
      </c>
      <c r="W515" s="285" t="s">
        <v>889</v>
      </c>
      <c r="X515" s="286" t="s">
        <v>889</v>
      </c>
      <c r="Y515" s="287">
        <v>0</v>
      </c>
      <c r="Z515" s="287" t="s">
        <v>889</v>
      </c>
      <c r="AA515" s="286" t="s">
        <v>889</v>
      </c>
      <c r="AB515" s="287">
        <v>0</v>
      </c>
      <c r="AC515" s="287"/>
      <c r="AD515" s="288" t="s">
        <v>889</v>
      </c>
      <c r="AE515" s="289" t="s">
        <v>889</v>
      </c>
      <c r="AF515" s="279">
        <v>0</v>
      </c>
      <c r="AG515" s="282">
        <v>39741</v>
      </c>
      <c r="AH515" s="282">
        <v>39227</v>
      </c>
      <c r="AI515" s="282">
        <v>39729</v>
      </c>
      <c r="AJ515" s="282" t="s">
        <v>889</v>
      </c>
      <c r="AK515" s="274"/>
    </row>
    <row r="516" spans="1:37" x14ac:dyDescent="0.3">
      <c r="A516" s="273">
        <v>100362</v>
      </c>
      <c r="B516" s="274" t="s">
        <v>1574</v>
      </c>
      <c r="C516" s="146" t="s">
        <v>611</v>
      </c>
      <c r="D516" s="275">
        <v>26.43</v>
      </c>
      <c r="E516" s="274"/>
      <c r="F516" s="274"/>
      <c r="G516" s="274" t="s">
        <v>889</v>
      </c>
      <c r="H516" s="276">
        <v>2665</v>
      </c>
      <c r="I516" s="24">
        <v>103003</v>
      </c>
      <c r="J516" s="277">
        <v>26.43</v>
      </c>
      <c r="K516" s="276">
        <v>3661</v>
      </c>
      <c r="L516" s="278">
        <v>8.7354136619902985</v>
      </c>
      <c r="M516" s="279">
        <v>0</v>
      </c>
      <c r="N516" s="277">
        <v>0</v>
      </c>
      <c r="O516" s="280" t="s">
        <v>888</v>
      </c>
      <c r="P516" s="279">
        <v>0</v>
      </c>
      <c r="Q516" s="281">
        <v>0</v>
      </c>
      <c r="R516" s="282" t="s">
        <v>889</v>
      </c>
      <c r="S516" s="274" t="s">
        <v>963</v>
      </c>
      <c r="T516" s="44">
        <v>1</v>
      </c>
      <c r="U516" s="283">
        <v>51</v>
      </c>
      <c r="V516" s="284">
        <v>3</v>
      </c>
      <c r="W516" s="285" t="s">
        <v>889</v>
      </c>
      <c r="X516" s="286" t="s">
        <v>889</v>
      </c>
      <c r="Y516" s="287">
        <v>0</v>
      </c>
      <c r="Z516" s="287">
        <v>8935</v>
      </c>
      <c r="AA516" s="286">
        <v>2023</v>
      </c>
      <c r="AB516" s="287">
        <v>4000</v>
      </c>
      <c r="AC516" s="287">
        <v>8000</v>
      </c>
      <c r="AD516" s="288" t="s">
        <v>2066</v>
      </c>
      <c r="AE516" s="289">
        <v>45180</v>
      </c>
      <c r="AF516" s="279">
        <v>1220</v>
      </c>
      <c r="AG516" s="282">
        <v>45163</v>
      </c>
      <c r="AH516" s="282">
        <v>39258</v>
      </c>
      <c r="AI516" s="282">
        <v>45148</v>
      </c>
      <c r="AJ516" s="282" t="s">
        <v>889</v>
      </c>
      <c r="AK516" s="274"/>
    </row>
    <row r="517" spans="1:37" x14ac:dyDescent="0.3">
      <c r="A517" s="273">
        <v>100383</v>
      </c>
      <c r="B517" s="274" t="s">
        <v>623</v>
      </c>
      <c r="C517" s="146" t="s">
        <v>260</v>
      </c>
      <c r="D517" s="275">
        <v>160</v>
      </c>
      <c r="E517" s="274"/>
      <c r="F517" s="274"/>
      <c r="G517" s="274" t="s">
        <v>889</v>
      </c>
      <c r="H517" s="276">
        <v>74</v>
      </c>
      <c r="I517" s="24">
        <v>103003</v>
      </c>
      <c r="J517" s="277">
        <v>160</v>
      </c>
      <c r="K517" s="276">
        <v>3</v>
      </c>
      <c r="L517" s="278">
        <v>296</v>
      </c>
      <c r="M517" s="279">
        <v>0</v>
      </c>
      <c r="N517" s="277">
        <v>0</v>
      </c>
      <c r="O517" s="280" t="s">
        <v>888</v>
      </c>
      <c r="P517" s="279">
        <v>0</v>
      </c>
      <c r="Q517" s="281">
        <v>0</v>
      </c>
      <c r="R517" s="282" t="s">
        <v>889</v>
      </c>
      <c r="S517" s="274" t="s">
        <v>1575</v>
      </c>
      <c r="T517" s="44">
        <v>1</v>
      </c>
      <c r="U517" s="283">
        <v>80</v>
      </c>
      <c r="V517" s="284">
        <v>7</v>
      </c>
      <c r="W517" s="285" t="s">
        <v>889</v>
      </c>
      <c r="X517" s="286" t="s">
        <v>889</v>
      </c>
      <c r="Y517" s="287">
        <v>0</v>
      </c>
      <c r="Z517" s="287" t="s">
        <v>889</v>
      </c>
      <c r="AA517" s="286" t="s">
        <v>889</v>
      </c>
      <c r="AB517" s="287">
        <v>0</v>
      </c>
      <c r="AC517" s="287"/>
      <c r="AD517" s="288" t="s">
        <v>889</v>
      </c>
      <c r="AE517" s="289" t="s">
        <v>889</v>
      </c>
      <c r="AF517" s="279">
        <v>2</v>
      </c>
      <c r="AG517" s="282">
        <v>44372</v>
      </c>
      <c r="AH517" s="282">
        <v>39260</v>
      </c>
      <c r="AI517" s="282">
        <v>44757</v>
      </c>
      <c r="AJ517" s="282" t="s">
        <v>889</v>
      </c>
      <c r="AK517" s="274"/>
    </row>
    <row r="518" spans="1:37" x14ac:dyDescent="0.3">
      <c r="A518" s="273">
        <v>100802</v>
      </c>
      <c r="B518" s="274" t="s">
        <v>1576</v>
      </c>
      <c r="C518" s="146" t="s">
        <v>290</v>
      </c>
      <c r="D518" s="275">
        <v>20.420000000000002</v>
      </c>
      <c r="E518" s="274"/>
      <c r="F518" s="274"/>
      <c r="G518" s="274" t="s">
        <v>889</v>
      </c>
      <c r="H518" s="276">
        <v>794</v>
      </c>
      <c r="I518" s="24">
        <v>103003</v>
      </c>
      <c r="J518" s="277">
        <v>20.420000000000002</v>
      </c>
      <c r="K518" s="276">
        <v>828</v>
      </c>
      <c r="L518" s="278">
        <v>11.507246376811594</v>
      </c>
      <c r="M518" s="279">
        <v>34</v>
      </c>
      <c r="N518" s="277">
        <v>694.28</v>
      </c>
      <c r="O518" s="280" t="s">
        <v>888</v>
      </c>
      <c r="P518" s="279">
        <v>0</v>
      </c>
      <c r="Q518" s="281">
        <v>0</v>
      </c>
      <c r="R518" s="282" t="s">
        <v>889</v>
      </c>
      <c r="S518" s="274" t="s">
        <v>993</v>
      </c>
      <c r="T518" s="44">
        <v>1</v>
      </c>
      <c r="U518" s="283">
        <v>61</v>
      </c>
      <c r="V518" s="284">
        <v>9</v>
      </c>
      <c r="W518" s="285" t="s">
        <v>889</v>
      </c>
      <c r="X518" s="286" t="s">
        <v>889</v>
      </c>
      <c r="Y518" s="287">
        <v>0</v>
      </c>
      <c r="Z518" s="287" t="s">
        <v>889</v>
      </c>
      <c r="AA518" s="286" t="s">
        <v>889</v>
      </c>
      <c r="AB518" s="287">
        <v>0</v>
      </c>
      <c r="AC518" s="287"/>
      <c r="AD518" s="288" t="s">
        <v>889</v>
      </c>
      <c r="AE518" s="289" t="s">
        <v>889</v>
      </c>
      <c r="AF518" s="279">
        <v>276</v>
      </c>
      <c r="AG518" s="282">
        <v>45154</v>
      </c>
      <c r="AH518" s="282">
        <v>39275</v>
      </c>
      <c r="AI518" s="282">
        <v>45161</v>
      </c>
      <c r="AJ518" s="282" t="s">
        <v>889</v>
      </c>
      <c r="AK518" s="274"/>
    </row>
    <row r="519" spans="1:37" x14ac:dyDescent="0.3">
      <c r="A519" s="273">
        <v>100907</v>
      </c>
      <c r="B519" s="274" t="s">
        <v>1577</v>
      </c>
      <c r="C519" s="146" t="s">
        <v>320</v>
      </c>
      <c r="D519" s="275">
        <v>7.6</v>
      </c>
      <c r="E519" s="274"/>
      <c r="F519" s="274"/>
      <c r="G519" s="274" t="s">
        <v>889</v>
      </c>
      <c r="H519" s="276">
        <v>103</v>
      </c>
      <c r="I519" s="24">
        <v>103003</v>
      </c>
      <c r="J519" s="277">
        <v>7.6</v>
      </c>
      <c r="K519" s="276">
        <v>96</v>
      </c>
      <c r="L519" s="278">
        <v>9.2960288808664266</v>
      </c>
      <c r="M519" s="279">
        <v>29.96</v>
      </c>
      <c r="N519" s="277">
        <v>227.696</v>
      </c>
      <c r="O519" s="280" t="s">
        <v>888</v>
      </c>
      <c r="P519" s="279">
        <v>0</v>
      </c>
      <c r="Q519" s="281">
        <v>0</v>
      </c>
      <c r="R519" s="282" t="s">
        <v>889</v>
      </c>
      <c r="S519" s="274" t="s">
        <v>1472</v>
      </c>
      <c r="T519" s="44">
        <v>1</v>
      </c>
      <c r="U519" s="283">
        <v>73</v>
      </c>
      <c r="V519" s="284">
        <v>1</v>
      </c>
      <c r="W519" s="285" t="s">
        <v>889</v>
      </c>
      <c r="X519" s="286" t="s">
        <v>889</v>
      </c>
      <c r="Y519" s="287">
        <v>0</v>
      </c>
      <c r="Z519" s="287" t="s">
        <v>889</v>
      </c>
      <c r="AA519" s="286" t="s">
        <v>889</v>
      </c>
      <c r="AB519" s="287">
        <v>0</v>
      </c>
      <c r="AC519" s="287"/>
      <c r="AD519" s="288" t="s">
        <v>889</v>
      </c>
      <c r="AE519" s="289" t="s">
        <v>889</v>
      </c>
      <c r="AF519" s="279">
        <v>44</v>
      </c>
      <c r="AG519" s="282">
        <v>44027</v>
      </c>
      <c r="AH519" s="282">
        <v>39281</v>
      </c>
      <c r="AI519" s="282">
        <v>44025</v>
      </c>
      <c r="AJ519" s="282" t="s">
        <v>889</v>
      </c>
      <c r="AK519" s="274"/>
    </row>
    <row r="520" spans="1:37" x14ac:dyDescent="0.3">
      <c r="A520" s="273">
        <v>101867</v>
      </c>
      <c r="B520" s="274" t="s">
        <v>1578</v>
      </c>
      <c r="C520" s="146" t="s">
        <v>345</v>
      </c>
      <c r="D520" s="275">
        <v>215.16</v>
      </c>
      <c r="E520" s="274"/>
      <c r="F520" s="274"/>
      <c r="G520" s="274" t="s">
        <v>889</v>
      </c>
      <c r="H520" s="276">
        <v>37</v>
      </c>
      <c r="I520" s="24">
        <v>103003</v>
      </c>
      <c r="J520" s="277">
        <v>215.16</v>
      </c>
      <c r="K520" s="276">
        <v>65</v>
      </c>
      <c r="L520" s="278">
        <v>6.8265682656826572</v>
      </c>
      <c r="M520" s="279">
        <v>28.04</v>
      </c>
      <c r="N520" s="277">
        <v>6033.0864000000001</v>
      </c>
      <c r="O520" s="280" t="s">
        <v>888</v>
      </c>
      <c r="P520" s="279">
        <v>0</v>
      </c>
      <c r="Q520" s="281">
        <v>0</v>
      </c>
      <c r="R520" s="282" t="s">
        <v>889</v>
      </c>
      <c r="S520" s="274" t="s">
        <v>1039</v>
      </c>
      <c r="T520" s="44">
        <v>1</v>
      </c>
      <c r="U520" s="283">
        <v>69</v>
      </c>
      <c r="V520" s="284">
        <v>10</v>
      </c>
      <c r="W520" s="285" t="s">
        <v>889</v>
      </c>
      <c r="X520" s="286" t="s">
        <v>889</v>
      </c>
      <c r="Y520" s="287">
        <v>0</v>
      </c>
      <c r="Z520" s="287" t="s">
        <v>889</v>
      </c>
      <c r="AA520" s="286" t="s">
        <v>889</v>
      </c>
      <c r="AB520" s="287">
        <v>0</v>
      </c>
      <c r="AC520" s="287"/>
      <c r="AD520" s="288" t="s">
        <v>889</v>
      </c>
      <c r="AE520" s="289" t="s">
        <v>889</v>
      </c>
      <c r="AF520" s="279">
        <v>22</v>
      </c>
      <c r="AG520" s="282">
        <v>43396</v>
      </c>
      <c r="AH520" s="282">
        <v>39328</v>
      </c>
      <c r="AI520" s="282">
        <v>44123</v>
      </c>
      <c r="AJ520" s="282" t="s">
        <v>889</v>
      </c>
      <c r="AK520" s="274"/>
    </row>
    <row r="521" spans="1:37" x14ac:dyDescent="0.3">
      <c r="A521" s="273">
        <v>101868</v>
      </c>
      <c r="B521" s="274" t="s">
        <v>1579</v>
      </c>
      <c r="C521" s="146" t="s">
        <v>345</v>
      </c>
      <c r="D521" s="275">
        <v>99.43</v>
      </c>
      <c r="E521" s="274"/>
      <c r="F521" s="274"/>
      <c r="G521" s="274" t="s">
        <v>889</v>
      </c>
      <c r="H521" s="276">
        <v>1232</v>
      </c>
      <c r="I521" s="24">
        <v>103003</v>
      </c>
      <c r="J521" s="277">
        <v>99.43</v>
      </c>
      <c r="K521" s="276">
        <v>40</v>
      </c>
      <c r="L521" s="278">
        <v>369.96996996996995</v>
      </c>
      <c r="M521" s="279">
        <v>0</v>
      </c>
      <c r="N521" s="277">
        <v>0</v>
      </c>
      <c r="O521" s="280" t="s">
        <v>888</v>
      </c>
      <c r="P521" s="279">
        <v>0</v>
      </c>
      <c r="Q521" s="281">
        <v>0</v>
      </c>
      <c r="R521" s="282" t="s">
        <v>889</v>
      </c>
      <c r="S521" s="274" t="s">
        <v>1039</v>
      </c>
      <c r="T521" s="44">
        <v>1</v>
      </c>
      <c r="U521" s="283">
        <v>69</v>
      </c>
      <c r="V521" s="284">
        <v>10</v>
      </c>
      <c r="W521" s="285" t="s">
        <v>889</v>
      </c>
      <c r="X521" s="286" t="s">
        <v>889</v>
      </c>
      <c r="Y521" s="287">
        <v>0</v>
      </c>
      <c r="Z521" s="287" t="s">
        <v>889</v>
      </c>
      <c r="AA521" s="286" t="s">
        <v>889</v>
      </c>
      <c r="AB521" s="287">
        <v>0</v>
      </c>
      <c r="AC521" s="287"/>
      <c r="AD521" s="288" t="s">
        <v>889</v>
      </c>
      <c r="AE521" s="289" t="s">
        <v>889</v>
      </c>
      <c r="AF521" s="279">
        <v>14</v>
      </c>
      <c r="AG521" s="282">
        <v>43693</v>
      </c>
      <c r="AH521" s="282">
        <v>39328</v>
      </c>
      <c r="AI521" s="282">
        <v>43671</v>
      </c>
      <c r="AJ521" s="282" t="s">
        <v>889</v>
      </c>
      <c r="AK521" s="274"/>
    </row>
    <row r="522" spans="1:37" x14ac:dyDescent="0.3">
      <c r="A522" s="273">
        <v>101891</v>
      </c>
      <c r="B522" s="274" t="s">
        <v>1580</v>
      </c>
      <c r="C522" s="146" t="s">
        <v>263</v>
      </c>
      <c r="D522" s="275">
        <v>67.45</v>
      </c>
      <c r="E522" s="274"/>
      <c r="F522" s="274"/>
      <c r="G522" s="274" t="s">
        <v>889</v>
      </c>
      <c r="H522" s="276">
        <v>23</v>
      </c>
      <c r="I522" s="24">
        <v>103003</v>
      </c>
      <c r="J522" s="277">
        <v>67.45</v>
      </c>
      <c r="K522" s="276">
        <v>32</v>
      </c>
      <c r="L522" s="278">
        <v>8.6142322097378266</v>
      </c>
      <c r="M522" s="279">
        <v>0</v>
      </c>
      <c r="N522" s="277">
        <v>0</v>
      </c>
      <c r="O522" s="280" t="s">
        <v>888</v>
      </c>
      <c r="P522" s="279">
        <v>0</v>
      </c>
      <c r="Q522" s="281">
        <v>0</v>
      </c>
      <c r="R522" s="282" t="s">
        <v>889</v>
      </c>
      <c r="S522" s="274" t="s">
        <v>1581</v>
      </c>
      <c r="T522" s="44">
        <v>1</v>
      </c>
      <c r="U522" s="283">
        <v>55</v>
      </c>
      <c r="V522" s="284">
        <v>24</v>
      </c>
      <c r="W522" s="285">
        <v>2956</v>
      </c>
      <c r="X522" s="286">
        <v>2023</v>
      </c>
      <c r="Y522" s="287">
        <v>10</v>
      </c>
      <c r="Z522" s="287" t="s">
        <v>889</v>
      </c>
      <c r="AA522" s="286" t="s">
        <v>889</v>
      </c>
      <c r="AB522" s="287">
        <v>0</v>
      </c>
      <c r="AC522" s="287"/>
      <c r="AD522" s="288" t="s">
        <v>889</v>
      </c>
      <c r="AE522" s="289" t="s">
        <v>889</v>
      </c>
      <c r="AF522" s="279">
        <v>10</v>
      </c>
      <c r="AG522" s="282">
        <v>44945</v>
      </c>
      <c r="AH522" s="282">
        <v>39330</v>
      </c>
      <c r="AI522" s="282">
        <v>44917</v>
      </c>
      <c r="AJ522" s="282" t="s">
        <v>889</v>
      </c>
      <c r="AK522" s="274"/>
    </row>
    <row r="523" spans="1:37" x14ac:dyDescent="0.3">
      <c r="A523" s="273">
        <v>102000</v>
      </c>
      <c r="B523" s="274" t="s">
        <v>1582</v>
      </c>
      <c r="C523" s="146" t="s">
        <v>560</v>
      </c>
      <c r="D523" s="275">
        <v>56.34</v>
      </c>
      <c r="E523" s="274"/>
      <c r="F523" s="274"/>
      <c r="G523" s="274" t="s">
        <v>889</v>
      </c>
      <c r="H523" s="276">
        <v>759</v>
      </c>
      <c r="I523" s="24">
        <v>103003</v>
      </c>
      <c r="J523" s="277">
        <v>56.34</v>
      </c>
      <c r="K523" s="276">
        <v>1689</v>
      </c>
      <c r="L523" s="278">
        <v>5.3925399644760219</v>
      </c>
      <c r="M523" s="279">
        <v>930</v>
      </c>
      <c r="N523" s="277">
        <v>52396.2</v>
      </c>
      <c r="O523" s="280" t="s">
        <v>888</v>
      </c>
      <c r="P523" s="279">
        <v>0</v>
      </c>
      <c r="Q523" s="281">
        <v>0</v>
      </c>
      <c r="R523" s="282" t="s">
        <v>889</v>
      </c>
      <c r="S523" s="274" t="s">
        <v>1198</v>
      </c>
      <c r="T523" s="44">
        <v>1</v>
      </c>
      <c r="U523" s="283">
        <v>51</v>
      </c>
      <c r="V523" s="284">
        <v>7</v>
      </c>
      <c r="W523" s="285" t="s">
        <v>889</v>
      </c>
      <c r="X523" s="286" t="s">
        <v>889</v>
      </c>
      <c r="Y523" s="287">
        <v>0</v>
      </c>
      <c r="Z523" s="287" t="s">
        <v>889</v>
      </c>
      <c r="AA523" s="286" t="s">
        <v>889</v>
      </c>
      <c r="AB523" s="287">
        <v>0</v>
      </c>
      <c r="AC523" s="287"/>
      <c r="AD523" s="288" t="s">
        <v>889</v>
      </c>
      <c r="AE523" s="289" t="s">
        <v>889</v>
      </c>
      <c r="AF523" s="279">
        <v>564</v>
      </c>
      <c r="AG523" s="282">
        <v>45203</v>
      </c>
      <c r="AH523" s="282">
        <v>39339</v>
      </c>
      <c r="AI523" s="282">
        <v>45161</v>
      </c>
      <c r="AJ523" s="282" t="s">
        <v>889</v>
      </c>
      <c r="AK523" s="274"/>
    </row>
    <row r="524" spans="1:37" x14ac:dyDescent="0.3">
      <c r="A524" s="273">
        <v>102276</v>
      </c>
      <c r="B524" s="274" t="s">
        <v>1583</v>
      </c>
      <c r="C524" s="146" t="s">
        <v>345</v>
      </c>
      <c r="D524" s="275">
        <v>186</v>
      </c>
      <c r="E524" s="274"/>
      <c r="F524" s="274"/>
      <c r="G524" s="274" t="s">
        <v>889</v>
      </c>
      <c r="H524" s="276">
        <v>232</v>
      </c>
      <c r="I524" s="24">
        <v>103003</v>
      </c>
      <c r="J524" s="277">
        <v>186</v>
      </c>
      <c r="K524" s="276">
        <v>51</v>
      </c>
      <c r="L524" s="278">
        <v>17.737003058103976</v>
      </c>
      <c r="M524" s="279">
        <v>0</v>
      </c>
      <c r="N524" s="277">
        <v>0</v>
      </c>
      <c r="O524" s="280" t="s">
        <v>888</v>
      </c>
      <c r="P524" s="279">
        <v>0</v>
      </c>
      <c r="Q524" s="281">
        <v>0</v>
      </c>
      <c r="R524" s="282" t="s">
        <v>889</v>
      </c>
      <c r="S524" s="274" t="s">
        <v>1039</v>
      </c>
      <c r="T524" s="44">
        <v>1</v>
      </c>
      <c r="U524" s="283">
        <v>69</v>
      </c>
      <c r="V524" s="284">
        <v>10</v>
      </c>
      <c r="W524" s="285" t="s">
        <v>889</v>
      </c>
      <c r="X524" s="286" t="s">
        <v>889</v>
      </c>
      <c r="Y524" s="287">
        <v>0</v>
      </c>
      <c r="Z524" s="287" t="s">
        <v>889</v>
      </c>
      <c r="AA524" s="286" t="s">
        <v>889</v>
      </c>
      <c r="AB524" s="287">
        <v>0</v>
      </c>
      <c r="AC524" s="287"/>
      <c r="AD524" s="288" t="s">
        <v>889</v>
      </c>
      <c r="AE524" s="289" t="s">
        <v>889</v>
      </c>
      <c r="AF524" s="279">
        <v>52</v>
      </c>
      <c r="AG524" s="282">
        <v>45188</v>
      </c>
      <c r="AH524" s="282">
        <v>39352</v>
      </c>
      <c r="AI524" s="282">
        <v>45156</v>
      </c>
      <c r="AJ524" s="282" t="s">
        <v>889</v>
      </c>
      <c r="AK524" s="274"/>
    </row>
    <row r="525" spans="1:37" x14ac:dyDescent="0.3">
      <c r="A525" s="273">
        <v>102277</v>
      </c>
      <c r="B525" s="274" t="s">
        <v>1584</v>
      </c>
      <c r="C525" s="146" t="s">
        <v>263</v>
      </c>
      <c r="D525" s="275">
        <v>355</v>
      </c>
      <c r="E525" s="274"/>
      <c r="F525" s="274"/>
      <c r="G525" s="274" t="s">
        <v>889</v>
      </c>
      <c r="H525" s="276">
        <v>162</v>
      </c>
      <c r="I525" s="24">
        <v>103003</v>
      </c>
      <c r="J525" s="277">
        <v>355</v>
      </c>
      <c r="K525" s="276"/>
      <c r="L525" s="278">
        <v>88.52459016393442</v>
      </c>
      <c r="M525" s="279">
        <v>0</v>
      </c>
      <c r="N525" s="277">
        <v>0</v>
      </c>
      <c r="O525" s="280" t="s">
        <v>888</v>
      </c>
      <c r="P525" s="279">
        <v>0</v>
      </c>
      <c r="Q525" s="281">
        <v>0</v>
      </c>
      <c r="R525" s="282" t="s">
        <v>889</v>
      </c>
      <c r="S525" s="274" t="s">
        <v>1039</v>
      </c>
      <c r="T525" s="44">
        <v>1</v>
      </c>
      <c r="U525" s="283">
        <v>69</v>
      </c>
      <c r="V525" s="284">
        <v>10</v>
      </c>
      <c r="W525" s="285" t="s">
        <v>889</v>
      </c>
      <c r="X525" s="286" t="s">
        <v>889</v>
      </c>
      <c r="Y525" s="287">
        <v>0</v>
      </c>
      <c r="Z525" s="287" t="s">
        <v>889</v>
      </c>
      <c r="AA525" s="286" t="s">
        <v>889</v>
      </c>
      <c r="AB525" s="287">
        <v>0</v>
      </c>
      <c r="AC525" s="287"/>
      <c r="AD525" s="288" t="s">
        <v>889</v>
      </c>
      <c r="AE525" s="289" t="s">
        <v>889</v>
      </c>
      <c r="AF525" s="279">
        <v>8</v>
      </c>
      <c r="AG525" s="282">
        <v>44516</v>
      </c>
      <c r="AH525" s="282">
        <v>39352</v>
      </c>
      <c r="AI525" s="282">
        <v>44483</v>
      </c>
      <c r="AJ525" s="282" t="s">
        <v>889</v>
      </c>
      <c r="AK525" s="274"/>
    </row>
    <row r="526" spans="1:37" x14ac:dyDescent="0.3">
      <c r="A526" s="273">
        <v>102278</v>
      </c>
      <c r="B526" s="274" t="s">
        <v>1585</v>
      </c>
      <c r="C526" s="146" t="s">
        <v>263</v>
      </c>
      <c r="D526" s="275">
        <v>205.18</v>
      </c>
      <c r="E526" s="274"/>
      <c r="F526" s="274"/>
      <c r="G526" s="274" t="s">
        <v>889</v>
      </c>
      <c r="H526" s="276">
        <v>144</v>
      </c>
      <c r="I526" s="24">
        <v>103003</v>
      </c>
      <c r="J526" s="277">
        <v>205.18</v>
      </c>
      <c r="K526" s="276"/>
      <c r="L526" s="278">
        <v>0</v>
      </c>
      <c r="M526" s="279">
        <v>0</v>
      </c>
      <c r="N526" s="277">
        <v>0</v>
      </c>
      <c r="O526" s="280" t="s">
        <v>888</v>
      </c>
      <c r="P526" s="279">
        <v>0</v>
      </c>
      <c r="Q526" s="281">
        <v>0</v>
      </c>
      <c r="R526" s="282" t="s">
        <v>889</v>
      </c>
      <c r="S526" s="274" t="s">
        <v>1039</v>
      </c>
      <c r="T526" s="44">
        <v>1</v>
      </c>
      <c r="U526" s="283">
        <v>69</v>
      </c>
      <c r="V526" s="284">
        <v>10</v>
      </c>
      <c r="W526" s="285" t="s">
        <v>889</v>
      </c>
      <c r="X526" s="286" t="s">
        <v>889</v>
      </c>
      <c r="Y526" s="287">
        <v>0</v>
      </c>
      <c r="Z526" s="287" t="s">
        <v>889</v>
      </c>
      <c r="AA526" s="286" t="s">
        <v>889</v>
      </c>
      <c r="AB526" s="287">
        <v>0</v>
      </c>
      <c r="AC526" s="287"/>
      <c r="AD526" s="288" t="s">
        <v>889</v>
      </c>
      <c r="AE526" s="289" t="s">
        <v>889</v>
      </c>
      <c r="AF526" s="279">
        <v>0</v>
      </c>
      <c r="AG526" s="282">
        <v>43545</v>
      </c>
      <c r="AH526" s="282">
        <v>39352</v>
      </c>
      <c r="AI526" s="282">
        <v>44784</v>
      </c>
      <c r="AJ526" s="282" t="s">
        <v>889</v>
      </c>
      <c r="AK526" s="274"/>
    </row>
    <row r="527" spans="1:37" x14ac:dyDescent="0.3">
      <c r="A527" s="273">
        <v>102279</v>
      </c>
      <c r="B527" s="274" t="s">
        <v>1586</v>
      </c>
      <c r="C527" s="146" t="s">
        <v>345</v>
      </c>
      <c r="D527" s="275">
        <v>240</v>
      </c>
      <c r="E527" s="274"/>
      <c r="F527" s="274"/>
      <c r="G527" s="274" t="s">
        <v>889</v>
      </c>
      <c r="H527" s="276">
        <v>314</v>
      </c>
      <c r="I527" s="24">
        <v>103003</v>
      </c>
      <c r="J527" s="277">
        <v>240</v>
      </c>
      <c r="K527" s="276">
        <v>41</v>
      </c>
      <c r="L527" s="278">
        <v>11.048557353976074</v>
      </c>
      <c r="M527" s="279">
        <v>27.04</v>
      </c>
      <c r="N527" s="277">
        <v>6489.6</v>
      </c>
      <c r="O527" s="280" t="s">
        <v>888</v>
      </c>
      <c r="P527" s="279">
        <v>0</v>
      </c>
      <c r="Q527" s="281">
        <v>0</v>
      </c>
      <c r="R527" s="282" t="s">
        <v>889</v>
      </c>
      <c r="S527" s="274" t="s">
        <v>1039</v>
      </c>
      <c r="T527" s="44">
        <v>1</v>
      </c>
      <c r="U527" s="283">
        <v>69</v>
      </c>
      <c r="V527" s="284">
        <v>10</v>
      </c>
      <c r="W527" s="285" t="s">
        <v>889</v>
      </c>
      <c r="X527" s="286" t="s">
        <v>889</v>
      </c>
      <c r="Y527" s="287">
        <v>0</v>
      </c>
      <c r="Z527" s="287" t="s">
        <v>889</v>
      </c>
      <c r="AA527" s="286" t="s">
        <v>889</v>
      </c>
      <c r="AB527" s="287">
        <v>0</v>
      </c>
      <c r="AC527" s="287"/>
      <c r="AD527" s="288" t="s">
        <v>889</v>
      </c>
      <c r="AE527" s="289" t="s">
        <v>889</v>
      </c>
      <c r="AF527" s="279">
        <v>114</v>
      </c>
      <c r="AG527" s="282">
        <v>45195</v>
      </c>
      <c r="AH527" s="282">
        <v>39352</v>
      </c>
      <c r="AI527" s="282">
        <v>45156</v>
      </c>
      <c r="AJ527" s="282" t="s">
        <v>889</v>
      </c>
      <c r="AK527" s="274"/>
    </row>
    <row r="528" spans="1:37" x14ac:dyDescent="0.3">
      <c r="A528" s="273">
        <v>102443</v>
      </c>
      <c r="B528" s="274" t="s">
        <v>627</v>
      </c>
      <c r="C528" s="146" t="s">
        <v>263</v>
      </c>
      <c r="D528" s="275">
        <v>39.700000000000003</v>
      </c>
      <c r="E528" s="274"/>
      <c r="F528" s="274"/>
      <c r="G528" s="274" t="s">
        <v>889</v>
      </c>
      <c r="H528" s="276">
        <v>210</v>
      </c>
      <c r="I528" s="24">
        <v>103003</v>
      </c>
      <c r="J528" s="277">
        <v>39.700000000000003</v>
      </c>
      <c r="K528" s="276">
        <v>3</v>
      </c>
      <c r="L528" s="278">
        <v>840</v>
      </c>
      <c r="M528" s="279">
        <v>0</v>
      </c>
      <c r="N528" s="277">
        <v>0</v>
      </c>
      <c r="O528" s="280" t="s">
        <v>888</v>
      </c>
      <c r="P528" s="279">
        <v>0</v>
      </c>
      <c r="Q528" s="281">
        <v>0</v>
      </c>
      <c r="R528" s="282" t="s">
        <v>889</v>
      </c>
      <c r="S528" s="274" t="s">
        <v>1214</v>
      </c>
      <c r="T528" s="44">
        <v>1</v>
      </c>
      <c r="U528" s="283">
        <v>78</v>
      </c>
      <c r="V528" s="284">
        <v>6</v>
      </c>
      <c r="W528" s="285" t="s">
        <v>889</v>
      </c>
      <c r="X528" s="286" t="s">
        <v>889</v>
      </c>
      <c r="Y528" s="287">
        <v>0</v>
      </c>
      <c r="Z528" s="287" t="s">
        <v>889</v>
      </c>
      <c r="AA528" s="286" t="s">
        <v>889</v>
      </c>
      <c r="AB528" s="287">
        <v>0</v>
      </c>
      <c r="AC528" s="287"/>
      <c r="AD528" s="288" t="s">
        <v>889</v>
      </c>
      <c r="AE528" s="289" t="s">
        <v>889</v>
      </c>
      <c r="AF528" s="279">
        <v>2</v>
      </c>
      <c r="AG528" s="282">
        <v>39457</v>
      </c>
      <c r="AH528" s="282">
        <v>39360</v>
      </c>
      <c r="AI528" s="282">
        <v>39414</v>
      </c>
      <c r="AJ528" s="282" t="s">
        <v>889</v>
      </c>
      <c r="AK528" s="274"/>
    </row>
    <row r="529" spans="1:37" x14ac:dyDescent="0.3">
      <c r="A529" s="273">
        <v>102588</v>
      </c>
      <c r="B529" s="274" t="s">
        <v>1587</v>
      </c>
      <c r="C529" s="146" t="s">
        <v>263</v>
      </c>
      <c r="D529" s="275">
        <v>4.87</v>
      </c>
      <c r="E529" s="274"/>
      <c r="F529" s="274"/>
      <c r="G529" s="274" t="s">
        <v>889</v>
      </c>
      <c r="H529" s="276">
        <v>350</v>
      </c>
      <c r="I529" s="24">
        <v>103003</v>
      </c>
      <c r="J529" s="277">
        <v>4.87</v>
      </c>
      <c r="K529" s="276">
        <v>248</v>
      </c>
      <c r="L529" s="278">
        <v>16.339869281045754</v>
      </c>
      <c r="M529" s="279">
        <v>0</v>
      </c>
      <c r="N529" s="277">
        <v>0</v>
      </c>
      <c r="O529" s="280" t="s">
        <v>888</v>
      </c>
      <c r="P529" s="279">
        <v>0</v>
      </c>
      <c r="Q529" s="281">
        <v>0</v>
      </c>
      <c r="R529" s="282" t="s">
        <v>889</v>
      </c>
      <c r="S529" s="274" t="s">
        <v>1003</v>
      </c>
      <c r="T529" s="44">
        <v>1</v>
      </c>
      <c r="U529" s="283">
        <v>61</v>
      </c>
      <c r="V529" s="284">
        <v>11</v>
      </c>
      <c r="W529" s="285" t="s">
        <v>889</v>
      </c>
      <c r="X529" s="286" t="s">
        <v>889</v>
      </c>
      <c r="Y529" s="287">
        <v>0</v>
      </c>
      <c r="Z529" s="287" t="s">
        <v>889</v>
      </c>
      <c r="AA529" s="286" t="s">
        <v>889</v>
      </c>
      <c r="AB529" s="287">
        <v>0</v>
      </c>
      <c r="AC529" s="287"/>
      <c r="AD529" s="288" t="s">
        <v>889</v>
      </c>
      <c r="AE529" s="289" t="s">
        <v>889</v>
      </c>
      <c r="AF529" s="279">
        <v>86</v>
      </c>
      <c r="AG529" s="282">
        <v>45166</v>
      </c>
      <c r="AH529" s="282">
        <v>39365</v>
      </c>
      <c r="AI529" s="282">
        <v>45145</v>
      </c>
      <c r="AJ529" s="282" t="s">
        <v>889</v>
      </c>
      <c r="AK529" s="274"/>
    </row>
    <row r="530" spans="1:37" x14ac:dyDescent="0.3">
      <c r="A530" s="273">
        <v>102690</v>
      </c>
      <c r="B530" s="274" t="s">
        <v>1588</v>
      </c>
      <c r="C530" s="146" t="s">
        <v>263</v>
      </c>
      <c r="D530" s="275">
        <v>85.67</v>
      </c>
      <c r="E530" s="274"/>
      <c r="F530" s="274"/>
      <c r="G530" s="274" t="s">
        <v>889</v>
      </c>
      <c r="H530" s="276">
        <v>412</v>
      </c>
      <c r="I530" s="24">
        <v>103003</v>
      </c>
      <c r="J530" s="277">
        <v>85.67</v>
      </c>
      <c r="K530" s="276">
        <v>76</v>
      </c>
      <c r="L530" s="278">
        <v>65.08688783570301</v>
      </c>
      <c r="M530" s="279">
        <v>0</v>
      </c>
      <c r="N530" s="277">
        <v>0</v>
      </c>
      <c r="O530" s="280" t="s">
        <v>888</v>
      </c>
      <c r="P530" s="279">
        <v>0</v>
      </c>
      <c r="Q530" s="281">
        <v>0</v>
      </c>
      <c r="R530" s="282" t="s">
        <v>889</v>
      </c>
      <c r="S530" s="274" t="s">
        <v>1589</v>
      </c>
      <c r="T530" s="44">
        <v>1</v>
      </c>
      <c r="U530" s="283">
        <v>69</v>
      </c>
      <c r="V530" s="284">
        <v>5</v>
      </c>
      <c r="W530" s="285" t="s">
        <v>889</v>
      </c>
      <c r="X530" s="286" t="s">
        <v>889</v>
      </c>
      <c r="Y530" s="287">
        <v>0</v>
      </c>
      <c r="Z530" s="287" t="s">
        <v>889</v>
      </c>
      <c r="AA530" s="286" t="s">
        <v>889</v>
      </c>
      <c r="AB530" s="287">
        <v>0</v>
      </c>
      <c r="AC530" s="287"/>
      <c r="AD530" s="288" t="s">
        <v>889</v>
      </c>
      <c r="AE530" s="289" t="s">
        <v>889</v>
      </c>
      <c r="AF530" s="279">
        <v>26</v>
      </c>
      <c r="AG530" s="282">
        <v>44965</v>
      </c>
      <c r="AH530" s="282">
        <v>39371</v>
      </c>
      <c r="AI530" s="282">
        <v>44916</v>
      </c>
      <c r="AJ530" s="282" t="s">
        <v>889</v>
      </c>
      <c r="AK530" s="274"/>
    </row>
    <row r="531" spans="1:37" x14ac:dyDescent="0.3">
      <c r="A531" s="273">
        <v>102694</v>
      </c>
      <c r="B531" s="274" t="s">
        <v>1590</v>
      </c>
      <c r="C531" s="146" t="s">
        <v>263</v>
      </c>
      <c r="D531" s="275">
        <v>4</v>
      </c>
      <c r="E531" s="274"/>
      <c r="F531" s="274"/>
      <c r="G531" s="274" t="s">
        <v>889</v>
      </c>
      <c r="H531" s="276">
        <v>215</v>
      </c>
      <c r="I531" s="24">
        <v>103003</v>
      </c>
      <c r="J531" s="277">
        <v>4</v>
      </c>
      <c r="K531" s="276">
        <v>62</v>
      </c>
      <c r="L531" s="278">
        <v>41.586073500967117</v>
      </c>
      <c r="M531" s="279">
        <v>0</v>
      </c>
      <c r="N531" s="277">
        <v>0</v>
      </c>
      <c r="O531" s="280" t="s">
        <v>888</v>
      </c>
      <c r="P531" s="279">
        <v>0</v>
      </c>
      <c r="Q531" s="281">
        <v>0</v>
      </c>
      <c r="R531" s="282" t="s">
        <v>889</v>
      </c>
      <c r="S531" s="274" t="s">
        <v>1589</v>
      </c>
      <c r="T531" s="44">
        <v>1</v>
      </c>
      <c r="U531" s="283">
        <v>69</v>
      </c>
      <c r="V531" s="284">
        <v>5</v>
      </c>
      <c r="W531" s="285">
        <v>2221</v>
      </c>
      <c r="X531" s="286">
        <v>2023</v>
      </c>
      <c r="Y531" s="287">
        <v>50</v>
      </c>
      <c r="Z531" s="287" t="s">
        <v>889</v>
      </c>
      <c r="AA531" s="286" t="s">
        <v>889</v>
      </c>
      <c r="AB531" s="287">
        <v>0</v>
      </c>
      <c r="AC531" s="287"/>
      <c r="AD531" s="288" t="s">
        <v>889</v>
      </c>
      <c r="AE531" s="289" t="s">
        <v>889</v>
      </c>
      <c r="AF531" s="279">
        <v>20</v>
      </c>
      <c r="AG531" s="282">
        <v>44965</v>
      </c>
      <c r="AH531" s="282">
        <v>39371</v>
      </c>
      <c r="AI531" s="282">
        <v>44916</v>
      </c>
      <c r="AJ531" s="282" t="s">
        <v>889</v>
      </c>
      <c r="AK531" s="274"/>
    </row>
    <row r="532" spans="1:37" x14ac:dyDescent="0.3">
      <c r="A532" s="273">
        <v>102694</v>
      </c>
      <c r="B532" s="274" t="s">
        <v>1590</v>
      </c>
      <c r="C532" s="146" t="s">
        <v>263</v>
      </c>
      <c r="D532" s="275">
        <v>4</v>
      </c>
      <c r="E532" s="274"/>
      <c r="F532" s="274"/>
      <c r="G532" s="274" t="s">
        <v>889</v>
      </c>
      <c r="H532" s="276">
        <v>215</v>
      </c>
      <c r="I532" s="24">
        <v>103003</v>
      </c>
      <c r="J532" s="277">
        <v>4</v>
      </c>
      <c r="K532" s="276">
        <v>62</v>
      </c>
      <c r="L532" s="278">
        <v>41.586073500967117</v>
      </c>
      <c r="M532" s="279">
        <v>0</v>
      </c>
      <c r="N532" s="277">
        <v>0</v>
      </c>
      <c r="O532" s="280" t="s">
        <v>888</v>
      </c>
      <c r="P532" s="279">
        <v>0</v>
      </c>
      <c r="Q532" s="281">
        <v>0</v>
      </c>
      <c r="R532" s="282" t="s">
        <v>889</v>
      </c>
      <c r="S532" s="274" t="s">
        <v>1589</v>
      </c>
      <c r="T532" s="44">
        <v>1</v>
      </c>
      <c r="U532" s="283">
        <v>69</v>
      </c>
      <c r="V532" s="284">
        <v>5</v>
      </c>
      <c r="W532" s="285">
        <v>2803</v>
      </c>
      <c r="X532" s="286">
        <v>2023</v>
      </c>
      <c r="Y532" s="287">
        <v>60</v>
      </c>
      <c r="Z532" s="287" t="s">
        <v>889</v>
      </c>
      <c r="AA532" s="286" t="s">
        <v>889</v>
      </c>
      <c r="AB532" s="287">
        <v>0</v>
      </c>
      <c r="AC532" s="287"/>
      <c r="AD532" s="288" t="s">
        <v>889</v>
      </c>
      <c r="AE532" s="289" t="s">
        <v>889</v>
      </c>
      <c r="AF532" s="279">
        <v>20</v>
      </c>
      <c r="AG532" s="282">
        <v>44965</v>
      </c>
      <c r="AH532" s="282">
        <v>39371</v>
      </c>
      <c r="AI532" s="282">
        <v>44916</v>
      </c>
      <c r="AJ532" s="282" t="s">
        <v>889</v>
      </c>
      <c r="AK532" s="274"/>
    </row>
    <row r="533" spans="1:37" x14ac:dyDescent="0.3">
      <c r="A533" s="273">
        <v>102723</v>
      </c>
      <c r="B533" s="274" t="s">
        <v>1591</v>
      </c>
      <c r="C533" s="146" t="s">
        <v>263</v>
      </c>
      <c r="D533" s="275">
        <v>38.33</v>
      </c>
      <c r="E533" s="274"/>
      <c r="F533" s="274"/>
      <c r="G533" s="274" t="s">
        <v>889</v>
      </c>
      <c r="H533" s="276">
        <v>245</v>
      </c>
      <c r="I533" s="24">
        <v>103003</v>
      </c>
      <c r="J533" s="277">
        <v>38.33</v>
      </c>
      <c r="K533" s="276">
        <v>111</v>
      </c>
      <c r="L533" s="278">
        <v>26.486486486486484</v>
      </c>
      <c r="M533" s="279">
        <v>0</v>
      </c>
      <c r="N533" s="277">
        <v>0</v>
      </c>
      <c r="O533" s="280" t="s">
        <v>888</v>
      </c>
      <c r="P533" s="279">
        <v>0</v>
      </c>
      <c r="Q533" s="281">
        <v>0</v>
      </c>
      <c r="R533" s="282" t="s">
        <v>889</v>
      </c>
      <c r="S533" s="274" t="s">
        <v>1589</v>
      </c>
      <c r="T533" s="44">
        <v>1</v>
      </c>
      <c r="U533" s="283">
        <v>69</v>
      </c>
      <c r="V533" s="284">
        <v>5</v>
      </c>
      <c r="W533" s="285">
        <v>2221</v>
      </c>
      <c r="X533" s="286">
        <v>2023</v>
      </c>
      <c r="Y533" s="287">
        <v>100</v>
      </c>
      <c r="Z533" s="287" t="s">
        <v>889</v>
      </c>
      <c r="AA533" s="286" t="s">
        <v>889</v>
      </c>
      <c r="AB533" s="287">
        <v>0</v>
      </c>
      <c r="AC533" s="287"/>
      <c r="AD533" s="288" t="s">
        <v>889</v>
      </c>
      <c r="AE533" s="289" t="s">
        <v>889</v>
      </c>
      <c r="AF533" s="279">
        <v>38</v>
      </c>
      <c r="AG533" s="282">
        <v>44965</v>
      </c>
      <c r="AH533" s="282">
        <v>39371</v>
      </c>
      <c r="AI533" s="282">
        <v>44916</v>
      </c>
      <c r="AJ533" s="282" t="s">
        <v>889</v>
      </c>
      <c r="AK533" s="274"/>
    </row>
    <row r="534" spans="1:37" x14ac:dyDescent="0.3">
      <c r="A534" s="273">
        <v>102728</v>
      </c>
      <c r="B534" s="274" t="s">
        <v>1592</v>
      </c>
      <c r="C534" s="146" t="s">
        <v>263</v>
      </c>
      <c r="D534" s="275">
        <v>2.97</v>
      </c>
      <c r="E534" s="274"/>
      <c r="F534" s="274"/>
      <c r="G534" s="274" t="s">
        <v>889</v>
      </c>
      <c r="H534" s="276">
        <v>224</v>
      </c>
      <c r="I534" s="24">
        <v>103003</v>
      </c>
      <c r="J534" s="277">
        <v>2.97</v>
      </c>
      <c r="K534" s="276">
        <v>360</v>
      </c>
      <c r="L534" s="278">
        <v>7.3442622950819674</v>
      </c>
      <c r="M534" s="279">
        <v>92</v>
      </c>
      <c r="N534" s="277">
        <v>273.24</v>
      </c>
      <c r="O534" s="280" t="s">
        <v>888</v>
      </c>
      <c r="P534" s="279">
        <v>0</v>
      </c>
      <c r="Q534" s="281">
        <v>0</v>
      </c>
      <c r="R534" s="282" t="s">
        <v>889</v>
      </c>
      <c r="S534" s="274" t="s">
        <v>1347</v>
      </c>
      <c r="T534" s="44">
        <v>1</v>
      </c>
      <c r="U534" s="283">
        <v>69</v>
      </c>
      <c r="V534" s="284">
        <v>8</v>
      </c>
      <c r="W534" s="285">
        <v>2496</v>
      </c>
      <c r="X534" s="286">
        <v>2023</v>
      </c>
      <c r="Y534" s="287">
        <v>50</v>
      </c>
      <c r="Z534" s="287" t="s">
        <v>889</v>
      </c>
      <c r="AA534" s="286" t="s">
        <v>889</v>
      </c>
      <c r="AB534" s="287">
        <v>0</v>
      </c>
      <c r="AC534" s="287"/>
      <c r="AD534" s="288" t="s">
        <v>889</v>
      </c>
      <c r="AE534" s="289" t="s">
        <v>889</v>
      </c>
      <c r="AF534" s="279">
        <v>122</v>
      </c>
      <c r="AG534" s="282">
        <v>44943</v>
      </c>
      <c r="AH534" s="282">
        <v>39371</v>
      </c>
      <c r="AI534" s="282">
        <v>44917</v>
      </c>
      <c r="AJ534" s="282" t="s">
        <v>889</v>
      </c>
      <c r="AK534" s="274"/>
    </row>
    <row r="535" spans="1:37" x14ac:dyDescent="0.3">
      <c r="A535" s="273">
        <v>102776</v>
      </c>
      <c r="B535" s="274" t="s">
        <v>1593</v>
      </c>
      <c r="C535" s="146" t="s">
        <v>263</v>
      </c>
      <c r="D535" s="275">
        <v>16</v>
      </c>
      <c r="E535" s="274"/>
      <c r="F535" s="274"/>
      <c r="G535" s="274" t="s">
        <v>889</v>
      </c>
      <c r="H535" s="276">
        <v>40</v>
      </c>
      <c r="I535" s="24">
        <v>103003</v>
      </c>
      <c r="J535" s="277">
        <v>16</v>
      </c>
      <c r="K535" s="276"/>
      <c r="L535" s="278">
        <v>0</v>
      </c>
      <c r="M535" s="279">
        <v>0</v>
      </c>
      <c r="N535" s="277">
        <v>0</v>
      </c>
      <c r="O535" s="280" t="s">
        <v>888</v>
      </c>
      <c r="P535" s="279">
        <v>0</v>
      </c>
      <c r="Q535" s="281">
        <v>0</v>
      </c>
      <c r="R535" s="282" t="s">
        <v>889</v>
      </c>
      <c r="S535" s="274" t="s">
        <v>990</v>
      </c>
      <c r="T535" s="44">
        <v>1</v>
      </c>
      <c r="U535" s="283">
        <v>55</v>
      </c>
      <c r="V535" s="284">
        <v>32</v>
      </c>
      <c r="W535" s="285" t="s">
        <v>889</v>
      </c>
      <c r="X535" s="286" t="s">
        <v>889</v>
      </c>
      <c r="Y535" s="287">
        <v>0</v>
      </c>
      <c r="Z535" s="287" t="s">
        <v>889</v>
      </c>
      <c r="AA535" s="286" t="s">
        <v>889</v>
      </c>
      <c r="AB535" s="287">
        <v>0</v>
      </c>
      <c r="AC535" s="287"/>
      <c r="AD535" s="288" t="s">
        <v>889</v>
      </c>
      <c r="AE535" s="289" t="s">
        <v>889</v>
      </c>
      <c r="AF535" s="279">
        <v>0</v>
      </c>
      <c r="AG535" s="282">
        <v>42534</v>
      </c>
      <c r="AH535" s="282">
        <v>39373</v>
      </c>
      <c r="AI535" s="282">
        <v>42494</v>
      </c>
      <c r="AJ535" s="282" t="s">
        <v>889</v>
      </c>
      <c r="AK535" s="274"/>
    </row>
    <row r="536" spans="1:37" x14ac:dyDescent="0.3">
      <c r="A536" s="273">
        <v>102819</v>
      </c>
      <c r="B536" s="274" t="s">
        <v>1594</v>
      </c>
      <c r="C536" s="146" t="s">
        <v>263</v>
      </c>
      <c r="D536" s="275">
        <v>231.13</v>
      </c>
      <c r="E536" s="274"/>
      <c r="F536" s="274"/>
      <c r="G536" s="274" t="s">
        <v>889</v>
      </c>
      <c r="H536" s="276">
        <v>2</v>
      </c>
      <c r="I536" s="24">
        <v>103003</v>
      </c>
      <c r="J536" s="277">
        <v>231.13</v>
      </c>
      <c r="K536" s="276">
        <v>9</v>
      </c>
      <c r="L536" s="278">
        <v>2.666666666666667</v>
      </c>
      <c r="M536" s="279">
        <v>4</v>
      </c>
      <c r="N536" s="277">
        <v>924.52</v>
      </c>
      <c r="O536" s="280" t="s">
        <v>888</v>
      </c>
      <c r="P536" s="279">
        <v>0</v>
      </c>
      <c r="Q536" s="281">
        <v>0</v>
      </c>
      <c r="R536" s="282" t="s">
        <v>889</v>
      </c>
      <c r="S536" s="274" t="s">
        <v>1502</v>
      </c>
      <c r="T536" s="44">
        <v>1</v>
      </c>
      <c r="U536" s="283">
        <v>55</v>
      </c>
      <c r="V536" s="284">
        <v>26</v>
      </c>
      <c r="W536" s="285">
        <v>2956</v>
      </c>
      <c r="X536" s="286">
        <v>2023</v>
      </c>
      <c r="Y536" s="287">
        <v>3</v>
      </c>
      <c r="Z536" s="287" t="s">
        <v>889</v>
      </c>
      <c r="AA536" s="286" t="s">
        <v>889</v>
      </c>
      <c r="AB536" s="287">
        <v>0</v>
      </c>
      <c r="AC536" s="287"/>
      <c r="AD536" s="288" t="s">
        <v>889</v>
      </c>
      <c r="AE536" s="289" t="s">
        <v>889</v>
      </c>
      <c r="AF536" s="279">
        <v>4</v>
      </c>
      <c r="AG536" s="282">
        <v>44357</v>
      </c>
      <c r="AH536" s="282">
        <v>39374</v>
      </c>
      <c r="AI536" s="282">
        <v>44333</v>
      </c>
      <c r="AJ536" s="282" t="s">
        <v>889</v>
      </c>
      <c r="AK536" s="274"/>
    </row>
    <row r="537" spans="1:37" x14ac:dyDescent="0.3">
      <c r="A537" s="273">
        <v>102820</v>
      </c>
      <c r="B537" s="274" t="s">
        <v>1595</v>
      </c>
      <c r="C537" s="146" t="s">
        <v>263</v>
      </c>
      <c r="D537" s="275">
        <v>233.33</v>
      </c>
      <c r="E537" s="274"/>
      <c r="F537" s="274"/>
      <c r="G537" s="274" t="s">
        <v>889</v>
      </c>
      <c r="H537" s="276">
        <v>0</v>
      </c>
      <c r="I537" s="24">
        <v>103003</v>
      </c>
      <c r="J537" s="277">
        <v>233.33</v>
      </c>
      <c r="K537" s="276">
        <v>5</v>
      </c>
      <c r="L537" s="278">
        <v>0</v>
      </c>
      <c r="M537" s="279">
        <v>0</v>
      </c>
      <c r="N537" s="277">
        <v>0</v>
      </c>
      <c r="O537" s="280" t="s">
        <v>888</v>
      </c>
      <c r="P537" s="279">
        <v>0</v>
      </c>
      <c r="Q537" s="281">
        <v>0</v>
      </c>
      <c r="R537" s="282" t="s">
        <v>889</v>
      </c>
      <c r="S537" s="274" t="s">
        <v>1502</v>
      </c>
      <c r="T537" s="44">
        <v>1</v>
      </c>
      <c r="U537" s="283">
        <v>55</v>
      </c>
      <c r="V537" s="284">
        <v>26</v>
      </c>
      <c r="W537" s="285">
        <v>2234</v>
      </c>
      <c r="X537" s="286">
        <v>2023</v>
      </c>
      <c r="Y537" s="287">
        <v>20</v>
      </c>
      <c r="Z537" s="287" t="s">
        <v>889</v>
      </c>
      <c r="AA537" s="286" t="s">
        <v>889</v>
      </c>
      <c r="AB537" s="287">
        <v>0</v>
      </c>
      <c r="AC537" s="287"/>
      <c r="AD537" s="288" t="s">
        <v>889</v>
      </c>
      <c r="AE537" s="289" t="s">
        <v>889</v>
      </c>
      <c r="AF537" s="279">
        <v>2</v>
      </c>
      <c r="AG537" s="282">
        <v>44874</v>
      </c>
      <c r="AH537" s="282">
        <v>39374</v>
      </c>
      <c r="AI537" s="282">
        <v>44845</v>
      </c>
      <c r="AJ537" s="282" t="s">
        <v>889</v>
      </c>
      <c r="AK537" s="274"/>
    </row>
    <row r="538" spans="1:37" x14ac:dyDescent="0.3">
      <c r="A538" s="273">
        <v>102822</v>
      </c>
      <c r="B538" s="274" t="s">
        <v>1596</v>
      </c>
      <c r="C538" s="146" t="s">
        <v>263</v>
      </c>
      <c r="D538" s="275">
        <v>4.0999999999999996</v>
      </c>
      <c r="E538" s="274"/>
      <c r="F538" s="274"/>
      <c r="G538" s="274" t="s">
        <v>889</v>
      </c>
      <c r="H538" s="276">
        <v>60</v>
      </c>
      <c r="I538" s="24">
        <v>103003</v>
      </c>
      <c r="J538" s="277">
        <v>4.0999999999999996</v>
      </c>
      <c r="K538" s="276">
        <v>7</v>
      </c>
      <c r="L538" s="278">
        <v>103.44827586206895</v>
      </c>
      <c r="M538" s="279">
        <v>0</v>
      </c>
      <c r="N538" s="277">
        <v>0</v>
      </c>
      <c r="O538" s="280" t="s">
        <v>888</v>
      </c>
      <c r="P538" s="279">
        <v>0</v>
      </c>
      <c r="Q538" s="281">
        <v>0</v>
      </c>
      <c r="R538" s="282" t="s">
        <v>889</v>
      </c>
      <c r="S538" s="274" t="s">
        <v>1502</v>
      </c>
      <c r="T538" s="44">
        <v>1</v>
      </c>
      <c r="U538" s="283">
        <v>55</v>
      </c>
      <c r="V538" s="284">
        <v>26</v>
      </c>
      <c r="W538" s="285" t="s">
        <v>889</v>
      </c>
      <c r="X538" s="286" t="s">
        <v>889</v>
      </c>
      <c r="Y538" s="287">
        <v>0</v>
      </c>
      <c r="Z538" s="287" t="s">
        <v>889</v>
      </c>
      <c r="AA538" s="286" t="s">
        <v>889</v>
      </c>
      <c r="AB538" s="287">
        <v>0</v>
      </c>
      <c r="AC538" s="287"/>
      <c r="AD538" s="288" t="s">
        <v>889</v>
      </c>
      <c r="AE538" s="289" t="s">
        <v>889</v>
      </c>
      <c r="AF538" s="279">
        <v>2</v>
      </c>
      <c r="AG538" s="282">
        <v>40263</v>
      </c>
      <c r="AH538" s="282">
        <v>39374</v>
      </c>
      <c r="AI538" s="282">
        <v>42968</v>
      </c>
      <c r="AJ538" s="282" t="s">
        <v>889</v>
      </c>
      <c r="AK538" s="274"/>
    </row>
    <row r="539" spans="1:37" x14ac:dyDescent="0.3">
      <c r="A539" s="273">
        <v>102832</v>
      </c>
      <c r="B539" s="274" t="s">
        <v>1597</v>
      </c>
      <c r="C539" s="146" t="s">
        <v>263</v>
      </c>
      <c r="D539" s="275">
        <v>0</v>
      </c>
      <c r="E539" s="274"/>
      <c r="F539" s="274"/>
      <c r="G539" s="274" t="s">
        <v>889</v>
      </c>
      <c r="H539" s="276">
        <v>75</v>
      </c>
      <c r="I539" s="24">
        <v>103003</v>
      </c>
      <c r="J539" s="277">
        <v>0</v>
      </c>
      <c r="K539" s="276">
        <v>90</v>
      </c>
      <c r="L539" s="278">
        <v>10</v>
      </c>
      <c r="M539" s="279">
        <v>15</v>
      </c>
      <c r="N539" s="277">
        <v>0</v>
      </c>
      <c r="O539" s="280" t="s">
        <v>888</v>
      </c>
      <c r="P539" s="279">
        <v>0</v>
      </c>
      <c r="Q539" s="281">
        <v>0</v>
      </c>
      <c r="R539" s="282" t="s">
        <v>889</v>
      </c>
      <c r="S539" s="274" t="s">
        <v>1598</v>
      </c>
      <c r="T539" s="44">
        <v>1</v>
      </c>
      <c r="U539" s="283">
        <v>51</v>
      </c>
      <c r="V539" s="284">
        <v>42</v>
      </c>
      <c r="W539" s="285" t="s">
        <v>889</v>
      </c>
      <c r="X539" s="286" t="s">
        <v>889</v>
      </c>
      <c r="Y539" s="287">
        <v>0</v>
      </c>
      <c r="Z539" s="287" t="s">
        <v>889</v>
      </c>
      <c r="AA539" s="286" t="s">
        <v>889</v>
      </c>
      <c r="AB539" s="287">
        <v>0</v>
      </c>
      <c r="AC539" s="287"/>
      <c r="AD539" s="288" t="s">
        <v>889</v>
      </c>
      <c r="AE539" s="289" t="s">
        <v>889</v>
      </c>
      <c r="AF539" s="279">
        <v>30</v>
      </c>
      <c r="AG539" s="282" t="s">
        <v>889</v>
      </c>
      <c r="AH539" s="282">
        <v>39377</v>
      </c>
      <c r="AI539" s="282" t="s">
        <v>889</v>
      </c>
      <c r="AJ539" s="282" t="s">
        <v>889</v>
      </c>
      <c r="AK539" s="274"/>
    </row>
    <row r="540" spans="1:37" x14ac:dyDescent="0.3">
      <c r="A540" s="273">
        <v>102922</v>
      </c>
      <c r="B540" s="274" t="s">
        <v>1599</v>
      </c>
      <c r="C540" s="146" t="s">
        <v>335</v>
      </c>
      <c r="D540" s="275">
        <v>1.41</v>
      </c>
      <c r="E540" s="274" t="s">
        <v>1600</v>
      </c>
      <c r="F540" s="274" t="s">
        <v>1533</v>
      </c>
      <c r="G540" s="274" t="s">
        <v>896</v>
      </c>
      <c r="H540" s="276">
        <v>826</v>
      </c>
      <c r="I540" s="24">
        <v>103003</v>
      </c>
      <c r="J540" s="277">
        <v>1.41</v>
      </c>
      <c r="K540" s="276">
        <v>13442</v>
      </c>
      <c r="L540" s="278">
        <v>0.54977968876878647</v>
      </c>
      <c r="M540" s="279">
        <v>13203.04</v>
      </c>
      <c r="N540" s="277">
        <v>18616.286400000001</v>
      </c>
      <c r="O540" s="280" t="s">
        <v>897</v>
      </c>
      <c r="P540" s="279">
        <v>44000</v>
      </c>
      <c r="Q540" s="281">
        <v>62040</v>
      </c>
      <c r="R540" s="282">
        <v>45377</v>
      </c>
      <c r="S540" s="274" t="s">
        <v>960</v>
      </c>
      <c r="T540" s="44">
        <v>1</v>
      </c>
      <c r="U540" s="283">
        <v>72</v>
      </c>
      <c r="V540" s="284">
        <v>10</v>
      </c>
      <c r="W540" s="285" t="s">
        <v>889</v>
      </c>
      <c r="X540" s="286" t="s">
        <v>889</v>
      </c>
      <c r="Y540" s="287">
        <v>0</v>
      </c>
      <c r="Z540" s="287">
        <v>12190</v>
      </c>
      <c r="AA540" s="286">
        <v>2023</v>
      </c>
      <c r="AB540" s="287">
        <v>4000</v>
      </c>
      <c r="AC540" s="287">
        <v>4000</v>
      </c>
      <c r="AD540" s="288" t="s">
        <v>2065</v>
      </c>
      <c r="AE540" s="289">
        <v>45229</v>
      </c>
      <c r="AF540" s="279">
        <v>6010</v>
      </c>
      <c r="AG540" s="282">
        <v>45154</v>
      </c>
      <c r="AH540" s="282">
        <v>39379</v>
      </c>
      <c r="AI540" s="282">
        <v>45209</v>
      </c>
      <c r="AJ540" s="282" t="s">
        <v>889</v>
      </c>
      <c r="AK540" s="274"/>
    </row>
    <row r="541" spans="1:37" x14ac:dyDescent="0.3">
      <c r="A541" s="273">
        <v>103142</v>
      </c>
      <c r="B541" s="274" t="s">
        <v>1601</v>
      </c>
      <c r="C541" s="146" t="s">
        <v>263</v>
      </c>
      <c r="D541" s="275">
        <v>414.81</v>
      </c>
      <c r="E541" s="274"/>
      <c r="F541" s="274"/>
      <c r="G541" s="274" t="s">
        <v>889</v>
      </c>
      <c r="H541" s="276">
        <v>5</v>
      </c>
      <c r="I541" s="24">
        <v>103003</v>
      </c>
      <c r="J541" s="277">
        <v>402.46832999999998</v>
      </c>
      <c r="K541" s="276">
        <v>7</v>
      </c>
      <c r="L541" s="278">
        <v>8.6206896551724128</v>
      </c>
      <c r="M541" s="279">
        <v>1.96</v>
      </c>
      <c r="N541" s="277">
        <v>813.02760000000001</v>
      </c>
      <c r="O541" s="280" t="s">
        <v>888</v>
      </c>
      <c r="P541" s="279">
        <v>0</v>
      </c>
      <c r="Q541" s="281">
        <v>0</v>
      </c>
      <c r="R541" s="282" t="s">
        <v>889</v>
      </c>
      <c r="S541" s="274" t="s">
        <v>1602</v>
      </c>
      <c r="T541" s="44">
        <v>1</v>
      </c>
      <c r="U541" s="283">
        <v>61</v>
      </c>
      <c r="V541" s="284">
        <v>13</v>
      </c>
      <c r="W541" s="285" t="s">
        <v>889</v>
      </c>
      <c r="X541" s="286" t="s">
        <v>889</v>
      </c>
      <c r="Y541" s="287">
        <v>0</v>
      </c>
      <c r="Z541" s="287" t="s">
        <v>889</v>
      </c>
      <c r="AA541" s="286" t="s">
        <v>889</v>
      </c>
      <c r="AB541" s="287">
        <v>0</v>
      </c>
      <c r="AC541" s="287"/>
      <c r="AD541" s="288" t="s">
        <v>889</v>
      </c>
      <c r="AE541" s="289" t="s">
        <v>889</v>
      </c>
      <c r="AF541" s="279">
        <v>2</v>
      </c>
      <c r="AG541" s="282">
        <v>44950</v>
      </c>
      <c r="AH541" s="282">
        <v>39393</v>
      </c>
      <c r="AI541" s="282">
        <v>44939</v>
      </c>
      <c r="AJ541" s="282" t="s">
        <v>889</v>
      </c>
      <c r="AK541" s="274"/>
    </row>
    <row r="542" spans="1:37" x14ac:dyDescent="0.3">
      <c r="A542" s="273">
        <v>103344</v>
      </c>
      <c r="B542" s="274" t="s">
        <v>1603</v>
      </c>
      <c r="C542" s="146" t="s">
        <v>263</v>
      </c>
      <c r="D542" s="275">
        <v>1.85</v>
      </c>
      <c r="E542" s="274"/>
      <c r="F542" s="274"/>
      <c r="G542" s="274" t="s">
        <v>889</v>
      </c>
      <c r="H542" s="276">
        <v>516</v>
      </c>
      <c r="I542" s="24">
        <v>103003</v>
      </c>
      <c r="J542" s="277">
        <v>1.85</v>
      </c>
      <c r="K542" s="276">
        <v>20</v>
      </c>
      <c r="L542" s="278">
        <v>308.98203592814372</v>
      </c>
      <c r="M542" s="279">
        <v>0</v>
      </c>
      <c r="N542" s="277">
        <v>0</v>
      </c>
      <c r="O542" s="280" t="s">
        <v>888</v>
      </c>
      <c r="P542" s="279">
        <v>0</v>
      </c>
      <c r="Q542" s="281">
        <v>0</v>
      </c>
      <c r="R542" s="282" t="s">
        <v>889</v>
      </c>
      <c r="S542" s="274" t="s">
        <v>1103</v>
      </c>
      <c r="T542" s="44">
        <v>1</v>
      </c>
      <c r="U542" s="283">
        <v>55</v>
      </c>
      <c r="V542" s="284">
        <v>35</v>
      </c>
      <c r="W542" s="285" t="s">
        <v>889</v>
      </c>
      <c r="X542" s="286" t="s">
        <v>889</v>
      </c>
      <c r="Y542" s="287">
        <v>0</v>
      </c>
      <c r="Z542" s="287" t="s">
        <v>889</v>
      </c>
      <c r="AA542" s="286" t="s">
        <v>889</v>
      </c>
      <c r="AB542" s="287">
        <v>0</v>
      </c>
      <c r="AC542" s="287"/>
      <c r="AD542" s="288" t="s">
        <v>889</v>
      </c>
      <c r="AE542" s="289" t="s">
        <v>889</v>
      </c>
      <c r="AF542" s="279">
        <v>6</v>
      </c>
      <c r="AG542" s="282">
        <v>44677</v>
      </c>
      <c r="AH542" s="282">
        <v>39400</v>
      </c>
      <c r="AI542" s="282">
        <v>44670</v>
      </c>
      <c r="AJ542" s="282" t="s">
        <v>889</v>
      </c>
      <c r="AK542" s="274"/>
    </row>
    <row r="543" spans="1:37" x14ac:dyDescent="0.3">
      <c r="A543" s="273">
        <v>103490</v>
      </c>
      <c r="B543" s="274" t="s">
        <v>655</v>
      </c>
      <c r="C543" s="146" t="s">
        <v>260</v>
      </c>
      <c r="D543" s="275">
        <v>416.18</v>
      </c>
      <c r="E543" s="274"/>
      <c r="F543" s="274"/>
      <c r="G543" s="274" t="s">
        <v>889</v>
      </c>
      <c r="H543" s="276">
        <v>3</v>
      </c>
      <c r="I543" s="24">
        <v>103003</v>
      </c>
      <c r="J543" s="277">
        <v>416.18</v>
      </c>
      <c r="K543" s="276"/>
      <c r="L543" s="278">
        <v>0</v>
      </c>
      <c r="M543" s="279">
        <v>0</v>
      </c>
      <c r="N543" s="277">
        <v>0</v>
      </c>
      <c r="O543" s="280" t="s">
        <v>888</v>
      </c>
      <c r="P543" s="279">
        <v>0</v>
      </c>
      <c r="Q543" s="281">
        <v>0</v>
      </c>
      <c r="R543" s="282" t="s">
        <v>889</v>
      </c>
      <c r="S543" s="274" t="s">
        <v>1271</v>
      </c>
      <c r="T543" s="44">
        <v>1</v>
      </c>
      <c r="U543" s="283">
        <v>59</v>
      </c>
      <c r="V543" s="284">
        <v>18</v>
      </c>
      <c r="W543" s="285" t="s">
        <v>889</v>
      </c>
      <c r="X543" s="286" t="s">
        <v>889</v>
      </c>
      <c r="Y543" s="287">
        <v>0</v>
      </c>
      <c r="Z543" s="287" t="s">
        <v>889</v>
      </c>
      <c r="AA543" s="286" t="s">
        <v>889</v>
      </c>
      <c r="AB543" s="287">
        <v>0</v>
      </c>
      <c r="AC543" s="287"/>
      <c r="AD543" s="288" t="s">
        <v>889</v>
      </c>
      <c r="AE543" s="289" t="s">
        <v>889</v>
      </c>
      <c r="AF543" s="279">
        <v>0</v>
      </c>
      <c r="AG543" s="282">
        <v>40511</v>
      </c>
      <c r="AH543" s="282">
        <v>39407</v>
      </c>
      <c r="AI543" s="282">
        <v>44516</v>
      </c>
      <c r="AJ543" s="282" t="s">
        <v>889</v>
      </c>
      <c r="AK543" s="274"/>
    </row>
    <row r="544" spans="1:37" x14ac:dyDescent="0.3">
      <c r="A544" s="273">
        <v>104655</v>
      </c>
      <c r="B544" s="274" t="s">
        <v>1604</v>
      </c>
      <c r="C544" s="146" t="s">
        <v>263</v>
      </c>
      <c r="D544" s="275">
        <v>0.25</v>
      </c>
      <c r="E544" s="274"/>
      <c r="F544" s="274"/>
      <c r="G544" s="274" t="s">
        <v>889</v>
      </c>
      <c r="H544" s="276">
        <v>12374</v>
      </c>
      <c r="I544" s="24">
        <v>103003</v>
      </c>
      <c r="J544" s="277">
        <v>0.25</v>
      </c>
      <c r="K544" s="276">
        <v>2200</v>
      </c>
      <c r="L544" s="278">
        <v>67.495772650411823</v>
      </c>
      <c r="M544" s="279">
        <v>0</v>
      </c>
      <c r="N544" s="277">
        <v>0</v>
      </c>
      <c r="O544" s="280" t="s">
        <v>888</v>
      </c>
      <c r="P544" s="279">
        <v>0</v>
      </c>
      <c r="Q544" s="281">
        <v>0</v>
      </c>
      <c r="R544" s="282" t="s">
        <v>889</v>
      </c>
      <c r="S544" s="274" t="s">
        <v>1605</v>
      </c>
      <c r="T544" s="44">
        <v>1</v>
      </c>
      <c r="U544" s="283">
        <v>67</v>
      </c>
      <c r="V544" s="284">
        <v>17</v>
      </c>
      <c r="W544" s="285" t="s">
        <v>889</v>
      </c>
      <c r="X544" s="286" t="s">
        <v>889</v>
      </c>
      <c r="Y544" s="287">
        <v>0</v>
      </c>
      <c r="Z544" s="287" t="s">
        <v>889</v>
      </c>
      <c r="AA544" s="286" t="s">
        <v>889</v>
      </c>
      <c r="AB544" s="287">
        <v>0</v>
      </c>
      <c r="AC544" s="287"/>
      <c r="AD544" s="288" t="s">
        <v>889</v>
      </c>
      <c r="AE544" s="289" t="s">
        <v>889</v>
      </c>
      <c r="AF544" s="279">
        <v>734</v>
      </c>
      <c r="AG544" s="282">
        <v>44055</v>
      </c>
      <c r="AH544" s="282">
        <v>39471</v>
      </c>
      <c r="AI544" s="282">
        <v>44040</v>
      </c>
      <c r="AJ544" s="282" t="s">
        <v>889</v>
      </c>
      <c r="AK544" s="274"/>
    </row>
    <row r="545" spans="1:37" x14ac:dyDescent="0.3">
      <c r="A545" s="273">
        <v>104665</v>
      </c>
      <c r="B545" s="274" t="s">
        <v>1606</v>
      </c>
      <c r="C545" s="146" t="s">
        <v>1607</v>
      </c>
      <c r="D545" s="275">
        <v>485</v>
      </c>
      <c r="E545" s="274"/>
      <c r="F545" s="274"/>
      <c r="G545" s="274" t="s">
        <v>889</v>
      </c>
      <c r="H545" s="276">
        <v>108</v>
      </c>
      <c r="I545" s="24">
        <v>103003</v>
      </c>
      <c r="J545" s="277">
        <v>485</v>
      </c>
      <c r="K545" s="276">
        <v>13</v>
      </c>
      <c r="L545" s="278">
        <v>92.307692307692307</v>
      </c>
      <c r="M545" s="279">
        <v>0</v>
      </c>
      <c r="N545" s="277">
        <v>0</v>
      </c>
      <c r="O545" s="280" t="s">
        <v>888</v>
      </c>
      <c r="P545" s="279">
        <v>0</v>
      </c>
      <c r="Q545" s="281">
        <v>0</v>
      </c>
      <c r="R545" s="282" t="s">
        <v>889</v>
      </c>
      <c r="S545" s="274" t="s">
        <v>1076</v>
      </c>
      <c r="T545" s="44">
        <v>1</v>
      </c>
      <c r="U545" s="283">
        <v>55</v>
      </c>
      <c r="V545" s="284">
        <v>27</v>
      </c>
      <c r="W545" s="285" t="s">
        <v>889</v>
      </c>
      <c r="X545" s="286" t="s">
        <v>889</v>
      </c>
      <c r="Y545" s="287">
        <v>0</v>
      </c>
      <c r="Z545" s="287" t="s">
        <v>889</v>
      </c>
      <c r="AA545" s="286" t="s">
        <v>889</v>
      </c>
      <c r="AB545" s="287">
        <v>0</v>
      </c>
      <c r="AC545" s="287"/>
      <c r="AD545" s="288" t="s">
        <v>889</v>
      </c>
      <c r="AE545" s="289" t="s">
        <v>889</v>
      </c>
      <c r="AF545" s="279">
        <v>4</v>
      </c>
      <c r="AG545" s="282">
        <v>40305</v>
      </c>
      <c r="AH545" s="282">
        <v>39472</v>
      </c>
      <c r="AI545" s="282">
        <v>44126</v>
      </c>
      <c r="AJ545" s="282" t="s">
        <v>889</v>
      </c>
      <c r="AK545" s="274"/>
    </row>
    <row r="546" spans="1:37" x14ac:dyDescent="0.3">
      <c r="A546" s="273">
        <v>104667</v>
      </c>
      <c r="B546" s="274" t="s">
        <v>1608</v>
      </c>
      <c r="C546" s="146" t="s">
        <v>263</v>
      </c>
      <c r="D546" s="275">
        <v>184</v>
      </c>
      <c r="E546" s="274"/>
      <c r="F546" s="274"/>
      <c r="G546" s="274" t="s">
        <v>889</v>
      </c>
      <c r="H546" s="276">
        <v>96</v>
      </c>
      <c r="I546" s="24">
        <v>103003</v>
      </c>
      <c r="J546" s="277">
        <v>184</v>
      </c>
      <c r="K546" s="276">
        <v>75</v>
      </c>
      <c r="L546" s="278">
        <v>13.096862210095496</v>
      </c>
      <c r="M546" s="279">
        <v>0</v>
      </c>
      <c r="N546" s="277">
        <v>0</v>
      </c>
      <c r="O546" s="280" t="s">
        <v>888</v>
      </c>
      <c r="P546" s="279">
        <v>0</v>
      </c>
      <c r="Q546" s="281">
        <v>0</v>
      </c>
      <c r="R546" s="282" t="s">
        <v>889</v>
      </c>
      <c r="S546" s="274" t="s">
        <v>1011</v>
      </c>
      <c r="T546" s="44">
        <v>1</v>
      </c>
      <c r="U546" s="283">
        <v>61</v>
      </c>
      <c r="V546" s="284">
        <v>15</v>
      </c>
      <c r="W546" s="285" t="s">
        <v>889</v>
      </c>
      <c r="X546" s="286" t="s">
        <v>889</v>
      </c>
      <c r="Y546" s="287">
        <v>0</v>
      </c>
      <c r="Z546" s="287">
        <v>9756</v>
      </c>
      <c r="AA546" s="286">
        <v>2023</v>
      </c>
      <c r="AB546" s="287">
        <v>50</v>
      </c>
      <c r="AC546" s="287">
        <v>50</v>
      </c>
      <c r="AD546" s="288" t="s">
        <v>2061</v>
      </c>
      <c r="AE546" s="289">
        <v>45162</v>
      </c>
      <c r="AF546" s="279">
        <v>30</v>
      </c>
      <c r="AG546" s="282">
        <v>44615</v>
      </c>
      <c r="AH546" s="282">
        <v>39472</v>
      </c>
      <c r="AI546" s="282">
        <v>45146</v>
      </c>
      <c r="AJ546" s="282" t="s">
        <v>889</v>
      </c>
      <c r="AK546" s="274"/>
    </row>
    <row r="547" spans="1:37" x14ac:dyDescent="0.3">
      <c r="A547" s="273">
        <v>104755</v>
      </c>
      <c r="B547" s="274" t="s">
        <v>663</v>
      </c>
      <c r="C547" s="146" t="s">
        <v>263</v>
      </c>
      <c r="D547" s="275">
        <v>23.92</v>
      </c>
      <c r="E547" s="274"/>
      <c r="F547" s="274"/>
      <c r="G547" s="274" t="s">
        <v>889</v>
      </c>
      <c r="H547" s="276">
        <v>60</v>
      </c>
      <c r="I547" s="24">
        <v>103003</v>
      </c>
      <c r="J547" s="277">
        <v>23.92</v>
      </c>
      <c r="K547" s="276"/>
      <c r="L547" s="278">
        <v>0</v>
      </c>
      <c r="M547" s="279">
        <v>0</v>
      </c>
      <c r="N547" s="277">
        <v>0</v>
      </c>
      <c r="O547" s="280" t="s">
        <v>888</v>
      </c>
      <c r="P547" s="279">
        <v>0</v>
      </c>
      <c r="Q547" s="281">
        <v>0</v>
      </c>
      <c r="R547" s="282" t="s">
        <v>889</v>
      </c>
      <c r="S547" s="274" t="s">
        <v>1214</v>
      </c>
      <c r="T547" s="44">
        <v>1</v>
      </c>
      <c r="U547" s="283">
        <v>78</v>
      </c>
      <c r="V547" s="284">
        <v>6</v>
      </c>
      <c r="W547" s="285" t="s">
        <v>889</v>
      </c>
      <c r="X547" s="286" t="s">
        <v>889</v>
      </c>
      <c r="Y547" s="287">
        <v>0</v>
      </c>
      <c r="Z547" s="287" t="s">
        <v>889</v>
      </c>
      <c r="AA547" s="286" t="s">
        <v>889</v>
      </c>
      <c r="AB547" s="287">
        <v>0</v>
      </c>
      <c r="AC547" s="287"/>
      <c r="AD547" s="288" t="s">
        <v>889</v>
      </c>
      <c r="AE547" s="289" t="s">
        <v>889</v>
      </c>
      <c r="AF547" s="279">
        <v>0</v>
      </c>
      <c r="AG547" s="282">
        <v>43376</v>
      </c>
      <c r="AH547" s="282">
        <v>39479</v>
      </c>
      <c r="AI547" s="282">
        <v>43347</v>
      </c>
      <c r="AJ547" s="282" t="s">
        <v>889</v>
      </c>
      <c r="AK547" s="274"/>
    </row>
    <row r="548" spans="1:37" x14ac:dyDescent="0.3">
      <c r="A548" s="273">
        <v>104911</v>
      </c>
      <c r="B548" s="274" t="s">
        <v>1609</v>
      </c>
      <c r="C548" s="146" t="s">
        <v>31</v>
      </c>
      <c r="D548" s="275">
        <v>92</v>
      </c>
      <c r="E548" s="274"/>
      <c r="F548" s="274"/>
      <c r="G548" s="274" t="s">
        <v>889</v>
      </c>
      <c r="H548" s="276">
        <v>95</v>
      </c>
      <c r="I548" s="24">
        <v>103003</v>
      </c>
      <c r="J548" s="277">
        <v>92</v>
      </c>
      <c r="K548" s="276">
        <v>46</v>
      </c>
      <c r="L548" s="278">
        <v>17.527675276752767</v>
      </c>
      <c r="M548" s="279">
        <v>0</v>
      </c>
      <c r="N548" s="277">
        <v>0</v>
      </c>
      <c r="O548" s="280" t="s">
        <v>888</v>
      </c>
      <c r="P548" s="279">
        <v>0</v>
      </c>
      <c r="Q548" s="281">
        <v>0</v>
      </c>
      <c r="R548" s="282" t="s">
        <v>889</v>
      </c>
      <c r="S548" s="274" t="s">
        <v>1610</v>
      </c>
      <c r="T548" s="44">
        <v>1</v>
      </c>
      <c r="U548" s="283">
        <v>70</v>
      </c>
      <c r="V548" s="284">
        <v>45</v>
      </c>
      <c r="W548" s="285" t="s">
        <v>889</v>
      </c>
      <c r="X548" s="286" t="s">
        <v>889</v>
      </c>
      <c r="Y548" s="287">
        <v>0</v>
      </c>
      <c r="Z548" s="287" t="s">
        <v>889</v>
      </c>
      <c r="AA548" s="286" t="s">
        <v>889</v>
      </c>
      <c r="AB548" s="287">
        <v>0</v>
      </c>
      <c r="AC548" s="287"/>
      <c r="AD548" s="288" t="s">
        <v>889</v>
      </c>
      <c r="AE548" s="289" t="s">
        <v>889</v>
      </c>
      <c r="AF548" s="279">
        <v>22</v>
      </c>
      <c r="AG548" s="282">
        <v>40423</v>
      </c>
      <c r="AH548" s="282">
        <v>39490</v>
      </c>
      <c r="AI548" s="282">
        <v>40387</v>
      </c>
      <c r="AJ548" s="282" t="s">
        <v>889</v>
      </c>
      <c r="AK548" s="274"/>
    </row>
    <row r="549" spans="1:37" x14ac:dyDescent="0.3">
      <c r="A549" s="273">
        <v>105106</v>
      </c>
      <c r="B549" s="274" t="s">
        <v>1611</v>
      </c>
      <c r="C549" s="146" t="s">
        <v>263</v>
      </c>
      <c r="D549" s="275">
        <v>54.98</v>
      </c>
      <c r="E549" s="274"/>
      <c r="F549" s="274"/>
      <c r="G549" s="274" t="s">
        <v>889</v>
      </c>
      <c r="H549" s="276">
        <v>13</v>
      </c>
      <c r="I549" s="24">
        <v>103003</v>
      </c>
      <c r="J549" s="277">
        <v>54.98</v>
      </c>
      <c r="K549" s="276">
        <v>2</v>
      </c>
      <c r="L549" s="278">
        <v>76.470588235294116</v>
      </c>
      <c r="M549" s="279">
        <v>0</v>
      </c>
      <c r="N549" s="277">
        <v>0</v>
      </c>
      <c r="O549" s="280" t="s">
        <v>888</v>
      </c>
      <c r="P549" s="279">
        <v>0</v>
      </c>
      <c r="Q549" s="281">
        <v>0</v>
      </c>
      <c r="R549" s="282" t="s">
        <v>889</v>
      </c>
      <c r="S549" s="274" t="s">
        <v>1612</v>
      </c>
      <c r="T549" s="44">
        <v>1</v>
      </c>
      <c r="U549" s="283">
        <v>62</v>
      </c>
      <c r="V549" s="284">
        <v>4</v>
      </c>
      <c r="W549" s="285" t="s">
        <v>889</v>
      </c>
      <c r="X549" s="286" t="s">
        <v>889</v>
      </c>
      <c r="Y549" s="287">
        <v>0</v>
      </c>
      <c r="Z549" s="287" t="s">
        <v>889</v>
      </c>
      <c r="AA549" s="286" t="s">
        <v>889</v>
      </c>
      <c r="AB549" s="287">
        <v>0</v>
      </c>
      <c r="AC549" s="287"/>
      <c r="AD549" s="288" t="s">
        <v>889</v>
      </c>
      <c r="AE549" s="289" t="s">
        <v>889</v>
      </c>
      <c r="AF549" s="279">
        <v>0</v>
      </c>
      <c r="AG549" s="282">
        <v>43697</v>
      </c>
      <c r="AH549" s="282">
        <v>39499</v>
      </c>
      <c r="AI549" s="282">
        <v>44791</v>
      </c>
      <c r="AJ549" s="282" t="s">
        <v>889</v>
      </c>
      <c r="AK549" s="274"/>
    </row>
    <row r="550" spans="1:37" x14ac:dyDescent="0.3">
      <c r="A550" s="273">
        <v>105107</v>
      </c>
      <c r="B550" s="274" t="s">
        <v>1613</v>
      </c>
      <c r="C550" s="146" t="s">
        <v>263</v>
      </c>
      <c r="D550" s="275">
        <v>54.98</v>
      </c>
      <c r="E550" s="274"/>
      <c r="F550" s="274"/>
      <c r="G550" s="274" t="s">
        <v>889</v>
      </c>
      <c r="H550" s="276">
        <v>8</v>
      </c>
      <c r="I550" s="24">
        <v>103003</v>
      </c>
      <c r="J550" s="277">
        <v>54.98</v>
      </c>
      <c r="K550" s="276">
        <v>2</v>
      </c>
      <c r="L550" s="278">
        <v>47.058823529411761</v>
      </c>
      <c r="M550" s="279">
        <v>0</v>
      </c>
      <c r="N550" s="277">
        <v>0</v>
      </c>
      <c r="O550" s="280" t="s">
        <v>888</v>
      </c>
      <c r="P550" s="279">
        <v>0</v>
      </c>
      <c r="Q550" s="281">
        <v>0</v>
      </c>
      <c r="R550" s="282" t="s">
        <v>889</v>
      </c>
      <c r="S550" s="274" t="s">
        <v>1612</v>
      </c>
      <c r="T550" s="44">
        <v>1</v>
      </c>
      <c r="U550" s="283">
        <v>62</v>
      </c>
      <c r="V550" s="284">
        <v>4</v>
      </c>
      <c r="W550" s="285" t="s">
        <v>889</v>
      </c>
      <c r="X550" s="286" t="s">
        <v>889</v>
      </c>
      <c r="Y550" s="287">
        <v>0</v>
      </c>
      <c r="Z550" s="287" t="s">
        <v>889</v>
      </c>
      <c r="AA550" s="286" t="s">
        <v>889</v>
      </c>
      <c r="AB550" s="287">
        <v>0</v>
      </c>
      <c r="AC550" s="287"/>
      <c r="AD550" s="288" t="s">
        <v>889</v>
      </c>
      <c r="AE550" s="289" t="s">
        <v>889</v>
      </c>
      <c r="AF550" s="279">
        <v>0</v>
      </c>
      <c r="AG550" s="282">
        <v>43697</v>
      </c>
      <c r="AH550" s="282">
        <v>39499</v>
      </c>
      <c r="AI550" s="282">
        <v>44791</v>
      </c>
      <c r="AJ550" s="282" t="s">
        <v>889</v>
      </c>
      <c r="AK550" s="274"/>
    </row>
    <row r="551" spans="1:37" x14ac:dyDescent="0.3">
      <c r="A551" s="273">
        <v>105108</v>
      </c>
      <c r="B551" s="274" t="s">
        <v>1614</v>
      </c>
      <c r="C551" s="146" t="s">
        <v>263</v>
      </c>
      <c r="D551" s="275">
        <v>54.98</v>
      </c>
      <c r="E551" s="274"/>
      <c r="F551" s="274"/>
      <c r="G551" s="274" t="s">
        <v>889</v>
      </c>
      <c r="H551" s="276">
        <v>13</v>
      </c>
      <c r="I551" s="24">
        <v>103003</v>
      </c>
      <c r="J551" s="277">
        <v>54.98</v>
      </c>
      <c r="K551" s="276">
        <v>5</v>
      </c>
      <c r="L551" s="278">
        <v>30.952380952380953</v>
      </c>
      <c r="M551" s="279">
        <v>0</v>
      </c>
      <c r="N551" s="277">
        <v>0</v>
      </c>
      <c r="O551" s="280" t="s">
        <v>888</v>
      </c>
      <c r="P551" s="279">
        <v>0</v>
      </c>
      <c r="Q551" s="281">
        <v>0</v>
      </c>
      <c r="R551" s="282" t="s">
        <v>889</v>
      </c>
      <c r="S551" s="274" t="s">
        <v>1612</v>
      </c>
      <c r="T551" s="44">
        <v>1</v>
      </c>
      <c r="U551" s="283">
        <v>62</v>
      </c>
      <c r="V551" s="284">
        <v>4</v>
      </c>
      <c r="W551" s="285">
        <v>2830</v>
      </c>
      <c r="X551" s="286">
        <v>2023</v>
      </c>
      <c r="Y551" s="287">
        <v>10</v>
      </c>
      <c r="Z551" s="287" t="s">
        <v>889</v>
      </c>
      <c r="AA551" s="286" t="s">
        <v>889</v>
      </c>
      <c r="AB551" s="287">
        <v>0</v>
      </c>
      <c r="AC551" s="287"/>
      <c r="AD551" s="288" t="s">
        <v>889</v>
      </c>
      <c r="AE551" s="289" t="s">
        <v>889</v>
      </c>
      <c r="AF551" s="279">
        <v>2</v>
      </c>
      <c r="AG551" s="282">
        <v>43698</v>
      </c>
      <c r="AH551" s="282">
        <v>39499</v>
      </c>
      <c r="AI551" s="282">
        <v>44791</v>
      </c>
      <c r="AJ551" s="282" t="s">
        <v>889</v>
      </c>
      <c r="AK551" s="274"/>
    </row>
    <row r="552" spans="1:37" x14ac:dyDescent="0.3">
      <c r="A552" s="273">
        <v>105110</v>
      </c>
      <c r="B552" s="274" t="s">
        <v>1615</v>
      </c>
      <c r="C552" s="146" t="s">
        <v>263</v>
      </c>
      <c r="D552" s="275">
        <v>29.94</v>
      </c>
      <c r="E552" s="274"/>
      <c r="F552" s="274"/>
      <c r="G552" s="274" t="s">
        <v>889</v>
      </c>
      <c r="H552" s="276">
        <v>12</v>
      </c>
      <c r="I552" s="24">
        <v>103003</v>
      </c>
      <c r="J552" s="277">
        <v>29.94</v>
      </c>
      <c r="K552" s="276">
        <v>2</v>
      </c>
      <c r="L552" s="278">
        <v>70.588235294117652</v>
      </c>
      <c r="M552" s="279">
        <v>0</v>
      </c>
      <c r="N552" s="277">
        <v>0</v>
      </c>
      <c r="O552" s="280" t="s">
        <v>888</v>
      </c>
      <c r="P552" s="279">
        <v>0</v>
      </c>
      <c r="Q552" s="281">
        <v>0</v>
      </c>
      <c r="R552" s="282" t="s">
        <v>889</v>
      </c>
      <c r="S552" s="274" t="s">
        <v>1612</v>
      </c>
      <c r="T552" s="44">
        <v>1</v>
      </c>
      <c r="U552" s="283">
        <v>62</v>
      </c>
      <c r="V552" s="284">
        <v>4</v>
      </c>
      <c r="W552" s="285" t="s">
        <v>889</v>
      </c>
      <c r="X552" s="286" t="s">
        <v>889</v>
      </c>
      <c r="Y552" s="287">
        <v>0</v>
      </c>
      <c r="Z552" s="287" t="s">
        <v>889</v>
      </c>
      <c r="AA552" s="286" t="s">
        <v>889</v>
      </c>
      <c r="AB552" s="287">
        <v>0</v>
      </c>
      <c r="AC552" s="287"/>
      <c r="AD552" s="288" t="s">
        <v>889</v>
      </c>
      <c r="AE552" s="289" t="s">
        <v>889</v>
      </c>
      <c r="AF552" s="279">
        <v>0</v>
      </c>
      <c r="AG552" s="282">
        <v>44018</v>
      </c>
      <c r="AH552" s="282">
        <v>39499</v>
      </c>
      <c r="AI552" s="282">
        <v>44235</v>
      </c>
      <c r="AJ552" s="282" t="s">
        <v>889</v>
      </c>
      <c r="AK552" s="274"/>
    </row>
    <row r="553" spans="1:37" x14ac:dyDescent="0.3">
      <c r="A553" s="273">
        <v>105112</v>
      </c>
      <c r="B553" s="274" t="s">
        <v>1616</v>
      </c>
      <c r="C553" s="146" t="s">
        <v>263</v>
      </c>
      <c r="D553" s="275">
        <v>54.98</v>
      </c>
      <c r="E553" s="274"/>
      <c r="F553" s="274"/>
      <c r="G553" s="274" t="s">
        <v>889</v>
      </c>
      <c r="H553" s="276">
        <v>4</v>
      </c>
      <c r="I553" s="24">
        <v>103003</v>
      </c>
      <c r="J553" s="277">
        <v>54.98</v>
      </c>
      <c r="K553" s="276"/>
      <c r="L553" s="278">
        <v>0</v>
      </c>
      <c r="M553" s="279">
        <v>0</v>
      </c>
      <c r="N553" s="277">
        <v>0</v>
      </c>
      <c r="O553" s="280" t="s">
        <v>888</v>
      </c>
      <c r="P553" s="279">
        <v>0</v>
      </c>
      <c r="Q553" s="281">
        <v>0</v>
      </c>
      <c r="R553" s="282" t="s">
        <v>889</v>
      </c>
      <c r="S553" s="274" t="s">
        <v>1612</v>
      </c>
      <c r="T553" s="44">
        <v>1</v>
      </c>
      <c r="U553" s="283">
        <v>62</v>
      </c>
      <c r="V553" s="284">
        <v>4</v>
      </c>
      <c r="W553" s="285" t="s">
        <v>889</v>
      </c>
      <c r="X553" s="286" t="s">
        <v>889</v>
      </c>
      <c r="Y553" s="287">
        <v>0</v>
      </c>
      <c r="Z553" s="287" t="s">
        <v>889</v>
      </c>
      <c r="AA553" s="286" t="s">
        <v>889</v>
      </c>
      <c r="AB553" s="287">
        <v>0</v>
      </c>
      <c r="AC553" s="287"/>
      <c r="AD553" s="288" t="s">
        <v>889</v>
      </c>
      <c r="AE553" s="289" t="s">
        <v>889</v>
      </c>
      <c r="AF553" s="279">
        <v>0</v>
      </c>
      <c r="AG553" s="282">
        <v>42772</v>
      </c>
      <c r="AH553" s="282">
        <v>39499</v>
      </c>
      <c r="AI553" s="282">
        <v>44791</v>
      </c>
      <c r="AJ553" s="282" t="s">
        <v>889</v>
      </c>
      <c r="AK553" s="274"/>
    </row>
    <row r="554" spans="1:37" x14ac:dyDescent="0.3">
      <c r="A554" s="273">
        <v>105113</v>
      </c>
      <c r="B554" s="274" t="s">
        <v>1617</v>
      </c>
      <c r="C554" s="146" t="s">
        <v>263</v>
      </c>
      <c r="D554" s="275">
        <v>33.869999999999997</v>
      </c>
      <c r="E554" s="274"/>
      <c r="F554" s="274"/>
      <c r="G554" s="274" t="s">
        <v>889</v>
      </c>
      <c r="H554" s="276">
        <v>5</v>
      </c>
      <c r="I554" s="24">
        <v>103003</v>
      </c>
      <c r="J554" s="277">
        <v>33.869999999999997</v>
      </c>
      <c r="K554" s="276"/>
      <c r="L554" s="278">
        <v>0</v>
      </c>
      <c r="M554" s="279">
        <v>0</v>
      </c>
      <c r="N554" s="277">
        <v>0</v>
      </c>
      <c r="O554" s="280" t="s">
        <v>888</v>
      </c>
      <c r="P554" s="279">
        <v>0</v>
      </c>
      <c r="Q554" s="281">
        <v>0</v>
      </c>
      <c r="R554" s="282" t="s">
        <v>889</v>
      </c>
      <c r="S554" s="274" t="s">
        <v>1561</v>
      </c>
      <c r="T554" s="44">
        <v>1</v>
      </c>
      <c r="U554" s="283">
        <v>54</v>
      </c>
      <c r="V554" s="284">
        <v>19</v>
      </c>
      <c r="W554" s="285" t="s">
        <v>889</v>
      </c>
      <c r="X554" s="286" t="s">
        <v>889</v>
      </c>
      <c r="Y554" s="287">
        <v>0</v>
      </c>
      <c r="Z554" s="287" t="s">
        <v>889</v>
      </c>
      <c r="AA554" s="286" t="s">
        <v>889</v>
      </c>
      <c r="AB554" s="287">
        <v>0</v>
      </c>
      <c r="AC554" s="287"/>
      <c r="AD554" s="288" t="s">
        <v>889</v>
      </c>
      <c r="AE554" s="289" t="s">
        <v>889</v>
      </c>
      <c r="AF554" s="279">
        <v>0</v>
      </c>
      <c r="AG554" s="282">
        <v>42772</v>
      </c>
      <c r="AH554" s="282">
        <v>39499</v>
      </c>
      <c r="AI554" s="282">
        <v>42706</v>
      </c>
      <c r="AJ554" s="282" t="s">
        <v>889</v>
      </c>
      <c r="AK554" s="274"/>
    </row>
    <row r="555" spans="1:37" x14ac:dyDescent="0.3">
      <c r="A555" s="273">
        <v>105114</v>
      </c>
      <c r="B555" s="274" t="s">
        <v>1618</v>
      </c>
      <c r="C555" s="146" t="s">
        <v>263</v>
      </c>
      <c r="D555" s="275">
        <v>25</v>
      </c>
      <c r="E555" s="274"/>
      <c r="F555" s="274"/>
      <c r="G555" s="274" t="s">
        <v>889</v>
      </c>
      <c r="H555" s="276">
        <v>39</v>
      </c>
      <c r="I555" s="24">
        <v>103003</v>
      </c>
      <c r="J555" s="277">
        <v>25</v>
      </c>
      <c r="K555" s="276">
        <v>2</v>
      </c>
      <c r="L555" s="278">
        <v>229.41176470588232</v>
      </c>
      <c r="M555" s="279">
        <v>0</v>
      </c>
      <c r="N555" s="277">
        <v>0</v>
      </c>
      <c r="O555" s="280" t="s">
        <v>888</v>
      </c>
      <c r="P555" s="279">
        <v>0</v>
      </c>
      <c r="Q555" s="281">
        <v>0</v>
      </c>
      <c r="R555" s="282" t="s">
        <v>889</v>
      </c>
      <c r="S555" s="274" t="s">
        <v>1619</v>
      </c>
      <c r="T555" s="44">
        <v>1</v>
      </c>
      <c r="U555" s="283">
        <v>62</v>
      </c>
      <c r="V555" s="284">
        <v>1</v>
      </c>
      <c r="W555" s="285" t="s">
        <v>889</v>
      </c>
      <c r="X555" s="286" t="s">
        <v>889</v>
      </c>
      <c r="Y555" s="287">
        <v>0</v>
      </c>
      <c r="Z555" s="287" t="s">
        <v>889</v>
      </c>
      <c r="AA555" s="286" t="s">
        <v>889</v>
      </c>
      <c r="AB555" s="287">
        <v>0</v>
      </c>
      <c r="AC555" s="287"/>
      <c r="AD555" s="288" t="s">
        <v>889</v>
      </c>
      <c r="AE555" s="289" t="s">
        <v>889</v>
      </c>
      <c r="AF555" s="279">
        <v>0</v>
      </c>
      <c r="AG555" s="282">
        <v>43697</v>
      </c>
      <c r="AH555" s="282">
        <v>39499</v>
      </c>
      <c r="AI555" s="282">
        <v>43564</v>
      </c>
      <c r="AJ555" s="282" t="s">
        <v>889</v>
      </c>
      <c r="AK555" s="274"/>
    </row>
    <row r="556" spans="1:37" x14ac:dyDescent="0.3">
      <c r="A556" s="273">
        <v>105115</v>
      </c>
      <c r="B556" s="274" t="s">
        <v>1620</v>
      </c>
      <c r="C556" s="146" t="s">
        <v>263</v>
      </c>
      <c r="D556" s="275">
        <v>25.24</v>
      </c>
      <c r="E556" s="274"/>
      <c r="F556" s="274"/>
      <c r="G556" s="274" t="s">
        <v>889</v>
      </c>
      <c r="H556" s="276">
        <v>24</v>
      </c>
      <c r="I556" s="24">
        <v>103003</v>
      </c>
      <c r="J556" s="277">
        <v>25.24</v>
      </c>
      <c r="K556" s="276">
        <v>4</v>
      </c>
      <c r="L556" s="278">
        <v>72.727272727272734</v>
      </c>
      <c r="M556" s="279">
        <v>0</v>
      </c>
      <c r="N556" s="277">
        <v>0</v>
      </c>
      <c r="O556" s="280" t="s">
        <v>888</v>
      </c>
      <c r="P556" s="279">
        <v>0</v>
      </c>
      <c r="Q556" s="281">
        <v>0</v>
      </c>
      <c r="R556" s="282" t="s">
        <v>889</v>
      </c>
      <c r="S556" s="274" t="s">
        <v>1619</v>
      </c>
      <c r="T556" s="44">
        <v>1</v>
      </c>
      <c r="U556" s="283">
        <v>62</v>
      </c>
      <c r="V556" s="284">
        <v>1</v>
      </c>
      <c r="W556" s="285" t="s">
        <v>889</v>
      </c>
      <c r="X556" s="286" t="s">
        <v>889</v>
      </c>
      <c r="Y556" s="287">
        <v>0</v>
      </c>
      <c r="Z556" s="287" t="s">
        <v>889</v>
      </c>
      <c r="AA556" s="286" t="s">
        <v>889</v>
      </c>
      <c r="AB556" s="287">
        <v>0</v>
      </c>
      <c r="AC556" s="287"/>
      <c r="AD556" s="288" t="s">
        <v>889</v>
      </c>
      <c r="AE556" s="289" t="s">
        <v>889</v>
      </c>
      <c r="AF556" s="279">
        <v>2</v>
      </c>
      <c r="AG556" s="282">
        <v>44018</v>
      </c>
      <c r="AH556" s="282">
        <v>39499</v>
      </c>
      <c r="AI556" s="282">
        <v>44468</v>
      </c>
      <c r="AJ556" s="282" t="s">
        <v>889</v>
      </c>
      <c r="AK556" s="274"/>
    </row>
    <row r="557" spans="1:37" x14ac:dyDescent="0.3">
      <c r="A557" s="273">
        <v>105118</v>
      </c>
      <c r="B557" s="274" t="s">
        <v>1621</v>
      </c>
      <c r="C557" s="146" t="s">
        <v>263</v>
      </c>
      <c r="D557" s="275">
        <v>47.41</v>
      </c>
      <c r="E557" s="274"/>
      <c r="F557" s="274"/>
      <c r="G557" s="274" t="s">
        <v>889</v>
      </c>
      <c r="H557" s="276">
        <v>0</v>
      </c>
      <c r="I557" s="24">
        <v>103003</v>
      </c>
      <c r="J557" s="277">
        <v>47.41</v>
      </c>
      <c r="K557" s="276">
        <v>6</v>
      </c>
      <c r="L557" s="278">
        <v>0</v>
      </c>
      <c r="M557" s="279">
        <v>4</v>
      </c>
      <c r="N557" s="277">
        <v>189.64</v>
      </c>
      <c r="O557" s="280" t="s">
        <v>888</v>
      </c>
      <c r="P557" s="279">
        <v>0</v>
      </c>
      <c r="Q557" s="281">
        <v>0</v>
      </c>
      <c r="R557" s="282" t="s">
        <v>889</v>
      </c>
      <c r="S557" s="274" t="s">
        <v>1619</v>
      </c>
      <c r="T557" s="44">
        <v>1</v>
      </c>
      <c r="U557" s="283">
        <v>62</v>
      </c>
      <c r="V557" s="284">
        <v>1</v>
      </c>
      <c r="W557" s="285">
        <v>8984</v>
      </c>
      <c r="X557" s="286">
        <v>2023</v>
      </c>
      <c r="Y557" s="287">
        <v>2</v>
      </c>
      <c r="Z557" s="287" t="s">
        <v>889</v>
      </c>
      <c r="AA557" s="286" t="s">
        <v>889</v>
      </c>
      <c r="AB557" s="287">
        <v>0</v>
      </c>
      <c r="AC557" s="287"/>
      <c r="AD557" s="288" t="s">
        <v>889</v>
      </c>
      <c r="AE557" s="289" t="s">
        <v>889</v>
      </c>
      <c r="AF557" s="279">
        <v>2</v>
      </c>
      <c r="AG557" s="282">
        <v>43872</v>
      </c>
      <c r="AH557" s="282">
        <v>39499</v>
      </c>
      <c r="AI557" s="282">
        <v>44791</v>
      </c>
      <c r="AJ557" s="282" t="s">
        <v>889</v>
      </c>
      <c r="AK557" s="274"/>
    </row>
    <row r="558" spans="1:37" x14ac:dyDescent="0.3">
      <c r="A558" s="273">
        <v>105259</v>
      </c>
      <c r="B558" s="274" t="s">
        <v>1622</v>
      </c>
      <c r="C558" s="146" t="s">
        <v>260</v>
      </c>
      <c r="D558" s="275">
        <v>90.87</v>
      </c>
      <c r="E558" s="274"/>
      <c r="F558" s="274"/>
      <c r="G558" s="274" t="s">
        <v>889</v>
      </c>
      <c r="H558" s="276">
        <v>974</v>
      </c>
      <c r="I558" s="24">
        <v>103003</v>
      </c>
      <c r="J558" s="277">
        <v>90.87</v>
      </c>
      <c r="K558" s="276">
        <v>3646</v>
      </c>
      <c r="L558" s="278">
        <v>2.323639573442756</v>
      </c>
      <c r="M558" s="279">
        <v>3556.04</v>
      </c>
      <c r="N558" s="277">
        <v>323137.35479999997</v>
      </c>
      <c r="O558" s="280" t="s">
        <v>888</v>
      </c>
      <c r="P558" s="279">
        <v>0</v>
      </c>
      <c r="Q558" s="281">
        <v>0</v>
      </c>
      <c r="R558" s="282" t="s">
        <v>889</v>
      </c>
      <c r="S558" s="274" t="s">
        <v>1623</v>
      </c>
      <c r="T558" s="44">
        <v>1</v>
      </c>
      <c r="U558" s="283">
        <v>57</v>
      </c>
      <c r="V558" s="284">
        <v>3</v>
      </c>
      <c r="W558" s="285">
        <v>6216</v>
      </c>
      <c r="X558" s="286">
        <v>2023</v>
      </c>
      <c r="Y558" s="287">
        <v>500</v>
      </c>
      <c r="Z558" s="287" t="s">
        <v>889</v>
      </c>
      <c r="AA558" s="286" t="s">
        <v>889</v>
      </c>
      <c r="AB558" s="287">
        <v>0</v>
      </c>
      <c r="AC558" s="287"/>
      <c r="AD558" s="288" t="s">
        <v>889</v>
      </c>
      <c r="AE558" s="289" t="s">
        <v>889</v>
      </c>
      <c r="AF558" s="279">
        <v>1676</v>
      </c>
      <c r="AG558" s="282">
        <v>44957</v>
      </c>
      <c r="AH558" s="282">
        <v>39505</v>
      </c>
      <c r="AI558" s="282">
        <v>45156</v>
      </c>
      <c r="AJ558" s="282" t="s">
        <v>889</v>
      </c>
      <c r="AK558" s="274"/>
    </row>
    <row r="559" spans="1:37" x14ac:dyDescent="0.3">
      <c r="A559" s="273">
        <v>105293</v>
      </c>
      <c r="B559" s="274" t="s">
        <v>1624</v>
      </c>
      <c r="C559" s="146" t="s">
        <v>263</v>
      </c>
      <c r="D559" s="275">
        <v>9.85</v>
      </c>
      <c r="E559" s="274"/>
      <c r="F559" s="274"/>
      <c r="G559" s="274" t="s">
        <v>889</v>
      </c>
      <c r="H559" s="276">
        <v>700</v>
      </c>
      <c r="I559" s="24">
        <v>103003</v>
      </c>
      <c r="J559" s="277">
        <v>9.85</v>
      </c>
      <c r="K559" s="276">
        <v>717</v>
      </c>
      <c r="L559" s="278">
        <v>7.3746312684365778</v>
      </c>
      <c r="M559" s="279">
        <v>439.04</v>
      </c>
      <c r="N559" s="277">
        <v>4324.5439999999999</v>
      </c>
      <c r="O559" s="280" t="s">
        <v>888</v>
      </c>
      <c r="P559" s="279">
        <v>0</v>
      </c>
      <c r="Q559" s="281">
        <v>0</v>
      </c>
      <c r="R559" s="282" t="s">
        <v>889</v>
      </c>
      <c r="S559" s="274" t="s">
        <v>1005</v>
      </c>
      <c r="T559" s="44">
        <v>1</v>
      </c>
      <c r="U559" s="283">
        <v>51</v>
      </c>
      <c r="V559" s="284">
        <v>11</v>
      </c>
      <c r="W559" s="285" t="s">
        <v>889</v>
      </c>
      <c r="X559" s="286" t="s">
        <v>889</v>
      </c>
      <c r="Y559" s="287">
        <v>0</v>
      </c>
      <c r="Z559" s="287" t="s">
        <v>889</v>
      </c>
      <c r="AA559" s="286" t="s">
        <v>889</v>
      </c>
      <c r="AB559" s="287">
        <v>0</v>
      </c>
      <c r="AC559" s="287"/>
      <c r="AD559" s="288" t="s">
        <v>889</v>
      </c>
      <c r="AE559" s="289" t="s">
        <v>889</v>
      </c>
      <c r="AF559" s="279">
        <v>380</v>
      </c>
      <c r="AG559" s="282">
        <v>45209</v>
      </c>
      <c r="AH559" s="282">
        <v>39506</v>
      </c>
      <c r="AI559" s="282">
        <v>45189</v>
      </c>
      <c r="AJ559" s="282" t="s">
        <v>889</v>
      </c>
      <c r="AK559" s="274"/>
    </row>
    <row r="560" spans="1:37" x14ac:dyDescent="0.3">
      <c r="A560" s="273">
        <v>105294</v>
      </c>
      <c r="B560" s="274" t="s">
        <v>1625</v>
      </c>
      <c r="C560" s="146" t="s">
        <v>263</v>
      </c>
      <c r="D560" s="275">
        <v>12.69</v>
      </c>
      <c r="E560" s="274"/>
      <c r="F560" s="274"/>
      <c r="G560" s="274" t="s">
        <v>889</v>
      </c>
      <c r="H560" s="276">
        <v>75</v>
      </c>
      <c r="I560" s="24">
        <v>103003</v>
      </c>
      <c r="J560" s="277">
        <v>12.69</v>
      </c>
      <c r="K560" s="276">
        <v>185</v>
      </c>
      <c r="L560" s="278">
        <v>4.8638132295719849</v>
      </c>
      <c r="M560" s="279">
        <v>110.04</v>
      </c>
      <c r="N560" s="277">
        <v>1396.4076</v>
      </c>
      <c r="O560" s="280" t="s">
        <v>888</v>
      </c>
      <c r="P560" s="279">
        <v>0</v>
      </c>
      <c r="Q560" s="281">
        <v>0</v>
      </c>
      <c r="R560" s="282" t="s">
        <v>889</v>
      </c>
      <c r="S560" s="274" t="s">
        <v>1598</v>
      </c>
      <c r="T560" s="44">
        <v>1</v>
      </c>
      <c r="U560" s="283">
        <v>51</v>
      </c>
      <c r="V560" s="284">
        <v>42</v>
      </c>
      <c r="W560" s="285" t="s">
        <v>889</v>
      </c>
      <c r="X560" s="286" t="s">
        <v>889</v>
      </c>
      <c r="Y560" s="287">
        <v>0</v>
      </c>
      <c r="Z560" s="287" t="s">
        <v>889</v>
      </c>
      <c r="AA560" s="286" t="s">
        <v>889</v>
      </c>
      <c r="AB560" s="287">
        <v>0</v>
      </c>
      <c r="AC560" s="287"/>
      <c r="AD560" s="288" t="s">
        <v>889</v>
      </c>
      <c r="AE560" s="289" t="s">
        <v>889</v>
      </c>
      <c r="AF560" s="279">
        <v>62</v>
      </c>
      <c r="AG560" s="282">
        <v>44946</v>
      </c>
      <c r="AH560" s="282">
        <v>39506</v>
      </c>
      <c r="AI560" s="282">
        <v>44939</v>
      </c>
      <c r="AJ560" s="282" t="s">
        <v>889</v>
      </c>
      <c r="AK560" s="274"/>
    </row>
    <row r="561" spans="1:37" x14ac:dyDescent="0.3">
      <c r="A561" s="273">
        <v>105704</v>
      </c>
      <c r="B561" s="274" t="s">
        <v>1626</v>
      </c>
      <c r="C561" s="146" t="s">
        <v>263</v>
      </c>
      <c r="D561" s="275">
        <v>54.98</v>
      </c>
      <c r="E561" s="274"/>
      <c r="F561" s="274"/>
      <c r="G561" s="274" t="s">
        <v>889</v>
      </c>
      <c r="H561" s="276">
        <v>20</v>
      </c>
      <c r="I561" s="24">
        <v>103003</v>
      </c>
      <c r="J561" s="277">
        <v>54.98</v>
      </c>
      <c r="K561" s="276"/>
      <c r="L561" s="278">
        <v>0</v>
      </c>
      <c r="M561" s="279">
        <v>0</v>
      </c>
      <c r="N561" s="277">
        <v>0</v>
      </c>
      <c r="O561" s="280" t="s">
        <v>888</v>
      </c>
      <c r="P561" s="279">
        <v>0</v>
      </c>
      <c r="Q561" s="281">
        <v>0</v>
      </c>
      <c r="R561" s="282" t="s">
        <v>889</v>
      </c>
      <c r="S561" s="274" t="s">
        <v>1612</v>
      </c>
      <c r="T561" s="44">
        <v>1</v>
      </c>
      <c r="U561" s="283">
        <v>62</v>
      </c>
      <c r="V561" s="284">
        <v>4</v>
      </c>
      <c r="W561" s="285" t="s">
        <v>889</v>
      </c>
      <c r="X561" s="286" t="s">
        <v>889</v>
      </c>
      <c r="Y561" s="287">
        <v>0</v>
      </c>
      <c r="Z561" s="287" t="s">
        <v>889</v>
      </c>
      <c r="AA561" s="286" t="s">
        <v>889</v>
      </c>
      <c r="AB561" s="287">
        <v>0</v>
      </c>
      <c r="AC561" s="287"/>
      <c r="AD561" s="288" t="s">
        <v>889</v>
      </c>
      <c r="AE561" s="289" t="s">
        <v>889</v>
      </c>
      <c r="AF561" s="279">
        <v>0</v>
      </c>
      <c r="AG561" s="282">
        <v>39826</v>
      </c>
      <c r="AH561" s="282">
        <v>39538</v>
      </c>
      <c r="AI561" s="282">
        <v>44791</v>
      </c>
      <c r="AJ561" s="282" t="s">
        <v>889</v>
      </c>
      <c r="AK561" s="274"/>
    </row>
    <row r="562" spans="1:37" x14ac:dyDescent="0.3">
      <c r="A562" s="273">
        <v>105709</v>
      </c>
      <c r="B562" s="274" t="s">
        <v>1627</v>
      </c>
      <c r="C562" s="146" t="s">
        <v>263</v>
      </c>
      <c r="D562" s="275">
        <v>25</v>
      </c>
      <c r="E562" s="274"/>
      <c r="F562" s="274"/>
      <c r="G562" s="274" t="s">
        <v>889</v>
      </c>
      <c r="H562" s="276">
        <v>12</v>
      </c>
      <c r="I562" s="24">
        <v>103003</v>
      </c>
      <c r="J562" s="277">
        <v>25</v>
      </c>
      <c r="K562" s="276"/>
      <c r="L562" s="278">
        <v>0</v>
      </c>
      <c r="M562" s="279">
        <v>0</v>
      </c>
      <c r="N562" s="277">
        <v>0</v>
      </c>
      <c r="O562" s="280" t="s">
        <v>888</v>
      </c>
      <c r="P562" s="279">
        <v>0</v>
      </c>
      <c r="Q562" s="281">
        <v>0</v>
      </c>
      <c r="R562" s="282" t="s">
        <v>889</v>
      </c>
      <c r="S562" s="274" t="s">
        <v>1561</v>
      </c>
      <c r="T562" s="44">
        <v>1</v>
      </c>
      <c r="U562" s="283">
        <v>54</v>
      </c>
      <c r="V562" s="284">
        <v>19</v>
      </c>
      <c r="W562" s="285" t="s">
        <v>889</v>
      </c>
      <c r="X562" s="286" t="s">
        <v>889</v>
      </c>
      <c r="Y562" s="287">
        <v>0</v>
      </c>
      <c r="Z562" s="287" t="s">
        <v>889</v>
      </c>
      <c r="AA562" s="286" t="s">
        <v>889</v>
      </c>
      <c r="AB562" s="287">
        <v>0</v>
      </c>
      <c r="AC562" s="287"/>
      <c r="AD562" s="288" t="s">
        <v>889</v>
      </c>
      <c r="AE562" s="289" t="s">
        <v>889</v>
      </c>
      <c r="AF562" s="279">
        <v>0</v>
      </c>
      <c r="AG562" s="282">
        <v>43698</v>
      </c>
      <c r="AH562" s="282">
        <v>39538</v>
      </c>
      <c r="AI562" s="282">
        <v>43557</v>
      </c>
      <c r="AJ562" s="282" t="s">
        <v>889</v>
      </c>
      <c r="AK562" s="274"/>
    </row>
    <row r="563" spans="1:37" x14ac:dyDescent="0.3">
      <c r="A563" s="273">
        <v>105889</v>
      </c>
      <c r="B563" s="274" t="s">
        <v>1628</v>
      </c>
      <c r="C563" s="146" t="s">
        <v>263</v>
      </c>
      <c r="D563" s="275">
        <v>36.9</v>
      </c>
      <c r="E563" s="274"/>
      <c r="F563" s="274"/>
      <c r="G563" s="274" t="s">
        <v>889</v>
      </c>
      <c r="H563" s="276">
        <v>369</v>
      </c>
      <c r="I563" s="24">
        <v>103003</v>
      </c>
      <c r="J563" s="277">
        <v>36.9</v>
      </c>
      <c r="K563" s="276"/>
      <c r="L563" s="278">
        <v>0</v>
      </c>
      <c r="M563" s="279">
        <v>0</v>
      </c>
      <c r="N563" s="277">
        <v>0</v>
      </c>
      <c r="O563" s="280" t="s">
        <v>888</v>
      </c>
      <c r="P563" s="279">
        <v>0</v>
      </c>
      <c r="Q563" s="281">
        <v>0</v>
      </c>
      <c r="R563" s="282" t="s">
        <v>889</v>
      </c>
      <c r="S563" s="274" t="s">
        <v>1337</v>
      </c>
      <c r="T563" s="44">
        <v>1</v>
      </c>
      <c r="U563" s="283">
        <v>69</v>
      </c>
      <c r="V563" s="284">
        <v>2</v>
      </c>
      <c r="W563" s="285" t="s">
        <v>889</v>
      </c>
      <c r="X563" s="286" t="s">
        <v>889</v>
      </c>
      <c r="Y563" s="287">
        <v>0</v>
      </c>
      <c r="Z563" s="287" t="s">
        <v>889</v>
      </c>
      <c r="AA563" s="286" t="s">
        <v>889</v>
      </c>
      <c r="AB563" s="287">
        <v>0</v>
      </c>
      <c r="AC563" s="287"/>
      <c r="AD563" s="288" t="s">
        <v>889</v>
      </c>
      <c r="AE563" s="289" t="s">
        <v>889</v>
      </c>
      <c r="AF563" s="279">
        <v>0</v>
      </c>
      <c r="AG563" s="282">
        <v>43535</v>
      </c>
      <c r="AH563" s="282">
        <v>39546</v>
      </c>
      <c r="AI563" s="282">
        <v>43523</v>
      </c>
      <c r="AJ563" s="282" t="s">
        <v>889</v>
      </c>
      <c r="AK563" s="274"/>
    </row>
    <row r="564" spans="1:37" x14ac:dyDescent="0.3">
      <c r="A564" s="273">
        <v>106038</v>
      </c>
      <c r="B564" s="274" t="s">
        <v>1629</v>
      </c>
      <c r="C564" s="146" t="s">
        <v>263</v>
      </c>
      <c r="D564" s="275">
        <v>7.85</v>
      </c>
      <c r="E564" s="274"/>
      <c r="F564" s="274"/>
      <c r="G564" s="274" t="s">
        <v>889</v>
      </c>
      <c r="H564" s="276">
        <v>0</v>
      </c>
      <c r="I564" s="24">
        <v>103003</v>
      </c>
      <c r="J564" s="277">
        <v>7.85</v>
      </c>
      <c r="K564" s="276">
        <v>80</v>
      </c>
      <c r="L564" s="278">
        <v>0</v>
      </c>
      <c r="M564" s="279">
        <v>0</v>
      </c>
      <c r="N564" s="277">
        <v>0</v>
      </c>
      <c r="O564" s="280" t="s">
        <v>888</v>
      </c>
      <c r="P564" s="279">
        <v>0</v>
      </c>
      <c r="Q564" s="281">
        <v>0</v>
      </c>
      <c r="R564" s="282" t="s">
        <v>889</v>
      </c>
      <c r="S564" s="274" t="s">
        <v>1630</v>
      </c>
      <c r="T564" s="44">
        <v>1</v>
      </c>
      <c r="U564" s="283">
        <v>60</v>
      </c>
      <c r="V564" s="284">
        <v>21</v>
      </c>
      <c r="W564" s="285">
        <v>2239</v>
      </c>
      <c r="X564" s="286">
        <v>2023</v>
      </c>
      <c r="Y564" s="287">
        <v>700</v>
      </c>
      <c r="Z564" s="287" t="s">
        <v>889</v>
      </c>
      <c r="AA564" s="286" t="s">
        <v>889</v>
      </c>
      <c r="AB564" s="287">
        <v>0</v>
      </c>
      <c r="AC564" s="287"/>
      <c r="AD564" s="288" t="s">
        <v>889</v>
      </c>
      <c r="AE564" s="289" t="s">
        <v>889</v>
      </c>
      <c r="AF564" s="279">
        <v>26</v>
      </c>
      <c r="AG564" s="282">
        <v>44365</v>
      </c>
      <c r="AH564" s="282">
        <v>39554</v>
      </c>
      <c r="AI564" s="282">
        <v>44176</v>
      </c>
      <c r="AJ564" s="282" t="s">
        <v>889</v>
      </c>
      <c r="AK564" s="274"/>
    </row>
    <row r="565" spans="1:37" x14ac:dyDescent="0.3">
      <c r="A565" s="273">
        <v>106129</v>
      </c>
      <c r="B565" s="274" t="s">
        <v>1631</v>
      </c>
      <c r="C565" s="146" t="s">
        <v>263</v>
      </c>
      <c r="D565" s="275">
        <v>92.9</v>
      </c>
      <c r="E565" s="274"/>
      <c r="F565" s="274"/>
      <c r="G565" s="274" t="s">
        <v>889</v>
      </c>
      <c r="H565" s="276">
        <v>1</v>
      </c>
      <c r="I565" s="24">
        <v>103003</v>
      </c>
      <c r="J565" s="277">
        <v>92.9</v>
      </c>
      <c r="K565" s="276">
        <v>15</v>
      </c>
      <c r="L565" s="278">
        <v>0.8</v>
      </c>
      <c r="M565" s="279">
        <v>9</v>
      </c>
      <c r="N565" s="277">
        <v>836.1</v>
      </c>
      <c r="O565" s="280" t="s">
        <v>888</v>
      </c>
      <c r="P565" s="279">
        <v>0</v>
      </c>
      <c r="Q565" s="281">
        <v>0</v>
      </c>
      <c r="R565" s="282" t="s">
        <v>889</v>
      </c>
      <c r="S565" s="274" t="s">
        <v>1632</v>
      </c>
      <c r="T565" s="44">
        <v>1</v>
      </c>
      <c r="U565" s="283">
        <v>50</v>
      </c>
      <c r="V565" s="284">
        <v>2</v>
      </c>
      <c r="W565" s="285">
        <v>2391</v>
      </c>
      <c r="X565" s="286">
        <v>2023</v>
      </c>
      <c r="Y565" s="287">
        <v>5</v>
      </c>
      <c r="Z565" s="287" t="s">
        <v>889</v>
      </c>
      <c r="AA565" s="286" t="s">
        <v>889</v>
      </c>
      <c r="AB565" s="287">
        <v>0</v>
      </c>
      <c r="AC565" s="287"/>
      <c r="AD565" s="288" t="s">
        <v>889</v>
      </c>
      <c r="AE565" s="289" t="s">
        <v>889</v>
      </c>
      <c r="AF565" s="279">
        <v>6</v>
      </c>
      <c r="AG565" s="282">
        <v>44186</v>
      </c>
      <c r="AH565" s="282">
        <v>39562</v>
      </c>
      <c r="AI565" s="282">
        <v>44176</v>
      </c>
      <c r="AJ565" s="282" t="s">
        <v>889</v>
      </c>
      <c r="AK565" s="274"/>
    </row>
    <row r="566" spans="1:37" x14ac:dyDescent="0.3">
      <c r="A566" s="273">
        <v>106130</v>
      </c>
      <c r="B566" s="274" t="s">
        <v>1633</v>
      </c>
      <c r="C566" s="146" t="s">
        <v>263</v>
      </c>
      <c r="D566" s="275">
        <v>49</v>
      </c>
      <c r="E566" s="274"/>
      <c r="F566" s="274"/>
      <c r="G566" s="274" t="s">
        <v>889</v>
      </c>
      <c r="H566" s="276">
        <v>2</v>
      </c>
      <c r="I566" s="24">
        <v>103003</v>
      </c>
      <c r="J566" s="277">
        <v>49</v>
      </c>
      <c r="K566" s="276">
        <v>12</v>
      </c>
      <c r="L566" s="278">
        <v>2</v>
      </c>
      <c r="M566" s="279">
        <v>4</v>
      </c>
      <c r="N566" s="277">
        <v>196</v>
      </c>
      <c r="O566" s="280" t="s">
        <v>888</v>
      </c>
      <c r="P566" s="279">
        <v>0</v>
      </c>
      <c r="Q566" s="281">
        <v>0</v>
      </c>
      <c r="R566" s="282" t="s">
        <v>889</v>
      </c>
      <c r="S566" s="274" t="s">
        <v>1632</v>
      </c>
      <c r="T566" s="44">
        <v>1</v>
      </c>
      <c r="U566" s="283">
        <v>50</v>
      </c>
      <c r="V566" s="284">
        <v>2</v>
      </c>
      <c r="W566" s="285">
        <v>2959</v>
      </c>
      <c r="X566" s="286">
        <v>2023</v>
      </c>
      <c r="Y566" s="287">
        <v>6</v>
      </c>
      <c r="Z566" s="287" t="s">
        <v>889</v>
      </c>
      <c r="AA566" s="286" t="s">
        <v>889</v>
      </c>
      <c r="AB566" s="287">
        <v>0</v>
      </c>
      <c r="AC566" s="287"/>
      <c r="AD566" s="288" t="s">
        <v>889</v>
      </c>
      <c r="AE566" s="289" t="s">
        <v>889</v>
      </c>
      <c r="AF566" s="279">
        <v>4</v>
      </c>
      <c r="AG566" s="282">
        <v>43434</v>
      </c>
      <c r="AH566" s="282">
        <v>39562</v>
      </c>
      <c r="AI566" s="282">
        <v>43411</v>
      </c>
      <c r="AJ566" s="282" t="s">
        <v>889</v>
      </c>
      <c r="AK566" s="274"/>
    </row>
    <row r="567" spans="1:37" x14ac:dyDescent="0.3">
      <c r="A567" s="273">
        <v>106131</v>
      </c>
      <c r="B567" s="274" t="s">
        <v>1634</v>
      </c>
      <c r="C567" s="146" t="s">
        <v>263</v>
      </c>
      <c r="D567" s="275">
        <v>49</v>
      </c>
      <c r="E567" s="274"/>
      <c r="F567" s="274"/>
      <c r="G567" s="274" t="s">
        <v>889</v>
      </c>
      <c r="H567" s="276">
        <v>1</v>
      </c>
      <c r="I567" s="24">
        <v>103003</v>
      </c>
      <c r="J567" s="277">
        <v>49</v>
      </c>
      <c r="K567" s="276">
        <v>15</v>
      </c>
      <c r="L567" s="278">
        <v>0.8</v>
      </c>
      <c r="M567" s="279">
        <v>4</v>
      </c>
      <c r="N567" s="277">
        <v>196</v>
      </c>
      <c r="O567" s="280" t="s">
        <v>888</v>
      </c>
      <c r="P567" s="279">
        <v>0</v>
      </c>
      <c r="Q567" s="281">
        <v>0</v>
      </c>
      <c r="R567" s="282" t="s">
        <v>889</v>
      </c>
      <c r="S567" s="274" t="s">
        <v>1632</v>
      </c>
      <c r="T567" s="44">
        <v>1</v>
      </c>
      <c r="U567" s="283">
        <v>50</v>
      </c>
      <c r="V567" s="284">
        <v>2</v>
      </c>
      <c r="W567" s="285">
        <v>2959</v>
      </c>
      <c r="X567" s="286">
        <v>2023</v>
      </c>
      <c r="Y567" s="287">
        <v>10</v>
      </c>
      <c r="Z567" s="287" t="s">
        <v>889</v>
      </c>
      <c r="AA567" s="286" t="s">
        <v>889</v>
      </c>
      <c r="AB567" s="287">
        <v>0</v>
      </c>
      <c r="AC567" s="287"/>
      <c r="AD567" s="288" t="s">
        <v>889</v>
      </c>
      <c r="AE567" s="289" t="s">
        <v>889</v>
      </c>
      <c r="AF567" s="279">
        <v>6</v>
      </c>
      <c r="AG567" s="282">
        <v>43434</v>
      </c>
      <c r="AH567" s="282">
        <v>39562</v>
      </c>
      <c r="AI567" s="282">
        <v>43411</v>
      </c>
      <c r="AJ567" s="282" t="s">
        <v>889</v>
      </c>
      <c r="AK567" s="274"/>
    </row>
    <row r="568" spans="1:37" x14ac:dyDescent="0.3">
      <c r="A568" s="273">
        <v>106375</v>
      </c>
      <c r="B568" s="274" t="s">
        <v>1635</v>
      </c>
      <c r="C568" s="146" t="s">
        <v>263</v>
      </c>
      <c r="D568" s="275">
        <v>45</v>
      </c>
      <c r="E568" s="274"/>
      <c r="F568" s="274"/>
      <c r="G568" s="274" t="s">
        <v>889</v>
      </c>
      <c r="H568" s="276">
        <v>1000</v>
      </c>
      <c r="I568" s="24">
        <v>103003</v>
      </c>
      <c r="J568" s="277">
        <v>45</v>
      </c>
      <c r="K568" s="276">
        <v>471</v>
      </c>
      <c r="L568" s="278">
        <v>23.998080153587711</v>
      </c>
      <c r="M568" s="279">
        <v>0</v>
      </c>
      <c r="N568" s="277">
        <v>0</v>
      </c>
      <c r="O568" s="280" t="s">
        <v>888</v>
      </c>
      <c r="P568" s="279">
        <v>0</v>
      </c>
      <c r="Q568" s="281">
        <v>0</v>
      </c>
      <c r="R568" s="282" t="s">
        <v>889</v>
      </c>
      <c r="S568" s="274" t="s">
        <v>1274</v>
      </c>
      <c r="T568" s="44">
        <v>1</v>
      </c>
      <c r="U568" s="283">
        <v>51</v>
      </c>
      <c r="V568" s="284">
        <v>17</v>
      </c>
      <c r="W568" s="285" t="s">
        <v>889</v>
      </c>
      <c r="X568" s="286" t="s">
        <v>889</v>
      </c>
      <c r="Y568" s="287">
        <v>0</v>
      </c>
      <c r="Z568" s="287" t="s">
        <v>889</v>
      </c>
      <c r="AA568" s="286" t="s">
        <v>889</v>
      </c>
      <c r="AB568" s="287">
        <v>0</v>
      </c>
      <c r="AC568" s="287"/>
      <c r="AD568" s="288" t="s">
        <v>889</v>
      </c>
      <c r="AE568" s="289" t="s">
        <v>889</v>
      </c>
      <c r="AF568" s="279">
        <v>166</v>
      </c>
      <c r="AG568" s="282">
        <v>45184</v>
      </c>
      <c r="AH568" s="282">
        <v>39580</v>
      </c>
      <c r="AI568" s="282">
        <v>45160</v>
      </c>
      <c r="AJ568" s="282" t="s">
        <v>889</v>
      </c>
      <c r="AK568" s="274"/>
    </row>
    <row r="569" spans="1:37" x14ac:dyDescent="0.3">
      <c r="A569" s="273">
        <v>106376</v>
      </c>
      <c r="B569" s="274" t="s">
        <v>1636</v>
      </c>
      <c r="C569" s="146" t="s">
        <v>263</v>
      </c>
      <c r="D569" s="275">
        <v>74.209999999999994</v>
      </c>
      <c r="E569" s="274"/>
      <c r="F569" s="274"/>
      <c r="G569" s="274" t="s">
        <v>889</v>
      </c>
      <c r="H569" s="276">
        <v>1001</v>
      </c>
      <c r="I569" s="24">
        <v>103003</v>
      </c>
      <c r="J569" s="277">
        <v>74.209999999999994</v>
      </c>
      <c r="K569" s="276">
        <v>1395</v>
      </c>
      <c r="L569" s="278">
        <v>5.8028985507246373</v>
      </c>
      <c r="M569" s="279">
        <v>1069</v>
      </c>
      <c r="N569" s="277">
        <v>79330.490000000005</v>
      </c>
      <c r="O569" s="280" t="s">
        <v>888</v>
      </c>
      <c r="P569" s="279">
        <v>0</v>
      </c>
      <c r="Q569" s="281">
        <v>0</v>
      </c>
      <c r="R569" s="282" t="s">
        <v>889</v>
      </c>
      <c r="S569" s="274" t="s">
        <v>1274</v>
      </c>
      <c r="T569" s="44">
        <v>1</v>
      </c>
      <c r="U569" s="283">
        <v>51</v>
      </c>
      <c r="V569" s="284">
        <v>17</v>
      </c>
      <c r="W569" s="285" t="s">
        <v>889</v>
      </c>
      <c r="X569" s="286" t="s">
        <v>889</v>
      </c>
      <c r="Y569" s="287">
        <v>0</v>
      </c>
      <c r="Z569" s="287" t="s">
        <v>889</v>
      </c>
      <c r="AA569" s="286" t="s">
        <v>889</v>
      </c>
      <c r="AB569" s="287">
        <v>0</v>
      </c>
      <c r="AC569" s="287"/>
      <c r="AD569" s="288" t="s">
        <v>889</v>
      </c>
      <c r="AE569" s="289" t="s">
        <v>889</v>
      </c>
      <c r="AF569" s="279">
        <v>690</v>
      </c>
      <c r="AG569" s="282">
        <v>44775</v>
      </c>
      <c r="AH569" s="282">
        <v>39580</v>
      </c>
      <c r="AI569" s="282">
        <v>44748</v>
      </c>
      <c r="AJ569" s="282" t="s">
        <v>889</v>
      </c>
      <c r="AK569" s="274"/>
    </row>
    <row r="570" spans="1:37" x14ac:dyDescent="0.3">
      <c r="A570" s="273">
        <v>106408</v>
      </c>
      <c r="B570" s="274" t="s">
        <v>1637</v>
      </c>
      <c r="C570" s="146" t="s">
        <v>263</v>
      </c>
      <c r="D570" s="275">
        <v>8.3000000000000007</v>
      </c>
      <c r="E570" s="274"/>
      <c r="F570" s="274"/>
      <c r="G570" s="274" t="s">
        <v>889</v>
      </c>
      <c r="H570" s="276">
        <v>54</v>
      </c>
      <c r="I570" s="24">
        <v>103003</v>
      </c>
      <c r="J570" s="277">
        <v>8.3000000000000007</v>
      </c>
      <c r="K570" s="276">
        <v>111</v>
      </c>
      <c r="L570" s="278">
        <v>5.8378378378378386</v>
      </c>
      <c r="M570" s="279">
        <v>7</v>
      </c>
      <c r="N570" s="277">
        <v>58.1</v>
      </c>
      <c r="O570" s="280" t="s">
        <v>888</v>
      </c>
      <c r="P570" s="279">
        <v>0</v>
      </c>
      <c r="Q570" s="281">
        <v>0</v>
      </c>
      <c r="R570" s="282" t="s">
        <v>889</v>
      </c>
      <c r="S570" s="274" t="s">
        <v>990</v>
      </c>
      <c r="T570" s="44">
        <v>1</v>
      </c>
      <c r="U570" s="283">
        <v>55</v>
      </c>
      <c r="V570" s="284">
        <v>32</v>
      </c>
      <c r="W570" s="285">
        <v>2442</v>
      </c>
      <c r="X570" s="286">
        <v>2023</v>
      </c>
      <c r="Y570" s="287">
        <v>50</v>
      </c>
      <c r="Z570" s="287" t="s">
        <v>889</v>
      </c>
      <c r="AA570" s="286" t="s">
        <v>889</v>
      </c>
      <c r="AB570" s="287">
        <v>0</v>
      </c>
      <c r="AC570" s="287"/>
      <c r="AD570" s="288" t="s">
        <v>889</v>
      </c>
      <c r="AE570" s="289" t="s">
        <v>889</v>
      </c>
      <c r="AF570" s="279">
        <v>38</v>
      </c>
      <c r="AG570" s="282">
        <v>42229</v>
      </c>
      <c r="AH570" s="282">
        <v>39581</v>
      </c>
      <c r="AI570" s="282">
        <v>42205</v>
      </c>
      <c r="AJ570" s="282" t="s">
        <v>889</v>
      </c>
      <c r="AK570" s="274"/>
    </row>
    <row r="571" spans="1:37" x14ac:dyDescent="0.3">
      <c r="A571" s="273">
        <v>106414</v>
      </c>
      <c r="B571" s="274" t="s">
        <v>1638</v>
      </c>
      <c r="C571" s="146" t="s">
        <v>263</v>
      </c>
      <c r="D571" s="275">
        <v>3.69</v>
      </c>
      <c r="E571" s="274"/>
      <c r="F571" s="274"/>
      <c r="G571" s="274" t="s">
        <v>889</v>
      </c>
      <c r="H571" s="276">
        <v>1912</v>
      </c>
      <c r="I571" s="24">
        <v>103003</v>
      </c>
      <c r="J571" s="277">
        <v>3.69</v>
      </c>
      <c r="K571" s="276">
        <v>2981</v>
      </c>
      <c r="L571" s="278">
        <v>5.0682571239231278</v>
      </c>
      <c r="M571" s="279">
        <v>1615</v>
      </c>
      <c r="N571" s="277">
        <v>5959.35</v>
      </c>
      <c r="O571" s="280" t="s">
        <v>888</v>
      </c>
      <c r="P571" s="279">
        <v>0</v>
      </c>
      <c r="Q571" s="281">
        <v>0</v>
      </c>
      <c r="R571" s="282" t="s">
        <v>889</v>
      </c>
      <c r="S571" s="274" t="s">
        <v>990</v>
      </c>
      <c r="T571" s="44">
        <v>1</v>
      </c>
      <c r="U571" s="283">
        <v>55</v>
      </c>
      <c r="V571" s="284">
        <v>32</v>
      </c>
      <c r="W571" s="285">
        <v>10087</v>
      </c>
      <c r="X571" s="286">
        <v>2023</v>
      </c>
      <c r="Y571" s="287">
        <v>1000</v>
      </c>
      <c r="Z571" s="287" t="s">
        <v>889</v>
      </c>
      <c r="AA571" s="286" t="s">
        <v>889</v>
      </c>
      <c r="AB571" s="287">
        <v>0</v>
      </c>
      <c r="AC571" s="287"/>
      <c r="AD571" s="288" t="s">
        <v>889</v>
      </c>
      <c r="AE571" s="289" t="s">
        <v>889</v>
      </c>
      <c r="AF571" s="279">
        <v>1510</v>
      </c>
      <c r="AG571" s="282">
        <v>44659</v>
      </c>
      <c r="AH571" s="282">
        <v>39581</v>
      </c>
      <c r="AI571" s="282">
        <v>44616</v>
      </c>
      <c r="AJ571" s="282" t="s">
        <v>889</v>
      </c>
      <c r="AK571" s="274"/>
    </row>
    <row r="572" spans="1:37" x14ac:dyDescent="0.3">
      <c r="A572" s="273">
        <v>106544</v>
      </c>
      <c r="B572" s="274" t="s">
        <v>1639</v>
      </c>
      <c r="C572" s="146" t="s">
        <v>263</v>
      </c>
      <c r="D572" s="275">
        <v>1.3</v>
      </c>
      <c r="E572" s="274"/>
      <c r="F572" s="274"/>
      <c r="G572" s="274" t="s">
        <v>889</v>
      </c>
      <c r="H572" s="276">
        <v>2000</v>
      </c>
      <c r="I572" s="24">
        <v>103003</v>
      </c>
      <c r="J572" s="277">
        <v>1.3</v>
      </c>
      <c r="K572" s="276">
        <v>2005</v>
      </c>
      <c r="L572" s="278">
        <v>11.494252873563218</v>
      </c>
      <c r="M572" s="279">
        <v>88</v>
      </c>
      <c r="N572" s="277">
        <v>114.4</v>
      </c>
      <c r="O572" s="280" t="s">
        <v>888</v>
      </c>
      <c r="P572" s="279">
        <v>0</v>
      </c>
      <c r="Q572" s="281">
        <v>0</v>
      </c>
      <c r="R572" s="282" t="s">
        <v>889</v>
      </c>
      <c r="S572" s="274" t="s">
        <v>1018</v>
      </c>
      <c r="T572" s="44">
        <v>1</v>
      </c>
      <c r="U572" s="283">
        <v>67</v>
      </c>
      <c r="V572" s="284">
        <v>9</v>
      </c>
      <c r="W572" s="285" t="s">
        <v>889</v>
      </c>
      <c r="X572" s="286" t="s">
        <v>889</v>
      </c>
      <c r="Y572" s="287">
        <v>0</v>
      </c>
      <c r="Z572" s="287" t="s">
        <v>889</v>
      </c>
      <c r="AA572" s="286" t="s">
        <v>889</v>
      </c>
      <c r="AB572" s="287">
        <v>0</v>
      </c>
      <c r="AC572" s="287"/>
      <c r="AD572" s="288" t="s">
        <v>889</v>
      </c>
      <c r="AE572" s="289" t="s">
        <v>889</v>
      </c>
      <c r="AF572" s="279">
        <v>696</v>
      </c>
      <c r="AG572" s="282">
        <v>45201</v>
      </c>
      <c r="AH572" s="282">
        <v>39589</v>
      </c>
      <c r="AI572" s="282">
        <v>45189</v>
      </c>
      <c r="AJ572" s="282" t="s">
        <v>889</v>
      </c>
      <c r="AK572" s="274"/>
    </row>
    <row r="573" spans="1:37" x14ac:dyDescent="0.3">
      <c r="A573" s="273">
        <v>106546</v>
      </c>
      <c r="B573" s="274" t="s">
        <v>1640</v>
      </c>
      <c r="C573" s="146" t="s">
        <v>263</v>
      </c>
      <c r="D573" s="275">
        <v>2.04</v>
      </c>
      <c r="E573" s="274"/>
      <c r="F573" s="274"/>
      <c r="G573" s="274" t="s">
        <v>889</v>
      </c>
      <c r="H573" s="276">
        <v>931</v>
      </c>
      <c r="I573" s="24">
        <v>103003</v>
      </c>
      <c r="J573" s="277">
        <v>2.04</v>
      </c>
      <c r="K573" s="276">
        <v>1818</v>
      </c>
      <c r="L573" s="278">
        <v>6.0782137494287394</v>
      </c>
      <c r="M573" s="279">
        <v>907.04</v>
      </c>
      <c r="N573" s="277">
        <v>1850.3616</v>
      </c>
      <c r="O573" s="280" t="s">
        <v>888</v>
      </c>
      <c r="P573" s="279">
        <v>0</v>
      </c>
      <c r="Q573" s="281">
        <v>0</v>
      </c>
      <c r="R573" s="282" t="s">
        <v>889</v>
      </c>
      <c r="S573" s="274" t="s">
        <v>1018</v>
      </c>
      <c r="T573" s="44">
        <v>1</v>
      </c>
      <c r="U573" s="283">
        <v>67</v>
      </c>
      <c r="V573" s="284">
        <v>9</v>
      </c>
      <c r="W573" s="285" t="s">
        <v>889</v>
      </c>
      <c r="X573" s="286" t="s">
        <v>889</v>
      </c>
      <c r="Y573" s="287">
        <v>0</v>
      </c>
      <c r="Z573" s="287" t="s">
        <v>889</v>
      </c>
      <c r="AA573" s="286" t="s">
        <v>889</v>
      </c>
      <c r="AB573" s="287">
        <v>0</v>
      </c>
      <c r="AC573" s="287"/>
      <c r="AD573" s="288" t="s">
        <v>889</v>
      </c>
      <c r="AE573" s="289" t="s">
        <v>889</v>
      </c>
      <c r="AF573" s="279">
        <v>612</v>
      </c>
      <c r="AG573" s="282">
        <v>43866</v>
      </c>
      <c r="AH573" s="282">
        <v>39589</v>
      </c>
      <c r="AI573" s="282">
        <v>45105</v>
      </c>
      <c r="AJ573" s="282" t="s">
        <v>889</v>
      </c>
      <c r="AK573" s="274"/>
    </row>
    <row r="574" spans="1:37" x14ac:dyDescent="0.3">
      <c r="A574" s="273">
        <v>106697</v>
      </c>
      <c r="B574" s="274" t="s">
        <v>1641</v>
      </c>
      <c r="C574" s="146" t="s">
        <v>335</v>
      </c>
      <c r="D574" s="275">
        <v>3.39</v>
      </c>
      <c r="E574" s="274"/>
      <c r="F574" s="274"/>
      <c r="G574" s="274" t="s">
        <v>889</v>
      </c>
      <c r="H574" s="276">
        <v>850</v>
      </c>
      <c r="I574" s="24">
        <v>103003</v>
      </c>
      <c r="J574" s="277">
        <v>3.39</v>
      </c>
      <c r="K574" s="276">
        <v>3489</v>
      </c>
      <c r="L574" s="278">
        <v>1.9863525892690224</v>
      </c>
      <c r="M574" s="279">
        <v>3985.04</v>
      </c>
      <c r="N574" s="277">
        <v>13509.285599999999</v>
      </c>
      <c r="O574" s="280" t="s">
        <v>888</v>
      </c>
      <c r="P574" s="279">
        <v>0</v>
      </c>
      <c r="Q574" s="281">
        <v>0</v>
      </c>
      <c r="R574" s="282" t="s">
        <v>889</v>
      </c>
      <c r="S574" s="274" t="s">
        <v>1456</v>
      </c>
      <c r="T574" s="44">
        <v>1</v>
      </c>
      <c r="U574" s="283">
        <v>45</v>
      </c>
      <c r="V574" s="284">
        <v>30</v>
      </c>
      <c r="W574" s="285">
        <v>6979</v>
      </c>
      <c r="X574" s="286">
        <v>2023</v>
      </c>
      <c r="Y574" s="287">
        <v>300</v>
      </c>
      <c r="Z574" s="287" t="s">
        <v>889</v>
      </c>
      <c r="AA574" s="286" t="s">
        <v>889</v>
      </c>
      <c r="AB574" s="287">
        <v>0</v>
      </c>
      <c r="AC574" s="287"/>
      <c r="AD574" s="288" t="s">
        <v>889</v>
      </c>
      <c r="AE574" s="289" t="s">
        <v>889</v>
      </c>
      <c r="AF574" s="279">
        <v>1712</v>
      </c>
      <c r="AG574" s="282">
        <v>44928</v>
      </c>
      <c r="AH574" s="282">
        <v>39598</v>
      </c>
      <c r="AI574" s="282">
        <v>44910</v>
      </c>
      <c r="AJ574" s="282" t="s">
        <v>889</v>
      </c>
      <c r="AK574" s="274"/>
    </row>
    <row r="575" spans="1:37" x14ac:dyDescent="0.3">
      <c r="A575" s="273">
        <v>106909</v>
      </c>
      <c r="B575" s="274" t="s">
        <v>1642</v>
      </c>
      <c r="C575" s="146" t="s">
        <v>263</v>
      </c>
      <c r="D575" s="275">
        <v>105.38</v>
      </c>
      <c r="E575" s="274"/>
      <c r="F575" s="274"/>
      <c r="G575" s="274" t="s">
        <v>889</v>
      </c>
      <c r="H575" s="276">
        <v>1</v>
      </c>
      <c r="I575" s="24">
        <v>103003</v>
      </c>
      <c r="J575" s="277">
        <v>105.38</v>
      </c>
      <c r="K575" s="276"/>
      <c r="L575" s="278">
        <v>0</v>
      </c>
      <c r="M575" s="279">
        <v>0</v>
      </c>
      <c r="N575" s="277">
        <v>0</v>
      </c>
      <c r="O575" s="280" t="s">
        <v>888</v>
      </c>
      <c r="P575" s="279">
        <v>0</v>
      </c>
      <c r="Q575" s="281">
        <v>0</v>
      </c>
      <c r="R575" s="282" t="s">
        <v>889</v>
      </c>
      <c r="S575" s="274" t="s">
        <v>1492</v>
      </c>
      <c r="T575" s="44">
        <v>1</v>
      </c>
      <c r="U575" s="283">
        <v>54</v>
      </c>
      <c r="V575" s="284">
        <v>4</v>
      </c>
      <c r="W575" s="285">
        <v>2813</v>
      </c>
      <c r="X575" s="286">
        <v>2023</v>
      </c>
      <c r="Y575" s="287">
        <v>2</v>
      </c>
      <c r="Z575" s="287" t="s">
        <v>889</v>
      </c>
      <c r="AA575" s="286" t="s">
        <v>889</v>
      </c>
      <c r="AB575" s="287">
        <v>0</v>
      </c>
      <c r="AC575" s="287"/>
      <c r="AD575" s="288" t="s">
        <v>889</v>
      </c>
      <c r="AE575" s="289" t="s">
        <v>889</v>
      </c>
      <c r="AF575" s="279">
        <v>0</v>
      </c>
      <c r="AG575" s="282">
        <v>43703</v>
      </c>
      <c r="AH575" s="282">
        <v>39624</v>
      </c>
      <c r="AI575" s="282">
        <v>43677</v>
      </c>
      <c r="AJ575" s="282" t="s">
        <v>889</v>
      </c>
      <c r="AK575" s="274"/>
    </row>
    <row r="576" spans="1:37" x14ac:dyDescent="0.3">
      <c r="A576" s="273">
        <v>106910</v>
      </c>
      <c r="B576" s="274" t="s">
        <v>1643</v>
      </c>
      <c r="C576" s="146" t="s">
        <v>263</v>
      </c>
      <c r="D576" s="275">
        <v>105.38</v>
      </c>
      <c r="E576" s="274"/>
      <c r="F576" s="274"/>
      <c r="G576" s="274" t="s">
        <v>889</v>
      </c>
      <c r="H576" s="276">
        <v>7</v>
      </c>
      <c r="I576" s="24">
        <v>103003</v>
      </c>
      <c r="J576" s="277">
        <v>105.38</v>
      </c>
      <c r="K576" s="276">
        <v>4</v>
      </c>
      <c r="L576" s="278">
        <v>21.212121212121215</v>
      </c>
      <c r="M576" s="279">
        <v>0</v>
      </c>
      <c r="N576" s="277">
        <v>0</v>
      </c>
      <c r="O576" s="280" t="s">
        <v>888</v>
      </c>
      <c r="P576" s="279">
        <v>0</v>
      </c>
      <c r="Q576" s="281">
        <v>0</v>
      </c>
      <c r="R576" s="282" t="s">
        <v>889</v>
      </c>
      <c r="S576" s="274" t="s">
        <v>1492</v>
      </c>
      <c r="T576" s="44">
        <v>1</v>
      </c>
      <c r="U576" s="283">
        <v>54</v>
      </c>
      <c r="V576" s="284">
        <v>4</v>
      </c>
      <c r="W576" s="285" t="s">
        <v>889</v>
      </c>
      <c r="X576" s="286" t="s">
        <v>889</v>
      </c>
      <c r="Y576" s="287">
        <v>0</v>
      </c>
      <c r="Z576" s="287" t="s">
        <v>889</v>
      </c>
      <c r="AA576" s="286" t="s">
        <v>889</v>
      </c>
      <c r="AB576" s="287">
        <v>0</v>
      </c>
      <c r="AC576" s="287"/>
      <c r="AD576" s="288" t="s">
        <v>889</v>
      </c>
      <c r="AE576" s="289" t="s">
        <v>889</v>
      </c>
      <c r="AF576" s="279">
        <v>0</v>
      </c>
      <c r="AG576" s="282">
        <v>43703</v>
      </c>
      <c r="AH576" s="282">
        <v>39624</v>
      </c>
      <c r="AI576" s="282">
        <v>43677</v>
      </c>
      <c r="AJ576" s="282" t="s">
        <v>889</v>
      </c>
      <c r="AK576" s="274"/>
    </row>
    <row r="577" spans="1:37" x14ac:dyDescent="0.3">
      <c r="A577" s="273">
        <v>106911</v>
      </c>
      <c r="B577" s="274" t="s">
        <v>1644</v>
      </c>
      <c r="C577" s="146" t="s">
        <v>263</v>
      </c>
      <c r="D577" s="275">
        <v>105.39</v>
      </c>
      <c r="E577" s="274"/>
      <c r="F577" s="274"/>
      <c r="G577" s="274" t="s">
        <v>889</v>
      </c>
      <c r="H577" s="276">
        <v>6</v>
      </c>
      <c r="I577" s="24">
        <v>103003</v>
      </c>
      <c r="J577" s="277">
        <v>105.39</v>
      </c>
      <c r="K577" s="276">
        <v>2</v>
      </c>
      <c r="L577" s="278">
        <v>35.294117647058826</v>
      </c>
      <c r="M577" s="279">
        <v>0</v>
      </c>
      <c r="N577" s="277">
        <v>0</v>
      </c>
      <c r="O577" s="280" t="s">
        <v>888</v>
      </c>
      <c r="P577" s="279">
        <v>0</v>
      </c>
      <c r="Q577" s="281">
        <v>0</v>
      </c>
      <c r="R577" s="282" t="s">
        <v>889</v>
      </c>
      <c r="S577" s="274" t="s">
        <v>1492</v>
      </c>
      <c r="T577" s="44">
        <v>1</v>
      </c>
      <c r="U577" s="283">
        <v>54</v>
      </c>
      <c r="V577" s="284">
        <v>4</v>
      </c>
      <c r="W577" s="285" t="s">
        <v>889</v>
      </c>
      <c r="X577" s="286" t="s">
        <v>889</v>
      </c>
      <c r="Y577" s="287">
        <v>0</v>
      </c>
      <c r="Z577" s="287" t="s">
        <v>889</v>
      </c>
      <c r="AA577" s="286" t="s">
        <v>889</v>
      </c>
      <c r="AB577" s="287">
        <v>0</v>
      </c>
      <c r="AC577" s="287"/>
      <c r="AD577" s="288" t="s">
        <v>889</v>
      </c>
      <c r="AE577" s="289" t="s">
        <v>889</v>
      </c>
      <c r="AF577" s="279">
        <v>0</v>
      </c>
      <c r="AG577" s="282">
        <v>43703</v>
      </c>
      <c r="AH577" s="282">
        <v>39624</v>
      </c>
      <c r="AI577" s="282">
        <v>43677</v>
      </c>
      <c r="AJ577" s="282" t="s">
        <v>889</v>
      </c>
      <c r="AK577" s="274"/>
    </row>
    <row r="578" spans="1:37" x14ac:dyDescent="0.3">
      <c r="A578" s="273">
        <v>106913</v>
      </c>
      <c r="B578" s="274" t="s">
        <v>1645</v>
      </c>
      <c r="C578" s="146" t="s">
        <v>263</v>
      </c>
      <c r="D578" s="275">
        <v>105.39</v>
      </c>
      <c r="E578" s="274"/>
      <c r="F578" s="274"/>
      <c r="G578" s="274" t="s">
        <v>889</v>
      </c>
      <c r="H578" s="276">
        <v>0</v>
      </c>
      <c r="I578" s="24">
        <v>103003</v>
      </c>
      <c r="J578" s="277">
        <v>105.39</v>
      </c>
      <c r="K578" s="276">
        <v>1</v>
      </c>
      <c r="L578" s="278">
        <v>0</v>
      </c>
      <c r="M578" s="279">
        <v>0</v>
      </c>
      <c r="N578" s="277">
        <v>0</v>
      </c>
      <c r="O578" s="280" t="s">
        <v>888</v>
      </c>
      <c r="P578" s="279">
        <v>0</v>
      </c>
      <c r="Q578" s="281">
        <v>0</v>
      </c>
      <c r="R578" s="282" t="s">
        <v>889</v>
      </c>
      <c r="S578" s="274" t="s">
        <v>1492</v>
      </c>
      <c r="T578" s="44">
        <v>1</v>
      </c>
      <c r="U578" s="283">
        <v>54</v>
      </c>
      <c r="V578" s="284">
        <v>4</v>
      </c>
      <c r="W578" s="285">
        <v>2813</v>
      </c>
      <c r="X578" s="286">
        <v>2023</v>
      </c>
      <c r="Y578" s="287">
        <v>2</v>
      </c>
      <c r="Z578" s="287" t="s">
        <v>889</v>
      </c>
      <c r="AA578" s="286" t="s">
        <v>889</v>
      </c>
      <c r="AB578" s="287">
        <v>0</v>
      </c>
      <c r="AC578" s="287"/>
      <c r="AD578" s="288" t="s">
        <v>889</v>
      </c>
      <c r="AE578" s="289" t="s">
        <v>889</v>
      </c>
      <c r="AF578" s="279">
        <v>0</v>
      </c>
      <c r="AG578" s="282">
        <v>43703</v>
      </c>
      <c r="AH578" s="282">
        <v>39624</v>
      </c>
      <c r="AI578" s="282">
        <v>43677</v>
      </c>
      <c r="AJ578" s="282" t="s">
        <v>889</v>
      </c>
      <c r="AK578" s="274"/>
    </row>
    <row r="579" spans="1:37" x14ac:dyDescent="0.3">
      <c r="A579" s="273">
        <v>106914</v>
      </c>
      <c r="B579" s="274" t="s">
        <v>1646</v>
      </c>
      <c r="C579" s="146" t="s">
        <v>263</v>
      </c>
      <c r="D579" s="275">
        <v>86.54</v>
      </c>
      <c r="E579" s="274"/>
      <c r="F579" s="274"/>
      <c r="G579" s="274" t="s">
        <v>889</v>
      </c>
      <c r="H579" s="276">
        <v>3</v>
      </c>
      <c r="I579" s="24">
        <v>103003</v>
      </c>
      <c r="J579" s="277">
        <v>86.54</v>
      </c>
      <c r="K579" s="276"/>
      <c r="L579" s="278">
        <v>0</v>
      </c>
      <c r="M579" s="279">
        <v>0</v>
      </c>
      <c r="N579" s="277">
        <v>0</v>
      </c>
      <c r="O579" s="280" t="s">
        <v>888</v>
      </c>
      <c r="P579" s="279">
        <v>0</v>
      </c>
      <c r="Q579" s="281">
        <v>0</v>
      </c>
      <c r="R579" s="282" t="s">
        <v>889</v>
      </c>
      <c r="S579" s="274" t="s">
        <v>1492</v>
      </c>
      <c r="T579" s="44">
        <v>1</v>
      </c>
      <c r="U579" s="283">
        <v>54</v>
      </c>
      <c r="V579" s="284">
        <v>4</v>
      </c>
      <c r="W579" s="285" t="s">
        <v>889</v>
      </c>
      <c r="X579" s="286" t="s">
        <v>889</v>
      </c>
      <c r="Y579" s="287">
        <v>0</v>
      </c>
      <c r="Z579" s="287" t="s">
        <v>889</v>
      </c>
      <c r="AA579" s="286" t="s">
        <v>889</v>
      </c>
      <c r="AB579" s="287">
        <v>0</v>
      </c>
      <c r="AC579" s="287"/>
      <c r="AD579" s="288" t="s">
        <v>889</v>
      </c>
      <c r="AE579" s="289" t="s">
        <v>889</v>
      </c>
      <c r="AF579" s="279">
        <v>0</v>
      </c>
      <c r="AG579" s="282">
        <v>43703</v>
      </c>
      <c r="AH579" s="282">
        <v>39624</v>
      </c>
      <c r="AI579" s="282">
        <v>43677</v>
      </c>
      <c r="AJ579" s="282" t="s">
        <v>889</v>
      </c>
      <c r="AK579" s="274"/>
    </row>
    <row r="580" spans="1:37" x14ac:dyDescent="0.3">
      <c r="A580" s="273">
        <v>106916</v>
      </c>
      <c r="B580" s="274" t="s">
        <v>1647</v>
      </c>
      <c r="C580" s="146" t="s">
        <v>263</v>
      </c>
      <c r="D580" s="275">
        <v>86.54</v>
      </c>
      <c r="E580" s="274"/>
      <c r="F580" s="274"/>
      <c r="G580" s="274" t="s">
        <v>889</v>
      </c>
      <c r="H580" s="276">
        <v>8</v>
      </c>
      <c r="I580" s="24">
        <v>103003</v>
      </c>
      <c r="J580" s="277">
        <v>86.54</v>
      </c>
      <c r="K580" s="276"/>
      <c r="L580" s="278">
        <v>0</v>
      </c>
      <c r="M580" s="279">
        <v>0</v>
      </c>
      <c r="N580" s="277">
        <v>0</v>
      </c>
      <c r="O580" s="280" t="s">
        <v>888</v>
      </c>
      <c r="P580" s="279">
        <v>0</v>
      </c>
      <c r="Q580" s="281">
        <v>0</v>
      </c>
      <c r="R580" s="282" t="s">
        <v>889</v>
      </c>
      <c r="S580" s="274" t="s">
        <v>1492</v>
      </c>
      <c r="T580" s="44">
        <v>1</v>
      </c>
      <c r="U580" s="283">
        <v>54</v>
      </c>
      <c r="V580" s="284">
        <v>4</v>
      </c>
      <c r="W580" s="285" t="s">
        <v>889</v>
      </c>
      <c r="X580" s="286" t="s">
        <v>889</v>
      </c>
      <c r="Y580" s="287">
        <v>0</v>
      </c>
      <c r="Z580" s="287" t="s">
        <v>889</v>
      </c>
      <c r="AA580" s="286" t="s">
        <v>889</v>
      </c>
      <c r="AB580" s="287">
        <v>0</v>
      </c>
      <c r="AC580" s="287"/>
      <c r="AD580" s="288" t="s">
        <v>889</v>
      </c>
      <c r="AE580" s="289" t="s">
        <v>889</v>
      </c>
      <c r="AF580" s="279">
        <v>0</v>
      </c>
      <c r="AG580" s="282">
        <v>43703</v>
      </c>
      <c r="AH580" s="282">
        <v>39624</v>
      </c>
      <c r="AI580" s="282">
        <v>43677</v>
      </c>
      <c r="AJ580" s="282" t="s">
        <v>889</v>
      </c>
      <c r="AK580" s="274"/>
    </row>
    <row r="581" spans="1:37" x14ac:dyDescent="0.3">
      <c r="A581" s="273">
        <v>106917</v>
      </c>
      <c r="B581" s="274" t="s">
        <v>1648</v>
      </c>
      <c r="C581" s="146" t="s">
        <v>263</v>
      </c>
      <c r="D581" s="275">
        <v>86.56</v>
      </c>
      <c r="E581" s="274"/>
      <c r="F581" s="274"/>
      <c r="G581" s="274" t="s">
        <v>889</v>
      </c>
      <c r="H581" s="276">
        <v>0</v>
      </c>
      <c r="I581" s="24">
        <v>103003</v>
      </c>
      <c r="J581" s="277">
        <v>86.56</v>
      </c>
      <c r="K581" s="276">
        <v>1</v>
      </c>
      <c r="L581" s="278">
        <v>0</v>
      </c>
      <c r="M581" s="279">
        <v>0</v>
      </c>
      <c r="N581" s="277">
        <v>0</v>
      </c>
      <c r="O581" s="280" t="s">
        <v>888</v>
      </c>
      <c r="P581" s="279">
        <v>0</v>
      </c>
      <c r="Q581" s="281">
        <v>0</v>
      </c>
      <c r="R581" s="282" t="s">
        <v>889</v>
      </c>
      <c r="S581" s="274" t="s">
        <v>1492</v>
      </c>
      <c r="T581" s="44">
        <v>1</v>
      </c>
      <c r="U581" s="283">
        <v>54</v>
      </c>
      <c r="V581" s="284">
        <v>4</v>
      </c>
      <c r="W581" s="285">
        <v>2813</v>
      </c>
      <c r="X581" s="286">
        <v>2023</v>
      </c>
      <c r="Y581" s="287">
        <v>4</v>
      </c>
      <c r="Z581" s="287" t="s">
        <v>889</v>
      </c>
      <c r="AA581" s="286" t="s">
        <v>889</v>
      </c>
      <c r="AB581" s="287">
        <v>0</v>
      </c>
      <c r="AC581" s="287"/>
      <c r="AD581" s="288" t="s">
        <v>889</v>
      </c>
      <c r="AE581" s="289" t="s">
        <v>889</v>
      </c>
      <c r="AF581" s="279">
        <v>0</v>
      </c>
      <c r="AG581" s="282">
        <v>43703</v>
      </c>
      <c r="AH581" s="282">
        <v>39624</v>
      </c>
      <c r="AI581" s="282">
        <v>43677</v>
      </c>
      <c r="AJ581" s="282" t="s">
        <v>889</v>
      </c>
      <c r="AK581" s="274"/>
    </row>
    <row r="582" spans="1:37" x14ac:dyDescent="0.3">
      <c r="A582" s="273">
        <v>106918</v>
      </c>
      <c r="B582" s="274" t="s">
        <v>1649</v>
      </c>
      <c r="C582" s="146" t="s">
        <v>263</v>
      </c>
      <c r="D582" s="275">
        <v>86.54</v>
      </c>
      <c r="E582" s="274"/>
      <c r="F582" s="274"/>
      <c r="G582" s="274" t="s">
        <v>889</v>
      </c>
      <c r="H582" s="276">
        <v>6</v>
      </c>
      <c r="I582" s="24">
        <v>103003</v>
      </c>
      <c r="J582" s="277">
        <v>86.54</v>
      </c>
      <c r="K582" s="276">
        <v>4</v>
      </c>
      <c r="L582" s="278">
        <v>18.181818181818183</v>
      </c>
      <c r="M582" s="279">
        <v>0</v>
      </c>
      <c r="N582" s="277">
        <v>0</v>
      </c>
      <c r="O582" s="280" t="s">
        <v>888</v>
      </c>
      <c r="P582" s="279">
        <v>0</v>
      </c>
      <c r="Q582" s="281">
        <v>0</v>
      </c>
      <c r="R582" s="282" t="s">
        <v>889</v>
      </c>
      <c r="S582" s="274" t="s">
        <v>1492</v>
      </c>
      <c r="T582" s="44">
        <v>1</v>
      </c>
      <c r="U582" s="283">
        <v>54</v>
      </c>
      <c r="V582" s="284">
        <v>4</v>
      </c>
      <c r="W582" s="285" t="s">
        <v>889</v>
      </c>
      <c r="X582" s="286" t="s">
        <v>889</v>
      </c>
      <c r="Y582" s="287">
        <v>0</v>
      </c>
      <c r="Z582" s="287" t="s">
        <v>889</v>
      </c>
      <c r="AA582" s="286" t="s">
        <v>889</v>
      </c>
      <c r="AB582" s="287">
        <v>0</v>
      </c>
      <c r="AC582" s="287"/>
      <c r="AD582" s="288" t="s">
        <v>889</v>
      </c>
      <c r="AE582" s="289" t="s">
        <v>889</v>
      </c>
      <c r="AF582" s="279">
        <v>0</v>
      </c>
      <c r="AG582" s="282">
        <v>43703</v>
      </c>
      <c r="AH582" s="282">
        <v>39624</v>
      </c>
      <c r="AI582" s="282">
        <v>43677</v>
      </c>
      <c r="AJ582" s="282" t="s">
        <v>889</v>
      </c>
      <c r="AK582" s="274"/>
    </row>
    <row r="583" spans="1:37" x14ac:dyDescent="0.3">
      <c r="A583" s="273">
        <v>106919</v>
      </c>
      <c r="B583" s="274" t="s">
        <v>1650</v>
      </c>
      <c r="C583" s="146" t="s">
        <v>263</v>
      </c>
      <c r="D583" s="275">
        <v>86.54</v>
      </c>
      <c r="E583" s="274"/>
      <c r="F583" s="274"/>
      <c r="G583" s="274" t="s">
        <v>889</v>
      </c>
      <c r="H583" s="276">
        <v>1</v>
      </c>
      <c r="I583" s="24">
        <v>103003</v>
      </c>
      <c r="J583" s="277">
        <v>86.54</v>
      </c>
      <c r="K583" s="276"/>
      <c r="L583" s="278">
        <v>0</v>
      </c>
      <c r="M583" s="279">
        <v>0</v>
      </c>
      <c r="N583" s="277">
        <v>0</v>
      </c>
      <c r="O583" s="280" t="s">
        <v>888</v>
      </c>
      <c r="P583" s="279">
        <v>0</v>
      </c>
      <c r="Q583" s="281">
        <v>0</v>
      </c>
      <c r="R583" s="282" t="s">
        <v>889</v>
      </c>
      <c r="S583" s="274" t="s">
        <v>1492</v>
      </c>
      <c r="T583" s="44">
        <v>1</v>
      </c>
      <c r="U583" s="283">
        <v>54</v>
      </c>
      <c r="V583" s="284">
        <v>4</v>
      </c>
      <c r="W583" s="285">
        <v>2813</v>
      </c>
      <c r="X583" s="286">
        <v>2023</v>
      </c>
      <c r="Y583" s="287">
        <v>2</v>
      </c>
      <c r="Z583" s="287" t="s">
        <v>889</v>
      </c>
      <c r="AA583" s="286" t="s">
        <v>889</v>
      </c>
      <c r="AB583" s="287">
        <v>0</v>
      </c>
      <c r="AC583" s="287"/>
      <c r="AD583" s="288" t="s">
        <v>889</v>
      </c>
      <c r="AE583" s="289" t="s">
        <v>889</v>
      </c>
      <c r="AF583" s="279">
        <v>0</v>
      </c>
      <c r="AG583" s="282">
        <v>43703</v>
      </c>
      <c r="AH583" s="282">
        <v>39624</v>
      </c>
      <c r="AI583" s="282">
        <v>43677</v>
      </c>
      <c r="AJ583" s="282" t="s">
        <v>889</v>
      </c>
      <c r="AK583" s="274"/>
    </row>
    <row r="584" spans="1:37" x14ac:dyDescent="0.3">
      <c r="A584" s="273">
        <v>107401</v>
      </c>
      <c r="B584" s="274" t="s">
        <v>1651</v>
      </c>
      <c r="C584" s="146" t="s">
        <v>263</v>
      </c>
      <c r="D584" s="275">
        <v>6.9</v>
      </c>
      <c r="E584" s="274"/>
      <c r="F584" s="274"/>
      <c r="G584" s="274" t="s">
        <v>889</v>
      </c>
      <c r="H584" s="276">
        <v>201</v>
      </c>
      <c r="I584" s="24">
        <v>103003</v>
      </c>
      <c r="J584" s="277">
        <v>6.9</v>
      </c>
      <c r="K584" s="276">
        <v>55</v>
      </c>
      <c r="L584" s="278">
        <v>43.0406852248394</v>
      </c>
      <c r="M584" s="279">
        <v>0</v>
      </c>
      <c r="N584" s="277">
        <v>0</v>
      </c>
      <c r="O584" s="280" t="s">
        <v>888</v>
      </c>
      <c r="P584" s="279">
        <v>0</v>
      </c>
      <c r="Q584" s="281">
        <v>0</v>
      </c>
      <c r="R584" s="282" t="s">
        <v>889</v>
      </c>
      <c r="S584" s="274" t="s">
        <v>966</v>
      </c>
      <c r="T584" s="44">
        <v>1</v>
      </c>
      <c r="U584" s="283">
        <v>61</v>
      </c>
      <c r="V584" s="284">
        <v>8</v>
      </c>
      <c r="W584" s="285" t="s">
        <v>889</v>
      </c>
      <c r="X584" s="286" t="s">
        <v>889</v>
      </c>
      <c r="Y584" s="287">
        <v>0</v>
      </c>
      <c r="Z584" s="287" t="s">
        <v>889</v>
      </c>
      <c r="AA584" s="286" t="s">
        <v>889</v>
      </c>
      <c r="AB584" s="287">
        <v>0</v>
      </c>
      <c r="AC584" s="287"/>
      <c r="AD584" s="288" t="s">
        <v>889</v>
      </c>
      <c r="AE584" s="289" t="s">
        <v>889</v>
      </c>
      <c r="AF584" s="279">
        <v>18</v>
      </c>
      <c r="AG584" s="282">
        <v>44658</v>
      </c>
      <c r="AH584" s="282">
        <v>39671</v>
      </c>
      <c r="AI584" s="282">
        <v>44607</v>
      </c>
      <c r="AJ584" s="282" t="s">
        <v>889</v>
      </c>
      <c r="AK584" s="274"/>
    </row>
    <row r="585" spans="1:37" x14ac:dyDescent="0.3">
      <c r="A585" s="273">
        <v>107483</v>
      </c>
      <c r="B585" s="274" t="s">
        <v>1652</v>
      </c>
      <c r="C585" s="146" t="s">
        <v>31</v>
      </c>
      <c r="D585" s="275">
        <v>15.3</v>
      </c>
      <c r="E585" s="274"/>
      <c r="F585" s="274"/>
      <c r="G585" s="274" t="s">
        <v>889</v>
      </c>
      <c r="H585" s="276">
        <v>51</v>
      </c>
      <c r="I585" s="24">
        <v>103003</v>
      </c>
      <c r="J585" s="277">
        <v>15.3</v>
      </c>
      <c r="K585" s="276">
        <v>227</v>
      </c>
      <c r="L585" s="278">
        <v>2.2496691662990735</v>
      </c>
      <c r="M585" s="279">
        <v>21.04</v>
      </c>
      <c r="N585" s="277">
        <v>321.91199999999998</v>
      </c>
      <c r="O585" s="280" t="s">
        <v>888</v>
      </c>
      <c r="P585" s="279">
        <v>0</v>
      </c>
      <c r="Q585" s="281">
        <v>0</v>
      </c>
      <c r="R585" s="282" t="s">
        <v>889</v>
      </c>
      <c r="S585" s="274" t="s">
        <v>1653</v>
      </c>
      <c r="T585" s="44">
        <v>1</v>
      </c>
      <c r="U585" s="283">
        <v>55</v>
      </c>
      <c r="V585" s="284">
        <v>4</v>
      </c>
      <c r="W585" s="285">
        <v>10090</v>
      </c>
      <c r="X585" s="286">
        <v>2023</v>
      </c>
      <c r="Y585" s="287">
        <v>200</v>
      </c>
      <c r="Z585" s="287" t="s">
        <v>889</v>
      </c>
      <c r="AA585" s="286" t="s">
        <v>889</v>
      </c>
      <c r="AB585" s="287">
        <v>0</v>
      </c>
      <c r="AC585" s="287"/>
      <c r="AD585" s="288" t="s">
        <v>889</v>
      </c>
      <c r="AE585" s="289" t="s">
        <v>889</v>
      </c>
      <c r="AF585" s="279">
        <v>90</v>
      </c>
      <c r="AG585" s="282">
        <v>44874</v>
      </c>
      <c r="AH585" s="282">
        <v>39679</v>
      </c>
      <c r="AI585" s="282">
        <v>44845</v>
      </c>
      <c r="AJ585" s="282" t="s">
        <v>889</v>
      </c>
      <c r="AK585" s="274"/>
    </row>
    <row r="586" spans="1:37" x14ac:dyDescent="0.3">
      <c r="A586" s="273">
        <v>107790</v>
      </c>
      <c r="B586" s="274" t="s">
        <v>1654</v>
      </c>
      <c r="C586" s="146" t="s">
        <v>263</v>
      </c>
      <c r="D586" s="275">
        <v>17.28</v>
      </c>
      <c r="E586" s="274"/>
      <c r="F586" s="274"/>
      <c r="G586" s="274" t="s">
        <v>889</v>
      </c>
      <c r="H586" s="276">
        <v>141</v>
      </c>
      <c r="I586" s="24">
        <v>103003</v>
      </c>
      <c r="J586" s="277">
        <v>17.28</v>
      </c>
      <c r="K586" s="276">
        <v>133</v>
      </c>
      <c r="L586" s="278">
        <v>12.260869565217391</v>
      </c>
      <c r="M586" s="279">
        <v>0</v>
      </c>
      <c r="N586" s="277">
        <v>0</v>
      </c>
      <c r="O586" s="280" t="s">
        <v>888</v>
      </c>
      <c r="P586" s="279">
        <v>0</v>
      </c>
      <c r="Q586" s="281">
        <v>0</v>
      </c>
      <c r="R586" s="282" t="s">
        <v>889</v>
      </c>
      <c r="S586" s="274" t="s">
        <v>1655</v>
      </c>
      <c r="T586" s="44">
        <v>1</v>
      </c>
      <c r="U586" s="283">
        <v>50</v>
      </c>
      <c r="V586" s="284">
        <v>3</v>
      </c>
      <c r="W586" s="285">
        <v>2412</v>
      </c>
      <c r="X586" s="286">
        <v>2023</v>
      </c>
      <c r="Y586" s="287">
        <v>100</v>
      </c>
      <c r="Z586" s="287" t="s">
        <v>889</v>
      </c>
      <c r="AA586" s="286" t="s">
        <v>889</v>
      </c>
      <c r="AB586" s="287">
        <v>0</v>
      </c>
      <c r="AC586" s="287"/>
      <c r="AD586" s="288" t="s">
        <v>889</v>
      </c>
      <c r="AE586" s="289" t="s">
        <v>889</v>
      </c>
      <c r="AF586" s="279">
        <v>46</v>
      </c>
      <c r="AG586" s="282">
        <v>44634</v>
      </c>
      <c r="AH586" s="282">
        <v>39700</v>
      </c>
      <c r="AI586" s="282">
        <v>44616</v>
      </c>
      <c r="AJ586" s="282" t="s">
        <v>889</v>
      </c>
      <c r="AK586" s="274"/>
    </row>
    <row r="587" spans="1:37" x14ac:dyDescent="0.3">
      <c r="A587" s="273">
        <v>107889</v>
      </c>
      <c r="B587" s="274" t="s">
        <v>1656</v>
      </c>
      <c r="C587" s="146" t="s">
        <v>31</v>
      </c>
      <c r="D587" s="275">
        <v>28.5</v>
      </c>
      <c r="E587" s="274"/>
      <c r="F587" s="274"/>
      <c r="G587" s="274" t="s">
        <v>889</v>
      </c>
      <c r="H587" s="276">
        <v>0</v>
      </c>
      <c r="I587" s="24">
        <v>103003</v>
      </c>
      <c r="J587" s="277">
        <v>28.5</v>
      </c>
      <c r="K587" s="276">
        <v>191</v>
      </c>
      <c r="L587" s="278">
        <v>0</v>
      </c>
      <c r="M587" s="279">
        <v>10</v>
      </c>
      <c r="N587" s="277">
        <v>285</v>
      </c>
      <c r="O587" s="280" t="s">
        <v>888</v>
      </c>
      <c r="P587" s="279">
        <v>0</v>
      </c>
      <c r="Q587" s="281">
        <v>0</v>
      </c>
      <c r="R587" s="282" t="s">
        <v>889</v>
      </c>
      <c r="S587" s="274" t="s">
        <v>1290</v>
      </c>
      <c r="T587" s="44">
        <v>1</v>
      </c>
      <c r="U587" s="283">
        <v>55</v>
      </c>
      <c r="V587" s="284">
        <v>9</v>
      </c>
      <c r="W587" s="285" t="s">
        <v>889</v>
      </c>
      <c r="X587" s="286" t="s">
        <v>889</v>
      </c>
      <c r="Y587" s="287">
        <v>0</v>
      </c>
      <c r="Z587" s="287">
        <v>9649</v>
      </c>
      <c r="AA587" s="286">
        <v>2023</v>
      </c>
      <c r="AB587" s="287">
        <v>200</v>
      </c>
      <c r="AC587" s="287">
        <v>200</v>
      </c>
      <c r="AD587" s="288" t="s">
        <v>2055</v>
      </c>
      <c r="AE587" s="289">
        <v>45162</v>
      </c>
      <c r="AF587" s="279">
        <v>70</v>
      </c>
      <c r="AG587" s="282">
        <v>44874</v>
      </c>
      <c r="AH587" s="282">
        <v>39709</v>
      </c>
      <c r="AI587" s="282">
        <v>45145</v>
      </c>
      <c r="AJ587" s="282" t="s">
        <v>889</v>
      </c>
      <c r="AK587" s="274"/>
    </row>
    <row r="588" spans="1:37" x14ac:dyDescent="0.3">
      <c r="A588" s="273">
        <v>107926</v>
      </c>
      <c r="B588" s="274" t="s">
        <v>1657</v>
      </c>
      <c r="C588" s="146" t="s">
        <v>263</v>
      </c>
      <c r="D588" s="275">
        <v>0.88</v>
      </c>
      <c r="E588" s="274"/>
      <c r="F588" s="274"/>
      <c r="G588" s="274" t="s">
        <v>889</v>
      </c>
      <c r="H588" s="276">
        <v>4424</v>
      </c>
      <c r="I588" s="24">
        <v>103003</v>
      </c>
      <c r="J588" s="277">
        <v>0.88</v>
      </c>
      <c r="K588" s="276">
        <v>4076</v>
      </c>
      <c r="L588" s="278">
        <v>13.024406041157594</v>
      </c>
      <c r="M588" s="279">
        <v>0</v>
      </c>
      <c r="N588" s="277">
        <v>0</v>
      </c>
      <c r="O588" s="280" t="s">
        <v>888</v>
      </c>
      <c r="P588" s="279">
        <v>0</v>
      </c>
      <c r="Q588" s="281">
        <v>0</v>
      </c>
      <c r="R588" s="282" t="s">
        <v>889</v>
      </c>
      <c r="S588" s="274" t="s">
        <v>1076</v>
      </c>
      <c r="T588" s="44">
        <v>1</v>
      </c>
      <c r="U588" s="283">
        <v>78</v>
      </c>
      <c r="V588" s="284">
        <v>2</v>
      </c>
      <c r="W588" s="285" t="s">
        <v>889</v>
      </c>
      <c r="X588" s="286" t="s">
        <v>889</v>
      </c>
      <c r="Y588" s="287">
        <v>0</v>
      </c>
      <c r="Z588" s="287" t="s">
        <v>889</v>
      </c>
      <c r="AA588" s="286" t="s">
        <v>889</v>
      </c>
      <c r="AB588" s="287">
        <v>0</v>
      </c>
      <c r="AC588" s="287"/>
      <c r="AD588" s="288" t="s">
        <v>889</v>
      </c>
      <c r="AE588" s="289" t="s">
        <v>889</v>
      </c>
      <c r="AF588" s="279">
        <v>1358</v>
      </c>
      <c r="AG588" s="282">
        <v>45201</v>
      </c>
      <c r="AH588" s="282">
        <v>39710</v>
      </c>
      <c r="AI588" s="282">
        <v>45189</v>
      </c>
      <c r="AJ588" s="282" t="s">
        <v>889</v>
      </c>
      <c r="AK588" s="274"/>
    </row>
    <row r="589" spans="1:37" x14ac:dyDescent="0.3">
      <c r="A589" s="273">
        <v>108393</v>
      </c>
      <c r="B589" s="274" t="s">
        <v>1658</v>
      </c>
      <c r="C589" s="146" t="s">
        <v>263</v>
      </c>
      <c r="D589" s="275">
        <v>71.66</v>
      </c>
      <c r="E589" s="274"/>
      <c r="F589" s="274"/>
      <c r="G589" s="274" t="s">
        <v>889</v>
      </c>
      <c r="H589" s="276">
        <v>161</v>
      </c>
      <c r="I589" s="24">
        <v>103003</v>
      </c>
      <c r="J589" s="277">
        <v>71.66</v>
      </c>
      <c r="K589" s="276">
        <v>44</v>
      </c>
      <c r="L589" s="278">
        <v>43.869209809264305</v>
      </c>
      <c r="M589" s="279">
        <v>0</v>
      </c>
      <c r="N589" s="277">
        <v>0</v>
      </c>
      <c r="O589" s="280" t="s">
        <v>888</v>
      </c>
      <c r="P589" s="279">
        <v>0</v>
      </c>
      <c r="Q589" s="281">
        <v>0</v>
      </c>
      <c r="R589" s="282" t="s">
        <v>889</v>
      </c>
      <c r="S589" s="274" t="s">
        <v>1502</v>
      </c>
      <c r="T589" s="44">
        <v>1</v>
      </c>
      <c r="U589" s="283">
        <v>55</v>
      </c>
      <c r="V589" s="284">
        <v>26</v>
      </c>
      <c r="W589" s="285" t="s">
        <v>889</v>
      </c>
      <c r="X589" s="286" t="s">
        <v>889</v>
      </c>
      <c r="Y589" s="287">
        <v>0</v>
      </c>
      <c r="Z589" s="287" t="s">
        <v>889</v>
      </c>
      <c r="AA589" s="286" t="s">
        <v>889</v>
      </c>
      <c r="AB589" s="287">
        <v>0</v>
      </c>
      <c r="AC589" s="287"/>
      <c r="AD589" s="288" t="s">
        <v>889</v>
      </c>
      <c r="AE589" s="289" t="s">
        <v>889</v>
      </c>
      <c r="AF589" s="279">
        <v>14</v>
      </c>
      <c r="AG589" s="282">
        <v>44649</v>
      </c>
      <c r="AH589" s="282">
        <v>39737</v>
      </c>
      <c r="AI589" s="282">
        <v>44616</v>
      </c>
      <c r="AJ589" s="282" t="s">
        <v>889</v>
      </c>
      <c r="AK589" s="274"/>
    </row>
    <row r="590" spans="1:37" x14ac:dyDescent="0.3">
      <c r="A590" s="273">
        <v>108398</v>
      </c>
      <c r="B590" s="274" t="s">
        <v>1659</v>
      </c>
      <c r="C590" s="146" t="s">
        <v>263</v>
      </c>
      <c r="D590" s="275">
        <v>588</v>
      </c>
      <c r="E590" s="274"/>
      <c r="F590" s="274"/>
      <c r="G590" s="274" t="s">
        <v>889</v>
      </c>
      <c r="H590" s="276">
        <v>5</v>
      </c>
      <c r="I590" s="24">
        <v>103003</v>
      </c>
      <c r="J590" s="277">
        <v>588</v>
      </c>
      <c r="K590" s="276">
        <v>4</v>
      </c>
      <c r="L590" s="278">
        <v>15.15151515151515</v>
      </c>
      <c r="M590" s="279">
        <v>0</v>
      </c>
      <c r="N590" s="277">
        <v>0</v>
      </c>
      <c r="O590" s="280" t="s">
        <v>888</v>
      </c>
      <c r="P590" s="279">
        <v>0</v>
      </c>
      <c r="Q590" s="281">
        <v>0</v>
      </c>
      <c r="R590" s="282" t="s">
        <v>889</v>
      </c>
      <c r="S590" s="274" t="s">
        <v>1660</v>
      </c>
      <c r="T590" s="44">
        <v>1</v>
      </c>
      <c r="U590" s="283">
        <v>55</v>
      </c>
      <c r="V590" s="284">
        <v>30</v>
      </c>
      <c r="W590" s="285">
        <v>10080</v>
      </c>
      <c r="X590" s="286">
        <v>2023</v>
      </c>
      <c r="Y590" s="287">
        <v>20</v>
      </c>
      <c r="Z590" s="287" t="s">
        <v>889</v>
      </c>
      <c r="AA590" s="286" t="s">
        <v>889</v>
      </c>
      <c r="AB590" s="287">
        <v>0</v>
      </c>
      <c r="AC590" s="287"/>
      <c r="AD590" s="288" t="s">
        <v>889</v>
      </c>
      <c r="AE590" s="289" t="s">
        <v>889</v>
      </c>
      <c r="AF590" s="279">
        <v>2</v>
      </c>
      <c r="AG590" s="282">
        <v>42192</v>
      </c>
      <c r="AH590" s="282">
        <v>39737</v>
      </c>
      <c r="AI590" s="282">
        <v>42167</v>
      </c>
      <c r="AJ590" s="282" t="s">
        <v>889</v>
      </c>
      <c r="AK590" s="274"/>
    </row>
    <row r="591" spans="1:37" x14ac:dyDescent="0.3">
      <c r="A591" s="273">
        <v>108440</v>
      </c>
      <c r="B591" s="274" t="s">
        <v>692</v>
      </c>
      <c r="C591" s="146" t="s">
        <v>31</v>
      </c>
      <c r="D591" s="275">
        <v>45</v>
      </c>
      <c r="E591" s="274"/>
      <c r="F591" s="274"/>
      <c r="G591" s="274" t="s">
        <v>889</v>
      </c>
      <c r="H591" s="276">
        <v>6</v>
      </c>
      <c r="I591" s="24">
        <v>103003</v>
      </c>
      <c r="J591" s="277">
        <v>45</v>
      </c>
      <c r="K591" s="276">
        <v>4</v>
      </c>
      <c r="L591" s="278">
        <v>18.181818181818183</v>
      </c>
      <c r="M591" s="279">
        <v>0</v>
      </c>
      <c r="N591" s="277">
        <v>0</v>
      </c>
      <c r="O591" s="280" t="s">
        <v>888</v>
      </c>
      <c r="P591" s="279">
        <v>0</v>
      </c>
      <c r="Q591" s="281">
        <v>0</v>
      </c>
      <c r="R591" s="282" t="s">
        <v>889</v>
      </c>
      <c r="S591" s="274" t="s">
        <v>1086</v>
      </c>
      <c r="T591" s="44">
        <v>1</v>
      </c>
      <c r="U591" s="283">
        <v>55</v>
      </c>
      <c r="V591" s="284">
        <v>49</v>
      </c>
      <c r="W591" s="285" t="s">
        <v>889</v>
      </c>
      <c r="X591" s="286" t="s">
        <v>889</v>
      </c>
      <c r="Y591" s="287">
        <v>0</v>
      </c>
      <c r="Z591" s="287" t="s">
        <v>889</v>
      </c>
      <c r="AA591" s="286" t="s">
        <v>889</v>
      </c>
      <c r="AB591" s="287">
        <v>0</v>
      </c>
      <c r="AC591" s="287"/>
      <c r="AD591" s="288" t="s">
        <v>889</v>
      </c>
      <c r="AE591" s="289" t="s">
        <v>889</v>
      </c>
      <c r="AF591" s="279">
        <v>0</v>
      </c>
      <c r="AG591" s="282">
        <v>43924</v>
      </c>
      <c r="AH591" s="282">
        <v>39738</v>
      </c>
      <c r="AI591" s="282">
        <v>43880</v>
      </c>
      <c r="AJ591" s="282" t="s">
        <v>889</v>
      </c>
      <c r="AK591" s="274"/>
    </row>
    <row r="592" spans="1:37" x14ac:dyDescent="0.3">
      <c r="A592" s="273">
        <v>108697</v>
      </c>
      <c r="B592" s="274" t="s">
        <v>1661</v>
      </c>
      <c r="C592" s="146" t="s">
        <v>263</v>
      </c>
      <c r="D592" s="275">
        <v>50.85</v>
      </c>
      <c r="E592" s="274"/>
      <c r="F592" s="274"/>
      <c r="G592" s="274" t="s">
        <v>889</v>
      </c>
      <c r="H592" s="276">
        <v>37</v>
      </c>
      <c r="I592" s="24">
        <v>103003</v>
      </c>
      <c r="J592" s="277">
        <v>50.85</v>
      </c>
      <c r="K592" s="276">
        <v>11</v>
      </c>
      <c r="L592" s="278">
        <v>40.217391304347828</v>
      </c>
      <c r="M592" s="279">
        <v>0</v>
      </c>
      <c r="N592" s="277">
        <v>0</v>
      </c>
      <c r="O592" s="280" t="s">
        <v>888</v>
      </c>
      <c r="P592" s="279">
        <v>0</v>
      </c>
      <c r="Q592" s="281">
        <v>0</v>
      </c>
      <c r="R592" s="282" t="s">
        <v>889</v>
      </c>
      <c r="S592" s="274" t="s">
        <v>1662</v>
      </c>
      <c r="T592" s="44">
        <v>1</v>
      </c>
      <c r="U592" s="283">
        <v>55</v>
      </c>
      <c r="V592" s="284">
        <v>48</v>
      </c>
      <c r="W592" s="285" t="s">
        <v>889</v>
      </c>
      <c r="X592" s="286" t="s">
        <v>889</v>
      </c>
      <c r="Y592" s="287">
        <v>0</v>
      </c>
      <c r="Z592" s="287" t="s">
        <v>889</v>
      </c>
      <c r="AA592" s="286" t="s">
        <v>889</v>
      </c>
      <c r="AB592" s="287">
        <v>0</v>
      </c>
      <c r="AC592" s="287"/>
      <c r="AD592" s="288" t="s">
        <v>889</v>
      </c>
      <c r="AE592" s="289" t="s">
        <v>889</v>
      </c>
      <c r="AF592" s="279">
        <v>4</v>
      </c>
      <c r="AG592" s="282">
        <v>39820</v>
      </c>
      <c r="AH592" s="282">
        <v>39759</v>
      </c>
      <c r="AI592" s="282">
        <v>43402</v>
      </c>
      <c r="AJ592" s="282" t="s">
        <v>889</v>
      </c>
      <c r="AK592" s="274"/>
    </row>
    <row r="593" spans="1:37" x14ac:dyDescent="0.3">
      <c r="A593" s="273">
        <v>108711</v>
      </c>
      <c r="B593" s="274" t="s">
        <v>1663</v>
      </c>
      <c r="C593" s="146" t="s">
        <v>31</v>
      </c>
      <c r="D593" s="275">
        <v>36.5</v>
      </c>
      <c r="E593" s="274"/>
      <c r="F593" s="274"/>
      <c r="G593" s="274" t="s">
        <v>889</v>
      </c>
      <c r="H593" s="276">
        <v>108</v>
      </c>
      <c r="I593" s="24">
        <v>103003</v>
      </c>
      <c r="J593" s="277">
        <v>36.5</v>
      </c>
      <c r="K593" s="276">
        <v>1</v>
      </c>
      <c r="L593" s="278">
        <v>1350</v>
      </c>
      <c r="M593" s="279">
        <v>0</v>
      </c>
      <c r="N593" s="277">
        <v>0</v>
      </c>
      <c r="O593" s="280" t="s">
        <v>888</v>
      </c>
      <c r="P593" s="279">
        <v>0</v>
      </c>
      <c r="Q593" s="281">
        <v>0</v>
      </c>
      <c r="R593" s="282" t="s">
        <v>889</v>
      </c>
      <c r="S593" s="274" t="s">
        <v>1664</v>
      </c>
      <c r="T593" s="44">
        <v>1</v>
      </c>
      <c r="U593" s="283">
        <v>61</v>
      </c>
      <c r="V593" s="284">
        <v>10</v>
      </c>
      <c r="W593" s="285" t="s">
        <v>889</v>
      </c>
      <c r="X593" s="286" t="s">
        <v>889</v>
      </c>
      <c r="Y593" s="287">
        <v>0</v>
      </c>
      <c r="Z593" s="287" t="s">
        <v>889</v>
      </c>
      <c r="AA593" s="286" t="s">
        <v>889</v>
      </c>
      <c r="AB593" s="287">
        <v>0</v>
      </c>
      <c r="AC593" s="287"/>
      <c r="AD593" s="288" t="s">
        <v>889</v>
      </c>
      <c r="AE593" s="289" t="s">
        <v>889</v>
      </c>
      <c r="AF593" s="279">
        <v>0</v>
      </c>
      <c r="AG593" s="282">
        <v>43739</v>
      </c>
      <c r="AH593" s="282">
        <v>39762</v>
      </c>
      <c r="AI593" s="282">
        <v>44462</v>
      </c>
      <c r="AJ593" s="282" t="s">
        <v>889</v>
      </c>
      <c r="AK593" s="274"/>
    </row>
    <row r="594" spans="1:37" x14ac:dyDescent="0.3">
      <c r="A594" s="273">
        <v>109251</v>
      </c>
      <c r="B594" s="274" t="s">
        <v>1665</v>
      </c>
      <c r="C594" s="146" t="s">
        <v>31</v>
      </c>
      <c r="D594" s="275">
        <v>0.52</v>
      </c>
      <c r="E594" s="274" t="s">
        <v>1057</v>
      </c>
      <c r="F594" s="274" t="s">
        <v>1058</v>
      </c>
      <c r="G594" s="274" t="s">
        <v>1059</v>
      </c>
      <c r="H594" s="276">
        <v>259</v>
      </c>
      <c r="I594" s="24">
        <v>103003</v>
      </c>
      <c r="J594" s="277">
        <v>0.66</v>
      </c>
      <c r="K594" s="276">
        <v>169</v>
      </c>
      <c r="L594" s="278">
        <v>1.6470588235294119</v>
      </c>
      <c r="M594" s="279">
        <v>1628</v>
      </c>
      <c r="N594" s="277">
        <v>846.56</v>
      </c>
      <c r="O594" s="280" t="s">
        <v>1060</v>
      </c>
      <c r="P594" s="279">
        <v>294300</v>
      </c>
      <c r="Q594" s="281">
        <v>160836</v>
      </c>
      <c r="R594" s="282">
        <v>45446</v>
      </c>
      <c r="S594" s="274" t="s">
        <v>898</v>
      </c>
      <c r="T594" s="44">
        <v>1</v>
      </c>
      <c r="U594" s="283">
        <v>72</v>
      </c>
      <c r="V594" s="284">
        <v>6</v>
      </c>
      <c r="W594" s="285" t="s">
        <v>889</v>
      </c>
      <c r="X594" s="286" t="s">
        <v>889</v>
      </c>
      <c r="Y594" s="287">
        <v>0</v>
      </c>
      <c r="Z594" s="287" t="s">
        <v>889</v>
      </c>
      <c r="AA594" s="286" t="s">
        <v>889</v>
      </c>
      <c r="AB594" s="287">
        <v>0</v>
      </c>
      <c r="AC594" s="287"/>
      <c r="AD594" s="288" t="s">
        <v>889</v>
      </c>
      <c r="AE594" s="289" t="s">
        <v>889</v>
      </c>
      <c r="AF594" s="279">
        <v>0</v>
      </c>
      <c r="AG594" s="282">
        <v>44337</v>
      </c>
      <c r="AH594" s="282">
        <v>39832</v>
      </c>
      <c r="AI594" s="282">
        <v>45133</v>
      </c>
      <c r="AJ594" s="282" t="s">
        <v>889</v>
      </c>
      <c r="AK594" s="274"/>
    </row>
    <row r="595" spans="1:37" x14ac:dyDescent="0.3">
      <c r="A595" s="273">
        <v>109848</v>
      </c>
      <c r="B595" s="274" t="s">
        <v>1666</v>
      </c>
      <c r="C595" s="146" t="s">
        <v>1667</v>
      </c>
      <c r="D595" s="275">
        <v>48.5</v>
      </c>
      <c r="E595" s="274"/>
      <c r="F595" s="274"/>
      <c r="G595" s="274" t="s">
        <v>889</v>
      </c>
      <c r="H595" s="276">
        <v>7</v>
      </c>
      <c r="I595" s="24">
        <v>103003</v>
      </c>
      <c r="J595" s="277">
        <v>48.5</v>
      </c>
      <c r="K595" s="276">
        <v>63</v>
      </c>
      <c r="L595" s="278">
        <v>1.3333333333333335</v>
      </c>
      <c r="M595" s="279">
        <v>0</v>
      </c>
      <c r="N595" s="277">
        <v>0</v>
      </c>
      <c r="O595" s="280" t="s">
        <v>888</v>
      </c>
      <c r="P595" s="279">
        <v>0</v>
      </c>
      <c r="Q595" s="281">
        <v>0</v>
      </c>
      <c r="R595" s="282" t="s">
        <v>889</v>
      </c>
      <c r="S595" s="274" t="s">
        <v>1391</v>
      </c>
      <c r="T595" s="44">
        <v>1</v>
      </c>
      <c r="U595" s="283">
        <v>76</v>
      </c>
      <c r="V595" s="284">
        <v>9</v>
      </c>
      <c r="W595" s="285" t="s">
        <v>889</v>
      </c>
      <c r="X595" s="286" t="s">
        <v>889</v>
      </c>
      <c r="Y595" s="287">
        <v>0</v>
      </c>
      <c r="Z595" s="287">
        <v>11598</v>
      </c>
      <c r="AA595" s="286">
        <v>2023</v>
      </c>
      <c r="AB595" s="287">
        <v>200</v>
      </c>
      <c r="AC595" s="287">
        <v>200</v>
      </c>
      <c r="AD595" s="288" t="s">
        <v>2067</v>
      </c>
      <c r="AE595" s="289">
        <v>45217</v>
      </c>
      <c r="AF595" s="279">
        <v>22</v>
      </c>
      <c r="AG595" s="282">
        <v>44725</v>
      </c>
      <c r="AH595" s="282">
        <v>39857</v>
      </c>
      <c r="AI595" s="282">
        <v>45181</v>
      </c>
      <c r="AJ595" s="282" t="s">
        <v>889</v>
      </c>
      <c r="AK595" s="274"/>
    </row>
    <row r="596" spans="1:37" x14ac:dyDescent="0.3">
      <c r="A596" s="273">
        <v>109944</v>
      </c>
      <c r="B596" s="274" t="s">
        <v>1668</v>
      </c>
      <c r="C596" s="146" t="s">
        <v>263</v>
      </c>
      <c r="D596" s="275">
        <v>290</v>
      </c>
      <c r="E596" s="274"/>
      <c r="F596" s="274"/>
      <c r="G596" s="274" t="s">
        <v>889</v>
      </c>
      <c r="H596" s="276">
        <v>110</v>
      </c>
      <c r="I596" s="24">
        <v>103003</v>
      </c>
      <c r="J596" s="277">
        <v>290</v>
      </c>
      <c r="K596" s="276">
        <v>440</v>
      </c>
      <c r="L596" s="278">
        <v>2.9997272975184077</v>
      </c>
      <c r="M596" s="279">
        <v>330.04</v>
      </c>
      <c r="N596" s="277">
        <v>95711.6</v>
      </c>
      <c r="O596" s="280" t="s">
        <v>888</v>
      </c>
      <c r="P596" s="279">
        <v>0</v>
      </c>
      <c r="Q596" s="281">
        <v>0</v>
      </c>
      <c r="R596" s="282" t="s">
        <v>889</v>
      </c>
      <c r="S596" s="274" t="s">
        <v>1115</v>
      </c>
      <c r="T596" s="44">
        <v>1</v>
      </c>
      <c r="U596" s="283">
        <v>74</v>
      </c>
      <c r="V596" s="284">
        <v>8</v>
      </c>
      <c r="W596" s="285" t="s">
        <v>889</v>
      </c>
      <c r="X596" s="286" t="s">
        <v>889</v>
      </c>
      <c r="Y596" s="287">
        <v>0</v>
      </c>
      <c r="Z596" s="287" t="s">
        <v>889</v>
      </c>
      <c r="AA596" s="286" t="s">
        <v>889</v>
      </c>
      <c r="AB596" s="287">
        <v>0</v>
      </c>
      <c r="AC596" s="287"/>
      <c r="AD596" s="288" t="s">
        <v>889</v>
      </c>
      <c r="AE596" s="289" t="s">
        <v>889</v>
      </c>
      <c r="AF596" s="279">
        <v>146</v>
      </c>
      <c r="AG596" s="282">
        <v>44546</v>
      </c>
      <c r="AH596" s="282">
        <v>39875</v>
      </c>
      <c r="AI596" s="282">
        <v>44511</v>
      </c>
      <c r="AJ596" s="282" t="s">
        <v>889</v>
      </c>
      <c r="AK596" s="274"/>
    </row>
    <row r="597" spans="1:37" x14ac:dyDescent="0.3">
      <c r="A597" s="273">
        <v>109986</v>
      </c>
      <c r="B597" s="274" t="s">
        <v>1669</v>
      </c>
      <c r="C597" s="146" t="s">
        <v>263</v>
      </c>
      <c r="D597" s="275">
        <v>14.5</v>
      </c>
      <c r="E597" s="274"/>
      <c r="F597" s="274"/>
      <c r="G597" s="274" t="s">
        <v>889</v>
      </c>
      <c r="H597" s="276">
        <v>98</v>
      </c>
      <c r="I597" s="24">
        <v>103003</v>
      </c>
      <c r="J597" s="277">
        <v>14.5</v>
      </c>
      <c r="K597" s="276"/>
      <c r="L597" s="278">
        <v>0</v>
      </c>
      <c r="M597" s="279">
        <v>0</v>
      </c>
      <c r="N597" s="277">
        <v>0</v>
      </c>
      <c r="O597" s="280" t="s">
        <v>888</v>
      </c>
      <c r="P597" s="279">
        <v>0</v>
      </c>
      <c r="Q597" s="281">
        <v>0</v>
      </c>
      <c r="R597" s="282" t="s">
        <v>889</v>
      </c>
      <c r="S597" s="274" t="s">
        <v>1276</v>
      </c>
      <c r="T597" s="44">
        <v>1</v>
      </c>
      <c r="U597" s="283">
        <v>83</v>
      </c>
      <c r="V597" s="284">
        <v>4</v>
      </c>
      <c r="W597" s="285" t="s">
        <v>889</v>
      </c>
      <c r="X597" s="286" t="s">
        <v>889</v>
      </c>
      <c r="Y597" s="287">
        <v>0</v>
      </c>
      <c r="Z597" s="287" t="s">
        <v>889</v>
      </c>
      <c r="AA597" s="286" t="s">
        <v>889</v>
      </c>
      <c r="AB597" s="287">
        <v>0</v>
      </c>
      <c r="AC597" s="287"/>
      <c r="AD597" s="288" t="s">
        <v>889</v>
      </c>
      <c r="AE597" s="289" t="s">
        <v>889</v>
      </c>
      <c r="AF597" s="279">
        <v>0</v>
      </c>
      <c r="AG597" s="282">
        <v>43614</v>
      </c>
      <c r="AH597" s="282">
        <v>39877</v>
      </c>
      <c r="AI597" s="282">
        <v>43588</v>
      </c>
      <c r="AJ597" s="282" t="s">
        <v>889</v>
      </c>
      <c r="AK597" s="274"/>
    </row>
    <row r="598" spans="1:37" x14ac:dyDescent="0.3">
      <c r="A598" s="273">
        <v>110578</v>
      </c>
      <c r="B598" s="274" t="s">
        <v>1670</v>
      </c>
      <c r="C598" s="146" t="s">
        <v>1671</v>
      </c>
      <c r="D598" s="275">
        <v>5.09</v>
      </c>
      <c r="E598" s="274"/>
      <c r="F598" s="274"/>
      <c r="G598" s="274" t="s">
        <v>889</v>
      </c>
      <c r="H598" s="276">
        <v>140</v>
      </c>
      <c r="I598" s="24">
        <v>103003</v>
      </c>
      <c r="J598" s="277">
        <v>5.09</v>
      </c>
      <c r="K598" s="276">
        <v>135</v>
      </c>
      <c r="L598" s="278">
        <v>4.6932618169627895</v>
      </c>
      <c r="M598" s="279">
        <v>217.96</v>
      </c>
      <c r="N598" s="277">
        <v>1109.4164000000001</v>
      </c>
      <c r="O598" s="280" t="s">
        <v>888</v>
      </c>
      <c r="P598" s="279">
        <v>0</v>
      </c>
      <c r="Q598" s="281">
        <v>0</v>
      </c>
      <c r="R598" s="282" t="s">
        <v>889</v>
      </c>
      <c r="S598" s="274" t="s">
        <v>1534</v>
      </c>
      <c r="T598" s="44">
        <v>1</v>
      </c>
      <c r="U598" s="283">
        <v>72</v>
      </c>
      <c r="V598" s="284">
        <v>9</v>
      </c>
      <c r="W598" s="285" t="s">
        <v>889</v>
      </c>
      <c r="X598" s="286" t="s">
        <v>889</v>
      </c>
      <c r="Y598" s="287">
        <v>0</v>
      </c>
      <c r="Z598" s="287" t="s">
        <v>889</v>
      </c>
      <c r="AA598" s="286" t="s">
        <v>889</v>
      </c>
      <c r="AB598" s="287">
        <v>0</v>
      </c>
      <c r="AC598" s="287"/>
      <c r="AD598" s="288" t="s">
        <v>889</v>
      </c>
      <c r="AE598" s="289" t="s">
        <v>889</v>
      </c>
      <c r="AF598" s="279">
        <v>120</v>
      </c>
      <c r="AG598" s="282">
        <v>45180</v>
      </c>
      <c r="AH598" s="282">
        <v>39916</v>
      </c>
      <c r="AI598" s="282">
        <v>45145</v>
      </c>
      <c r="AJ598" s="282" t="s">
        <v>889</v>
      </c>
      <c r="AK598" s="274"/>
    </row>
    <row r="599" spans="1:37" x14ac:dyDescent="0.3">
      <c r="A599" s="273">
        <v>110702</v>
      </c>
      <c r="B599" s="274" t="s">
        <v>1672</v>
      </c>
      <c r="C599" s="146" t="s">
        <v>263</v>
      </c>
      <c r="D599" s="275">
        <v>16.79</v>
      </c>
      <c r="E599" s="274"/>
      <c r="F599" s="274"/>
      <c r="G599" s="274" t="s">
        <v>889</v>
      </c>
      <c r="H599" s="276">
        <v>136</v>
      </c>
      <c r="I599" s="24">
        <v>103003</v>
      </c>
      <c r="J599" s="277">
        <v>16.79</v>
      </c>
      <c r="K599" s="276">
        <v>17</v>
      </c>
      <c r="L599" s="278">
        <v>95.774647887323937</v>
      </c>
      <c r="M599" s="279">
        <v>0</v>
      </c>
      <c r="N599" s="277">
        <v>0</v>
      </c>
      <c r="O599" s="280" t="s">
        <v>888</v>
      </c>
      <c r="P599" s="279">
        <v>0</v>
      </c>
      <c r="Q599" s="281">
        <v>0</v>
      </c>
      <c r="R599" s="282" t="s">
        <v>889</v>
      </c>
      <c r="S599" s="274" t="s">
        <v>990</v>
      </c>
      <c r="T599" s="44">
        <v>1</v>
      </c>
      <c r="U599" s="283">
        <v>55</v>
      </c>
      <c r="V599" s="284">
        <v>32</v>
      </c>
      <c r="W599" s="285">
        <v>2956</v>
      </c>
      <c r="X599" s="286">
        <v>2023</v>
      </c>
      <c r="Y599" s="287">
        <v>50</v>
      </c>
      <c r="Z599" s="287" t="s">
        <v>889</v>
      </c>
      <c r="AA599" s="286" t="s">
        <v>889</v>
      </c>
      <c r="AB599" s="287">
        <v>0</v>
      </c>
      <c r="AC599" s="287"/>
      <c r="AD599" s="288" t="s">
        <v>889</v>
      </c>
      <c r="AE599" s="289" t="s">
        <v>889</v>
      </c>
      <c r="AF599" s="279">
        <v>6</v>
      </c>
      <c r="AG599" s="282">
        <v>42216</v>
      </c>
      <c r="AH599" s="282">
        <v>39927</v>
      </c>
      <c r="AI599" s="282">
        <v>42205</v>
      </c>
      <c r="AJ599" s="282" t="s">
        <v>889</v>
      </c>
      <c r="AK599" s="274"/>
    </row>
    <row r="600" spans="1:37" x14ac:dyDescent="0.3">
      <c r="A600" s="273">
        <v>110771</v>
      </c>
      <c r="B600" s="274" t="s">
        <v>1673</v>
      </c>
      <c r="C600" s="146" t="s">
        <v>263</v>
      </c>
      <c r="D600" s="275">
        <v>19.3</v>
      </c>
      <c r="E600" s="274"/>
      <c r="F600" s="274"/>
      <c r="G600" s="274" t="s">
        <v>889</v>
      </c>
      <c r="H600" s="276">
        <v>30</v>
      </c>
      <c r="I600" s="24">
        <v>103003</v>
      </c>
      <c r="J600" s="277">
        <v>19.3</v>
      </c>
      <c r="K600" s="276">
        <v>93</v>
      </c>
      <c r="L600" s="278">
        <v>3.75</v>
      </c>
      <c r="M600" s="279">
        <v>36</v>
      </c>
      <c r="N600" s="277">
        <v>694.8</v>
      </c>
      <c r="O600" s="280" t="s">
        <v>888</v>
      </c>
      <c r="P600" s="279">
        <v>0</v>
      </c>
      <c r="Q600" s="281">
        <v>0</v>
      </c>
      <c r="R600" s="282" t="s">
        <v>889</v>
      </c>
      <c r="S600" s="274" t="s">
        <v>1502</v>
      </c>
      <c r="T600" s="44">
        <v>1</v>
      </c>
      <c r="U600" s="283">
        <v>55</v>
      </c>
      <c r="V600" s="284">
        <v>26</v>
      </c>
      <c r="W600" s="285">
        <v>2560</v>
      </c>
      <c r="X600" s="286">
        <v>2023</v>
      </c>
      <c r="Y600" s="287">
        <v>30</v>
      </c>
      <c r="Z600" s="287" t="s">
        <v>889</v>
      </c>
      <c r="AA600" s="286" t="s">
        <v>889</v>
      </c>
      <c r="AB600" s="287">
        <v>0</v>
      </c>
      <c r="AC600" s="287"/>
      <c r="AD600" s="288" t="s">
        <v>889</v>
      </c>
      <c r="AE600" s="289" t="s">
        <v>889</v>
      </c>
      <c r="AF600" s="279">
        <v>32</v>
      </c>
      <c r="AG600" s="282">
        <v>44336</v>
      </c>
      <c r="AH600" s="282">
        <v>39933</v>
      </c>
      <c r="AI600" s="282">
        <v>44333</v>
      </c>
      <c r="AJ600" s="282" t="s">
        <v>889</v>
      </c>
      <c r="AK600" s="274"/>
    </row>
    <row r="601" spans="1:37" x14ac:dyDescent="0.3">
      <c r="A601" s="273">
        <v>110888</v>
      </c>
      <c r="B601" s="274" t="s">
        <v>1674</v>
      </c>
      <c r="C601" s="146" t="s">
        <v>263</v>
      </c>
      <c r="D601" s="275">
        <v>280</v>
      </c>
      <c r="E601" s="274"/>
      <c r="F601" s="274"/>
      <c r="G601" s="274" t="s">
        <v>889</v>
      </c>
      <c r="H601" s="276">
        <v>0</v>
      </c>
      <c r="I601" s="24">
        <v>103003</v>
      </c>
      <c r="J601" s="277">
        <v>280</v>
      </c>
      <c r="K601" s="276">
        <v>3</v>
      </c>
      <c r="L601" s="278">
        <v>0</v>
      </c>
      <c r="M601" s="279">
        <v>1</v>
      </c>
      <c r="N601" s="277">
        <v>280</v>
      </c>
      <c r="O601" s="280" t="s">
        <v>888</v>
      </c>
      <c r="P601" s="279">
        <v>0</v>
      </c>
      <c r="Q601" s="281">
        <v>0</v>
      </c>
      <c r="R601" s="282" t="s">
        <v>889</v>
      </c>
      <c r="S601" s="274" t="s">
        <v>1502</v>
      </c>
      <c r="T601" s="44">
        <v>1</v>
      </c>
      <c r="U601" s="283">
        <v>55</v>
      </c>
      <c r="V601" s="284">
        <v>26</v>
      </c>
      <c r="W601" s="285">
        <v>2560</v>
      </c>
      <c r="X601" s="286">
        <v>2023</v>
      </c>
      <c r="Y601" s="287">
        <v>2</v>
      </c>
      <c r="Z601" s="287" t="s">
        <v>889</v>
      </c>
      <c r="AA601" s="286" t="s">
        <v>889</v>
      </c>
      <c r="AB601" s="287">
        <v>0</v>
      </c>
      <c r="AC601" s="287"/>
      <c r="AD601" s="288" t="s">
        <v>889</v>
      </c>
      <c r="AE601" s="289" t="s">
        <v>889</v>
      </c>
      <c r="AF601" s="279">
        <v>2</v>
      </c>
      <c r="AG601" s="282">
        <v>44874</v>
      </c>
      <c r="AH601" s="282">
        <v>39944</v>
      </c>
      <c r="AI601" s="282">
        <v>44845</v>
      </c>
      <c r="AJ601" s="282" t="s">
        <v>889</v>
      </c>
      <c r="AK601" s="274"/>
    </row>
    <row r="602" spans="1:37" x14ac:dyDescent="0.3">
      <c r="A602" s="273">
        <v>110889</v>
      </c>
      <c r="B602" s="274" t="s">
        <v>1675</v>
      </c>
      <c r="C602" s="146" t="s">
        <v>272</v>
      </c>
      <c r="D602" s="275">
        <v>27.99</v>
      </c>
      <c r="E602" s="274"/>
      <c r="F602" s="274"/>
      <c r="G602" s="274" t="s">
        <v>889</v>
      </c>
      <c r="H602" s="276">
        <v>80</v>
      </c>
      <c r="I602" s="24">
        <v>103003</v>
      </c>
      <c r="J602" s="277">
        <v>27.99</v>
      </c>
      <c r="K602" s="276">
        <v>220</v>
      </c>
      <c r="L602" s="278">
        <v>4.3644298963447898</v>
      </c>
      <c r="M602" s="279">
        <v>0</v>
      </c>
      <c r="N602" s="277">
        <v>0</v>
      </c>
      <c r="O602" s="280" t="s">
        <v>888</v>
      </c>
      <c r="P602" s="279">
        <v>0</v>
      </c>
      <c r="Q602" s="281">
        <v>0</v>
      </c>
      <c r="R602" s="282" t="s">
        <v>889</v>
      </c>
      <c r="S602" s="274" t="s">
        <v>1676</v>
      </c>
      <c r="T602" s="44">
        <v>1</v>
      </c>
      <c r="U602" s="283">
        <v>55</v>
      </c>
      <c r="V602" s="284">
        <v>19</v>
      </c>
      <c r="W602" s="285">
        <v>1929</v>
      </c>
      <c r="X602" s="286">
        <v>2023</v>
      </c>
      <c r="Y602" s="287">
        <v>200</v>
      </c>
      <c r="Z602" s="287" t="s">
        <v>889</v>
      </c>
      <c r="AA602" s="286" t="s">
        <v>889</v>
      </c>
      <c r="AB602" s="287">
        <v>0</v>
      </c>
      <c r="AC602" s="287"/>
      <c r="AD602" s="288" t="s">
        <v>889</v>
      </c>
      <c r="AE602" s="289" t="s">
        <v>889</v>
      </c>
      <c r="AF602" s="279">
        <v>74</v>
      </c>
      <c r="AG602" s="282">
        <v>40288</v>
      </c>
      <c r="AH602" s="282">
        <v>39944</v>
      </c>
      <c r="AI602" s="282">
        <v>40252</v>
      </c>
      <c r="AJ602" s="282" t="s">
        <v>889</v>
      </c>
      <c r="AK602" s="274"/>
    </row>
    <row r="603" spans="1:37" x14ac:dyDescent="0.3">
      <c r="A603" s="273">
        <v>110889</v>
      </c>
      <c r="B603" s="274" t="s">
        <v>1675</v>
      </c>
      <c r="C603" s="146" t="s">
        <v>272</v>
      </c>
      <c r="D603" s="275">
        <v>27.99</v>
      </c>
      <c r="E603" s="274"/>
      <c r="F603" s="274"/>
      <c r="G603" s="274" t="s">
        <v>889</v>
      </c>
      <c r="H603" s="276">
        <v>80</v>
      </c>
      <c r="I603" s="24">
        <v>103003</v>
      </c>
      <c r="J603" s="277">
        <v>27.99</v>
      </c>
      <c r="K603" s="276">
        <v>220</v>
      </c>
      <c r="L603" s="278">
        <v>4.3644298963447898</v>
      </c>
      <c r="M603" s="279">
        <v>39.96</v>
      </c>
      <c r="N603" s="277">
        <v>1118.4803999999999</v>
      </c>
      <c r="O603" s="280" t="s">
        <v>888</v>
      </c>
      <c r="P603" s="279">
        <v>0</v>
      </c>
      <c r="Q603" s="281">
        <v>0</v>
      </c>
      <c r="R603" s="282" t="s">
        <v>889</v>
      </c>
      <c r="S603" s="274" t="s">
        <v>1676</v>
      </c>
      <c r="T603" s="44">
        <v>1</v>
      </c>
      <c r="U603" s="283">
        <v>55</v>
      </c>
      <c r="V603" s="284">
        <v>19</v>
      </c>
      <c r="W603" s="285">
        <v>2956</v>
      </c>
      <c r="X603" s="286">
        <v>2023</v>
      </c>
      <c r="Y603" s="287">
        <v>100</v>
      </c>
      <c r="Z603" s="287" t="s">
        <v>889</v>
      </c>
      <c r="AA603" s="286" t="s">
        <v>889</v>
      </c>
      <c r="AB603" s="287">
        <v>0</v>
      </c>
      <c r="AC603" s="287"/>
      <c r="AD603" s="288" t="s">
        <v>889</v>
      </c>
      <c r="AE603" s="289" t="s">
        <v>889</v>
      </c>
      <c r="AF603" s="279">
        <v>74</v>
      </c>
      <c r="AG603" s="282">
        <v>40288</v>
      </c>
      <c r="AH603" s="282">
        <v>39944</v>
      </c>
      <c r="AI603" s="282">
        <v>40252</v>
      </c>
      <c r="AJ603" s="282" t="s">
        <v>889</v>
      </c>
      <c r="AK603" s="274"/>
    </row>
    <row r="604" spans="1:37" x14ac:dyDescent="0.3">
      <c r="A604" s="273">
        <v>110892</v>
      </c>
      <c r="B604" s="274" t="s">
        <v>1677</v>
      </c>
      <c r="C604" s="146" t="s">
        <v>263</v>
      </c>
      <c r="D604" s="275">
        <v>9.9</v>
      </c>
      <c r="E604" s="274"/>
      <c r="F604" s="274"/>
      <c r="G604" s="274" t="s">
        <v>889</v>
      </c>
      <c r="H604" s="276">
        <v>154</v>
      </c>
      <c r="I604" s="24">
        <v>103003</v>
      </c>
      <c r="J604" s="277">
        <v>9.9</v>
      </c>
      <c r="K604" s="276">
        <v>35</v>
      </c>
      <c r="L604" s="278">
        <v>52.739726027397261</v>
      </c>
      <c r="M604" s="279">
        <v>0</v>
      </c>
      <c r="N604" s="277">
        <v>0</v>
      </c>
      <c r="O604" s="280" t="s">
        <v>888</v>
      </c>
      <c r="P604" s="279">
        <v>0</v>
      </c>
      <c r="Q604" s="281">
        <v>0</v>
      </c>
      <c r="R604" s="282" t="s">
        <v>889</v>
      </c>
      <c r="S604" s="274" t="s">
        <v>1103</v>
      </c>
      <c r="T604" s="44">
        <v>1</v>
      </c>
      <c r="U604" s="283">
        <v>55</v>
      </c>
      <c r="V604" s="284">
        <v>35</v>
      </c>
      <c r="W604" s="285" t="s">
        <v>889</v>
      </c>
      <c r="X604" s="286" t="s">
        <v>889</v>
      </c>
      <c r="Y604" s="287">
        <v>0</v>
      </c>
      <c r="Z604" s="287" t="s">
        <v>889</v>
      </c>
      <c r="AA604" s="286" t="s">
        <v>889</v>
      </c>
      <c r="AB604" s="287">
        <v>0</v>
      </c>
      <c r="AC604" s="287"/>
      <c r="AD604" s="288" t="s">
        <v>889</v>
      </c>
      <c r="AE604" s="289" t="s">
        <v>889</v>
      </c>
      <c r="AF604" s="279">
        <v>12</v>
      </c>
      <c r="AG604" s="282">
        <v>41577</v>
      </c>
      <c r="AH604" s="282">
        <v>39944</v>
      </c>
      <c r="AI604" s="282">
        <v>43859</v>
      </c>
      <c r="AJ604" s="282" t="s">
        <v>889</v>
      </c>
      <c r="AK604" s="274"/>
    </row>
    <row r="605" spans="1:37" x14ac:dyDescent="0.3">
      <c r="A605" s="273">
        <v>110893</v>
      </c>
      <c r="B605" s="274" t="s">
        <v>1678</v>
      </c>
      <c r="C605" s="146" t="s">
        <v>263</v>
      </c>
      <c r="D605" s="275">
        <v>8</v>
      </c>
      <c r="E605" s="274"/>
      <c r="F605" s="274"/>
      <c r="G605" s="274" t="s">
        <v>889</v>
      </c>
      <c r="H605" s="276">
        <v>119</v>
      </c>
      <c r="I605" s="24">
        <v>103003</v>
      </c>
      <c r="J605" s="277">
        <v>8</v>
      </c>
      <c r="K605" s="276">
        <v>35</v>
      </c>
      <c r="L605" s="278">
        <v>40.753424657534246</v>
      </c>
      <c r="M605" s="279">
        <v>0</v>
      </c>
      <c r="N605" s="277">
        <v>0</v>
      </c>
      <c r="O605" s="280" t="s">
        <v>888</v>
      </c>
      <c r="P605" s="279">
        <v>0</v>
      </c>
      <c r="Q605" s="281">
        <v>0</v>
      </c>
      <c r="R605" s="282" t="s">
        <v>889</v>
      </c>
      <c r="S605" s="274" t="s">
        <v>1103</v>
      </c>
      <c r="T605" s="44">
        <v>1</v>
      </c>
      <c r="U605" s="283">
        <v>55</v>
      </c>
      <c r="V605" s="284">
        <v>35</v>
      </c>
      <c r="W605" s="285">
        <v>2956</v>
      </c>
      <c r="X605" s="286">
        <v>2023</v>
      </c>
      <c r="Y605" s="287">
        <v>40</v>
      </c>
      <c r="Z605" s="287" t="s">
        <v>889</v>
      </c>
      <c r="AA605" s="286" t="s">
        <v>889</v>
      </c>
      <c r="AB605" s="287">
        <v>0</v>
      </c>
      <c r="AC605" s="287"/>
      <c r="AD605" s="288" t="s">
        <v>889</v>
      </c>
      <c r="AE605" s="289" t="s">
        <v>889</v>
      </c>
      <c r="AF605" s="279">
        <v>12</v>
      </c>
      <c r="AG605" s="282">
        <v>44348</v>
      </c>
      <c r="AH605" s="282">
        <v>39944</v>
      </c>
      <c r="AI605" s="282">
        <v>44333</v>
      </c>
      <c r="AJ605" s="282" t="s">
        <v>889</v>
      </c>
      <c r="AK605" s="274"/>
    </row>
    <row r="606" spans="1:37" x14ac:dyDescent="0.3">
      <c r="A606" s="273">
        <v>110895</v>
      </c>
      <c r="B606" s="274" t="s">
        <v>1679</v>
      </c>
      <c r="C606" s="146" t="s">
        <v>263</v>
      </c>
      <c r="D606" s="275">
        <v>4.45</v>
      </c>
      <c r="E606" s="274"/>
      <c r="F606" s="274"/>
      <c r="G606" s="274" t="s">
        <v>889</v>
      </c>
      <c r="H606" s="276">
        <v>193</v>
      </c>
      <c r="I606" s="24">
        <v>103003</v>
      </c>
      <c r="J606" s="277">
        <v>4.45</v>
      </c>
      <c r="K606" s="276">
        <v>182</v>
      </c>
      <c r="L606" s="278">
        <v>11.577684463107378</v>
      </c>
      <c r="M606" s="279">
        <v>7.04</v>
      </c>
      <c r="N606" s="277">
        <v>31.327999999999999</v>
      </c>
      <c r="O606" s="280" t="s">
        <v>888</v>
      </c>
      <c r="P606" s="279">
        <v>0</v>
      </c>
      <c r="Q606" s="281">
        <v>0</v>
      </c>
      <c r="R606" s="282" t="s">
        <v>889</v>
      </c>
      <c r="S606" s="274" t="s">
        <v>987</v>
      </c>
      <c r="T606" s="44">
        <v>1</v>
      </c>
      <c r="U606" s="283">
        <v>55</v>
      </c>
      <c r="V606" s="284">
        <v>7</v>
      </c>
      <c r="W606" s="285" t="s">
        <v>889</v>
      </c>
      <c r="X606" s="286" t="s">
        <v>889</v>
      </c>
      <c r="Y606" s="287">
        <v>0</v>
      </c>
      <c r="Z606" s="287" t="s">
        <v>889</v>
      </c>
      <c r="AA606" s="286" t="s">
        <v>889</v>
      </c>
      <c r="AB606" s="287">
        <v>0</v>
      </c>
      <c r="AC606" s="287"/>
      <c r="AD606" s="288" t="s">
        <v>889</v>
      </c>
      <c r="AE606" s="289" t="s">
        <v>889</v>
      </c>
      <c r="AF606" s="279">
        <v>66</v>
      </c>
      <c r="AG606" s="282">
        <v>44638</v>
      </c>
      <c r="AH606" s="282">
        <v>39944</v>
      </c>
      <c r="AI606" s="282">
        <v>44616</v>
      </c>
      <c r="AJ606" s="282" t="s">
        <v>889</v>
      </c>
      <c r="AK606" s="274"/>
    </row>
    <row r="607" spans="1:37" x14ac:dyDescent="0.3">
      <c r="A607" s="273">
        <v>110896</v>
      </c>
      <c r="B607" s="274" t="s">
        <v>1680</v>
      </c>
      <c r="C607" s="146" t="s">
        <v>263</v>
      </c>
      <c r="D607" s="275">
        <v>6.4</v>
      </c>
      <c r="E607" s="274"/>
      <c r="F607" s="274"/>
      <c r="G607" s="274" t="s">
        <v>889</v>
      </c>
      <c r="H607" s="276">
        <v>22</v>
      </c>
      <c r="I607" s="24">
        <v>103003</v>
      </c>
      <c r="J607" s="277">
        <v>6.4</v>
      </c>
      <c r="K607" s="276">
        <v>32</v>
      </c>
      <c r="L607" s="278">
        <v>8</v>
      </c>
      <c r="M607" s="279">
        <v>11</v>
      </c>
      <c r="N607" s="277">
        <v>70.400000000000006</v>
      </c>
      <c r="O607" s="280" t="s">
        <v>888</v>
      </c>
      <c r="P607" s="279">
        <v>0</v>
      </c>
      <c r="Q607" s="281">
        <v>0</v>
      </c>
      <c r="R607" s="282" t="s">
        <v>889</v>
      </c>
      <c r="S607" s="274" t="s">
        <v>987</v>
      </c>
      <c r="T607" s="44">
        <v>1</v>
      </c>
      <c r="U607" s="283">
        <v>55</v>
      </c>
      <c r="V607" s="284">
        <v>7</v>
      </c>
      <c r="W607" s="285" t="s">
        <v>889</v>
      </c>
      <c r="X607" s="286" t="s">
        <v>889</v>
      </c>
      <c r="Y607" s="287">
        <v>0</v>
      </c>
      <c r="Z607" s="287" t="s">
        <v>889</v>
      </c>
      <c r="AA607" s="286" t="s">
        <v>889</v>
      </c>
      <c r="AB607" s="287">
        <v>0</v>
      </c>
      <c r="AC607" s="287"/>
      <c r="AD607" s="288" t="s">
        <v>889</v>
      </c>
      <c r="AE607" s="289" t="s">
        <v>889</v>
      </c>
      <c r="AF607" s="279">
        <v>12</v>
      </c>
      <c r="AG607" s="282">
        <v>43812</v>
      </c>
      <c r="AH607" s="282">
        <v>39944</v>
      </c>
      <c r="AI607" s="282">
        <v>43783</v>
      </c>
      <c r="AJ607" s="282" t="s">
        <v>889</v>
      </c>
      <c r="AK607" s="274"/>
    </row>
    <row r="608" spans="1:37" x14ac:dyDescent="0.3">
      <c r="A608" s="273">
        <v>111336</v>
      </c>
      <c r="B608" s="274" t="s">
        <v>1681</v>
      </c>
      <c r="C608" s="146" t="s">
        <v>345</v>
      </c>
      <c r="D608" s="275">
        <v>270</v>
      </c>
      <c r="E608" s="274"/>
      <c r="F608" s="274"/>
      <c r="G608" s="274" t="s">
        <v>889</v>
      </c>
      <c r="H608" s="276">
        <v>622</v>
      </c>
      <c r="I608" s="24">
        <v>103003</v>
      </c>
      <c r="J608" s="277">
        <v>270</v>
      </c>
      <c r="K608" s="276">
        <v>446</v>
      </c>
      <c r="L608" s="278">
        <v>15.981500513874614</v>
      </c>
      <c r="M608" s="279">
        <v>0</v>
      </c>
      <c r="N608" s="277">
        <v>0</v>
      </c>
      <c r="O608" s="280" t="s">
        <v>888</v>
      </c>
      <c r="P608" s="279">
        <v>0</v>
      </c>
      <c r="Q608" s="281">
        <v>0</v>
      </c>
      <c r="R608" s="282" t="s">
        <v>889</v>
      </c>
      <c r="S608" s="274" t="s">
        <v>1371</v>
      </c>
      <c r="T608" s="44">
        <v>1</v>
      </c>
      <c r="U608" s="283">
        <v>69</v>
      </c>
      <c r="V608" s="284">
        <v>17</v>
      </c>
      <c r="W608" s="285" t="s">
        <v>889</v>
      </c>
      <c r="X608" s="286" t="s">
        <v>889</v>
      </c>
      <c r="Y608" s="287">
        <v>0</v>
      </c>
      <c r="Z608" s="287" t="s">
        <v>889</v>
      </c>
      <c r="AA608" s="286" t="s">
        <v>889</v>
      </c>
      <c r="AB608" s="287">
        <v>0</v>
      </c>
      <c r="AC608" s="287"/>
      <c r="AD608" s="288" t="s">
        <v>889</v>
      </c>
      <c r="AE608" s="289" t="s">
        <v>889</v>
      </c>
      <c r="AF608" s="279">
        <v>156</v>
      </c>
      <c r="AG608" s="282">
        <v>45163</v>
      </c>
      <c r="AH608" s="282">
        <v>39981</v>
      </c>
      <c r="AI608" s="282">
        <v>45156</v>
      </c>
      <c r="AJ608" s="282" t="s">
        <v>889</v>
      </c>
      <c r="AK608" s="274"/>
    </row>
    <row r="609" spans="1:37" x14ac:dyDescent="0.3">
      <c r="A609" s="273">
        <v>111524</v>
      </c>
      <c r="B609" s="274" t="s">
        <v>1682</v>
      </c>
      <c r="C609" s="146" t="s">
        <v>263</v>
      </c>
      <c r="D609" s="275">
        <v>40</v>
      </c>
      <c r="E609" s="274"/>
      <c r="F609" s="274"/>
      <c r="G609" s="274" t="s">
        <v>889</v>
      </c>
      <c r="H609" s="276">
        <v>89</v>
      </c>
      <c r="I609" s="24">
        <v>103003</v>
      </c>
      <c r="J609" s="277">
        <v>40</v>
      </c>
      <c r="K609" s="276">
        <v>330</v>
      </c>
      <c r="L609" s="278">
        <v>2.6176470588235299</v>
      </c>
      <c r="M609" s="279">
        <v>319</v>
      </c>
      <c r="N609" s="277">
        <v>12760</v>
      </c>
      <c r="O609" s="280" t="s">
        <v>888</v>
      </c>
      <c r="P609" s="279">
        <v>0</v>
      </c>
      <c r="Q609" s="281">
        <v>0</v>
      </c>
      <c r="R609" s="282" t="s">
        <v>889</v>
      </c>
      <c r="S609" s="274" t="s">
        <v>1015</v>
      </c>
      <c r="T609" s="44">
        <v>1</v>
      </c>
      <c r="U609" s="283">
        <v>61</v>
      </c>
      <c r="V609" s="284">
        <v>14</v>
      </c>
      <c r="W609" s="285" t="s">
        <v>889</v>
      </c>
      <c r="X609" s="286" t="s">
        <v>889</v>
      </c>
      <c r="Y609" s="287">
        <v>0</v>
      </c>
      <c r="Z609" s="287" t="s">
        <v>889</v>
      </c>
      <c r="AA609" s="286" t="s">
        <v>889</v>
      </c>
      <c r="AB609" s="287">
        <v>0</v>
      </c>
      <c r="AC609" s="287"/>
      <c r="AD609" s="288" t="s">
        <v>889</v>
      </c>
      <c r="AE609" s="289" t="s">
        <v>889</v>
      </c>
      <c r="AF609" s="279">
        <v>136</v>
      </c>
      <c r="AG609" s="282">
        <v>45166</v>
      </c>
      <c r="AH609" s="282">
        <v>39988</v>
      </c>
      <c r="AI609" s="282">
        <v>45145</v>
      </c>
      <c r="AJ609" s="282" t="s">
        <v>889</v>
      </c>
      <c r="AK609" s="274"/>
    </row>
    <row r="610" spans="1:37" x14ac:dyDescent="0.3">
      <c r="A610" s="273">
        <v>111806</v>
      </c>
      <c r="B610" s="274" t="s">
        <v>1683</v>
      </c>
      <c r="C610" s="146" t="s">
        <v>263</v>
      </c>
      <c r="D610" s="275">
        <v>2.1</v>
      </c>
      <c r="E610" s="274"/>
      <c r="F610" s="274"/>
      <c r="G610" s="274" t="s">
        <v>889</v>
      </c>
      <c r="H610" s="276">
        <v>0</v>
      </c>
      <c r="I610" s="24">
        <v>103003</v>
      </c>
      <c r="J610" s="277">
        <v>2.1</v>
      </c>
      <c r="K610" s="276">
        <v>1215</v>
      </c>
      <c r="L610" s="278">
        <v>0</v>
      </c>
      <c r="M610" s="279">
        <v>0</v>
      </c>
      <c r="N610" s="277">
        <v>0</v>
      </c>
      <c r="O610" s="280" t="s">
        <v>888</v>
      </c>
      <c r="P610" s="279">
        <v>0</v>
      </c>
      <c r="Q610" s="281">
        <v>0</v>
      </c>
      <c r="R610" s="282" t="s">
        <v>889</v>
      </c>
      <c r="S610" s="274" t="s">
        <v>990</v>
      </c>
      <c r="T610" s="44">
        <v>1</v>
      </c>
      <c r="U610" s="283">
        <v>55</v>
      </c>
      <c r="V610" s="284">
        <v>32</v>
      </c>
      <c r="W610" s="285">
        <v>10087</v>
      </c>
      <c r="X610" s="286">
        <v>2023</v>
      </c>
      <c r="Y610" s="287">
        <v>2000</v>
      </c>
      <c r="Z610" s="287" t="s">
        <v>889</v>
      </c>
      <c r="AA610" s="286" t="s">
        <v>889</v>
      </c>
      <c r="AB610" s="287">
        <v>0</v>
      </c>
      <c r="AC610" s="287"/>
      <c r="AD610" s="288" t="s">
        <v>889</v>
      </c>
      <c r="AE610" s="289" t="s">
        <v>889</v>
      </c>
      <c r="AF610" s="279">
        <v>406</v>
      </c>
      <c r="AG610" s="282">
        <v>44631</v>
      </c>
      <c r="AH610" s="282">
        <v>40011</v>
      </c>
      <c r="AI610" s="282">
        <v>44616</v>
      </c>
      <c r="AJ610" s="282" t="s">
        <v>889</v>
      </c>
      <c r="AK610" s="274"/>
    </row>
    <row r="611" spans="1:37" x14ac:dyDescent="0.3">
      <c r="A611" s="273">
        <v>111841</v>
      </c>
      <c r="B611" s="274" t="s">
        <v>1684</v>
      </c>
      <c r="C611" s="146" t="s">
        <v>31</v>
      </c>
      <c r="D611" s="275">
        <v>379.88</v>
      </c>
      <c r="E611" s="274"/>
      <c r="F611" s="274"/>
      <c r="G611" s="274" t="s">
        <v>889</v>
      </c>
      <c r="H611" s="276">
        <v>21</v>
      </c>
      <c r="I611" s="24">
        <v>103003</v>
      </c>
      <c r="J611" s="277">
        <v>379.88</v>
      </c>
      <c r="K611" s="276">
        <v>6</v>
      </c>
      <c r="L611" s="278">
        <v>42</v>
      </c>
      <c r="M611" s="279">
        <v>0</v>
      </c>
      <c r="N611" s="277">
        <v>0</v>
      </c>
      <c r="O611" s="280" t="s">
        <v>888</v>
      </c>
      <c r="P611" s="279">
        <v>0</v>
      </c>
      <c r="Q611" s="281">
        <v>0</v>
      </c>
      <c r="R611" s="282" t="s">
        <v>889</v>
      </c>
      <c r="S611" s="274" t="s">
        <v>1660</v>
      </c>
      <c r="T611" s="44">
        <v>1</v>
      </c>
      <c r="U611" s="283">
        <v>55</v>
      </c>
      <c r="V611" s="284">
        <v>30</v>
      </c>
      <c r="W611" s="285" t="s">
        <v>889</v>
      </c>
      <c r="X611" s="286" t="s">
        <v>889</v>
      </c>
      <c r="Y611" s="287">
        <v>0</v>
      </c>
      <c r="Z611" s="287" t="s">
        <v>889</v>
      </c>
      <c r="AA611" s="286" t="s">
        <v>889</v>
      </c>
      <c r="AB611" s="287">
        <v>0</v>
      </c>
      <c r="AC611" s="287"/>
      <c r="AD611" s="288" t="s">
        <v>889</v>
      </c>
      <c r="AE611" s="289" t="s">
        <v>889</v>
      </c>
      <c r="AF611" s="279">
        <v>2</v>
      </c>
      <c r="AG611" s="282">
        <v>44043</v>
      </c>
      <c r="AH611" s="282">
        <v>40015</v>
      </c>
      <c r="AI611" s="282">
        <v>44028</v>
      </c>
      <c r="AJ611" s="282" t="s">
        <v>889</v>
      </c>
      <c r="AK611" s="274"/>
    </row>
    <row r="612" spans="1:37" x14ac:dyDescent="0.3">
      <c r="A612" s="273">
        <v>112109</v>
      </c>
      <c r="B612" s="274" t="s">
        <v>1685</v>
      </c>
      <c r="C612" s="146" t="s">
        <v>335</v>
      </c>
      <c r="D612" s="275">
        <v>5.5</v>
      </c>
      <c r="E612" s="274"/>
      <c r="F612" s="274"/>
      <c r="G612" s="274" t="s">
        <v>889</v>
      </c>
      <c r="H612" s="276">
        <v>12614</v>
      </c>
      <c r="I612" s="24">
        <v>103003</v>
      </c>
      <c r="J612" s="277">
        <v>5.5</v>
      </c>
      <c r="K612" s="276">
        <v>13138</v>
      </c>
      <c r="L612" s="278">
        <v>6.6096561553536439</v>
      </c>
      <c r="M612" s="279">
        <v>10287.040000000001</v>
      </c>
      <c r="N612" s="277">
        <v>56578.720000000001</v>
      </c>
      <c r="O612" s="280" t="s">
        <v>888</v>
      </c>
      <c r="P612" s="279">
        <v>0</v>
      </c>
      <c r="Q612" s="281">
        <v>0</v>
      </c>
      <c r="R612" s="282" t="s">
        <v>889</v>
      </c>
      <c r="S612" s="274" t="s">
        <v>1444</v>
      </c>
      <c r="T612" s="44">
        <v>1</v>
      </c>
      <c r="U612" s="283">
        <v>72</v>
      </c>
      <c r="V612" s="284">
        <v>8</v>
      </c>
      <c r="W612" s="285" t="s">
        <v>889</v>
      </c>
      <c r="X612" s="286" t="s">
        <v>889</v>
      </c>
      <c r="Y612" s="287">
        <v>0</v>
      </c>
      <c r="Z612" s="287" t="s">
        <v>889</v>
      </c>
      <c r="AA612" s="286" t="s">
        <v>889</v>
      </c>
      <c r="AB612" s="287">
        <v>0</v>
      </c>
      <c r="AC612" s="287"/>
      <c r="AD612" s="288" t="s">
        <v>889</v>
      </c>
      <c r="AE612" s="289" t="s">
        <v>889</v>
      </c>
      <c r="AF612" s="279">
        <v>7634</v>
      </c>
      <c r="AG612" s="282">
        <v>44886</v>
      </c>
      <c r="AH612" s="282">
        <v>40043</v>
      </c>
      <c r="AI612" s="282">
        <v>44854</v>
      </c>
      <c r="AJ612" s="282" t="s">
        <v>889</v>
      </c>
      <c r="AK612" s="274"/>
    </row>
    <row r="613" spans="1:37" x14ac:dyDescent="0.3">
      <c r="A613" s="273">
        <v>112154</v>
      </c>
      <c r="B613" s="274" t="s">
        <v>1686</v>
      </c>
      <c r="C613" s="146" t="s">
        <v>31</v>
      </c>
      <c r="D613" s="275">
        <v>6.05</v>
      </c>
      <c r="E613" s="274"/>
      <c r="F613" s="274"/>
      <c r="G613" s="274" t="s">
        <v>889</v>
      </c>
      <c r="H613" s="276">
        <v>0</v>
      </c>
      <c r="I613" s="24">
        <v>103003</v>
      </c>
      <c r="J613" s="277">
        <v>6.05</v>
      </c>
      <c r="K613" s="276">
        <v>359</v>
      </c>
      <c r="L613" s="278">
        <v>0</v>
      </c>
      <c r="M613" s="279">
        <v>0</v>
      </c>
      <c r="N613" s="277">
        <v>0</v>
      </c>
      <c r="O613" s="280" t="s">
        <v>888</v>
      </c>
      <c r="P613" s="279">
        <v>0</v>
      </c>
      <c r="Q613" s="281">
        <v>0</v>
      </c>
      <c r="R613" s="282" t="s">
        <v>889</v>
      </c>
      <c r="S613" s="274" t="s">
        <v>1687</v>
      </c>
      <c r="T613" s="44">
        <v>1</v>
      </c>
      <c r="U613" s="283">
        <v>55</v>
      </c>
      <c r="V613" s="284">
        <v>37</v>
      </c>
      <c r="W613" s="285">
        <v>10083</v>
      </c>
      <c r="X613" s="286">
        <v>2023</v>
      </c>
      <c r="Y613" s="287">
        <v>600</v>
      </c>
      <c r="Z613" s="287" t="s">
        <v>889</v>
      </c>
      <c r="AA613" s="286" t="s">
        <v>889</v>
      </c>
      <c r="AB613" s="287">
        <v>0</v>
      </c>
      <c r="AC613" s="287"/>
      <c r="AD613" s="288" t="s">
        <v>889</v>
      </c>
      <c r="AE613" s="289" t="s">
        <v>889</v>
      </c>
      <c r="AF613" s="279">
        <v>140</v>
      </c>
      <c r="AG613" s="282">
        <v>44544</v>
      </c>
      <c r="AH613" s="282">
        <v>40045</v>
      </c>
      <c r="AI613" s="282">
        <v>45195</v>
      </c>
      <c r="AJ613" s="282" t="s">
        <v>889</v>
      </c>
      <c r="AK613" s="274"/>
    </row>
    <row r="614" spans="1:37" x14ac:dyDescent="0.3">
      <c r="A614" s="273">
        <v>112155</v>
      </c>
      <c r="B614" s="274" t="s">
        <v>1688</v>
      </c>
      <c r="C614" s="146" t="s">
        <v>31</v>
      </c>
      <c r="D614" s="275">
        <v>6.09</v>
      </c>
      <c r="E614" s="274"/>
      <c r="F614" s="274"/>
      <c r="G614" s="274" t="s">
        <v>889</v>
      </c>
      <c r="H614" s="276">
        <v>0</v>
      </c>
      <c r="I614" s="24">
        <v>103003</v>
      </c>
      <c r="J614" s="277">
        <v>6.09</v>
      </c>
      <c r="K614" s="276">
        <v>252</v>
      </c>
      <c r="L614" s="278">
        <v>0</v>
      </c>
      <c r="M614" s="279">
        <v>161.96</v>
      </c>
      <c r="N614" s="277">
        <v>986.33640000000003</v>
      </c>
      <c r="O614" s="280" t="s">
        <v>888</v>
      </c>
      <c r="P614" s="279">
        <v>0</v>
      </c>
      <c r="Q614" s="281">
        <v>0</v>
      </c>
      <c r="R614" s="282" t="s">
        <v>889</v>
      </c>
      <c r="S614" s="274" t="s">
        <v>1687</v>
      </c>
      <c r="T614" s="44">
        <v>1</v>
      </c>
      <c r="U614" s="283">
        <v>55</v>
      </c>
      <c r="V614" s="284">
        <v>37</v>
      </c>
      <c r="W614" s="285">
        <v>9003</v>
      </c>
      <c r="X614" s="286">
        <v>2023</v>
      </c>
      <c r="Y614" s="287">
        <v>100</v>
      </c>
      <c r="Z614" s="287" t="s">
        <v>889</v>
      </c>
      <c r="AA614" s="286" t="s">
        <v>889</v>
      </c>
      <c r="AB614" s="287">
        <v>0</v>
      </c>
      <c r="AC614" s="287"/>
      <c r="AD614" s="288" t="s">
        <v>889</v>
      </c>
      <c r="AE614" s="289" t="s">
        <v>889</v>
      </c>
      <c r="AF614" s="279">
        <v>88</v>
      </c>
      <c r="AG614" s="282">
        <v>44951</v>
      </c>
      <c r="AH614" s="282">
        <v>40045</v>
      </c>
      <c r="AI614" s="282">
        <v>45195</v>
      </c>
      <c r="AJ614" s="282" t="s">
        <v>889</v>
      </c>
      <c r="AK614" s="274"/>
    </row>
    <row r="615" spans="1:37" x14ac:dyDescent="0.3">
      <c r="A615" s="273">
        <v>112156</v>
      </c>
      <c r="B615" s="274" t="s">
        <v>1689</v>
      </c>
      <c r="C615" s="146" t="s">
        <v>31</v>
      </c>
      <c r="D615" s="275">
        <v>3.8</v>
      </c>
      <c r="E615" s="274"/>
      <c r="F615" s="274"/>
      <c r="G615" s="274" t="s">
        <v>889</v>
      </c>
      <c r="H615" s="276">
        <v>112</v>
      </c>
      <c r="I615" s="24">
        <v>103003</v>
      </c>
      <c r="J615" s="277">
        <v>3.8</v>
      </c>
      <c r="K615" s="276">
        <v>440</v>
      </c>
      <c r="L615" s="278">
        <v>2.5943942552698638</v>
      </c>
      <c r="M615" s="279">
        <v>206.04</v>
      </c>
      <c r="N615" s="277">
        <v>782.952</v>
      </c>
      <c r="O615" s="280" t="s">
        <v>888</v>
      </c>
      <c r="P615" s="279">
        <v>0</v>
      </c>
      <c r="Q615" s="281">
        <v>0</v>
      </c>
      <c r="R615" s="282" t="s">
        <v>889</v>
      </c>
      <c r="S615" s="274" t="s">
        <v>1687</v>
      </c>
      <c r="T615" s="44">
        <v>1</v>
      </c>
      <c r="U615" s="283">
        <v>55</v>
      </c>
      <c r="V615" s="284">
        <v>37</v>
      </c>
      <c r="W615" s="285">
        <v>2649</v>
      </c>
      <c r="X615" s="286">
        <v>2023</v>
      </c>
      <c r="Y615" s="287">
        <v>200</v>
      </c>
      <c r="Z615" s="287" t="s">
        <v>889</v>
      </c>
      <c r="AA615" s="286" t="s">
        <v>889</v>
      </c>
      <c r="AB615" s="287">
        <v>0</v>
      </c>
      <c r="AC615" s="287"/>
      <c r="AD615" s="288" t="s">
        <v>889</v>
      </c>
      <c r="AE615" s="289" t="s">
        <v>889</v>
      </c>
      <c r="AF615" s="279">
        <v>172</v>
      </c>
      <c r="AG615" s="282">
        <v>44855</v>
      </c>
      <c r="AH615" s="282">
        <v>40045</v>
      </c>
      <c r="AI615" s="282">
        <v>44845</v>
      </c>
      <c r="AJ615" s="282" t="s">
        <v>889</v>
      </c>
      <c r="AK615" s="274"/>
    </row>
    <row r="616" spans="1:37" x14ac:dyDescent="0.3">
      <c r="A616" s="273">
        <v>112157</v>
      </c>
      <c r="B616" s="274" t="s">
        <v>1690</v>
      </c>
      <c r="C616" s="146" t="s">
        <v>31</v>
      </c>
      <c r="D616" s="275">
        <v>5.69</v>
      </c>
      <c r="E616" s="274"/>
      <c r="F616" s="274"/>
      <c r="G616" s="274" t="s">
        <v>889</v>
      </c>
      <c r="H616" s="276">
        <v>53</v>
      </c>
      <c r="I616" s="24">
        <v>103003</v>
      </c>
      <c r="J616" s="277">
        <v>5.69</v>
      </c>
      <c r="K616" s="276">
        <v>64</v>
      </c>
      <c r="L616" s="278">
        <v>9.9437148217636029</v>
      </c>
      <c r="M616" s="279">
        <v>10.96</v>
      </c>
      <c r="N616" s="277">
        <v>62.362400000000001</v>
      </c>
      <c r="O616" s="280" t="s">
        <v>888</v>
      </c>
      <c r="P616" s="279">
        <v>0</v>
      </c>
      <c r="Q616" s="281">
        <v>0</v>
      </c>
      <c r="R616" s="282" t="s">
        <v>889</v>
      </c>
      <c r="S616" s="274" t="s">
        <v>1687</v>
      </c>
      <c r="T616" s="44">
        <v>1</v>
      </c>
      <c r="U616" s="283">
        <v>55</v>
      </c>
      <c r="V616" s="284">
        <v>37</v>
      </c>
      <c r="W616" s="285" t="s">
        <v>889</v>
      </c>
      <c r="X616" s="286" t="s">
        <v>889</v>
      </c>
      <c r="Y616" s="287">
        <v>0</v>
      </c>
      <c r="Z616" s="287" t="s">
        <v>889</v>
      </c>
      <c r="AA616" s="286" t="s">
        <v>889</v>
      </c>
      <c r="AB616" s="287">
        <v>0</v>
      </c>
      <c r="AC616" s="287"/>
      <c r="AD616" s="288" t="s">
        <v>889</v>
      </c>
      <c r="AE616" s="289" t="s">
        <v>889</v>
      </c>
      <c r="AF616" s="279">
        <v>22</v>
      </c>
      <c r="AG616" s="282">
        <v>44224</v>
      </c>
      <c r="AH616" s="282">
        <v>40045</v>
      </c>
      <c r="AI616" s="282">
        <v>44725</v>
      </c>
      <c r="AJ616" s="282" t="s">
        <v>889</v>
      </c>
      <c r="AK616" s="274"/>
    </row>
    <row r="617" spans="1:37" x14ac:dyDescent="0.3">
      <c r="A617" s="273">
        <v>112158</v>
      </c>
      <c r="B617" s="274" t="s">
        <v>1691</v>
      </c>
      <c r="C617" s="146" t="s">
        <v>31</v>
      </c>
      <c r="D617" s="275">
        <v>9.49</v>
      </c>
      <c r="E617" s="274"/>
      <c r="F617" s="274"/>
      <c r="G617" s="274" t="s">
        <v>889</v>
      </c>
      <c r="H617" s="276">
        <v>198</v>
      </c>
      <c r="I617" s="24">
        <v>103003</v>
      </c>
      <c r="J617" s="277">
        <v>9.49</v>
      </c>
      <c r="K617" s="276">
        <v>154</v>
      </c>
      <c r="L617" s="278">
        <v>12.244897959183673</v>
      </c>
      <c r="M617" s="279">
        <v>0</v>
      </c>
      <c r="N617" s="277">
        <v>0</v>
      </c>
      <c r="O617" s="280" t="s">
        <v>888</v>
      </c>
      <c r="P617" s="279">
        <v>0</v>
      </c>
      <c r="Q617" s="281">
        <v>0</v>
      </c>
      <c r="R617" s="282" t="s">
        <v>889</v>
      </c>
      <c r="S617" s="274" t="s">
        <v>987</v>
      </c>
      <c r="T617" s="44">
        <v>1</v>
      </c>
      <c r="U617" s="283">
        <v>55</v>
      </c>
      <c r="V617" s="284">
        <v>7</v>
      </c>
      <c r="W617" s="285" t="s">
        <v>889</v>
      </c>
      <c r="X617" s="286" t="s">
        <v>889</v>
      </c>
      <c r="Y617" s="287">
        <v>0</v>
      </c>
      <c r="Z617" s="287" t="s">
        <v>889</v>
      </c>
      <c r="AA617" s="286" t="s">
        <v>889</v>
      </c>
      <c r="AB617" s="287">
        <v>0</v>
      </c>
      <c r="AC617" s="287"/>
      <c r="AD617" s="288" t="s">
        <v>889</v>
      </c>
      <c r="AE617" s="289" t="s">
        <v>889</v>
      </c>
      <c r="AF617" s="279">
        <v>64</v>
      </c>
      <c r="AG617" s="282">
        <v>44544</v>
      </c>
      <c r="AH617" s="282">
        <v>40045</v>
      </c>
      <c r="AI617" s="282">
        <v>44516</v>
      </c>
      <c r="AJ617" s="282" t="s">
        <v>889</v>
      </c>
      <c r="AK617" s="274"/>
    </row>
    <row r="618" spans="1:37" x14ac:dyDescent="0.3">
      <c r="A618" s="273">
        <v>112159</v>
      </c>
      <c r="B618" s="274" t="s">
        <v>1692</v>
      </c>
      <c r="C618" s="146" t="s">
        <v>31</v>
      </c>
      <c r="D618" s="275">
        <v>17.48</v>
      </c>
      <c r="E618" s="274"/>
      <c r="F618" s="274"/>
      <c r="G618" s="274" t="s">
        <v>889</v>
      </c>
      <c r="H618" s="276">
        <v>306</v>
      </c>
      <c r="I618" s="24">
        <v>103003</v>
      </c>
      <c r="J618" s="277">
        <v>17.48</v>
      </c>
      <c r="K618" s="276">
        <v>52</v>
      </c>
      <c r="L618" s="278">
        <v>70.669745958429559</v>
      </c>
      <c r="M618" s="279">
        <v>0</v>
      </c>
      <c r="N618" s="277">
        <v>0</v>
      </c>
      <c r="O618" s="280" t="s">
        <v>888</v>
      </c>
      <c r="P618" s="279">
        <v>0</v>
      </c>
      <c r="Q618" s="281">
        <v>0</v>
      </c>
      <c r="R618" s="282" t="s">
        <v>889</v>
      </c>
      <c r="S618" s="274" t="s">
        <v>987</v>
      </c>
      <c r="T618" s="44">
        <v>1</v>
      </c>
      <c r="U618" s="283">
        <v>55</v>
      </c>
      <c r="V618" s="284">
        <v>7</v>
      </c>
      <c r="W618" s="285" t="s">
        <v>889</v>
      </c>
      <c r="X618" s="286" t="s">
        <v>889</v>
      </c>
      <c r="Y618" s="287">
        <v>0</v>
      </c>
      <c r="Z618" s="287" t="s">
        <v>889</v>
      </c>
      <c r="AA618" s="286" t="s">
        <v>889</v>
      </c>
      <c r="AB618" s="287">
        <v>0</v>
      </c>
      <c r="AC618" s="287"/>
      <c r="AD618" s="288" t="s">
        <v>889</v>
      </c>
      <c r="AE618" s="289" t="s">
        <v>889</v>
      </c>
      <c r="AF618" s="279">
        <v>18</v>
      </c>
      <c r="AG618" s="282">
        <v>44544</v>
      </c>
      <c r="AH618" s="282">
        <v>40045</v>
      </c>
      <c r="AI618" s="282">
        <v>44516</v>
      </c>
      <c r="AJ618" s="282" t="s">
        <v>889</v>
      </c>
      <c r="AK618" s="274"/>
    </row>
    <row r="619" spans="1:37" x14ac:dyDescent="0.3">
      <c r="A619" s="273">
        <v>112162</v>
      </c>
      <c r="B619" s="274" t="s">
        <v>1693</v>
      </c>
      <c r="C619" s="146" t="s">
        <v>31</v>
      </c>
      <c r="D619" s="275">
        <v>4.4000000000000004</v>
      </c>
      <c r="E619" s="274"/>
      <c r="F619" s="274"/>
      <c r="G619" s="274" t="s">
        <v>889</v>
      </c>
      <c r="H619" s="276">
        <v>163</v>
      </c>
      <c r="I619" s="24">
        <v>103003</v>
      </c>
      <c r="J619" s="277">
        <v>4.4000000000000004</v>
      </c>
      <c r="K619" s="276">
        <v>122</v>
      </c>
      <c r="L619" s="278">
        <v>16.027531956735498</v>
      </c>
      <c r="M619" s="279">
        <v>0</v>
      </c>
      <c r="N619" s="277">
        <v>0</v>
      </c>
      <c r="O619" s="280" t="s">
        <v>888</v>
      </c>
      <c r="P619" s="279">
        <v>0</v>
      </c>
      <c r="Q619" s="281">
        <v>0</v>
      </c>
      <c r="R619" s="282" t="s">
        <v>889</v>
      </c>
      <c r="S619" s="274" t="s">
        <v>987</v>
      </c>
      <c r="T619" s="44">
        <v>1</v>
      </c>
      <c r="U619" s="283">
        <v>55</v>
      </c>
      <c r="V619" s="284">
        <v>7</v>
      </c>
      <c r="W619" s="285">
        <v>2442</v>
      </c>
      <c r="X619" s="286">
        <v>2023</v>
      </c>
      <c r="Y619" s="287">
        <v>100</v>
      </c>
      <c r="Z619" s="287" t="s">
        <v>889</v>
      </c>
      <c r="AA619" s="286" t="s">
        <v>889</v>
      </c>
      <c r="AB619" s="287">
        <v>0</v>
      </c>
      <c r="AC619" s="287"/>
      <c r="AD619" s="288" t="s">
        <v>889</v>
      </c>
      <c r="AE619" s="289" t="s">
        <v>889</v>
      </c>
      <c r="AF619" s="279">
        <v>40</v>
      </c>
      <c r="AG619" s="282">
        <v>44638</v>
      </c>
      <c r="AH619" s="282">
        <v>40045</v>
      </c>
      <c r="AI619" s="282">
        <v>44616</v>
      </c>
      <c r="AJ619" s="282" t="s">
        <v>889</v>
      </c>
      <c r="AK619" s="274"/>
    </row>
    <row r="620" spans="1:37" x14ac:dyDescent="0.3">
      <c r="A620" s="273">
        <v>112163</v>
      </c>
      <c r="B620" s="274" t="s">
        <v>1694</v>
      </c>
      <c r="C620" s="146" t="s">
        <v>31</v>
      </c>
      <c r="D620" s="275">
        <v>7.0540000000000003</v>
      </c>
      <c r="E620" s="274"/>
      <c r="F620" s="274"/>
      <c r="G620" s="274" t="s">
        <v>889</v>
      </c>
      <c r="H620" s="276">
        <v>108</v>
      </c>
      <c r="I620" s="24">
        <v>103003</v>
      </c>
      <c r="J620" s="277">
        <v>7.0540000000000003</v>
      </c>
      <c r="K620" s="276">
        <v>565</v>
      </c>
      <c r="L620" s="278">
        <v>1.7396907216494846</v>
      </c>
      <c r="M620" s="279">
        <v>0</v>
      </c>
      <c r="N620" s="277">
        <v>0</v>
      </c>
      <c r="O620" s="280" t="s">
        <v>888</v>
      </c>
      <c r="P620" s="279">
        <v>0</v>
      </c>
      <c r="Q620" s="281">
        <v>0</v>
      </c>
      <c r="R620" s="282" t="s">
        <v>889</v>
      </c>
      <c r="S620" s="274" t="s">
        <v>987</v>
      </c>
      <c r="T620" s="44">
        <v>1</v>
      </c>
      <c r="U620" s="283">
        <v>55</v>
      </c>
      <c r="V620" s="284">
        <v>7</v>
      </c>
      <c r="W620" s="285">
        <v>10087</v>
      </c>
      <c r="X620" s="286">
        <v>2023</v>
      </c>
      <c r="Y620" s="287">
        <v>1000</v>
      </c>
      <c r="Z620" s="287" t="s">
        <v>889</v>
      </c>
      <c r="AA620" s="286" t="s">
        <v>889</v>
      </c>
      <c r="AB620" s="287">
        <v>0</v>
      </c>
      <c r="AC620" s="287"/>
      <c r="AD620" s="288" t="s">
        <v>889</v>
      </c>
      <c r="AE620" s="289" t="s">
        <v>889</v>
      </c>
      <c r="AF620" s="279">
        <v>248</v>
      </c>
      <c r="AG620" s="282">
        <v>44638</v>
      </c>
      <c r="AH620" s="282">
        <v>40045</v>
      </c>
      <c r="AI620" s="282">
        <v>45191</v>
      </c>
      <c r="AJ620" s="282" t="s">
        <v>889</v>
      </c>
      <c r="AK620" s="274"/>
    </row>
    <row r="621" spans="1:37" x14ac:dyDescent="0.3">
      <c r="A621" s="273">
        <v>112494</v>
      </c>
      <c r="B621" s="274" t="s">
        <v>1695</v>
      </c>
      <c r="C621" s="146" t="s">
        <v>31</v>
      </c>
      <c r="D621" s="275">
        <v>4.8</v>
      </c>
      <c r="E621" s="274"/>
      <c r="F621" s="274"/>
      <c r="G621" s="274" t="s">
        <v>889</v>
      </c>
      <c r="H621" s="276">
        <v>376</v>
      </c>
      <c r="I621" s="24">
        <v>103003</v>
      </c>
      <c r="J621" s="277">
        <v>4.8</v>
      </c>
      <c r="K621" s="276">
        <v>57</v>
      </c>
      <c r="L621" s="278">
        <v>79.15789473684211</v>
      </c>
      <c r="M621" s="279">
        <v>0</v>
      </c>
      <c r="N621" s="277">
        <v>0</v>
      </c>
      <c r="O621" s="280" t="s">
        <v>888</v>
      </c>
      <c r="P621" s="279">
        <v>0</v>
      </c>
      <c r="Q621" s="281">
        <v>0</v>
      </c>
      <c r="R621" s="282" t="s">
        <v>889</v>
      </c>
      <c r="S621" s="274" t="s">
        <v>1103</v>
      </c>
      <c r="T621" s="44">
        <v>1</v>
      </c>
      <c r="U621" s="283">
        <v>55</v>
      </c>
      <c r="V621" s="284">
        <v>35</v>
      </c>
      <c r="W621" s="285" t="s">
        <v>889</v>
      </c>
      <c r="X621" s="286" t="s">
        <v>889</v>
      </c>
      <c r="Y621" s="287">
        <v>0</v>
      </c>
      <c r="Z621" s="287" t="s">
        <v>889</v>
      </c>
      <c r="AA621" s="286" t="s">
        <v>889</v>
      </c>
      <c r="AB621" s="287">
        <v>0</v>
      </c>
      <c r="AC621" s="287"/>
      <c r="AD621" s="288" t="s">
        <v>889</v>
      </c>
      <c r="AE621" s="289" t="s">
        <v>889</v>
      </c>
      <c r="AF621" s="279">
        <v>20</v>
      </c>
      <c r="AG621" s="282">
        <v>44536</v>
      </c>
      <c r="AH621" s="282">
        <v>40064</v>
      </c>
      <c r="AI621" s="282">
        <v>44516</v>
      </c>
      <c r="AJ621" s="282" t="s">
        <v>889</v>
      </c>
      <c r="AK621" s="274"/>
    </row>
    <row r="622" spans="1:37" x14ac:dyDescent="0.3">
      <c r="A622" s="273">
        <v>113238</v>
      </c>
      <c r="B622" s="274" t="s">
        <v>1696</v>
      </c>
      <c r="C622" s="146" t="s">
        <v>1607</v>
      </c>
      <c r="D622" s="275">
        <v>1166.6600000000001</v>
      </c>
      <c r="E622" s="274"/>
      <c r="F622" s="274"/>
      <c r="G622" s="274" t="s">
        <v>889</v>
      </c>
      <c r="H622" s="276">
        <v>48</v>
      </c>
      <c r="I622" s="24">
        <v>103003</v>
      </c>
      <c r="J622" s="277">
        <v>1166.6600000000001</v>
      </c>
      <c r="K622" s="276">
        <v>14</v>
      </c>
      <c r="L622" s="278">
        <v>36.090225563909776</v>
      </c>
      <c r="M622" s="279">
        <v>0</v>
      </c>
      <c r="N622" s="277">
        <v>0</v>
      </c>
      <c r="O622" s="280" t="s">
        <v>888</v>
      </c>
      <c r="P622" s="279">
        <v>0</v>
      </c>
      <c r="Q622" s="281">
        <v>0</v>
      </c>
      <c r="R622" s="282" t="s">
        <v>889</v>
      </c>
      <c r="S622" s="274" t="s">
        <v>1076</v>
      </c>
      <c r="T622" s="44">
        <v>1</v>
      </c>
      <c r="U622" s="283">
        <v>55</v>
      </c>
      <c r="V622" s="284">
        <v>27</v>
      </c>
      <c r="W622" s="285" t="s">
        <v>889</v>
      </c>
      <c r="X622" s="286" t="s">
        <v>889</v>
      </c>
      <c r="Y622" s="287">
        <v>0</v>
      </c>
      <c r="Z622" s="287" t="s">
        <v>889</v>
      </c>
      <c r="AA622" s="286" t="s">
        <v>889</v>
      </c>
      <c r="AB622" s="287">
        <v>0</v>
      </c>
      <c r="AC622" s="287"/>
      <c r="AD622" s="288" t="s">
        <v>889</v>
      </c>
      <c r="AE622" s="289" t="s">
        <v>889</v>
      </c>
      <c r="AF622" s="279">
        <v>6</v>
      </c>
      <c r="AG622" s="282">
        <v>44536</v>
      </c>
      <c r="AH622" s="282">
        <v>40113</v>
      </c>
      <c r="AI622" s="282">
        <v>44516</v>
      </c>
      <c r="AJ622" s="282" t="s">
        <v>889</v>
      </c>
      <c r="AK622" s="274"/>
    </row>
    <row r="623" spans="1:37" x14ac:dyDescent="0.3">
      <c r="A623" s="273">
        <v>113242</v>
      </c>
      <c r="B623" s="274" t="s">
        <v>1697</v>
      </c>
      <c r="C623" s="146" t="s">
        <v>31</v>
      </c>
      <c r="D623" s="275">
        <v>6.25</v>
      </c>
      <c r="E623" s="274"/>
      <c r="F623" s="274"/>
      <c r="G623" s="274" t="s">
        <v>889</v>
      </c>
      <c r="H623" s="276">
        <v>100</v>
      </c>
      <c r="I623" s="24">
        <v>103003</v>
      </c>
      <c r="J623" s="277">
        <v>6.25</v>
      </c>
      <c r="K623" s="276">
        <v>59</v>
      </c>
      <c r="L623" s="278">
        <v>20.325203252032519</v>
      </c>
      <c r="M623" s="279">
        <v>0</v>
      </c>
      <c r="N623" s="277">
        <v>0</v>
      </c>
      <c r="O623" s="280" t="s">
        <v>888</v>
      </c>
      <c r="P623" s="279">
        <v>0</v>
      </c>
      <c r="Q623" s="281">
        <v>0</v>
      </c>
      <c r="R623" s="282" t="s">
        <v>889</v>
      </c>
      <c r="S623" s="274" t="s">
        <v>1103</v>
      </c>
      <c r="T623" s="44">
        <v>1</v>
      </c>
      <c r="U623" s="283">
        <v>55</v>
      </c>
      <c r="V623" s="284">
        <v>35</v>
      </c>
      <c r="W623" s="285">
        <v>2956</v>
      </c>
      <c r="X623" s="286">
        <v>2023</v>
      </c>
      <c r="Y623" s="287">
        <v>50</v>
      </c>
      <c r="Z623" s="287" t="s">
        <v>889</v>
      </c>
      <c r="AA623" s="286" t="s">
        <v>889</v>
      </c>
      <c r="AB623" s="287">
        <v>0</v>
      </c>
      <c r="AC623" s="287"/>
      <c r="AD623" s="288" t="s">
        <v>889</v>
      </c>
      <c r="AE623" s="289" t="s">
        <v>889</v>
      </c>
      <c r="AF623" s="279">
        <v>20</v>
      </c>
      <c r="AG623" s="282">
        <v>44530</v>
      </c>
      <c r="AH623" s="282">
        <v>40113</v>
      </c>
      <c r="AI623" s="282">
        <v>44393</v>
      </c>
      <c r="AJ623" s="282" t="s">
        <v>889</v>
      </c>
      <c r="AK623" s="274"/>
    </row>
    <row r="624" spans="1:37" x14ac:dyDescent="0.3">
      <c r="A624" s="273">
        <v>113581</v>
      </c>
      <c r="B624" s="274" t="s">
        <v>1698</v>
      </c>
      <c r="C624" s="146" t="s">
        <v>263</v>
      </c>
      <c r="D624" s="275">
        <v>4.9800000000000004</v>
      </c>
      <c r="E624" s="274"/>
      <c r="F624" s="274"/>
      <c r="G624" s="274" t="s">
        <v>889</v>
      </c>
      <c r="H624" s="276">
        <v>729</v>
      </c>
      <c r="I624" s="24">
        <v>103003</v>
      </c>
      <c r="J624" s="277">
        <v>4.9800000000000004</v>
      </c>
      <c r="K624" s="276">
        <v>316</v>
      </c>
      <c r="L624" s="278">
        <v>21.813285457809695</v>
      </c>
      <c r="M624" s="279">
        <v>0</v>
      </c>
      <c r="N624" s="277">
        <v>0</v>
      </c>
      <c r="O624" s="280" t="s">
        <v>888</v>
      </c>
      <c r="P624" s="279">
        <v>0</v>
      </c>
      <c r="Q624" s="281">
        <v>0</v>
      </c>
      <c r="R624" s="282" t="s">
        <v>889</v>
      </c>
      <c r="S624" s="274" t="s">
        <v>1011</v>
      </c>
      <c r="T624" s="44">
        <v>1</v>
      </c>
      <c r="U624" s="283">
        <v>61</v>
      </c>
      <c r="V624" s="284">
        <v>15</v>
      </c>
      <c r="W624" s="285" t="s">
        <v>889</v>
      </c>
      <c r="X624" s="286" t="s">
        <v>889</v>
      </c>
      <c r="Y624" s="287">
        <v>0</v>
      </c>
      <c r="Z624" s="287" t="s">
        <v>889</v>
      </c>
      <c r="AA624" s="286" t="s">
        <v>889</v>
      </c>
      <c r="AB624" s="287">
        <v>0</v>
      </c>
      <c r="AC624" s="287"/>
      <c r="AD624" s="288" t="s">
        <v>889</v>
      </c>
      <c r="AE624" s="289" t="s">
        <v>889</v>
      </c>
      <c r="AF624" s="279">
        <v>134</v>
      </c>
      <c r="AG624" s="282">
        <v>45184</v>
      </c>
      <c r="AH624" s="282">
        <v>40143</v>
      </c>
      <c r="AI624" s="282">
        <v>45145</v>
      </c>
      <c r="AJ624" s="282" t="s">
        <v>889</v>
      </c>
      <c r="AK624" s="274"/>
    </row>
    <row r="625" spans="1:37" x14ac:dyDescent="0.3">
      <c r="A625" s="273">
        <v>113634</v>
      </c>
      <c r="B625" s="274" t="s">
        <v>1699</v>
      </c>
      <c r="C625" s="146" t="s">
        <v>31</v>
      </c>
      <c r="D625" s="275">
        <v>15.25</v>
      </c>
      <c r="E625" s="274"/>
      <c r="F625" s="274"/>
      <c r="G625" s="274" t="s">
        <v>889</v>
      </c>
      <c r="H625" s="276">
        <v>63</v>
      </c>
      <c r="I625" s="24">
        <v>103003</v>
      </c>
      <c r="J625" s="277">
        <v>15.25</v>
      </c>
      <c r="K625" s="276">
        <v>4</v>
      </c>
      <c r="L625" s="278">
        <v>190.90909090909091</v>
      </c>
      <c r="M625" s="279">
        <v>0</v>
      </c>
      <c r="N625" s="277">
        <v>0</v>
      </c>
      <c r="O625" s="280" t="s">
        <v>888</v>
      </c>
      <c r="P625" s="279">
        <v>0</v>
      </c>
      <c r="Q625" s="281">
        <v>0</v>
      </c>
      <c r="R625" s="282" t="s">
        <v>889</v>
      </c>
      <c r="S625" s="274" t="s">
        <v>985</v>
      </c>
      <c r="T625" s="44">
        <v>1</v>
      </c>
      <c r="U625" s="283">
        <v>55</v>
      </c>
      <c r="V625" s="284">
        <v>31</v>
      </c>
      <c r="W625" s="285" t="s">
        <v>889</v>
      </c>
      <c r="X625" s="286" t="s">
        <v>889</v>
      </c>
      <c r="Y625" s="287">
        <v>0</v>
      </c>
      <c r="Z625" s="287" t="s">
        <v>889</v>
      </c>
      <c r="AA625" s="286" t="s">
        <v>889</v>
      </c>
      <c r="AB625" s="287">
        <v>0</v>
      </c>
      <c r="AC625" s="287"/>
      <c r="AD625" s="288" t="s">
        <v>889</v>
      </c>
      <c r="AE625" s="289" t="s">
        <v>889</v>
      </c>
      <c r="AF625" s="279">
        <v>2</v>
      </c>
      <c r="AG625" s="282">
        <v>43916</v>
      </c>
      <c r="AH625" s="282">
        <v>40150</v>
      </c>
      <c r="AI625" s="282">
        <v>43865</v>
      </c>
      <c r="AJ625" s="282" t="s">
        <v>889</v>
      </c>
      <c r="AK625" s="274"/>
    </row>
    <row r="626" spans="1:37" x14ac:dyDescent="0.3">
      <c r="A626" s="273">
        <v>113846</v>
      </c>
      <c r="B626" s="274" t="s">
        <v>1700</v>
      </c>
      <c r="C626" s="146" t="s">
        <v>611</v>
      </c>
      <c r="D626" s="275">
        <v>2.93</v>
      </c>
      <c r="E626" s="274"/>
      <c r="F626" s="274"/>
      <c r="G626" s="274" t="s">
        <v>889</v>
      </c>
      <c r="H626" s="276">
        <v>2255</v>
      </c>
      <c r="I626" s="24">
        <v>103003</v>
      </c>
      <c r="J626" s="277">
        <v>2.93</v>
      </c>
      <c r="K626" s="276">
        <v>997</v>
      </c>
      <c r="L626" s="278">
        <v>23.8422499471347</v>
      </c>
      <c r="M626" s="279">
        <v>0</v>
      </c>
      <c r="N626" s="277">
        <v>0</v>
      </c>
      <c r="O626" s="280" t="s">
        <v>888</v>
      </c>
      <c r="P626" s="279">
        <v>0</v>
      </c>
      <c r="Q626" s="281">
        <v>0</v>
      </c>
      <c r="R626" s="282" t="s">
        <v>889</v>
      </c>
      <c r="S626" s="274" t="s">
        <v>1308</v>
      </c>
      <c r="T626" s="44">
        <v>1</v>
      </c>
      <c r="U626" s="283">
        <v>51</v>
      </c>
      <c r="V626" s="284">
        <v>19</v>
      </c>
      <c r="W626" s="285" t="s">
        <v>889</v>
      </c>
      <c r="X626" s="286" t="s">
        <v>889</v>
      </c>
      <c r="Y626" s="287">
        <v>0</v>
      </c>
      <c r="Z626" s="287" t="s">
        <v>889</v>
      </c>
      <c r="AA626" s="286" t="s">
        <v>889</v>
      </c>
      <c r="AB626" s="287">
        <v>0</v>
      </c>
      <c r="AC626" s="287"/>
      <c r="AD626" s="288" t="s">
        <v>889</v>
      </c>
      <c r="AE626" s="289" t="s">
        <v>889</v>
      </c>
      <c r="AF626" s="279">
        <v>378</v>
      </c>
      <c r="AG626" s="282">
        <v>45201</v>
      </c>
      <c r="AH626" s="282">
        <v>40198</v>
      </c>
      <c r="AI626" s="282">
        <v>45161</v>
      </c>
      <c r="AJ626" s="282" t="s">
        <v>889</v>
      </c>
      <c r="AK626" s="274"/>
    </row>
    <row r="627" spans="1:37" x14ac:dyDescent="0.3">
      <c r="A627" s="273">
        <v>114297</v>
      </c>
      <c r="B627" s="274" t="s">
        <v>1701</v>
      </c>
      <c r="C627" s="146" t="s">
        <v>263</v>
      </c>
      <c r="D627" s="275">
        <v>2.06</v>
      </c>
      <c r="E627" s="274"/>
      <c r="F627" s="274"/>
      <c r="G627" s="274" t="s">
        <v>889</v>
      </c>
      <c r="H627" s="276">
        <v>4224</v>
      </c>
      <c r="I627" s="24">
        <v>103003</v>
      </c>
      <c r="J627" s="277">
        <v>2.06</v>
      </c>
      <c r="K627" s="276">
        <v>53</v>
      </c>
      <c r="L627" s="278">
        <v>955.65610859728497</v>
      </c>
      <c r="M627" s="279">
        <v>0</v>
      </c>
      <c r="N627" s="277">
        <v>0</v>
      </c>
      <c r="O627" s="280" t="s">
        <v>888</v>
      </c>
      <c r="P627" s="279">
        <v>0</v>
      </c>
      <c r="Q627" s="281">
        <v>0</v>
      </c>
      <c r="R627" s="282" t="s">
        <v>889</v>
      </c>
      <c r="S627" s="274" t="s">
        <v>1274</v>
      </c>
      <c r="T627" s="44">
        <v>1</v>
      </c>
      <c r="U627" s="283">
        <v>51</v>
      </c>
      <c r="V627" s="284">
        <v>17</v>
      </c>
      <c r="W627" s="285" t="s">
        <v>889</v>
      </c>
      <c r="X627" s="286" t="s">
        <v>889</v>
      </c>
      <c r="Y627" s="287">
        <v>0</v>
      </c>
      <c r="Z627" s="287" t="s">
        <v>889</v>
      </c>
      <c r="AA627" s="286" t="s">
        <v>889</v>
      </c>
      <c r="AB627" s="287">
        <v>0</v>
      </c>
      <c r="AC627" s="287"/>
      <c r="AD627" s="288" t="s">
        <v>889</v>
      </c>
      <c r="AE627" s="289" t="s">
        <v>889</v>
      </c>
      <c r="AF627" s="279">
        <v>18</v>
      </c>
      <c r="AG627" s="282">
        <v>42552</v>
      </c>
      <c r="AH627" s="282">
        <v>40240</v>
      </c>
      <c r="AI627" s="282">
        <v>42543</v>
      </c>
      <c r="AJ627" s="282" t="s">
        <v>889</v>
      </c>
      <c r="AK627" s="274"/>
    </row>
    <row r="628" spans="1:37" x14ac:dyDescent="0.3">
      <c r="A628" s="273">
        <v>114299</v>
      </c>
      <c r="B628" s="274" t="s">
        <v>1702</v>
      </c>
      <c r="C628" s="146" t="s">
        <v>263</v>
      </c>
      <c r="D628" s="275">
        <v>16.850000000000001</v>
      </c>
      <c r="E628" s="274"/>
      <c r="F628" s="274"/>
      <c r="G628" s="274" t="s">
        <v>889</v>
      </c>
      <c r="H628" s="276">
        <v>174</v>
      </c>
      <c r="I628" s="24">
        <v>103003</v>
      </c>
      <c r="J628" s="277">
        <v>16.850000000000001</v>
      </c>
      <c r="K628" s="276"/>
      <c r="L628" s="278">
        <v>0</v>
      </c>
      <c r="M628" s="279">
        <v>0</v>
      </c>
      <c r="N628" s="277">
        <v>0</v>
      </c>
      <c r="O628" s="280" t="s">
        <v>888</v>
      </c>
      <c r="P628" s="279">
        <v>0</v>
      </c>
      <c r="Q628" s="281">
        <v>0</v>
      </c>
      <c r="R628" s="282" t="s">
        <v>889</v>
      </c>
      <c r="S628" s="274" t="s">
        <v>1274</v>
      </c>
      <c r="T628" s="44">
        <v>1</v>
      </c>
      <c r="U628" s="283">
        <v>51</v>
      </c>
      <c r="V628" s="284">
        <v>17</v>
      </c>
      <c r="W628" s="285" t="s">
        <v>889</v>
      </c>
      <c r="X628" s="286" t="s">
        <v>889</v>
      </c>
      <c r="Y628" s="287">
        <v>0</v>
      </c>
      <c r="Z628" s="287" t="s">
        <v>889</v>
      </c>
      <c r="AA628" s="286" t="s">
        <v>889</v>
      </c>
      <c r="AB628" s="287">
        <v>0</v>
      </c>
      <c r="AC628" s="287"/>
      <c r="AD628" s="288" t="s">
        <v>889</v>
      </c>
      <c r="AE628" s="289" t="s">
        <v>889</v>
      </c>
      <c r="AF628" s="279">
        <v>0</v>
      </c>
      <c r="AG628" s="282">
        <v>43070</v>
      </c>
      <c r="AH628" s="282">
        <v>40240</v>
      </c>
      <c r="AI628" s="282">
        <v>42996</v>
      </c>
      <c r="AJ628" s="282" t="s">
        <v>889</v>
      </c>
      <c r="AK628" s="274"/>
    </row>
    <row r="629" spans="1:37" x14ac:dyDescent="0.3">
      <c r="A629" s="273">
        <v>114430</v>
      </c>
      <c r="B629" s="274" t="s">
        <v>1703</v>
      </c>
      <c r="C629" s="146" t="s">
        <v>31</v>
      </c>
      <c r="D629" s="275">
        <v>25.14</v>
      </c>
      <c r="E629" s="274"/>
      <c r="F629" s="274"/>
      <c r="G629" s="274" t="s">
        <v>889</v>
      </c>
      <c r="H629" s="276">
        <v>132</v>
      </c>
      <c r="I629" s="24">
        <v>103003</v>
      </c>
      <c r="J629" s="277">
        <v>18.645340000000001</v>
      </c>
      <c r="K629" s="276">
        <v>269</v>
      </c>
      <c r="L629" s="278">
        <v>3.9699248120300754</v>
      </c>
      <c r="M629" s="279">
        <v>267</v>
      </c>
      <c r="N629" s="277">
        <v>6712.38</v>
      </c>
      <c r="O629" s="280" t="s">
        <v>888</v>
      </c>
      <c r="P629" s="279">
        <v>0</v>
      </c>
      <c r="Q629" s="281">
        <v>0</v>
      </c>
      <c r="R629" s="282" t="s">
        <v>889</v>
      </c>
      <c r="S629" s="274" t="s">
        <v>1704</v>
      </c>
      <c r="T629" s="44">
        <v>1</v>
      </c>
      <c r="U629" s="283">
        <v>62</v>
      </c>
      <c r="V629" s="284">
        <v>25</v>
      </c>
      <c r="W629" s="285" t="s">
        <v>889</v>
      </c>
      <c r="X629" s="286" t="s">
        <v>889</v>
      </c>
      <c r="Y629" s="287">
        <v>0</v>
      </c>
      <c r="Z629" s="287" t="s">
        <v>889</v>
      </c>
      <c r="AA629" s="286" t="s">
        <v>889</v>
      </c>
      <c r="AB629" s="287">
        <v>0</v>
      </c>
      <c r="AC629" s="287"/>
      <c r="AD629" s="288" t="s">
        <v>889</v>
      </c>
      <c r="AE629" s="289" t="s">
        <v>889</v>
      </c>
      <c r="AF629" s="279">
        <v>134</v>
      </c>
      <c r="AG629" s="282">
        <v>45167</v>
      </c>
      <c r="AH629" s="282">
        <v>40249</v>
      </c>
      <c r="AI629" s="282">
        <v>45153</v>
      </c>
      <c r="AJ629" s="282" t="s">
        <v>889</v>
      </c>
      <c r="AK629" s="274"/>
    </row>
    <row r="630" spans="1:37" x14ac:dyDescent="0.3">
      <c r="A630" s="273">
        <v>114771</v>
      </c>
      <c r="B630" s="274" t="s">
        <v>1705</v>
      </c>
      <c r="C630" s="146" t="s">
        <v>263</v>
      </c>
      <c r="D630" s="275">
        <v>40.35</v>
      </c>
      <c r="E630" s="274"/>
      <c r="F630" s="274"/>
      <c r="G630" s="274" t="s">
        <v>889</v>
      </c>
      <c r="H630" s="276">
        <v>105</v>
      </c>
      <c r="I630" s="24">
        <v>103003</v>
      </c>
      <c r="J630" s="277">
        <v>40.35</v>
      </c>
      <c r="K630" s="276"/>
      <c r="L630" s="278">
        <v>0</v>
      </c>
      <c r="M630" s="279">
        <v>0</v>
      </c>
      <c r="N630" s="277">
        <v>0</v>
      </c>
      <c r="O630" s="280" t="s">
        <v>888</v>
      </c>
      <c r="P630" s="279">
        <v>0</v>
      </c>
      <c r="Q630" s="281">
        <v>0</v>
      </c>
      <c r="R630" s="282" t="s">
        <v>889</v>
      </c>
      <c r="S630" s="274" t="s">
        <v>985</v>
      </c>
      <c r="T630" s="44">
        <v>1</v>
      </c>
      <c r="U630" s="283">
        <v>55</v>
      </c>
      <c r="V630" s="284">
        <v>31</v>
      </c>
      <c r="W630" s="285" t="s">
        <v>889</v>
      </c>
      <c r="X630" s="286" t="s">
        <v>889</v>
      </c>
      <c r="Y630" s="287">
        <v>0</v>
      </c>
      <c r="Z630" s="287" t="s">
        <v>889</v>
      </c>
      <c r="AA630" s="286" t="s">
        <v>889</v>
      </c>
      <c r="AB630" s="287">
        <v>0</v>
      </c>
      <c r="AC630" s="287"/>
      <c r="AD630" s="288" t="s">
        <v>889</v>
      </c>
      <c r="AE630" s="289" t="s">
        <v>889</v>
      </c>
      <c r="AF630" s="279">
        <v>0</v>
      </c>
      <c r="AG630" s="282">
        <v>40581</v>
      </c>
      <c r="AH630" s="282">
        <v>40275</v>
      </c>
      <c r="AI630" s="282">
        <v>40527</v>
      </c>
      <c r="AJ630" s="282" t="s">
        <v>889</v>
      </c>
      <c r="AK630" s="274"/>
    </row>
    <row r="631" spans="1:37" x14ac:dyDescent="0.3">
      <c r="A631" s="273">
        <v>114772</v>
      </c>
      <c r="B631" s="274" t="s">
        <v>1706</v>
      </c>
      <c r="C631" s="146" t="s">
        <v>263</v>
      </c>
      <c r="D631" s="275">
        <v>51.4</v>
      </c>
      <c r="E631" s="274"/>
      <c r="F631" s="274"/>
      <c r="G631" s="274" t="s">
        <v>889</v>
      </c>
      <c r="H631" s="276">
        <v>35</v>
      </c>
      <c r="I631" s="24">
        <v>103003</v>
      </c>
      <c r="J631" s="277">
        <v>51.4</v>
      </c>
      <c r="K631" s="276"/>
      <c r="L631" s="278">
        <v>0</v>
      </c>
      <c r="M631" s="279">
        <v>0</v>
      </c>
      <c r="N631" s="277">
        <v>0</v>
      </c>
      <c r="O631" s="280" t="s">
        <v>888</v>
      </c>
      <c r="P631" s="279">
        <v>0</v>
      </c>
      <c r="Q631" s="281">
        <v>0</v>
      </c>
      <c r="R631" s="282" t="s">
        <v>889</v>
      </c>
      <c r="S631" s="274" t="s">
        <v>985</v>
      </c>
      <c r="T631" s="44">
        <v>1</v>
      </c>
      <c r="U631" s="283">
        <v>55</v>
      </c>
      <c r="V631" s="284">
        <v>31</v>
      </c>
      <c r="W631" s="285" t="s">
        <v>889</v>
      </c>
      <c r="X631" s="286" t="s">
        <v>889</v>
      </c>
      <c r="Y631" s="287">
        <v>0</v>
      </c>
      <c r="Z631" s="287" t="s">
        <v>889</v>
      </c>
      <c r="AA631" s="286" t="s">
        <v>889</v>
      </c>
      <c r="AB631" s="287">
        <v>0</v>
      </c>
      <c r="AC631" s="287"/>
      <c r="AD631" s="288" t="s">
        <v>889</v>
      </c>
      <c r="AE631" s="289" t="s">
        <v>889</v>
      </c>
      <c r="AF631" s="279">
        <v>0</v>
      </c>
      <c r="AG631" s="282">
        <v>40403</v>
      </c>
      <c r="AH631" s="282">
        <v>40275</v>
      </c>
      <c r="AI631" s="282">
        <v>40337</v>
      </c>
      <c r="AJ631" s="282" t="s">
        <v>889</v>
      </c>
      <c r="AK631" s="274"/>
    </row>
    <row r="632" spans="1:37" x14ac:dyDescent="0.3">
      <c r="A632" s="273">
        <v>114773</v>
      </c>
      <c r="B632" s="274" t="s">
        <v>1707</v>
      </c>
      <c r="C632" s="146" t="s">
        <v>263</v>
      </c>
      <c r="D632" s="275">
        <v>151.62</v>
      </c>
      <c r="E632" s="274"/>
      <c r="F632" s="274"/>
      <c r="G632" s="274" t="s">
        <v>889</v>
      </c>
      <c r="H632" s="276">
        <v>11</v>
      </c>
      <c r="I632" s="24">
        <v>103003</v>
      </c>
      <c r="J632" s="277">
        <v>151.62</v>
      </c>
      <c r="K632" s="276">
        <v>10</v>
      </c>
      <c r="L632" s="278">
        <v>13.253012048192772</v>
      </c>
      <c r="M632" s="279">
        <v>0</v>
      </c>
      <c r="N632" s="277">
        <v>0</v>
      </c>
      <c r="O632" s="280" t="s">
        <v>888</v>
      </c>
      <c r="P632" s="279">
        <v>0</v>
      </c>
      <c r="Q632" s="281">
        <v>0</v>
      </c>
      <c r="R632" s="282" t="s">
        <v>889</v>
      </c>
      <c r="S632" s="274" t="s">
        <v>1660</v>
      </c>
      <c r="T632" s="44">
        <v>1</v>
      </c>
      <c r="U632" s="283">
        <v>55</v>
      </c>
      <c r="V632" s="284">
        <v>30</v>
      </c>
      <c r="W632" s="285">
        <v>2956</v>
      </c>
      <c r="X632" s="286">
        <v>2023</v>
      </c>
      <c r="Y632" s="287">
        <v>5</v>
      </c>
      <c r="Z632" s="287" t="s">
        <v>889</v>
      </c>
      <c r="AA632" s="286" t="s">
        <v>889</v>
      </c>
      <c r="AB632" s="287">
        <v>0</v>
      </c>
      <c r="AC632" s="287"/>
      <c r="AD632" s="288" t="s">
        <v>889</v>
      </c>
      <c r="AE632" s="289" t="s">
        <v>889</v>
      </c>
      <c r="AF632" s="279">
        <v>4</v>
      </c>
      <c r="AG632" s="282">
        <v>44628</v>
      </c>
      <c r="AH632" s="282">
        <v>40275</v>
      </c>
      <c r="AI632" s="282">
        <v>44616</v>
      </c>
      <c r="AJ632" s="282" t="s">
        <v>889</v>
      </c>
      <c r="AK632" s="274"/>
    </row>
    <row r="633" spans="1:37" x14ac:dyDescent="0.3">
      <c r="A633" s="273">
        <v>114822</v>
      </c>
      <c r="B633" s="274" t="s">
        <v>1708</v>
      </c>
      <c r="C633" s="146" t="s">
        <v>31</v>
      </c>
      <c r="D633" s="275">
        <v>280</v>
      </c>
      <c r="E633" s="274"/>
      <c r="F633" s="274"/>
      <c r="G633" s="274" t="s">
        <v>889</v>
      </c>
      <c r="H633" s="276">
        <v>39</v>
      </c>
      <c r="I633" s="24">
        <v>103003</v>
      </c>
      <c r="J633" s="277">
        <v>280</v>
      </c>
      <c r="K633" s="276">
        <v>24</v>
      </c>
      <c r="L633" s="278">
        <v>19.5</v>
      </c>
      <c r="M633" s="279">
        <v>0</v>
      </c>
      <c r="N633" s="277">
        <v>0</v>
      </c>
      <c r="O633" s="280" t="s">
        <v>888</v>
      </c>
      <c r="P633" s="279">
        <v>0</v>
      </c>
      <c r="Q633" s="281">
        <v>0</v>
      </c>
      <c r="R633" s="282" t="s">
        <v>889</v>
      </c>
      <c r="S633" s="274" t="s">
        <v>966</v>
      </c>
      <c r="T633" s="44">
        <v>1</v>
      </c>
      <c r="U633" s="283">
        <v>61</v>
      </c>
      <c r="V633" s="284">
        <v>8</v>
      </c>
      <c r="W633" s="285" t="s">
        <v>889</v>
      </c>
      <c r="X633" s="286" t="s">
        <v>889</v>
      </c>
      <c r="Y633" s="287">
        <v>0</v>
      </c>
      <c r="Z633" s="287" t="s">
        <v>889</v>
      </c>
      <c r="AA633" s="286" t="s">
        <v>889</v>
      </c>
      <c r="AB633" s="287">
        <v>0</v>
      </c>
      <c r="AC633" s="287"/>
      <c r="AD633" s="288" t="s">
        <v>889</v>
      </c>
      <c r="AE633" s="289" t="s">
        <v>889</v>
      </c>
      <c r="AF633" s="279">
        <v>8</v>
      </c>
      <c r="AG633" s="282">
        <v>43803</v>
      </c>
      <c r="AH633" s="282">
        <v>40277</v>
      </c>
      <c r="AI633" s="282">
        <v>43788</v>
      </c>
      <c r="AJ633" s="282" t="s">
        <v>889</v>
      </c>
      <c r="AK633" s="274"/>
    </row>
    <row r="634" spans="1:37" x14ac:dyDescent="0.3">
      <c r="A634" s="273">
        <v>114852</v>
      </c>
      <c r="B634" s="274" t="s">
        <v>1709</v>
      </c>
      <c r="C634" s="146" t="s">
        <v>263</v>
      </c>
      <c r="D634" s="275">
        <v>160</v>
      </c>
      <c r="E634" s="274"/>
      <c r="F634" s="274"/>
      <c r="G634" s="274" t="s">
        <v>889</v>
      </c>
      <c r="H634" s="276">
        <v>133</v>
      </c>
      <c r="I634" s="24">
        <v>103003</v>
      </c>
      <c r="J634" s="277">
        <v>160</v>
      </c>
      <c r="K634" s="276">
        <v>69</v>
      </c>
      <c r="L634" s="278">
        <v>9.7938144329896897</v>
      </c>
      <c r="M634" s="279">
        <v>29.96</v>
      </c>
      <c r="N634" s="277">
        <v>4793.6000000000004</v>
      </c>
      <c r="O634" s="280" t="s">
        <v>888</v>
      </c>
      <c r="P634" s="279">
        <v>0</v>
      </c>
      <c r="Q634" s="281">
        <v>0</v>
      </c>
      <c r="R634" s="282" t="s">
        <v>889</v>
      </c>
      <c r="S634" s="274" t="s">
        <v>1339</v>
      </c>
      <c r="T634" s="44">
        <v>1</v>
      </c>
      <c r="U634" s="283">
        <v>74</v>
      </c>
      <c r="V634" s="284">
        <v>3</v>
      </c>
      <c r="W634" s="285" t="s">
        <v>889</v>
      </c>
      <c r="X634" s="286" t="s">
        <v>889</v>
      </c>
      <c r="Y634" s="287">
        <v>0</v>
      </c>
      <c r="Z634" s="287" t="s">
        <v>889</v>
      </c>
      <c r="AA634" s="286" t="s">
        <v>889</v>
      </c>
      <c r="AB634" s="287">
        <v>0</v>
      </c>
      <c r="AC634" s="287"/>
      <c r="AD634" s="288" t="s">
        <v>889</v>
      </c>
      <c r="AE634" s="289" t="s">
        <v>889</v>
      </c>
      <c r="AF634" s="279">
        <v>54</v>
      </c>
      <c r="AG634" s="282">
        <v>44195</v>
      </c>
      <c r="AH634" s="282">
        <v>40280</v>
      </c>
      <c r="AI634" s="282">
        <v>44372</v>
      </c>
      <c r="AJ634" s="282" t="s">
        <v>889</v>
      </c>
      <c r="AK634" s="274"/>
    </row>
    <row r="635" spans="1:37" x14ac:dyDescent="0.3">
      <c r="A635" s="273">
        <v>114853</v>
      </c>
      <c r="B635" s="274" t="s">
        <v>1710</v>
      </c>
      <c r="C635" s="146" t="s">
        <v>263</v>
      </c>
      <c r="D635" s="275">
        <v>168.35</v>
      </c>
      <c r="E635" s="274"/>
      <c r="F635" s="274"/>
      <c r="G635" s="274" t="s">
        <v>889</v>
      </c>
      <c r="H635" s="276">
        <v>161</v>
      </c>
      <c r="I635" s="24">
        <v>103003</v>
      </c>
      <c r="J635" s="277">
        <v>168.35</v>
      </c>
      <c r="K635" s="276">
        <v>47</v>
      </c>
      <c r="L635" s="278">
        <v>41.071428571428569</v>
      </c>
      <c r="M635" s="279">
        <v>0</v>
      </c>
      <c r="N635" s="277">
        <v>0</v>
      </c>
      <c r="O635" s="280" t="s">
        <v>888</v>
      </c>
      <c r="P635" s="279">
        <v>0</v>
      </c>
      <c r="Q635" s="281">
        <v>0</v>
      </c>
      <c r="R635" s="282" t="s">
        <v>889</v>
      </c>
      <c r="S635" s="274" t="s">
        <v>1339</v>
      </c>
      <c r="T635" s="44">
        <v>1</v>
      </c>
      <c r="U635" s="283">
        <v>74</v>
      </c>
      <c r="V635" s="284">
        <v>3</v>
      </c>
      <c r="W635" s="285" t="s">
        <v>889</v>
      </c>
      <c r="X635" s="286" t="s">
        <v>889</v>
      </c>
      <c r="Y635" s="287">
        <v>0</v>
      </c>
      <c r="Z635" s="287" t="s">
        <v>889</v>
      </c>
      <c r="AA635" s="286" t="s">
        <v>889</v>
      </c>
      <c r="AB635" s="287">
        <v>0</v>
      </c>
      <c r="AC635" s="287"/>
      <c r="AD635" s="288" t="s">
        <v>889</v>
      </c>
      <c r="AE635" s="289" t="s">
        <v>889</v>
      </c>
      <c r="AF635" s="279">
        <v>16</v>
      </c>
      <c r="AG635" s="282">
        <v>44165</v>
      </c>
      <c r="AH635" s="282">
        <v>40280</v>
      </c>
      <c r="AI635" s="282">
        <v>44133</v>
      </c>
      <c r="AJ635" s="282" t="s">
        <v>889</v>
      </c>
      <c r="AK635" s="274"/>
    </row>
    <row r="636" spans="1:37" x14ac:dyDescent="0.3">
      <c r="A636" s="273">
        <v>114923</v>
      </c>
      <c r="B636" s="274" t="s">
        <v>1711</v>
      </c>
      <c r="C636" s="146" t="s">
        <v>263</v>
      </c>
      <c r="D636" s="275">
        <v>0.24</v>
      </c>
      <c r="E636" s="274"/>
      <c r="F636" s="274"/>
      <c r="G636" s="274" t="s">
        <v>889</v>
      </c>
      <c r="H636" s="276">
        <v>5742</v>
      </c>
      <c r="I636" s="24">
        <v>103003</v>
      </c>
      <c r="J636" s="277">
        <v>0.24</v>
      </c>
      <c r="K636" s="276">
        <v>1318</v>
      </c>
      <c r="L636" s="278">
        <v>48.118662532472968</v>
      </c>
      <c r="M636" s="279">
        <v>0</v>
      </c>
      <c r="N636" s="277">
        <v>0</v>
      </c>
      <c r="O636" s="280" t="s">
        <v>888</v>
      </c>
      <c r="P636" s="279">
        <v>0</v>
      </c>
      <c r="Q636" s="281">
        <v>0</v>
      </c>
      <c r="R636" s="282" t="s">
        <v>889</v>
      </c>
      <c r="S636" s="274" t="s">
        <v>1451</v>
      </c>
      <c r="T636" s="44">
        <v>1</v>
      </c>
      <c r="U636" s="283">
        <v>67</v>
      </c>
      <c r="V636" s="284">
        <v>18</v>
      </c>
      <c r="W636" s="285" t="s">
        <v>889</v>
      </c>
      <c r="X636" s="286" t="s">
        <v>889</v>
      </c>
      <c r="Y636" s="287">
        <v>0</v>
      </c>
      <c r="Z636" s="287" t="s">
        <v>889</v>
      </c>
      <c r="AA636" s="286" t="s">
        <v>889</v>
      </c>
      <c r="AB636" s="287">
        <v>0</v>
      </c>
      <c r="AC636" s="287"/>
      <c r="AD636" s="288" t="s">
        <v>889</v>
      </c>
      <c r="AE636" s="289" t="s">
        <v>889</v>
      </c>
      <c r="AF636" s="279">
        <v>478</v>
      </c>
      <c r="AG636" s="282">
        <v>44071</v>
      </c>
      <c r="AH636" s="282">
        <v>40288</v>
      </c>
      <c r="AI636" s="282">
        <v>44040</v>
      </c>
      <c r="AJ636" s="282" t="s">
        <v>889</v>
      </c>
      <c r="AK636" s="274"/>
    </row>
    <row r="637" spans="1:37" x14ac:dyDescent="0.3">
      <c r="A637" s="273">
        <v>114976</v>
      </c>
      <c r="B637" s="274" t="s">
        <v>1712</v>
      </c>
      <c r="C637" s="146" t="s">
        <v>272</v>
      </c>
      <c r="D637" s="275">
        <v>90.5</v>
      </c>
      <c r="E637" s="274"/>
      <c r="F637" s="274"/>
      <c r="G637" s="274" t="s">
        <v>889</v>
      </c>
      <c r="H637" s="276">
        <v>634</v>
      </c>
      <c r="I637" s="24">
        <v>103003</v>
      </c>
      <c r="J637" s="277">
        <v>90.5</v>
      </c>
      <c r="K637" s="276">
        <v>53</v>
      </c>
      <c r="L637" s="278">
        <v>143.43891402714931</v>
      </c>
      <c r="M637" s="279">
        <v>0</v>
      </c>
      <c r="N637" s="277">
        <v>0</v>
      </c>
      <c r="O637" s="280" t="s">
        <v>888</v>
      </c>
      <c r="P637" s="279">
        <v>0</v>
      </c>
      <c r="Q637" s="281">
        <v>0</v>
      </c>
      <c r="R637" s="282" t="s">
        <v>889</v>
      </c>
      <c r="S637" s="274" t="s">
        <v>1676</v>
      </c>
      <c r="T637" s="44">
        <v>1</v>
      </c>
      <c r="U637" s="283">
        <v>55</v>
      </c>
      <c r="V637" s="284">
        <v>19</v>
      </c>
      <c r="W637" s="285" t="s">
        <v>889</v>
      </c>
      <c r="X637" s="286" t="s">
        <v>889</v>
      </c>
      <c r="Y637" s="287">
        <v>0</v>
      </c>
      <c r="Z637" s="287" t="s">
        <v>889</v>
      </c>
      <c r="AA637" s="286" t="s">
        <v>889</v>
      </c>
      <c r="AB637" s="287">
        <v>0</v>
      </c>
      <c r="AC637" s="287"/>
      <c r="AD637" s="288" t="s">
        <v>889</v>
      </c>
      <c r="AE637" s="289" t="s">
        <v>889</v>
      </c>
      <c r="AF637" s="279">
        <v>18</v>
      </c>
      <c r="AG637" s="282">
        <v>41884</v>
      </c>
      <c r="AH637" s="282">
        <v>40291</v>
      </c>
      <c r="AI637" s="282">
        <v>43580</v>
      </c>
      <c r="AJ637" s="282" t="s">
        <v>889</v>
      </c>
      <c r="AK637" s="274"/>
    </row>
    <row r="638" spans="1:37" x14ac:dyDescent="0.3">
      <c r="A638" s="273">
        <v>115060</v>
      </c>
      <c r="B638" s="274" t="s">
        <v>1713</v>
      </c>
      <c r="C638" s="146" t="s">
        <v>31</v>
      </c>
      <c r="D638" s="275">
        <v>572.15</v>
      </c>
      <c r="E638" s="274"/>
      <c r="F638" s="274"/>
      <c r="G638" s="274" t="s">
        <v>889</v>
      </c>
      <c r="H638" s="276">
        <v>37</v>
      </c>
      <c r="I638" s="24">
        <v>103003</v>
      </c>
      <c r="J638" s="277">
        <v>572.15</v>
      </c>
      <c r="K638" s="276"/>
      <c r="L638" s="278">
        <v>0</v>
      </c>
      <c r="M638" s="279">
        <v>0</v>
      </c>
      <c r="N638" s="277">
        <v>0</v>
      </c>
      <c r="O638" s="280" t="s">
        <v>888</v>
      </c>
      <c r="P638" s="279">
        <v>0</v>
      </c>
      <c r="Q638" s="281">
        <v>0</v>
      </c>
      <c r="R638" s="282" t="s">
        <v>889</v>
      </c>
      <c r="S638" s="274" t="s">
        <v>1714</v>
      </c>
      <c r="T638" s="44">
        <v>1</v>
      </c>
      <c r="U638" s="283">
        <v>69</v>
      </c>
      <c r="V638" s="284">
        <v>11</v>
      </c>
      <c r="W638" s="285" t="s">
        <v>889</v>
      </c>
      <c r="X638" s="286" t="s">
        <v>889</v>
      </c>
      <c r="Y638" s="287">
        <v>0</v>
      </c>
      <c r="Z638" s="287" t="s">
        <v>889</v>
      </c>
      <c r="AA638" s="286" t="s">
        <v>889</v>
      </c>
      <c r="AB638" s="287">
        <v>0</v>
      </c>
      <c r="AC638" s="287"/>
      <c r="AD638" s="288" t="s">
        <v>889</v>
      </c>
      <c r="AE638" s="289" t="s">
        <v>889</v>
      </c>
      <c r="AF638" s="279">
        <v>0</v>
      </c>
      <c r="AG638" s="282">
        <v>43749</v>
      </c>
      <c r="AH638" s="282">
        <v>40295</v>
      </c>
      <c r="AI638" s="282">
        <v>43997</v>
      </c>
      <c r="AJ638" s="282" t="s">
        <v>889</v>
      </c>
      <c r="AK638" s="274"/>
    </row>
    <row r="639" spans="1:37" x14ac:dyDescent="0.3">
      <c r="A639" s="273">
        <v>115135</v>
      </c>
      <c r="B639" s="274" t="s">
        <v>717</v>
      </c>
      <c r="C639" s="146" t="s">
        <v>263</v>
      </c>
      <c r="D639" s="275">
        <v>15</v>
      </c>
      <c r="E639" s="274"/>
      <c r="F639" s="274"/>
      <c r="G639" s="274" t="s">
        <v>889</v>
      </c>
      <c r="H639" s="276">
        <v>177</v>
      </c>
      <c r="I639" s="24">
        <v>103003</v>
      </c>
      <c r="J639" s="277">
        <v>15</v>
      </c>
      <c r="K639" s="276">
        <v>3</v>
      </c>
      <c r="L639" s="278">
        <v>708</v>
      </c>
      <c r="M639" s="279">
        <v>0</v>
      </c>
      <c r="N639" s="277">
        <v>0</v>
      </c>
      <c r="O639" s="280" t="s">
        <v>888</v>
      </c>
      <c r="P639" s="279">
        <v>0</v>
      </c>
      <c r="Q639" s="281">
        <v>0</v>
      </c>
      <c r="R639" s="282" t="s">
        <v>889</v>
      </c>
      <c r="S639" s="274" t="s">
        <v>1274</v>
      </c>
      <c r="T639" s="44">
        <v>1</v>
      </c>
      <c r="U639" s="283">
        <v>51</v>
      </c>
      <c r="V639" s="284">
        <v>17</v>
      </c>
      <c r="W639" s="285" t="s">
        <v>889</v>
      </c>
      <c r="X639" s="286" t="s">
        <v>889</v>
      </c>
      <c r="Y639" s="287">
        <v>0</v>
      </c>
      <c r="Z639" s="287" t="s">
        <v>889</v>
      </c>
      <c r="AA639" s="286" t="s">
        <v>889</v>
      </c>
      <c r="AB639" s="287">
        <v>0</v>
      </c>
      <c r="AC639" s="287"/>
      <c r="AD639" s="288" t="s">
        <v>889</v>
      </c>
      <c r="AE639" s="289" t="s">
        <v>889</v>
      </c>
      <c r="AF639" s="279">
        <v>2</v>
      </c>
      <c r="AG639" s="282">
        <v>40673</v>
      </c>
      <c r="AH639" s="282">
        <v>40303</v>
      </c>
      <c r="AI639" s="282">
        <v>40613</v>
      </c>
      <c r="AJ639" s="282" t="s">
        <v>889</v>
      </c>
      <c r="AK639" s="274"/>
    </row>
    <row r="640" spans="1:37" x14ac:dyDescent="0.3">
      <c r="A640" s="273">
        <v>115282</v>
      </c>
      <c r="B640" s="274" t="s">
        <v>1715</v>
      </c>
      <c r="C640" s="146" t="s">
        <v>393</v>
      </c>
      <c r="D640" s="275">
        <v>39.9</v>
      </c>
      <c r="E640" s="274"/>
      <c r="F640" s="274"/>
      <c r="G640" s="274" t="s">
        <v>889</v>
      </c>
      <c r="H640" s="276">
        <v>1080</v>
      </c>
      <c r="I640" s="24">
        <v>103003</v>
      </c>
      <c r="J640" s="277">
        <v>39.9</v>
      </c>
      <c r="K640" s="276">
        <v>477</v>
      </c>
      <c r="L640" s="278">
        <v>21.928934010152286</v>
      </c>
      <c r="M640" s="279">
        <v>0</v>
      </c>
      <c r="N640" s="277">
        <v>0</v>
      </c>
      <c r="O640" s="280" t="s">
        <v>888</v>
      </c>
      <c r="P640" s="279">
        <v>0</v>
      </c>
      <c r="Q640" s="281">
        <v>0</v>
      </c>
      <c r="R640" s="282" t="s">
        <v>889</v>
      </c>
      <c r="S640" s="274" t="s">
        <v>1716</v>
      </c>
      <c r="T640" s="44">
        <v>1</v>
      </c>
      <c r="U640" s="283">
        <v>73</v>
      </c>
      <c r="V640" s="284">
        <v>10</v>
      </c>
      <c r="W640" s="285">
        <v>2924</v>
      </c>
      <c r="X640" s="286">
        <v>2023</v>
      </c>
      <c r="Y640" s="287">
        <v>1000</v>
      </c>
      <c r="Z640" s="287" t="s">
        <v>889</v>
      </c>
      <c r="AA640" s="286" t="s">
        <v>889</v>
      </c>
      <c r="AB640" s="287">
        <v>0</v>
      </c>
      <c r="AC640" s="287"/>
      <c r="AD640" s="288" t="s">
        <v>889</v>
      </c>
      <c r="AE640" s="289" t="s">
        <v>889</v>
      </c>
      <c r="AF640" s="279">
        <v>198</v>
      </c>
      <c r="AG640" s="282">
        <v>44914</v>
      </c>
      <c r="AH640" s="282">
        <v>40312</v>
      </c>
      <c r="AI640" s="282">
        <v>45076</v>
      </c>
      <c r="AJ640" s="282" t="s">
        <v>889</v>
      </c>
      <c r="AK640" s="274"/>
    </row>
    <row r="641" spans="1:37" x14ac:dyDescent="0.3">
      <c r="A641" s="273">
        <v>115765</v>
      </c>
      <c r="B641" s="274" t="s">
        <v>1717</v>
      </c>
      <c r="C641" s="146" t="s">
        <v>269</v>
      </c>
      <c r="D641" s="275">
        <v>145</v>
      </c>
      <c r="E641" s="274"/>
      <c r="F641" s="274"/>
      <c r="G641" s="274" t="s">
        <v>889</v>
      </c>
      <c r="H641" s="276">
        <v>766</v>
      </c>
      <c r="I641" s="24">
        <v>103003</v>
      </c>
      <c r="J641" s="277">
        <v>145</v>
      </c>
      <c r="K641" s="276">
        <v>1030</v>
      </c>
      <c r="L641" s="278">
        <v>6.8392857142857144</v>
      </c>
      <c r="M641" s="279">
        <v>578</v>
      </c>
      <c r="N641" s="277">
        <v>83810</v>
      </c>
      <c r="O641" s="280" t="s">
        <v>888</v>
      </c>
      <c r="P641" s="279">
        <v>0</v>
      </c>
      <c r="Q641" s="281">
        <v>0</v>
      </c>
      <c r="R641" s="282" t="s">
        <v>889</v>
      </c>
      <c r="S641" s="274" t="s">
        <v>1718</v>
      </c>
      <c r="T641" s="44">
        <v>1</v>
      </c>
      <c r="U641" s="283">
        <v>45</v>
      </c>
      <c r="V641" s="284">
        <v>20</v>
      </c>
      <c r="W641" s="285" t="s">
        <v>889</v>
      </c>
      <c r="X641" s="286" t="s">
        <v>889</v>
      </c>
      <c r="Y641" s="287">
        <v>0</v>
      </c>
      <c r="Z641" s="287" t="s">
        <v>889</v>
      </c>
      <c r="AA641" s="286" t="s">
        <v>889</v>
      </c>
      <c r="AB641" s="287">
        <v>0</v>
      </c>
      <c r="AC641" s="287"/>
      <c r="AD641" s="288" t="s">
        <v>889</v>
      </c>
      <c r="AE641" s="289" t="s">
        <v>889</v>
      </c>
      <c r="AF641" s="279">
        <v>448</v>
      </c>
      <c r="AG641" s="282">
        <v>44970</v>
      </c>
      <c r="AH641" s="282">
        <v>40347</v>
      </c>
      <c r="AI641" s="282">
        <v>44959</v>
      </c>
      <c r="AJ641" s="282" t="s">
        <v>889</v>
      </c>
      <c r="AK641" s="274"/>
    </row>
    <row r="642" spans="1:37" x14ac:dyDescent="0.3">
      <c r="A642" s="273">
        <v>115805</v>
      </c>
      <c r="B642" s="274" t="s">
        <v>1719</v>
      </c>
      <c r="C642" s="146" t="s">
        <v>263</v>
      </c>
      <c r="D642" s="275">
        <v>37.799999999999997</v>
      </c>
      <c r="E642" s="274"/>
      <c r="F642" s="274"/>
      <c r="G642" s="274" t="s">
        <v>889</v>
      </c>
      <c r="H642" s="276">
        <v>155</v>
      </c>
      <c r="I642" s="24">
        <v>103003</v>
      </c>
      <c r="J642" s="277">
        <v>37.799999999999997</v>
      </c>
      <c r="K642" s="276">
        <v>219</v>
      </c>
      <c r="L642" s="278">
        <v>7.2667604313173939</v>
      </c>
      <c r="M642" s="279">
        <v>100.96</v>
      </c>
      <c r="N642" s="277">
        <v>3816.288</v>
      </c>
      <c r="O642" s="280" t="s">
        <v>888</v>
      </c>
      <c r="P642" s="279">
        <v>0</v>
      </c>
      <c r="Q642" s="281">
        <v>0</v>
      </c>
      <c r="R642" s="282" t="s">
        <v>889</v>
      </c>
      <c r="S642" s="274" t="s">
        <v>1011</v>
      </c>
      <c r="T642" s="44">
        <v>1</v>
      </c>
      <c r="U642" s="283">
        <v>61</v>
      </c>
      <c r="V642" s="284">
        <v>15</v>
      </c>
      <c r="W642" s="285" t="s">
        <v>889</v>
      </c>
      <c r="X642" s="286" t="s">
        <v>889</v>
      </c>
      <c r="Y642" s="287">
        <v>0</v>
      </c>
      <c r="Z642" s="287" t="s">
        <v>889</v>
      </c>
      <c r="AA642" s="286" t="s">
        <v>889</v>
      </c>
      <c r="AB642" s="287">
        <v>0</v>
      </c>
      <c r="AC642" s="287"/>
      <c r="AD642" s="288" t="s">
        <v>889</v>
      </c>
      <c r="AE642" s="289" t="s">
        <v>889</v>
      </c>
      <c r="AF642" s="279">
        <v>86</v>
      </c>
      <c r="AG642" s="282">
        <v>45156</v>
      </c>
      <c r="AH642" s="282">
        <v>40352</v>
      </c>
      <c r="AI642" s="282">
        <v>45145</v>
      </c>
      <c r="AJ642" s="282" t="s">
        <v>889</v>
      </c>
      <c r="AK642" s="274"/>
    </row>
    <row r="643" spans="1:37" x14ac:dyDescent="0.3">
      <c r="A643" s="273">
        <v>115807</v>
      </c>
      <c r="B643" s="274" t="s">
        <v>1720</v>
      </c>
      <c r="C643" s="146" t="s">
        <v>31</v>
      </c>
      <c r="D643" s="275">
        <v>332.59</v>
      </c>
      <c r="E643" s="274"/>
      <c r="F643" s="274"/>
      <c r="G643" s="274" t="s">
        <v>889</v>
      </c>
      <c r="H643" s="276">
        <v>0</v>
      </c>
      <c r="I643" s="24">
        <v>103003</v>
      </c>
      <c r="J643" s="277">
        <v>332.59</v>
      </c>
      <c r="K643" s="276">
        <v>322</v>
      </c>
      <c r="L643" s="278">
        <v>0</v>
      </c>
      <c r="M643" s="279">
        <v>232</v>
      </c>
      <c r="N643" s="277">
        <v>77160.88</v>
      </c>
      <c r="O643" s="280" t="s">
        <v>888</v>
      </c>
      <c r="P643" s="279">
        <v>0</v>
      </c>
      <c r="Q643" s="281">
        <v>0</v>
      </c>
      <c r="R643" s="282" t="s">
        <v>889</v>
      </c>
      <c r="S643" s="274" t="s">
        <v>1115</v>
      </c>
      <c r="T643" s="44">
        <v>1</v>
      </c>
      <c r="U643" s="283">
        <v>74</v>
      </c>
      <c r="V643" s="284">
        <v>8</v>
      </c>
      <c r="W643" s="285">
        <v>8994</v>
      </c>
      <c r="X643" s="286">
        <v>2023</v>
      </c>
      <c r="Y643" s="287">
        <v>170</v>
      </c>
      <c r="Z643" s="287" t="s">
        <v>889</v>
      </c>
      <c r="AA643" s="286" t="s">
        <v>889</v>
      </c>
      <c r="AB643" s="287">
        <v>0</v>
      </c>
      <c r="AC643" s="287"/>
      <c r="AD643" s="288" t="s">
        <v>889</v>
      </c>
      <c r="AE643" s="289" t="s">
        <v>889</v>
      </c>
      <c r="AF643" s="279">
        <v>134</v>
      </c>
      <c r="AG643" s="282">
        <v>44792</v>
      </c>
      <c r="AH643" s="282">
        <v>40352</v>
      </c>
      <c r="AI643" s="282">
        <v>44720</v>
      </c>
      <c r="AJ643" s="282" t="s">
        <v>889</v>
      </c>
      <c r="AK643" s="274"/>
    </row>
    <row r="644" spans="1:37" x14ac:dyDescent="0.3">
      <c r="A644" s="273">
        <v>115840</v>
      </c>
      <c r="B644" s="274" t="s">
        <v>1721</v>
      </c>
      <c r="C644" s="146" t="s">
        <v>31</v>
      </c>
      <c r="D644" s="275">
        <v>849.2</v>
      </c>
      <c r="E644" s="274"/>
      <c r="F644" s="274"/>
      <c r="G644" s="274" t="s">
        <v>889</v>
      </c>
      <c r="H644" s="276">
        <v>25</v>
      </c>
      <c r="I644" s="24">
        <v>103003</v>
      </c>
      <c r="J644" s="277">
        <v>849.2</v>
      </c>
      <c r="K644" s="276">
        <v>7</v>
      </c>
      <c r="L644" s="278">
        <v>43.103448275862064</v>
      </c>
      <c r="M644" s="279">
        <v>0</v>
      </c>
      <c r="N644" s="277">
        <v>0</v>
      </c>
      <c r="O644" s="280" t="s">
        <v>888</v>
      </c>
      <c r="P644" s="279">
        <v>0</v>
      </c>
      <c r="Q644" s="281">
        <v>0</v>
      </c>
      <c r="R644" s="282" t="s">
        <v>889</v>
      </c>
      <c r="S644" s="274" t="s">
        <v>1212</v>
      </c>
      <c r="T644" s="44">
        <v>1</v>
      </c>
      <c r="U644" s="283">
        <v>51</v>
      </c>
      <c r="V644" s="284">
        <v>26</v>
      </c>
      <c r="W644" s="285" t="s">
        <v>889</v>
      </c>
      <c r="X644" s="286" t="s">
        <v>889</v>
      </c>
      <c r="Y644" s="287">
        <v>0</v>
      </c>
      <c r="Z644" s="287" t="s">
        <v>889</v>
      </c>
      <c r="AA644" s="286" t="s">
        <v>889</v>
      </c>
      <c r="AB644" s="287">
        <v>0</v>
      </c>
      <c r="AC644" s="287"/>
      <c r="AD644" s="288" t="s">
        <v>889</v>
      </c>
      <c r="AE644" s="289" t="s">
        <v>889</v>
      </c>
      <c r="AF644" s="279">
        <v>2</v>
      </c>
      <c r="AG644" s="282">
        <v>44188</v>
      </c>
      <c r="AH644" s="282">
        <v>40357</v>
      </c>
      <c r="AI644" s="282">
        <v>44176</v>
      </c>
      <c r="AJ644" s="282" t="s">
        <v>889</v>
      </c>
      <c r="AK644" s="274"/>
    </row>
    <row r="645" spans="1:37" x14ac:dyDescent="0.3">
      <c r="A645" s="273">
        <v>115841</v>
      </c>
      <c r="B645" s="274" t="s">
        <v>1722</v>
      </c>
      <c r="C645" s="146" t="s">
        <v>31</v>
      </c>
      <c r="D645" s="275">
        <v>719.5</v>
      </c>
      <c r="E645" s="274"/>
      <c r="F645" s="274"/>
      <c r="G645" s="274" t="s">
        <v>889</v>
      </c>
      <c r="H645" s="276">
        <v>14</v>
      </c>
      <c r="I645" s="24">
        <v>103003</v>
      </c>
      <c r="J645" s="277">
        <v>719.5</v>
      </c>
      <c r="K645" s="276"/>
      <c r="L645" s="278">
        <v>0</v>
      </c>
      <c r="M645" s="279">
        <v>0</v>
      </c>
      <c r="N645" s="277">
        <v>0</v>
      </c>
      <c r="O645" s="280" t="s">
        <v>888</v>
      </c>
      <c r="P645" s="279">
        <v>0</v>
      </c>
      <c r="Q645" s="281">
        <v>0</v>
      </c>
      <c r="R645" s="282" t="s">
        <v>889</v>
      </c>
      <c r="S645" s="274" t="s">
        <v>1212</v>
      </c>
      <c r="T645" s="44">
        <v>1</v>
      </c>
      <c r="U645" s="283">
        <v>51</v>
      </c>
      <c r="V645" s="284">
        <v>26</v>
      </c>
      <c r="W645" s="285" t="s">
        <v>889</v>
      </c>
      <c r="X645" s="286" t="s">
        <v>889</v>
      </c>
      <c r="Y645" s="287">
        <v>0</v>
      </c>
      <c r="Z645" s="287" t="s">
        <v>889</v>
      </c>
      <c r="AA645" s="286" t="s">
        <v>889</v>
      </c>
      <c r="AB645" s="287">
        <v>0</v>
      </c>
      <c r="AC645" s="287"/>
      <c r="AD645" s="288" t="s">
        <v>889</v>
      </c>
      <c r="AE645" s="289" t="s">
        <v>889</v>
      </c>
      <c r="AF645" s="279">
        <v>0</v>
      </c>
      <c r="AG645" s="282">
        <v>43455</v>
      </c>
      <c r="AH645" s="282">
        <v>40357</v>
      </c>
      <c r="AI645" s="282">
        <v>44377</v>
      </c>
      <c r="AJ645" s="282" t="s">
        <v>889</v>
      </c>
      <c r="AK645" s="274"/>
    </row>
    <row r="646" spans="1:37" x14ac:dyDescent="0.3">
      <c r="A646" s="273">
        <v>116466</v>
      </c>
      <c r="B646" s="274" t="s">
        <v>1723</v>
      </c>
      <c r="C646" s="146" t="s">
        <v>31</v>
      </c>
      <c r="D646" s="275">
        <v>1.44</v>
      </c>
      <c r="E646" s="274"/>
      <c r="F646" s="274"/>
      <c r="G646" s="274" t="s">
        <v>889</v>
      </c>
      <c r="H646" s="276">
        <v>2339</v>
      </c>
      <c r="I646" s="24">
        <v>103003</v>
      </c>
      <c r="J646" s="277">
        <v>1.44</v>
      </c>
      <c r="K646" s="276">
        <v>7256</v>
      </c>
      <c r="L646" s="278">
        <v>3.5058530809239028</v>
      </c>
      <c r="M646" s="279">
        <v>5667.04</v>
      </c>
      <c r="N646" s="277">
        <v>8160.5375999999997</v>
      </c>
      <c r="O646" s="280" t="s">
        <v>888</v>
      </c>
      <c r="P646" s="279">
        <v>0</v>
      </c>
      <c r="Q646" s="281">
        <v>0</v>
      </c>
      <c r="R646" s="282" t="s">
        <v>889</v>
      </c>
      <c r="S646" s="274" t="s">
        <v>1259</v>
      </c>
      <c r="T646" s="44">
        <v>1</v>
      </c>
      <c r="U646" s="283">
        <v>69</v>
      </c>
      <c r="V646" s="284">
        <v>3</v>
      </c>
      <c r="W646" s="285" t="s">
        <v>889</v>
      </c>
      <c r="X646" s="286" t="s">
        <v>889</v>
      </c>
      <c r="Y646" s="287">
        <v>0</v>
      </c>
      <c r="Z646" s="287" t="s">
        <v>889</v>
      </c>
      <c r="AA646" s="286" t="s">
        <v>889</v>
      </c>
      <c r="AB646" s="287">
        <v>0</v>
      </c>
      <c r="AC646" s="287"/>
      <c r="AD646" s="288" t="s">
        <v>889</v>
      </c>
      <c r="AE646" s="289" t="s">
        <v>889</v>
      </c>
      <c r="AF646" s="279">
        <v>2668</v>
      </c>
      <c r="AG646" s="282">
        <v>45215</v>
      </c>
      <c r="AH646" s="282">
        <v>40382</v>
      </c>
      <c r="AI646" s="282">
        <v>45189</v>
      </c>
      <c r="AJ646" s="282" t="s">
        <v>889</v>
      </c>
      <c r="AK646" s="274"/>
    </row>
    <row r="647" spans="1:37" x14ac:dyDescent="0.3">
      <c r="A647" s="273">
        <v>116751</v>
      </c>
      <c r="B647" s="274" t="s">
        <v>1724</v>
      </c>
      <c r="C647" s="146" t="s">
        <v>345</v>
      </c>
      <c r="D647" s="275">
        <v>35.47</v>
      </c>
      <c r="E647" s="274"/>
      <c r="F647" s="274"/>
      <c r="G647" s="274" t="s">
        <v>889</v>
      </c>
      <c r="H647" s="276">
        <v>906</v>
      </c>
      <c r="I647" s="24">
        <v>103003</v>
      </c>
      <c r="J647" s="277">
        <v>35.47</v>
      </c>
      <c r="K647" s="276">
        <v>19</v>
      </c>
      <c r="L647" s="278">
        <v>573.41772151898738</v>
      </c>
      <c r="M647" s="279">
        <v>0</v>
      </c>
      <c r="N647" s="277">
        <v>0</v>
      </c>
      <c r="O647" s="280" t="s">
        <v>888</v>
      </c>
      <c r="P647" s="279">
        <v>0</v>
      </c>
      <c r="Q647" s="281">
        <v>0</v>
      </c>
      <c r="R647" s="282" t="s">
        <v>889</v>
      </c>
      <c r="S647" s="274" t="s">
        <v>1337</v>
      </c>
      <c r="T647" s="44">
        <v>1</v>
      </c>
      <c r="U647" s="283">
        <v>69</v>
      </c>
      <c r="V647" s="284">
        <v>2</v>
      </c>
      <c r="W647" s="285" t="s">
        <v>889</v>
      </c>
      <c r="X647" s="286" t="s">
        <v>889</v>
      </c>
      <c r="Y647" s="287">
        <v>0</v>
      </c>
      <c r="Z647" s="287" t="s">
        <v>889</v>
      </c>
      <c r="AA647" s="286" t="s">
        <v>889</v>
      </c>
      <c r="AB647" s="287">
        <v>0</v>
      </c>
      <c r="AC647" s="287"/>
      <c r="AD647" s="288" t="s">
        <v>889</v>
      </c>
      <c r="AE647" s="289" t="s">
        <v>889</v>
      </c>
      <c r="AF647" s="279">
        <v>6</v>
      </c>
      <c r="AG647" s="282">
        <v>43622</v>
      </c>
      <c r="AH647" s="282">
        <v>40395</v>
      </c>
      <c r="AI647" s="282">
        <v>43614</v>
      </c>
      <c r="AJ647" s="282" t="s">
        <v>889</v>
      </c>
      <c r="AK647" s="274"/>
    </row>
    <row r="648" spans="1:37" x14ac:dyDescent="0.3">
      <c r="A648" s="273">
        <v>116754</v>
      </c>
      <c r="B648" s="274" t="s">
        <v>1725</v>
      </c>
      <c r="C648" s="146" t="s">
        <v>345</v>
      </c>
      <c r="D648" s="275">
        <v>98.43</v>
      </c>
      <c r="E648" s="274"/>
      <c r="F648" s="274"/>
      <c r="G648" s="274" t="s">
        <v>889</v>
      </c>
      <c r="H648" s="276">
        <v>365</v>
      </c>
      <c r="I648" s="24">
        <v>103003</v>
      </c>
      <c r="J648" s="277">
        <v>98.43</v>
      </c>
      <c r="K648" s="276">
        <v>81</v>
      </c>
      <c r="L648" s="278">
        <v>54.074074074074076</v>
      </c>
      <c r="M648" s="279">
        <v>0</v>
      </c>
      <c r="N648" s="277">
        <v>0</v>
      </c>
      <c r="O648" s="280" t="s">
        <v>888</v>
      </c>
      <c r="P648" s="279">
        <v>0</v>
      </c>
      <c r="Q648" s="281">
        <v>0</v>
      </c>
      <c r="R648" s="282" t="s">
        <v>889</v>
      </c>
      <c r="S648" s="274" t="s">
        <v>1337</v>
      </c>
      <c r="T648" s="44">
        <v>1</v>
      </c>
      <c r="U648" s="283">
        <v>69</v>
      </c>
      <c r="V648" s="284">
        <v>2</v>
      </c>
      <c r="W648" s="285" t="s">
        <v>889</v>
      </c>
      <c r="X648" s="286" t="s">
        <v>889</v>
      </c>
      <c r="Y648" s="287">
        <v>0</v>
      </c>
      <c r="Z648" s="287" t="s">
        <v>889</v>
      </c>
      <c r="AA648" s="286" t="s">
        <v>889</v>
      </c>
      <c r="AB648" s="287">
        <v>0</v>
      </c>
      <c r="AC648" s="287"/>
      <c r="AD648" s="288" t="s">
        <v>889</v>
      </c>
      <c r="AE648" s="289" t="s">
        <v>889</v>
      </c>
      <c r="AF648" s="279">
        <v>28</v>
      </c>
      <c r="AG648" s="282">
        <v>44526</v>
      </c>
      <c r="AH648" s="282">
        <v>40395</v>
      </c>
      <c r="AI648" s="282">
        <v>44483</v>
      </c>
      <c r="AJ648" s="282" t="s">
        <v>889</v>
      </c>
      <c r="AK648" s="274"/>
    </row>
    <row r="649" spans="1:37" x14ac:dyDescent="0.3">
      <c r="A649" s="273">
        <v>116771</v>
      </c>
      <c r="B649" s="274" t="s">
        <v>726</v>
      </c>
      <c r="C649" s="146" t="s">
        <v>727</v>
      </c>
      <c r="D649" s="275">
        <v>299</v>
      </c>
      <c r="E649" s="274"/>
      <c r="F649" s="274"/>
      <c r="G649" s="274" t="s">
        <v>889</v>
      </c>
      <c r="H649" s="276">
        <v>28</v>
      </c>
      <c r="I649" s="24">
        <v>103003</v>
      </c>
      <c r="J649" s="277">
        <v>299</v>
      </c>
      <c r="K649" s="276">
        <v>11</v>
      </c>
      <c r="L649" s="278">
        <v>30.434782608695652</v>
      </c>
      <c r="M649" s="279">
        <v>0</v>
      </c>
      <c r="N649" s="277">
        <v>0</v>
      </c>
      <c r="O649" s="280" t="s">
        <v>888</v>
      </c>
      <c r="P649" s="279">
        <v>0</v>
      </c>
      <c r="Q649" s="281">
        <v>0</v>
      </c>
      <c r="R649" s="282" t="s">
        <v>889</v>
      </c>
      <c r="S649" s="274" t="s">
        <v>1163</v>
      </c>
      <c r="T649" s="44">
        <v>1</v>
      </c>
      <c r="U649" s="283">
        <v>69</v>
      </c>
      <c r="V649" s="284">
        <v>1</v>
      </c>
      <c r="W649" s="285" t="s">
        <v>889</v>
      </c>
      <c r="X649" s="286" t="s">
        <v>889</v>
      </c>
      <c r="Y649" s="287">
        <v>0</v>
      </c>
      <c r="Z649" s="287" t="s">
        <v>889</v>
      </c>
      <c r="AA649" s="286" t="s">
        <v>889</v>
      </c>
      <c r="AB649" s="287">
        <v>0</v>
      </c>
      <c r="AC649" s="287"/>
      <c r="AD649" s="288" t="s">
        <v>889</v>
      </c>
      <c r="AE649" s="289" t="s">
        <v>889</v>
      </c>
      <c r="AF649" s="279">
        <v>4</v>
      </c>
      <c r="AG649" s="282">
        <v>42360</v>
      </c>
      <c r="AH649" s="282">
        <v>40396</v>
      </c>
      <c r="AI649" s="282">
        <v>44040</v>
      </c>
      <c r="AJ649" s="282" t="s">
        <v>889</v>
      </c>
      <c r="AK649" s="274"/>
    </row>
    <row r="650" spans="1:37" x14ac:dyDescent="0.3">
      <c r="A650" s="273">
        <v>116874</v>
      </c>
      <c r="B650" s="274" t="s">
        <v>1726</v>
      </c>
      <c r="C650" s="146" t="s">
        <v>31</v>
      </c>
      <c r="D650" s="275">
        <v>5.08</v>
      </c>
      <c r="E650" s="274"/>
      <c r="F650" s="274"/>
      <c r="G650" s="274" t="s">
        <v>889</v>
      </c>
      <c r="H650" s="276">
        <v>203</v>
      </c>
      <c r="I650" s="24">
        <v>103003</v>
      </c>
      <c r="J650" s="277">
        <v>5.08</v>
      </c>
      <c r="K650" s="276">
        <v>1211</v>
      </c>
      <c r="L650" s="278">
        <v>1.3261039979095899</v>
      </c>
      <c r="M650" s="279">
        <v>1133.96</v>
      </c>
      <c r="N650" s="277">
        <v>5760.5168000000003</v>
      </c>
      <c r="O650" s="280" t="s">
        <v>888</v>
      </c>
      <c r="P650" s="279">
        <v>0</v>
      </c>
      <c r="Q650" s="281">
        <v>0</v>
      </c>
      <c r="R650" s="282" t="s">
        <v>889</v>
      </c>
      <c r="S650" s="274" t="s">
        <v>1687</v>
      </c>
      <c r="T650" s="44">
        <v>1</v>
      </c>
      <c r="U650" s="283">
        <v>55</v>
      </c>
      <c r="V650" s="284">
        <v>37</v>
      </c>
      <c r="W650" s="285">
        <v>10083</v>
      </c>
      <c r="X650" s="286">
        <v>2023</v>
      </c>
      <c r="Y650" s="287">
        <v>500</v>
      </c>
      <c r="Z650" s="287" t="s">
        <v>889</v>
      </c>
      <c r="AA650" s="286" t="s">
        <v>889</v>
      </c>
      <c r="AB650" s="287">
        <v>0</v>
      </c>
      <c r="AC650" s="287"/>
      <c r="AD650" s="288" t="s">
        <v>889</v>
      </c>
      <c r="AE650" s="289" t="s">
        <v>889</v>
      </c>
      <c r="AF650" s="279">
        <v>612</v>
      </c>
      <c r="AG650" s="282">
        <v>44638</v>
      </c>
      <c r="AH650" s="282">
        <v>40406</v>
      </c>
      <c r="AI650" s="282">
        <v>45195</v>
      </c>
      <c r="AJ650" s="282" t="s">
        <v>889</v>
      </c>
      <c r="AK650" s="274"/>
    </row>
    <row r="651" spans="1:37" x14ac:dyDescent="0.3">
      <c r="A651" s="273">
        <v>117734</v>
      </c>
      <c r="B651" s="274" t="s">
        <v>1727</v>
      </c>
      <c r="C651" s="146" t="s">
        <v>263</v>
      </c>
      <c r="D651" s="275">
        <v>25.62</v>
      </c>
      <c r="E651" s="274"/>
      <c r="F651" s="274"/>
      <c r="G651" s="274" t="s">
        <v>889</v>
      </c>
      <c r="H651" s="276">
        <v>114</v>
      </c>
      <c r="I651" s="24">
        <v>103003</v>
      </c>
      <c r="J651" s="277">
        <v>25.62</v>
      </c>
      <c r="K651" s="276">
        <v>4</v>
      </c>
      <c r="L651" s="278">
        <v>345.45454545454544</v>
      </c>
      <c r="M651" s="279">
        <v>0</v>
      </c>
      <c r="N651" s="277">
        <v>0</v>
      </c>
      <c r="O651" s="280" t="s">
        <v>888</v>
      </c>
      <c r="P651" s="279">
        <v>0</v>
      </c>
      <c r="Q651" s="281">
        <v>0</v>
      </c>
      <c r="R651" s="282" t="s">
        <v>889</v>
      </c>
      <c r="S651" s="274" t="s">
        <v>985</v>
      </c>
      <c r="T651" s="44">
        <v>1</v>
      </c>
      <c r="U651" s="283">
        <v>55</v>
      </c>
      <c r="V651" s="284">
        <v>31</v>
      </c>
      <c r="W651" s="285" t="s">
        <v>889</v>
      </c>
      <c r="X651" s="286" t="s">
        <v>889</v>
      </c>
      <c r="Y651" s="287">
        <v>0</v>
      </c>
      <c r="Z651" s="287" t="s">
        <v>889</v>
      </c>
      <c r="AA651" s="286" t="s">
        <v>889</v>
      </c>
      <c r="AB651" s="287">
        <v>0</v>
      </c>
      <c r="AC651" s="287"/>
      <c r="AD651" s="288" t="s">
        <v>889</v>
      </c>
      <c r="AE651" s="289" t="s">
        <v>889</v>
      </c>
      <c r="AF651" s="279">
        <v>2</v>
      </c>
      <c r="AG651" s="282">
        <v>43892</v>
      </c>
      <c r="AH651" s="282">
        <v>40438</v>
      </c>
      <c r="AI651" s="282">
        <v>43865</v>
      </c>
      <c r="AJ651" s="282" t="s">
        <v>889</v>
      </c>
      <c r="AK651" s="274"/>
    </row>
    <row r="652" spans="1:37" x14ac:dyDescent="0.3">
      <c r="A652" s="273">
        <v>118244</v>
      </c>
      <c r="B652" s="274" t="s">
        <v>1728</v>
      </c>
      <c r="C652" s="146" t="s">
        <v>263</v>
      </c>
      <c r="D652" s="275">
        <v>5.99</v>
      </c>
      <c r="E652" s="274"/>
      <c r="F652" s="274"/>
      <c r="G652" s="274" t="s">
        <v>889</v>
      </c>
      <c r="H652" s="276">
        <v>173</v>
      </c>
      <c r="I652" s="24">
        <v>103003</v>
      </c>
      <c r="J652" s="277">
        <v>5.99</v>
      </c>
      <c r="K652" s="276">
        <v>5</v>
      </c>
      <c r="L652" s="278">
        <v>411.90476190476193</v>
      </c>
      <c r="M652" s="279">
        <v>0</v>
      </c>
      <c r="N652" s="277">
        <v>0</v>
      </c>
      <c r="O652" s="280" t="s">
        <v>888</v>
      </c>
      <c r="P652" s="279">
        <v>0</v>
      </c>
      <c r="Q652" s="281">
        <v>0</v>
      </c>
      <c r="R652" s="282" t="s">
        <v>889</v>
      </c>
      <c r="S652" s="274" t="s">
        <v>1266</v>
      </c>
      <c r="T652" s="44">
        <v>1</v>
      </c>
      <c r="U652" s="283">
        <v>89</v>
      </c>
      <c r="V652" s="284">
        <v>12</v>
      </c>
      <c r="W652" s="285" t="s">
        <v>889</v>
      </c>
      <c r="X652" s="286" t="s">
        <v>889</v>
      </c>
      <c r="Y652" s="287">
        <v>0</v>
      </c>
      <c r="Z652" s="287" t="s">
        <v>889</v>
      </c>
      <c r="AA652" s="286" t="s">
        <v>889</v>
      </c>
      <c r="AB652" s="287">
        <v>0</v>
      </c>
      <c r="AC652" s="287"/>
      <c r="AD652" s="288" t="s">
        <v>889</v>
      </c>
      <c r="AE652" s="289" t="s">
        <v>889</v>
      </c>
      <c r="AF652" s="279">
        <v>2</v>
      </c>
      <c r="AG652" s="282">
        <v>40955</v>
      </c>
      <c r="AH652" s="282">
        <v>40466</v>
      </c>
      <c r="AI652" s="282">
        <v>44974</v>
      </c>
      <c r="AJ652" s="282" t="s">
        <v>889</v>
      </c>
      <c r="AK652" s="274"/>
    </row>
    <row r="653" spans="1:37" x14ac:dyDescent="0.3">
      <c r="A653" s="273">
        <v>118245</v>
      </c>
      <c r="B653" s="274" t="s">
        <v>1729</v>
      </c>
      <c r="C653" s="146" t="s">
        <v>263</v>
      </c>
      <c r="D653" s="275">
        <v>2.72</v>
      </c>
      <c r="E653" s="274"/>
      <c r="F653" s="274"/>
      <c r="G653" s="274" t="s">
        <v>889</v>
      </c>
      <c r="H653" s="276">
        <v>33</v>
      </c>
      <c r="I653" s="24">
        <v>103003</v>
      </c>
      <c r="J653" s="277">
        <v>2.72</v>
      </c>
      <c r="K653" s="276">
        <v>5</v>
      </c>
      <c r="L653" s="278">
        <v>78.571428571428569</v>
      </c>
      <c r="M653" s="279">
        <v>0</v>
      </c>
      <c r="N653" s="277">
        <v>0</v>
      </c>
      <c r="O653" s="280" t="s">
        <v>888</v>
      </c>
      <c r="P653" s="279">
        <v>0</v>
      </c>
      <c r="Q653" s="281">
        <v>0</v>
      </c>
      <c r="R653" s="282" t="s">
        <v>889</v>
      </c>
      <c r="S653" s="274" t="s">
        <v>1266</v>
      </c>
      <c r="T653" s="44">
        <v>1</v>
      </c>
      <c r="U653" s="283">
        <v>89</v>
      </c>
      <c r="V653" s="284">
        <v>12</v>
      </c>
      <c r="W653" s="285" t="s">
        <v>889</v>
      </c>
      <c r="X653" s="286" t="s">
        <v>889</v>
      </c>
      <c r="Y653" s="287">
        <v>0</v>
      </c>
      <c r="Z653" s="287" t="s">
        <v>889</v>
      </c>
      <c r="AA653" s="286" t="s">
        <v>889</v>
      </c>
      <c r="AB653" s="287">
        <v>0</v>
      </c>
      <c r="AC653" s="287"/>
      <c r="AD653" s="288" t="s">
        <v>889</v>
      </c>
      <c r="AE653" s="289" t="s">
        <v>889</v>
      </c>
      <c r="AF653" s="279">
        <v>2</v>
      </c>
      <c r="AG653" s="282">
        <v>40955</v>
      </c>
      <c r="AH653" s="282">
        <v>40466</v>
      </c>
      <c r="AI653" s="282">
        <v>40941</v>
      </c>
      <c r="AJ653" s="282" t="s">
        <v>889</v>
      </c>
      <c r="AK653" s="274"/>
    </row>
    <row r="654" spans="1:37" x14ac:dyDescent="0.3">
      <c r="A654" s="273">
        <v>118246</v>
      </c>
      <c r="B654" s="274" t="s">
        <v>1730</v>
      </c>
      <c r="C654" s="146" t="s">
        <v>263</v>
      </c>
      <c r="D654" s="275">
        <v>1.1000000000000001</v>
      </c>
      <c r="E654" s="274"/>
      <c r="F654" s="274"/>
      <c r="G654" s="274" t="s">
        <v>889</v>
      </c>
      <c r="H654" s="276">
        <v>60</v>
      </c>
      <c r="I654" s="24">
        <v>103003</v>
      </c>
      <c r="J654" s="277">
        <v>1.1000000000000001</v>
      </c>
      <c r="K654" s="276">
        <v>5</v>
      </c>
      <c r="L654" s="278">
        <v>142.85714285714283</v>
      </c>
      <c r="M654" s="279">
        <v>0</v>
      </c>
      <c r="N654" s="277">
        <v>0</v>
      </c>
      <c r="O654" s="280" t="s">
        <v>888</v>
      </c>
      <c r="P654" s="279">
        <v>0</v>
      </c>
      <c r="Q654" s="281">
        <v>0</v>
      </c>
      <c r="R654" s="282" t="s">
        <v>889</v>
      </c>
      <c r="S654" s="274" t="s">
        <v>1266</v>
      </c>
      <c r="T654" s="44">
        <v>1</v>
      </c>
      <c r="U654" s="283">
        <v>89</v>
      </c>
      <c r="V654" s="284">
        <v>12</v>
      </c>
      <c r="W654" s="285" t="s">
        <v>889</v>
      </c>
      <c r="X654" s="286" t="s">
        <v>889</v>
      </c>
      <c r="Y654" s="287">
        <v>0</v>
      </c>
      <c r="Z654" s="287" t="s">
        <v>889</v>
      </c>
      <c r="AA654" s="286" t="s">
        <v>889</v>
      </c>
      <c r="AB654" s="287">
        <v>0</v>
      </c>
      <c r="AC654" s="287"/>
      <c r="AD654" s="288" t="s">
        <v>889</v>
      </c>
      <c r="AE654" s="289" t="s">
        <v>889</v>
      </c>
      <c r="AF654" s="279">
        <v>2</v>
      </c>
      <c r="AG654" s="282">
        <v>40955</v>
      </c>
      <c r="AH654" s="282">
        <v>40466</v>
      </c>
      <c r="AI654" s="282">
        <v>40941</v>
      </c>
      <c r="AJ654" s="282" t="s">
        <v>889</v>
      </c>
      <c r="AK654" s="274"/>
    </row>
    <row r="655" spans="1:37" x14ac:dyDescent="0.3">
      <c r="A655" s="273">
        <v>118427</v>
      </c>
      <c r="B655" s="274" t="s">
        <v>1731</v>
      </c>
      <c r="C655" s="146" t="s">
        <v>272</v>
      </c>
      <c r="D655" s="275">
        <v>29.32</v>
      </c>
      <c r="E655" s="274" t="s">
        <v>1732</v>
      </c>
      <c r="F655" s="274" t="s">
        <v>1280</v>
      </c>
      <c r="G655" s="274" t="s">
        <v>1281</v>
      </c>
      <c r="H655" s="276">
        <v>0</v>
      </c>
      <c r="I655" s="24">
        <v>103003</v>
      </c>
      <c r="J655" s="277">
        <v>29.32</v>
      </c>
      <c r="K655" s="276">
        <v>4196</v>
      </c>
      <c r="L655" s="278">
        <v>0</v>
      </c>
      <c r="M655" s="279">
        <v>4817.04</v>
      </c>
      <c r="N655" s="277">
        <v>141235.6128</v>
      </c>
      <c r="O655" s="280" t="s">
        <v>1282</v>
      </c>
      <c r="P655" s="279">
        <v>7115</v>
      </c>
      <c r="Q655" s="281">
        <v>208611.8</v>
      </c>
      <c r="R655" s="282">
        <v>45540</v>
      </c>
      <c r="S655" s="274" t="s">
        <v>1432</v>
      </c>
      <c r="T655" s="44">
        <v>1</v>
      </c>
      <c r="U655" s="283">
        <v>74</v>
      </c>
      <c r="V655" s="284">
        <v>2</v>
      </c>
      <c r="W655" s="285" t="s">
        <v>889</v>
      </c>
      <c r="X655" s="286" t="s">
        <v>889</v>
      </c>
      <c r="Y655" s="287">
        <v>0</v>
      </c>
      <c r="Z655" s="287" t="s">
        <v>889</v>
      </c>
      <c r="AA655" s="286" t="s">
        <v>889</v>
      </c>
      <c r="AB655" s="287">
        <v>0</v>
      </c>
      <c r="AC655" s="287"/>
      <c r="AD655" s="288" t="s">
        <v>889</v>
      </c>
      <c r="AE655" s="289" t="s">
        <v>889</v>
      </c>
      <c r="AF655" s="279">
        <v>1606</v>
      </c>
      <c r="AG655" s="282">
        <v>44974</v>
      </c>
      <c r="AH655" s="282">
        <v>40490</v>
      </c>
      <c r="AI655" s="282">
        <v>45209</v>
      </c>
      <c r="AJ655" s="282" t="s">
        <v>889</v>
      </c>
      <c r="AK655" s="274"/>
    </row>
    <row r="656" spans="1:37" x14ac:dyDescent="0.3">
      <c r="A656" s="273">
        <v>118515</v>
      </c>
      <c r="B656" s="274" t="s">
        <v>1733</v>
      </c>
      <c r="C656" s="146" t="s">
        <v>560</v>
      </c>
      <c r="D656" s="275">
        <v>69.97</v>
      </c>
      <c r="E656" s="274"/>
      <c r="F656" s="274"/>
      <c r="G656" s="274" t="s">
        <v>889</v>
      </c>
      <c r="H656" s="276">
        <v>0</v>
      </c>
      <c r="I656" s="24">
        <v>103003</v>
      </c>
      <c r="J656" s="277">
        <v>69.97</v>
      </c>
      <c r="K656" s="276">
        <v>314</v>
      </c>
      <c r="L656" s="278">
        <v>0</v>
      </c>
      <c r="M656" s="279">
        <v>178.14</v>
      </c>
      <c r="N656" s="277">
        <v>12464.4558</v>
      </c>
      <c r="O656" s="280" t="s">
        <v>888</v>
      </c>
      <c r="P656" s="279">
        <v>0</v>
      </c>
      <c r="Q656" s="281">
        <v>0</v>
      </c>
      <c r="R656" s="282" t="s">
        <v>889</v>
      </c>
      <c r="S656" s="274" t="s">
        <v>1734</v>
      </c>
      <c r="T656" s="44">
        <v>1</v>
      </c>
      <c r="U656" s="283">
        <v>51</v>
      </c>
      <c r="V656" s="284">
        <v>21</v>
      </c>
      <c r="W656" s="285">
        <v>7340</v>
      </c>
      <c r="X656" s="286">
        <v>2023</v>
      </c>
      <c r="Y656" s="287">
        <v>135.9</v>
      </c>
      <c r="Z656" s="287" t="s">
        <v>889</v>
      </c>
      <c r="AA656" s="286" t="s">
        <v>889</v>
      </c>
      <c r="AB656" s="287">
        <v>0</v>
      </c>
      <c r="AC656" s="287"/>
      <c r="AD656" s="288" t="s">
        <v>889</v>
      </c>
      <c r="AE656" s="289" t="s">
        <v>889</v>
      </c>
      <c r="AF656" s="279">
        <v>104</v>
      </c>
      <c r="AG656" s="282">
        <v>44417</v>
      </c>
      <c r="AH656" s="282">
        <v>40498</v>
      </c>
      <c r="AI656" s="282">
        <v>44405</v>
      </c>
      <c r="AJ656" s="282" t="s">
        <v>889</v>
      </c>
      <c r="AK656" s="274"/>
    </row>
    <row r="657" spans="1:37" x14ac:dyDescent="0.3">
      <c r="A657" s="273">
        <v>118577</v>
      </c>
      <c r="B657" s="274" t="s">
        <v>1735</v>
      </c>
      <c r="C657" s="146" t="s">
        <v>560</v>
      </c>
      <c r="D657" s="275">
        <v>81.25</v>
      </c>
      <c r="E657" s="274"/>
      <c r="F657" s="274"/>
      <c r="G657" s="274" t="s">
        <v>889</v>
      </c>
      <c r="H657" s="276">
        <v>0</v>
      </c>
      <c r="I657" s="24">
        <v>103003</v>
      </c>
      <c r="J657" s="277">
        <v>81.25</v>
      </c>
      <c r="K657" s="276">
        <v>726.5</v>
      </c>
      <c r="L657" s="278">
        <v>0</v>
      </c>
      <c r="M657" s="279">
        <v>0</v>
      </c>
      <c r="N657" s="277">
        <v>0</v>
      </c>
      <c r="O657" s="280" t="s">
        <v>888</v>
      </c>
      <c r="P657" s="279">
        <v>0</v>
      </c>
      <c r="Q657" s="281">
        <v>0</v>
      </c>
      <c r="R657" s="282" t="s">
        <v>889</v>
      </c>
      <c r="S657" s="274" t="s">
        <v>1734</v>
      </c>
      <c r="T657" s="44">
        <v>1</v>
      </c>
      <c r="U657" s="283">
        <v>51</v>
      </c>
      <c r="V657" s="284">
        <v>21</v>
      </c>
      <c r="W657" s="285">
        <v>2231</v>
      </c>
      <c r="X657" s="286">
        <v>2023</v>
      </c>
      <c r="Y657" s="287">
        <v>2000</v>
      </c>
      <c r="Z657" s="287" t="s">
        <v>889</v>
      </c>
      <c r="AA657" s="286" t="s">
        <v>889</v>
      </c>
      <c r="AB657" s="287">
        <v>0</v>
      </c>
      <c r="AC657" s="287"/>
      <c r="AD657" s="288" t="s">
        <v>889</v>
      </c>
      <c r="AE657" s="289" t="s">
        <v>889</v>
      </c>
      <c r="AF657" s="279">
        <v>242</v>
      </c>
      <c r="AG657" s="282">
        <v>44551</v>
      </c>
      <c r="AH657" s="282">
        <v>40501</v>
      </c>
      <c r="AI657" s="282">
        <v>44544</v>
      </c>
      <c r="AJ657" s="282" t="s">
        <v>889</v>
      </c>
      <c r="AK657" s="274"/>
    </row>
    <row r="658" spans="1:37" x14ac:dyDescent="0.3">
      <c r="A658" s="273">
        <v>119087</v>
      </c>
      <c r="B658" s="274" t="s">
        <v>741</v>
      </c>
      <c r="C658" s="146" t="s">
        <v>263</v>
      </c>
      <c r="D658" s="275">
        <v>5.48</v>
      </c>
      <c r="E658" s="274"/>
      <c r="F658" s="274"/>
      <c r="G658" s="274" t="s">
        <v>889</v>
      </c>
      <c r="H658" s="276">
        <v>255</v>
      </c>
      <c r="I658" s="24">
        <v>103003</v>
      </c>
      <c r="J658" s="277">
        <v>5.48</v>
      </c>
      <c r="K658" s="276">
        <v>30</v>
      </c>
      <c r="L658" s="278">
        <v>58.891454965357966</v>
      </c>
      <c r="M658" s="279">
        <v>0</v>
      </c>
      <c r="N658" s="277">
        <v>0</v>
      </c>
      <c r="O658" s="280" t="s">
        <v>888</v>
      </c>
      <c r="P658" s="279">
        <v>0</v>
      </c>
      <c r="Q658" s="281">
        <v>0</v>
      </c>
      <c r="R658" s="282" t="s">
        <v>889</v>
      </c>
      <c r="S658" s="274" t="s">
        <v>1271</v>
      </c>
      <c r="T658" s="44">
        <v>1</v>
      </c>
      <c r="U658" s="283">
        <v>59</v>
      </c>
      <c r="V658" s="284">
        <v>18</v>
      </c>
      <c r="W658" s="285" t="s">
        <v>889</v>
      </c>
      <c r="X658" s="286" t="s">
        <v>889</v>
      </c>
      <c r="Y658" s="287">
        <v>0</v>
      </c>
      <c r="Z658" s="287" t="s">
        <v>889</v>
      </c>
      <c r="AA658" s="286" t="s">
        <v>889</v>
      </c>
      <c r="AB658" s="287">
        <v>0</v>
      </c>
      <c r="AC658" s="287"/>
      <c r="AD658" s="288" t="s">
        <v>889</v>
      </c>
      <c r="AE658" s="289" t="s">
        <v>889</v>
      </c>
      <c r="AF658" s="279">
        <v>18</v>
      </c>
      <c r="AG658" s="282">
        <v>40842</v>
      </c>
      <c r="AH658" s="282">
        <v>40575</v>
      </c>
      <c r="AI658" s="282">
        <v>40834</v>
      </c>
      <c r="AJ658" s="282" t="s">
        <v>889</v>
      </c>
      <c r="AK658" s="274"/>
    </row>
    <row r="659" spans="1:37" x14ac:dyDescent="0.3">
      <c r="A659" s="273">
        <v>119180</v>
      </c>
      <c r="B659" s="274" t="s">
        <v>1736</v>
      </c>
      <c r="C659" s="146" t="s">
        <v>31</v>
      </c>
      <c r="D659" s="275">
        <v>6.28</v>
      </c>
      <c r="E659" s="274"/>
      <c r="F659" s="274"/>
      <c r="G659" s="274" t="s">
        <v>889</v>
      </c>
      <c r="H659" s="276">
        <v>157</v>
      </c>
      <c r="I659" s="24">
        <v>103003</v>
      </c>
      <c r="J659" s="277">
        <v>6.28</v>
      </c>
      <c r="K659" s="276">
        <v>59</v>
      </c>
      <c r="L659" s="278">
        <v>31.910569105691057</v>
      </c>
      <c r="M659" s="279">
        <v>0</v>
      </c>
      <c r="N659" s="277">
        <v>0</v>
      </c>
      <c r="O659" s="280" t="s">
        <v>888</v>
      </c>
      <c r="P659" s="279">
        <v>0</v>
      </c>
      <c r="Q659" s="281">
        <v>0</v>
      </c>
      <c r="R659" s="282" t="s">
        <v>889</v>
      </c>
      <c r="S659" s="274" t="s">
        <v>1687</v>
      </c>
      <c r="T659" s="44">
        <v>1</v>
      </c>
      <c r="U659" s="283">
        <v>55</v>
      </c>
      <c r="V659" s="284">
        <v>37</v>
      </c>
      <c r="W659" s="285" t="s">
        <v>889</v>
      </c>
      <c r="X659" s="286" t="s">
        <v>889</v>
      </c>
      <c r="Y659" s="287">
        <v>0</v>
      </c>
      <c r="Z659" s="287" t="s">
        <v>889</v>
      </c>
      <c r="AA659" s="286" t="s">
        <v>889</v>
      </c>
      <c r="AB659" s="287">
        <v>0</v>
      </c>
      <c r="AC659" s="287"/>
      <c r="AD659" s="288" t="s">
        <v>889</v>
      </c>
      <c r="AE659" s="289" t="s">
        <v>889</v>
      </c>
      <c r="AF659" s="279">
        <v>20</v>
      </c>
      <c r="AG659" s="282">
        <v>41460</v>
      </c>
      <c r="AH659" s="282">
        <v>40581</v>
      </c>
      <c r="AI659" s="282">
        <v>42075</v>
      </c>
      <c r="AJ659" s="282" t="s">
        <v>889</v>
      </c>
      <c r="AK659" s="274"/>
    </row>
    <row r="660" spans="1:37" x14ac:dyDescent="0.3">
      <c r="A660" s="273">
        <v>119181</v>
      </c>
      <c r="B660" s="274" t="s">
        <v>1737</v>
      </c>
      <c r="C660" s="146" t="s">
        <v>31</v>
      </c>
      <c r="D660" s="275">
        <v>2.68</v>
      </c>
      <c r="E660" s="274"/>
      <c r="F660" s="274"/>
      <c r="G660" s="274" t="s">
        <v>889</v>
      </c>
      <c r="H660" s="276">
        <v>610</v>
      </c>
      <c r="I660" s="24">
        <v>103003</v>
      </c>
      <c r="J660" s="277">
        <v>2.68</v>
      </c>
      <c r="K660" s="276">
        <v>385</v>
      </c>
      <c r="L660" s="278">
        <v>14.437869822485208</v>
      </c>
      <c r="M660" s="279">
        <v>0</v>
      </c>
      <c r="N660" s="277">
        <v>0</v>
      </c>
      <c r="O660" s="280" t="s">
        <v>888</v>
      </c>
      <c r="P660" s="279">
        <v>0</v>
      </c>
      <c r="Q660" s="281">
        <v>0</v>
      </c>
      <c r="R660" s="282" t="s">
        <v>889</v>
      </c>
      <c r="S660" s="274" t="s">
        <v>1687</v>
      </c>
      <c r="T660" s="44">
        <v>1</v>
      </c>
      <c r="U660" s="283">
        <v>55</v>
      </c>
      <c r="V660" s="284">
        <v>37</v>
      </c>
      <c r="W660" s="285" t="s">
        <v>889</v>
      </c>
      <c r="X660" s="286" t="s">
        <v>889</v>
      </c>
      <c r="Y660" s="287">
        <v>0</v>
      </c>
      <c r="Z660" s="287" t="s">
        <v>889</v>
      </c>
      <c r="AA660" s="286" t="s">
        <v>889</v>
      </c>
      <c r="AB660" s="287">
        <v>0</v>
      </c>
      <c r="AC660" s="287"/>
      <c r="AD660" s="288" t="s">
        <v>889</v>
      </c>
      <c r="AE660" s="289" t="s">
        <v>889</v>
      </c>
      <c r="AF660" s="279">
        <v>170</v>
      </c>
      <c r="AG660" s="282">
        <v>44544</v>
      </c>
      <c r="AH660" s="282">
        <v>40581</v>
      </c>
      <c r="AI660" s="282">
        <v>44470</v>
      </c>
      <c r="AJ660" s="282" t="s">
        <v>889</v>
      </c>
      <c r="AK660" s="274"/>
    </row>
    <row r="661" spans="1:37" x14ac:dyDescent="0.3">
      <c r="A661" s="273">
        <v>119318</v>
      </c>
      <c r="B661" s="274" t="s">
        <v>1738</v>
      </c>
      <c r="C661" s="146" t="s">
        <v>335</v>
      </c>
      <c r="D661" s="275">
        <v>3.2</v>
      </c>
      <c r="E661" s="274"/>
      <c r="F661" s="274"/>
      <c r="G661" s="274" t="s">
        <v>889</v>
      </c>
      <c r="H661" s="276">
        <v>0</v>
      </c>
      <c r="I661" s="24">
        <v>103003</v>
      </c>
      <c r="J661" s="277">
        <v>3.2</v>
      </c>
      <c r="K661" s="276">
        <v>137</v>
      </c>
      <c r="L661" s="278">
        <v>0</v>
      </c>
      <c r="M661" s="279">
        <v>118</v>
      </c>
      <c r="N661" s="277">
        <v>377.6</v>
      </c>
      <c r="O661" s="280" t="s">
        <v>888</v>
      </c>
      <c r="P661" s="279">
        <v>0</v>
      </c>
      <c r="Q661" s="281">
        <v>0</v>
      </c>
      <c r="R661" s="282" t="s">
        <v>889</v>
      </c>
      <c r="S661" s="274" t="s">
        <v>1739</v>
      </c>
      <c r="T661" s="44">
        <v>1</v>
      </c>
      <c r="U661" s="283">
        <v>45</v>
      </c>
      <c r="V661" s="284">
        <v>8</v>
      </c>
      <c r="W661" s="285">
        <v>6209</v>
      </c>
      <c r="X661" s="286">
        <v>2023</v>
      </c>
      <c r="Y661" s="287">
        <v>50</v>
      </c>
      <c r="Z661" s="287" t="s">
        <v>889</v>
      </c>
      <c r="AA661" s="286" t="s">
        <v>889</v>
      </c>
      <c r="AB661" s="287">
        <v>0</v>
      </c>
      <c r="AC661" s="287"/>
      <c r="AD661" s="288" t="s">
        <v>889</v>
      </c>
      <c r="AE661" s="289" t="s">
        <v>889</v>
      </c>
      <c r="AF661" s="279">
        <v>56</v>
      </c>
      <c r="AG661" s="282">
        <v>43874</v>
      </c>
      <c r="AH661" s="282">
        <v>40598</v>
      </c>
      <c r="AI661" s="282">
        <v>43866</v>
      </c>
      <c r="AJ661" s="282" t="s">
        <v>889</v>
      </c>
      <c r="AK661" s="274"/>
    </row>
    <row r="662" spans="1:37" x14ac:dyDescent="0.3">
      <c r="A662" s="273">
        <v>119554</v>
      </c>
      <c r="B662" s="274" t="s">
        <v>1740</v>
      </c>
      <c r="C662" s="146" t="s">
        <v>727</v>
      </c>
      <c r="D662" s="275">
        <v>482.5</v>
      </c>
      <c r="E662" s="274"/>
      <c r="F662" s="274"/>
      <c r="G662" s="274" t="s">
        <v>889</v>
      </c>
      <c r="H662" s="276">
        <v>146</v>
      </c>
      <c r="I662" s="24">
        <v>103003</v>
      </c>
      <c r="J662" s="277">
        <v>482.5</v>
      </c>
      <c r="K662" s="276">
        <v>168</v>
      </c>
      <c r="L662" s="278">
        <v>10.428571428571429</v>
      </c>
      <c r="M662" s="279">
        <v>22</v>
      </c>
      <c r="N662" s="277">
        <v>10615</v>
      </c>
      <c r="O662" s="280" t="s">
        <v>888</v>
      </c>
      <c r="P662" s="279">
        <v>0</v>
      </c>
      <c r="Q662" s="281">
        <v>0</v>
      </c>
      <c r="R662" s="282" t="s">
        <v>889</v>
      </c>
      <c r="S662" s="274" t="s">
        <v>1210</v>
      </c>
      <c r="T662" s="44">
        <v>1</v>
      </c>
      <c r="U662" s="283">
        <v>74</v>
      </c>
      <c r="V662" s="284">
        <v>9</v>
      </c>
      <c r="W662" s="285" t="s">
        <v>889</v>
      </c>
      <c r="X662" s="286" t="s">
        <v>889</v>
      </c>
      <c r="Y662" s="287">
        <v>0</v>
      </c>
      <c r="Z662" s="287" t="s">
        <v>889</v>
      </c>
      <c r="AA662" s="286" t="s">
        <v>889</v>
      </c>
      <c r="AB662" s="287">
        <v>0</v>
      </c>
      <c r="AC662" s="287"/>
      <c r="AD662" s="288" t="s">
        <v>889</v>
      </c>
      <c r="AE662" s="289" t="s">
        <v>889</v>
      </c>
      <c r="AF662" s="279">
        <v>56</v>
      </c>
      <c r="AG662" s="282">
        <v>44545</v>
      </c>
      <c r="AH662" s="282">
        <v>40632</v>
      </c>
      <c r="AI662" s="282">
        <v>44539</v>
      </c>
      <c r="AJ662" s="282" t="s">
        <v>889</v>
      </c>
      <c r="AK662" s="274"/>
    </row>
    <row r="663" spans="1:37" x14ac:dyDescent="0.3">
      <c r="A663" s="273">
        <v>119595</v>
      </c>
      <c r="B663" s="274" t="s">
        <v>1741</v>
      </c>
      <c r="C663" s="146" t="s">
        <v>260</v>
      </c>
      <c r="D663" s="275">
        <v>4.33</v>
      </c>
      <c r="E663" s="274"/>
      <c r="F663" s="274"/>
      <c r="G663" s="274" t="s">
        <v>889</v>
      </c>
      <c r="H663" s="276">
        <v>311</v>
      </c>
      <c r="I663" s="24">
        <v>103003</v>
      </c>
      <c r="J663" s="277">
        <v>4.33</v>
      </c>
      <c r="K663" s="276">
        <v>33</v>
      </c>
      <c r="L663" s="278">
        <v>103.66666666666666</v>
      </c>
      <c r="M663" s="279">
        <v>0</v>
      </c>
      <c r="N663" s="277">
        <v>0</v>
      </c>
      <c r="O663" s="280" t="s">
        <v>888</v>
      </c>
      <c r="P663" s="279">
        <v>0</v>
      </c>
      <c r="Q663" s="281">
        <v>0</v>
      </c>
      <c r="R663" s="282" t="s">
        <v>889</v>
      </c>
      <c r="S663" s="274" t="s">
        <v>1742</v>
      </c>
      <c r="T663" s="44">
        <v>1</v>
      </c>
      <c r="U663" s="283">
        <v>62</v>
      </c>
      <c r="V663" s="284">
        <v>26</v>
      </c>
      <c r="W663" s="285" t="s">
        <v>889</v>
      </c>
      <c r="X663" s="286" t="s">
        <v>889</v>
      </c>
      <c r="Y663" s="287">
        <v>0</v>
      </c>
      <c r="Z663" s="287" t="s">
        <v>889</v>
      </c>
      <c r="AA663" s="286" t="s">
        <v>889</v>
      </c>
      <c r="AB663" s="287">
        <v>0</v>
      </c>
      <c r="AC663" s="287"/>
      <c r="AD663" s="288" t="s">
        <v>889</v>
      </c>
      <c r="AE663" s="289" t="s">
        <v>889</v>
      </c>
      <c r="AF663" s="279">
        <v>12</v>
      </c>
      <c r="AG663" s="282">
        <v>44145</v>
      </c>
      <c r="AH663" s="282">
        <v>40638</v>
      </c>
      <c r="AI663" s="282">
        <v>45148</v>
      </c>
      <c r="AJ663" s="282" t="s">
        <v>889</v>
      </c>
      <c r="AK663" s="274"/>
    </row>
    <row r="664" spans="1:37" x14ac:dyDescent="0.3">
      <c r="A664" s="273">
        <v>119621</v>
      </c>
      <c r="B664" s="274" t="s">
        <v>1743</v>
      </c>
      <c r="C664" s="146" t="s">
        <v>727</v>
      </c>
      <c r="D664" s="275">
        <v>284.83</v>
      </c>
      <c r="E664" s="274"/>
      <c r="F664" s="274"/>
      <c r="G664" s="274" t="s">
        <v>889</v>
      </c>
      <c r="H664" s="276">
        <v>100</v>
      </c>
      <c r="I664" s="24">
        <v>103003</v>
      </c>
      <c r="J664" s="277">
        <v>284.83</v>
      </c>
      <c r="K664" s="276">
        <v>495</v>
      </c>
      <c r="L664" s="278">
        <v>2.1052631578947367</v>
      </c>
      <c r="M664" s="279">
        <v>470</v>
      </c>
      <c r="N664" s="277">
        <v>133870.1</v>
      </c>
      <c r="O664" s="280" t="s">
        <v>888</v>
      </c>
      <c r="P664" s="279">
        <v>0</v>
      </c>
      <c r="Q664" s="281">
        <v>0</v>
      </c>
      <c r="R664" s="282" t="s">
        <v>889</v>
      </c>
      <c r="S664" s="274" t="s">
        <v>1210</v>
      </c>
      <c r="T664" s="44">
        <v>1</v>
      </c>
      <c r="U664" s="283">
        <v>74</v>
      </c>
      <c r="V664" s="284">
        <v>9</v>
      </c>
      <c r="W664" s="285" t="s">
        <v>889</v>
      </c>
      <c r="X664" s="286" t="s">
        <v>889</v>
      </c>
      <c r="Y664" s="287">
        <v>0</v>
      </c>
      <c r="Z664" s="287" t="s">
        <v>889</v>
      </c>
      <c r="AA664" s="286" t="s">
        <v>889</v>
      </c>
      <c r="AB664" s="287">
        <v>0</v>
      </c>
      <c r="AC664" s="287"/>
      <c r="AD664" s="288" t="s">
        <v>889</v>
      </c>
      <c r="AE664" s="289" t="s">
        <v>889</v>
      </c>
      <c r="AF664" s="279">
        <v>190</v>
      </c>
      <c r="AG664" s="282">
        <v>44244</v>
      </c>
      <c r="AH664" s="282">
        <v>40641</v>
      </c>
      <c r="AI664" s="282">
        <v>45210</v>
      </c>
      <c r="AJ664" s="282" t="s">
        <v>889</v>
      </c>
      <c r="AK664" s="274"/>
    </row>
    <row r="665" spans="1:37" x14ac:dyDescent="0.3">
      <c r="A665" s="273">
        <v>120615</v>
      </c>
      <c r="B665" s="274" t="s">
        <v>1744</v>
      </c>
      <c r="C665" s="146" t="s">
        <v>272</v>
      </c>
      <c r="D665" s="275">
        <v>1.05</v>
      </c>
      <c r="E665" s="274"/>
      <c r="F665" s="274"/>
      <c r="G665" s="274" t="s">
        <v>889</v>
      </c>
      <c r="H665" s="276">
        <v>1276</v>
      </c>
      <c r="I665" s="24">
        <v>103003</v>
      </c>
      <c r="J665" s="277">
        <v>1.05</v>
      </c>
      <c r="K665" s="276"/>
      <c r="L665" s="278">
        <v>0</v>
      </c>
      <c r="M665" s="279">
        <v>0</v>
      </c>
      <c r="N665" s="277">
        <v>0</v>
      </c>
      <c r="O665" s="280" t="s">
        <v>888</v>
      </c>
      <c r="P665" s="279">
        <v>0</v>
      </c>
      <c r="Q665" s="281">
        <v>0</v>
      </c>
      <c r="R665" s="282" t="s">
        <v>889</v>
      </c>
      <c r="S665" s="274" t="s">
        <v>1745</v>
      </c>
      <c r="T665" s="44">
        <v>1</v>
      </c>
      <c r="U665" s="283">
        <v>80</v>
      </c>
      <c r="V665" s="284">
        <v>13</v>
      </c>
      <c r="W665" s="285" t="s">
        <v>889</v>
      </c>
      <c r="X665" s="286" t="s">
        <v>889</v>
      </c>
      <c r="Y665" s="287">
        <v>0</v>
      </c>
      <c r="Z665" s="287" t="s">
        <v>889</v>
      </c>
      <c r="AA665" s="286" t="s">
        <v>889</v>
      </c>
      <c r="AB665" s="287">
        <v>0</v>
      </c>
      <c r="AC665" s="287"/>
      <c r="AD665" s="288" t="s">
        <v>889</v>
      </c>
      <c r="AE665" s="289" t="s">
        <v>889</v>
      </c>
      <c r="AF665" s="279">
        <v>0</v>
      </c>
      <c r="AG665" s="282">
        <v>42333</v>
      </c>
      <c r="AH665" s="282">
        <v>40756</v>
      </c>
      <c r="AI665" s="282">
        <v>42297</v>
      </c>
      <c r="AJ665" s="282" t="s">
        <v>889</v>
      </c>
      <c r="AK665" s="274"/>
    </row>
    <row r="666" spans="1:37" x14ac:dyDescent="0.3">
      <c r="A666" s="273">
        <v>120995</v>
      </c>
      <c r="B666" s="274" t="s">
        <v>1746</v>
      </c>
      <c r="C666" s="146" t="s">
        <v>272</v>
      </c>
      <c r="D666" s="275">
        <v>3.39</v>
      </c>
      <c r="E666" s="274"/>
      <c r="F666" s="274"/>
      <c r="G666" s="274" t="s">
        <v>889</v>
      </c>
      <c r="H666" s="276">
        <v>80</v>
      </c>
      <c r="I666" s="24">
        <v>103003</v>
      </c>
      <c r="J666" s="277">
        <v>3.39</v>
      </c>
      <c r="K666" s="276">
        <v>140</v>
      </c>
      <c r="L666" s="278">
        <v>6.8551842330762645</v>
      </c>
      <c r="M666" s="279">
        <v>0</v>
      </c>
      <c r="N666" s="277">
        <v>0</v>
      </c>
      <c r="O666" s="280" t="s">
        <v>888</v>
      </c>
      <c r="P666" s="279">
        <v>0</v>
      </c>
      <c r="Q666" s="281">
        <v>0</v>
      </c>
      <c r="R666" s="282" t="s">
        <v>889</v>
      </c>
      <c r="S666" s="274" t="s">
        <v>990</v>
      </c>
      <c r="T666" s="44">
        <v>1</v>
      </c>
      <c r="U666" s="283">
        <v>55</v>
      </c>
      <c r="V666" s="284">
        <v>32</v>
      </c>
      <c r="W666" s="285">
        <v>2442</v>
      </c>
      <c r="X666" s="286">
        <v>2023</v>
      </c>
      <c r="Y666" s="287">
        <v>100</v>
      </c>
      <c r="Z666" s="287" t="s">
        <v>889</v>
      </c>
      <c r="AA666" s="286" t="s">
        <v>889</v>
      </c>
      <c r="AB666" s="287">
        <v>0</v>
      </c>
      <c r="AC666" s="287"/>
      <c r="AD666" s="288" t="s">
        <v>889</v>
      </c>
      <c r="AE666" s="289" t="s">
        <v>889</v>
      </c>
      <c r="AF666" s="279">
        <v>46</v>
      </c>
      <c r="AG666" s="282">
        <v>44883</v>
      </c>
      <c r="AH666" s="282">
        <v>40794</v>
      </c>
      <c r="AI666" s="282">
        <v>44917</v>
      </c>
      <c r="AJ666" s="282" t="s">
        <v>889</v>
      </c>
      <c r="AK666" s="274"/>
    </row>
    <row r="667" spans="1:37" x14ac:dyDescent="0.3">
      <c r="A667" s="273">
        <v>121054</v>
      </c>
      <c r="B667" s="274" t="s">
        <v>1747</v>
      </c>
      <c r="C667" s="146" t="s">
        <v>345</v>
      </c>
      <c r="D667" s="275">
        <v>498.9</v>
      </c>
      <c r="E667" s="274"/>
      <c r="F667" s="274"/>
      <c r="G667" s="274" t="s">
        <v>889</v>
      </c>
      <c r="H667" s="276">
        <v>95</v>
      </c>
      <c r="I667" s="24">
        <v>103003</v>
      </c>
      <c r="J667" s="277">
        <v>498.9</v>
      </c>
      <c r="K667" s="276">
        <v>1</v>
      </c>
      <c r="L667" s="278">
        <v>1187.5</v>
      </c>
      <c r="M667" s="279">
        <v>0</v>
      </c>
      <c r="N667" s="277">
        <v>0</v>
      </c>
      <c r="O667" s="280" t="s">
        <v>888</v>
      </c>
      <c r="P667" s="279">
        <v>0</v>
      </c>
      <c r="Q667" s="281">
        <v>0</v>
      </c>
      <c r="R667" s="282" t="s">
        <v>889</v>
      </c>
      <c r="S667" s="274" t="s">
        <v>1039</v>
      </c>
      <c r="T667" s="44">
        <v>1</v>
      </c>
      <c r="U667" s="283">
        <v>69</v>
      </c>
      <c r="V667" s="284">
        <v>10</v>
      </c>
      <c r="W667" s="285" t="s">
        <v>889</v>
      </c>
      <c r="X667" s="286" t="s">
        <v>889</v>
      </c>
      <c r="Y667" s="287">
        <v>0</v>
      </c>
      <c r="Z667" s="287" t="s">
        <v>889</v>
      </c>
      <c r="AA667" s="286" t="s">
        <v>889</v>
      </c>
      <c r="AB667" s="287">
        <v>0</v>
      </c>
      <c r="AC667" s="287"/>
      <c r="AD667" s="288" t="s">
        <v>889</v>
      </c>
      <c r="AE667" s="289" t="s">
        <v>889</v>
      </c>
      <c r="AF667" s="279">
        <v>0</v>
      </c>
      <c r="AG667" s="282">
        <v>44117</v>
      </c>
      <c r="AH667" s="282">
        <v>40805</v>
      </c>
      <c r="AI667" s="282">
        <v>44881</v>
      </c>
      <c r="AJ667" s="282" t="s">
        <v>889</v>
      </c>
      <c r="AK667" s="274"/>
    </row>
    <row r="668" spans="1:37" x14ac:dyDescent="0.3">
      <c r="A668" s="273">
        <v>121086</v>
      </c>
      <c r="B668" s="274" t="s">
        <v>1748</v>
      </c>
      <c r="C668" s="146" t="s">
        <v>301</v>
      </c>
      <c r="D668" s="275">
        <v>162</v>
      </c>
      <c r="E668" s="274"/>
      <c r="F668" s="274"/>
      <c r="G668" s="274" t="s">
        <v>889</v>
      </c>
      <c r="H668" s="276">
        <v>0</v>
      </c>
      <c r="I668" s="24">
        <v>103003</v>
      </c>
      <c r="J668" s="277">
        <v>162</v>
      </c>
      <c r="K668" s="276">
        <v>14</v>
      </c>
      <c r="L668" s="278">
        <v>0</v>
      </c>
      <c r="M668" s="279">
        <v>15</v>
      </c>
      <c r="N668" s="277">
        <v>2430</v>
      </c>
      <c r="O668" s="280" t="s">
        <v>888</v>
      </c>
      <c r="P668" s="279">
        <v>0</v>
      </c>
      <c r="Q668" s="281">
        <v>0</v>
      </c>
      <c r="R668" s="282" t="s">
        <v>889</v>
      </c>
      <c r="S668" s="274" t="s">
        <v>1749</v>
      </c>
      <c r="T668" s="44">
        <v>1</v>
      </c>
      <c r="U668" s="283">
        <v>75</v>
      </c>
      <c r="V668" s="284">
        <v>5</v>
      </c>
      <c r="W668" s="285" t="s">
        <v>889</v>
      </c>
      <c r="X668" s="286" t="s">
        <v>889</v>
      </c>
      <c r="Y668" s="287">
        <v>0</v>
      </c>
      <c r="Z668" s="287" t="s">
        <v>889</v>
      </c>
      <c r="AA668" s="286" t="s">
        <v>889</v>
      </c>
      <c r="AB668" s="287">
        <v>0</v>
      </c>
      <c r="AC668" s="287"/>
      <c r="AD668" s="288" t="s">
        <v>889</v>
      </c>
      <c r="AE668" s="289" t="s">
        <v>889</v>
      </c>
      <c r="AF668" s="279">
        <v>6</v>
      </c>
      <c r="AG668" s="282">
        <v>45184</v>
      </c>
      <c r="AH668" s="282">
        <v>40807</v>
      </c>
      <c r="AI668" s="282">
        <v>45173</v>
      </c>
      <c r="AJ668" s="282" t="s">
        <v>889</v>
      </c>
      <c r="AK668" s="274"/>
    </row>
    <row r="669" spans="1:37" x14ac:dyDescent="0.3">
      <c r="A669" s="273">
        <v>121126</v>
      </c>
      <c r="B669" s="274" t="s">
        <v>1750</v>
      </c>
      <c r="C669" s="146" t="s">
        <v>31</v>
      </c>
      <c r="D669" s="275">
        <v>0.12</v>
      </c>
      <c r="E669" s="274"/>
      <c r="F669" s="274"/>
      <c r="G669" s="274" t="s">
        <v>889</v>
      </c>
      <c r="H669" s="276">
        <v>0</v>
      </c>
      <c r="I669" s="24">
        <v>103003</v>
      </c>
      <c r="J669" s="277">
        <v>0.12</v>
      </c>
      <c r="K669" s="276">
        <v>34508</v>
      </c>
      <c r="L669" s="278">
        <v>0</v>
      </c>
      <c r="M669" s="279">
        <v>0</v>
      </c>
      <c r="N669" s="277">
        <v>0</v>
      </c>
      <c r="O669" s="280" t="s">
        <v>888</v>
      </c>
      <c r="P669" s="279">
        <v>0</v>
      </c>
      <c r="Q669" s="281">
        <v>0</v>
      </c>
      <c r="R669" s="282" t="s">
        <v>889</v>
      </c>
      <c r="S669" s="274" t="s">
        <v>1219</v>
      </c>
      <c r="T669" s="44">
        <v>1</v>
      </c>
      <c r="U669" s="283">
        <v>62</v>
      </c>
      <c r="V669" s="284">
        <v>10</v>
      </c>
      <c r="W669" s="285">
        <v>5544</v>
      </c>
      <c r="X669" s="286">
        <v>2023</v>
      </c>
      <c r="Y669" s="287">
        <v>200000</v>
      </c>
      <c r="Z669" s="287" t="s">
        <v>889</v>
      </c>
      <c r="AA669" s="286" t="s">
        <v>889</v>
      </c>
      <c r="AB669" s="287">
        <v>0</v>
      </c>
      <c r="AC669" s="287"/>
      <c r="AD669" s="288" t="s">
        <v>889</v>
      </c>
      <c r="AE669" s="289" t="s">
        <v>889</v>
      </c>
      <c r="AF669" s="279">
        <v>11502</v>
      </c>
      <c r="AG669" s="282">
        <v>44736</v>
      </c>
      <c r="AH669" s="282">
        <v>40814</v>
      </c>
      <c r="AI669" s="282">
        <v>44711</v>
      </c>
      <c r="AJ669" s="282" t="s">
        <v>889</v>
      </c>
      <c r="AK669" s="274"/>
    </row>
    <row r="670" spans="1:37" x14ac:dyDescent="0.3">
      <c r="A670" s="273">
        <v>122304</v>
      </c>
      <c r="B670" s="274" t="s">
        <v>1751</v>
      </c>
      <c r="C670" s="146" t="s">
        <v>31</v>
      </c>
      <c r="D670" s="275">
        <v>1.99</v>
      </c>
      <c r="E670" s="274"/>
      <c r="F670" s="274"/>
      <c r="G670" s="274" t="s">
        <v>889</v>
      </c>
      <c r="H670" s="276">
        <v>3000</v>
      </c>
      <c r="I670" s="24">
        <v>103003</v>
      </c>
      <c r="J670" s="277">
        <v>1.99</v>
      </c>
      <c r="K670" s="276">
        <v>1985</v>
      </c>
      <c r="L670" s="278">
        <v>17.561318269624774</v>
      </c>
      <c r="M670" s="279">
        <v>0</v>
      </c>
      <c r="N670" s="277">
        <v>0</v>
      </c>
      <c r="O670" s="280" t="s">
        <v>888</v>
      </c>
      <c r="P670" s="279">
        <v>0</v>
      </c>
      <c r="Q670" s="281">
        <v>0</v>
      </c>
      <c r="R670" s="282" t="s">
        <v>889</v>
      </c>
      <c r="S670" s="274" t="s">
        <v>1276</v>
      </c>
      <c r="T670" s="44">
        <v>1</v>
      </c>
      <c r="U670" s="283">
        <v>83</v>
      </c>
      <c r="V670" s="284">
        <v>4</v>
      </c>
      <c r="W670" s="285" t="s">
        <v>889</v>
      </c>
      <c r="X670" s="286" t="s">
        <v>889</v>
      </c>
      <c r="Y670" s="287">
        <v>0</v>
      </c>
      <c r="Z670" s="287" t="s">
        <v>889</v>
      </c>
      <c r="AA670" s="286" t="s">
        <v>889</v>
      </c>
      <c r="AB670" s="287">
        <v>0</v>
      </c>
      <c r="AC670" s="287"/>
      <c r="AD670" s="288" t="s">
        <v>889</v>
      </c>
      <c r="AE670" s="289" t="s">
        <v>889</v>
      </c>
      <c r="AF670" s="279">
        <v>684</v>
      </c>
      <c r="AG670" s="282">
        <v>45203</v>
      </c>
      <c r="AH670" s="282">
        <v>40946</v>
      </c>
      <c r="AI670" s="282">
        <v>45189</v>
      </c>
      <c r="AJ670" s="282" t="s">
        <v>889</v>
      </c>
      <c r="AK670" s="274"/>
    </row>
    <row r="671" spans="1:37" x14ac:dyDescent="0.3">
      <c r="A671" s="273">
        <v>122305</v>
      </c>
      <c r="B671" s="274" t="s">
        <v>1752</v>
      </c>
      <c r="C671" s="146" t="s">
        <v>31</v>
      </c>
      <c r="D671" s="275">
        <v>2.14</v>
      </c>
      <c r="E671" s="274"/>
      <c r="F671" s="274"/>
      <c r="G671" s="274" t="s">
        <v>889</v>
      </c>
      <c r="H671" s="276">
        <v>426</v>
      </c>
      <c r="I671" s="24">
        <v>103003</v>
      </c>
      <c r="J671" s="277">
        <v>2.14</v>
      </c>
      <c r="K671" s="276">
        <v>899</v>
      </c>
      <c r="L671" s="278">
        <v>5.661129568106313</v>
      </c>
      <c r="M671" s="279">
        <v>477</v>
      </c>
      <c r="N671" s="277">
        <v>1020.78</v>
      </c>
      <c r="O671" s="280" t="s">
        <v>888</v>
      </c>
      <c r="P671" s="279">
        <v>0</v>
      </c>
      <c r="Q671" s="281">
        <v>0</v>
      </c>
      <c r="R671" s="282" t="s">
        <v>889</v>
      </c>
      <c r="S671" s="274" t="s">
        <v>1276</v>
      </c>
      <c r="T671" s="44">
        <v>1</v>
      </c>
      <c r="U671" s="283">
        <v>83</v>
      </c>
      <c r="V671" s="284">
        <v>4</v>
      </c>
      <c r="W671" s="285" t="s">
        <v>889</v>
      </c>
      <c r="X671" s="286" t="s">
        <v>889</v>
      </c>
      <c r="Y671" s="287">
        <v>0</v>
      </c>
      <c r="Z671" s="287" t="s">
        <v>889</v>
      </c>
      <c r="AA671" s="286" t="s">
        <v>889</v>
      </c>
      <c r="AB671" s="287">
        <v>0</v>
      </c>
      <c r="AC671" s="287"/>
      <c r="AD671" s="288" t="s">
        <v>889</v>
      </c>
      <c r="AE671" s="289" t="s">
        <v>889</v>
      </c>
      <c r="AF671" s="279">
        <v>302</v>
      </c>
      <c r="AG671" s="282">
        <v>43818</v>
      </c>
      <c r="AH671" s="282">
        <v>40946</v>
      </c>
      <c r="AI671" s="282">
        <v>44214</v>
      </c>
      <c r="AJ671" s="282" t="s">
        <v>889</v>
      </c>
      <c r="AK671" s="274"/>
    </row>
    <row r="672" spans="1:37" x14ac:dyDescent="0.3">
      <c r="A672" s="273">
        <v>122818</v>
      </c>
      <c r="B672" s="274" t="s">
        <v>1753</v>
      </c>
      <c r="C672" s="146" t="s">
        <v>560</v>
      </c>
      <c r="D672" s="275">
        <v>319.89999999999998</v>
      </c>
      <c r="E672" s="274"/>
      <c r="F672" s="274"/>
      <c r="G672" s="274" t="s">
        <v>889</v>
      </c>
      <c r="H672" s="276">
        <v>2259.25</v>
      </c>
      <c r="I672" s="24">
        <v>103003</v>
      </c>
      <c r="J672" s="277">
        <v>319.89999999999998</v>
      </c>
      <c r="K672" s="276">
        <v>589</v>
      </c>
      <c r="L672" s="278">
        <v>46.031988590057047</v>
      </c>
      <c r="M672" s="279">
        <v>0</v>
      </c>
      <c r="N672" s="277">
        <v>0</v>
      </c>
      <c r="O672" s="280" t="s">
        <v>888</v>
      </c>
      <c r="P672" s="279">
        <v>0</v>
      </c>
      <c r="Q672" s="281">
        <v>0</v>
      </c>
      <c r="R672" s="282" t="s">
        <v>889</v>
      </c>
      <c r="S672" s="274" t="s">
        <v>1734</v>
      </c>
      <c r="T672" s="44">
        <v>1</v>
      </c>
      <c r="U672" s="283">
        <v>51</v>
      </c>
      <c r="V672" s="284">
        <v>21</v>
      </c>
      <c r="W672" s="285" t="s">
        <v>889</v>
      </c>
      <c r="X672" s="286" t="s">
        <v>889</v>
      </c>
      <c r="Y672" s="287">
        <v>0</v>
      </c>
      <c r="Z672" s="287" t="s">
        <v>889</v>
      </c>
      <c r="AA672" s="286" t="s">
        <v>889</v>
      </c>
      <c r="AB672" s="287">
        <v>0</v>
      </c>
      <c r="AC672" s="287"/>
      <c r="AD672" s="288" t="s">
        <v>889</v>
      </c>
      <c r="AE672" s="289" t="s">
        <v>889</v>
      </c>
      <c r="AF672" s="279">
        <v>196</v>
      </c>
      <c r="AG672" s="282">
        <v>44553</v>
      </c>
      <c r="AH672" s="282">
        <v>41003</v>
      </c>
      <c r="AI672" s="282">
        <v>44412</v>
      </c>
      <c r="AJ672" s="282" t="s">
        <v>889</v>
      </c>
      <c r="AK672" s="274"/>
    </row>
    <row r="673" spans="1:37" x14ac:dyDescent="0.3">
      <c r="A673" s="273">
        <v>123131</v>
      </c>
      <c r="B673" s="274" t="s">
        <v>1754</v>
      </c>
      <c r="C673" s="146" t="s">
        <v>345</v>
      </c>
      <c r="D673" s="275">
        <v>30</v>
      </c>
      <c r="E673" s="274"/>
      <c r="F673" s="274"/>
      <c r="G673" s="274" t="s">
        <v>889</v>
      </c>
      <c r="H673" s="276">
        <v>332</v>
      </c>
      <c r="I673" s="24">
        <v>103003</v>
      </c>
      <c r="J673" s="277">
        <v>30</v>
      </c>
      <c r="K673" s="276"/>
      <c r="L673" s="278">
        <v>0</v>
      </c>
      <c r="M673" s="279">
        <v>0</v>
      </c>
      <c r="N673" s="277">
        <v>0</v>
      </c>
      <c r="O673" s="280" t="s">
        <v>888</v>
      </c>
      <c r="P673" s="279">
        <v>0</v>
      </c>
      <c r="Q673" s="281">
        <v>0</v>
      </c>
      <c r="R673" s="282" t="s">
        <v>889</v>
      </c>
      <c r="S673" s="274" t="s">
        <v>1337</v>
      </c>
      <c r="T673" s="44">
        <v>1</v>
      </c>
      <c r="U673" s="283">
        <v>69</v>
      </c>
      <c r="V673" s="284">
        <v>2</v>
      </c>
      <c r="W673" s="285" t="s">
        <v>889</v>
      </c>
      <c r="X673" s="286" t="s">
        <v>889</v>
      </c>
      <c r="Y673" s="287">
        <v>0</v>
      </c>
      <c r="Z673" s="287" t="s">
        <v>889</v>
      </c>
      <c r="AA673" s="286" t="s">
        <v>889</v>
      </c>
      <c r="AB673" s="287">
        <v>0</v>
      </c>
      <c r="AC673" s="287"/>
      <c r="AD673" s="288" t="s">
        <v>889</v>
      </c>
      <c r="AE673" s="289" t="s">
        <v>889</v>
      </c>
      <c r="AF673" s="279">
        <v>0</v>
      </c>
      <c r="AG673" s="282">
        <v>43622</v>
      </c>
      <c r="AH673" s="282">
        <v>41053</v>
      </c>
      <c r="AI673" s="282">
        <v>43614</v>
      </c>
      <c r="AJ673" s="282" t="s">
        <v>889</v>
      </c>
      <c r="AK673" s="274"/>
    </row>
    <row r="674" spans="1:37" x14ac:dyDescent="0.3">
      <c r="A674" s="273">
        <v>123132</v>
      </c>
      <c r="B674" s="274" t="s">
        <v>1755</v>
      </c>
      <c r="C674" s="146" t="s">
        <v>345</v>
      </c>
      <c r="D674" s="275">
        <v>53.47</v>
      </c>
      <c r="E674" s="274"/>
      <c r="F674" s="274"/>
      <c r="G674" s="274" t="s">
        <v>889</v>
      </c>
      <c r="H674" s="276">
        <v>527</v>
      </c>
      <c r="I674" s="24">
        <v>103003</v>
      </c>
      <c r="J674" s="277">
        <v>53.47</v>
      </c>
      <c r="K674" s="276"/>
      <c r="L674" s="278">
        <v>0</v>
      </c>
      <c r="M674" s="279">
        <v>0</v>
      </c>
      <c r="N674" s="277">
        <v>0</v>
      </c>
      <c r="O674" s="280" t="s">
        <v>888</v>
      </c>
      <c r="P674" s="279">
        <v>0</v>
      </c>
      <c r="Q674" s="281">
        <v>0</v>
      </c>
      <c r="R674" s="282" t="s">
        <v>889</v>
      </c>
      <c r="S674" s="274" t="s">
        <v>1337</v>
      </c>
      <c r="T674" s="44">
        <v>1</v>
      </c>
      <c r="U674" s="283">
        <v>69</v>
      </c>
      <c r="V674" s="284">
        <v>2</v>
      </c>
      <c r="W674" s="285" t="s">
        <v>889</v>
      </c>
      <c r="X674" s="286" t="s">
        <v>889</v>
      </c>
      <c r="Y674" s="287">
        <v>0</v>
      </c>
      <c r="Z674" s="287" t="s">
        <v>889</v>
      </c>
      <c r="AA674" s="286" t="s">
        <v>889</v>
      </c>
      <c r="AB674" s="287">
        <v>0</v>
      </c>
      <c r="AC674" s="287"/>
      <c r="AD674" s="288" t="s">
        <v>889</v>
      </c>
      <c r="AE674" s="289" t="s">
        <v>889</v>
      </c>
      <c r="AF674" s="279">
        <v>0</v>
      </c>
      <c r="AG674" s="282">
        <v>43690</v>
      </c>
      <c r="AH674" s="282">
        <v>41053</v>
      </c>
      <c r="AI674" s="282">
        <v>43671</v>
      </c>
      <c r="AJ674" s="282" t="s">
        <v>889</v>
      </c>
      <c r="AK674" s="274"/>
    </row>
    <row r="675" spans="1:37" x14ac:dyDescent="0.3">
      <c r="A675" s="273">
        <v>123133</v>
      </c>
      <c r="B675" s="274" t="s">
        <v>1756</v>
      </c>
      <c r="C675" s="146" t="s">
        <v>345</v>
      </c>
      <c r="D675" s="275">
        <v>15.97</v>
      </c>
      <c r="E675" s="274"/>
      <c r="F675" s="274"/>
      <c r="G675" s="274" t="s">
        <v>889</v>
      </c>
      <c r="H675" s="276">
        <v>382</v>
      </c>
      <c r="I675" s="24">
        <v>103003</v>
      </c>
      <c r="J675" s="277">
        <v>15.97</v>
      </c>
      <c r="K675" s="276">
        <v>8</v>
      </c>
      <c r="L675" s="278">
        <v>570.14925373134326</v>
      </c>
      <c r="M675" s="279">
        <v>0</v>
      </c>
      <c r="N675" s="277">
        <v>0</v>
      </c>
      <c r="O675" s="280" t="s">
        <v>888</v>
      </c>
      <c r="P675" s="279">
        <v>0</v>
      </c>
      <c r="Q675" s="281">
        <v>0</v>
      </c>
      <c r="R675" s="282" t="s">
        <v>889</v>
      </c>
      <c r="S675" s="274" t="s">
        <v>1337</v>
      </c>
      <c r="T675" s="44">
        <v>1</v>
      </c>
      <c r="U675" s="283">
        <v>69</v>
      </c>
      <c r="V675" s="284">
        <v>2</v>
      </c>
      <c r="W675" s="285" t="s">
        <v>889</v>
      </c>
      <c r="X675" s="286" t="s">
        <v>889</v>
      </c>
      <c r="Y675" s="287">
        <v>0</v>
      </c>
      <c r="Z675" s="287" t="s">
        <v>889</v>
      </c>
      <c r="AA675" s="286" t="s">
        <v>889</v>
      </c>
      <c r="AB675" s="287">
        <v>0</v>
      </c>
      <c r="AC675" s="287"/>
      <c r="AD675" s="288" t="s">
        <v>889</v>
      </c>
      <c r="AE675" s="289" t="s">
        <v>889</v>
      </c>
      <c r="AF675" s="279">
        <v>2</v>
      </c>
      <c r="AG675" s="282">
        <v>43690</v>
      </c>
      <c r="AH675" s="282">
        <v>41053</v>
      </c>
      <c r="AI675" s="282">
        <v>43671</v>
      </c>
      <c r="AJ675" s="282" t="s">
        <v>889</v>
      </c>
      <c r="AK675" s="274"/>
    </row>
    <row r="676" spans="1:37" x14ac:dyDescent="0.3">
      <c r="A676" s="273">
        <v>123349</v>
      </c>
      <c r="B676" s="274" t="s">
        <v>1757</v>
      </c>
      <c r="C676" s="146" t="s">
        <v>269</v>
      </c>
      <c r="D676" s="275">
        <v>12.78</v>
      </c>
      <c r="E676" s="274"/>
      <c r="F676" s="274"/>
      <c r="G676" s="274" t="s">
        <v>889</v>
      </c>
      <c r="H676" s="276">
        <v>164</v>
      </c>
      <c r="I676" s="24">
        <v>103003</v>
      </c>
      <c r="J676" s="277">
        <v>12.78</v>
      </c>
      <c r="K676" s="276"/>
      <c r="L676" s="278">
        <v>0</v>
      </c>
      <c r="M676" s="279">
        <v>0</v>
      </c>
      <c r="N676" s="277">
        <v>0</v>
      </c>
      <c r="O676" s="280" t="s">
        <v>888</v>
      </c>
      <c r="P676" s="279">
        <v>0</v>
      </c>
      <c r="Q676" s="281">
        <v>0</v>
      </c>
      <c r="R676" s="282" t="s">
        <v>889</v>
      </c>
      <c r="S676" s="274" t="s">
        <v>1169</v>
      </c>
      <c r="T676" s="44">
        <v>1</v>
      </c>
      <c r="U676" s="283">
        <v>67</v>
      </c>
      <c r="V676" s="284">
        <v>7</v>
      </c>
      <c r="W676" s="285" t="s">
        <v>889</v>
      </c>
      <c r="X676" s="286" t="s">
        <v>889</v>
      </c>
      <c r="Y676" s="287">
        <v>0</v>
      </c>
      <c r="Z676" s="287" t="s">
        <v>889</v>
      </c>
      <c r="AA676" s="286" t="s">
        <v>889</v>
      </c>
      <c r="AB676" s="287">
        <v>0</v>
      </c>
      <c r="AC676" s="287"/>
      <c r="AD676" s="288" t="s">
        <v>889</v>
      </c>
      <c r="AE676" s="289" t="s">
        <v>889</v>
      </c>
      <c r="AF676" s="279">
        <v>0</v>
      </c>
      <c r="AG676" s="282">
        <v>44055</v>
      </c>
      <c r="AH676" s="282">
        <v>41096</v>
      </c>
      <c r="AI676" s="282">
        <v>44040</v>
      </c>
      <c r="AJ676" s="282" t="s">
        <v>889</v>
      </c>
      <c r="AK676" s="274"/>
    </row>
    <row r="677" spans="1:37" x14ac:dyDescent="0.3">
      <c r="A677" s="273">
        <v>123350</v>
      </c>
      <c r="B677" s="274" t="s">
        <v>1758</v>
      </c>
      <c r="C677" s="146" t="s">
        <v>269</v>
      </c>
      <c r="D677" s="275">
        <v>20.47</v>
      </c>
      <c r="E677" s="274"/>
      <c r="F677" s="274"/>
      <c r="G677" s="274" t="s">
        <v>889</v>
      </c>
      <c r="H677" s="276">
        <v>91</v>
      </c>
      <c r="I677" s="24">
        <v>103003</v>
      </c>
      <c r="J677" s="277">
        <v>20.47</v>
      </c>
      <c r="K677" s="276"/>
      <c r="L677" s="278">
        <v>0</v>
      </c>
      <c r="M677" s="279">
        <v>0</v>
      </c>
      <c r="N677" s="277">
        <v>0</v>
      </c>
      <c r="O677" s="280" t="s">
        <v>888</v>
      </c>
      <c r="P677" s="279">
        <v>0</v>
      </c>
      <c r="Q677" s="281">
        <v>0</v>
      </c>
      <c r="R677" s="282" t="s">
        <v>889</v>
      </c>
      <c r="S677" s="274" t="s">
        <v>1169</v>
      </c>
      <c r="T677" s="44">
        <v>1</v>
      </c>
      <c r="U677" s="283">
        <v>67</v>
      </c>
      <c r="V677" s="284">
        <v>7</v>
      </c>
      <c r="W677" s="285" t="s">
        <v>889</v>
      </c>
      <c r="X677" s="286" t="s">
        <v>889</v>
      </c>
      <c r="Y677" s="287">
        <v>0</v>
      </c>
      <c r="Z677" s="287" t="s">
        <v>889</v>
      </c>
      <c r="AA677" s="286" t="s">
        <v>889</v>
      </c>
      <c r="AB677" s="287">
        <v>0</v>
      </c>
      <c r="AC677" s="287"/>
      <c r="AD677" s="288" t="s">
        <v>889</v>
      </c>
      <c r="AE677" s="289" t="s">
        <v>889</v>
      </c>
      <c r="AF677" s="279">
        <v>0</v>
      </c>
      <c r="AG677" s="282">
        <v>43560</v>
      </c>
      <c r="AH677" s="282">
        <v>41096</v>
      </c>
      <c r="AI677" s="282">
        <v>43524</v>
      </c>
      <c r="AJ677" s="282" t="s">
        <v>889</v>
      </c>
      <c r="AK677" s="274"/>
    </row>
    <row r="678" spans="1:37" x14ac:dyDescent="0.3">
      <c r="A678" s="273">
        <v>123370</v>
      </c>
      <c r="B678" s="274" t="s">
        <v>1759</v>
      </c>
      <c r="C678" s="146" t="s">
        <v>272</v>
      </c>
      <c r="D678" s="275">
        <v>65.45</v>
      </c>
      <c r="E678" s="274"/>
      <c r="F678" s="274"/>
      <c r="G678" s="274" t="s">
        <v>889</v>
      </c>
      <c r="H678" s="276">
        <v>49</v>
      </c>
      <c r="I678" s="24">
        <v>103003</v>
      </c>
      <c r="J678" s="277">
        <v>65.45</v>
      </c>
      <c r="K678" s="276">
        <v>120</v>
      </c>
      <c r="L678" s="278">
        <v>4.9000000000000004</v>
      </c>
      <c r="M678" s="279">
        <v>71</v>
      </c>
      <c r="N678" s="277">
        <v>4646.95</v>
      </c>
      <c r="O678" s="280" t="s">
        <v>888</v>
      </c>
      <c r="P678" s="279">
        <v>0</v>
      </c>
      <c r="Q678" s="281">
        <v>0</v>
      </c>
      <c r="R678" s="282" t="s">
        <v>889</v>
      </c>
      <c r="S678" s="274" t="s">
        <v>1676</v>
      </c>
      <c r="T678" s="44">
        <v>1</v>
      </c>
      <c r="U678" s="283">
        <v>55</v>
      </c>
      <c r="V678" s="284">
        <v>19</v>
      </c>
      <c r="W678" s="285" t="s">
        <v>889</v>
      </c>
      <c r="X678" s="286" t="s">
        <v>889</v>
      </c>
      <c r="Y678" s="287">
        <v>0</v>
      </c>
      <c r="Z678" s="287" t="s">
        <v>889</v>
      </c>
      <c r="AA678" s="286" t="s">
        <v>889</v>
      </c>
      <c r="AB678" s="287">
        <v>0</v>
      </c>
      <c r="AC678" s="287"/>
      <c r="AD678" s="288" t="s">
        <v>889</v>
      </c>
      <c r="AE678" s="289" t="s">
        <v>889</v>
      </c>
      <c r="AF678" s="279">
        <v>0</v>
      </c>
      <c r="AG678" s="282">
        <v>42643</v>
      </c>
      <c r="AH678" s="282">
        <v>41101</v>
      </c>
      <c r="AI678" s="282">
        <v>42577</v>
      </c>
      <c r="AJ678" s="282" t="s">
        <v>889</v>
      </c>
      <c r="AK678" s="274"/>
    </row>
    <row r="679" spans="1:37" x14ac:dyDescent="0.3">
      <c r="A679" s="273">
        <v>123372</v>
      </c>
      <c r="B679" s="274" t="s">
        <v>1760</v>
      </c>
      <c r="C679" s="146" t="s">
        <v>272</v>
      </c>
      <c r="D679" s="275">
        <v>33</v>
      </c>
      <c r="E679" s="274"/>
      <c r="F679" s="274"/>
      <c r="G679" s="274" t="s">
        <v>889</v>
      </c>
      <c r="H679" s="276">
        <v>651</v>
      </c>
      <c r="I679" s="24">
        <v>103003</v>
      </c>
      <c r="J679" s="277">
        <v>33</v>
      </c>
      <c r="K679" s="276">
        <v>27</v>
      </c>
      <c r="L679" s="278">
        <v>289.33333333333331</v>
      </c>
      <c r="M679" s="279">
        <v>0</v>
      </c>
      <c r="N679" s="277">
        <v>0</v>
      </c>
      <c r="O679" s="280" t="s">
        <v>888</v>
      </c>
      <c r="P679" s="279">
        <v>0</v>
      </c>
      <c r="Q679" s="281">
        <v>0</v>
      </c>
      <c r="R679" s="282" t="s">
        <v>889</v>
      </c>
      <c r="S679" s="274" t="s">
        <v>1676</v>
      </c>
      <c r="T679" s="44">
        <v>1</v>
      </c>
      <c r="U679" s="283">
        <v>55</v>
      </c>
      <c r="V679" s="284">
        <v>19</v>
      </c>
      <c r="W679" s="285" t="s">
        <v>889</v>
      </c>
      <c r="X679" s="286" t="s">
        <v>889</v>
      </c>
      <c r="Y679" s="287">
        <v>0</v>
      </c>
      <c r="Z679" s="287" t="s">
        <v>889</v>
      </c>
      <c r="AA679" s="286" t="s">
        <v>889</v>
      </c>
      <c r="AB679" s="287">
        <v>0</v>
      </c>
      <c r="AC679" s="287"/>
      <c r="AD679" s="288" t="s">
        <v>889</v>
      </c>
      <c r="AE679" s="289" t="s">
        <v>889</v>
      </c>
      <c r="AF679" s="279">
        <v>10</v>
      </c>
      <c r="AG679" s="282">
        <v>41471</v>
      </c>
      <c r="AH679" s="282">
        <v>41101</v>
      </c>
      <c r="AI679" s="282">
        <v>43584</v>
      </c>
      <c r="AJ679" s="282" t="s">
        <v>889</v>
      </c>
      <c r="AK679" s="274"/>
    </row>
    <row r="680" spans="1:37" x14ac:dyDescent="0.3">
      <c r="A680" s="273">
        <v>123618</v>
      </c>
      <c r="B680" s="274" t="s">
        <v>1761</v>
      </c>
      <c r="C680" s="146" t="s">
        <v>345</v>
      </c>
      <c r="D680" s="275">
        <v>29.45</v>
      </c>
      <c r="E680" s="274"/>
      <c r="F680" s="274"/>
      <c r="G680" s="274" t="s">
        <v>889</v>
      </c>
      <c r="H680" s="276">
        <v>999</v>
      </c>
      <c r="I680" s="24">
        <v>103003</v>
      </c>
      <c r="J680" s="277">
        <v>29.445920000000001</v>
      </c>
      <c r="K680" s="276"/>
      <c r="L680" s="278">
        <v>0</v>
      </c>
      <c r="M680" s="279">
        <v>0</v>
      </c>
      <c r="N680" s="277">
        <v>0</v>
      </c>
      <c r="O680" s="280" t="s">
        <v>888</v>
      </c>
      <c r="P680" s="279">
        <v>0</v>
      </c>
      <c r="Q680" s="281">
        <v>0</v>
      </c>
      <c r="R680" s="282" t="s">
        <v>889</v>
      </c>
      <c r="S680" s="274" t="s">
        <v>1337</v>
      </c>
      <c r="T680" s="44">
        <v>1</v>
      </c>
      <c r="U680" s="283">
        <v>69</v>
      </c>
      <c r="V680" s="284">
        <v>2</v>
      </c>
      <c r="W680" s="285" t="s">
        <v>889</v>
      </c>
      <c r="X680" s="286" t="s">
        <v>889</v>
      </c>
      <c r="Y680" s="287">
        <v>0</v>
      </c>
      <c r="Z680" s="287" t="s">
        <v>889</v>
      </c>
      <c r="AA680" s="286" t="s">
        <v>889</v>
      </c>
      <c r="AB680" s="287">
        <v>0</v>
      </c>
      <c r="AC680" s="287"/>
      <c r="AD680" s="288" t="s">
        <v>889</v>
      </c>
      <c r="AE680" s="289" t="s">
        <v>889</v>
      </c>
      <c r="AF680" s="279">
        <v>0</v>
      </c>
      <c r="AG680" s="282">
        <v>43658</v>
      </c>
      <c r="AH680" s="282">
        <v>41142</v>
      </c>
      <c r="AI680" s="282">
        <v>43614</v>
      </c>
      <c r="AJ680" s="282" t="s">
        <v>889</v>
      </c>
      <c r="AK680" s="274"/>
    </row>
    <row r="681" spans="1:37" x14ac:dyDescent="0.3">
      <c r="A681" s="273">
        <v>123710</v>
      </c>
      <c r="B681" s="274" t="s">
        <v>1762</v>
      </c>
      <c r="C681" s="146" t="s">
        <v>260</v>
      </c>
      <c r="D681" s="275">
        <v>178</v>
      </c>
      <c r="E681" s="274"/>
      <c r="F681" s="274"/>
      <c r="G681" s="274" t="s">
        <v>889</v>
      </c>
      <c r="H681" s="276">
        <v>73</v>
      </c>
      <c r="I681" s="24">
        <v>103003</v>
      </c>
      <c r="J681" s="277">
        <v>178</v>
      </c>
      <c r="K681" s="276">
        <v>126</v>
      </c>
      <c r="L681" s="278">
        <v>5.4074074074074074</v>
      </c>
      <c r="M681" s="279">
        <v>89</v>
      </c>
      <c r="N681" s="277">
        <v>15842</v>
      </c>
      <c r="O681" s="280" t="s">
        <v>888</v>
      </c>
      <c r="P681" s="279">
        <v>0</v>
      </c>
      <c r="Q681" s="281">
        <v>0</v>
      </c>
      <c r="R681" s="282" t="s">
        <v>889</v>
      </c>
      <c r="S681" s="274" t="s">
        <v>1763</v>
      </c>
      <c r="T681" s="44">
        <v>1</v>
      </c>
      <c r="U681" s="283">
        <v>61</v>
      </c>
      <c r="V681" s="284">
        <v>4</v>
      </c>
      <c r="W681" s="285" t="s">
        <v>889</v>
      </c>
      <c r="X681" s="286" t="s">
        <v>889</v>
      </c>
      <c r="Y681" s="287">
        <v>0</v>
      </c>
      <c r="Z681" s="287" t="s">
        <v>889</v>
      </c>
      <c r="AA681" s="286" t="s">
        <v>889</v>
      </c>
      <c r="AB681" s="287">
        <v>0</v>
      </c>
      <c r="AC681" s="287"/>
      <c r="AD681" s="288" t="s">
        <v>889</v>
      </c>
      <c r="AE681" s="289" t="s">
        <v>889</v>
      </c>
      <c r="AF681" s="279">
        <v>54</v>
      </c>
      <c r="AG681" s="282">
        <v>45170</v>
      </c>
      <c r="AH681" s="282">
        <v>41143</v>
      </c>
      <c r="AI681" s="282">
        <v>45145</v>
      </c>
      <c r="AJ681" s="282" t="s">
        <v>889</v>
      </c>
      <c r="AK681" s="274"/>
    </row>
    <row r="682" spans="1:37" x14ac:dyDescent="0.3">
      <c r="A682" s="273">
        <v>124261</v>
      </c>
      <c r="B682" s="274" t="s">
        <v>1764</v>
      </c>
      <c r="C682" s="146" t="s">
        <v>380</v>
      </c>
      <c r="D682" s="275">
        <v>0.86</v>
      </c>
      <c r="E682" s="274"/>
      <c r="F682" s="274"/>
      <c r="G682" s="274" t="s">
        <v>889</v>
      </c>
      <c r="H682" s="276">
        <v>310</v>
      </c>
      <c r="I682" s="24">
        <v>103003</v>
      </c>
      <c r="J682" s="277">
        <v>0.86</v>
      </c>
      <c r="K682" s="276">
        <v>5210</v>
      </c>
      <c r="L682" s="278">
        <v>0.44497394749307423</v>
      </c>
      <c r="M682" s="279">
        <v>7550.04</v>
      </c>
      <c r="N682" s="277">
        <v>6493.0343999999996</v>
      </c>
      <c r="O682" s="280" t="s">
        <v>888</v>
      </c>
      <c r="P682" s="279">
        <v>0</v>
      </c>
      <c r="Q682" s="281">
        <v>0</v>
      </c>
      <c r="R682" s="282" t="s">
        <v>889</v>
      </c>
      <c r="S682" s="274" t="s">
        <v>1130</v>
      </c>
      <c r="T682" s="44">
        <v>1</v>
      </c>
      <c r="U682" s="283">
        <v>57</v>
      </c>
      <c r="V682" s="284">
        <v>15</v>
      </c>
      <c r="W682" s="285">
        <v>6216</v>
      </c>
      <c r="X682" s="286">
        <v>2023</v>
      </c>
      <c r="Y682" s="287">
        <v>500</v>
      </c>
      <c r="Z682" s="287" t="s">
        <v>889</v>
      </c>
      <c r="AA682" s="286" t="s">
        <v>889</v>
      </c>
      <c r="AB682" s="287">
        <v>0</v>
      </c>
      <c r="AC682" s="287"/>
      <c r="AD682" s="288" t="s">
        <v>889</v>
      </c>
      <c r="AE682" s="289" t="s">
        <v>889</v>
      </c>
      <c r="AF682" s="279">
        <v>2786</v>
      </c>
      <c r="AG682" s="282">
        <v>44974</v>
      </c>
      <c r="AH682" s="282">
        <v>41170</v>
      </c>
      <c r="AI682" s="282">
        <v>44959</v>
      </c>
      <c r="AJ682" s="282" t="s">
        <v>889</v>
      </c>
      <c r="AK682" s="274"/>
    </row>
    <row r="683" spans="1:37" x14ac:dyDescent="0.3">
      <c r="A683" s="273">
        <v>124963</v>
      </c>
      <c r="B683" s="274" t="s">
        <v>1765</v>
      </c>
      <c r="C683" s="146" t="s">
        <v>269</v>
      </c>
      <c r="D683" s="275">
        <v>22</v>
      </c>
      <c r="E683" s="274"/>
      <c r="F683" s="274"/>
      <c r="G683" s="274" t="s">
        <v>889</v>
      </c>
      <c r="H683" s="276">
        <v>156</v>
      </c>
      <c r="I683" s="24">
        <v>103003</v>
      </c>
      <c r="J683" s="277">
        <v>22</v>
      </c>
      <c r="K683" s="276">
        <v>106</v>
      </c>
      <c r="L683" s="278">
        <v>14.511627906976743</v>
      </c>
      <c r="M683" s="279">
        <v>0</v>
      </c>
      <c r="N683" s="277">
        <v>0</v>
      </c>
      <c r="O683" s="280" t="s">
        <v>888</v>
      </c>
      <c r="P683" s="279">
        <v>0</v>
      </c>
      <c r="Q683" s="281">
        <v>0</v>
      </c>
      <c r="R683" s="282" t="s">
        <v>889</v>
      </c>
      <c r="S683" s="274" t="s">
        <v>1527</v>
      </c>
      <c r="T683" s="44">
        <v>1</v>
      </c>
      <c r="U683" s="283">
        <v>67</v>
      </c>
      <c r="V683" s="284">
        <v>3</v>
      </c>
      <c r="W683" s="285" t="s">
        <v>889</v>
      </c>
      <c r="X683" s="286" t="s">
        <v>889</v>
      </c>
      <c r="Y683" s="287">
        <v>0</v>
      </c>
      <c r="Z683" s="287" t="s">
        <v>889</v>
      </c>
      <c r="AA683" s="286" t="s">
        <v>889</v>
      </c>
      <c r="AB683" s="287">
        <v>0</v>
      </c>
      <c r="AC683" s="287"/>
      <c r="AD683" s="288" t="s">
        <v>889</v>
      </c>
      <c r="AE683" s="289" t="s">
        <v>889</v>
      </c>
      <c r="AF683" s="279">
        <v>44</v>
      </c>
      <c r="AG683" s="282">
        <v>45201</v>
      </c>
      <c r="AH683" s="282">
        <v>41309</v>
      </c>
      <c r="AI683" s="282">
        <v>45189</v>
      </c>
      <c r="AJ683" s="282" t="s">
        <v>889</v>
      </c>
      <c r="AK683" s="274"/>
    </row>
    <row r="684" spans="1:37" x14ac:dyDescent="0.3">
      <c r="A684" s="273">
        <v>125173</v>
      </c>
      <c r="B684" s="274" t="s">
        <v>1766</v>
      </c>
      <c r="C684" s="146" t="s">
        <v>31</v>
      </c>
      <c r="D684" s="275">
        <v>2.37</v>
      </c>
      <c r="E684" s="274"/>
      <c r="F684" s="274"/>
      <c r="G684" s="274" t="s">
        <v>889</v>
      </c>
      <c r="H684" s="276">
        <v>185</v>
      </c>
      <c r="I684" s="24">
        <v>103003</v>
      </c>
      <c r="J684" s="277">
        <v>2.37</v>
      </c>
      <c r="K684" s="276">
        <v>47</v>
      </c>
      <c r="L684" s="278">
        <v>44.364508393285369</v>
      </c>
      <c r="M684" s="279">
        <v>0</v>
      </c>
      <c r="N684" s="277">
        <v>0</v>
      </c>
      <c r="O684" s="280" t="s">
        <v>888</v>
      </c>
      <c r="P684" s="279">
        <v>0</v>
      </c>
      <c r="Q684" s="281">
        <v>0</v>
      </c>
      <c r="R684" s="282" t="s">
        <v>889</v>
      </c>
      <c r="S684" s="274" t="s">
        <v>966</v>
      </c>
      <c r="T684" s="44">
        <v>1</v>
      </c>
      <c r="U684" s="283">
        <v>61</v>
      </c>
      <c r="V684" s="284">
        <v>8</v>
      </c>
      <c r="W684" s="285" t="s">
        <v>889</v>
      </c>
      <c r="X684" s="286" t="s">
        <v>889</v>
      </c>
      <c r="Y684" s="287">
        <v>0</v>
      </c>
      <c r="Z684" s="287" t="s">
        <v>889</v>
      </c>
      <c r="AA684" s="286" t="s">
        <v>889</v>
      </c>
      <c r="AB684" s="287">
        <v>0</v>
      </c>
      <c r="AC684" s="287"/>
      <c r="AD684" s="288" t="s">
        <v>889</v>
      </c>
      <c r="AE684" s="289" t="s">
        <v>889</v>
      </c>
      <c r="AF684" s="279">
        <v>16</v>
      </c>
      <c r="AG684" s="282">
        <v>44526</v>
      </c>
      <c r="AH684" s="282">
        <v>41345</v>
      </c>
      <c r="AI684" s="282">
        <v>45096</v>
      </c>
      <c r="AJ684" s="282" t="s">
        <v>889</v>
      </c>
      <c r="AK684" s="274"/>
    </row>
    <row r="685" spans="1:37" x14ac:dyDescent="0.3">
      <c r="A685" s="273">
        <v>125201</v>
      </c>
      <c r="B685" s="274" t="s">
        <v>1767</v>
      </c>
      <c r="C685" s="146" t="s">
        <v>269</v>
      </c>
      <c r="D685" s="275">
        <v>23.94</v>
      </c>
      <c r="E685" s="274"/>
      <c r="F685" s="274"/>
      <c r="G685" s="274" t="s">
        <v>889</v>
      </c>
      <c r="H685" s="276">
        <v>668</v>
      </c>
      <c r="I685" s="24">
        <v>103003</v>
      </c>
      <c r="J685" s="277">
        <v>23.94</v>
      </c>
      <c r="K685" s="276">
        <v>96</v>
      </c>
      <c r="L685" s="278">
        <v>80.19207683073229</v>
      </c>
      <c r="M685" s="279">
        <v>0</v>
      </c>
      <c r="N685" s="277">
        <v>0</v>
      </c>
      <c r="O685" s="280" t="s">
        <v>888</v>
      </c>
      <c r="P685" s="279">
        <v>0</v>
      </c>
      <c r="Q685" s="281">
        <v>0</v>
      </c>
      <c r="R685" s="282" t="s">
        <v>889</v>
      </c>
      <c r="S685" s="274" t="s">
        <v>1527</v>
      </c>
      <c r="T685" s="44">
        <v>1</v>
      </c>
      <c r="U685" s="283">
        <v>67</v>
      </c>
      <c r="V685" s="284">
        <v>3</v>
      </c>
      <c r="W685" s="285" t="s">
        <v>889</v>
      </c>
      <c r="X685" s="286" t="s">
        <v>889</v>
      </c>
      <c r="Y685" s="287">
        <v>0</v>
      </c>
      <c r="Z685" s="287" t="s">
        <v>889</v>
      </c>
      <c r="AA685" s="286" t="s">
        <v>889</v>
      </c>
      <c r="AB685" s="287">
        <v>0</v>
      </c>
      <c r="AC685" s="287"/>
      <c r="AD685" s="288" t="s">
        <v>889</v>
      </c>
      <c r="AE685" s="289" t="s">
        <v>889</v>
      </c>
      <c r="AF685" s="279">
        <v>34</v>
      </c>
      <c r="AG685" s="282">
        <v>43640</v>
      </c>
      <c r="AH685" s="282">
        <v>41348</v>
      </c>
      <c r="AI685" s="282">
        <v>43612</v>
      </c>
      <c r="AJ685" s="282" t="s">
        <v>889</v>
      </c>
      <c r="AK685" s="274"/>
    </row>
    <row r="686" spans="1:37" x14ac:dyDescent="0.3">
      <c r="A686" s="273">
        <v>125262</v>
      </c>
      <c r="B686" s="274" t="s">
        <v>1768</v>
      </c>
      <c r="C686" s="146" t="s">
        <v>560</v>
      </c>
      <c r="D686" s="275">
        <v>433.47</v>
      </c>
      <c r="E686" s="274"/>
      <c r="F686" s="274"/>
      <c r="G686" s="274" t="s">
        <v>889</v>
      </c>
      <c r="H686" s="276">
        <v>2038.56</v>
      </c>
      <c r="I686" s="24">
        <v>103003</v>
      </c>
      <c r="J686" s="277">
        <v>433.47</v>
      </c>
      <c r="K686" s="276">
        <v>589</v>
      </c>
      <c r="L686" s="278">
        <v>41.535452322738386</v>
      </c>
      <c r="M686" s="279">
        <v>0</v>
      </c>
      <c r="N686" s="277">
        <v>0</v>
      </c>
      <c r="O686" s="280" t="s">
        <v>888</v>
      </c>
      <c r="P686" s="279">
        <v>0</v>
      </c>
      <c r="Q686" s="281">
        <v>0</v>
      </c>
      <c r="R686" s="282" t="s">
        <v>889</v>
      </c>
      <c r="S686" s="274" t="s">
        <v>1734</v>
      </c>
      <c r="T686" s="44">
        <v>1</v>
      </c>
      <c r="U686" s="283">
        <v>51</v>
      </c>
      <c r="V686" s="284">
        <v>21</v>
      </c>
      <c r="W686" s="285" t="s">
        <v>889</v>
      </c>
      <c r="X686" s="286" t="s">
        <v>889</v>
      </c>
      <c r="Y686" s="287">
        <v>0</v>
      </c>
      <c r="Z686" s="287" t="s">
        <v>889</v>
      </c>
      <c r="AA686" s="286" t="s">
        <v>889</v>
      </c>
      <c r="AB686" s="287">
        <v>0</v>
      </c>
      <c r="AC686" s="287"/>
      <c r="AD686" s="288" t="s">
        <v>889</v>
      </c>
      <c r="AE686" s="289" t="s">
        <v>889</v>
      </c>
      <c r="AF686" s="279">
        <v>196</v>
      </c>
      <c r="AG686" s="282">
        <v>45208</v>
      </c>
      <c r="AH686" s="282">
        <v>41366</v>
      </c>
      <c r="AI686" s="282">
        <v>45161</v>
      </c>
      <c r="AJ686" s="282" t="s">
        <v>889</v>
      </c>
      <c r="AK686" s="274"/>
    </row>
    <row r="687" spans="1:37" x14ac:dyDescent="0.3">
      <c r="A687" s="273">
        <v>125269</v>
      </c>
      <c r="B687" s="274" t="s">
        <v>1769</v>
      </c>
      <c r="C687" s="146" t="s">
        <v>31</v>
      </c>
      <c r="D687" s="275">
        <v>0.26</v>
      </c>
      <c r="E687" s="274"/>
      <c r="F687" s="274"/>
      <c r="G687" s="274" t="s">
        <v>889</v>
      </c>
      <c r="H687" s="276">
        <v>2965</v>
      </c>
      <c r="I687" s="24">
        <v>103003</v>
      </c>
      <c r="J687" s="277">
        <v>0.26</v>
      </c>
      <c r="K687" s="276">
        <v>165</v>
      </c>
      <c r="L687" s="278">
        <v>215.63636363636363</v>
      </c>
      <c r="M687" s="279">
        <v>0</v>
      </c>
      <c r="N687" s="277">
        <v>0</v>
      </c>
      <c r="O687" s="280" t="s">
        <v>888</v>
      </c>
      <c r="P687" s="279">
        <v>0</v>
      </c>
      <c r="Q687" s="281">
        <v>0</v>
      </c>
      <c r="R687" s="282" t="s">
        <v>889</v>
      </c>
      <c r="S687" s="274" t="s">
        <v>1630</v>
      </c>
      <c r="T687" s="44">
        <v>1</v>
      </c>
      <c r="U687" s="283">
        <v>60</v>
      </c>
      <c r="V687" s="284">
        <v>21</v>
      </c>
      <c r="W687" s="285" t="s">
        <v>889</v>
      </c>
      <c r="X687" s="286" t="s">
        <v>889</v>
      </c>
      <c r="Y687" s="287">
        <v>0</v>
      </c>
      <c r="Z687" s="287" t="s">
        <v>889</v>
      </c>
      <c r="AA687" s="286" t="s">
        <v>889</v>
      </c>
      <c r="AB687" s="287">
        <v>0</v>
      </c>
      <c r="AC687" s="287"/>
      <c r="AD687" s="288" t="s">
        <v>889</v>
      </c>
      <c r="AE687" s="289" t="s">
        <v>889</v>
      </c>
      <c r="AF687" s="279">
        <v>56</v>
      </c>
      <c r="AG687" s="282">
        <v>44747</v>
      </c>
      <c r="AH687" s="282">
        <v>41368</v>
      </c>
      <c r="AI687" s="282">
        <v>45148</v>
      </c>
      <c r="AJ687" s="282" t="s">
        <v>889</v>
      </c>
      <c r="AK687" s="274"/>
    </row>
    <row r="688" spans="1:37" x14ac:dyDescent="0.3">
      <c r="A688" s="273">
        <v>125576</v>
      </c>
      <c r="B688" s="274" t="s">
        <v>778</v>
      </c>
      <c r="C688" s="146" t="s">
        <v>31</v>
      </c>
      <c r="D688" s="275">
        <v>1559</v>
      </c>
      <c r="E688" s="274"/>
      <c r="F688" s="274"/>
      <c r="G688" s="274" t="s">
        <v>889</v>
      </c>
      <c r="H688" s="276">
        <v>4</v>
      </c>
      <c r="I688" s="24">
        <v>103003</v>
      </c>
      <c r="J688" s="277">
        <v>1559</v>
      </c>
      <c r="K688" s="276"/>
      <c r="L688" s="278">
        <v>0</v>
      </c>
      <c r="M688" s="279">
        <v>0</v>
      </c>
      <c r="N688" s="277">
        <v>0</v>
      </c>
      <c r="O688" s="280" t="s">
        <v>888</v>
      </c>
      <c r="P688" s="279">
        <v>0</v>
      </c>
      <c r="Q688" s="281">
        <v>0</v>
      </c>
      <c r="R688" s="282" t="s">
        <v>889</v>
      </c>
      <c r="S688" s="274" t="s">
        <v>1770</v>
      </c>
      <c r="T688" s="44">
        <v>1</v>
      </c>
      <c r="U688" s="283">
        <v>84</v>
      </c>
      <c r="V688" s="284">
        <v>7</v>
      </c>
      <c r="W688" s="285" t="s">
        <v>889</v>
      </c>
      <c r="X688" s="286" t="s">
        <v>889</v>
      </c>
      <c r="Y688" s="287">
        <v>0</v>
      </c>
      <c r="Z688" s="287" t="s">
        <v>889</v>
      </c>
      <c r="AA688" s="286" t="s">
        <v>889</v>
      </c>
      <c r="AB688" s="287">
        <v>0</v>
      </c>
      <c r="AC688" s="287"/>
      <c r="AD688" s="288" t="s">
        <v>889</v>
      </c>
      <c r="AE688" s="289" t="s">
        <v>889</v>
      </c>
      <c r="AF688" s="279">
        <v>0</v>
      </c>
      <c r="AG688" s="282">
        <v>41890</v>
      </c>
      <c r="AH688" s="282">
        <v>41422</v>
      </c>
      <c r="AI688" s="282">
        <v>44840</v>
      </c>
      <c r="AJ688" s="282" t="s">
        <v>889</v>
      </c>
      <c r="AK688" s="274"/>
    </row>
    <row r="689" spans="1:37" x14ac:dyDescent="0.3">
      <c r="A689" s="273">
        <v>125641</v>
      </c>
      <c r="B689" s="274" t="s">
        <v>1771</v>
      </c>
      <c r="C689" s="146" t="s">
        <v>260</v>
      </c>
      <c r="D689" s="275">
        <v>1.02</v>
      </c>
      <c r="E689" s="274"/>
      <c r="F689" s="274"/>
      <c r="G689" s="274" t="s">
        <v>889</v>
      </c>
      <c r="H689" s="276">
        <v>7202</v>
      </c>
      <c r="I689" s="24">
        <v>103003</v>
      </c>
      <c r="J689" s="277">
        <v>1.02</v>
      </c>
      <c r="K689" s="276">
        <v>18272</v>
      </c>
      <c r="L689" s="278">
        <v>2.7971647732789591</v>
      </c>
      <c r="M689" s="279">
        <v>23695</v>
      </c>
      <c r="N689" s="277">
        <v>24168.9</v>
      </c>
      <c r="O689" s="280" t="s">
        <v>888</v>
      </c>
      <c r="P689" s="279">
        <v>0</v>
      </c>
      <c r="Q689" s="281">
        <v>0</v>
      </c>
      <c r="R689" s="282" t="s">
        <v>889</v>
      </c>
      <c r="S689" s="274" t="s">
        <v>1742</v>
      </c>
      <c r="T689" s="44">
        <v>1</v>
      </c>
      <c r="U689" s="283">
        <v>62</v>
      </c>
      <c r="V689" s="284">
        <v>26</v>
      </c>
      <c r="W689" s="285" t="s">
        <v>889</v>
      </c>
      <c r="X689" s="286" t="s">
        <v>889</v>
      </c>
      <c r="Y689" s="287">
        <v>0</v>
      </c>
      <c r="Z689" s="287" t="s">
        <v>889</v>
      </c>
      <c r="AA689" s="286" t="s">
        <v>889</v>
      </c>
      <c r="AB689" s="287">
        <v>0</v>
      </c>
      <c r="AC689" s="287"/>
      <c r="AD689" s="288" t="s">
        <v>889</v>
      </c>
      <c r="AE689" s="289" t="s">
        <v>889</v>
      </c>
      <c r="AF689" s="279">
        <v>10300</v>
      </c>
      <c r="AG689" s="282">
        <v>44949</v>
      </c>
      <c r="AH689" s="282">
        <v>41439</v>
      </c>
      <c r="AI689" s="282">
        <v>45187</v>
      </c>
      <c r="AJ689" s="282" t="s">
        <v>889</v>
      </c>
      <c r="AK689" s="274"/>
    </row>
    <row r="690" spans="1:37" x14ac:dyDescent="0.3">
      <c r="A690" s="273">
        <v>126044</v>
      </c>
      <c r="B690" s="274" t="s">
        <v>1772</v>
      </c>
      <c r="C690" s="146" t="s">
        <v>727</v>
      </c>
      <c r="D690" s="275">
        <v>407.35</v>
      </c>
      <c r="E690" s="274"/>
      <c r="F690" s="274"/>
      <c r="G690" s="274" t="s">
        <v>889</v>
      </c>
      <c r="H690" s="276">
        <v>160</v>
      </c>
      <c r="I690" s="24">
        <v>103003</v>
      </c>
      <c r="J690" s="277">
        <v>407.35</v>
      </c>
      <c r="K690" s="276">
        <v>39</v>
      </c>
      <c r="L690" s="278">
        <v>49.230769230769226</v>
      </c>
      <c r="M690" s="279">
        <v>0</v>
      </c>
      <c r="N690" s="277">
        <v>0</v>
      </c>
      <c r="O690" s="280" t="s">
        <v>888</v>
      </c>
      <c r="P690" s="279">
        <v>0</v>
      </c>
      <c r="Q690" s="281">
        <v>0</v>
      </c>
      <c r="R690" s="282" t="s">
        <v>889</v>
      </c>
      <c r="S690" s="274" t="s">
        <v>1115</v>
      </c>
      <c r="T690" s="44">
        <v>1</v>
      </c>
      <c r="U690" s="283">
        <v>74</v>
      </c>
      <c r="V690" s="284">
        <v>8</v>
      </c>
      <c r="W690" s="285" t="s">
        <v>889</v>
      </c>
      <c r="X690" s="286" t="s">
        <v>889</v>
      </c>
      <c r="Y690" s="287">
        <v>0</v>
      </c>
      <c r="Z690" s="287" t="s">
        <v>889</v>
      </c>
      <c r="AA690" s="286" t="s">
        <v>889</v>
      </c>
      <c r="AB690" s="287">
        <v>0</v>
      </c>
      <c r="AC690" s="287"/>
      <c r="AD690" s="288" t="s">
        <v>889</v>
      </c>
      <c r="AE690" s="289" t="s">
        <v>889</v>
      </c>
      <c r="AF690" s="279">
        <v>14</v>
      </c>
      <c r="AG690" s="282">
        <v>44461</v>
      </c>
      <c r="AH690" s="282">
        <v>41508</v>
      </c>
      <c r="AI690" s="282">
        <v>44453</v>
      </c>
      <c r="AJ690" s="282" t="s">
        <v>889</v>
      </c>
      <c r="AK690" s="274"/>
    </row>
    <row r="691" spans="1:37" x14ac:dyDescent="0.3">
      <c r="A691" s="273">
        <v>126059</v>
      </c>
      <c r="B691" s="274" t="s">
        <v>1773</v>
      </c>
      <c r="C691" s="146" t="s">
        <v>269</v>
      </c>
      <c r="D691" s="275">
        <v>13</v>
      </c>
      <c r="E691" s="274"/>
      <c r="F691" s="274"/>
      <c r="G691" s="274" t="s">
        <v>889</v>
      </c>
      <c r="H691" s="276">
        <v>0</v>
      </c>
      <c r="I691" s="24">
        <v>103003</v>
      </c>
      <c r="J691" s="277">
        <v>13</v>
      </c>
      <c r="K691" s="276">
        <v>38</v>
      </c>
      <c r="L691" s="278">
        <v>0</v>
      </c>
      <c r="M691" s="279">
        <v>0</v>
      </c>
      <c r="N691" s="277">
        <v>0</v>
      </c>
      <c r="O691" s="280" t="s">
        <v>888</v>
      </c>
      <c r="P691" s="279">
        <v>0</v>
      </c>
      <c r="Q691" s="281">
        <v>0</v>
      </c>
      <c r="R691" s="282" t="s">
        <v>889</v>
      </c>
      <c r="S691" s="274" t="s">
        <v>1451</v>
      </c>
      <c r="T691" s="44">
        <v>1</v>
      </c>
      <c r="U691" s="283">
        <v>67</v>
      </c>
      <c r="V691" s="284">
        <v>18</v>
      </c>
      <c r="W691" s="285" t="s">
        <v>889</v>
      </c>
      <c r="X691" s="286" t="s">
        <v>889</v>
      </c>
      <c r="Y691" s="287">
        <v>0</v>
      </c>
      <c r="Z691" s="287">
        <v>11883</v>
      </c>
      <c r="AA691" s="286">
        <v>2023</v>
      </c>
      <c r="AB691" s="287">
        <v>100</v>
      </c>
      <c r="AC691" s="287">
        <v>100</v>
      </c>
      <c r="AD691" s="288" t="s">
        <v>2066</v>
      </c>
      <c r="AE691" s="289">
        <v>45209</v>
      </c>
      <c r="AF691" s="279">
        <v>14</v>
      </c>
      <c r="AG691" s="282">
        <v>43882</v>
      </c>
      <c r="AH691" s="282">
        <v>41509</v>
      </c>
      <c r="AI691" s="282">
        <v>45189</v>
      </c>
      <c r="AJ691" s="282" t="s">
        <v>889</v>
      </c>
      <c r="AK691" s="274"/>
    </row>
    <row r="692" spans="1:37" x14ac:dyDescent="0.3">
      <c r="A692" s="273">
        <v>126060</v>
      </c>
      <c r="B692" s="274" t="s">
        <v>1774</v>
      </c>
      <c r="C692" s="146" t="s">
        <v>269</v>
      </c>
      <c r="D692" s="275">
        <v>15.06</v>
      </c>
      <c r="E692" s="274"/>
      <c r="F692" s="274"/>
      <c r="G692" s="274" t="s">
        <v>889</v>
      </c>
      <c r="H692" s="276">
        <v>107</v>
      </c>
      <c r="I692" s="24">
        <v>103003</v>
      </c>
      <c r="J692" s="277">
        <v>15.06</v>
      </c>
      <c r="K692" s="276">
        <v>146</v>
      </c>
      <c r="L692" s="278">
        <v>8.6780210867802108</v>
      </c>
      <c r="M692" s="279">
        <v>0</v>
      </c>
      <c r="N692" s="277">
        <v>0</v>
      </c>
      <c r="O692" s="280" t="s">
        <v>888</v>
      </c>
      <c r="P692" s="279">
        <v>0</v>
      </c>
      <c r="Q692" s="281">
        <v>0</v>
      </c>
      <c r="R692" s="282" t="s">
        <v>889</v>
      </c>
      <c r="S692" s="274" t="s">
        <v>1451</v>
      </c>
      <c r="T692" s="44">
        <v>1</v>
      </c>
      <c r="U692" s="283">
        <v>67</v>
      </c>
      <c r="V692" s="284">
        <v>18</v>
      </c>
      <c r="W692" s="285" t="s">
        <v>889</v>
      </c>
      <c r="X692" s="286" t="s">
        <v>889</v>
      </c>
      <c r="Y692" s="287">
        <v>0</v>
      </c>
      <c r="Z692" s="287">
        <v>11884</v>
      </c>
      <c r="AA692" s="286">
        <v>2023</v>
      </c>
      <c r="AB692" s="287">
        <v>150</v>
      </c>
      <c r="AC692" s="287">
        <v>150</v>
      </c>
      <c r="AD692" s="288" t="s">
        <v>2066</v>
      </c>
      <c r="AE692" s="289">
        <v>45209</v>
      </c>
      <c r="AF692" s="279">
        <v>50</v>
      </c>
      <c r="AG692" s="282">
        <v>45019</v>
      </c>
      <c r="AH692" s="282">
        <v>41509</v>
      </c>
      <c r="AI692" s="282">
        <v>45189</v>
      </c>
      <c r="AJ692" s="282" t="s">
        <v>889</v>
      </c>
      <c r="AK692" s="274"/>
    </row>
    <row r="693" spans="1:37" x14ac:dyDescent="0.3">
      <c r="A693" s="273">
        <v>126345</v>
      </c>
      <c r="B693" s="274" t="s">
        <v>1775</v>
      </c>
      <c r="C693" s="146" t="s">
        <v>1671</v>
      </c>
      <c r="D693" s="275">
        <v>2.79</v>
      </c>
      <c r="E693" s="274"/>
      <c r="F693" s="274"/>
      <c r="G693" s="274" t="s">
        <v>889</v>
      </c>
      <c r="H693" s="276">
        <v>300</v>
      </c>
      <c r="I693" s="24">
        <v>103003</v>
      </c>
      <c r="J693" s="277">
        <v>2.79</v>
      </c>
      <c r="K693" s="276">
        <v>42</v>
      </c>
      <c r="L693" s="278">
        <v>67.873303167420815</v>
      </c>
      <c r="M693" s="279">
        <v>0</v>
      </c>
      <c r="N693" s="277">
        <v>0</v>
      </c>
      <c r="O693" s="280" t="s">
        <v>888</v>
      </c>
      <c r="P693" s="279">
        <v>0</v>
      </c>
      <c r="Q693" s="281">
        <v>0</v>
      </c>
      <c r="R693" s="282" t="s">
        <v>889</v>
      </c>
      <c r="S693" s="274" t="s">
        <v>1776</v>
      </c>
      <c r="T693" s="44">
        <v>1</v>
      </c>
      <c r="U693" s="283">
        <v>89</v>
      </c>
      <c r="V693" s="284">
        <v>7</v>
      </c>
      <c r="W693" s="285" t="s">
        <v>889</v>
      </c>
      <c r="X693" s="286" t="s">
        <v>889</v>
      </c>
      <c r="Y693" s="287">
        <v>0</v>
      </c>
      <c r="Z693" s="287" t="s">
        <v>889</v>
      </c>
      <c r="AA693" s="286" t="s">
        <v>889</v>
      </c>
      <c r="AB693" s="287">
        <v>0</v>
      </c>
      <c r="AC693" s="287"/>
      <c r="AD693" s="288" t="s">
        <v>889</v>
      </c>
      <c r="AE693" s="289" t="s">
        <v>889</v>
      </c>
      <c r="AF693" s="279">
        <v>18</v>
      </c>
      <c r="AG693" s="282">
        <v>44085</v>
      </c>
      <c r="AH693" s="282">
        <v>41543</v>
      </c>
      <c r="AI693" s="282">
        <v>44082</v>
      </c>
      <c r="AJ693" s="282" t="s">
        <v>889</v>
      </c>
      <c r="AK693" s="274"/>
    </row>
    <row r="694" spans="1:37" x14ac:dyDescent="0.3">
      <c r="A694" s="273">
        <v>126837</v>
      </c>
      <c r="B694" s="274" t="s">
        <v>1777</v>
      </c>
      <c r="C694" s="146" t="s">
        <v>31</v>
      </c>
      <c r="D694" s="275">
        <v>10</v>
      </c>
      <c r="E694" s="274"/>
      <c r="F694" s="274"/>
      <c r="G694" s="274" t="s">
        <v>889</v>
      </c>
      <c r="H694" s="276">
        <v>3515</v>
      </c>
      <c r="I694" s="24">
        <v>103003</v>
      </c>
      <c r="J694" s="277">
        <v>10</v>
      </c>
      <c r="K694" s="276">
        <v>866</v>
      </c>
      <c r="L694" s="278">
        <v>63.333333333333336</v>
      </c>
      <c r="M694" s="279">
        <v>0</v>
      </c>
      <c r="N694" s="277">
        <v>0</v>
      </c>
      <c r="O694" s="280" t="s">
        <v>888</v>
      </c>
      <c r="P694" s="279">
        <v>0</v>
      </c>
      <c r="Q694" s="281">
        <v>0</v>
      </c>
      <c r="R694" s="282" t="s">
        <v>889</v>
      </c>
      <c r="S694" s="274" t="s">
        <v>1076</v>
      </c>
      <c r="T694" s="44">
        <v>1</v>
      </c>
      <c r="U694" s="283">
        <v>78</v>
      </c>
      <c r="V694" s="284">
        <v>2</v>
      </c>
      <c r="W694" s="285" t="s">
        <v>889</v>
      </c>
      <c r="X694" s="286" t="s">
        <v>889</v>
      </c>
      <c r="Y694" s="287">
        <v>0</v>
      </c>
      <c r="Z694" s="287" t="s">
        <v>889</v>
      </c>
      <c r="AA694" s="286" t="s">
        <v>889</v>
      </c>
      <c r="AB694" s="287">
        <v>0</v>
      </c>
      <c r="AC694" s="287"/>
      <c r="AD694" s="288" t="s">
        <v>889</v>
      </c>
      <c r="AE694" s="289" t="s">
        <v>889</v>
      </c>
      <c r="AF694" s="279">
        <v>222</v>
      </c>
      <c r="AG694" s="282">
        <v>43845</v>
      </c>
      <c r="AH694" s="282">
        <v>41596</v>
      </c>
      <c r="AI694" s="282">
        <v>44785</v>
      </c>
      <c r="AJ694" s="282" t="s">
        <v>889</v>
      </c>
      <c r="AK694" s="274"/>
    </row>
    <row r="695" spans="1:37" x14ac:dyDescent="0.3">
      <c r="A695" s="273">
        <v>126838</v>
      </c>
      <c r="B695" s="274" t="s">
        <v>1778</v>
      </c>
      <c r="C695" s="146" t="s">
        <v>263</v>
      </c>
      <c r="D695" s="275">
        <v>0.33</v>
      </c>
      <c r="E695" s="274"/>
      <c r="F695" s="274"/>
      <c r="G695" s="274" t="s">
        <v>889</v>
      </c>
      <c r="H695" s="276">
        <v>2421</v>
      </c>
      <c r="I695" s="24">
        <v>103003</v>
      </c>
      <c r="J695" s="277">
        <v>0.33</v>
      </c>
      <c r="K695" s="276"/>
      <c r="L695" s="278">
        <v>0</v>
      </c>
      <c r="M695" s="279">
        <v>0</v>
      </c>
      <c r="N695" s="277">
        <v>0</v>
      </c>
      <c r="O695" s="280" t="s">
        <v>888</v>
      </c>
      <c r="P695" s="279">
        <v>0</v>
      </c>
      <c r="Q695" s="281">
        <v>0</v>
      </c>
      <c r="R695" s="282" t="s">
        <v>889</v>
      </c>
      <c r="S695" s="274" t="s">
        <v>1779</v>
      </c>
      <c r="T695" s="44">
        <v>1</v>
      </c>
      <c r="U695" s="283">
        <v>67</v>
      </c>
      <c r="V695" s="284">
        <v>2</v>
      </c>
      <c r="W695" s="285" t="s">
        <v>889</v>
      </c>
      <c r="X695" s="286" t="s">
        <v>889</v>
      </c>
      <c r="Y695" s="287">
        <v>0</v>
      </c>
      <c r="Z695" s="287" t="s">
        <v>889</v>
      </c>
      <c r="AA695" s="286" t="s">
        <v>889</v>
      </c>
      <c r="AB695" s="287">
        <v>0</v>
      </c>
      <c r="AC695" s="287"/>
      <c r="AD695" s="288" t="s">
        <v>889</v>
      </c>
      <c r="AE695" s="289" t="s">
        <v>889</v>
      </c>
      <c r="AF695" s="279">
        <v>0</v>
      </c>
      <c r="AG695" s="282">
        <v>43759</v>
      </c>
      <c r="AH695" s="282">
        <v>41596</v>
      </c>
      <c r="AI695" s="282">
        <v>43747</v>
      </c>
      <c r="AJ695" s="282" t="s">
        <v>889</v>
      </c>
      <c r="AK695" s="274"/>
    </row>
    <row r="696" spans="1:37" x14ac:dyDescent="0.3">
      <c r="A696" s="273">
        <v>127105</v>
      </c>
      <c r="B696" s="274" t="s">
        <v>1780</v>
      </c>
      <c r="C696" s="146" t="s">
        <v>263</v>
      </c>
      <c r="D696" s="275">
        <v>54.98</v>
      </c>
      <c r="E696" s="274"/>
      <c r="F696" s="274"/>
      <c r="G696" s="274" t="s">
        <v>889</v>
      </c>
      <c r="H696" s="276">
        <v>10</v>
      </c>
      <c r="I696" s="24">
        <v>103003</v>
      </c>
      <c r="J696" s="277">
        <v>54.98</v>
      </c>
      <c r="K696" s="276"/>
      <c r="L696" s="278">
        <v>0</v>
      </c>
      <c r="M696" s="279">
        <v>0</v>
      </c>
      <c r="N696" s="277">
        <v>0</v>
      </c>
      <c r="O696" s="280" t="s">
        <v>888</v>
      </c>
      <c r="P696" s="279">
        <v>0</v>
      </c>
      <c r="Q696" s="281">
        <v>0</v>
      </c>
      <c r="R696" s="282" t="s">
        <v>889</v>
      </c>
      <c r="S696" s="274" t="s">
        <v>1612</v>
      </c>
      <c r="T696" s="44">
        <v>1</v>
      </c>
      <c r="U696" s="283">
        <v>62</v>
      </c>
      <c r="V696" s="284">
        <v>4</v>
      </c>
      <c r="W696" s="285" t="s">
        <v>889</v>
      </c>
      <c r="X696" s="286" t="s">
        <v>889</v>
      </c>
      <c r="Y696" s="287">
        <v>0</v>
      </c>
      <c r="Z696" s="287" t="s">
        <v>889</v>
      </c>
      <c r="AA696" s="286" t="s">
        <v>889</v>
      </c>
      <c r="AB696" s="287">
        <v>0</v>
      </c>
      <c r="AC696" s="287"/>
      <c r="AD696" s="288" t="s">
        <v>889</v>
      </c>
      <c r="AE696" s="289" t="s">
        <v>889</v>
      </c>
      <c r="AF696" s="279">
        <v>0</v>
      </c>
      <c r="AG696" s="282">
        <v>44018</v>
      </c>
      <c r="AH696" s="282">
        <v>41648</v>
      </c>
      <c r="AI696" s="282">
        <v>44791</v>
      </c>
      <c r="AJ696" s="282" t="s">
        <v>889</v>
      </c>
      <c r="AK696" s="274"/>
    </row>
    <row r="697" spans="1:37" x14ac:dyDescent="0.3">
      <c r="A697" s="273">
        <v>127106</v>
      </c>
      <c r="B697" s="274" t="s">
        <v>1781</v>
      </c>
      <c r="C697" s="146" t="s">
        <v>263</v>
      </c>
      <c r="D697" s="275">
        <v>39.5</v>
      </c>
      <c r="E697" s="274"/>
      <c r="F697" s="274"/>
      <c r="G697" s="274" t="s">
        <v>889</v>
      </c>
      <c r="H697" s="276">
        <v>10</v>
      </c>
      <c r="I697" s="24">
        <v>103003</v>
      </c>
      <c r="J697" s="277">
        <v>39.5</v>
      </c>
      <c r="K697" s="276"/>
      <c r="L697" s="278">
        <v>0</v>
      </c>
      <c r="M697" s="279">
        <v>0</v>
      </c>
      <c r="N697" s="277">
        <v>0</v>
      </c>
      <c r="O697" s="280" t="s">
        <v>888</v>
      </c>
      <c r="P697" s="279">
        <v>0</v>
      </c>
      <c r="Q697" s="281">
        <v>0</v>
      </c>
      <c r="R697" s="282" t="s">
        <v>889</v>
      </c>
      <c r="S697" s="274" t="s">
        <v>1612</v>
      </c>
      <c r="T697" s="44">
        <v>1</v>
      </c>
      <c r="U697" s="283">
        <v>62</v>
      </c>
      <c r="V697" s="284">
        <v>4</v>
      </c>
      <c r="W697" s="285" t="s">
        <v>889</v>
      </c>
      <c r="X697" s="286" t="s">
        <v>889</v>
      </c>
      <c r="Y697" s="287">
        <v>0</v>
      </c>
      <c r="Z697" s="287" t="s">
        <v>889</v>
      </c>
      <c r="AA697" s="286" t="s">
        <v>889</v>
      </c>
      <c r="AB697" s="287">
        <v>0</v>
      </c>
      <c r="AC697" s="287"/>
      <c r="AD697" s="288" t="s">
        <v>889</v>
      </c>
      <c r="AE697" s="289" t="s">
        <v>889</v>
      </c>
      <c r="AF697" s="279">
        <v>0</v>
      </c>
      <c r="AG697" s="282">
        <v>42601</v>
      </c>
      <c r="AH697" s="282">
        <v>41648</v>
      </c>
      <c r="AI697" s="282">
        <v>42487</v>
      </c>
      <c r="AJ697" s="282" t="s">
        <v>889</v>
      </c>
      <c r="AK697" s="274"/>
    </row>
    <row r="698" spans="1:37" x14ac:dyDescent="0.3">
      <c r="A698" s="273">
        <v>127107</v>
      </c>
      <c r="B698" s="274" t="s">
        <v>1782</v>
      </c>
      <c r="C698" s="146" t="s">
        <v>263</v>
      </c>
      <c r="D698" s="275">
        <v>64.62</v>
      </c>
      <c r="E698" s="274"/>
      <c r="F698" s="274"/>
      <c r="G698" s="274" t="s">
        <v>889</v>
      </c>
      <c r="H698" s="276">
        <v>14</v>
      </c>
      <c r="I698" s="24">
        <v>103003</v>
      </c>
      <c r="J698" s="277">
        <v>64.62</v>
      </c>
      <c r="K698" s="276">
        <v>4</v>
      </c>
      <c r="L698" s="278">
        <v>42.424242424242429</v>
      </c>
      <c r="M698" s="279">
        <v>0</v>
      </c>
      <c r="N698" s="277">
        <v>0</v>
      </c>
      <c r="O698" s="280" t="s">
        <v>888</v>
      </c>
      <c r="P698" s="279">
        <v>0</v>
      </c>
      <c r="Q698" s="281">
        <v>0</v>
      </c>
      <c r="R698" s="282" t="s">
        <v>889</v>
      </c>
      <c r="S698" s="274" t="s">
        <v>1612</v>
      </c>
      <c r="T698" s="44">
        <v>1</v>
      </c>
      <c r="U698" s="283">
        <v>62</v>
      </c>
      <c r="V698" s="284">
        <v>4</v>
      </c>
      <c r="W698" s="285" t="s">
        <v>889</v>
      </c>
      <c r="X698" s="286" t="s">
        <v>889</v>
      </c>
      <c r="Y698" s="287">
        <v>0</v>
      </c>
      <c r="Z698" s="287" t="s">
        <v>889</v>
      </c>
      <c r="AA698" s="286" t="s">
        <v>889</v>
      </c>
      <c r="AB698" s="287">
        <v>0</v>
      </c>
      <c r="AC698" s="287"/>
      <c r="AD698" s="288" t="s">
        <v>889</v>
      </c>
      <c r="AE698" s="289" t="s">
        <v>889</v>
      </c>
      <c r="AF698" s="279">
        <v>2</v>
      </c>
      <c r="AG698" s="282">
        <v>43872</v>
      </c>
      <c r="AH698" s="282">
        <v>41648</v>
      </c>
      <c r="AI698" s="282">
        <v>44791</v>
      </c>
      <c r="AJ698" s="282" t="s">
        <v>889</v>
      </c>
      <c r="AK698" s="274"/>
    </row>
    <row r="699" spans="1:37" x14ac:dyDescent="0.3">
      <c r="A699" s="273">
        <v>127384</v>
      </c>
      <c r="B699" s="274" t="s">
        <v>1783</v>
      </c>
      <c r="C699" s="146" t="s">
        <v>260</v>
      </c>
      <c r="D699" s="275">
        <v>22.9</v>
      </c>
      <c r="E699" s="274"/>
      <c r="F699" s="274"/>
      <c r="G699" s="274" t="s">
        <v>889</v>
      </c>
      <c r="H699" s="276">
        <v>258</v>
      </c>
      <c r="I699" s="24">
        <v>103003</v>
      </c>
      <c r="J699" s="277">
        <v>22.9</v>
      </c>
      <c r="K699" s="276">
        <v>285</v>
      </c>
      <c r="L699" s="278">
        <v>8.6</v>
      </c>
      <c r="M699" s="279">
        <v>102</v>
      </c>
      <c r="N699" s="277">
        <v>2335.8000000000002</v>
      </c>
      <c r="O699" s="280" t="s">
        <v>888</v>
      </c>
      <c r="P699" s="279">
        <v>0</v>
      </c>
      <c r="Q699" s="281">
        <v>0</v>
      </c>
      <c r="R699" s="282" t="s">
        <v>889</v>
      </c>
      <c r="S699" s="274" t="s">
        <v>1113</v>
      </c>
      <c r="T699" s="44">
        <v>1</v>
      </c>
      <c r="U699" s="283">
        <v>51</v>
      </c>
      <c r="V699" s="284">
        <v>33</v>
      </c>
      <c r="W699" s="285" t="s">
        <v>889</v>
      </c>
      <c r="X699" s="286" t="s">
        <v>889</v>
      </c>
      <c r="Y699" s="287">
        <v>0</v>
      </c>
      <c r="Z699" s="287" t="s">
        <v>889</v>
      </c>
      <c r="AA699" s="286" t="s">
        <v>889</v>
      </c>
      <c r="AB699" s="287">
        <v>0</v>
      </c>
      <c r="AC699" s="287"/>
      <c r="AD699" s="288" t="s">
        <v>889</v>
      </c>
      <c r="AE699" s="289" t="s">
        <v>889</v>
      </c>
      <c r="AF699" s="279">
        <v>120</v>
      </c>
      <c r="AG699" s="282">
        <v>45181</v>
      </c>
      <c r="AH699" s="282">
        <v>41688</v>
      </c>
      <c r="AI699" s="282">
        <v>45160</v>
      </c>
      <c r="AJ699" s="282" t="s">
        <v>889</v>
      </c>
      <c r="AK699" s="274"/>
    </row>
    <row r="700" spans="1:37" x14ac:dyDescent="0.3">
      <c r="A700" s="273">
        <v>127664</v>
      </c>
      <c r="B700" s="274" t="s">
        <v>1784</v>
      </c>
      <c r="C700" s="146" t="s">
        <v>269</v>
      </c>
      <c r="D700" s="275">
        <v>6.52</v>
      </c>
      <c r="E700" s="274" t="s">
        <v>1785</v>
      </c>
      <c r="F700" s="274" t="s">
        <v>1786</v>
      </c>
      <c r="G700" s="274" t="s">
        <v>1787</v>
      </c>
      <c r="H700" s="276">
        <v>3053</v>
      </c>
      <c r="I700" s="24">
        <v>103003</v>
      </c>
      <c r="J700" s="277">
        <v>3.63</v>
      </c>
      <c r="K700" s="276">
        <v>3352</v>
      </c>
      <c r="L700" s="278">
        <v>6.313329748955705</v>
      </c>
      <c r="M700" s="279">
        <v>2749.96</v>
      </c>
      <c r="N700" s="277">
        <v>17929.7392</v>
      </c>
      <c r="O700" s="280" t="s">
        <v>1788</v>
      </c>
      <c r="P700" s="279">
        <v>7000</v>
      </c>
      <c r="Q700" s="281">
        <v>45640</v>
      </c>
      <c r="R700" s="282">
        <v>45570</v>
      </c>
      <c r="S700" s="274" t="s">
        <v>1789</v>
      </c>
      <c r="T700" s="44">
        <v>1</v>
      </c>
      <c r="U700" s="283">
        <v>71</v>
      </c>
      <c r="V700" s="284">
        <v>34</v>
      </c>
      <c r="W700" s="285" t="s">
        <v>889</v>
      </c>
      <c r="X700" s="286" t="s">
        <v>889</v>
      </c>
      <c r="Y700" s="287">
        <v>0</v>
      </c>
      <c r="Z700" s="287" t="s">
        <v>889</v>
      </c>
      <c r="AA700" s="286" t="s">
        <v>889</v>
      </c>
      <c r="AB700" s="287">
        <v>0</v>
      </c>
      <c r="AC700" s="287"/>
      <c r="AD700" s="288" t="s">
        <v>889</v>
      </c>
      <c r="AE700" s="289" t="s">
        <v>889</v>
      </c>
      <c r="AF700" s="279">
        <v>1934</v>
      </c>
      <c r="AG700" s="282">
        <v>45090</v>
      </c>
      <c r="AH700" s="282">
        <v>41733</v>
      </c>
      <c r="AI700" s="282">
        <v>45072</v>
      </c>
      <c r="AJ700" s="282" t="s">
        <v>889</v>
      </c>
      <c r="AK700" s="274"/>
    </row>
    <row r="701" spans="1:37" x14ac:dyDescent="0.3">
      <c r="A701" s="273">
        <v>127664</v>
      </c>
      <c r="B701" s="274" t="s">
        <v>1784</v>
      </c>
      <c r="C701" s="146" t="s">
        <v>269</v>
      </c>
      <c r="D701" s="275">
        <v>6.52</v>
      </c>
      <c r="E701" s="274" t="s">
        <v>1785</v>
      </c>
      <c r="F701" s="274" t="s">
        <v>1786</v>
      </c>
      <c r="G701" s="274" t="s">
        <v>1787</v>
      </c>
      <c r="H701" s="276">
        <v>3053</v>
      </c>
      <c r="I701" s="24">
        <v>103003</v>
      </c>
      <c r="J701" s="277">
        <v>3.63</v>
      </c>
      <c r="K701" s="276">
        <v>3352</v>
      </c>
      <c r="L701" s="278">
        <v>6.313329748955705</v>
      </c>
      <c r="M701" s="279">
        <v>2749.96</v>
      </c>
      <c r="N701" s="277">
        <v>17929.7392</v>
      </c>
      <c r="O701" s="280" t="s">
        <v>1788</v>
      </c>
      <c r="P701" s="279">
        <v>7000</v>
      </c>
      <c r="Q701" s="281">
        <v>45640</v>
      </c>
      <c r="R701" s="282">
        <v>45570</v>
      </c>
      <c r="S701" s="274" t="s">
        <v>1789</v>
      </c>
      <c r="T701" s="44">
        <v>1</v>
      </c>
      <c r="U701" s="283">
        <v>71</v>
      </c>
      <c r="V701" s="284">
        <v>34</v>
      </c>
      <c r="W701" s="285" t="s">
        <v>889</v>
      </c>
      <c r="X701" s="286" t="s">
        <v>889</v>
      </c>
      <c r="Y701" s="287">
        <v>0</v>
      </c>
      <c r="Z701" s="287" t="s">
        <v>889</v>
      </c>
      <c r="AA701" s="286" t="s">
        <v>889</v>
      </c>
      <c r="AB701" s="287">
        <v>0</v>
      </c>
      <c r="AC701" s="287"/>
      <c r="AD701" s="288" t="s">
        <v>889</v>
      </c>
      <c r="AE701" s="289" t="s">
        <v>889</v>
      </c>
      <c r="AF701" s="279">
        <v>1934</v>
      </c>
      <c r="AG701" s="282">
        <v>45090</v>
      </c>
      <c r="AH701" s="282">
        <v>41733</v>
      </c>
      <c r="AI701" s="282">
        <v>45072</v>
      </c>
      <c r="AJ701" s="282" t="s">
        <v>889</v>
      </c>
      <c r="AK701" s="274"/>
    </row>
    <row r="702" spans="1:37" x14ac:dyDescent="0.3">
      <c r="A702" s="273">
        <v>128229</v>
      </c>
      <c r="B702" s="274" t="s">
        <v>1790</v>
      </c>
      <c r="C702" s="146" t="s">
        <v>31</v>
      </c>
      <c r="D702" s="275">
        <v>5.88</v>
      </c>
      <c r="E702" s="274"/>
      <c r="F702" s="274"/>
      <c r="G702" s="274" t="s">
        <v>889</v>
      </c>
      <c r="H702" s="276">
        <v>108</v>
      </c>
      <c r="I702" s="24">
        <v>103003</v>
      </c>
      <c r="J702" s="277">
        <v>5.88</v>
      </c>
      <c r="K702" s="276">
        <v>18</v>
      </c>
      <c r="L702" s="278">
        <v>68.35443037974683</v>
      </c>
      <c r="M702" s="279">
        <v>0</v>
      </c>
      <c r="N702" s="277">
        <v>0</v>
      </c>
      <c r="O702" s="280" t="s">
        <v>888</v>
      </c>
      <c r="P702" s="279">
        <v>0</v>
      </c>
      <c r="Q702" s="281">
        <v>0</v>
      </c>
      <c r="R702" s="282" t="s">
        <v>889</v>
      </c>
      <c r="S702" s="274" t="s">
        <v>966</v>
      </c>
      <c r="T702" s="44">
        <v>1</v>
      </c>
      <c r="U702" s="283">
        <v>61</v>
      </c>
      <c r="V702" s="284">
        <v>8</v>
      </c>
      <c r="W702" s="285" t="s">
        <v>889</v>
      </c>
      <c r="X702" s="286" t="s">
        <v>889</v>
      </c>
      <c r="Y702" s="287">
        <v>0</v>
      </c>
      <c r="Z702" s="287" t="s">
        <v>889</v>
      </c>
      <c r="AA702" s="286" t="s">
        <v>889</v>
      </c>
      <c r="AB702" s="287">
        <v>0</v>
      </c>
      <c r="AC702" s="287"/>
      <c r="AD702" s="288" t="s">
        <v>889</v>
      </c>
      <c r="AE702" s="289" t="s">
        <v>889</v>
      </c>
      <c r="AF702" s="279">
        <v>6</v>
      </c>
      <c r="AG702" s="282">
        <v>44573</v>
      </c>
      <c r="AH702" s="282">
        <v>41814</v>
      </c>
      <c r="AI702" s="282">
        <v>44522</v>
      </c>
      <c r="AJ702" s="282" t="s">
        <v>889</v>
      </c>
      <c r="AK702" s="274"/>
    </row>
    <row r="703" spans="1:37" x14ac:dyDescent="0.3">
      <c r="A703" s="273">
        <v>128287</v>
      </c>
      <c r="B703" s="274" t="s">
        <v>1791</v>
      </c>
      <c r="C703" s="146" t="s">
        <v>287</v>
      </c>
      <c r="D703" s="275">
        <v>62.57</v>
      </c>
      <c r="E703" s="274"/>
      <c r="F703" s="274"/>
      <c r="G703" s="274" t="s">
        <v>889</v>
      </c>
      <c r="H703" s="276">
        <v>677</v>
      </c>
      <c r="I703" s="24">
        <v>103003</v>
      </c>
      <c r="J703" s="277">
        <v>62.57</v>
      </c>
      <c r="K703" s="276">
        <v>283</v>
      </c>
      <c r="L703" s="278">
        <v>28.009929664873813</v>
      </c>
      <c r="M703" s="279">
        <v>0</v>
      </c>
      <c r="N703" s="277">
        <v>0</v>
      </c>
      <c r="O703" s="280" t="s">
        <v>888</v>
      </c>
      <c r="P703" s="279">
        <v>0</v>
      </c>
      <c r="Q703" s="281">
        <v>0</v>
      </c>
      <c r="R703" s="282" t="s">
        <v>889</v>
      </c>
      <c r="S703" s="274" t="s">
        <v>1184</v>
      </c>
      <c r="T703" s="44">
        <v>1</v>
      </c>
      <c r="U703" s="283">
        <v>76</v>
      </c>
      <c r="V703" s="284">
        <v>16</v>
      </c>
      <c r="W703" s="285" t="s">
        <v>889</v>
      </c>
      <c r="X703" s="286" t="s">
        <v>889</v>
      </c>
      <c r="Y703" s="287">
        <v>0</v>
      </c>
      <c r="Z703" s="287" t="s">
        <v>889</v>
      </c>
      <c r="AA703" s="286" t="s">
        <v>889</v>
      </c>
      <c r="AB703" s="287">
        <v>0</v>
      </c>
      <c r="AC703" s="287"/>
      <c r="AD703" s="288" t="s">
        <v>889</v>
      </c>
      <c r="AE703" s="289" t="s">
        <v>889</v>
      </c>
      <c r="AF703" s="279">
        <v>96</v>
      </c>
      <c r="AG703" s="282">
        <v>45190</v>
      </c>
      <c r="AH703" s="282">
        <v>41828</v>
      </c>
      <c r="AI703" s="282">
        <v>45181</v>
      </c>
      <c r="AJ703" s="282" t="s">
        <v>889</v>
      </c>
      <c r="AK703" s="274"/>
    </row>
    <row r="704" spans="1:37" x14ac:dyDescent="0.3">
      <c r="A704" s="273">
        <v>128288</v>
      </c>
      <c r="B704" s="274" t="s">
        <v>1792</v>
      </c>
      <c r="C704" s="146" t="s">
        <v>301</v>
      </c>
      <c r="D704" s="275">
        <v>135.71</v>
      </c>
      <c r="E704" s="274"/>
      <c r="F704" s="274"/>
      <c r="G704" s="274" t="s">
        <v>889</v>
      </c>
      <c r="H704" s="276">
        <v>0</v>
      </c>
      <c r="I704" s="24">
        <v>103003</v>
      </c>
      <c r="J704" s="277">
        <v>135.71</v>
      </c>
      <c r="K704" s="276">
        <v>15</v>
      </c>
      <c r="L704" s="278">
        <v>0</v>
      </c>
      <c r="M704" s="279">
        <v>0</v>
      </c>
      <c r="N704" s="277">
        <v>0</v>
      </c>
      <c r="O704" s="280" t="s">
        <v>888</v>
      </c>
      <c r="P704" s="279">
        <v>0</v>
      </c>
      <c r="Q704" s="281">
        <v>0</v>
      </c>
      <c r="R704" s="282" t="s">
        <v>889</v>
      </c>
      <c r="S704" s="274" t="s">
        <v>1520</v>
      </c>
      <c r="T704" s="44">
        <v>1</v>
      </c>
      <c r="U704" s="283">
        <v>76</v>
      </c>
      <c r="V704" s="284">
        <v>13</v>
      </c>
      <c r="W704" s="285" t="s">
        <v>889</v>
      </c>
      <c r="X704" s="286" t="s">
        <v>889</v>
      </c>
      <c r="Y704" s="287">
        <v>0</v>
      </c>
      <c r="Z704" s="287">
        <v>14002</v>
      </c>
      <c r="AA704" s="286">
        <v>2022</v>
      </c>
      <c r="AB704" s="287">
        <v>20</v>
      </c>
      <c r="AC704" s="287">
        <v>20</v>
      </c>
      <c r="AD704" s="288" t="s">
        <v>2068</v>
      </c>
      <c r="AE704" s="289">
        <v>44875</v>
      </c>
      <c r="AF704" s="279">
        <v>6</v>
      </c>
      <c r="AG704" s="282">
        <v>44742</v>
      </c>
      <c r="AH704" s="282">
        <v>41830</v>
      </c>
      <c r="AI704" s="282">
        <v>44865</v>
      </c>
      <c r="AJ704" s="282" t="s">
        <v>889</v>
      </c>
      <c r="AK704" s="274"/>
    </row>
    <row r="705" spans="1:37" x14ac:dyDescent="0.3">
      <c r="A705" s="273">
        <v>128392</v>
      </c>
      <c r="B705" s="274" t="s">
        <v>797</v>
      </c>
      <c r="C705" s="146" t="s">
        <v>260</v>
      </c>
      <c r="D705" s="275">
        <v>210.5</v>
      </c>
      <c r="E705" s="274"/>
      <c r="F705" s="274"/>
      <c r="G705" s="274" t="s">
        <v>889</v>
      </c>
      <c r="H705" s="276">
        <v>103</v>
      </c>
      <c r="I705" s="24">
        <v>103003</v>
      </c>
      <c r="J705" s="277">
        <v>210.5</v>
      </c>
      <c r="K705" s="276"/>
      <c r="L705" s="278">
        <v>0</v>
      </c>
      <c r="M705" s="279">
        <v>0</v>
      </c>
      <c r="N705" s="277">
        <v>0</v>
      </c>
      <c r="O705" s="280" t="s">
        <v>888</v>
      </c>
      <c r="P705" s="279">
        <v>0</v>
      </c>
      <c r="Q705" s="281">
        <v>0</v>
      </c>
      <c r="R705" s="282" t="s">
        <v>889</v>
      </c>
      <c r="S705" s="274" t="s">
        <v>1563</v>
      </c>
      <c r="T705" s="44">
        <v>1</v>
      </c>
      <c r="U705" s="283">
        <v>70</v>
      </c>
      <c r="V705" s="284">
        <v>47</v>
      </c>
      <c r="W705" s="285" t="s">
        <v>889</v>
      </c>
      <c r="X705" s="286" t="s">
        <v>889</v>
      </c>
      <c r="Y705" s="287">
        <v>0</v>
      </c>
      <c r="Z705" s="287" t="s">
        <v>889</v>
      </c>
      <c r="AA705" s="286" t="s">
        <v>889</v>
      </c>
      <c r="AB705" s="287">
        <v>0</v>
      </c>
      <c r="AC705" s="287"/>
      <c r="AD705" s="288" t="s">
        <v>889</v>
      </c>
      <c r="AE705" s="289" t="s">
        <v>889</v>
      </c>
      <c r="AF705" s="279">
        <v>0</v>
      </c>
      <c r="AG705" s="282">
        <v>42522</v>
      </c>
      <c r="AH705" s="282">
        <v>41851</v>
      </c>
      <c r="AI705" s="282">
        <v>42499</v>
      </c>
      <c r="AJ705" s="282" t="s">
        <v>889</v>
      </c>
      <c r="AK705" s="274"/>
    </row>
    <row r="706" spans="1:37" x14ac:dyDescent="0.3">
      <c r="A706" s="273">
        <v>128782</v>
      </c>
      <c r="B706" s="274" t="s">
        <v>1793</v>
      </c>
      <c r="C706" s="146" t="s">
        <v>260</v>
      </c>
      <c r="D706" s="275">
        <v>188</v>
      </c>
      <c r="E706" s="274"/>
      <c r="F706" s="274"/>
      <c r="G706" s="274" t="s">
        <v>889</v>
      </c>
      <c r="H706" s="276">
        <v>97</v>
      </c>
      <c r="I706" s="24">
        <v>103003</v>
      </c>
      <c r="J706" s="277">
        <v>188</v>
      </c>
      <c r="K706" s="276"/>
      <c r="L706" s="278">
        <v>0</v>
      </c>
      <c r="M706" s="279">
        <v>0</v>
      </c>
      <c r="N706" s="277">
        <v>0</v>
      </c>
      <c r="O706" s="280" t="s">
        <v>888</v>
      </c>
      <c r="P706" s="279">
        <v>0</v>
      </c>
      <c r="Q706" s="281">
        <v>0</v>
      </c>
      <c r="R706" s="282" t="s">
        <v>889</v>
      </c>
      <c r="S706" s="274" t="s">
        <v>1076</v>
      </c>
      <c r="T706" s="44">
        <v>1</v>
      </c>
      <c r="U706" s="283">
        <v>78</v>
      </c>
      <c r="V706" s="284">
        <v>2</v>
      </c>
      <c r="W706" s="285" t="s">
        <v>889</v>
      </c>
      <c r="X706" s="286" t="s">
        <v>889</v>
      </c>
      <c r="Y706" s="287">
        <v>0</v>
      </c>
      <c r="Z706" s="287" t="s">
        <v>889</v>
      </c>
      <c r="AA706" s="286" t="s">
        <v>889</v>
      </c>
      <c r="AB706" s="287">
        <v>0</v>
      </c>
      <c r="AC706" s="287"/>
      <c r="AD706" s="288" t="s">
        <v>889</v>
      </c>
      <c r="AE706" s="289" t="s">
        <v>889</v>
      </c>
      <c r="AF706" s="279">
        <v>0</v>
      </c>
      <c r="AG706" s="282">
        <v>42522</v>
      </c>
      <c r="AH706" s="282">
        <v>41914</v>
      </c>
      <c r="AI706" s="282">
        <v>42893</v>
      </c>
      <c r="AJ706" s="282" t="s">
        <v>889</v>
      </c>
      <c r="AK706" s="274"/>
    </row>
    <row r="707" spans="1:37" x14ac:dyDescent="0.3">
      <c r="A707" s="273">
        <v>128815</v>
      </c>
      <c r="B707" s="274" t="s">
        <v>1794</v>
      </c>
      <c r="C707" s="146" t="s">
        <v>31</v>
      </c>
      <c r="D707" s="275">
        <v>0.25</v>
      </c>
      <c r="E707" s="274"/>
      <c r="F707" s="274"/>
      <c r="G707" s="274" t="s">
        <v>889</v>
      </c>
      <c r="H707" s="276">
        <v>2191</v>
      </c>
      <c r="I707" s="24">
        <v>103003</v>
      </c>
      <c r="J707" s="277">
        <v>0.25</v>
      </c>
      <c r="K707" s="276">
        <v>2874</v>
      </c>
      <c r="L707" s="278">
        <v>7.7442386540364776</v>
      </c>
      <c r="M707" s="279">
        <v>0</v>
      </c>
      <c r="N707" s="277">
        <v>0</v>
      </c>
      <c r="O707" s="280" t="s">
        <v>888</v>
      </c>
      <c r="P707" s="279">
        <v>0</v>
      </c>
      <c r="Q707" s="281">
        <v>0</v>
      </c>
      <c r="R707" s="282" t="s">
        <v>889</v>
      </c>
      <c r="S707" s="274" t="s">
        <v>990</v>
      </c>
      <c r="T707" s="44">
        <v>1</v>
      </c>
      <c r="U707" s="283">
        <v>55</v>
      </c>
      <c r="V707" s="284">
        <v>32</v>
      </c>
      <c r="W707" s="285">
        <v>2956</v>
      </c>
      <c r="X707" s="286">
        <v>2023</v>
      </c>
      <c r="Y707" s="287">
        <v>3000</v>
      </c>
      <c r="Z707" s="287" t="s">
        <v>889</v>
      </c>
      <c r="AA707" s="286" t="s">
        <v>889</v>
      </c>
      <c r="AB707" s="287">
        <v>0</v>
      </c>
      <c r="AC707" s="287"/>
      <c r="AD707" s="288" t="s">
        <v>889</v>
      </c>
      <c r="AE707" s="289" t="s">
        <v>889</v>
      </c>
      <c r="AF707" s="279">
        <v>1132</v>
      </c>
      <c r="AG707" s="282">
        <v>44628</v>
      </c>
      <c r="AH707" s="282">
        <v>41926</v>
      </c>
      <c r="AI707" s="282">
        <v>44616</v>
      </c>
      <c r="AJ707" s="282" t="s">
        <v>889</v>
      </c>
      <c r="AK707" s="274"/>
    </row>
    <row r="708" spans="1:37" x14ac:dyDescent="0.3">
      <c r="A708" s="273">
        <v>128816</v>
      </c>
      <c r="B708" s="274" t="s">
        <v>1795</v>
      </c>
      <c r="C708" s="146" t="s">
        <v>31</v>
      </c>
      <c r="D708" s="275">
        <v>0.39</v>
      </c>
      <c r="E708" s="274"/>
      <c r="F708" s="274"/>
      <c r="G708" s="274" t="s">
        <v>889</v>
      </c>
      <c r="H708" s="276">
        <v>805</v>
      </c>
      <c r="I708" s="24">
        <v>103003</v>
      </c>
      <c r="J708" s="277">
        <v>0.39</v>
      </c>
      <c r="K708" s="276">
        <v>185</v>
      </c>
      <c r="L708" s="278">
        <v>52.204928664072639</v>
      </c>
      <c r="M708" s="279">
        <v>0</v>
      </c>
      <c r="N708" s="277">
        <v>0</v>
      </c>
      <c r="O708" s="280" t="s">
        <v>888</v>
      </c>
      <c r="P708" s="279">
        <v>0</v>
      </c>
      <c r="Q708" s="281">
        <v>0</v>
      </c>
      <c r="R708" s="282" t="s">
        <v>889</v>
      </c>
      <c r="S708" s="274" t="s">
        <v>990</v>
      </c>
      <c r="T708" s="44">
        <v>1</v>
      </c>
      <c r="U708" s="283">
        <v>55</v>
      </c>
      <c r="V708" s="284">
        <v>32</v>
      </c>
      <c r="W708" s="285" t="s">
        <v>889</v>
      </c>
      <c r="X708" s="286" t="s">
        <v>889</v>
      </c>
      <c r="Y708" s="287">
        <v>0</v>
      </c>
      <c r="Z708" s="287" t="s">
        <v>889</v>
      </c>
      <c r="AA708" s="286" t="s">
        <v>889</v>
      </c>
      <c r="AB708" s="287">
        <v>0</v>
      </c>
      <c r="AC708" s="287"/>
      <c r="AD708" s="288" t="s">
        <v>889</v>
      </c>
      <c r="AE708" s="289" t="s">
        <v>889</v>
      </c>
      <c r="AF708" s="279">
        <v>62</v>
      </c>
      <c r="AG708" s="282">
        <v>42220</v>
      </c>
      <c r="AH708" s="282">
        <v>41926</v>
      </c>
      <c r="AI708" s="282">
        <v>42205</v>
      </c>
      <c r="AJ708" s="282" t="s">
        <v>889</v>
      </c>
      <c r="AK708" s="274"/>
    </row>
    <row r="709" spans="1:37" x14ac:dyDescent="0.3">
      <c r="A709" s="273">
        <v>128818</v>
      </c>
      <c r="B709" s="274" t="s">
        <v>1796</v>
      </c>
      <c r="C709" s="146" t="s">
        <v>31</v>
      </c>
      <c r="D709" s="275">
        <v>1.1499999999999999</v>
      </c>
      <c r="E709" s="274"/>
      <c r="F709" s="274"/>
      <c r="G709" s="274" t="s">
        <v>889</v>
      </c>
      <c r="H709" s="276">
        <v>1795</v>
      </c>
      <c r="I709" s="24">
        <v>103003</v>
      </c>
      <c r="J709" s="277">
        <v>1.1499999999999999</v>
      </c>
      <c r="K709" s="276">
        <v>4625</v>
      </c>
      <c r="L709" s="278">
        <v>3.3266614774454206</v>
      </c>
      <c r="M709" s="279">
        <v>3679.96</v>
      </c>
      <c r="N709" s="277">
        <v>4231.9539999999997</v>
      </c>
      <c r="O709" s="280" t="s">
        <v>888</v>
      </c>
      <c r="P709" s="279">
        <v>0</v>
      </c>
      <c r="Q709" s="281">
        <v>0</v>
      </c>
      <c r="R709" s="282" t="s">
        <v>889</v>
      </c>
      <c r="S709" s="274" t="s">
        <v>1088</v>
      </c>
      <c r="T709" s="44">
        <v>1</v>
      </c>
      <c r="U709" s="283">
        <v>55</v>
      </c>
      <c r="V709" s="284">
        <v>34</v>
      </c>
      <c r="W709" s="285">
        <v>10083</v>
      </c>
      <c r="X709" s="286">
        <v>2023</v>
      </c>
      <c r="Y709" s="287">
        <v>1000</v>
      </c>
      <c r="Z709" s="287" t="s">
        <v>889</v>
      </c>
      <c r="AA709" s="286" t="s">
        <v>889</v>
      </c>
      <c r="AB709" s="287">
        <v>0</v>
      </c>
      <c r="AC709" s="287"/>
      <c r="AD709" s="288" t="s">
        <v>889</v>
      </c>
      <c r="AE709" s="289" t="s">
        <v>889</v>
      </c>
      <c r="AF709" s="279">
        <v>2158</v>
      </c>
      <c r="AG709" s="282">
        <v>44659</v>
      </c>
      <c r="AH709" s="282">
        <v>41926</v>
      </c>
      <c r="AI709" s="282">
        <v>44616</v>
      </c>
      <c r="AJ709" s="282" t="s">
        <v>889</v>
      </c>
      <c r="AK709" s="274"/>
    </row>
    <row r="710" spans="1:37" x14ac:dyDescent="0.3">
      <c r="A710" s="273">
        <v>128819</v>
      </c>
      <c r="B710" s="274" t="s">
        <v>1797</v>
      </c>
      <c r="C710" s="146" t="s">
        <v>31</v>
      </c>
      <c r="D710" s="275">
        <v>5.6</v>
      </c>
      <c r="E710" s="274"/>
      <c r="F710" s="274"/>
      <c r="G710" s="274" t="s">
        <v>889</v>
      </c>
      <c r="H710" s="276">
        <v>251</v>
      </c>
      <c r="I710" s="24">
        <v>103003</v>
      </c>
      <c r="J710" s="277">
        <v>5.6</v>
      </c>
      <c r="K710" s="276">
        <v>192</v>
      </c>
      <c r="L710" s="278">
        <v>15.6875</v>
      </c>
      <c r="M710" s="279">
        <v>0</v>
      </c>
      <c r="N710" s="277">
        <v>0</v>
      </c>
      <c r="O710" s="280" t="s">
        <v>888</v>
      </c>
      <c r="P710" s="279">
        <v>0</v>
      </c>
      <c r="Q710" s="281">
        <v>0</v>
      </c>
      <c r="R710" s="282" t="s">
        <v>889</v>
      </c>
      <c r="S710" s="274" t="s">
        <v>1088</v>
      </c>
      <c r="T710" s="44">
        <v>1</v>
      </c>
      <c r="U710" s="283">
        <v>55</v>
      </c>
      <c r="V710" s="284">
        <v>34</v>
      </c>
      <c r="W710" s="285">
        <v>2546</v>
      </c>
      <c r="X710" s="286">
        <v>2023</v>
      </c>
      <c r="Y710" s="287">
        <v>100</v>
      </c>
      <c r="Z710" s="287" t="s">
        <v>889</v>
      </c>
      <c r="AA710" s="286" t="s">
        <v>889</v>
      </c>
      <c r="AB710" s="287">
        <v>0</v>
      </c>
      <c r="AC710" s="287"/>
      <c r="AD710" s="288" t="s">
        <v>889</v>
      </c>
      <c r="AE710" s="289" t="s">
        <v>889</v>
      </c>
      <c r="AF710" s="279">
        <v>64</v>
      </c>
      <c r="AG710" s="282">
        <v>44659</v>
      </c>
      <c r="AH710" s="282">
        <v>41926</v>
      </c>
      <c r="AI710" s="282">
        <v>44616</v>
      </c>
      <c r="AJ710" s="282" t="s">
        <v>889</v>
      </c>
      <c r="AK710" s="274"/>
    </row>
    <row r="711" spans="1:37" x14ac:dyDescent="0.3">
      <c r="A711" s="273">
        <v>128832</v>
      </c>
      <c r="B711" s="274" t="s">
        <v>800</v>
      </c>
      <c r="C711" s="146" t="s">
        <v>31</v>
      </c>
      <c r="D711" s="275">
        <v>1310</v>
      </c>
      <c r="E711" s="274"/>
      <c r="F711" s="274"/>
      <c r="G711" s="274" t="s">
        <v>889</v>
      </c>
      <c r="H711" s="276">
        <v>2</v>
      </c>
      <c r="I711" s="24">
        <v>103003</v>
      </c>
      <c r="J711" s="277">
        <v>1310</v>
      </c>
      <c r="K711" s="276"/>
      <c r="L711" s="278">
        <v>0</v>
      </c>
      <c r="M711" s="279">
        <v>0</v>
      </c>
      <c r="N711" s="277">
        <v>0</v>
      </c>
      <c r="O711" s="280" t="s">
        <v>888</v>
      </c>
      <c r="P711" s="279">
        <v>0</v>
      </c>
      <c r="Q711" s="281">
        <v>0</v>
      </c>
      <c r="R711" s="282" t="s">
        <v>889</v>
      </c>
      <c r="S711" s="274" t="s">
        <v>1798</v>
      </c>
      <c r="T711" s="44">
        <v>1</v>
      </c>
      <c r="U711" s="283">
        <v>84</v>
      </c>
      <c r="V711" s="284">
        <v>5</v>
      </c>
      <c r="W711" s="285" t="s">
        <v>889</v>
      </c>
      <c r="X711" s="286" t="s">
        <v>889</v>
      </c>
      <c r="Y711" s="287">
        <v>0</v>
      </c>
      <c r="Z711" s="287" t="s">
        <v>889</v>
      </c>
      <c r="AA711" s="286" t="s">
        <v>889</v>
      </c>
      <c r="AB711" s="287">
        <v>0</v>
      </c>
      <c r="AC711" s="287"/>
      <c r="AD711" s="288" t="s">
        <v>889</v>
      </c>
      <c r="AE711" s="289" t="s">
        <v>889</v>
      </c>
      <c r="AF711" s="279">
        <v>0</v>
      </c>
      <c r="AG711" s="282">
        <v>42146</v>
      </c>
      <c r="AH711" s="282">
        <v>41932</v>
      </c>
      <c r="AI711" s="282">
        <v>42142</v>
      </c>
      <c r="AJ711" s="282" t="s">
        <v>889</v>
      </c>
      <c r="AK711" s="274"/>
    </row>
    <row r="712" spans="1:37" x14ac:dyDescent="0.3">
      <c r="A712" s="273">
        <v>129960</v>
      </c>
      <c r="B712" s="274" t="s">
        <v>1799</v>
      </c>
      <c r="C712" s="146" t="s">
        <v>272</v>
      </c>
      <c r="D712" s="275">
        <v>136</v>
      </c>
      <c r="E712" s="274"/>
      <c r="F712" s="274"/>
      <c r="G712" s="274" t="s">
        <v>889</v>
      </c>
      <c r="H712" s="276">
        <v>240</v>
      </c>
      <c r="I712" s="24">
        <v>103003</v>
      </c>
      <c r="J712" s="277">
        <v>136</v>
      </c>
      <c r="K712" s="276">
        <v>10</v>
      </c>
      <c r="L712" s="278">
        <v>289.15662650602411</v>
      </c>
      <c r="M712" s="279">
        <v>0</v>
      </c>
      <c r="N712" s="277">
        <v>0</v>
      </c>
      <c r="O712" s="280" t="s">
        <v>888</v>
      </c>
      <c r="P712" s="279">
        <v>0</v>
      </c>
      <c r="Q712" s="281">
        <v>0</v>
      </c>
      <c r="R712" s="282" t="s">
        <v>889</v>
      </c>
      <c r="S712" s="274" t="s">
        <v>1676</v>
      </c>
      <c r="T712" s="44">
        <v>1</v>
      </c>
      <c r="U712" s="283">
        <v>55</v>
      </c>
      <c r="V712" s="284">
        <v>19</v>
      </c>
      <c r="W712" s="285" t="s">
        <v>889</v>
      </c>
      <c r="X712" s="286" t="s">
        <v>889</v>
      </c>
      <c r="Y712" s="287">
        <v>0</v>
      </c>
      <c r="Z712" s="287" t="s">
        <v>889</v>
      </c>
      <c r="AA712" s="286" t="s">
        <v>889</v>
      </c>
      <c r="AB712" s="287">
        <v>0</v>
      </c>
      <c r="AC712" s="287"/>
      <c r="AD712" s="288" t="s">
        <v>889</v>
      </c>
      <c r="AE712" s="289" t="s">
        <v>889</v>
      </c>
      <c r="AF712" s="279">
        <v>4</v>
      </c>
      <c r="AG712" s="282">
        <v>44960</v>
      </c>
      <c r="AH712" s="282">
        <v>42046</v>
      </c>
      <c r="AI712" s="282">
        <v>44845</v>
      </c>
      <c r="AJ712" s="282" t="s">
        <v>889</v>
      </c>
      <c r="AK712" s="274"/>
    </row>
    <row r="713" spans="1:37" x14ac:dyDescent="0.3">
      <c r="A713" s="273">
        <v>129961</v>
      </c>
      <c r="B713" s="274" t="s">
        <v>1800</v>
      </c>
      <c r="C713" s="146" t="s">
        <v>263</v>
      </c>
      <c r="D713" s="275">
        <v>574.29999999999995</v>
      </c>
      <c r="E713" s="274"/>
      <c r="F713" s="274"/>
      <c r="G713" s="274" t="s">
        <v>889</v>
      </c>
      <c r="H713" s="276">
        <v>4</v>
      </c>
      <c r="I713" s="24">
        <v>103003</v>
      </c>
      <c r="J713" s="277">
        <v>574.29999999999995</v>
      </c>
      <c r="K713" s="276">
        <v>1</v>
      </c>
      <c r="L713" s="278">
        <v>50</v>
      </c>
      <c r="M713" s="279">
        <v>0</v>
      </c>
      <c r="N713" s="277">
        <v>0</v>
      </c>
      <c r="O713" s="280" t="s">
        <v>888</v>
      </c>
      <c r="P713" s="279">
        <v>0</v>
      </c>
      <c r="Q713" s="281">
        <v>0</v>
      </c>
      <c r="R713" s="282" t="s">
        <v>889</v>
      </c>
      <c r="S713" s="274" t="s">
        <v>1502</v>
      </c>
      <c r="T713" s="44">
        <v>1</v>
      </c>
      <c r="U713" s="283">
        <v>55</v>
      </c>
      <c r="V713" s="284">
        <v>26</v>
      </c>
      <c r="W713" s="285" t="s">
        <v>889</v>
      </c>
      <c r="X713" s="286" t="s">
        <v>889</v>
      </c>
      <c r="Y713" s="287">
        <v>0</v>
      </c>
      <c r="Z713" s="287" t="s">
        <v>889</v>
      </c>
      <c r="AA713" s="286" t="s">
        <v>889</v>
      </c>
      <c r="AB713" s="287">
        <v>0</v>
      </c>
      <c r="AC713" s="287"/>
      <c r="AD713" s="288" t="s">
        <v>889</v>
      </c>
      <c r="AE713" s="289" t="s">
        <v>889</v>
      </c>
      <c r="AF713" s="279">
        <v>0</v>
      </c>
      <c r="AG713" s="282">
        <v>43790</v>
      </c>
      <c r="AH713" s="282">
        <v>42046</v>
      </c>
      <c r="AI713" s="282">
        <v>43783</v>
      </c>
      <c r="AJ713" s="282" t="s">
        <v>889</v>
      </c>
      <c r="AK713" s="274"/>
    </row>
    <row r="714" spans="1:37" x14ac:dyDescent="0.3">
      <c r="A714" s="273">
        <v>129962</v>
      </c>
      <c r="B714" s="274" t="s">
        <v>1801</v>
      </c>
      <c r="C714" s="146" t="s">
        <v>263</v>
      </c>
      <c r="D714" s="275">
        <v>351.97</v>
      </c>
      <c r="E714" s="274"/>
      <c r="F714" s="274"/>
      <c r="G714" s="274" t="s">
        <v>889</v>
      </c>
      <c r="H714" s="276">
        <v>7</v>
      </c>
      <c r="I714" s="24">
        <v>103003</v>
      </c>
      <c r="J714" s="277">
        <v>351.97</v>
      </c>
      <c r="K714" s="276">
        <v>3</v>
      </c>
      <c r="L714" s="278">
        <v>28</v>
      </c>
      <c r="M714" s="279">
        <v>0</v>
      </c>
      <c r="N714" s="277">
        <v>0</v>
      </c>
      <c r="O714" s="280" t="s">
        <v>888</v>
      </c>
      <c r="P714" s="279">
        <v>0</v>
      </c>
      <c r="Q714" s="281">
        <v>0</v>
      </c>
      <c r="R714" s="282" t="s">
        <v>889</v>
      </c>
      <c r="S714" s="274" t="s">
        <v>1502</v>
      </c>
      <c r="T714" s="44">
        <v>1</v>
      </c>
      <c r="U714" s="283">
        <v>55</v>
      </c>
      <c r="V714" s="284">
        <v>26</v>
      </c>
      <c r="W714" s="285">
        <v>2956</v>
      </c>
      <c r="X714" s="286">
        <v>2023</v>
      </c>
      <c r="Y714" s="287">
        <v>3</v>
      </c>
      <c r="Z714" s="287" t="s">
        <v>889</v>
      </c>
      <c r="AA714" s="286" t="s">
        <v>889</v>
      </c>
      <c r="AB714" s="287">
        <v>0</v>
      </c>
      <c r="AC714" s="287"/>
      <c r="AD714" s="288" t="s">
        <v>889</v>
      </c>
      <c r="AE714" s="289" t="s">
        <v>889</v>
      </c>
      <c r="AF714" s="279">
        <v>2</v>
      </c>
      <c r="AG714" s="282">
        <v>43642</v>
      </c>
      <c r="AH714" s="282">
        <v>42046</v>
      </c>
      <c r="AI714" s="282">
        <v>43859</v>
      </c>
      <c r="AJ714" s="282" t="s">
        <v>889</v>
      </c>
      <c r="AK714" s="274"/>
    </row>
    <row r="715" spans="1:37" x14ac:dyDescent="0.3">
      <c r="A715" s="273">
        <v>129991</v>
      </c>
      <c r="B715" s="274" t="s">
        <v>1802</v>
      </c>
      <c r="C715" s="146" t="s">
        <v>272</v>
      </c>
      <c r="D715" s="275">
        <v>12.24</v>
      </c>
      <c r="E715" s="274"/>
      <c r="F715" s="274"/>
      <c r="G715" s="274" t="s">
        <v>889</v>
      </c>
      <c r="H715" s="276">
        <v>324</v>
      </c>
      <c r="I715" s="24">
        <v>103003</v>
      </c>
      <c r="J715" s="277">
        <v>12.24</v>
      </c>
      <c r="K715" s="276">
        <v>128</v>
      </c>
      <c r="L715" s="278">
        <v>30.365510777881912</v>
      </c>
      <c r="M715" s="279">
        <v>0</v>
      </c>
      <c r="N715" s="277">
        <v>0</v>
      </c>
      <c r="O715" s="280" t="s">
        <v>888</v>
      </c>
      <c r="P715" s="279">
        <v>0</v>
      </c>
      <c r="Q715" s="281">
        <v>0</v>
      </c>
      <c r="R715" s="282" t="s">
        <v>889</v>
      </c>
      <c r="S715" s="274" t="s">
        <v>990</v>
      </c>
      <c r="T715" s="44">
        <v>1</v>
      </c>
      <c r="U715" s="283">
        <v>55</v>
      </c>
      <c r="V715" s="284">
        <v>32</v>
      </c>
      <c r="W715" s="285" t="s">
        <v>889</v>
      </c>
      <c r="X715" s="286" t="s">
        <v>889</v>
      </c>
      <c r="Y715" s="287">
        <v>0</v>
      </c>
      <c r="Z715" s="287" t="s">
        <v>889</v>
      </c>
      <c r="AA715" s="286" t="s">
        <v>889</v>
      </c>
      <c r="AB715" s="287">
        <v>0</v>
      </c>
      <c r="AC715" s="287"/>
      <c r="AD715" s="288" t="s">
        <v>889</v>
      </c>
      <c r="AE715" s="289" t="s">
        <v>889</v>
      </c>
      <c r="AF715" s="279">
        <v>42</v>
      </c>
      <c r="AG715" s="282">
        <v>44945</v>
      </c>
      <c r="AH715" s="282">
        <v>42055</v>
      </c>
      <c r="AI715" s="282">
        <v>44917</v>
      </c>
      <c r="AJ715" s="282" t="s">
        <v>889</v>
      </c>
      <c r="AK715" s="274"/>
    </row>
    <row r="716" spans="1:37" x14ac:dyDescent="0.3">
      <c r="A716" s="273">
        <v>130024</v>
      </c>
      <c r="B716" s="274" t="s">
        <v>1803</v>
      </c>
      <c r="C716" s="146" t="s">
        <v>269</v>
      </c>
      <c r="D716" s="275">
        <v>3.12</v>
      </c>
      <c r="E716" s="274"/>
      <c r="F716" s="274"/>
      <c r="G716" s="274" t="s">
        <v>889</v>
      </c>
      <c r="H716" s="276">
        <v>467</v>
      </c>
      <c r="I716" s="24">
        <v>103003</v>
      </c>
      <c r="J716" s="277">
        <v>3.12</v>
      </c>
      <c r="K716" s="276">
        <v>2332</v>
      </c>
      <c r="L716" s="278">
        <v>1.3968234977417522</v>
      </c>
      <c r="M716" s="279">
        <v>3544.96</v>
      </c>
      <c r="N716" s="277">
        <v>11060.2752</v>
      </c>
      <c r="O716" s="280" t="s">
        <v>888</v>
      </c>
      <c r="P716" s="279">
        <v>0</v>
      </c>
      <c r="Q716" s="281">
        <v>0</v>
      </c>
      <c r="R716" s="282" t="s">
        <v>889</v>
      </c>
      <c r="S716" s="274" t="s">
        <v>1804</v>
      </c>
      <c r="T716" s="44">
        <v>1</v>
      </c>
      <c r="U716" s="283">
        <v>52</v>
      </c>
      <c r="V716" s="284">
        <v>8</v>
      </c>
      <c r="W716" s="285" t="s">
        <v>889</v>
      </c>
      <c r="X716" s="286" t="s">
        <v>889</v>
      </c>
      <c r="Y716" s="287">
        <v>0</v>
      </c>
      <c r="Z716" s="287" t="s">
        <v>889</v>
      </c>
      <c r="AA716" s="286" t="s">
        <v>889</v>
      </c>
      <c r="AB716" s="287">
        <v>0</v>
      </c>
      <c r="AC716" s="287"/>
      <c r="AD716" s="288" t="s">
        <v>889</v>
      </c>
      <c r="AE716" s="289" t="s">
        <v>889</v>
      </c>
      <c r="AF716" s="279">
        <v>1338</v>
      </c>
      <c r="AG716" s="282">
        <v>45117</v>
      </c>
      <c r="AH716" s="282">
        <v>42065</v>
      </c>
      <c r="AI716" s="282">
        <v>45187</v>
      </c>
      <c r="AJ716" s="282" t="s">
        <v>889</v>
      </c>
      <c r="AK716" s="274"/>
    </row>
    <row r="717" spans="1:37" x14ac:dyDescent="0.3">
      <c r="A717" s="273">
        <v>130572</v>
      </c>
      <c r="B717" s="274" t="s">
        <v>1805</v>
      </c>
      <c r="C717" s="146" t="s">
        <v>436</v>
      </c>
      <c r="D717" s="275">
        <v>6.47</v>
      </c>
      <c r="E717" s="274"/>
      <c r="F717" s="274"/>
      <c r="G717" s="274" t="s">
        <v>889</v>
      </c>
      <c r="H717" s="276">
        <v>0</v>
      </c>
      <c r="I717" s="24">
        <v>103003</v>
      </c>
      <c r="J717" s="277">
        <v>6.47</v>
      </c>
      <c r="K717" s="276"/>
      <c r="L717" s="278">
        <v>0</v>
      </c>
      <c r="M717" s="279">
        <v>0</v>
      </c>
      <c r="N717" s="277">
        <v>0</v>
      </c>
      <c r="O717" s="280" t="s">
        <v>888</v>
      </c>
      <c r="P717" s="279">
        <v>0</v>
      </c>
      <c r="Q717" s="281">
        <v>0</v>
      </c>
      <c r="R717" s="282" t="s">
        <v>889</v>
      </c>
      <c r="S717" s="274" t="s">
        <v>1492</v>
      </c>
      <c r="T717" s="44">
        <v>1</v>
      </c>
      <c r="U717" s="283">
        <v>54</v>
      </c>
      <c r="V717" s="284">
        <v>4</v>
      </c>
      <c r="W717" s="285">
        <v>2825</v>
      </c>
      <c r="X717" s="286">
        <v>2023</v>
      </c>
      <c r="Y717" s="287">
        <v>20</v>
      </c>
      <c r="Z717" s="287" t="s">
        <v>889</v>
      </c>
      <c r="AA717" s="286" t="s">
        <v>889</v>
      </c>
      <c r="AB717" s="287">
        <v>0</v>
      </c>
      <c r="AC717" s="287"/>
      <c r="AD717" s="288" t="s">
        <v>889</v>
      </c>
      <c r="AE717" s="289" t="s">
        <v>889</v>
      </c>
      <c r="AF717" s="279">
        <v>0</v>
      </c>
      <c r="AG717" s="282">
        <v>43819</v>
      </c>
      <c r="AH717" s="282">
        <v>42188</v>
      </c>
      <c r="AI717" s="282">
        <v>44232</v>
      </c>
      <c r="AJ717" s="282" t="s">
        <v>889</v>
      </c>
      <c r="AK717" s="274"/>
    </row>
    <row r="718" spans="1:37" x14ac:dyDescent="0.3">
      <c r="A718" s="273">
        <v>130614</v>
      </c>
      <c r="B718" s="274" t="s">
        <v>806</v>
      </c>
      <c r="C718" s="146" t="s">
        <v>335</v>
      </c>
      <c r="D718" s="275">
        <v>47.85</v>
      </c>
      <c r="E718" s="274"/>
      <c r="F718" s="274"/>
      <c r="G718" s="274" t="s">
        <v>889</v>
      </c>
      <c r="H718" s="276">
        <v>726</v>
      </c>
      <c r="I718" s="24">
        <v>103003</v>
      </c>
      <c r="J718" s="277">
        <v>47.85</v>
      </c>
      <c r="K718" s="276">
        <v>36</v>
      </c>
      <c r="L718" s="278">
        <v>242</v>
      </c>
      <c r="M718" s="279">
        <v>0</v>
      </c>
      <c r="N718" s="277">
        <v>0</v>
      </c>
      <c r="O718" s="280" t="s">
        <v>888</v>
      </c>
      <c r="P718" s="279">
        <v>0</v>
      </c>
      <c r="Q718" s="281">
        <v>0</v>
      </c>
      <c r="R718" s="282" t="s">
        <v>889</v>
      </c>
      <c r="S718" s="274" t="s">
        <v>1749</v>
      </c>
      <c r="T718" s="44">
        <v>1</v>
      </c>
      <c r="U718" s="283">
        <v>75</v>
      </c>
      <c r="V718" s="284">
        <v>5</v>
      </c>
      <c r="W718" s="285" t="s">
        <v>889</v>
      </c>
      <c r="X718" s="286" t="s">
        <v>889</v>
      </c>
      <c r="Y718" s="287">
        <v>0</v>
      </c>
      <c r="Z718" s="287" t="s">
        <v>889</v>
      </c>
      <c r="AA718" s="286" t="s">
        <v>889</v>
      </c>
      <c r="AB718" s="287">
        <v>0</v>
      </c>
      <c r="AC718" s="287"/>
      <c r="AD718" s="288" t="s">
        <v>889</v>
      </c>
      <c r="AE718" s="289" t="s">
        <v>889</v>
      </c>
      <c r="AF718" s="279">
        <v>12</v>
      </c>
      <c r="AG718" s="282">
        <v>43826</v>
      </c>
      <c r="AH718" s="282">
        <v>42201</v>
      </c>
      <c r="AI718" s="282">
        <v>45197</v>
      </c>
      <c r="AJ718" s="282" t="s">
        <v>889</v>
      </c>
      <c r="AK718" s="274"/>
    </row>
    <row r="719" spans="1:37" x14ac:dyDescent="0.3">
      <c r="A719" s="273">
        <v>130618</v>
      </c>
      <c r="B719" s="274" t="s">
        <v>1806</v>
      </c>
      <c r="C719" s="146" t="s">
        <v>260</v>
      </c>
      <c r="D719" s="275">
        <v>67.42</v>
      </c>
      <c r="E719" s="274"/>
      <c r="F719" s="274"/>
      <c r="G719" s="274" t="s">
        <v>889</v>
      </c>
      <c r="H719" s="276">
        <v>0</v>
      </c>
      <c r="I719" s="24">
        <v>103003</v>
      </c>
      <c r="J719" s="277">
        <v>67.42</v>
      </c>
      <c r="K719" s="276">
        <v>71</v>
      </c>
      <c r="L719" s="278">
        <v>0</v>
      </c>
      <c r="M719" s="279">
        <v>71.040000000000006</v>
      </c>
      <c r="N719" s="277">
        <v>4789.5168000000003</v>
      </c>
      <c r="O719" s="280" t="s">
        <v>888</v>
      </c>
      <c r="P719" s="279">
        <v>0</v>
      </c>
      <c r="Q719" s="281">
        <v>0</v>
      </c>
      <c r="R719" s="282" t="s">
        <v>889</v>
      </c>
      <c r="S719" s="274" t="s">
        <v>1076</v>
      </c>
      <c r="T719" s="44">
        <v>1</v>
      </c>
      <c r="U719" s="283">
        <v>78</v>
      </c>
      <c r="V719" s="284">
        <v>2</v>
      </c>
      <c r="W719" s="285" t="s">
        <v>889</v>
      </c>
      <c r="X719" s="286" t="s">
        <v>889</v>
      </c>
      <c r="Y719" s="287">
        <v>0</v>
      </c>
      <c r="Z719" s="287" t="s">
        <v>889</v>
      </c>
      <c r="AA719" s="286" t="s">
        <v>889</v>
      </c>
      <c r="AB719" s="287">
        <v>0</v>
      </c>
      <c r="AC719" s="287"/>
      <c r="AD719" s="288" t="s">
        <v>889</v>
      </c>
      <c r="AE719" s="289" t="s">
        <v>889</v>
      </c>
      <c r="AF719" s="279">
        <v>24</v>
      </c>
      <c r="AG719" s="282">
        <v>42535</v>
      </c>
      <c r="AH719" s="282">
        <v>42201</v>
      </c>
      <c r="AI719" s="282">
        <v>45210</v>
      </c>
      <c r="AJ719" s="282" t="s">
        <v>889</v>
      </c>
      <c r="AK719" s="274"/>
    </row>
    <row r="720" spans="1:37" x14ac:dyDescent="0.3">
      <c r="A720" s="273">
        <v>130624</v>
      </c>
      <c r="B720" s="274" t="s">
        <v>1807</v>
      </c>
      <c r="C720" s="146" t="s">
        <v>267</v>
      </c>
      <c r="D720" s="275">
        <v>9.5500000000000007</v>
      </c>
      <c r="E720" s="274"/>
      <c r="F720" s="274"/>
      <c r="G720" s="274" t="s">
        <v>889</v>
      </c>
      <c r="H720" s="276">
        <v>6998</v>
      </c>
      <c r="I720" s="24">
        <v>103003</v>
      </c>
      <c r="J720" s="277">
        <v>9.5500000000000007</v>
      </c>
      <c r="K720" s="276">
        <v>21534</v>
      </c>
      <c r="L720" s="278">
        <v>3.0691905547173781</v>
      </c>
      <c r="M720" s="279">
        <v>19362.96</v>
      </c>
      <c r="N720" s="277">
        <v>184916.26800000001</v>
      </c>
      <c r="O720" s="280" t="s">
        <v>888</v>
      </c>
      <c r="P720" s="279">
        <v>0</v>
      </c>
      <c r="Q720" s="281">
        <v>0</v>
      </c>
      <c r="R720" s="282" t="s">
        <v>889</v>
      </c>
      <c r="S720" s="274" t="s">
        <v>1364</v>
      </c>
      <c r="T720" s="44">
        <v>1</v>
      </c>
      <c r="U720" s="283">
        <v>57</v>
      </c>
      <c r="V720" s="284">
        <v>17</v>
      </c>
      <c r="W720" s="285">
        <v>6217</v>
      </c>
      <c r="X720" s="286">
        <v>2023</v>
      </c>
      <c r="Y720" s="287">
        <v>1000</v>
      </c>
      <c r="Z720" s="287" t="s">
        <v>889</v>
      </c>
      <c r="AA720" s="286" t="s">
        <v>889</v>
      </c>
      <c r="AB720" s="287">
        <v>0</v>
      </c>
      <c r="AC720" s="287"/>
      <c r="AD720" s="288" t="s">
        <v>889</v>
      </c>
      <c r="AE720" s="289" t="s">
        <v>889</v>
      </c>
      <c r="AF720" s="279">
        <v>9120</v>
      </c>
      <c r="AG720" s="282">
        <v>44991</v>
      </c>
      <c r="AH720" s="282">
        <v>42205</v>
      </c>
      <c r="AI720" s="282">
        <v>45043</v>
      </c>
      <c r="AJ720" s="282" t="s">
        <v>889</v>
      </c>
      <c r="AK720" s="274"/>
    </row>
    <row r="721" spans="1:37" x14ac:dyDescent="0.3">
      <c r="A721" s="273">
        <v>130632</v>
      </c>
      <c r="B721" s="274" t="s">
        <v>1808</v>
      </c>
      <c r="C721" s="146" t="s">
        <v>31</v>
      </c>
      <c r="D721" s="275">
        <v>38.33</v>
      </c>
      <c r="E721" s="274"/>
      <c r="F721" s="274"/>
      <c r="G721" s="274" t="s">
        <v>889</v>
      </c>
      <c r="H721" s="276">
        <v>0</v>
      </c>
      <c r="I721" s="24">
        <v>103003</v>
      </c>
      <c r="J721" s="277">
        <v>38.33</v>
      </c>
      <c r="K721" s="276">
        <v>23</v>
      </c>
      <c r="L721" s="278">
        <v>0</v>
      </c>
      <c r="M721" s="279">
        <v>23.04</v>
      </c>
      <c r="N721" s="277">
        <v>883.1232</v>
      </c>
      <c r="O721" s="280" t="s">
        <v>888</v>
      </c>
      <c r="P721" s="279">
        <v>0</v>
      </c>
      <c r="Q721" s="281">
        <v>0</v>
      </c>
      <c r="R721" s="282" t="s">
        <v>889</v>
      </c>
      <c r="S721" s="274" t="s">
        <v>963</v>
      </c>
      <c r="T721" s="44">
        <v>1</v>
      </c>
      <c r="U721" s="283">
        <v>51</v>
      </c>
      <c r="V721" s="284">
        <v>3</v>
      </c>
      <c r="W721" s="285" t="s">
        <v>889</v>
      </c>
      <c r="X721" s="286" t="s">
        <v>889</v>
      </c>
      <c r="Y721" s="287">
        <v>0</v>
      </c>
      <c r="Z721" s="287" t="s">
        <v>889</v>
      </c>
      <c r="AA721" s="286" t="s">
        <v>889</v>
      </c>
      <c r="AB721" s="287">
        <v>0</v>
      </c>
      <c r="AC721" s="287"/>
      <c r="AD721" s="288" t="s">
        <v>889</v>
      </c>
      <c r="AE721" s="289" t="s">
        <v>889</v>
      </c>
      <c r="AF721" s="279">
        <v>8</v>
      </c>
      <c r="AG721" s="282">
        <v>44785</v>
      </c>
      <c r="AH721" s="282">
        <v>42207</v>
      </c>
      <c r="AI721" s="282">
        <v>44755</v>
      </c>
      <c r="AJ721" s="282" t="s">
        <v>889</v>
      </c>
      <c r="AK721" s="274"/>
    </row>
    <row r="722" spans="1:37" x14ac:dyDescent="0.3">
      <c r="A722" s="273">
        <v>130634</v>
      </c>
      <c r="B722" s="274" t="s">
        <v>1809</v>
      </c>
      <c r="C722" s="146" t="s">
        <v>263</v>
      </c>
      <c r="D722" s="275">
        <v>15.95</v>
      </c>
      <c r="E722" s="274"/>
      <c r="F722" s="274"/>
      <c r="G722" s="274" t="s">
        <v>889</v>
      </c>
      <c r="H722" s="276">
        <v>752</v>
      </c>
      <c r="I722" s="24">
        <v>103003</v>
      </c>
      <c r="J722" s="277">
        <v>15.95</v>
      </c>
      <c r="K722" s="276">
        <v>1148</v>
      </c>
      <c r="L722" s="278">
        <v>3.6139946174548254</v>
      </c>
      <c r="M722" s="279">
        <v>1744.96</v>
      </c>
      <c r="N722" s="277">
        <v>27832.112000000001</v>
      </c>
      <c r="O722" s="280" t="s">
        <v>888</v>
      </c>
      <c r="P722" s="279">
        <v>0</v>
      </c>
      <c r="Q722" s="281">
        <v>0</v>
      </c>
      <c r="R722" s="282" t="s">
        <v>889</v>
      </c>
      <c r="S722" s="274" t="s">
        <v>1565</v>
      </c>
      <c r="T722" s="44">
        <v>1</v>
      </c>
      <c r="U722" s="283">
        <v>51</v>
      </c>
      <c r="V722" s="284">
        <v>24</v>
      </c>
      <c r="W722" s="285" t="s">
        <v>889</v>
      </c>
      <c r="X722" s="286" t="s">
        <v>889</v>
      </c>
      <c r="Y722" s="287">
        <v>0</v>
      </c>
      <c r="Z722" s="287" t="s">
        <v>889</v>
      </c>
      <c r="AA722" s="286" t="s">
        <v>889</v>
      </c>
      <c r="AB722" s="287">
        <v>0</v>
      </c>
      <c r="AC722" s="287"/>
      <c r="AD722" s="288" t="s">
        <v>889</v>
      </c>
      <c r="AE722" s="289" t="s">
        <v>889</v>
      </c>
      <c r="AF722" s="279">
        <v>832</v>
      </c>
      <c r="AG722" s="282">
        <v>44924</v>
      </c>
      <c r="AH722" s="282">
        <v>42208</v>
      </c>
      <c r="AI722" s="282">
        <v>45000</v>
      </c>
      <c r="AJ722" s="282" t="s">
        <v>889</v>
      </c>
      <c r="AK722" s="274"/>
    </row>
    <row r="723" spans="1:37" x14ac:dyDescent="0.3">
      <c r="A723" s="273">
        <v>130695</v>
      </c>
      <c r="B723" s="274" t="s">
        <v>1810</v>
      </c>
      <c r="C723" s="146" t="s">
        <v>269</v>
      </c>
      <c r="D723" s="275">
        <v>18.989999999999998</v>
      </c>
      <c r="E723" s="274" t="s">
        <v>1811</v>
      </c>
      <c r="F723" s="274" t="s">
        <v>1812</v>
      </c>
      <c r="G723" s="274" t="s">
        <v>1813</v>
      </c>
      <c r="H723" s="276">
        <v>2080</v>
      </c>
      <c r="I723" s="24">
        <v>103003</v>
      </c>
      <c r="J723" s="277">
        <v>18.989999999999998</v>
      </c>
      <c r="K723" s="276">
        <v>3063</v>
      </c>
      <c r="L723" s="278">
        <v>5.251464350636236</v>
      </c>
      <c r="M723" s="279">
        <v>2672.96</v>
      </c>
      <c r="N723" s="277">
        <v>50759.510399999999</v>
      </c>
      <c r="O723" s="280" t="s">
        <v>1814</v>
      </c>
      <c r="P723" s="279">
        <v>0</v>
      </c>
      <c r="Q723" s="281">
        <v>0</v>
      </c>
      <c r="R723" s="282">
        <v>45238</v>
      </c>
      <c r="S723" s="274" t="s">
        <v>1742</v>
      </c>
      <c r="T723" s="44">
        <v>1</v>
      </c>
      <c r="U723" s="283">
        <v>62</v>
      </c>
      <c r="V723" s="284">
        <v>26</v>
      </c>
      <c r="W723" s="285" t="s">
        <v>889</v>
      </c>
      <c r="X723" s="286" t="s">
        <v>889</v>
      </c>
      <c r="Y723" s="287">
        <v>0</v>
      </c>
      <c r="Z723" s="287" t="s">
        <v>889</v>
      </c>
      <c r="AA723" s="286" t="s">
        <v>889</v>
      </c>
      <c r="AB723" s="287">
        <v>0</v>
      </c>
      <c r="AC723" s="287"/>
      <c r="AD723" s="288" t="s">
        <v>889</v>
      </c>
      <c r="AE723" s="289" t="s">
        <v>889</v>
      </c>
      <c r="AF723" s="279">
        <v>1584</v>
      </c>
      <c r="AG723" s="282">
        <v>45147</v>
      </c>
      <c r="AH723" s="282">
        <v>42230</v>
      </c>
      <c r="AI723" s="282">
        <v>45113</v>
      </c>
      <c r="AJ723" s="282" t="s">
        <v>889</v>
      </c>
      <c r="AK723" s="274"/>
    </row>
    <row r="724" spans="1:37" x14ac:dyDescent="0.3">
      <c r="A724" s="273">
        <v>131138</v>
      </c>
      <c r="B724" s="274" t="s">
        <v>1815</v>
      </c>
      <c r="C724" s="146" t="s">
        <v>269</v>
      </c>
      <c r="D724" s="275">
        <v>133.46</v>
      </c>
      <c r="E724" s="274"/>
      <c r="F724" s="274"/>
      <c r="G724" s="274" t="s">
        <v>889</v>
      </c>
      <c r="H724" s="276">
        <v>396</v>
      </c>
      <c r="I724" s="24">
        <v>103003</v>
      </c>
      <c r="J724" s="277">
        <v>133.46</v>
      </c>
      <c r="K724" s="276">
        <v>5</v>
      </c>
      <c r="L724" s="278">
        <v>942.85714285714278</v>
      </c>
      <c r="M724" s="279">
        <v>0</v>
      </c>
      <c r="N724" s="277">
        <v>0</v>
      </c>
      <c r="O724" s="280" t="s">
        <v>888</v>
      </c>
      <c r="P724" s="279">
        <v>0</v>
      </c>
      <c r="Q724" s="281">
        <v>0</v>
      </c>
      <c r="R724" s="282" t="s">
        <v>889</v>
      </c>
      <c r="S724" s="274" t="s">
        <v>1453</v>
      </c>
      <c r="T724" s="44">
        <v>1</v>
      </c>
      <c r="U724" s="283">
        <v>67</v>
      </c>
      <c r="V724" s="284">
        <v>16</v>
      </c>
      <c r="W724" s="285" t="s">
        <v>889</v>
      </c>
      <c r="X724" s="286" t="s">
        <v>889</v>
      </c>
      <c r="Y724" s="287">
        <v>0</v>
      </c>
      <c r="Z724" s="287" t="s">
        <v>889</v>
      </c>
      <c r="AA724" s="286" t="s">
        <v>889</v>
      </c>
      <c r="AB724" s="287">
        <v>0</v>
      </c>
      <c r="AC724" s="287"/>
      <c r="AD724" s="288" t="s">
        <v>889</v>
      </c>
      <c r="AE724" s="289" t="s">
        <v>889</v>
      </c>
      <c r="AF724" s="279">
        <v>2</v>
      </c>
      <c r="AG724" s="282">
        <v>44186</v>
      </c>
      <c r="AH724" s="282">
        <v>42342</v>
      </c>
      <c r="AI724" s="282">
        <v>44176</v>
      </c>
      <c r="AJ724" s="282" t="s">
        <v>889</v>
      </c>
      <c r="AK724" s="274"/>
    </row>
    <row r="725" spans="1:37" x14ac:dyDescent="0.3">
      <c r="A725" s="273">
        <v>131482</v>
      </c>
      <c r="B725" s="274" t="s">
        <v>1816</v>
      </c>
      <c r="C725" s="146" t="s">
        <v>31</v>
      </c>
      <c r="D725" s="275">
        <v>4.5</v>
      </c>
      <c r="E725" s="274"/>
      <c r="F725" s="274"/>
      <c r="G725" s="274" t="s">
        <v>889</v>
      </c>
      <c r="H725" s="276">
        <v>94</v>
      </c>
      <c r="I725" s="24">
        <v>103003</v>
      </c>
      <c r="J725" s="277">
        <v>4.5</v>
      </c>
      <c r="K725" s="276">
        <v>45</v>
      </c>
      <c r="L725" s="278">
        <v>25.066666666666666</v>
      </c>
      <c r="M725" s="279">
        <v>0</v>
      </c>
      <c r="N725" s="277">
        <v>0</v>
      </c>
      <c r="O725" s="280" t="s">
        <v>888</v>
      </c>
      <c r="P725" s="279">
        <v>0</v>
      </c>
      <c r="Q725" s="281">
        <v>0</v>
      </c>
      <c r="R725" s="282" t="s">
        <v>889</v>
      </c>
      <c r="S725" s="274" t="s">
        <v>1440</v>
      </c>
      <c r="T725" s="44">
        <v>1</v>
      </c>
      <c r="U725" s="283">
        <v>72</v>
      </c>
      <c r="V725" s="284">
        <v>5</v>
      </c>
      <c r="W725" s="285" t="s">
        <v>889</v>
      </c>
      <c r="X725" s="286" t="s">
        <v>889</v>
      </c>
      <c r="Y725" s="287">
        <v>0</v>
      </c>
      <c r="Z725" s="287" t="s">
        <v>889</v>
      </c>
      <c r="AA725" s="286" t="s">
        <v>889</v>
      </c>
      <c r="AB725" s="287">
        <v>0</v>
      </c>
      <c r="AC725" s="287"/>
      <c r="AD725" s="288" t="s">
        <v>889</v>
      </c>
      <c r="AE725" s="289" t="s">
        <v>889</v>
      </c>
      <c r="AF725" s="279">
        <v>16</v>
      </c>
      <c r="AG725" s="282">
        <v>42559</v>
      </c>
      <c r="AH725" s="282">
        <v>42464</v>
      </c>
      <c r="AI725" s="282">
        <v>44582</v>
      </c>
      <c r="AJ725" s="282" t="s">
        <v>889</v>
      </c>
      <c r="AK725" s="274"/>
    </row>
    <row r="726" spans="1:37" x14ac:dyDescent="0.3">
      <c r="A726" s="273">
        <v>131917</v>
      </c>
      <c r="B726" s="274" t="s">
        <v>1817</v>
      </c>
      <c r="C726" s="146" t="s">
        <v>31</v>
      </c>
      <c r="D726" s="275">
        <v>2.0699999999999998</v>
      </c>
      <c r="E726" s="274"/>
      <c r="F726" s="274"/>
      <c r="G726" s="274" t="s">
        <v>889</v>
      </c>
      <c r="H726" s="276">
        <v>3605</v>
      </c>
      <c r="I726" s="24">
        <v>103003</v>
      </c>
      <c r="J726" s="277">
        <v>2.0699999999999998</v>
      </c>
      <c r="K726" s="276">
        <v>8810</v>
      </c>
      <c r="L726" s="278">
        <v>4.6040868454661554</v>
      </c>
      <c r="M726" s="279">
        <v>5791</v>
      </c>
      <c r="N726" s="277">
        <v>11987.37</v>
      </c>
      <c r="O726" s="280" t="s">
        <v>888</v>
      </c>
      <c r="P726" s="279">
        <v>0</v>
      </c>
      <c r="Q726" s="281">
        <v>0</v>
      </c>
      <c r="R726" s="282" t="s">
        <v>889</v>
      </c>
      <c r="S726" s="274" t="s">
        <v>937</v>
      </c>
      <c r="T726" s="44">
        <v>1</v>
      </c>
      <c r="U726" s="283">
        <v>45</v>
      </c>
      <c r="V726" s="284">
        <v>9</v>
      </c>
      <c r="W726" s="285" t="s">
        <v>889</v>
      </c>
      <c r="X726" s="286" t="s">
        <v>889</v>
      </c>
      <c r="Y726" s="287">
        <v>0</v>
      </c>
      <c r="Z726" s="287" t="s">
        <v>889</v>
      </c>
      <c r="AA726" s="286" t="s">
        <v>889</v>
      </c>
      <c r="AB726" s="287">
        <v>0</v>
      </c>
      <c r="AC726" s="287"/>
      <c r="AD726" s="288" t="s">
        <v>889</v>
      </c>
      <c r="AE726" s="289" t="s">
        <v>889</v>
      </c>
      <c r="AF726" s="279">
        <v>3132</v>
      </c>
      <c r="AG726" s="282">
        <v>44950</v>
      </c>
      <c r="AH726" s="282">
        <v>42590</v>
      </c>
      <c r="AI726" s="282">
        <v>44910</v>
      </c>
      <c r="AJ726" s="282" t="s">
        <v>889</v>
      </c>
      <c r="AK726" s="274"/>
    </row>
    <row r="727" spans="1:37" x14ac:dyDescent="0.3">
      <c r="A727" s="273">
        <v>131926</v>
      </c>
      <c r="B727" s="274" t="s">
        <v>1818</v>
      </c>
      <c r="C727" s="146" t="s">
        <v>31</v>
      </c>
      <c r="D727" s="275">
        <v>3.32</v>
      </c>
      <c r="E727" s="274"/>
      <c r="F727" s="274"/>
      <c r="G727" s="274" t="s">
        <v>889</v>
      </c>
      <c r="H727" s="276">
        <v>9434</v>
      </c>
      <c r="I727" s="24">
        <v>103003</v>
      </c>
      <c r="J727" s="277">
        <v>3.32</v>
      </c>
      <c r="K727" s="276">
        <v>2062</v>
      </c>
      <c r="L727" s="278">
        <v>54.903101903043705</v>
      </c>
      <c r="M727" s="279">
        <v>0</v>
      </c>
      <c r="N727" s="277">
        <v>0</v>
      </c>
      <c r="O727" s="280" t="s">
        <v>888</v>
      </c>
      <c r="P727" s="279">
        <v>0</v>
      </c>
      <c r="Q727" s="281">
        <v>0</v>
      </c>
      <c r="R727" s="282" t="s">
        <v>889</v>
      </c>
      <c r="S727" s="274" t="s">
        <v>937</v>
      </c>
      <c r="T727" s="44">
        <v>1</v>
      </c>
      <c r="U727" s="283">
        <v>45</v>
      </c>
      <c r="V727" s="284">
        <v>9</v>
      </c>
      <c r="W727" s="285" t="s">
        <v>889</v>
      </c>
      <c r="X727" s="286" t="s">
        <v>889</v>
      </c>
      <c r="Y727" s="287">
        <v>0</v>
      </c>
      <c r="Z727" s="287" t="s">
        <v>889</v>
      </c>
      <c r="AA727" s="286" t="s">
        <v>889</v>
      </c>
      <c r="AB727" s="287">
        <v>0</v>
      </c>
      <c r="AC727" s="287"/>
      <c r="AD727" s="288" t="s">
        <v>889</v>
      </c>
      <c r="AE727" s="289" t="s">
        <v>889</v>
      </c>
      <c r="AF727" s="279">
        <v>688</v>
      </c>
      <c r="AG727" s="282">
        <v>45105</v>
      </c>
      <c r="AH727" s="282">
        <v>42590</v>
      </c>
      <c r="AI727" s="282">
        <v>45079</v>
      </c>
      <c r="AJ727" s="282" t="s">
        <v>889</v>
      </c>
      <c r="AK727" s="274"/>
    </row>
    <row r="728" spans="1:37" x14ac:dyDescent="0.3">
      <c r="A728" s="273">
        <v>131927</v>
      </c>
      <c r="B728" s="274" t="s">
        <v>1819</v>
      </c>
      <c r="C728" s="146" t="s">
        <v>31</v>
      </c>
      <c r="D728" s="275">
        <v>1.19</v>
      </c>
      <c r="E728" s="274"/>
      <c r="F728" s="274"/>
      <c r="G728" s="274" t="s">
        <v>889</v>
      </c>
      <c r="H728" s="276">
        <v>0</v>
      </c>
      <c r="I728" s="24">
        <v>103003</v>
      </c>
      <c r="J728" s="277">
        <v>1.19</v>
      </c>
      <c r="K728" s="276">
        <v>5027</v>
      </c>
      <c r="L728" s="278">
        <v>0</v>
      </c>
      <c r="M728" s="279">
        <v>5118</v>
      </c>
      <c r="N728" s="277">
        <v>6090.42</v>
      </c>
      <c r="O728" s="280" t="s">
        <v>888</v>
      </c>
      <c r="P728" s="279">
        <v>0</v>
      </c>
      <c r="Q728" s="281">
        <v>0</v>
      </c>
      <c r="R728" s="282" t="s">
        <v>889</v>
      </c>
      <c r="S728" s="274" t="s">
        <v>937</v>
      </c>
      <c r="T728" s="44">
        <v>1</v>
      </c>
      <c r="U728" s="283">
        <v>45</v>
      </c>
      <c r="V728" s="284">
        <v>9</v>
      </c>
      <c r="W728" s="285" t="s">
        <v>889</v>
      </c>
      <c r="X728" s="286" t="s">
        <v>889</v>
      </c>
      <c r="Y728" s="287">
        <v>0</v>
      </c>
      <c r="Z728" s="287" t="s">
        <v>889</v>
      </c>
      <c r="AA728" s="286" t="s">
        <v>889</v>
      </c>
      <c r="AB728" s="287">
        <v>0</v>
      </c>
      <c r="AC728" s="287"/>
      <c r="AD728" s="288" t="s">
        <v>889</v>
      </c>
      <c r="AE728" s="289" t="s">
        <v>889</v>
      </c>
      <c r="AF728" s="279">
        <v>1706</v>
      </c>
      <c r="AG728" s="282">
        <v>44608</v>
      </c>
      <c r="AH728" s="282">
        <v>42590</v>
      </c>
      <c r="AI728" s="282">
        <v>44551</v>
      </c>
      <c r="AJ728" s="282" t="s">
        <v>889</v>
      </c>
      <c r="AK728" s="274"/>
    </row>
    <row r="729" spans="1:37" x14ac:dyDescent="0.3">
      <c r="A729" s="273">
        <v>131930</v>
      </c>
      <c r="B729" s="274" t="s">
        <v>1820</v>
      </c>
      <c r="C729" s="146" t="s">
        <v>31</v>
      </c>
      <c r="D729" s="275">
        <v>5.18</v>
      </c>
      <c r="E729" s="274"/>
      <c r="F729" s="274"/>
      <c r="G729" s="274" t="s">
        <v>889</v>
      </c>
      <c r="H729" s="276">
        <v>8272</v>
      </c>
      <c r="I729" s="24">
        <v>103003</v>
      </c>
      <c r="J729" s="277">
        <v>4.4969000000000001</v>
      </c>
      <c r="K729" s="276">
        <v>11167</v>
      </c>
      <c r="L729" s="278">
        <v>5.9421872306189307</v>
      </c>
      <c r="M729" s="279">
        <v>8432.9599999999991</v>
      </c>
      <c r="N729" s="277">
        <v>43682.732799999998</v>
      </c>
      <c r="O729" s="280" t="s">
        <v>888</v>
      </c>
      <c r="P729" s="279">
        <v>0</v>
      </c>
      <c r="Q729" s="281">
        <v>0</v>
      </c>
      <c r="R729" s="282" t="s">
        <v>889</v>
      </c>
      <c r="S729" s="274" t="s">
        <v>937</v>
      </c>
      <c r="T729" s="44">
        <v>1</v>
      </c>
      <c r="U729" s="283">
        <v>45</v>
      </c>
      <c r="V729" s="284">
        <v>9</v>
      </c>
      <c r="W729" s="285" t="s">
        <v>889</v>
      </c>
      <c r="X729" s="286" t="s">
        <v>889</v>
      </c>
      <c r="Y729" s="287">
        <v>0</v>
      </c>
      <c r="Z729" s="287" t="s">
        <v>889</v>
      </c>
      <c r="AA729" s="286" t="s">
        <v>889</v>
      </c>
      <c r="AB729" s="287">
        <v>0</v>
      </c>
      <c r="AC729" s="287"/>
      <c r="AD729" s="288" t="s">
        <v>889</v>
      </c>
      <c r="AE729" s="289" t="s">
        <v>889</v>
      </c>
      <c r="AF729" s="279">
        <v>5568</v>
      </c>
      <c r="AG729" s="282">
        <v>44998</v>
      </c>
      <c r="AH729" s="282">
        <v>42590</v>
      </c>
      <c r="AI729" s="282">
        <v>44986</v>
      </c>
      <c r="AJ729" s="282" t="s">
        <v>889</v>
      </c>
      <c r="AK729" s="274"/>
    </row>
    <row r="730" spans="1:37" x14ac:dyDescent="0.3">
      <c r="A730" s="273">
        <v>131935</v>
      </c>
      <c r="B730" s="274" t="s">
        <v>1821</v>
      </c>
      <c r="C730" s="146" t="s">
        <v>31</v>
      </c>
      <c r="D730" s="275">
        <v>2.56</v>
      </c>
      <c r="E730" s="274"/>
      <c r="F730" s="274"/>
      <c r="G730" s="274" t="s">
        <v>889</v>
      </c>
      <c r="H730" s="276">
        <v>2297</v>
      </c>
      <c r="I730" s="24">
        <v>103003</v>
      </c>
      <c r="J730" s="277">
        <v>2.56</v>
      </c>
      <c r="K730" s="276">
        <v>7280</v>
      </c>
      <c r="L730" s="278">
        <v>3.6144767899291899</v>
      </c>
      <c r="M730" s="279">
        <v>5329</v>
      </c>
      <c r="N730" s="277">
        <v>13642.24</v>
      </c>
      <c r="O730" s="280" t="s">
        <v>888</v>
      </c>
      <c r="P730" s="279">
        <v>0</v>
      </c>
      <c r="Q730" s="281">
        <v>0</v>
      </c>
      <c r="R730" s="282" t="s">
        <v>889</v>
      </c>
      <c r="S730" s="274" t="s">
        <v>937</v>
      </c>
      <c r="T730" s="44">
        <v>1</v>
      </c>
      <c r="U730" s="283">
        <v>45</v>
      </c>
      <c r="V730" s="284">
        <v>9</v>
      </c>
      <c r="W730" s="285" t="s">
        <v>889</v>
      </c>
      <c r="X730" s="286" t="s">
        <v>889</v>
      </c>
      <c r="Y730" s="287">
        <v>0</v>
      </c>
      <c r="Z730" s="287" t="s">
        <v>889</v>
      </c>
      <c r="AA730" s="286" t="s">
        <v>889</v>
      </c>
      <c r="AB730" s="287">
        <v>0</v>
      </c>
      <c r="AC730" s="287"/>
      <c r="AD730" s="288" t="s">
        <v>889</v>
      </c>
      <c r="AE730" s="289" t="s">
        <v>889</v>
      </c>
      <c r="AF730" s="279">
        <v>2542</v>
      </c>
      <c r="AG730" s="282">
        <v>44950</v>
      </c>
      <c r="AH730" s="282">
        <v>42590</v>
      </c>
      <c r="AI730" s="282">
        <v>44910</v>
      </c>
      <c r="AJ730" s="282" t="s">
        <v>889</v>
      </c>
      <c r="AK730" s="274"/>
    </row>
    <row r="731" spans="1:37" x14ac:dyDescent="0.3">
      <c r="A731" s="273">
        <v>131937</v>
      </c>
      <c r="B731" s="274" t="s">
        <v>1822</v>
      </c>
      <c r="C731" s="146" t="s">
        <v>31</v>
      </c>
      <c r="D731" s="275">
        <v>3.4</v>
      </c>
      <c r="E731" s="274"/>
      <c r="F731" s="274"/>
      <c r="G731" s="274" t="s">
        <v>889</v>
      </c>
      <c r="H731" s="276">
        <v>13</v>
      </c>
      <c r="I731" s="24">
        <v>103003</v>
      </c>
      <c r="J731" s="277">
        <v>3.4</v>
      </c>
      <c r="K731" s="276">
        <v>3971</v>
      </c>
      <c r="L731" s="278">
        <v>3.4165571616294348E-2</v>
      </c>
      <c r="M731" s="279">
        <v>3253</v>
      </c>
      <c r="N731" s="277">
        <v>11060.2</v>
      </c>
      <c r="O731" s="280" t="s">
        <v>888</v>
      </c>
      <c r="P731" s="279">
        <v>0</v>
      </c>
      <c r="Q731" s="281">
        <v>0</v>
      </c>
      <c r="R731" s="282" t="s">
        <v>889</v>
      </c>
      <c r="S731" s="274" t="s">
        <v>937</v>
      </c>
      <c r="T731" s="44">
        <v>1</v>
      </c>
      <c r="U731" s="283">
        <v>45</v>
      </c>
      <c r="V731" s="284">
        <v>9</v>
      </c>
      <c r="W731" s="285">
        <v>6978</v>
      </c>
      <c r="X731" s="286">
        <v>2023</v>
      </c>
      <c r="Y731" s="287">
        <v>1300</v>
      </c>
      <c r="Z731" s="287" t="s">
        <v>889</v>
      </c>
      <c r="AA731" s="286" t="s">
        <v>889</v>
      </c>
      <c r="AB731" s="287">
        <v>0</v>
      </c>
      <c r="AC731" s="287"/>
      <c r="AD731" s="288" t="s">
        <v>889</v>
      </c>
      <c r="AE731" s="289" t="s">
        <v>889</v>
      </c>
      <c r="AF731" s="279">
        <v>1522</v>
      </c>
      <c r="AG731" s="282">
        <v>44952</v>
      </c>
      <c r="AH731" s="282">
        <v>42590</v>
      </c>
      <c r="AI731" s="282">
        <v>44910</v>
      </c>
      <c r="AJ731" s="282" t="s">
        <v>889</v>
      </c>
      <c r="AK731" s="274"/>
    </row>
    <row r="732" spans="1:37" x14ac:dyDescent="0.3">
      <c r="A732" s="273">
        <v>132229</v>
      </c>
      <c r="B732" s="274" t="s">
        <v>1823</v>
      </c>
      <c r="C732" s="146" t="s">
        <v>272</v>
      </c>
      <c r="D732" s="275">
        <v>0</v>
      </c>
      <c r="E732" s="274"/>
      <c r="F732" s="274"/>
      <c r="G732" s="274" t="s">
        <v>889</v>
      </c>
      <c r="H732" s="276">
        <v>960.5</v>
      </c>
      <c r="I732" s="24">
        <v>103003</v>
      </c>
      <c r="J732" s="277">
        <v>0</v>
      </c>
      <c r="K732" s="276">
        <v>226</v>
      </c>
      <c r="L732" s="278">
        <v>51.009028146574614</v>
      </c>
      <c r="M732" s="279">
        <v>0</v>
      </c>
      <c r="N732" s="277">
        <v>0</v>
      </c>
      <c r="O732" s="280" t="s">
        <v>888</v>
      </c>
      <c r="P732" s="279">
        <v>0</v>
      </c>
      <c r="Q732" s="281">
        <v>0</v>
      </c>
      <c r="R732" s="282" t="s">
        <v>889</v>
      </c>
      <c r="S732" s="274" t="s">
        <v>1676</v>
      </c>
      <c r="T732" s="44">
        <v>1</v>
      </c>
      <c r="U732" s="283">
        <v>55</v>
      </c>
      <c r="V732" s="284">
        <v>19</v>
      </c>
      <c r="W732" s="285" t="s">
        <v>889</v>
      </c>
      <c r="X732" s="286" t="s">
        <v>889</v>
      </c>
      <c r="Y732" s="287">
        <v>0</v>
      </c>
      <c r="Z732" s="287" t="s">
        <v>889</v>
      </c>
      <c r="AA732" s="286" t="s">
        <v>889</v>
      </c>
      <c r="AB732" s="287">
        <v>0</v>
      </c>
      <c r="AC732" s="287"/>
      <c r="AD732" s="288" t="s">
        <v>889</v>
      </c>
      <c r="AE732" s="289" t="s">
        <v>889</v>
      </c>
      <c r="AF732" s="279">
        <v>76</v>
      </c>
      <c r="AG732" s="282" t="s">
        <v>889</v>
      </c>
      <c r="AH732" s="282">
        <v>42656</v>
      </c>
      <c r="AI732" s="282" t="s">
        <v>889</v>
      </c>
      <c r="AJ732" s="282" t="s">
        <v>889</v>
      </c>
      <c r="AK732" s="274"/>
    </row>
    <row r="733" spans="1:37" x14ac:dyDescent="0.3">
      <c r="A733" s="273">
        <v>132232</v>
      </c>
      <c r="B733" s="274" t="s">
        <v>1824</v>
      </c>
      <c r="C733" s="146" t="s">
        <v>345</v>
      </c>
      <c r="D733" s="275">
        <v>255</v>
      </c>
      <c r="E733" s="274"/>
      <c r="F733" s="274"/>
      <c r="G733" s="274" t="s">
        <v>889</v>
      </c>
      <c r="H733" s="276">
        <v>64</v>
      </c>
      <c r="I733" s="24">
        <v>103003</v>
      </c>
      <c r="J733" s="277">
        <v>255</v>
      </c>
      <c r="K733" s="276">
        <v>30</v>
      </c>
      <c r="L733" s="278">
        <v>25.6</v>
      </c>
      <c r="M733" s="279">
        <v>0</v>
      </c>
      <c r="N733" s="277">
        <v>0</v>
      </c>
      <c r="O733" s="280" t="s">
        <v>888</v>
      </c>
      <c r="P733" s="279">
        <v>0</v>
      </c>
      <c r="Q733" s="281">
        <v>0</v>
      </c>
      <c r="R733" s="282" t="s">
        <v>889</v>
      </c>
      <c r="S733" s="274" t="s">
        <v>1225</v>
      </c>
      <c r="T733" s="44">
        <v>1</v>
      </c>
      <c r="U733" s="283">
        <v>51</v>
      </c>
      <c r="V733" s="284">
        <v>13</v>
      </c>
      <c r="W733" s="285" t="s">
        <v>889</v>
      </c>
      <c r="X733" s="286" t="s">
        <v>889</v>
      </c>
      <c r="Y733" s="287">
        <v>0</v>
      </c>
      <c r="Z733" s="287" t="s">
        <v>889</v>
      </c>
      <c r="AA733" s="286" t="s">
        <v>889</v>
      </c>
      <c r="AB733" s="287">
        <v>0</v>
      </c>
      <c r="AC733" s="287"/>
      <c r="AD733" s="288" t="s">
        <v>889</v>
      </c>
      <c r="AE733" s="289" t="s">
        <v>889</v>
      </c>
      <c r="AF733" s="279">
        <v>10</v>
      </c>
      <c r="AG733" s="282">
        <v>45181</v>
      </c>
      <c r="AH733" s="282">
        <v>42656</v>
      </c>
      <c r="AI733" s="282">
        <v>45156</v>
      </c>
      <c r="AJ733" s="282" t="s">
        <v>889</v>
      </c>
      <c r="AK733" s="274"/>
    </row>
    <row r="734" spans="1:37" x14ac:dyDescent="0.3">
      <c r="A734" s="273">
        <v>132290</v>
      </c>
      <c r="B734" s="274" t="s">
        <v>1825</v>
      </c>
      <c r="C734" s="146" t="s">
        <v>260</v>
      </c>
      <c r="D734" s="275">
        <v>0.6</v>
      </c>
      <c r="E734" s="274"/>
      <c r="F734" s="274"/>
      <c r="G734" s="274" t="s">
        <v>889</v>
      </c>
      <c r="H734" s="276">
        <v>2474</v>
      </c>
      <c r="I734" s="24">
        <v>103003</v>
      </c>
      <c r="J734" s="277">
        <v>0.6</v>
      </c>
      <c r="K734" s="276">
        <v>6084</v>
      </c>
      <c r="L734" s="278">
        <v>3.7399848828420259</v>
      </c>
      <c r="M734" s="279">
        <v>5464</v>
      </c>
      <c r="N734" s="277">
        <v>3278.4</v>
      </c>
      <c r="O734" s="280" t="s">
        <v>888</v>
      </c>
      <c r="P734" s="279">
        <v>0</v>
      </c>
      <c r="Q734" s="281">
        <v>0</v>
      </c>
      <c r="R734" s="282" t="s">
        <v>889</v>
      </c>
      <c r="S734" s="274" t="s">
        <v>917</v>
      </c>
      <c r="T734" s="44">
        <v>1</v>
      </c>
      <c r="U734" s="283">
        <v>45</v>
      </c>
      <c r="V734" s="284">
        <v>14</v>
      </c>
      <c r="W734" s="285" t="s">
        <v>889</v>
      </c>
      <c r="X734" s="286" t="s">
        <v>889</v>
      </c>
      <c r="Y734" s="287">
        <v>0</v>
      </c>
      <c r="Z734" s="287" t="s">
        <v>889</v>
      </c>
      <c r="AA734" s="286" t="s">
        <v>889</v>
      </c>
      <c r="AB734" s="287">
        <v>0</v>
      </c>
      <c r="AC734" s="287"/>
      <c r="AD734" s="288" t="s">
        <v>889</v>
      </c>
      <c r="AE734" s="289" t="s">
        <v>889</v>
      </c>
      <c r="AF734" s="279">
        <v>2646</v>
      </c>
      <c r="AG734" s="282">
        <v>44967</v>
      </c>
      <c r="AH734" s="282">
        <v>42685</v>
      </c>
      <c r="AI734" s="282">
        <v>44959</v>
      </c>
      <c r="AJ734" s="282" t="s">
        <v>889</v>
      </c>
      <c r="AK734" s="274"/>
    </row>
    <row r="735" spans="1:37" x14ac:dyDescent="0.3">
      <c r="A735" s="273">
        <v>132296</v>
      </c>
      <c r="B735" s="274" t="s">
        <v>1826</v>
      </c>
      <c r="C735" s="146" t="s">
        <v>260</v>
      </c>
      <c r="D735" s="275">
        <v>1.49</v>
      </c>
      <c r="E735" s="274"/>
      <c r="F735" s="274"/>
      <c r="G735" s="274" t="s">
        <v>889</v>
      </c>
      <c r="H735" s="276">
        <v>3019</v>
      </c>
      <c r="I735" s="24">
        <v>103003</v>
      </c>
      <c r="J735" s="277">
        <v>1.49</v>
      </c>
      <c r="K735" s="276">
        <v>5796</v>
      </c>
      <c r="L735" s="278">
        <v>5.6748120300751879</v>
      </c>
      <c r="M735" s="279">
        <v>3365</v>
      </c>
      <c r="N735" s="277">
        <v>5013.8500000000004</v>
      </c>
      <c r="O735" s="280" t="s">
        <v>888</v>
      </c>
      <c r="P735" s="279">
        <v>0</v>
      </c>
      <c r="Q735" s="281">
        <v>0</v>
      </c>
      <c r="R735" s="282" t="s">
        <v>889</v>
      </c>
      <c r="S735" s="274" t="s">
        <v>917</v>
      </c>
      <c r="T735" s="44">
        <v>1</v>
      </c>
      <c r="U735" s="283">
        <v>45</v>
      </c>
      <c r="V735" s="284">
        <v>14</v>
      </c>
      <c r="W735" s="285" t="s">
        <v>889</v>
      </c>
      <c r="X735" s="286" t="s">
        <v>889</v>
      </c>
      <c r="Y735" s="287">
        <v>0</v>
      </c>
      <c r="Z735" s="287" t="s">
        <v>889</v>
      </c>
      <c r="AA735" s="286" t="s">
        <v>889</v>
      </c>
      <c r="AB735" s="287">
        <v>0</v>
      </c>
      <c r="AC735" s="287"/>
      <c r="AD735" s="288" t="s">
        <v>889</v>
      </c>
      <c r="AE735" s="289" t="s">
        <v>889</v>
      </c>
      <c r="AF735" s="279">
        <v>2128</v>
      </c>
      <c r="AG735" s="282">
        <v>44998</v>
      </c>
      <c r="AH735" s="282">
        <v>42685</v>
      </c>
      <c r="AI735" s="282">
        <v>44910</v>
      </c>
      <c r="AJ735" s="282" t="s">
        <v>889</v>
      </c>
      <c r="AK735" s="274"/>
    </row>
    <row r="736" spans="1:37" x14ac:dyDescent="0.3">
      <c r="A736" s="273">
        <v>132297</v>
      </c>
      <c r="B736" s="274" t="s">
        <v>1827</v>
      </c>
      <c r="C736" s="146" t="s">
        <v>260</v>
      </c>
      <c r="D736" s="275">
        <v>3.57</v>
      </c>
      <c r="E736" s="274"/>
      <c r="F736" s="274"/>
      <c r="G736" s="274" t="s">
        <v>889</v>
      </c>
      <c r="H736" s="276">
        <v>0</v>
      </c>
      <c r="I736" s="24">
        <v>103003</v>
      </c>
      <c r="J736" s="277">
        <v>3.14</v>
      </c>
      <c r="K736" s="276">
        <v>16444</v>
      </c>
      <c r="L736" s="278">
        <v>0</v>
      </c>
      <c r="M736" s="279">
        <v>28037</v>
      </c>
      <c r="N736" s="277">
        <v>100092.09</v>
      </c>
      <c r="O736" s="280" t="s">
        <v>888</v>
      </c>
      <c r="P736" s="279">
        <v>0</v>
      </c>
      <c r="Q736" s="281">
        <v>0</v>
      </c>
      <c r="R736" s="282" t="s">
        <v>889</v>
      </c>
      <c r="S736" s="274" t="s">
        <v>917</v>
      </c>
      <c r="T736" s="44">
        <v>1</v>
      </c>
      <c r="U736" s="283">
        <v>45</v>
      </c>
      <c r="V736" s="284">
        <v>14</v>
      </c>
      <c r="W736" s="285">
        <v>6982</v>
      </c>
      <c r="X736" s="286">
        <v>2023</v>
      </c>
      <c r="Y736" s="287">
        <v>4000</v>
      </c>
      <c r="Z736" s="287" t="s">
        <v>889</v>
      </c>
      <c r="AA736" s="286" t="s">
        <v>889</v>
      </c>
      <c r="AB736" s="287">
        <v>0</v>
      </c>
      <c r="AC736" s="287"/>
      <c r="AD736" s="288" t="s">
        <v>889</v>
      </c>
      <c r="AE736" s="289" t="s">
        <v>889</v>
      </c>
      <c r="AF736" s="279">
        <v>10680</v>
      </c>
      <c r="AG736" s="282">
        <v>45019</v>
      </c>
      <c r="AH736" s="282">
        <v>42685</v>
      </c>
      <c r="AI736" s="282">
        <v>44999</v>
      </c>
      <c r="AJ736" s="282" t="s">
        <v>889</v>
      </c>
      <c r="AK736" s="274"/>
    </row>
    <row r="737" spans="1:37" x14ac:dyDescent="0.3">
      <c r="A737" s="273">
        <v>132299</v>
      </c>
      <c r="B737" s="274" t="s">
        <v>1828</v>
      </c>
      <c r="C737" s="146" t="s">
        <v>269</v>
      </c>
      <c r="D737" s="275">
        <v>7.96</v>
      </c>
      <c r="E737" s="274"/>
      <c r="F737" s="274"/>
      <c r="G737" s="274" t="s">
        <v>889</v>
      </c>
      <c r="H737" s="276">
        <v>2283</v>
      </c>
      <c r="I737" s="24">
        <v>103003</v>
      </c>
      <c r="J737" s="277">
        <v>7.96</v>
      </c>
      <c r="K737" s="276">
        <v>3403</v>
      </c>
      <c r="L737" s="278">
        <v>6.5415472779369637</v>
      </c>
      <c r="M737" s="279">
        <v>1905</v>
      </c>
      <c r="N737" s="277">
        <v>15163.8</v>
      </c>
      <c r="O737" s="280" t="s">
        <v>888</v>
      </c>
      <c r="P737" s="279">
        <v>0</v>
      </c>
      <c r="Q737" s="281">
        <v>0</v>
      </c>
      <c r="R737" s="282" t="s">
        <v>889</v>
      </c>
      <c r="S737" s="274" t="s">
        <v>1829</v>
      </c>
      <c r="T737" s="44">
        <v>1</v>
      </c>
      <c r="U737" s="283">
        <v>45</v>
      </c>
      <c r="V737" s="284">
        <v>16</v>
      </c>
      <c r="W737" s="285" t="s">
        <v>889</v>
      </c>
      <c r="X737" s="286" t="s">
        <v>889</v>
      </c>
      <c r="Y737" s="287">
        <v>0</v>
      </c>
      <c r="Z737" s="287" t="s">
        <v>889</v>
      </c>
      <c r="AA737" s="286" t="s">
        <v>889</v>
      </c>
      <c r="AB737" s="287">
        <v>0</v>
      </c>
      <c r="AC737" s="287"/>
      <c r="AD737" s="288" t="s">
        <v>889</v>
      </c>
      <c r="AE737" s="289" t="s">
        <v>889</v>
      </c>
      <c r="AF737" s="279">
        <v>1396</v>
      </c>
      <c r="AG737" s="282">
        <v>45020</v>
      </c>
      <c r="AH737" s="282">
        <v>42685</v>
      </c>
      <c r="AI737" s="282">
        <v>44998</v>
      </c>
      <c r="AJ737" s="282" t="s">
        <v>889</v>
      </c>
      <c r="AK737" s="274"/>
    </row>
    <row r="738" spans="1:37" x14ac:dyDescent="0.3">
      <c r="A738" s="273">
        <v>132300</v>
      </c>
      <c r="B738" s="274" t="s">
        <v>1830</v>
      </c>
      <c r="C738" s="146" t="s">
        <v>269</v>
      </c>
      <c r="D738" s="275">
        <v>10.37</v>
      </c>
      <c r="E738" s="274"/>
      <c r="F738" s="274"/>
      <c r="G738" s="274" t="s">
        <v>889</v>
      </c>
      <c r="H738" s="276">
        <v>3287</v>
      </c>
      <c r="I738" s="24">
        <v>103003</v>
      </c>
      <c r="J738" s="277">
        <v>10.37</v>
      </c>
      <c r="K738" s="276">
        <v>11385</v>
      </c>
      <c r="L738" s="278">
        <v>2.9920442753372534</v>
      </c>
      <c r="M738" s="279">
        <v>8895.9599999999991</v>
      </c>
      <c r="N738" s="277">
        <v>92251.105200000005</v>
      </c>
      <c r="O738" s="280" t="s">
        <v>888</v>
      </c>
      <c r="P738" s="279">
        <v>0</v>
      </c>
      <c r="Q738" s="281">
        <v>0</v>
      </c>
      <c r="R738" s="282" t="s">
        <v>889</v>
      </c>
      <c r="S738" s="274" t="s">
        <v>1829</v>
      </c>
      <c r="T738" s="44">
        <v>1</v>
      </c>
      <c r="U738" s="283">
        <v>45</v>
      </c>
      <c r="V738" s="284">
        <v>16</v>
      </c>
      <c r="W738" s="285">
        <v>6209</v>
      </c>
      <c r="X738" s="286">
        <v>2023</v>
      </c>
      <c r="Y738" s="287">
        <v>1000</v>
      </c>
      <c r="Z738" s="287" t="s">
        <v>889</v>
      </c>
      <c r="AA738" s="286" t="s">
        <v>889</v>
      </c>
      <c r="AB738" s="287">
        <v>0</v>
      </c>
      <c r="AC738" s="287"/>
      <c r="AD738" s="288" t="s">
        <v>889</v>
      </c>
      <c r="AE738" s="289" t="s">
        <v>889</v>
      </c>
      <c r="AF738" s="279">
        <v>4394</v>
      </c>
      <c r="AG738" s="282">
        <v>44956</v>
      </c>
      <c r="AH738" s="282">
        <v>42685</v>
      </c>
      <c r="AI738" s="282">
        <v>44910</v>
      </c>
      <c r="AJ738" s="282" t="s">
        <v>889</v>
      </c>
      <c r="AK738" s="274"/>
    </row>
    <row r="739" spans="1:37" x14ac:dyDescent="0.3">
      <c r="A739" s="273">
        <v>132303</v>
      </c>
      <c r="B739" s="274" t="s">
        <v>1831</v>
      </c>
      <c r="C739" s="146" t="s">
        <v>1343</v>
      </c>
      <c r="D739" s="275">
        <v>6.22</v>
      </c>
      <c r="E739" s="274"/>
      <c r="F739" s="274"/>
      <c r="G739" s="274" t="s">
        <v>889</v>
      </c>
      <c r="H739" s="276">
        <v>6832</v>
      </c>
      <c r="I739" s="24">
        <v>103003</v>
      </c>
      <c r="J739" s="277">
        <v>6.22</v>
      </c>
      <c r="K739" s="276">
        <v>15996</v>
      </c>
      <c r="L739" s="278">
        <v>3.9313396592301895</v>
      </c>
      <c r="M739" s="279">
        <v>14021.96</v>
      </c>
      <c r="N739" s="277">
        <v>87216.591199999995</v>
      </c>
      <c r="O739" s="280" t="s">
        <v>888</v>
      </c>
      <c r="P739" s="279">
        <v>0</v>
      </c>
      <c r="Q739" s="281">
        <v>0</v>
      </c>
      <c r="R739" s="282" t="s">
        <v>889</v>
      </c>
      <c r="S739" s="274" t="s">
        <v>1364</v>
      </c>
      <c r="T739" s="44">
        <v>1</v>
      </c>
      <c r="U739" s="283">
        <v>57</v>
      </c>
      <c r="V739" s="284">
        <v>17</v>
      </c>
      <c r="W739" s="285" t="s">
        <v>889</v>
      </c>
      <c r="X739" s="286" t="s">
        <v>889</v>
      </c>
      <c r="Y739" s="287">
        <v>0</v>
      </c>
      <c r="Z739" s="287" t="s">
        <v>889</v>
      </c>
      <c r="AA739" s="286" t="s">
        <v>889</v>
      </c>
      <c r="AB739" s="287">
        <v>0</v>
      </c>
      <c r="AC739" s="287"/>
      <c r="AD739" s="288" t="s">
        <v>889</v>
      </c>
      <c r="AE739" s="289" t="s">
        <v>889</v>
      </c>
      <c r="AF739" s="279">
        <v>6952</v>
      </c>
      <c r="AG739" s="282">
        <v>44466</v>
      </c>
      <c r="AH739" s="282">
        <v>42685</v>
      </c>
      <c r="AI739" s="282">
        <v>44460</v>
      </c>
      <c r="AJ739" s="282" t="s">
        <v>889</v>
      </c>
      <c r="AK739" s="274"/>
    </row>
    <row r="740" spans="1:37" x14ac:dyDescent="0.3">
      <c r="A740" s="273">
        <v>132394</v>
      </c>
      <c r="B740" s="274" t="s">
        <v>1832</v>
      </c>
      <c r="C740" s="146" t="s">
        <v>260</v>
      </c>
      <c r="D740" s="275">
        <v>0.53</v>
      </c>
      <c r="E740" s="274"/>
      <c r="F740" s="274"/>
      <c r="G740" s="274" t="s">
        <v>889</v>
      </c>
      <c r="H740" s="276">
        <v>2790</v>
      </c>
      <c r="I740" s="24">
        <v>103003</v>
      </c>
      <c r="J740" s="277">
        <v>0.53</v>
      </c>
      <c r="K740" s="276">
        <v>6071</v>
      </c>
      <c r="L740" s="278">
        <v>4.2315684103559681</v>
      </c>
      <c r="M740" s="279">
        <v>5121.96</v>
      </c>
      <c r="N740" s="277">
        <v>2714.6388000000002</v>
      </c>
      <c r="O740" s="280" t="s">
        <v>888</v>
      </c>
      <c r="P740" s="279">
        <v>0</v>
      </c>
      <c r="Q740" s="281">
        <v>0</v>
      </c>
      <c r="R740" s="282" t="s">
        <v>889</v>
      </c>
      <c r="S740" s="274" t="s">
        <v>917</v>
      </c>
      <c r="T740" s="44">
        <v>1</v>
      </c>
      <c r="U740" s="283">
        <v>45</v>
      </c>
      <c r="V740" s="284">
        <v>14</v>
      </c>
      <c r="W740" s="285" t="s">
        <v>889</v>
      </c>
      <c r="X740" s="286" t="s">
        <v>889</v>
      </c>
      <c r="Y740" s="287">
        <v>0</v>
      </c>
      <c r="Z740" s="287" t="s">
        <v>889</v>
      </c>
      <c r="AA740" s="286" t="s">
        <v>889</v>
      </c>
      <c r="AB740" s="287">
        <v>0</v>
      </c>
      <c r="AC740" s="287"/>
      <c r="AD740" s="288" t="s">
        <v>889</v>
      </c>
      <c r="AE740" s="289" t="s">
        <v>889</v>
      </c>
      <c r="AF740" s="279">
        <v>2638</v>
      </c>
      <c r="AG740" s="282">
        <v>44967</v>
      </c>
      <c r="AH740" s="282">
        <v>42765</v>
      </c>
      <c r="AI740" s="282">
        <v>44959</v>
      </c>
      <c r="AJ740" s="282" t="s">
        <v>889</v>
      </c>
      <c r="AK740" s="274"/>
    </row>
    <row r="741" spans="1:37" x14ac:dyDescent="0.3">
      <c r="A741" s="273">
        <v>132395</v>
      </c>
      <c r="B741" s="274" t="s">
        <v>1833</v>
      </c>
      <c r="C741" s="146" t="s">
        <v>260</v>
      </c>
      <c r="D741" s="275">
        <v>0.56000000000000005</v>
      </c>
      <c r="E741" s="274"/>
      <c r="F741" s="274"/>
      <c r="G741" s="274" t="s">
        <v>889</v>
      </c>
      <c r="H741" s="276">
        <v>2592</v>
      </c>
      <c r="I741" s="24">
        <v>103003</v>
      </c>
      <c r="J741" s="277">
        <v>0.56000000000000005</v>
      </c>
      <c r="K741" s="276">
        <v>6128</v>
      </c>
      <c r="L741" s="278">
        <v>3.8875140607424075</v>
      </c>
      <c r="M741" s="279">
        <v>5409</v>
      </c>
      <c r="N741" s="277">
        <v>3029.04</v>
      </c>
      <c r="O741" s="280" t="s">
        <v>888</v>
      </c>
      <c r="P741" s="279">
        <v>0</v>
      </c>
      <c r="Q741" s="281">
        <v>0</v>
      </c>
      <c r="R741" s="282" t="s">
        <v>889</v>
      </c>
      <c r="S741" s="274" t="s">
        <v>917</v>
      </c>
      <c r="T741" s="44">
        <v>1</v>
      </c>
      <c r="U741" s="283">
        <v>45</v>
      </c>
      <c r="V741" s="284">
        <v>14</v>
      </c>
      <c r="W741" s="285" t="s">
        <v>889</v>
      </c>
      <c r="X741" s="286" t="s">
        <v>889</v>
      </c>
      <c r="Y741" s="287">
        <v>0</v>
      </c>
      <c r="Z741" s="287" t="s">
        <v>889</v>
      </c>
      <c r="AA741" s="286" t="s">
        <v>889</v>
      </c>
      <c r="AB741" s="287">
        <v>0</v>
      </c>
      <c r="AC741" s="287"/>
      <c r="AD741" s="288" t="s">
        <v>889</v>
      </c>
      <c r="AE741" s="289" t="s">
        <v>889</v>
      </c>
      <c r="AF741" s="279">
        <v>2668</v>
      </c>
      <c r="AG741" s="282">
        <v>44967</v>
      </c>
      <c r="AH741" s="282">
        <v>42765</v>
      </c>
      <c r="AI741" s="282">
        <v>44959</v>
      </c>
      <c r="AJ741" s="282" t="s">
        <v>889</v>
      </c>
      <c r="AK741" s="274"/>
    </row>
    <row r="742" spans="1:37" x14ac:dyDescent="0.3">
      <c r="A742" s="273">
        <v>132400</v>
      </c>
      <c r="B742" s="274" t="s">
        <v>1834</v>
      </c>
      <c r="C742" s="146" t="s">
        <v>335</v>
      </c>
      <c r="D742" s="275">
        <v>1.61</v>
      </c>
      <c r="E742" s="274"/>
      <c r="F742" s="274"/>
      <c r="G742" s="274" t="s">
        <v>889</v>
      </c>
      <c r="H742" s="276">
        <v>0</v>
      </c>
      <c r="I742" s="24">
        <v>103003</v>
      </c>
      <c r="J742" s="277">
        <v>1.61</v>
      </c>
      <c r="K742" s="276">
        <v>2822</v>
      </c>
      <c r="L742" s="278">
        <v>0</v>
      </c>
      <c r="M742" s="279">
        <v>1888.96</v>
      </c>
      <c r="N742" s="277">
        <v>3041.2256000000002</v>
      </c>
      <c r="O742" s="280" t="s">
        <v>888</v>
      </c>
      <c r="P742" s="279">
        <v>0</v>
      </c>
      <c r="Q742" s="281">
        <v>0</v>
      </c>
      <c r="R742" s="282" t="s">
        <v>889</v>
      </c>
      <c r="S742" s="274" t="s">
        <v>1474</v>
      </c>
      <c r="T742" s="44">
        <v>1</v>
      </c>
      <c r="U742" s="283">
        <v>71</v>
      </c>
      <c r="V742" s="284">
        <v>33</v>
      </c>
      <c r="W742" s="285">
        <v>6219</v>
      </c>
      <c r="X742" s="286">
        <v>2023</v>
      </c>
      <c r="Y742" s="287">
        <v>1700</v>
      </c>
      <c r="Z742" s="287" t="s">
        <v>889</v>
      </c>
      <c r="AA742" s="286" t="s">
        <v>889</v>
      </c>
      <c r="AB742" s="287">
        <v>0</v>
      </c>
      <c r="AC742" s="287"/>
      <c r="AD742" s="288" t="s">
        <v>889</v>
      </c>
      <c r="AE742" s="289" t="s">
        <v>889</v>
      </c>
      <c r="AF742" s="279">
        <v>1196</v>
      </c>
      <c r="AG742" s="282">
        <v>45027</v>
      </c>
      <c r="AH742" s="282">
        <v>42765</v>
      </c>
      <c r="AI742" s="282">
        <v>44998</v>
      </c>
      <c r="AJ742" s="282" t="s">
        <v>889</v>
      </c>
      <c r="AK742" s="274"/>
    </row>
    <row r="743" spans="1:37" x14ac:dyDescent="0.3">
      <c r="A743" s="273">
        <v>132405</v>
      </c>
      <c r="B743" s="274" t="s">
        <v>1835</v>
      </c>
      <c r="C743" s="146" t="s">
        <v>267</v>
      </c>
      <c r="D743" s="275">
        <v>4.9000000000000004</v>
      </c>
      <c r="E743" s="274"/>
      <c r="F743" s="274"/>
      <c r="G743" s="274" t="s">
        <v>889</v>
      </c>
      <c r="H743" s="276">
        <v>2248</v>
      </c>
      <c r="I743" s="24">
        <v>103003</v>
      </c>
      <c r="J743" s="277">
        <v>4.9000000000000004</v>
      </c>
      <c r="K743" s="276">
        <v>128</v>
      </c>
      <c r="L743" s="278">
        <v>138.33846153846153</v>
      </c>
      <c r="M743" s="279">
        <v>0</v>
      </c>
      <c r="N743" s="277">
        <v>0</v>
      </c>
      <c r="O743" s="280" t="s">
        <v>888</v>
      </c>
      <c r="P743" s="279">
        <v>0</v>
      </c>
      <c r="Q743" s="281">
        <v>0</v>
      </c>
      <c r="R743" s="282" t="s">
        <v>889</v>
      </c>
      <c r="S743" s="274" t="s">
        <v>1407</v>
      </c>
      <c r="T743" s="44">
        <v>1</v>
      </c>
      <c r="U743" s="283">
        <v>57</v>
      </c>
      <c r="V743" s="284">
        <v>6</v>
      </c>
      <c r="W743" s="285" t="s">
        <v>889</v>
      </c>
      <c r="X743" s="286" t="s">
        <v>889</v>
      </c>
      <c r="Y743" s="287">
        <v>0</v>
      </c>
      <c r="Z743" s="287" t="s">
        <v>889</v>
      </c>
      <c r="AA743" s="286" t="s">
        <v>889</v>
      </c>
      <c r="AB743" s="287">
        <v>0</v>
      </c>
      <c r="AC743" s="287"/>
      <c r="AD743" s="288" t="s">
        <v>889</v>
      </c>
      <c r="AE743" s="289" t="s">
        <v>889</v>
      </c>
      <c r="AF743" s="279">
        <v>66</v>
      </c>
      <c r="AG743" s="282">
        <v>43628</v>
      </c>
      <c r="AH743" s="282">
        <v>42773</v>
      </c>
      <c r="AI743" s="282">
        <v>43607</v>
      </c>
      <c r="AJ743" s="282" t="s">
        <v>889</v>
      </c>
      <c r="AK743" s="274"/>
    </row>
    <row r="744" spans="1:37" x14ac:dyDescent="0.3">
      <c r="A744" s="273">
        <v>132407</v>
      </c>
      <c r="B744" s="274" t="s">
        <v>1836</v>
      </c>
      <c r="C744" s="146" t="s">
        <v>267</v>
      </c>
      <c r="D744" s="275">
        <v>9.4700000000000006</v>
      </c>
      <c r="E744" s="274"/>
      <c r="F744" s="274"/>
      <c r="G744" s="274" t="s">
        <v>889</v>
      </c>
      <c r="H744" s="276">
        <v>2247</v>
      </c>
      <c r="I744" s="24">
        <v>103003</v>
      </c>
      <c r="J744" s="277">
        <v>9.4700000000000006</v>
      </c>
      <c r="K744" s="276">
        <v>133</v>
      </c>
      <c r="L744" s="278">
        <v>139.73880597014926</v>
      </c>
      <c r="M744" s="279">
        <v>0</v>
      </c>
      <c r="N744" s="277">
        <v>0</v>
      </c>
      <c r="O744" s="280" t="s">
        <v>888</v>
      </c>
      <c r="P744" s="279">
        <v>0</v>
      </c>
      <c r="Q744" s="281">
        <v>0</v>
      </c>
      <c r="R744" s="282" t="s">
        <v>889</v>
      </c>
      <c r="S744" s="274" t="s">
        <v>1407</v>
      </c>
      <c r="T744" s="44">
        <v>1</v>
      </c>
      <c r="U744" s="283">
        <v>57</v>
      </c>
      <c r="V744" s="284">
        <v>6</v>
      </c>
      <c r="W744" s="285" t="s">
        <v>889</v>
      </c>
      <c r="X744" s="286" t="s">
        <v>889</v>
      </c>
      <c r="Y744" s="287">
        <v>0</v>
      </c>
      <c r="Z744" s="287" t="s">
        <v>889</v>
      </c>
      <c r="AA744" s="286" t="s">
        <v>889</v>
      </c>
      <c r="AB744" s="287">
        <v>0</v>
      </c>
      <c r="AC744" s="287"/>
      <c r="AD744" s="288" t="s">
        <v>889</v>
      </c>
      <c r="AE744" s="289" t="s">
        <v>889</v>
      </c>
      <c r="AF744" s="279">
        <v>64</v>
      </c>
      <c r="AG744" s="282">
        <v>43627</v>
      </c>
      <c r="AH744" s="282">
        <v>42773</v>
      </c>
      <c r="AI744" s="282">
        <v>43608</v>
      </c>
      <c r="AJ744" s="282" t="s">
        <v>889</v>
      </c>
      <c r="AK744" s="274"/>
    </row>
    <row r="745" spans="1:37" x14ac:dyDescent="0.3">
      <c r="A745" s="273">
        <v>132465</v>
      </c>
      <c r="B745" s="274" t="s">
        <v>1837</v>
      </c>
      <c r="C745" s="146" t="s">
        <v>31</v>
      </c>
      <c r="D745" s="275">
        <v>20.45</v>
      </c>
      <c r="E745" s="274"/>
      <c r="F745" s="274"/>
      <c r="G745" s="274" t="s">
        <v>889</v>
      </c>
      <c r="H745" s="276">
        <v>50</v>
      </c>
      <c r="I745" s="24">
        <v>103003</v>
      </c>
      <c r="J745" s="277">
        <v>20.45</v>
      </c>
      <c r="K745" s="276">
        <v>123</v>
      </c>
      <c r="L745" s="278">
        <v>4.8780487804878048</v>
      </c>
      <c r="M745" s="279">
        <v>73</v>
      </c>
      <c r="N745" s="277">
        <v>1492.85</v>
      </c>
      <c r="O745" s="280" t="s">
        <v>888</v>
      </c>
      <c r="P745" s="279">
        <v>0</v>
      </c>
      <c r="Q745" s="281">
        <v>0</v>
      </c>
      <c r="R745" s="282" t="s">
        <v>889</v>
      </c>
      <c r="S745" s="274" t="s">
        <v>1005</v>
      </c>
      <c r="T745" s="44">
        <v>1</v>
      </c>
      <c r="U745" s="283">
        <v>51</v>
      </c>
      <c r="V745" s="284">
        <v>11</v>
      </c>
      <c r="W745" s="285" t="s">
        <v>889</v>
      </c>
      <c r="X745" s="286" t="s">
        <v>889</v>
      </c>
      <c r="Y745" s="287">
        <v>0</v>
      </c>
      <c r="Z745" s="287" t="s">
        <v>889</v>
      </c>
      <c r="AA745" s="286" t="s">
        <v>889</v>
      </c>
      <c r="AB745" s="287">
        <v>0</v>
      </c>
      <c r="AC745" s="287"/>
      <c r="AD745" s="288" t="s">
        <v>889</v>
      </c>
      <c r="AE745" s="289" t="s">
        <v>889</v>
      </c>
      <c r="AF745" s="279">
        <v>42</v>
      </c>
      <c r="AG745" s="282">
        <v>45195</v>
      </c>
      <c r="AH745" s="282">
        <v>42796</v>
      </c>
      <c r="AI745" s="282">
        <v>45189</v>
      </c>
      <c r="AJ745" s="282" t="s">
        <v>889</v>
      </c>
      <c r="AK745" s="274"/>
    </row>
    <row r="746" spans="1:37" x14ac:dyDescent="0.3">
      <c r="A746" s="273">
        <v>132623</v>
      </c>
      <c r="B746" s="274" t="s">
        <v>1838</v>
      </c>
      <c r="C746" s="146" t="s">
        <v>31</v>
      </c>
      <c r="D746" s="275">
        <v>179.54</v>
      </c>
      <c r="E746" s="274"/>
      <c r="F746" s="274"/>
      <c r="G746" s="274" t="s">
        <v>889</v>
      </c>
      <c r="H746" s="276">
        <v>65</v>
      </c>
      <c r="I746" s="24">
        <v>103003</v>
      </c>
      <c r="J746" s="277">
        <v>179.54</v>
      </c>
      <c r="K746" s="276">
        <v>14</v>
      </c>
      <c r="L746" s="278">
        <v>52</v>
      </c>
      <c r="M746" s="279">
        <v>0</v>
      </c>
      <c r="N746" s="277">
        <v>0</v>
      </c>
      <c r="O746" s="280" t="s">
        <v>888</v>
      </c>
      <c r="P746" s="279">
        <v>0</v>
      </c>
      <c r="Q746" s="281">
        <v>0</v>
      </c>
      <c r="R746" s="282" t="s">
        <v>889</v>
      </c>
      <c r="S746" s="274" t="s">
        <v>1026</v>
      </c>
      <c r="T746" s="44">
        <v>1</v>
      </c>
      <c r="U746" s="283">
        <v>51</v>
      </c>
      <c r="V746" s="284">
        <v>35</v>
      </c>
      <c r="W746" s="285" t="s">
        <v>889</v>
      </c>
      <c r="X746" s="286" t="s">
        <v>889</v>
      </c>
      <c r="Y746" s="287">
        <v>0</v>
      </c>
      <c r="Z746" s="287" t="s">
        <v>889</v>
      </c>
      <c r="AA746" s="286" t="s">
        <v>889</v>
      </c>
      <c r="AB746" s="287">
        <v>0</v>
      </c>
      <c r="AC746" s="287"/>
      <c r="AD746" s="288" t="s">
        <v>889</v>
      </c>
      <c r="AE746" s="289" t="s">
        <v>889</v>
      </c>
      <c r="AF746" s="279">
        <v>6</v>
      </c>
      <c r="AG746" s="282">
        <v>44362</v>
      </c>
      <c r="AH746" s="282">
        <v>42850</v>
      </c>
      <c r="AI746" s="282">
        <v>44257</v>
      </c>
      <c r="AJ746" s="282" t="s">
        <v>889</v>
      </c>
      <c r="AK746" s="274"/>
    </row>
    <row r="747" spans="1:37" x14ac:dyDescent="0.3">
      <c r="A747" s="273">
        <v>132624</v>
      </c>
      <c r="B747" s="274" t="s">
        <v>1839</v>
      </c>
      <c r="C747" s="146" t="s">
        <v>31</v>
      </c>
      <c r="D747" s="275">
        <v>153.97999999999999</v>
      </c>
      <c r="E747" s="274"/>
      <c r="F747" s="274"/>
      <c r="G747" s="274" t="s">
        <v>889</v>
      </c>
      <c r="H747" s="276">
        <v>89</v>
      </c>
      <c r="I747" s="24">
        <v>103003</v>
      </c>
      <c r="J747" s="277">
        <v>153.97999999999999</v>
      </c>
      <c r="K747" s="276">
        <v>11</v>
      </c>
      <c r="L747" s="278">
        <v>96.739130434782595</v>
      </c>
      <c r="M747" s="279">
        <v>0</v>
      </c>
      <c r="N747" s="277">
        <v>0</v>
      </c>
      <c r="O747" s="280" t="s">
        <v>888</v>
      </c>
      <c r="P747" s="279">
        <v>0</v>
      </c>
      <c r="Q747" s="281">
        <v>0</v>
      </c>
      <c r="R747" s="282" t="s">
        <v>889</v>
      </c>
      <c r="S747" s="274" t="s">
        <v>1446</v>
      </c>
      <c r="T747" s="44">
        <v>1</v>
      </c>
      <c r="U747" s="283">
        <v>51</v>
      </c>
      <c r="V747" s="284">
        <v>36</v>
      </c>
      <c r="W747" s="285" t="s">
        <v>889</v>
      </c>
      <c r="X747" s="286" t="s">
        <v>889</v>
      </c>
      <c r="Y747" s="287">
        <v>0</v>
      </c>
      <c r="Z747" s="287" t="s">
        <v>889</v>
      </c>
      <c r="AA747" s="286" t="s">
        <v>889</v>
      </c>
      <c r="AB747" s="287">
        <v>0</v>
      </c>
      <c r="AC747" s="287"/>
      <c r="AD747" s="288" t="s">
        <v>889</v>
      </c>
      <c r="AE747" s="289" t="s">
        <v>889</v>
      </c>
      <c r="AF747" s="279">
        <v>4</v>
      </c>
      <c r="AG747" s="282">
        <v>44547</v>
      </c>
      <c r="AH747" s="282">
        <v>42850</v>
      </c>
      <c r="AI747" s="282">
        <v>44508</v>
      </c>
      <c r="AJ747" s="282" t="s">
        <v>889</v>
      </c>
      <c r="AK747" s="274"/>
    </row>
    <row r="748" spans="1:37" x14ac:dyDescent="0.3">
      <c r="A748" s="273">
        <v>132646</v>
      </c>
      <c r="B748" s="274" t="s">
        <v>1840</v>
      </c>
      <c r="C748" s="146" t="s">
        <v>847</v>
      </c>
      <c r="D748" s="275">
        <v>18.510000000000002</v>
      </c>
      <c r="E748" s="274"/>
      <c r="F748" s="274"/>
      <c r="G748" s="274" t="s">
        <v>889</v>
      </c>
      <c r="H748" s="276">
        <v>5672</v>
      </c>
      <c r="I748" s="24">
        <v>103003</v>
      </c>
      <c r="J748" s="277">
        <v>18.510000000000002</v>
      </c>
      <c r="K748" s="276">
        <v>9687</v>
      </c>
      <c r="L748" s="278">
        <v>3.3972615867463674</v>
      </c>
      <c r="M748" s="279">
        <v>14362.96</v>
      </c>
      <c r="N748" s="277">
        <v>265858.38959999999</v>
      </c>
      <c r="O748" s="280" t="s">
        <v>888</v>
      </c>
      <c r="P748" s="279">
        <v>0</v>
      </c>
      <c r="Q748" s="281">
        <v>0</v>
      </c>
      <c r="R748" s="282" t="s">
        <v>889</v>
      </c>
      <c r="S748" s="274" t="s">
        <v>909</v>
      </c>
      <c r="T748" s="44">
        <v>1</v>
      </c>
      <c r="U748" s="283">
        <v>45</v>
      </c>
      <c r="V748" s="284">
        <v>10</v>
      </c>
      <c r="W748" s="285" t="s">
        <v>889</v>
      </c>
      <c r="X748" s="286" t="s">
        <v>889</v>
      </c>
      <c r="Y748" s="287">
        <v>0</v>
      </c>
      <c r="Z748" s="287" t="s">
        <v>889</v>
      </c>
      <c r="AA748" s="286" t="s">
        <v>889</v>
      </c>
      <c r="AB748" s="287">
        <v>0</v>
      </c>
      <c r="AC748" s="287"/>
      <c r="AD748" s="288" t="s">
        <v>889</v>
      </c>
      <c r="AE748" s="289" t="s">
        <v>889</v>
      </c>
      <c r="AF748" s="279">
        <v>6678</v>
      </c>
      <c r="AG748" s="282">
        <v>45009</v>
      </c>
      <c r="AH748" s="282">
        <v>42860</v>
      </c>
      <c r="AI748" s="282">
        <v>45156</v>
      </c>
      <c r="AJ748" s="282" t="s">
        <v>889</v>
      </c>
      <c r="AK748" s="274"/>
    </row>
    <row r="749" spans="1:37" x14ac:dyDescent="0.3">
      <c r="A749" s="273">
        <v>132647</v>
      </c>
      <c r="B749" s="274" t="s">
        <v>1841</v>
      </c>
      <c r="C749" s="146" t="s">
        <v>31</v>
      </c>
      <c r="D749" s="275">
        <v>1.49</v>
      </c>
      <c r="E749" s="274"/>
      <c r="F749" s="274"/>
      <c r="G749" s="274" t="s">
        <v>889</v>
      </c>
      <c r="H749" s="276">
        <v>0</v>
      </c>
      <c r="I749" s="24">
        <v>103003</v>
      </c>
      <c r="J749" s="277">
        <v>1.49</v>
      </c>
      <c r="K749" s="276">
        <v>11463</v>
      </c>
      <c r="L749" s="278">
        <v>0</v>
      </c>
      <c r="M749" s="279">
        <v>20539</v>
      </c>
      <c r="N749" s="277">
        <v>30603.11</v>
      </c>
      <c r="O749" s="280" t="s">
        <v>888</v>
      </c>
      <c r="P749" s="279">
        <v>0</v>
      </c>
      <c r="Q749" s="281">
        <v>0</v>
      </c>
      <c r="R749" s="282" t="s">
        <v>889</v>
      </c>
      <c r="S749" s="274" t="s">
        <v>909</v>
      </c>
      <c r="T749" s="44">
        <v>1</v>
      </c>
      <c r="U749" s="283">
        <v>45</v>
      </c>
      <c r="V749" s="284">
        <v>10</v>
      </c>
      <c r="W749" s="285">
        <v>6979</v>
      </c>
      <c r="X749" s="286">
        <v>2023</v>
      </c>
      <c r="Y749" s="287">
        <v>3800</v>
      </c>
      <c r="Z749" s="287" t="s">
        <v>889</v>
      </c>
      <c r="AA749" s="286" t="s">
        <v>889</v>
      </c>
      <c r="AB749" s="287">
        <v>0</v>
      </c>
      <c r="AC749" s="287"/>
      <c r="AD749" s="288" t="s">
        <v>889</v>
      </c>
      <c r="AE749" s="289" t="s">
        <v>889</v>
      </c>
      <c r="AF749" s="279">
        <v>8114</v>
      </c>
      <c r="AG749" s="282">
        <v>44924</v>
      </c>
      <c r="AH749" s="282">
        <v>42860</v>
      </c>
      <c r="AI749" s="282">
        <v>44910</v>
      </c>
      <c r="AJ749" s="282" t="s">
        <v>889</v>
      </c>
      <c r="AK749" s="274"/>
    </row>
    <row r="750" spans="1:37" x14ac:dyDescent="0.3">
      <c r="A750" s="273">
        <v>132649</v>
      </c>
      <c r="B750" s="274" t="s">
        <v>1842</v>
      </c>
      <c r="C750" s="146" t="s">
        <v>31</v>
      </c>
      <c r="D750" s="275">
        <v>0.99</v>
      </c>
      <c r="E750" s="274"/>
      <c r="F750" s="274"/>
      <c r="G750" s="274" t="s">
        <v>889</v>
      </c>
      <c r="H750" s="276">
        <v>0</v>
      </c>
      <c r="I750" s="24">
        <v>103003</v>
      </c>
      <c r="J750" s="277">
        <v>0.99</v>
      </c>
      <c r="K750" s="276">
        <v>8217</v>
      </c>
      <c r="L750" s="278">
        <v>0</v>
      </c>
      <c r="M750" s="279">
        <v>3917</v>
      </c>
      <c r="N750" s="277">
        <v>3877.83</v>
      </c>
      <c r="O750" s="280" t="s">
        <v>888</v>
      </c>
      <c r="P750" s="279">
        <v>0</v>
      </c>
      <c r="Q750" s="281">
        <v>0</v>
      </c>
      <c r="R750" s="282" t="s">
        <v>889</v>
      </c>
      <c r="S750" s="274" t="s">
        <v>909</v>
      </c>
      <c r="T750" s="44">
        <v>1</v>
      </c>
      <c r="U750" s="283">
        <v>45</v>
      </c>
      <c r="V750" s="284">
        <v>10</v>
      </c>
      <c r="W750" s="285">
        <v>6979</v>
      </c>
      <c r="X750" s="286">
        <v>2023</v>
      </c>
      <c r="Y750" s="287">
        <v>4300</v>
      </c>
      <c r="Z750" s="287" t="s">
        <v>889</v>
      </c>
      <c r="AA750" s="286" t="s">
        <v>889</v>
      </c>
      <c r="AB750" s="287">
        <v>0</v>
      </c>
      <c r="AC750" s="287"/>
      <c r="AD750" s="288" t="s">
        <v>889</v>
      </c>
      <c r="AE750" s="289" t="s">
        <v>889</v>
      </c>
      <c r="AF750" s="279">
        <v>2740</v>
      </c>
      <c r="AG750" s="282">
        <v>44951</v>
      </c>
      <c r="AH750" s="282">
        <v>42860</v>
      </c>
      <c r="AI750" s="282">
        <v>44910</v>
      </c>
      <c r="AJ750" s="282" t="s">
        <v>889</v>
      </c>
      <c r="AK750" s="274"/>
    </row>
    <row r="751" spans="1:37" x14ac:dyDescent="0.3">
      <c r="A751" s="273">
        <v>132650</v>
      </c>
      <c r="B751" s="274" t="s">
        <v>1843</v>
      </c>
      <c r="C751" s="146" t="s">
        <v>31</v>
      </c>
      <c r="D751" s="275">
        <v>19</v>
      </c>
      <c r="E751" s="274"/>
      <c r="F751" s="274"/>
      <c r="G751" s="274" t="s">
        <v>889</v>
      </c>
      <c r="H751" s="276">
        <v>0</v>
      </c>
      <c r="I751" s="24">
        <v>103003</v>
      </c>
      <c r="J751" s="277">
        <v>19</v>
      </c>
      <c r="K751" s="276">
        <v>1223</v>
      </c>
      <c r="L751" s="278">
        <v>0</v>
      </c>
      <c r="M751" s="279">
        <v>341</v>
      </c>
      <c r="N751" s="277">
        <v>6479</v>
      </c>
      <c r="O751" s="280" t="s">
        <v>888</v>
      </c>
      <c r="P751" s="279">
        <v>0</v>
      </c>
      <c r="Q751" s="281">
        <v>0</v>
      </c>
      <c r="R751" s="282" t="s">
        <v>889</v>
      </c>
      <c r="S751" s="274" t="s">
        <v>917</v>
      </c>
      <c r="T751" s="44">
        <v>1</v>
      </c>
      <c r="U751" s="283">
        <v>45</v>
      </c>
      <c r="V751" s="284">
        <v>14</v>
      </c>
      <c r="W751" s="285">
        <v>6979</v>
      </c>
      <c r="X751" s="286">
        <v>2023</v>
      </c>
      <c r="Y751" s="287">
        <v>1000</v>
      </c>
      <c r="Z751" s="287" t="s">
        <v>889</v>
      </c>
      <c r="AA751" s="286" t="s">
        <v>889</v>
      </c>
      <c r="AB751" s="287">
        <v>0</v>
      </c>
      <c r="AC751" s="287"/>
      <c r="AD751" s="288" t="s">
        <v>889</v>
      </c>
      <c r="AE751" s="289" t="s">
        <v>889</v>
      </c>
      <c r="AF751" s="279">
        <v>448</v>
      </c>
      <c r="AG751" s="282">
        <v>44375</v>
      </c>
      <c r="AH751" s="282">
        <v>42860</v>
      </c>
      <c r="AI751" s="282">
        <v>45049</v>
      </c>
      <c r="AJ751" s="282" t="s">
        <v>889</v>
      </c>
      <c r="AK751" s="274"/>
    </row>
    <row r="752" spans="1:37" x14ac:dyDescent="0.3">
      <c r="A752" s="273">
        <v>132655</v>
      </c>
      <c r="B752" s="274" t="s">
        <v>1844</v>
      </c>
      <c r="C752" s="146" t="s">
        <v>31</v>
      </c>
      <c r="D752" s="275">
        <v>1.48</v>
      </c>
      <c r="E752" s="274"/>
      <c r="F752" s="274"/>
      <c r="G752" s="274" t="s">
        <v>889</v>
      </c>
      <c r="H752" s="276">
        <v>1384</v>
      </c>
      <c r="I752" s="24">
        <v>103003</v>
      </c>
      <c r="J752" s="277">
        <v>1.48</v>
      </c>
      <c r="K752" s="276">
        <v>29376</v>
      </c>
      <c r="L752" s="278">
        <v>0.47173830794558647</v>
      </c>
      <c r="M752" s="279">
        <v>30821.96</v>
      </c>
      <c r="N752" s="277">
        <v>45616.500800000002</v>
      </c>
      <c r="O752" s="280" t="s">
        <v>888</v>
      </c>
      <c r="P752" s="279">
        <v>0</v>
      </c>
      <c r="Q752" s="281">
        <v>0</v>
      </c>
      <c r="R752" s="282" t="s">
        <v>889</v>
      </c>
      <c r="S752" s="274" t="s">
        <v>909</v>
      </c>
      <c r="T752" s="44">
        <v>1</v>
      </c>
      <c r="U752" s="283">
        <v>45</v>
      </c>
      <c r="V752" s="284">
        <v>10</v>
      </c>
      <c r="W752" s="285">
        <v>6209</v>
      </c>
      <c r="X752" s="286">
        <v>2023</v>
      </c>
      <c r="Y752" s="287">
        <v>3000</v>
      </c>
      <c r="Z752" s="287" t="s">
        <v>889</v>
      </c>
      <c r="AA752" s="286" t="s">
        <v>889</v>
      </c>
      <c r="AB752" s="287">
        <v>0</v>
      </c>
      <c r="AC752" s="287"/>
      <c r="AD752" s="288" t="s">
        <v>889</v>
      </c>
      <c r="AE752" s="289" t="s">
        <v>889</v>
      </c>
      <c r="AF752" s="279">
        <v>11736</v>
      </c>
      <c r="AG752" s="282">
        <v>44993</v>
      </c>
      <c r="AH752" s="282">
        <v>42860</v>
      </c>
      <c r="AI752" s="282">
        <v>44959</v>
      </c>
      <c r="AJ752" s="282" t="s">
        <v>889</v>
      </c>
      <c r="AK752" s="274"/>
    </row>
    <row r="753" spans="1:37" x14ac:dyDescent="0.3">
      <c r="A753" s="273">
        <v>132656</v>
      </c>
      <c r="B753" s="274" t="s">
        <v>1845</v>
      </c>
      <c r="C753" s="146" t="s">
        <v>31</v>
      </c>
      <c r="D753" s="275">
        <v>2.19</v>
      </c>
      <c r="E753" s="274"/>
      <c r="F753" s="274"/>
      <c r="G753" s="274" t="s">
        <v>889</v>
      </c>
      <c r="H753" s="276">
        <v>0</v>
      </c>
      <c r="I753" s="24">
        <v>103003</v>
      </c>
      <c r="J753" s="277">
        <v>2.19</v>
      </c>
      <c r="K753" s="276">
        <v>28901</v>
      </c>
      <c r="L753" s="278">
        <v>0</v>
      </c>
      <c r="M753" s="279">
        <v>58642</v>
      </c>
      <c r="N753" s="277">
        <v>128425.98</v>
      </c>
      <c r="O753" s="280" t="s">
        <v>888</v>
      </c>
      <c r="P753" s="279">
        <v>0</v>
      </c>
      <c r="Q753" s="281">
        <v>0</v>
      </c>
      <c r="R753" s="282" t="s">
        <v>889</v>
      </c>
      <c r="S753" s="274" t="s">
        <v>909</v>
      </c>
      <c r="T753" s="44">
        <v>1</v>
      </c>
      <c r="U753" s="283">
        <v>45</v>
      </c>
      <c r="V753" s="284">
        <v>10</v>
      </c>
      <c r="W753" s="285">
        <v>6211</v>
      </c>
      <c r="X753" s="286">
        <v>2023</v>
      </c>
      <c r="Y753" s="287">
        <v>8000</v>
      </c>
      <c r="Z753" s="287" t="s">
        <v>889</v>
      </c>
      <c r="AA753" s="286" t="s">
        <v>889</v>
      </c>
      <c r="AB753" s="287">
        <v>0</v>
      </c>
      <c r="AC753" s="287"/>
      <c r="AD753" s="288" t="s">
        <v>889</v>
      </c>
      <c r="AE753" s="289" t="s">
        <v>889</v>
      </c>
      <c r="AF753" s="279">
        <v>22214</v>
      </c>
      <c r="AG753" s="282">
        <v>44924</v>
      </c>
      <c r="AH753" s="282">
        <v>42860</v>
      </c>
      <c r="AI753" s="282">
        <v>44910</v>
      </c>
      <c r="AJ753" s="282" t="s">
        <v>889</v>
      </c>
      <c r="AK753" s="274"/>
    </row>
    <row r="754" spans="1:37" x14ac:dyDescent="0.3">
      <c r="A754" s="273">
        <v>132714</v>
      </c>
      <c r="B754" s="274" t="s">
        <v>826</v>
      </c>
      <c r="C754" s="146" t="s">
        <v>263</v>
      </c>
      <c r="D754" s="275">
        <v>20.3</v>
      </c>
      <c r="E754" s="274"/>
      <c r="F754" s="274"/>
      <c r="G754" s="274" t="s">
        <v>889</v>
      </c>
      <c r="H754" s="276">
        <v>153</v>
      </c>
      <c r="I754" s="24">
        <v>103003</v>
      </c>
      <c r="J754" s="277">
        <v>20.3</v>
      </c>
      <c r="K754" s="276"/>
      <c r="L754" s="278">
        <v>0</v>
      </c>
      <c r="M754" s="279">
        <v>0</v>
      </c>
      <c r="N754" s="277">
        <v>0</v>
      </c>
      <c r="O754" s="280" t="s">
        <v>888</v>
      </c>
      <c r="P754" s="279">
        <v>0</v>
      </c>
      <c r="Q754" s="281">
        <v>0</v>
      </c>
      <c r="R754" s="282" t="s">
        <v>889</v>
      </c>
      <c r="S754" s="274" t="s">
        <v>1274</v>
      </c>
      <c r="T754" s="44">
        <v>1</v>
      </c>
      <c r="U754" s="283">
        <v>51</v>
      </c>
      <c r="V754" s="284">
        <v>17</v>
      </c>
      <c r="W754" s="285" t="s">
        <v>889</v>
      </c>
      <c r="X754" s="286" t="s">
        <v>889</v>
      </c>
      <c r="Y754" s="287">
        <v>0</v>
      </c>
      <c r="Z754" s="287" t="s">
        <v>889</v>
      </c>
      <c r="AA754" s="286" t="s">
        <v>889</v>
      </c>
      <c r="AB754" s="287">
        <v>0</v>
      </c>
      <c r="AC754" s="287"/>
      <c r="AD754" s="288" t="s">
        <v>889</v>
      </c>
      <c r="AE754" s="289" t="s">
        <v>889</v>
      </c>
      <c r="AF754" s="279">
        <v>0</v>
      </c>
      <c r="AG754" s="282">
        <v>43754</v>
      </c>
      <c r="AH754" s="282">
        <v>42880</v>
      </c>
      <c r="AI754" s="282">
        <v>43731</v>
      </c>
      <c r="AJ754" s="282" t="s">
        <v>889</v>
      </c>
      <c r="AK754" s="274"/>
    </row>
    <row r="755" spans="1:37" x14ac:dyDescent="0.3">
      <c r="A755" s="273">
        <v>132715</v>
      </c>
      <c r="B755" s="274" t="s">
        <v>827</v>
      </c>
      <c r="C755" s="146" t="s">
        <v>263</v>
      </c>
      <c r="D755" s="275">
        <v>20.3</v>
      </c>
      <c r="E755" s="274"/>
      <c r="F755" s="274"/>
      <c r="G755" s="274" t="s">
        <v>889</v>
      </c>
      <c r="H755" s="276">
        <v>172</v>
      </c>
      <c r="I755" s="24">
        <v>103003</v>
      </c>
      <c r="J755" s="277">
        <v>20.3</v>
      </c>
      <c r="K755" s="276"/>
      <c r="L755" s="278">
        <v>0</v>
      </c>
      <c r="M755" s="279">
        <v>0</v>
      </c>
      <c r="N755" s="277">
        <v>0</v>
      </c>
      <c r="O755" s="280" t="s">
        <v>888</v>
      </c>
      <c r="P755" s="279">
        <v>0</v>
      </c>
      <c r="Q755" s="281">
        <v>0</v>
      </c>
      <c r="R755" s="282" t="s">
        <v>889</v>
      </c>
      <c r="S755" s="274" t="s">
        <v>1274</v>
      </c>
      <c r="T755" s="44">
        <v>1</v>
      </c>
      <c r="U755" s="283">
        <v>51</v>
      </c>
      <c r="V755" s="284">
        <v>17</v>
      </c>
      <c r="W755" s="285" t="s">
        <v>889</v>
      </c>
      <c r="X755" s="286" t="s">
        <v>889</v>
      </c>
      <c r="Y755" s="287">
        <v>0</v>
      </c>
      <c r="Z755" s="287" t="s">
        <v>889</v>
      </c>
      <c r="AA755" s="286" t="s">
        <v>889</v>
      </c>
      <c r="AB755" s="287">
        <v>0</v>
      </c>
      <c r="AC755" s="287"/>
      <c r="AD755" s="288" t="s">
        <v>889</v>
      </c>
      <c r="AE755" s="289" t="s">
        <v>889</v>
      </c>
      <c r="AF755" s="279">
        <v>0</v>
      </c>
      <c r="AG755" s="282">
        <v>43754</v>
      </c>
      <c r="AH755" s="282">
        <v>42880</v>
      </c>
      <c r="AI755" s="282">
        <v>43731</v>
      </c>
      <c r="AJ755" s="282" t="s">
        <v>889</v>
      </c>
      <c r="AK755" s="274"/>
    </row>
    <row r="756" spans="1:37" x14ac:dyDescent="0.3">
      <c r="A756" s="273">
        <v>132751</v>
      </c>
      <c r="B756" s="274" t="s">
        <v>1846</v>
      </c>
      <c r="C756" s="146" t="s">
        <v>260</v>
      </c>
      <c r="D756" s="275">
        <v>217.5</v>
      </c>
      <c r="E756" s="274"/>
      <c r="F756" s="274"/>
      <c r="G756" s="274" t="s">
        <v>889</v>
      </c>
      <c r="H756" s="276">
        <v>3</v>
      </c>
      <c r="I756" s="24">
        <v>103003</v>
      </c>
      <c r="J756" s="277">
        <v>217.5</v>
      </c>
      <c r="K756" s="276">
        <v>1</v>
      </c>
      <c r="L756" s="278">
        <v>37.5</v>
      </c>
      <c r="M756" s="279">
        <v>0</v>
      </c>
      <c r="N756" s="277">
        <v>0</v>
      </c>
      <c r="O756" s="280" t="s">
        <v>888</v>
      </c>
      <c r="P756" s="279">
        <v>0</v>
      </c>
      <c r="Q756" s="281">
        <v>0</v>
      </c>
      <c r="R756" s="282" t="s">
        <v>889</v>
      </c>
      <c r="S756" s="274" t="s">
        <v>1073</v>
      </c>
      <c r="T756" s="44">
        <v>1</v>
      </c>
      <c r="U756" s="283">
        <v>55</v>
      </c>
      <c r="V756" s="284">
        <v>40</v>
      </c>
      <c r="W756" s="285" t="s">
        <v>889</v>
      </c>
      <c r="X756" s="286" t="s">
        <v>889</v>
      </c>
      <c r="Y756" s="287">
        <v>0</v>
      </c>
      <c r="Z756" s="287" t="s">
        <v>889</v>
      </c>
      <c r="AA756" s="286" t="s">
        <v>889</v>
      </c>
      <c r="AB756" s="287">
        <v>0</v>
      </c>
      <c r="AC756" s="287"/>
      <c r="AD756" s="288" t="s">
        <v>889</v>
      </c>
      <c r="AE756" s="289" t="s">
        <v>889</v>
      </c>
      <c r="AF756" s="279">
        <v>0</v>
      </c>
      <c r="AG756" s="282">
        <v>43763</v>
      </c>
      <c r="AH756" s="282">
        <v>42892</v>
      </c>
      <c r="AI756" s="282">
        <v>43747</v>
      </c>
      <c r="AJ756" s="282" t="s">
        <v>889</v>
      </c>
      <c r="AK756" s="274"/>
    </row>
    <row r="757" spans="1:37" x14ac:dyDescent="0.3">
      <c r="A757" s="273">
        <v>132799</v>
      </c>
      <c r="B757" s="274" t="s">
        <v>1847</v>
      </c>
      <c r="C757" s="146" t="s">
        <v>31</v>
      </c>
      <c r="D757" s="275">
        <v>78.819999999999993</v>
      </c>
      <c r="E757" s="274"/>
      <c r="F757" s="274"/>
      <c r="G757" s="274" t="s">
        <v>889</v>
      </c>
      <c r="H757" s="276">
        <v>6</v>
      </c>
      <c r="I757" s="24">
        <v>103003</v>
      </c>
      <c r="J757" s="277">
        <v>78.819999999999993</v>
      </c>
      <c r="K757" s="276"/>
      <c r="L757" s="278">
        <v>0</v>
      </c>
      <c r="M757" s="279">
        <v>0</v>
      </c>
      <c r="N757" s="277">
        <v>0</v>
      </c>
      <c r="O757" s="280" t="s">
        <v>888</v>
      </c>
      <c r="P757" s="279">
        <v>0</v>
      </c>
      <c r="Q757" s="281">
        <v>0</v>
      </c>
      <c r="R757" s="282" t="s">
        <v>889</v>
      </c>
      <c r="S757" s="274" t="s">
        <v>1492</v>
      </c>
      <c r="T757" s="44">
        <v>1</v>
      </c>
      <c r="U757" s="283">
        <v>54</v>
      </c>
      <c r="V757" s="284">
        <v>4</v>
      </c>
      <c r="W757" s="285">
        <v>2813</v>
      </c>
      <c r="X757" s="286">
        <v>2023</v>
      </c>
      <c r="Y757" s="287">
        <v>4</v>
      </c>
      <c r="Z757" s="287" t="s">
        <v>889</v>
      </c>
      <c r="AA757" s="286" t="s">
        <v>889</v>
      </c>
      <c r="AB757" s="287">
        <v>0</v>
      </c>
      <c r="AC757" s="287"/>
      <c r="AD757" s="288" t="s">
        <v>889</v>
      </c>
      <c r="AE757" s="289" t="s">
        <v>889</v>
      </c>
      <c r="AF757" s="279">
        <v>0</v>
      </c>
      <c r="AG757" s="282">
        <v>43819</v>
      </c>
      <c r="AH757" s="282">
        <v>42905</v>
      </c>
      <c r="AI757" s="282">
        <v>43780</v>
      </c>
      <c r="AJ757" s="282" t="s">
        <v>889</v>
      </c>
      <c r="AK757" s="274"/>
    </row>
    <row r="758" spans="1:37" x14ac:dyDescent="0.3">
      <c r="A758" s="273">
        <v>133021</v>
      </c>
      <c r="B758" s="274" t="s">
        <v>1848</v>
      </c>
      <c r="C758" s="146" t="s">
        <v>31</v>
      </c>
      <c r="D758" s="275">
        <v>2.2999999999999998</v>
      </c>
      <c r="E758" s="274" t="s">
        <v>1849</v>
      </c>
      <c r="F758" s="274" t="s">
        <v>1850</v>
      </c>
      <c r="G758" s="274" t="s">
        <v>896</v>
      </c>
      <c r="H758" s="276">
        <v>85</v>
      </c>
      <c r="I758" s="24">
        <v>103003</v>
      </c>
      <c r="J758" s="277">
        <v>2.2999999999999998</v>
      </c>
      <c r="K758" s="276">
        <v>543</v>
      </c>
      <c r="L758" s="278">
        <v>1.6559516851743619</v>
      </c>
      <c r="M758" s="279">
        <v>530.96</v>
      </c>
      <c r="N758" s="277">
        <v>1221.2080000000001</v>
      </c>
      <c r="O758" s="280" t="s">
        <v>897</v>
      </c>
      <c r="P758" s="279">
        <v>17600</v>
      </c>
      <c r="Q758" s="281">
        <v>40480</v>
      </c>
      <c r="R758" s="282">
        <v>45377</v>
      </c>
      <c r="S758" s="274" t="s">
        <v>956</v>
      </c>
      <c r="T758" s="44">
        <v>1</v>
      </c>
      <c r="U758" s="283">
        <v>72</v>
      </c>
      <c r="V758" s="284">
        <v>7</v>
      </c>
      <c r="W758" s="285" t="s">
        <v>889</v>
      </c>
      <c r="X758" s="286" t="s">
        <v>889</v>
      </c>
      <c r="Y758" s="287">
        <v>0</v>
      </c>
      <c r="Z758" s="287" t="s">
        <v>889</v>
      </c>
      <c r="AA758" s="286" t="s">
        <v>889</v>
      </c>
      <c r="AB758" s="287">
        <v>0</v>
      </c>
      <c r="AC758" s="287"/>
      <c r="AD758" s="288" t="s">
        <v>889</v>
      </c>
      <c r="AE758" s="289" t="s">
        <v>889</v>
      </c>
      <c r="AF758" s="279">
        <v>206</v>
      </c>
      <c r="AG758" s="282">
        <v>45208</v>
      </c>
      <c r="AH758" s="282">
        <v>42926</v>
      </c>
      <c r="AI758" s="282">
        <v>45181</v>
      </c>
      <c r="AJ758" s="282" t="s">
        <v>889</v>
      </c>
      <c r="AK758" s="274"/>
    </row>
    <row r="759" spans="1:37" x14ac:dyDescent="0.3">
      <c r="A759" s="273">
        <v>133042</v>
      </c>
      <c r="B759" s="274" t="s">
        <v>829</v>
      </c>
      <c r="C759" s="146" t="s">
        <v>31</v>
      </c>
      <c r="D759" s="275">
        <v>55.26</v>
      </c>
      <c r="E759" s="274"/>
      <c r="F759" s="274"/>
      <c r="G759" s="274" t="s">
        <v>889</v>
      </c>
      <c r="H759" s="276">
        <v>50</v>
      </c>
      <c r="I759" s="24">
        <v>103003</v>
      </c>
      <c r="J759" s="277">
        <v>55.26</v>
      </c>
      <c r="K759" s="276"/>
      <c r="L759" s="278">
        <v>0</v>
      </c>
      <c r="M759" s="279">
        <v>0</v>
      </c>
      <c r="N759" s="277">
        <v>0</v>
      </c>
      <c r="O759" s="280" t="s">
        <v>888</v>
      </c>
      <c r="P759" s="279">
        <v>0</v>
      </c>
      <c r="Q759" s="281">
        <v>0</v>
      </c>
      <c r="R759" s="282" t="s">
        <v>889</v>
      </c>
      <c r="S759" s="274" t="s">
        <v>1274</v>
      </c>
      <c r="T759" s="44">
        <v>1</v>
      </c>
      <c r="U759" s="283">
        <v>51</v>
      </c>
      <c r="V759" s="284">
        <v>17</v>
      </c>
      <c r="W759" s="285" t="s">
        <v>889</v>
      </c>
      <c r="X759" s="286" t="s">
        <v>889</v>
      </c>
      <c r="Y759" s="287">
        <v>0</v>
      </c>
      <c r="Z759" s="287" t="s">
        <v>889</v>
      </c>
      <c r="AA759" s="286" t="s">
        <v>889</v>
      </c>
      <c r="AB759" s="287">
        <v>0</v>
      </c>
      <c r="AC759" s="287"/>
      <c r="AD759" s="288" t="s">
        <v>889</v>
      </c>
      <c r="AE759" s="289" t="s">
        <v>889</v>
      </c>
      <c r="AF759" s="279">
        <v>0</v>
      </c>
      <c r="AG759" s="282">
        <v>43026</v>
      </c>
      <c r="AH759" s="282">
        <v>42930</v>
      </c>
      <c r="AI759" s="282">
        <v>42996</v>
      </c>
      <c r="AJ759" s="282" t="s">
        <v>889</v>
      </c>
      <c r="AK759" s="274"/>
    </row>
    <row r="760" spans="1:37" x14ac:dyDescent="0.3">
      <c r="A760" s="273">
        <v>133043</v>
      </c>
      <c r="B760" s="274" t="s">
        <v>830</v>
      </c>
      <c r="C760" s="146" t="s">
        <v>31</v>
      </c>
      <c r="D760" s="275">
        <v>42</v>
      </c>
      <c r="E760" s="274"/>
      <c r="F760" s="274"/>
      <c r="G760" s="274" t="s">
        <v>889</v>
      </c>
      <c r="H760" s="276">
        <v>25</v>
      </c>
      <c r="I760" s="24">
        <v>103003</v>
      </c>
      <c r="J760" s="277">
        <v>42</v>
      </c>
      <c r="K760" s="276"/>
      <c r="L760" s="278">
        <v>0</v>
      </c>
      <c r="M760" s="279">
        <v>0</v>
      </c>
      <c r="N760" s="277">
        <v>0</v>
      </c>
      <c r="O760" s="280" t="s">
        <v>888</v>
      </c>
      <c r="P760" s="279">
        <v>0</v>
      </c>
      <c r="Q760" s="281">
        <v>0</v>
      </c>
      <c r="R760" s="282" t="s">
        <v>889</v>
      </c>
      <c r="S760" s="274" t="s">
        <v>1274</v>
      </c>
      <c r="T760" s="44">
        <v>1</v>
      </c>
      <c r="U760" s="283">
        <v>51</v>
      </c>
      <c r="V760" s="284">
        <v>17</v>
      </c>
      <c r="W760" s="285" t="s">
        <v>889</v>
      </c>
      <c r="X760" s="286" t="s">
        <v>889</v>
      </c>
      <c r="Y760" s="287">
        <v>0</v>
      </c>
      <c r="Z760" s="287" t="s">
        <v>889</v>
      </c>
      <c r="AA760" s="286" t="s">
        <v>889</v>
      </c>
      <c r="AB760" s="287">
        <v>0</v>
      </c>
      <c r="AC760" s="287"/>
      <c r="AD760" s="288" t="s">
        <v>889</v>
      </c>
      <c r="AE760" s="289" t="s">
        <v>889</v>
      </c>
      <c r="AF760" s="279">
        <v>0</v>
      </c>
      <c r="AG760" s="282">
        <v>43026</v>
      </c>
      <c r="AH760" s="282">
        <v>42930</v>
      </c>
      <c r="AI760" s="282">
        <v>42996</v>
      </c>
      <c r="AJ760" s="282" t="s">
        <v>889</v>
      </c>
      <c r="AK760" s="274"/>
    </row>
    <row r="761" spans="1:37" x14ac:dyDescent="0.3">
      <c r="A761" s="273">
        <v>133191</v>
      </c>
      <c r="B761" s="274" t="s">
        <v>1851</v>
      </c>
      <c r="C761" s="146" t="s">
        <v>31</v>
      </c>
      <c r="D761" s="275">
        <v>7.0000000000000007E-2</v>
      </c>
      <c r="E761" s="274"/>
      <c r="F761" s="274"/>
      <c r="G761" s="274" t="s">
        <v>889</v>
      </c>
      <c r="H761" s="276">
        <v>178050</v>
      </c>
      <c r="I761" s="24">
        <v>103003</v>
      </c>
      <c r="J761" s="277">
        <v>7.0000000000000007E-2</v>
      </c>
      <c r="K761" s="276">
        <v>333857</v>
      </c>
      <c r="L761" s="278">
        <v>6.1628892649426268</v>
      </c>
      <c r="M761" s="279">
        <v>168638.04</v>
      </c>
      <c r="N761" s="277">
        <v>11804.6628</v>
      </c>
      <c r="O761" s="280" t="s">
        <v>888</v>
      </c>
      <c r="P761" s="279">
        <v>0</v>
      </c>
      <c r="Q761" s="281">
        <v>0</v>
      </c>
      <c r="R761" s="282" t="s">
        <v>889</v>
      </c>
      <c r="S761" s="274" t="s">
        <v>898</v>
      </c>
      <c r="T761" s="44">
        <v>1</v>
      </c>
      <c r="U761" s="283">
        <v>72</v>
      </c>
      <c r="V761" s="284">
        <v>6</v>
      </c>
      <c r="W761" s="285" t="s">
        <v>889</v>
      </c>
      <c r="X761" s="286" t="s">
        <v>889</v>
      </c>
      <c r="Y761" s="287">
        <v>0</v>
      </c>
      <c r="Z761" s="287" t="s">
        <v>889</v>
      </c>
      <c r="AA761" s="286" t="s">
        <v>889</v>
      </c>
      <c r="AB761" s="287">
        <v>0</v>
      </c>
      <c r="AC761" s="287"/>
      <c r="AD761" s="288" t="s">
        <v>889</v>
      </c>
      <c r="AE761" s="289" t="s">
        <v>889</v>
      </c>
      <c r="AF761" s="279">
        <v>115562</v>
      </c>
      <c r="AG761" s="282">
        <v>43040</v>
      </c>
      <c r="AH761" s="282">
        <v>42968</v>
      </c>
      <c r="AI761" s="282">
        <v>43031</v>
      </c>
      <c r="AJ761" s="282" t="s">
        <v>889</v>
      </c>
      <c r="AK761" s="274"/>
    </row>
    <row r="762" spans="1:37" x14ac:dyDescent="0.3">
      <c r="A762" s="273">
        <v>133301</v>
      </c>
      <c r="B762" s="274" t="s">
        <v>1852</v>
      </c>
      <c r="C762" s="146" t="s">
        <v>263</v>
      </c>
      <c r="D762" s="275">
        <v>5.31</v>
      </c>
      <c r="E762" s="274"/>
      <c r="F762" s="274"/>
      <c r="G762" s="274" t="s">
        <v>889</v>
      </c>
      <c r="H762" s="276">
        <v>0</v>
      </c>
      <c r="I762" s="24">
        <v>103003</v>
      </c>
      <c r="J762" s="277">
        <v>5.31</v>
      </c>
      <c r="K762" s="276">
        <v>2172</v>
      </c>
      <c r="L762" s="278">
        <v>0</v>
      </c>
      <c r="M762" s="279">
        <v>0</v>
      </c>
      <c r="N762" s="277">
        <v>0</v>
      </c>
      <c r="O762" s="280" t="s">
        <v>888</v>
      </c>
      <c r="P762" s="279">
        <v>0</v>
      </c>
      <c r="Q762" s="281">
        <v>0</v>
      </c>
      <c r="R762" s="282" t="s">
        <v>889</v>
      </c>
      <c r="S762" s="274" t="s">
        <v>1076</v>
      </c>
      <c r="T762" s="44">
        <v>1</v>
      </c>
      <c r="U762" s="283">
        <v>55</v>
      </c>
      <c r="V762" s="284">
        <v>27</v>
      </c>
      <c r="W762" s="285">
        <v>2235</v>
      </c>
      <c r="X762" s="286">
        <v>2023</v>
      </c>
      <c r="Y762" s="287">
        <v>7000</v>
      </c>
      <c r="Z762" s="287" t="s">
        <v>889</v>
      </c>
      <c r="AA762" s="286" t="s">
        <v>889</v>
      </c>
      <c r="AB762" s="287">
        <v>0</v>
      </c>
      <c r="AC762" s="287"/>
      <c r="AD762" s="288" t="s">
        <v>889</v>
      </c>
      <c r="AE762" s="289" t="s">
        <v>889</v>
      </c>
      <c r="AF762" s="279">
        <v>724</v>
      </c>
      <c r="AG762" s="282">
        <v>44629</v>
      </c>
      <c r="AH762" s="282">
        <v>42978</v>
      </c>
      <c r="AI762" s="282">
        <v>44917</v>
      </c>
      <c r="AJ762" s="282" t="s">
        <v>889</v>
      </c>
      <c r="AK762" s="274"/>
    </row>
    <row r="763" spans="1:37" x14ac:dyDescent="0.3">
      <c r="A763" s="273">
        <v>133366</v>
      </c>
      <c r="B763" s="274" t="s">
        <v>1853</v>
      </c>
      <c r="C763" s="146" t="s">
        <v>263</v>
      </c>
      <c r="D763" s="275">
        <v>0</v>
      </c>
      <c r="E763" s="274"/>
      <c r="F763" s="274"/>
      <c r="G763" s="274" t="s">
        <v>889</v>
      </c>
      <c r="H763" s="276">
        <v>28282</v>
      </c>
      <c r="I763" s="24">
        <v>103003</v>
      </c>
      <c r="J763" s="277">
        <v>0</v>
      </c>
      <c r="K763" s="276">
        <v>3010</v>
      </c>
      <c r="L763" s="278">
        <v>110.90980392156861</v>
      </c>
      <c r="M763" s="279">
        <v>0</v>
      </c>
      <c r="N763" s="277">
        <v>0</v>
      </c>
      <c r="O763" s="280" t="s">
        <v>888</v>
      </c>
      <c r="P763" s="279">
        <v>0</v>
      </c>
      <c r="Q763" s="281">
        <v>0</v>
      </c>
      <c r="R763" s="282" t="s">
        <v>889</v>
      </c>
      <c r="S763" s="274" t="s">
        <v>1018</v>
      </c>
      <c r="T763" s="44">
        <v>1</v>
      </c>
      <c r="U763" s="283">
        <v>67</v>
      </c>
      <c r="V763" s="284">
        <v>9</v>
      </c>
      <c r="W763" s="285" t="s">
        <v>889</v>
      </c>
      <c r="X763" s="286" t="s">
        <v>889</v>
      </c>
      <c r="Y763" s="287">
        <v>0</v>
      </c>
      <c r="Z763" s="287" t="s">
        <v>889</v>
      </c>
      <c r="AA763" s="286" t="s">
        <v>889</v>
      </c>
      <c r="AB763" s="287">
        <v>0</v>
      </c>
      <c r="AC763" s="287"/>
      <c r="AD763" s="288" t="s">
        <v>889</v>
      </c>
      <c r="AE763" s="289" t="s">
        <v>889</v>
      </c>
      <c r="AF763" s="279">
        <v>1020</v>
      </c>
      <c r="AG763" s="282" t="s">
        <v>889</v>
      </c>
      <c r="AH763" s="282">
        <v>42982</v>
      </c>
      <c r="AI763" s="282" t="s">
        <v>889</v>
      </c>
      <c r="AJ763" s="282" t="s">
        <v>889</v>
      </c>
      <c r="AK763" s="274"/>
    </row>
    <row r="764" spans="1:37" x14ac:dyDescent="0.3">
      <c r="A764" s="273">
        <v>133371</v>
      </c>
      <c r="B764" s="274" t="s">
        <v>1854</v>
      </c>
      <c r="C764" s="146" t="s">
        <v>320</v>
      </c>
      <c r="D764" s="275">
        <v>20.74</v>
      </c>
      <c r="E764" s="274"/>
      <c r="F764" s="274"/>
      <c r="G764" s="274" t="s">
        <v>889</v>
      </c>
      <c r="H764" s="276">
        <v>220</v>
      </c>
      <c r="I764" s="24">
        <v>103003</v>
      </c>
      <c r="J764" s="277">
        <v>20.74</v>
      </c>
      <c r="K764" s="276">
        <v>420</v>
      </c>
      <c r="L764" s="278">
        <v>6.2857142857142856</v>
      </c>
      <c r="M764" s="279">
        <v>0</v>
      </c>
      <c r="N764" s="277">
        <v>0</v>
      </c>
      <c r="O764" s="280" t="s">
        <v>888</v>
      </c>
      <c r="P764" s="279">
        <v>0</v>
      </c>
      <c r="Q764" s="281">
        <v>0</v>
      </c>
      <c r="R764" s="282" t="s">
        <v>889</v>
      </c>
      <c r="S764" s="274" t="s">
        <v>1855</v>
      </c>
      <c r="T764" s="44">
        <v>1</v>
      </c>
      <c r="U764" s="283">
        <v>70</v>
      </c>
      <c r="V764" s="284">
        <v>33</v>
      </c>
      <c r="W764" s="285">
        <v>10092</v>
      </c>
      <c r="X764" s="286">
        <v>2023</v>
      </c>
      <c r="Y764" s="287">
        <v>200</v>
      </c>
      <c r="Z764" s="287" t="s">
        <v>889</v>
      </c>
      <c r="AA764" s="286" t="s">
        <v>889</v>
      </c>
      <c r="AB764" s="287">
        <v>0</v>
      </c>
      <c r="AC764" s="287"/>
      <c r="AD764" s="288" t="s">
        <v>889</v>
      </c>
      <c r="AE764" s="289" t="s">
        <v>889</v>
      </c>
      <c r="AF764" s="279">
        <v>140</v>
      </c>
      <c r="AG764" s="282">
        <v>44937</v>
      </c>
      <c r="AH764" s="282">
        <v>42983</v>
      </c>
      <c r="AI764" s="282">
        <v>44917</v>
      </c>
      <c r="AJ764" s="282" t="s">
        <v>889</v>
      </c>
      <c r="AK764" s="274"/>
    </row>
    <row r="765" spans="1:37" x14ac:dyDescent="0.3">
      <c r="A765" s="273">
        <v>133433</v>
      </c>
      <c r="B765" s="274" t="s">
        <v>1856</v>
      </c>
      <c r="C765" s="146" t="s">
        <v>260</v>
      </c>
      <c r="D765" s="275">
        <v>2072.5</v>
      </c>
      <c r="E765" s="274"/>
      <c r="F765" s="274"/>
      <c r="G765" s="274" t="s">
        <v>889</v>
      </c>
      <c r="H765" s="276">
        <v>153</v>
      </c>
      <c r="I765" s="24">
        <v>103003</v>
      </c>
      <c r="J765" s="277">
        <v>1956.61826</v>
      </c>
      <c r="K765" s="276">
        <v>11</v>
      </c>
      <c r="L765" s="278">
        <v>166.30434782608694</v>
      </c>
      <c r="M765" s="279">
        <v>0</v>
      </c>
      <c r="N765" s="277">
        <v>0</v>
      </c>
      <c r="O765" s="280" t="s">
        <v>888</v>
      </c>
      <c r="P765" s="279">
        <v>0</v>
      </c>
      <c r="Q765" s="281">
        <v>0</v>
      </c>
      <c r="R765" s="282" t="s">
        <v>889</v>
      </c>
      <c r="S765" s="274" t="s">
        <v>1326</v>
      </c>
      <c r="T765" s="44">
        <v>1</v>
      </c>
      <c r="U765" s="283">
        <v>51</v>
      </c>
      <c r="V765" s="284">
        <v>30</v>
      </c>
      <c r="W765" s="285" t="s">
        <v>889</v>
      </c>
      <c r="X765" s="286" t="s">
        <v>889</v>
      </c>
      <c r="Y765" s="287">
        <v>0</v>
      </c>
      <c r="Z765" s="287" t="s">
        <v>889</v>
      </c>
      <c r="AA765" s="286" t="s">
        <v>889</v>
      </c>
      <c r="AB765" s="287">
        <v>0</v>
      </c>
      <c r="AC765" s="287"/>
      <c r="AD765" s="288" t="s">
        <v>889</v>
      </c>
      <c r="AE765" s="289" t="s">
        <v>889</v>
      </c>
      <c r="AF765" s="279">
        <v>4</v>
      </c>
      <c r="AG765" s="282">
        <v>44579</v>
      </c>
      <c r="AH765" s="282">
        <v>42996</v>
      </c>
      <c r="AI765" s="282">
        <v>44544</v>
      </c>
      <c r="AJ765" s="282" t="s">
        <v>889</v>
      </c>
      <c r="AK765" s="274"/>
    </row>
    <row r="766" spans="1:37" x14ac:dyDescent="0.3">
      <c r="A766" s="273">
        <v>133450</v>
      </c>
      <c r="B766" s="274" t="s">
        <v>1857</v>
      </c>
      <c r="C766" s="146" t="s">
        <v>31</v>
      </c>
      <c r="D766" s="275">
        <v>4.38</v>
      </c>
      <c r="E766" s="274"/>
      <c r="F766" s="274"/>
      <c r="G766" s="274" t="s">
        <v>889</v>
      </c>
      <c r="H766" s="276">
        <v>3073</v>
      </c>
      <c r="I766" s="24">
        <v>103003</v>
      </c>
      <c r="J766" s="277">
        <v>4.38</v>
      </c>
      <c r="K766" s="276">
        <v>434</v>
      </c>
      <c r="L766" s="278">
        <v>54.14977973568282</v>
      </c>
      <c r="M766" s="279">
        <v>0</v>
      </c>
      <c r="N766" s="277">
        <v>0</v>
      </c>
      <c r="O766" s="280" t="s">
        <v>888</v>
      </c>
      <c r="P766" s="279">
        <v>0</v>
      </c>
      <c r="Q766" s="281">
        <v>0</v>
      </c>
      <c r="R766" s="282" t="s">
        <v>889</v>
      </c>
      <c r="S766" s="274" t="s">
        <v>941</v>
      </c>
      <c r="T766" s="44">
        <v>1</v>
      </c>
      <c r="U766" s="283">
        <v>45</v>
      </c>
      <c r="V766" s="284">
        <v>11</v>
      </c>
      <c r="W766" s="285" t="s">
        <v>889</v>
      </c>
      <c r="X766" s="286" t="s">
        <v>889</v>
      </c>
      <c r="Y766" s="287">
        <v>0</v>
      </c>
      <c r="Z766" s="287" t="s">
        <v>889</v>
      </c>
      <c r="AA766" s="286" t="s">
        <v>889</v>
      </c>
      <c r="AB766" s="287">
        <v>0</v>
      </c>
      <c r="AC766" s="287"/>
      <c r="AD766" s="288" t="s">
        <v>889</v>
      </c>
      <c r="AE766" s="289" t="s">
        <v>889</v>
      </c>
      <c r="AF766" s="279">
        <v>228</v>
      </c>
      <c r="AG766" s="282">
        <v>43626</v>
      </c>
      <c r="AH766" s="282">
        <v>42998</v>
      </c>
      <c r="AI766" s="282">
        <v>43607</v>
      </c>
      <c r="AJ766" s="282" t="s">
        <v>889</v>
      </c>
      <c r="AK766" s="274"/>
    </row>
    <row r="767" spans="1:37" x14ac:dyDescent="0.3">
      <c r="A767" s="273">
        <v>133451</v>
      </c>
      <c r="B767" s="274" t="s">
        <v>1858</v>
      </c>
      <c r="C767" s="146" t="s">
        <v>31</v>
      </c>
      <c r="D767" s="275">
        <v>6.5</v>
      </c>
      <c r="E767" s="274"/>
      <c r="F767" s="274"/>
      <c r="G767" s="274" t="s">
        <v>889</v>
      </c>
      <c r="H767" s="276">
        <v>2195</v>
      </c>
      <c r="I767" s="24">
        <v>103003</v>
      </c>
      <c r="J767" s="277">
        <v>6.5</v>
      </c>
      <c r="K767" s="276">
        <v>825</v>
      </c>
      <c r="L767" s="278">
        <v>23.146683538964464</v>
      </c>
      <c r="M767" s="279">
        <v>0</v>
      </c>
      <c r="N767" s="277">
        <v>0</v>
      </c>
      <c r="O767" s="280" t="s">
        <v>888</v>
      </c>
      <c r="P767" s="279">
        <v>0</v>
      </c>
      <c r="Q767" s="281">
        <v>0</v>
      </c>
      <c r="R767" s="282" t="s">
        <v>889</v>
      </c>
      <c r="S767" s="274" t="s">
        <v>941</v>
      </c>
      <c r="T767" s="44">
        <v>1</v>
      </c>
      <c r="U767" s="283">
        <v>45</v>
      </c>
      <c r="V767" s="284">
        <v>11</v>
      </c>
      <c r="W767" s="285" t="s">
        <v>889</v>
      </c>
      <c r="X767" s="286" t="s">
        <v>889</v>
      </c>
      <c r="Y767" s="287">
        <v>0</v>
      </c>
      <c r="Z767" s="287" t="s">
        <v>889</v>
      </c>
      <c r="AA767" s="286" t="s">
        <v>889</v>
      </c>
      <c r="AB767" s="287">
        <v>0</v>
      </c>
      <c r="AC767" s="287"/>
      <c r="AD767" s="288" t="s">
        <v>889</v>
      </c>
      <c r="AE767" s="289" t="s">
        <v>889</v>
      </c>
      <c r="AF767" s="279">
        <v>380</v>
      </c>
      <c r="AG767" s="282">
        <v>43622</v>
      </c>
      <c r="AH767" s="282">
        <v>42998</v>
      </c>
      <c r="AI767" s="282">
        <v>43607</v>
      </c>
      <c r="AJ767" s="282" t="s">
        <v>889</v>
      </c>
      <c r="AK767" s="274"/>
    </row>
    <row r="768" spans="1:37" x14ac:dyDescent="0.3">
      <c r="A768" s="273">
        <v>133788</v>
      </c>
      <c r="B768" s="274" t="s">
        <v>1859</v>
      </c>
      <c r="C768" s="146" t="s">
        <v>31</v>
      </c>
      <c r="D768" s="275">
        <v>1.3</v>
      </c>
      <c r="E768" s="274"/>
      <c r="F768" s="274"/>
      <c r="G768" s="274" t="s">
        <v>889</v>
      </c>
      <c r="H768" s="276">
        <v>385</v>
      </c>
      <c r="I768" s="24">
        <v>103003</v>
      </c>
      <c r="J768" s="277">
        <v>1.3</v>
      </c>
      <c r="K768" s="276">
        <v>1518</v>
      </c>
      <c r="L768" s="278">
        <v>0.44590118366496029</v>
      </c>
      <c r="M768" s="279">
        <v>0</v>
      </c>
      <c r="N768" s="277">
        <v>0</v>
      </c>
      <c r="O768" s="280" t="s">
        <v>888</v>
      </c>
      <c r="P768" s="279">
        <v>0</v>
      </c>
      <c r="Q768" s="281">
        <v>0</v>
      </c>
      <c r="R768" s="282" t="s">
        <v>889</v>
      </c>
      <c r="S768" s="274" t="s">
        <v>1829</v>
      </c>
      <c r="T768" s="44">
        <v>1</v>
      </c>
      <c r="U768" s="283">
        <v>45</v>
      </c>
      <c r="V768" s="284">
        <v>16</v>
      </c>
      <c r="W768" s="285">
        <v>11430</v>
      </c>
      <c r="X768" s="286">
        <v>2023</v>
      </c>
      <c r="Y768" s="287">
        <v>17710</v>
      </c>
      <c r="Z768" s="287" t="s">
        <v>889</v>
      </c>
      <c r="AA768" s="286" t="s">
        <v>889</v>
      </c>
      <c r="AB768" s="287">
        <v>0</v>
      </c>
      <c r="AC768" s="287"/>
      <c r="AD768" s="288" t="s">
        <v>889</v>
      </c>
      <c r="AE768" s="289" t="s">
        <v>889</v>
      </c>
      <c r="AF768" s="279">
        <v>3454</v>
      </c>
      <c r="AG768" s="282" t="s">
        <v>889</v>
      </c>
      <c r="AH768" s="282">
        <v>43038</v>
      </c>
      <c r="AI768" s="282">
        <v>44896</v>
      </c>
      <c r="AJ768" s="282" t="s">
        <v>889</v>
      </c>
      <c r="AK768" s="274"/>
    </row>
    <row r="769" spans="1:37" x14ac:dyDescent="0.3">
      <c r="A769" s="273">
        <v>133790</v>
      </c>
      <c r="B769" s="274" t="s">
        <v>1860</v>
      </c>
      <c r="C769" s="146" t="s">
        <v>31</v>
      </c>
      <c r="D769" s="275">
        <v>1.27</v>
      </c>
      <c r="E769" s="274"/>
      <c r="F769" s="274"/>
      <c r="G769" s="274" t="s">
        <v>889</v>
      </c>
      <c r="H769" s="276">
        <v>1493</v>
      </c>
      <c r="I769" s="24">
        <v>103003</v>
      </c>
      <c r="J769" s="277">
        <v>1.27</v>
      </c>
      <c r="K769" s="276">
        <v>935</v>
      </c>
      <c r="L769" s="278">
        <v>1.9522719843085976</v>
      </c>
      <c r="M769" s="279">
        <v>0</v>
      </c>
      <c r="N769" s="277">
        <v>0</v>
      </c>
      <c r="O769" s="280" t="s">
        <v>888</v>
      </c>
      <c r="P769" s="279">
        <v>0</v>
      </c>
      <c r="Q769" s="281">
        <v>0</v>
      </c>
      <c r="R769" s="282" t="s">
        <v>889</v>
      </c>
      <c r="S769" s="274" t="s">
        <v>1829</v>
      </c>
      <c r="T769" s="44">
        <v>1</v>
      </c>
      <c r="U769" s="283">
        <v>45</v>
      </c>
      <c r="V769" s="284">
        <v>16</v>
      </c>
      <c r="W769" s="285">
        <v>11430</v>
      </c>
      <c r="X769" s="286">
        <v>2023</v>
      </c>
      <c r="Y769" s="287">
        <v>16409</v>
      </c>
      <c r="Z769" s="287" t="s">
        <v>889</v>
      </c>
      <c r="AA769" s="286" t="s">
        <v>889</v>
      </c>
      <c r="AB769" s="287">
        <v>0</v>
      </c>
      <c r="AC769" s="287"/>
      <c r="AD769" s="288" t="s">
        <v>889</v>
      </c>
      <c r="AE769" s="289" t="s">
        <v>889</v>
      </c>
      <c r="AF769" s="279">
        <v>3060</v>
      </c>
      <c r="AG769" s="282" t="s">
        <v>889</v>
      </c>
      <c r="AH769" s="282">
        <v>43038</v>
      </c>
      <c r="AI769" s="282">
        <v>44896</v>
      </c>
      <c r="AJ769" s="282" t="s">
        <v>889</v>
      </c>
      <c r="AK769" s="274"/>
    </row>
    <row r="770" spans="1:37" x14ac:dyDescent="0.3">
      <c r="A770" s="273">
        <v>133791</v>
      </c>
      <c r="B770" s="274" t="s">
        <v>1861</v>
      </c>
      <c r="C770" s="146" t="s">
        <v>31</v>
      </c>
      <c r="D770" s="275">
        <v>1.95</v>
      </c>
      <c r="E770" s="274"/>
      <c r="F770" s="274"/>
      <c r="G770" s="274" t="s">
        <v>889</v>
      </c>
      <c r="H770" s="276">
        <v>1529</v>
      </c>
      <c r="I770" s="24">
        <v>103003</v>
      </c>
      <c r="J770" s="277">
        <v>1.95</v>
      </c>
      <c r="K770" s="276">
        <v>550</v>
      </c>
      <c r="L770" s="278">
        <v>1.7216917394829296</v>
      </c>
      <c r="M770" s="279">
        <v>0</v>
      </c>
      <c r="N770" s="277">
        <v>0</v>
      </c>
      <c r="O770" s="280" t="s">
        <v>888</v>
      </c>
      <c r="P770" s="279">
        <v>0</v>
      </c>
      <c r="Q770" s="281">
        <v>0</v>
      </c>
      <c r="R770" s="282" t="s">
        <v>889</v>
      </c>
      <c r="S770" s="274" t="s">
        <v>1829</v>
      </c>
      <c r="T770" s="44">
        <v>1</v>
      </c>
      <c r="U770" s="283">
        <v>45</v>
      </c>
      <c r="V770" s="284">
        <v>16</v>
      </c>
      <c r="W770" s="285">
        <v>11430</v>
      </c>
      <c r="X770" s="286">
        <v>2023</v>
      </c>
      <c r="Y770" s="287">
        <v>22886</v>
      </c>
      <c r="Z770" s="287" t="s">
        <v>889</v>
      </c>
      <c r="AA770" s="286" t="s">
        <v>889</v>
      </c>
      <c r="AB770" s="287">
        <v>0</v>
      </c>
      <c r="AC770" s="287"/>
      <c r="AD770" s="288" t="s">
        <v>889</v>
      </c>
      <c r="AE770" s="289" t="s">
        <v>889</v>
      </c>
      <c r="AF770" s="279">
        <v>3552</v>
      </c>
      <c r="AG770" s="282" t="s">
        <v>889</v>
      </c>
      <c r="AH770" s="282">
        <v>43038</v>
      </c>
      <c r="AI770" s="282">
        <v>44938</v>
      </c>
      <c r="AJ770" s="282" t="s">
        <v>889</v>
      </c>
      <c r="AK770" s="274"/>
    </row>
    <row r="771" spans="1:37" x14ac:dyDescent="0.3">
      <c r="A771" s="273">
        <v>133819</v>
      </c>
      <c r="B771" s="274" t="s">
        <v>1862</v>
      </c>
      <c r="C771" s="146" t="s">
        <v>263</v>
      </c>
      <c r="D771" s="275">
        <v>2.39</v>
      </c>
      <c r="E771" s="274"/>
      <c r="F771" s="274"/>
      <c r="G771" s="274" t="s">
        <v>889</v>
      </c>
      <c r="H771" s="276">
        <v>370</v>
      </c>
      <c r="I771" s="24">
        <v>103003</v>
      </c>
      <c r="J771" s="277">
        <v>2.39</v>
      </c>
      <c r="K771" s="276">
        <v>331</v>
      </c>
      <c r="L771" s="278">
        <v>9.8221396336607381</v>
      </c>
      <c r="M771" s="279">
        <v>82.04</v>
      </c>
      <c r="N771" s="277">
        <v>196.07560000000001</v>
      </c>
      <c r="O771" s="280" t="s">
        <v>888</v>
      </c>
      <c r="P771" s="279">
        <v>0</v>
      </c>
      <c r="Q771" s="281">
        <v>0</v>
      </c>
      <c r="R771" s="282" t="s">
        <v>889</v>
      </c>
      <c r="S771" s="274" t="s">
        <v>1003</v>
      </c>
      <c r="T771" s="44">
        <v>1</v>
      </c>
      <c r="U771" s="283">
        <v>61</v>
      </c>
      <c r="V771" s="284">
        <v>11</v>
      </c>
      <c r="W771" s="285" t="s">
        <v>889</v>
      </c>
      <c r="X771" s="286" t="s">
        <v>889</v>
      </c>
      <c r="Y771" s="287">
        <v>0</v>
      </c>
      <c r="Z771" s="287" t="s">
        <v>889</v>
      </c>
      <c r="AA771" s="286" t="s">
        <v>889</v>
      </c>
      <c r="AB771" s="287">
        <v>0</v>
      </c>
      <c r="AC771" s="287"/>
      <c r="AD771" s="288" t="s">
        <v>889</v>
      </c>
      <c r="AE771" s="289" t="s">
        <v>889</v>
      </c>
      <c r="AF771" s="279">
        <v>150</v>
      </c>
      <c r="AG771" s="282">
        <v>45184</v>
      </c>
      <c r="AH771" s="282">
        <v>43052</v>
      </c>
      <c r="AI771" s="282">
        <v>45180</v>
      </c>
      <c r="AJ771" s="282" t="s">
        <v>889</v>
      </c>
      <c r="AK771" s="274"/>
    </row>
    <row r="772" spans="1:37" x14ac:dyDescent="0.3">
      <c r="A772" s="273">
        <v>133843</v>
      </c>
      <c r="B772" s="274" t="s">
        <v>1863</v>
      </c>
      <c r="C772" s="146" t="s">
        <v>380</v>
      </c>
      <c r="D772" s="275">
        <v>0.69</v>
      </c>
      <c r="E772" s="274"/>
      <c r="F772" s="274"/>
      <c r="G772" s="274" t="s">
        <v>889</v>
      </c>
      <c r="H772" s="276">
        <v>0</v>
      </c>
      <c r="I772" s="24">
        <v>103003</v>
      </c>
      <c r="J772" s="277">
        <v>0.69</v>
      </c>
      <c r="K772" s="276">
        <v>10985</v>
      </c>
      <c r="L772" s="278">
        <v>0</v>
      </c>
      <c r="M772" s="279">
        <v>16297.04</v>
      </c>
      <c r="N772" s="277">
        <v>11244.9576</v>
      </c>
      <c r="O772" s="280" t="s">
        <v>888</v>
      </c>
      <c r="P772" s="279">
        <v>0</v>
      </c>
      <c r="Q772" s="281">
        <v>0</v>
      </c>
      <c r="R772" s="282" t="s">
        <v>889</v>
      </c>
      <c r="S772" s="274" t="s">
        <v>947</v>
      </c>
      <c r="T772" s="44">
        <v>1</v>
      </c>
      <c r="U772" s="283">
        <v>57</v>
      </c>
      <c r="V772" s="284">
        <v>16</v>
      </c>
      <c r="W772" s="285">
        <v>6985</v>
      </c>
      <c r="X772" s="286">
        <v>2023</v>
      </c>
      <c r="Y772" s="287">
        <v>2200</v>
      </c>
      <c r="Z772" s="287" t="s">
        <v>889</v>
      </c>
      <c r="AA772" s="286" t="s">
        <v>889</v>
      </c>
      <c r="AB772" s="287">
        <v>0</v>
      </c>
      <c r="AC772" s="287"/>
      <c r="AD772" s="288" t="s">
        <v>889</v>
      </c>
      <c r="AE772" s="289" t="s">
        <v>889</v>
      </c>
      <c r="AF772" s="279">
        <v>6166</v>
      </c>
      <c r="AG772" s="282">
        <v>44973</v>
      </c>
      <c r="AH772" s="282">
        <v>43074</v>
      </c>
      <c r="AI772" s="282">
        <v>44959</v>
      </c>
      <c r="AJ772" s="282" t="s">
        <v>889</v>
      </c>
      <c r="AK772" s="274"/>
    </row>
    <row r="773" spans="1:37" x14ac:dyDescent="0.3">
      <c r="A773" s="273">
        <v>133844</v>
      </c>
      <c r="B773" s="274" t="s">
        <v>1864</v>
      </c>
      <c r="C773" s="146" t="s">
        <v>380</v>
      </c>
      <c r="D773" s="275">
        <v>0.69</v>
      </c>
      <c r="E773" s="274"/>
      <c r="F773" s="274"/>
      <c r="G773" s="274" t="s">
        <v>889</v>
      </c>
      <c r="H773" s="276">
        <v>0</v>
      </c>
      <c r="I773" s="24">
        <v>103003</v>
      </c>
      <c r="J773" s="277">
        <v>0.69</v>
      </c>
      <c r="K773" s="276">
        <v>11806</v>
      </c>
      <c r="L773" s="278">
        <v>0</v>
      </c>
      <c r="M773" s="279">
        <v>13841</v>
      </c>
      <c r="N773" s="277">
        <v>9550.2900000000009</v>
      </c>
      <c r="O773" s="280" t="s">
        <v>888</v>
      </c>
      <c r="P773" s="279">
        <v>0</v>
      </c>
      <c r="Q773" s="281">
        <v>0</v>
      </c>
      <c r="R773" s="282" t="s">
        <v>889</v>
      </c>
      <c r="S773" s="274" t="s">
        <v>947</v>
      </c>
      <c r="T773" s="44">
        <v>1</v>
      </c>
      <c r="U773" s="283">
        <v>57</v>
      </c>
      <c r="V773" s="284">
        <v>16</v>
      </c>
      <c r="W773" s="285">
        <v>6985</v>
      </c>
      <c r="X773" s="286">
        <v>2023</v>
      </c>
      <c r="Y773" s="287">
        <v>4300</v>
      </c>
      <c r="Z773" s="287" t="s">
        <v>889</v>
      </c>
      <c r="AA773" s="286" t="s">
        <v>889</v>
      </c>
      <c r="AB773" s="287">
        <v>0</v>
      </c>
      <c r="AC773" s="287"/>
      <c r="AD773" s="288" t="s">
        <v>889</v>
      </c>
      <c r="AE773" s="289" t="s">
        <v>889</v>
      </c>
      <c r="AF773" s="279">
        <v>6048</v>
      </c>
      <c r="AG773" s="282">
        <v>44973</v>
      </c>
      <c r="AH773" s="282">
        <v>43074</v>
      </c>
      <c r="AI773" s="282">
        <v>44959</v>
      </c>
      <c r="AJ773" s="282" t="s">
        <v>889</v>
      </c>
      <c r="AK773" s="274"/>
    </row>
    <row r="774" spans="1:37" x14ac:dyDescent="0.3">
      <c r="A774" s="273">
        <v>133845</v>
      </c>
      <c r="B774" s="274" t="s">
        <v>1865</v>
      </c>
      <c r="C774" s="146" t="s">
        <v>380</v>
      </c>
      <c r="D774" s="275">
        <v>0.69</v>
      </c>
      <c r="E774" s="274"/>
      <c r="F774" s="274"/>
      <c r="G774" s="274" t="s">
        <v>889</v>
      </c>
      <c r="H774" s="276">
        <v>1230</v>
      </c>
      <c r="I774" s="24">
        <v>103003</v>
      </c>
      <c r="J774" s="277">
        <v>0.69</v>
      </c>
      <c r="K774" s="276">
        <v>10600</v>
      </c>
      <c r="L774" s="278">
        <v>0.83758937691521962</v>
      </c>
      <c r="M774" s="279">
        <v>15392</v>
      </c>
      <c r="N774" s="277">
        <v>10620.48</v>
      </c>
      <c r="O774" s="280" t="s">
        <v>888</v>
      </c>
      <c r="P774" s="279">
        <v>0</v>
      </c>
      <c r="Q774" s="281">
        <v>0</v>
      </c>
      <c r="R774" s="282" t="s">
        <v>889</v>
      </c>
      <c r="S774" s="274" t="s">
        <v>947</v>
      </c>
      <c r="T774" s="44">
        <v>1</v>
      </c>
      <c r="U774" s="283">
        <v>57</v>
      </c>
      <c r="V774" s="284">
        <v>16</v>
      </c>
      <c r="W774" s="285">
        <v>6216</v>
      </c>
      <c r="X774" s="286">
        <v>2023</v>
      </c>
      <c r="Y774" s="287">
        <v>1000</v>
      </c>
      <c r="Z774" s="287" t="s">
        <v>889</v>
      </c>
      <c r="AA774" s="286" t="s">
        <v>889</v>
      </c>
      <c r="AB774" s="287">
        <v>0</v>
      </c>
      <c r="AC774" s="287"/>
      <c r="AD774" s="288" t="s">
        <v>889</v>
      </c>
      <c r="AE774" s="289" t="s">
        <v>889</v>
      </c>
      <c r="AF774" s="279">
        <v>5874</v>
      </c>
      <c r="AG774" s="282">
        <v>44973</v>
      </c>
      <c r="AH774" s="282">
        <v>43074</v>
      </c>
      <c r="AI774" s="282">
        <v>44959</v>
      </c>
      <c r="AJ774" s="282" t="s">
        <v>889</v>
      </c>
      <c r="AK774" s="274"/>
    </row>
    <row r="775" spans="1:37" x14ac:dyDescent="0.3">
      <c r="A775" s="273">
        <v>133846</v>
      </c>
      <c r="B775" s="274" t="s">
        <v>1866</v>
      </c>
      <c r="C775" s="146" t="s">
        <v>380</v>
      </c>
      <c r="D775" s="275">
        <v>0.53</v>
      </c>
      <c r="E775" s="274"/>
      <c r="F775" s="274"/>
      <c r="G775" s="274" t="s">
        <v>889</v>
      </c>
      <c r="H775" s="276">
        <v>0</v>
      </c>
      <c r="I775" s="24">
        <v>103003</v>
      </c>
      <c r="J775" s="277">
        <v>0.53</v>
      </c>
      <c r="K775" s="276">
        <v>8799</v>
      </c>
      <c r="L775" s="278">
        <v>0</v>
      </c>
      <c r="M775" s="279">
        <v>8769</v>
      </c>
      <c r="N775" s="277">
        <v>4647.57</v>
      </c>
      <c r="O775" s="280" t="s">
        <v>888</v>
      </c>
      <c r="P775" s="279">
        <v>0</v>
      </c>
      <c r="Q775" s="281">
        <v>0</v>
      </c>
      <c r="R775" s="282" t="s">
        <v>889</v>
      </c>
      <c r="S775" s="274" t="s">
        <v>947</v>
      </c>
      <c r="T775" s="44">
        <v>1</v>
      </c>
      <c r="U775" s="283">
        <v>57</v>
      </c>
      <c r="V775" s="284">
        <v>16</v>
      </c>
      <c r="W775" s="285">
        <v>6984</v>
      </c>
      <c r="X775" s="286">
        <v>2023</v>
      </c>
      <c r="Y775" s="287">
        <v>4500</v>
      </c>
      <c r="Z775" s="287" t="s">
        <v>889</v>
      </c>
      <c r="AA775" s="286" t="s">
        <v>889</v>
      </c>
      <c r="AB775" s="287">
        <v>0</v>
      </c>
      <c r="AC775" s="287"/>
      <c r="AD775" s="288" t="s">
        <v>889</v>
      </c>
      <c r="AE775" s="289" t="s">
        <v>889</v>
      </c>
      <c r="AF775" s="279">
        <v>4424</v>
      </c>
      <c r="AG775" s="282">
        <v>44441</v>
      </c>
      <c r="AH775" s="282">
        <v>43074</v>
      </c>
      <c r="AI775" s="282">
        <v>44412</v>
      </c>
      <c r="AJ775" s="282" t="s">
        <v>889</v>
      </c>
      <c r="AK775" s="274"/>
    </row>
    <row r="776" spans="1:37" x14ac:dyDescent="0.3">
      <c r="A776" s="273">
        <v>133847</v>
      </c>
      <c r="B776" s="274" t="s">
        <v>1867</v>
      </c>
      <c r="C776" s="146" t="s">
        <v>380</v>
      </c>
      <c r="D776" s="275">
        <v>0.69</v>
      </c>
      <c r="E776" s="274"/>
      <c r="F776" s="274"/>
      <c r="G776" s="274" t="s">
        <v>889</v>
      </c>
      <c r="H776" s="276">
        <v>0</v>
      </c>
      <c r="I776" s="24">
        <v>103003</v>
      </c>
      <c r="J776" s="277">
        <v>0.69</v>
      </c>
      <c r="K776" s="276">
        <v>12070</v>
      </c>
      <c r="L776" s="278">
        <v>0</v>
      </c>
      <c r="M776" s="279">
        <v>8307.0400000000009</v>
      </c>
      <c r="N776" s="277">
        <v>5731.8576000000003</v>
      </c>
      <c r="O776" s="280" t="s">
        <v>888</v>
      </c>
      <c r="P776" s="279">
        <v>0</v>
      </c>
      <c r="Q776" s="281">
        <v>0</v>
      </c>
      <c r="R776" s="282" t="s">
        <v>889</v>
      </c>
      <c r="S776" s="274" t="s">
        <v>947</v>
      </c>
      <c r="T776" s="44">
        <v>1</v>
      </c>
      <c r="U776" s="283">
        <v>57</v>
      </c>
      <c r="V776" s="284">
        <v>16</v>
      </c>
      <c r="W776" s="285">
        <v>6984</v>
      </c>
      <c r="X776" s="286">
        <v>2023</v>
      </c>
      <c r="Y776" s="287">
        <v>6500</v>
      </c>
      <c r="Z776" s="287" t="s">
        <v>889</v>
      </c>
      <c r="AA776" s="286" t="s">
        <v>889</v>
      </c>
      <c r="AB776" s="287">
        <v>0</v>
      </c>
      <c r="AC776" s="287"/>
      <c r="AD776" s="288" t="s">
        <v>889</v>
      </c>
      <c r="AE776" s="289" t="s">
        <v>889</v>
      </c>
      <c r="AF776" s="279">
        <v>4936</v>
      </c>
      <c r="AG776" s="282">
        <v>44970</v>
      </c>
      <c r="AH776" s="282">
        <v>43074</v>
      </c>
      <c r="AI776" s="282">
        <v>44910</v>
      </c>
      <c r="AJ776" s="282" t="s">
        <v>889</v>
      </c>
      <c r="AK776" s="274"/>
    </row>
    <row r="777" spans="1:37" x14ac:dyDescent="0.3">
      <c r="A777" s="273">
        <v>133848</v>
      </c>
      <c r="B777" s="274" t="s">
        <v>1868</v>
      </c>
      <c r="C777" s="146" t="s">
        <v>380</v>
      </c>
      <c r="D777" s="275">
        <v>0.53</v>
      </c>
      <c r="E777" s="274"/>
      <c r="F777" s="274"/>
      <c r="G777" s="274" t="s">
        <v>889</v>
      </c>
      <c r="H777" s="276">
        <v>0</v>
      </c>
      <c r="I777" s="24">
        <v>103003</v>
      </c>
      <c r="J777" s="277">
        <v>0.53</v>
      </c>
      <c r="K777" s="276">
        <v>9179</v>
      </c>
      <c r="L777" s="278">
        <v>0</v>
      </c>
      <c r="M777" s="279">
        <v>6403</v>
      </c>
      <c r="N777" s="277">
        <v>3393.59</v>
      </c>
      <c r="O777" s="280" t="s">
        <v>888</v>
      </c>
      <c r="P777" s="279">
        <v>0</v>
      </c>
      <c r="Q777" s="281">
        <v>0</v>
      </c>
      <c r="R777" s="282" t="s">
        <v>889</v>
      </c>
      <c r="S777" s="274" t="s">
        <v>947</v>
      </c>
      <c r="T777" s="44">
        <v>1</v>
      </c>
      <c r="U777" s="283">
        <v>57</v>
      </c>
      <c r="V777" s="284">
        <v>16</v>
      </c>
      <c r="W777" s="285">
        <v>6984</v>
      </c>
      <c r="X777" s="286">
        <v>2023</v>
      </c>
      <c r="Y777" s="287">
        <v>6200</v>
      </c>
      <c r="Z777" s="287" t="s">
        <v>889</v>
      </c>
      <c r="AA777" s="286" t="s">
        <v>889</v>
      </c>
      <c r="AB777" s="287">
        <v>0</v>
      </c>
      <c r="AC777" s="287"/>
      <c r="AD777" s="288" t="s">
        <v>889</v>
      </c>
      <c r="AE777" s="289" t="s">
        <v>889</v>
      </c>
      <c r="AF777" s="279">
        <v>4202</v>
      </c>
      <c r="AG777" s="282">
        <v>44441</v>
      </c>
      <c r="AH777" s="282">
        <v>43074</v>
      </c>
      <c r="AI777" s="282">
        <v>44412</v>
      </c>
      <c r="AJ777" s="282" t="s">
        <v>889</v>
      </c>
      <c r="AK777" s="274"/>
    </row>
    <row r="778" spans="1:37" x14ac:dyDescent="0.3">
      <c r="A778" s="273">
        <v>133849</v>
      </c>
      <c r="B778" s="274" t="s">
        <v>1869</v>
      </c>
      <c r="C778" s="146" t="s">
        <v>380</v>
      </c>
      <c r="D778" s="275">
        <v>0.69</v>
      </c>
      <c r="E778" s="274"/>
      <c r="F778" s="274"/>
      <c r="G778" s="274" t="s">
        <v>889</v>
      </c>
      <c r="H778" s="276">
        <v>735</v>
      </c>
      <c r="I778" s="24">
        <v>103003</v>
      </c>
      <c r="J778" s="277">
        <v>0.69</v>
      </c>
      <c r="K778" s="276">
        <v>10781</v>
      </c>
      <c r="L778" s="278">
        <v>0.48544330550565362</v>
      </c>
      <c r="M778" s="279">
        <v>14933.96</v>
      </c>
      <c r="N778" s="277">
        <v>10304.4324</v>
      </c>
      <c r="O778" s="280" t="s">
        <v>888</v>
      </c>
      <c r="P778" s="279">
        <v>0</v>
      </c>
      <c r="Q778" s="281">
        <v>0</v>
      </c>
      <c r="R778" s="282" t="s">
        <v>889</v>
      </c>
      <c r="S778" s="274" t="s">
        <v>947</v>
      </c>
      <c r="T778" s="44">
        <v>1</v>
      </c>
      <c r="U778" s="283">
        <v>57</v>
      </c>
      <c r="V778" s="284">
        <v>16</v>
      </c>
      <c r="W778" s="285">
        <v>6217</v>
      </c>
      <c r="X778" s="286">
        <v>2023</v>
      </c>
      <c r="Y778" s="287">
        <v>2500</v>
      </c>
      <c r="Z778" s="287" t="s">
        <v>889</v>
      </c>
      <c r="AA778" s="286" t="s">
        <v>889</v>
      </c>
      <c r="AB778" s="287">
        <v>0</v>
      </c>
      <c r="AC778" s="287"/>
      <c r="AD778" s="288" t="s">
        <v>889</v>
      </c>
      <c r="AE778" s="289" t="s">
        <v>889</v>
      </c>
      <c r="AF778" s="279">
        <v>6056</v>
      </c>
      <c r="AG778" s="282">
        <v>44973</v>
      </c>
      <c r="AH778" s="282">
        <v>43074</v>
      </c>
      <c r="AI778" s="282">
        <v>44959</v>
      </c>
      <c r="AJ778" s="282" t="s">
        <v>889</v>
      </c>
      <c r="AK778" s="274"/>
    </row>
    <row r="779" spans="1:37" x14ac:dyDescent="0.3">
      <c r="A779" s="273">
        <v>133850</v>
      </c>
      <c r="B779" s="274" t="s">
        <v>1870</v>
      </c>
      <c r="C779" s="146" t="s">
        <v>380</v>
      </c>
      <c r="D779" s="275">
        <v>0.69</v>
      </c>
      <c r="E779" s="274"/>
      <c r="F779" s="274"/>
      <c r="G779" s="274" t="s">
        <v>889</v>
      </c>
      <c r="H779" s="276">
        <v>0</v>
      </c>
      <c r="I779" s="24">
        <v>103003</v>
      </c>
      <c r="J779" s="277">
        <v>0.69</v>
      </c>
      <c r="K779" s="276">
        <v>10601</v>
      </c>
      <c r="L779" s="278">
        <v>0</v>
      </c>
      <c r="M779" s="279">
        <v>9333.9599999999991</v>
      </c>
      <c r="N779" s="277">
        <v>6440.4323999999997</v>
      </c>
      <c r="O779" s="280" t="s">
        <v>888</v>
      </c>
      <c r="P779" s="279">
        <v>0</v>
      </c>
      <c r="Q779" s="281">
        <v>0</v>
      </c>
      <c r="R779" s="282" t="s">
        <v>889</v>
      </c>
      <c r="S779" s="274" t="s">
        <v>947</v>
      </c>
      <c r="T779" s="44">
        <v>1</v>
      </c>
      <c r="U779" s="283">
        <v>57</v>
      </c>
      <c r="V779" s="284">
        <v>16</v>
      </c>
      <c r="W779" s="285">
        <v>6985</v>
      </c>
      <c r="X779" s="286">
        <v>2023</v>
      </c>
      <c r="Y779" s="287">
        <v>5700</v>
      </c>
      <c r="Z779" s="287" t="s">
        <v>889</v>
      </c>
      <c r="AA779" s="286" t="s">
        <v>889</v>
      </c>
      <c r="AB779" s="287">
        <v>0</v>
      </c>
      <c r="AC779" s="287"/>
      <c r="AD779" s="288" t="s">
        <v>889</v>
      </c>
      <c r="AE779" s="289" t="s">
        <v>889</v>
      </c>
      <c r="AF779" s="279">
        <v>5012</v>
      </c>
      <c r="AG779" s="282">
        <v>44928</v>
      </c>
      <c r="AH779" s="282">
        <v>43074</v>
      </c>
      <c r="AI779" s="282">
        <v>44910</v>
      </c>
      <c r="AJ779" s="282" t="s">
        <v>889</v>
      </c>
      <c r="AK779" s="274"/>
    </row>
    <row r="780" spans="1:37" x14ac:dyDescent="0.3">
      <c r="A780" s="273">
        <v>133953</v>
      </c>
      <c r="B780" s="274" t="s">
        <v>846</v>
      </c>
      <c r="C780" s="146" t="s">
        <v>847</v>
      </c>
      <c r="D780" s="275">
        <v>7.62</v>
      </c>
      <c r="E780" s="274"/>
      <c r="F780" s="274"/>
      <c r="G780" s="274" t="s">
        <v>889</v>
      </c>
      <c r="H780" s="276">
        <v>0</v>
      </c>
      <c r="I780" s="24">
        <v>103003</v>
      </c>
      <c r="J780" s="277">
        <v>7.62</v>
      </c>
      <c r="K780" s="276"/>
      <c r="L780" s="278">
        <v>0</v>
      </c>
      <c r="M780" s="279">
        <v>0</v>
      </c>
      <c r="N780" s="277">
        <v>0</v>
      </c>
      <c r="O780" s="280" t="s">
        <v>888</v>
      </c>
      <c r="P780" s="279">
        <v>0</v>
      </c>
      <c r="Q780" s="281">
        <v>0</v>
      </c>
      <c r="R780" s="282" t="s">
        <v>889</v>
      </c>
      <c r="S780" s="274" t="s">
        <v>937</v>
      </c>
      <c r="T780" s="44">
        <v>1</v>
      </c>
      <c r="U780" s="283">
        <v>45</v>
      </c>
      <c r="V780" s="284">
        <v>9</v>
      </c>
      <c r="W780" s="285">
        <v>11434</v>
      </c>
      <c r="X780" s="286">
        <v>2023</v>
      </c>
      <c r="Y780" s="287">
        <v>32671</v>
      </c>
      <c r="Z780" s="287" t="s">
        <v>889</v>
      </c>
      <c r="AA780" s="286" t="s">
        <v>889</v>
      </c>
      <c r="AB780" s="287">
        <v>0</v>
      </c>
      <c r="AC780" s="287"/>
      <c r="AD780" s="288" t="s">
        <v>889</v>
      </c>
      <c r="AE780" s="289" t="s">
        <v>889</v>
      </c>
      <c r="AF780" s="279">
        <v>4184</v>
      </c>
      <c r="AG780" s="282">
        <v>43514</v>
      </c>
      <c r="AH780" s="282">
        <v>43104</v>
      </c>
      <c r="AI780" s="282">
        <v>44938</v>
      </c>
      <c r="AJ780" s="282" t="s">
        <v>889</v>
      </c>
      <c r="AK780" s="274"/>
    </row>
    <row r="781" spans="1:37" x14ac:dyDescent="0.3">
      <c r="A781" s="273">
        <v>134246</v>
      </c>
      <c r="B781" s="274" t="s">
        <v>1871</v>
      </c>
      <c r="C781" s="146" t="s">
        <v>1872</v>
      </c>
      <c r="D781" s="275">
        <v>111.29</v>
      </c>
      <c r="E781" s="274" t="s">
        <v>1873</v>
      </c>
      <c r="F781" s="274" t="s">
        <v>1874</v>
      </c>
      <c r="G781" s="274" t="s">
        <v>1875</v>
      </c>
      <c r="H781" s="276">
        <v>35.53</v>
      </c>
      <c r="I781" s="24">
        <v>103003</v>
      </c>
      <c r="J781" s="277">
        <v>123</v>
      </c>
      <c r="K781" s="276">
        <v>726.94</v>
      </c>
      <c r="L781" s="278">
        <v>0.34646513895660652</v>
      </c>
      <c r="M781" s="279">
        <v>1195.07</v>
      </c>
      <c r="N781" s="277">
        <v>132999.34030000001</v>
      </c>
      <c r="O781" s="280" t="s">
        <v>1876</v>
      </c>
      <c r="P781" s="279">
        <v>4950</v>
      </c>
      <c r="Q781" s="281">
        <v>579820.9</v>
      </c>
      <c r="R781" s="282">
        <v>45569</v>
      </c>
      <c r="S781" s="274" t="s">
        <v>1877</v>
      </c>
      <c r="T781" s="44">
        <v>1</v>
      </c>
      <c r="U781" s="283">
        <v>51</v>
      </c>
      <c r="V781" s="284">
        <v>2</v>
      </c>
      <c r="W781" s="285" t="s">
        <v>889</v>
      </c>
      <c r="X781" s="286" t="s">
        <v>889</v>
      </c>
      <c r="Y781" s="287">
        <v>0</v>
      </c>
      <c r="Z781" s="287" t="s">
        <v>889</v>
      </c>
      <c r="AA781" s="286" t="s">
        <v>889</v>
      </c>
      <c r="AB781" s="287">
        <v>0</v>
      </c>
      <c r="AC781" s="287"/>
      <c r="AD781" s="288" t="s">
        <v>889</v>
      </c>
      <c r="AE781" s="289" t="s">
        <v>889</v>
      </c>
      <c r="AF781" s="279">
        <v>410</v>
      </c>
      <c r="AG781" s="282">
        <v>45147</v>
      </c>
      <c r="AH781" s="282">
        <v>43138</v>
      </c>
      <c r="AI781" s="282">
        <v>45188</v>
      </c>
      <c r="AJ781" s="282" t="s">
        <v>889</v>
      </c>
      <c r="AK781" s="274"/>
    </row>
    <row r="782" spans="1:37" x14ac:dyDescent="0.3">
      <c r="A782" s="273">
        <v>134246</v>
      </c>
      <c r="B782" s="274" t="s">
        <v>1871</v>
      </c>
      <c r="C782" s="146" t="s">
        <v>1872</v>
      </c>
      <c r="D782" s="275">
        <v>111.29</v>
      </c>
      <c r="E782" s="274" t="s">
        <v>1873</v>
      </c>
      <c r="F782" s="274" t="s">
        <v>1874</v>
      </c>
      <c r="G782" s="274" t="s">
        <v>1875</v>
      </c>
      <c r="H782" s="276">
        <v>35.53</v>
      </c>
      <c r="I782" s="24">
        <v>103003</v>
      </c>
      <c r="J782" s="277">
        <v>123</v>
      </c>
      <c r="K782" s="276">
        <v>726.94</v>
      </c>
      <c r="L782" s="278">
        <v>0.34646513895660652</v>
      </c>
      <c r="M782" s="279">
        <v>1195.07</v>
      </c>
      <c r="N782" s="277">
        <v>132999.34030000001</v>
      </c>
      <c r="O782" s="280" t="s">
        <v>1876</v>
      </c>
      <c r="P782" s="279">
        <v>4950</v>
      </c>
      <c r="Q782" s="281">
        <v>579820.9</v>
      </c>
      <c r="R782" s="282">
        <v>45569</v>
      </c>
      <c r="S782" s="274" t="s">
        <v>1877</v>
      </c>
      <c r="T782" s="44">
        <v>1</v>
      </c>
      <c r="U782" s="283">
        <v>51</v>
      </c>
      <c r="V782" s="284">
        <v>2</v>
      </c>
      <c r="W782" s="285" t="s">
        <v>889</v>
      </c>
      <c r="X782" s="286" t="s">
        <v>889</v>
      </c>
      <c r="Y782" s="287">
        <v>0</v>
      </c>
      <c r="Z782" s="287" t="s">
        <v>889</v>
      </c>
      <c r="AA782" s="286" t="s">
        <v>889</v>
      </c>
      <c r="AB782" s="287">
        <v>0</v>
      </c>
      <c r="AC782" s="287"/>
      <c r="AD782" s="288" t="s">
        <v>889</v>
      </c>
      <c r="AE782" s="289" t="s">
        <v>889</v>
      </c>
      <c r="AF782" s="279">
        <v>410</v>
      </c>
      <c r="AG782" s="282">
        <v>45147</v>
      </c>
      <c r="AH782" s="282">
        <v>43138</v>
      </c>
      <c r="AI782" s="282">
        <v>45188</v>
      </c>
      <c r="AJ782" s="282" t="s">
        <v>889</v>
      </c>
      <c r="AK782" s="274"/>
    </row>
    <row r="783" spans="1:37" x14ac:dyDescent="0.3">
      <c r="A783" s="273">
        <v>134247</v>
      </c>
      <c r="B783" s="274" t="s">
        <v>1878</v>
      </c>
      <c r="C783" s="146" t="s">
        <v>1872</v>
      </c>
      <c r="D783" s="275">
        <v>108</v>
      </c>
      <c r="E783" s="274" t="s">
        <v>1879</v>
      </c>
      <c r="F783" s="274" t="s">
        <v>1874</v>
      </c>
      <c r="G783" s="274" t="s">
        <v>1875</v>
      </c>
      <c r="H783" s="276">
        <v>75.39</v>
      </c>
      <c r="I783" s="24">
        <v>103003</v>
      </c>
      <c r="J783" s="277">
        <v>141.37022999999999</v>
      </c>
      <c r="K783" s="276">
        <v>338</v>
      </c>
      <c r="L783" s="278">
        <v>1.8937452901281087</v>
      </c>
      <c r="M783" s="279">
        <v>340.65004829899999</v>
      </c>
      <c r="N783" s="277">
        <v>36790.205216292001</v>
      </c>
      <c r="O783" s="280" t="s">
        <v>1876</v>
      </c>
      <c r="P783" s="279">
        <v>3728</v>
      </c>
      <c r="Q783" s="281">
        <v>402624</v>
      </c>
      <c r="R783" s="282">
        <v>45569</v>
      </c>
      <c r="S783" s="274" t="s">
        <v>1877</v>
      </c>
      <c r="T783" s="44">
        <v>1</v>
      </c>
      <c r="U783" s="283">
        <v>51</v>
      </c>
      <c r="V783" s="284">
        <v>2</v>
      </c>
      <c r="W783" s="285" t="s">
        <v>889</v>
      </c>
      <c r="X783" s="286" t="s">
        <v>889</v>
      </c>
      <c r="Y783" s="287">
        <v>0</v>
      </c>
      <c r="Z783" s="287">
        <v>4827</v>
      </c>
      <c r="AA783" s="286">
        <v>2023</v>
      </c>
      <c r="AB783" s="287">
        <v>61.679951701</v>
      </c>
      <c r="AC783" s="287">
        <v>200</v>
      </c>
      <c r="AD783" s="288" t="s">
        <v>2069</v>
      </c>
      <c r="AE783" s="289">
        <v>45072</v>
      </c>
      <c r="AF783" s="279">
        <v>160</v>
      </c>
      <c r="AG783" s="282">
        <v>45098</v>
      </c>
      <c r="AH783" s="282">
        <v>43138</v>
      </c>
      <c r="AI783" s="282">
        <v>45072</v>
      </c>
      <c r="AJ783" s="282" t="s">
        <v>889</v>
      </c>
      <c r="AK783" s="274"/>
    </row>
    <row r="784" spans="1:37" x14ac:dyDescent="0.3">
      <c r="A784" s="273">
        <v>134247</v>
      </c>
      <c r="B784" s="274" t="s">
        <v>1878</v>
      </c>
      <c r="C784" s="146" t="s">
        <v>1872</v>
      </c>
      <c r="D784" s="275">
        <v>108</v>
      </c>
      <c r="E784" s="274" t="s">
        <v>1879</v>
      </c>
      <c r="F784" s="274" t="s">
        <v>1874</v>
      </c>
      <c r="G784" s="274" t="s">
        <v>1875</v>
      </c>
      <c r="H784" s="276">
        <v>75.39</v>
      </c>
      <c r="I784" s="24">
        <v>103003</v>
      </c>
      <c r="J784" s="277">
        <v>141.37022999999999</v>
      </c>
      <c r="K784" s="276">
        <v>338</v>
      </c>
      <c r="L784" s="278">
        <v>1.8937452901281087</v>
      </c>
      <c r="M784" s="279">
        <v>340.65004829899999</v>
      </c>
      <c r="N784" s="277">
        <v>36790.205216292001</v>
      </c>
      <c r="O784" s="280" t="s">
        <v>1876</v>
      </c>
      <c r="P784" s="279">
        <v>3728</v>
      </c>
      <c r="Q784" s="281">
        <v>402624</v>
      </c>
      <c r="R784" s="282">
        <v>45569</v>
      </c>
      <c r="S784" s="274" t="s">
        <v>1877</v>
      </c>
      <c r="T784" s="44">
        <v>1</v>
      </c>
      <c r="U784" s="283">
        <v>51</v>
      </c>
      <c r="V784" s="284">
        <v>2</v>
      </c>
      <c r="W784" s="285" t="s">
        <v>889</v>
      </c>
      <c r="X784" s="286" t="s">
        <v>889</v>
      </c>
      <c r="Y784" s="287">
        <v>0</v>
      </c>
      <c r="Z784" s="287">
        <v>4827</v>
      </c>
      <c r="AA784" s="286">
        <v>2023</v>
      </c>
      <c r="AB784" s="287">
        <v>61.679951701</v>
      </c>
      <c r="AC784" s="287">
        <v>200</v>
      </c>
      <c r="AD784" s="288" t="s">
        <v>2069</v>
      </c>
      <c r="AE784" s="289">
        <v>45072</v>
      </c>
      <c r="AF784" s="279">
        <v>160</v>
      </c>
      <c r="AG784" s="282">
        <v>45098</v>
      </c>
      <c r="AH784" s="282">
        <v>43138</v>
      </c>
      <c r="AI784" s="282">
        <v>45072</v>
      </c>
      <c r="AJ784" s="282" t="s">
        <v>889</v>
      </c>
      <c r="AK784" s="274"/>
    </row>
    <row r="785" spans="1:37" x14ac:dyDescent="0.3">
      <c r="A785" s="273">
        <v>134373</v>
      </c>
      <c r="B785" s="274" t="s">
        <v>1880</v>
      </c>
      <c r="C785" s="146" t="s">
        <v>31</v>
      </c>
      <c r="D785" s="275">
        <v>18.88</v>
      </c>
      <c r="E785" s="274"/>
      <c r="F785" s="274"/>
      <c r="G785" s="274" t="s">
        <v>889</v>
      </c>
      <c r="H785" s="276">
        <v>0</v>
      </c>
      <c r="I785" s="24">
        <v>103003</v>
      </c>
      <c r="J785" s="277">
        <v>18.88</v>
      </c>
      <c r="K785" s="276">
        <v>4131</v>
      </c>
      <c r="L785" s="278">
        <v>0</v>
      </c>
      <c r="M785" s="279">
        <v>2910</v>
      </c>
      <c r="N785" s="277">
        <v>54940.800000000003</v>
      </c>
      <c r="O785" s="280" t="s">
        <v>888</v>
      </c>
      <c r="P785" s="279">
        <v>0</v>
      </c>
      <c r="Q785" s="281">
        <v>0</v>
      </c>
      <c r="R785" s="282" t="s">
        <v>889</v>
      </c>
      <c r="S785" s="274" t="s">
        <v>1881</v>
      </c>
      <c r="T785" s="44">
        <v>1</v>
      </c>
      <c r="U785" s="283">
        <v>55</v>
      </c>
      <c r="V785" s="284">
        <v>66</v>
      </c>
      <c r="W785" s="285">
        <v>2376</v>
      </c>
      <c r="X785" s="286">
        <v>2023</v>
      </c>
      <c r="Y785" s="287">
        <v>3000</v>
      </c>
      <c r="Z785" s="287" t="s">
        <v>889</v>
      </c>
      <c r="AA785" s="286" t="s">
        <v>889</v>
      </c>
      <c r="AB785" s="287">
        <v>0</v>
      </c>
      <c r="AC785" s="287"/>
      <c r="AD785" s="288" t="s">
        <v>889</v>
      </c>
      <c r="AE785" s="289" t="s">
        <v>889</v>
      </c>
      <c r="AF785" s="279">
        <v>1970</v>
      </c>
      <c r="AG785" s="282">
        <v>44522</v>
      </c>
      <c r="AH785" s="282">
        <v>43154</v>
      </c>
      <c r="AI785" s="282">
        <v>44917</v>
      </c>
      <c r="AJ785" s="282" t="s">
        <v>889</v>
      </c>
      <c r="AK785" s="274"/>
    </row>
    <row r="786" spans="1:37" x14ac:dyDescent="0.3">
      <c r="A786" s="273">
        <v>134544</v>
      </c>
      <c r="B786" s="274" t="s">
        <v>1882</v>
      </c>
      <c r="C786" s="146" t="s">
        <v>560</v>
      </c>
      <c r="D786" s="275">
        <v>19.68</v>
      </c>
      <c r="E786" s="274"/>
      <c r="F786" s="274"/>
      <c r="G786" s="274" t="s">
        <v>889</v>
      </c>
      <c r="H786" s="276">
        <v>2655.3</v>
      </c>
      <c r="I786" s="24">
        <v>103003</v>
      </c>
      <c r="J786" s="277">
        <v>19.68</v>
      </c>
      <c r="K786" s="276">
        <v>806</v>
      </c>
      <c r="L786" s="278">
        <v>36.498969072164947</v>
      </c>
      <c r="M786" s="279">
        <v>0</v>
      </c>
      <c r="N786" s="277">
        <v>0</v>
      </c>
      <c r="O786" s="280" t="s">
        <v>888</v>
      </c>
      <c r="P786" s="279">
        <v>0</v>
      </c>
      <c r="Q786" s="281">
        <v>0</v>
      </c>
      <c r="R786" s="282" t="s">
        <v>889</v>
      </c>
      <c r="S786" s="274" t="s">
        <v>1734</v>
      </c>
      <c r="T786" s="44">
        <v>1</v>
      </c>
      <c r="U786" s="283">
        <v>51</v>
      </c>
      <c r="V786" s="284">
        <v>21</v>
      </c>
      <c r="W786" s="285" t="s">
        <v>889</v>
      </c>
      <c r="X786" s="286" t="s">
        <v>889</v>
      </c>
      <c r="Y786" s="287">
        <v>0</v>
      </c>
      <c r="Z786" s="287" t="s">
        <v>889</v>
      </c>
      <c r="AA786" s="286" t="s">
        <v>889</v>
      </c>
      <c r="AB786" s="287">
        <v>0</v>
      </c>
      <c r="AC786" s="287"/>
      <c r="AD786" s="288" t="s">
        <v>889</v>
      </c>
      <c r="AE786" s="289" t="s">
        <v>889</v>
      </c>
      <c r="AF786" s="279">
        <v>292</v>
      </c>
      <c r="AG786" s="282">
        <v>45189</v>
      </c>
      <c r="AH786" s="282">
        <v>43172</v>
      </c>
      <c r="AI786" s="282">
        <v>45160</v>
      </c>
      <c r="AJ786" s="282" t="s">
        <v>889</v>
      </c>
      <c r="AK786" s="274"/>
    </row>
    <row r="787" spans="1:37" x14ac:dyDescent="0.3">
      <c r="A787" s="273">
        <v>134545</v>
      </c>
      <c r="B787" s="274" t="s">
        <v>1883</v>
      </c>
      <c r="C787" s="146" t="s">
        <v>560</v>
      </c>
      <c r="D787" s="275">
        <v>32</v>
      </c>
      <c r="E787" s="274"/>
      <c r="F787" s="274"/>
      <c r="G787" s="274" t="s">
        <v>889</v>
      </c>
      <c r="H787" s="276">
        <v>894.81</v>
      </c>
      <c r="I787" s="24">
        <v>103003</v>
      </c>
      <c r="J787" s="277">
        <v>32</v>
      </c>
      <c r="K787" s="276">
        <v>43</v>
      </c>
      <c r="L787" s="278">
        <v>249.94692737430165</v>
      </c>
      <c r="M787" s="279">
        <v>0</v>
      </c>
      <c r="N787" s="277">
        <v>0</v>
      </c>
      <c r="O787" s="280" t="s">
        <v>888</v>
      </c>
      <c r="P787" s="279">
        <v>0</v>
      </c>
      <c r="Q787" s="281">
        <v>0</v>
      </c>
      <c r="R787" s="282" t="s">
        <v>889</v>
      </c>
      <c r="S787" s="274" t="s">
        <v>1308</v>
      </c>
      <c r="T787" s="44">
        <v>1</v>
      </c>
      <c r="U787" s="283">
        <v>51</v>
      </c>
      <c r="V787" s="284">
        <v>19</v>
      </c>
      <c r="W787" s="285" t="s">
        <v>889</v>
      </c>
      <c r="X787" s="286" t="s">
        <v>889</v>
      </c>
      <c r="Y787" s="287">
        <v>0</v>
      </c>
      <c r="Z787" s="287" t="s">
        <v>889</v>
      </c>
      <c r="AA787" s="286" t="s">
        <v>889</v>
      </c>
      <c r="AB787" s="287">
        <v>0</v>
      </c>
      <c r="AC787" s="287"/>
      <c r="AD787" s="288" t="s">
        <v>889</v>
      </c>
      <c r="AE787" s="289" t="s">
        <v>889</v>
      </c>
      <c r="AF787" s="279">
        <v>14</v>
      </c>
      <c r="AG787" s="282">
        <v>43731</v>
      </c>
      <c r="AH787" s="282">
        <v>43172</v>
      </c>
      <c r="AI787" s="282">
        <v>43720</v>
      </c>
      <c r="AJ787" s="282" t="s">
        <v>889</v>
      </c>
      <c r="AK787" s="274"/>
    </row>
    <row r="788" spans="1:37" x14ac:dyDescent="0.3">
      <c r="A788" s="273">
        <v>134546</v>
      </c>
      <c r="B788" s="274" t="s">
        <v>1884</v>
      </c>
      <c r="C788" s="146" t="s">
        <v>560</v>
      </c>
      <c r="D788" s="275">
        <v>45.2</v>
      </c>
      <c r="E788" s="274"/>
      <c r="F788" s="274"/>
      <c r="G788" s="274" t="s">
        <v>889</v>
      </c>
      <c r="H788" s="276">
        <v>1035.5</v>
      </c>
      <c r="I788" s="24">
        <v>103003</v>
      </c>
      <c r="J788" s="277">
        <v>45.2</v>
      </c>
      <c r="K788" s="276">
        <v>773</v>
      </c>
      <c r="L788" s="278">
        <v>15.950400492914357</v>
      </c>
      <c r="M788" s="279">
        <v>0</v>
      </c>
      <c r="N788" s="277">
        <v>0</v>
      </c>
      <c r="O788" s="280" t="s">
        <v>888</v>
      </c>
      <c r="P788" s="279">
        <v>0</v>
      </c>
      <c r="Q788" s="281">
        <v>0</v>
      </c>
      <c r="R788" s="282" t="s">
        <v>889</v>
      </c>
      <c r="S788" s="274" t="s">
        <v>1308</v>
      </c>
      <c r="T788" s="44">
        <v>1</v>
      </c>
      <c r="U788" s="283">
        <v>51</v>
      </c>
      <c r="V788" s="284">
        <v>19</v>
      </c>
      <c r="W788" s="285" t="s">
        <v>889</v>
      </c>
      <c r="X788" s="286" t="s">
        <v>889</v>
      </c>
      <c r="Y788" s="287">
        <v>0</v>
      </c>
      <c r="Z788" s="287" t="s">
        <v>889</v>
      </c>
      <c r="AA788" s="286" t="s">
        <v>889</v>
      </c>
      <c r="AB788" s="287">
        <v>0</v>
      </c>
      <c r="AC788" s="287"/>
      <c r="AD788" s="288" t="s">
        <v>889</v>
      </c>
      <c r="AE788" s="289" t="s">
        <v>889</v>
      </c>
      <c r="AF788" s="279">
        <v>260</v>
      </c>
      <c r="AG788" s="282">
        <v>45190</v>
      </c>
      <c r="AH788" s="282">
        <v>43172</v>
      </c>
      <c r="AI788" s="282">
        <v>45160</v>
      </c>
      <c r="AJ788" s="282" t="s">
        <v>889</v>
      </c>
      <c r="AK788" s="274"/>
    </row>
    <row r="789" spans="1:37" x14ac:dyDescent="0.3">
      <c r="A789" s="273">
        <v>134547</v>
      </c>
      <c r="B789" s="274" t="s">
        <v>1885</v>
      </c>
      <c r="C789" s="146" t="s">
        <v>560</v>
      </c>
      <c r="D789" s="275">
        <v>45</v>
      </c>
      <c r="E789" s="274"/>
      <c r="F789" s="274"/>
      <c r="G789" s="274" t="s">
        <v>889</v>
      </c>
      <c r="H789" s="276">
        <v>1095.44</v>
      </c>
      <c r="I789" s="24">
        <v>103003</v>
      </c>
      <c r="J789" s="277">
        <v>45</v>
      </c>
      <c r="K789" s="276">
        <v>752</v>
      </c>
      <c r="L789" s="278">
        <v>16.680980660880159</v>
      </c>
      <c r="M789" s="279">
        <v>0</v>
      </c>
      <c r="N789" s="277">
        <v>0</v>
      </c>
      <c r="O789" s="280" t="s">
        <v>888</v>
      </c>
      <c r="P789" s="279">
        <v>0</v>
      </c>
      <c r="Q789" s="281">
        <v>0</v>
      </c>
      <c r="R789" s="282" t="s">
        <v>889</v>
      </c>
      <c r="S789" s="274" t="s">
        <v>1308</v>
      </c>
      <c r="T789" s="44">
        <v>1</v>
      </c>
      <c r="U789" s="283">
        <v>51</v>
      </c>
      <c r="V789" s="284">
        <v>19</v>
      </c>
      <c r="W789" s="285" t="s">
        <v>889</v>
      </c>
      <c r="X789" s="286" t="s">
        <v>889</v>
      </c>
      <c r="Y789" s="287">
        <v>0</v>
      </c>
      <c r="Z789" s="287" t="s">
        <v>889</v>
      </c>
      <c r="AA789" s="286" t="s">
        <v>889</v>
      </c>
      <c r="AB789" s="287">
        <v>0</v>
      </c>
      <c r="AC789" s="287"/>
      <c r="AD789" s="288" t="s">
        <v>889</v>
      </c>
      <c r="AE789" s="289" t="s">
        <v>889</v>
      </c>
      <c r="AF789" s="279">
        <v>262</v>
      </c>
      <c r="AG789" s="282">
        <v>45184</v>
      </c>
      <c r="AH789" s="282">
        <v>43172</v>
      </c>
      <c r="AI789" s="282">
        <v>45160</v>
      </c>
      <c r="AJ789" s="282" t="s">
        <v>889</v>
      </c>
      <c r="AK789" s="274"/>
    </row>
    <row r="790" spans="1:37" x14ac:dyDescent="0.3">
      <c r="A790" s="273">
        <v>134548</v>
      </c>
      <c r="B790" s="274" t="s">
        <v>1886</v>
      </c>
      <c r="C790" s="146" t="s">
        <v>560</v>
      </c>
      <c r="D790" s="275">
        <v>42.3</v>
      </c>
      <c r="E790" s="274"/>
      <c r="F790" s="274"/>
      <c r="G790" s="274" t="s">
        <v>889</v>
      </c>
      <c r="H790" s="276">
        <v>3021.18</v>
      </c>
      <c r="I790" s="24">
        <v>103003</v>
      </c>
      <c r="J790" s="277">
        <v>42.3</v>
      </c>
      <c r="K790" s="276">
        <v>1364</v>
      </c>
      <c r="L790" s="278">
        <v>25.895088711751093</v>
      </c>
      <c r="M790" s="279">
        <v>0</v>
      </c>
      <c r="N790" s="277">
        <v>0</v>
      </c>
      <c r="O790" s="280" t="s">
        <v>888</v>
      </c>
      <c r="P790" s="279">
        <v>0</v>
      </c>
      <c r="Q790" s="281">
        <v>0</v>
      </c>
      <c r="R790" s="282" t="s">
        <v>889</v>
      </c>
      <c r="S790" s="274" t="s">
        <v>1308</v>
      </c>
      <c r="T790" s="44">
        <v>1</v>
      </c>
      <c r="U790" s="283">
        <v>51</v>
      </c>
      <c r="V790" s="284">
        <v>19</v>
      </c>
      <c r="W790" s="285" t="s">
        <v>889</v>
      </c>
      <c r="X790" s="286" t="s">
        <v>889</v>
      </c>
      <c r="Y790" s="287">
        <v>0</v>
      </c>
      <c r="Z790" s="287" t="s">
        <v>889</v>
      </c>
      <c r="AA790" s="286" t="s">
        <v>889</v>
      </c>
      <c r="AB790" s="287">
        <v>0</v>
      </c>
      <c r="AC790" s="287"/>
      <c r="AD790" s="288" t="s">
        <v>889</v>
      </c>
      <c r="AE790" s="289" t="s">
        <v>889</v>
      </c>
      <c r="AF790" s="279">
        <v>466</v>
      </c>
      <c r="AG790" s="282">
        <v>45201</v>
      </c>
      <c r="AH790" s="282">
        <v>43172</v>
      </c>
      <c r="AI790" s="282">
        <v>45160</v>
      </c>
      <c r="AJ790" s="282" t="s">
        <v>889</v>
      </c>
      <c r="AK790" s="274"/>
    </row>
    <row r="791" spans="1:37" x14ac:dyDescent="0.3">
      <c r="A791" s="273">
        <v>134549</v>
      </c>
      <c r="B791" s="274" t="s">
        <v>1887</v>
      </c>
      <c r="C791" s="146" t="s">
        <v>560</v>
      </c>
      <c r="D791" s="275">
        <v>44</v>
      </c>
      <c r="E791" s="274"/>
      <c r="F791" s="274"/>
      <c r="G791" s="274" t="s">
        <v>889</v>
      </c>
      <c r="H791" s="276">
        <v>1451.15</v>
      </c>
      <c r="I791" s="24">
        <v>103003</v>
      </c>
      <c r="J791" s="277">
        <v>44</v>
      </c>
      <c r="K791" s="276">
        <v>32</v>
      </c>
      <c r="L791" s="278">
        <v>543.501872659176</v>
      </c>
      <c r="M791" s="279">
        <v>0</v>
      </c>
      <c r="N791" s="277">
        <v>0</v>
      </c>
      <c r="O791" s="280" t="s">
        <v>888</v>
      </c>
      <c r="P791" s="279">
        <v>0</v>
      </c>
      <c r="Q791" s="281">
        <v>0</v>
      </c>
      <c r="R791" s="282" t="s">
        <v>889</v>
      </c>
      <c r="S791" s="274" t="s">
        <v>1308</v>
      </c>
      <c r="T791" s="44">
        <v>1</v>
      </c>
      <c r="U791" s="283">
        <v>51</v>
      </c>
      <c r="V791" s="284">
        <v>19</v>
      </c>
      <c r="W791" s="285" t="s">
        <v>889</v>
      </c>
      <c r="X791" s="286" t="s">
        <v>889</v>
      </c>
      <c r="Y791" s="287">
        <v>0</v>
      </c>
      <c r="Z791" s="287" t="s">
        <v>889</v>
      </c>
      <c r="AA791" s="286" t="s">
        <v>889</v>
      </c>
      <c r="AB791" s="287">
        <v>0</v>
      </c>
      <c r="AC791" s="287"/>
      <c r="AD791" s="288" t="s">
        <v>889</v>
      </c>
      <c r="AE791" s="289" t="s">
        <v>889</v>
      </c>
      <c r="AF791" s="279">
        <v>10</v>
      </c>
      <c r="AG791" s="282">
        <v>45201</v>
      </c>
      <c r="AH791" s="282">
        <v>43172</v>
      </c>
      <c r="AI791" s="282">
        <v>45160</v>
      </c>
      <c r="AJ791" s="282" t="s">
        <v>889</v>
      </c>
      <c r="AK791" s="274"/>
    </row>
    <row r="792" spans="1:37" x14ac:dyDescent="0.3">
      <c r="A792" s="273">
        <v>134556</v>
      </c>
      <c r="B792" s="274" t="s">
        <v>1888</v>
      </c>
      <c r="C792" s="146" t="s">
        <v>260</v>
      </c>
      <c r="D792" s="275">
        <v>40.159999999999997</v>
      </c>
      <c r="E792" s="274" t="s">
        <v>1889</v>
      </c>
      <c r="F792" s="274" t="s">
        <v>1419</v>
      </c>
      <c r="G792" s="274" t="s">
        <v>1281</v>
      </c>
      <c r="H792" s="276">
        <v>580</v>
      </c>
      <c r="I792" s="24">
        <v>103003</v>
      </c>
      <c r="J792" s="277">
        <v>40.159999999999997</v>
      </c>
      <c r="K792" s="276">
        <v>93</v>
      </c>
      <c r="L792" s="278">
        <v>74.838709677419345</v>
      </c>
      <c r="M792" s="279">
        <v>0</v>
      </c>
      <c r="N792" s="277">
        <v>0</v>
      </c>
      <c r="O792" s="280" t="s">
        <v>1282</v>
      </c>
      <c r="P792" s="279">
        <v>322</v>
      </c>
      <c r="Q792" s="281">
        <v>12931.52</v>
      </c>
      <c r="R792" s="282">
        <v>45540</v>
      </c>
      <c r="S792" s="274" t="s">
        <v>1432</v>
      </c>
      <c r="T792" s="44">
        <v>1</v>
      </c>
      <c r="U792" s="283">
        <v>74</v>
      </c>
      <c r="V792" s="284">
        <v>2</v>
      </c>
      <c r="W792" s="285" t="s">
        <v>889</v>
      </c>
      <c r="X792" s="286" t="s">
        <v>889</v>
      </c>
      <c r="Y792" s="287">
        <v>0</v>
      </c>
      <c r="Z792" s="287" t="s">
        <v>889</v>
      </c>
      <c r="AA792" s="286" t="s">
        <v>889</v>
      </c>
      <c r="AB792" s="287">
        <v>0</v>
      </c>
      <c r="AC792" s="287"/>
      <c r="AD792" s="288" t="s">
        <v>889</v>
      </c>
      <c r="AE792" s="289" t="s">
        <v>889</v>
      </c>
      <c r="AF792" s="279">
        <v>32</v>
      </c>
      <c r="AG792" s="282">
        <v>45201</v>
      </c>
      <c r="AH792" s="282">
        <v>43174</v>
      </c>
      <c r="AI792" s="282">
        <v>45203</v>
      </c>
      <c r="AJ792" s="282" t="s">
        <v>889</v>
      </c>
      <c r="AK792" s="274"/>
    </row>
    <row r="793" spans="1:37" x14ac:dyDescent="0.3">
      <c r="A793" s="273">
        <v>134558</v>
      </c>
      <c r="B793" s="274" t="s">
        <v>1890</v>
      </c>
      <c r="C793" s="146" t="s">
        <v>263</v>
      </c>
      <c r="D793" s="275">
        <v>0.25</v>
      </c>
      <c r="E793" s="274"/>
      <c r="F793" s="274"/>
      <c r="G793" s="274" t="s">
        <v>889</v>
      </c>
      <c r="H793" s="276">
        <v>17660</v>
      </c>
      <c r="I793" s="24">
        <v>103003</v>
      </c>
      <c r="J793" s="277">
        <v>0.25</v>
      </c>
      <c r="K793" s="276">
        <v>200</v>
      </c>
      <c r="L793" s="278">
        <v>1059.3881223755247</v>
      </c>
      <c r="M793" s="279">
        <v>0</v>
      </c>
      <c r="N793" s="277">
        <v>0</v>
      </c>
      <c r="O793" s="280" t="s">
        <v>888</v>
      </c>
      <c r="P793" s="279">
        <v>0</v>
      </c>
      <c r="Q793" s="281">
        <v>0</v>
      </c>
      <c r="R793" s="282" t="s">
        <v>889</v>
      </c>
      <c r="S793" s="274" t="s">
        <v>1891</v>
      </c>
      <c r="T793" s="44">
        <v>1</v>
      </c>
      <c r="U793" s="283">
        <v>70</v>
      </c>
      <c r="V793" s="284">
        <v>16</v>
      </c>
      <c r="W793" s="285" t="s">
        <v>889</v>
      </c>
      <c r="X793" s="286" t="s">
        <v>889</v>
      </c>
      <c r="Y793" s="287">
        <v>0</v>
      </c>
      <c r="Z793" s="287" t="s">
        <v>889</v>
      </c>
      <c r="AA793" s="286" t="s">
        <v>889</v>
      </c>
      <c r="AB793" s="287">
        <v>0</v>
      </c>
      <c r="AC793" s="287"/>
      <c r="AD793" s="288" t="s">
        <v>889</v>
      </c>
      <c r="AE793" s="289" t="s">
        <v>889</v>
      </c>
      <c r="AF793" s="279">
        <v>66</v>
      </c>
      <c r="AG793" s="282">
        <v>43689</v>
      </c>
      <c r="AH793" s="282">
        <v>43174</v>
      </c>
      <c r="AI793" s="282">
        <v>43683</v>
      </c>
      <c r="AJ793" s="282" t="s">
        <v>889</v>
      </c>
      <c r="AK793" s="274"/>
    </row>
    <row r="794" spans="1:37" x14ac:dyDescent="0.3">
      <c r="A794" s="273">
        <v>134559</v>
      </c>
      <c r="B794" s="274" t="s">
        <v>1892</v>
      </c>
      <c r="C794" s="146" t="s">
        <v>263</v>
      </c>
      <c r="D794" s="275">
        <v>0.6</v>
      </c>
      <c r="E794" s="274"/>
      <c r="F794" s="274"/>
      <c r="G794" s="274" t="s">
        <v>889</v>
      </c>
      <c r="H794" s="276">
        <v>14800</v>
      </c>
      <c r="I794" s="24">
        <v>103003</v>
      </c>
      <c r="J794" s="277">
        <v>0.20522000000000001</v>
      </c>
      <c r="K794" s="276">
        <v>2900</v>
      </c>
      <c r="L794" s="278">
        <v>61.240534613315674</v>
      </c>
      <c r="M794" s="279">
        <v>0</v>
      </c>
      <c r="N794" s="277">
        <v>0</v>
      </c>
      <c r="O794" s="280" t="s">
        <v>888</v>
      </c>
      <c r="P794" s="279">
        <v>0</v>
      </c>
      <c r="Q794" s="281">
        <v>0</v>
      </c>
      <c r="R794" s="282" t="s">
        <v>889</v>
      </c>
      <c r="S794" s="274" t="s">
        <v>1891</v>
      </c>
      <c r="T794" s="44">
        <v>1</v>
      </c>
      <c r="U794" s="283">
        <v>70</v>
      </c>
      <c r="V794" s="284">
        <v>16</v>
      </c>
      <c r="W794" s="285" t="s">
        <v>889</v>
      </c>
      <c r="X794" s="286" t="s">
        <v>889</v>
      </c>
      <c r="Y794" s="287">
        <v>0</v>
      </c>
      <c r="Z794" s="287" t="s">
        <v>889</v>
      </c>
      <c r="AA794" s="286" t="s">
        <v>889</v>
      </c>
      <c r="AB794" s="287">
        <v>0</v>
      </c>
      <c r="AC794" s="287"/>
      <c r="AD794" s="288" t="s">
        <v>889</v>
      </c>
      <c r="AE794" s="289" t="s">
        <v>889</v>
      </c>
      <c r="AF794" s="279">
        <v>966</v>
      </c>
      <c r="AG794" s="282">
        <v>43641</v>
      </c>
      <c r="AH794" s="282">
        <v>43174</v>
      </c>
      <c r="AI794" s="282">
        <v>43619</v>
      </c>
      <c r="AJ794" s="282" t="s">
        <v>889</v>
      </c>
      <c r="AK794" s="274"/>
    </row>
    <row r="795" spans="1:37" x14ac:dyDescent="0.3">
      <c r="A795" s="273">
        <v>134560</v>
      </c>
      <c r="B795" s="274" t="s">
        <v>1893</v>
      </c>
      <c r="C795" s="146" t="s">
        <v>263</v>
      </c>
      <c r="D795" s="275">
        <v>7.08</v>
      </c>
      <c r="E795" s="274"/>
      <c r="F795" s="274"/>
      <c r="G795" s="274" t="s">
        <v>889</v>
      </c>
      <c r="H795" s="276">
        <v>0</v>
      </c>
      <c r="I795" s="24">
        <v>103003</v>
      </c>
      <c r="J795" s="277">
        <v>7.08</v>
      </c>
      <c r="K795" s="276">
        <v>470</v>
      </c>
      <c r="L795" s="278">
        <v>0</v>
      </c>
      <c r="M795" s="279">
        <v>530.04</v>
      </c>
      <c r="N795" s="277">
        <v>3752.6831999999999</v>
      </c>
      <c r="O795" s="280" t="s">
        <v>888</v>
      </c>
      <c r="P795" s="279">
        <v>0</v>
      </c>
      <c r="Q795" s="281">
        <v>0</v>
      </c>
      <c r="R795" s="282" t="s">
        <v>889</v>
      </c>
      <c r="S795" s="274" t="s">
        <v>1304</v>
      </c>
      <c r="T795" s="44">
        <v>1</v>
      </c>
      <c r="U795" s="283">
        <v>70</v>
      </c>
      <c r="V795" s="284">
        <v>30</v>
      </c>
      <c r="W795" s="285" t="s">
        <v>889</v>
      </c>
      <c r="X795" s="286" t="s">
        <v>889</v>
      </c>
      <c r="Y795" s="287">
        <v>0</v>
      </c>
      <c r="Z795" s="287" t="s">
        <v>889</v>
      </c>
      <c r="AA795" s="286" t="s">
        <v>889</v>
      </c>
      <c r="AB795" s="287">
        <v>0</v>
      </c>
      <c r="AC795" s="287"/>
      <c r="AD795" s="288" t="s">
        <v>889</v>
      </c>
      <c r="AE795" s="289" t="s">
        <v>889</v>
      </c>
      <c r="AF795" s="279">
        <v>176</v>
      </c>
      <c r="AG795" s="282">
        <v>44944</v>
      </c>
      <c r="AH795" s="282">
        <v>43174</v>
      </c>
      <c r="AI795" s="282">
        <v>44915</v>
      </c>
      <c r="AJ795" s="282" t="s">
        <v>889</v>
      </c>
      <c r="AK795" s="274"/>
    </row>
    <row r="796" spans="1:37" x14ac:dyDescent="0.3">
      <c r="A796" s="273">
        <v>134561</v>
      </c>
      <c r="B796" s="274" t="s">
        <v>1894</v>
      </c>
      <c r="C796" s="146" t="s">
        <v>269</v>
      </c>
      <c r="D796" s="275">
        <v>17.72</v>
      </c>
      <c r="E796" s="274"/>
      <c r="F796" s="274"/>
      <c r="G796" s="274" t="s">
        <v>889</v>
      </c>
      <c r="H796" s="276">
        <v>390</v>
      </c>
      <c r="I796" s="24">
        <v>103003</v>
      </c>
      <c r="J796" s="277">
        <v>17.72</v>
      </c>
      <c r="K796" s="276">
        <v>44</v>
      </c>
      <c r="L796" s="278">
        <v>108.93854748603351</v>
      </c>
      <c r="M796" s="279">
        <v>0</v>
      </c>
      <c r="N796" s="277">
        <v>0</v>
      </c>
      <c r="O796" s="280" t="s">
        <v>888</v>
      </c>
      <c r="P796" s="279">
        <v>0</v>
      </c>
      <c r="Q796" s="281">
        <v>0</v>
      </c>
      <c r="R796" s="282" t="s">
        <v>889</v>
      </c>
      <c r="S796" s="274" t="s">
        <v>1527</v>
      </c>
      <c r="T796" s="44">
        <v>1</v>
      </c>
      <c r="U796" s="283">
        <v>67</v>
      </c>
      <c r="V796" s="284">
        <v>3</v>
      </c>
      <c r="W796" s="285" t="s">
        <v>889</v>
      </c>
      <c r="X796" s="286" t="s">
        <v>889</v>
      </c>
      <c r="Y796" s="287">
        <v>0</v>
      </c>
      <c r="Z796" s="287" t="s">
        <v>889</v>
      </c>
      <c r="AA796" s="286" t="s">
        <v>889</v>
      </c>
      <c r="AB796" s="287">
        <v>0</v>
      </c>
      <c r="AC796" s="287"/>
      <c r="AD796" s="288" t="s">
        <v>889</v>
      </c>
      <c r="AE796" s="289" t="s">
        <v>889</v>
      </c>
      <c r="AF796" s="279">
        <v>14</v>
      </c>
      <c r="AG796" s="282">
        <v>43853</v>
      </c>
      <c r="AH796" s="282">
        <v>43174</v>
      </c>
      <c r="AI796" s="282">
        <v>45175</v>
      </c>
      <c r="AJ796" s="282" t="s">
        <v>889</v>
      </c>
      <c r="AK796" s="274"/>
    </row>
    <row r="797" spans="1:37" x14ac:dyDescent="0.3">
      <c r="A797" s="273">
        <v>134562</v>
      </c>
      <c r="B797" s="274" t="s">
        <v>1895</v>
      </c>
      <c r="C797" s="146" t="s">
        <v>269</v>
      </c>
      <c r="D797" s="275">
        <v>19.38</v>
      </c>
      <c r="E797" s="274"/>
      <c r="F797" s="274"/>
      <c r="G797" s="274" t="s">
        <v>889</v>
      </c>
      <c r="H797" s="276">
        <v>396</v>
      </c>
      <c r="I797" s="24">
        <v>103003</v>
      </c>
      <c r="J797" s="277">
        <v>19.38</v>
      </c>
      <c r="K797" s="276">
        <v>56</v>
      </c>
      <c r="L797" s="278">
        <v>84.796573875803006</v>
      </c>
      <c r="M797" s="279">
        <v>0</v>
      </c>
      <c r="N797" s="277">
        <v>0</v>
      </c>
      <c r="O797" s="280" t="s">
        <v>888</v>
      </c>
      <c r="P797" s="279">
        <v>0</v>
      </c>
      <c r="Q797" s="281">
        <v>0</v>
      </c>
      <c r="R797" s="282" t="s">
        <v>889</v>
      </c>
      <c r="S797" s="274" t="s">
        <v>1527</v>
      </c>
      <c r="T797" s="44">
        <v>1</v>
      </c>
      <c r="U797" s="283">
        <v>67</v>
      </c>
      <c r="V797" s="284">
        <v>3</v>
      </c>
      <c r="W797" s="285" t="s">
        <v>889</v>
      </c>
      <c r="X797" s="286" t="s">
        <v>889</v>
      </c>
      <c r="Y797" s="287">
        <v>0</v>
      </c>
      <c r="Z797" s="287" t="s">
        <v>889</v>
      </c>
      <c r="AA797" s="286" t="s">
        <v>889</v>
      </c>
      <c r="AB797" s="287">
        <v>0</v>
      </c>
      <c r="AC797" s="287"/>
      <c r="AD797" s="288" t="s">
        <v>889</v>
      </c>
      <c r="AE797" s="289" t="s">
        <v>889</v>
      </c>
      <c r="AF797" s="279">
        <v>18</v>
      </c>
      <c r="AG797" s="282">
        <v>43853</v>
      </c>
      <c r="AH797" s="282">
        <v>43174</v>
      </c>
      <c r="AI797" s="282">
        <v>45175</v>
      </c>
      <c r="AJ797" s="282" t="s">
        <v>889</v>
      </c>
      <c r="AK797" s="274"/>
    </row>
    <row r="798" spans="1:37" x14ac:dyDescent="0.3">
      <c r="A798" s="273">
        <v>134563</v>
      </c>
      <c r="B798" s="274" t="s">
        <v>1896</v>
      </c>
      <c r="C798" s="146" t="s">
        <v>269</v>
      </c>
      <c r="D798" s="275">
        <v>13</v>
      </c>
      <c r="E798" s="274"/>
      <c r="F798" s="274"/>
      <c r="G798" s="274" t="s">
        <v>889</v>
      </c>
      <c r="H798" s="276">
        <v>364</v>
      </c>
      <c r="I798" s="24">
        <v>103003</v>
      </c>
      <c r="J798" s="277">
        <v>13</v>
      </c>
      <c r="K798" s="276">
        <v>124</v>
      </c>
      <c r="L798" s="278">
        <v>32.587287376902417</v>
      </c>
      <c r="M798" s="279">
        <v>0</v>
      </c>
      <c r="N798" s="277">
        <v>0</v>
      </c>
      <c r="O798" s="280" t="s">
        <v>888</v>
      </c>
      <c r="P798" s="279">
        <v>0</v>
      </c>
      <c r="Q798" s="281">
        <v>0</v>
      </c>
      <c r="R798" s="282" t="s">
        <v>889</v>
      </c>
      <c r="S798" s="274" t="s">
        <v>1527</v>
      </c>
      <c r="T798" s="44">
        <v>1</v>
      </c>
      <c r="U798" s="283">
        <v>67</v>
      </c>
      <c r="V798" s="284">
        <v>3</v>
      </c>
      <c r="W798" s="285" t="s">
        <v>889</v>
      </c>
      <c r="X798" s="286" t="s">
        <v>889</v>
      </c>
      <c r="Y798" s="287">
        <v>0</v>
      </c>
      <c r="Z798" s="287" t="s">
        <v>889</v>
      </c>
      <c r="AA798" s="286" t="s">
        <v>889</v>
      </c>
      <c r="AB798" s="287">
        <v>0</v>
      </c>
      <c r="AC798" s="287"/>
      <c r="AD798" s="288" t="s">
        <v>889</v>
      </c>
      <c r="AE798" s="289" t="s">
        <v>889</v>
      </c>
      <c r="AF798" s="279">
        <v>44</v>
      </c>
      <c r="AG798" s="282">
        <v>45201</v>
      </c>
      <c r="AH798" s="282">
        <v>43174</v>
      </c>
      <c r="AI798" s="282">
        <v>45189</v>
      </c>
      <c r="AJ798" s="282" t="s">
        <v>889</v>
      </c>
      <c r="AK798" s="274"/>
    </row>
    <row r="799" spans="1:37" x14ac:dyDescent="0.3">
      <c r="A799" s="273">
        <v>134564</v>
      </c>
      <c r="B799" s="274" t="s">
        <v>1897</v>
      </c>
      <c r="C799" s="146" t="s">
        <v>269</v>
      </c>
      <c r="D799" s="275">
        <v>29</v>
      </c>
      <c r="E799" s="274"/>
      <c r="F799" s="274"/>
      <c r="G799" s="274" t="s">
        <v>889</v>
      </c>
      <c r="H799" s="276">
        <v>258</v>
      </c>
      <c r="I799" s="24">
        <v>103003</v>
      </c>
      <c r="J799" s="277">
        <v>29</v>
      </c>
      <c r="K799" s="276">
        <v>46</v>
      </c>
      <c r="L799" s="278">
        <v>65.816326530612244</v>
      </c>
      <c r="M799" s="279">
        <v>0</v>
      </c>
      <c r="N799" s="277">
        <v>0</v>
      </c>
      <c r="O799" s="280" t="s">
        <v>888</v>
      </c>
      <c r="P799" s="279">
        <v>0</v>
      </c>
      <c r="Q799" s="281">
        <v>0</v>
      </c>
      <c r="R799" s="282" t="s">
        <v>889</v>
      </c>
      <c r="S799" s="274" t="s">
        <v>1527</v>
      </c>
      <c r="T799" s="44">
        <v>1</v>
      </c>
      <c r="U799" s="283">
        <v>67</v>
      </c>
      <c r="V799" s="284">
        <v>3</v>
      </c>
      <c r="W799" s="285" t="s">
        <v>889</v>
      </c>
      <c r="X799" s="286" t="s">
        <v>889</v>
      </c>
      <c r="Y799" s="287">
        <v>0</v>
      </c>
      <c r="Z799" s="287" t="s">
        <v>889</v>
      </c>
      <c r="AA799" s="286" t="s">
        <v>889</v>
      </c>
      <c r="AB799" s="287">
        <v>0</v>
      </c>
      <c r="AC799" s="287"/>
      <c r="AD799" s="288" t="s">
        <v>889</v>
      </c>
      <c r="AE799" s="289" t="s">
        <v>889</v>
      </c>
      <c r="AF799" s="279">
        <v>16</v>
      </c>
      <c r="AG799" s="282">
        <v>45201</v>
      </c>
      <c r="AH799" s="282">
        <v>43174</v>
      </c>
      <c r="AI799" s="282">
        <v>45189</v>
      </c>
      <c r="AJ799" s="282" t="s">
        <v>889</v>
      </c>
      <c r="AK799" s="274"/>
    </row>
    <row r="800" spans="1:37" x14ac:dyDescent="0.3">
      <c r="A800" s="273">
        <v>134565</v>
      </c>
      <c r="B800" s="274" t="s">
        <v>1898</v>
      </c>
      <c r="C800" s="146" t="s">
        <v>269</v>
      </c>
      <c r="D800" s="275">
        <v>22.1</v>
      </c>
      <c r="E800" s="274"/>
      <c r="F800" s="274"/>
      <c r="G800" s="274" t="s">
        <v>889</v>
      </c>
      <c r="H800" s="276">
        <v>229</v>
      </c>
      <c r="I800" s="24">
        <v>103003</v>
      </c>
      <c r="J800" s="277">
        <v>22.1</v>
      </c>
      <c r="K800" s="276">
        <v>44</v>
      </c>
      <c r="L800" s="278">
        <v>61.066666666666663</v>
      </c>
      <c r="M800" s="279">
        <v>0</v>
      </c>
      <c r="N800" s="277">
        <v>0</v>
      </c>
      <c r="O800" s="280" t="s">
        <v>888</v>
      </c>
      <c r="P800" s="279">
        <v>0</v>
      </c>
      <c r="Q800" s="281">
        <v>0</v>
      </c>
      <c r="R800" s="282" t="s">
        <v>889</v>
      </c>
      <c r="S800" s="274" t="s">
        <v>1527</v>
      </c>
      <c r="T800" s="44">
        <v>1</v>
      </c>
      <c r="U800" s="283">
        <v>67</v>
      </c>
      <c r="V800" s="284">
        <v>3</v>
      </c>
      <c r="W800" s="285" t="s">
        <v>889</v>
      </c>
      <c r="X800" s="286" t="s">
        <v>889</v>
      </c>
      <c r="Y800" s="287">
        <v>0</v>
      </c>
      <c r="Z800" s="287" t="s">
        <v>889</v>
      </c>
      <c r="AA800" s="286" t="s">
        <v>889</v>
      </c>
      <c r="AB800" s="287">
        <v>0</v>
      </c>
      <c r="AC800" s="287"/>
      <c r="AD800" s="288" t="s">
        <v>889</v>
      </c>
      <c r="AE800" s="289" t="s">
        <v>889</v>
      </c>
      <c r="AF800" s="279">
        <v>16</v>
      </c>
      <c r="AG800" s="282">
        <v>43998</v>
      </c>
      <c r="AH800" s="282">
        <v>43174</v>
      </c>
      <c r="AI800" s="282">
        <v>45175</v>
      </c>
      <c r="AJ800" s="282" t="s">
        <v>889</v>
      </c>
      <c r="AK800" s="274"/>
    </row>
    <row r="801" spans="1:37" x14ac:dyDescent="0.3">
      <c r="A801" s="273">
        <v>134566</v>
      </c>
      <c r="B801" s="274" t="s">
        <v>1899</v>
      </c>
      <c r="C801" s="146" t="s">
        <v>263</v>
      </c>
      <c r="D801" s="275">
        <v>0.23</v>
      </c>
      <c r="E801" s="274"/>
      <c r="F801" s="274"/>
      <c r="G801" s="274" t="s">
        <v>889</v>
      </c>
      <c r="H801" s="276">
        <v>19783</v>
      </c>
      <c r="I801" s="24">
        <v>103003</v>
      </c>
      <c r="J801" s="277">
        <v>0.23</v>
      </c>
      <c r="K801" s="276">
        <v>1562</v>
      </c>
      <c r="L801" s="278">
        <v>147.44726839084743</v>
      </c>
      <c r="M801" s="279">
        <v>0</v>
      </c>
      <c r="N801" s="277">
        <v>0</v>
      </c>
      <c r="O801" s="280" t="s">
        <v>888</v>
      </c>
      <c r="P801" s="279">
        <v>0</v>
      </c>
      <c r="Q801" s="281">
        <v>0</v>
      </c>
      <c r="R801" s="282" t="s">
        <v>889</v>
      </c>
      <c r="S801" s="274" t="s">
        <v>1451</v>
      </c>
      <c r="T801" s="44">
        <v>1</v>
      </c>
      <c r="U801" s="283">
        <v>67</v>
      </c>
      <c r="V801" s="284">
        <v>18</v>
      </c>
      <c r="W801" s="285" t="s">
        <v>889</v>
      </c>
      <c r="X801" s="286" t="s">
        <v>889</v>
      </c>
      <c r="Y801" s="287">
        <v>0</v>
      </c>
      <c r="Z801" s="287" t="s">
        <v>889</v>
      </c>
      <c r="AA801" s="286" t="s">
        <v>889</v>
      </c>
      <c r="AB801" s="287">
        <v>0</v>
      </c>
      <c r="AC801" s="287"/>
      <c r="AD801" s="288" t="s">
        <v>889</v>
      </c>
      <c r="AE801" s="289" t="s">
        <v>889</v>
      </c>
      <c r="AF801" s="279">
        <v>536</v>
      </c>
      <c r="AG801" s="282">
        <v>43857</v>
      </c>
      <c r="AH801" s="282">
        <v>43174</v>
      </c>
      <c r="AI801" s="282">
        <v>43826</v>
      </c>
      <c r="AJ801" s="282" t="s">
        <v>889</v>
      </c>
      <c r="AK801" s="274"/>
    </row>
    <row r="802" spans="1:37" x14ac:dyDescent="0.3">
      <c r="A802" s="273">
        <v>134567</v>
      </c>
      <c r="B802" s="274" t="s">
        <v>1900</v>
      </c>
      <c r="C802" s="146" t="s">
        <v>263</v>
      </c>
      <c r="D802" s="275">
        <v>0.06</v>
      </c>
      <c r="E802" s="274"/>
      <c r="F802" s="274"/>
      <c r="G802" s="274" t="s">
        <v>889</v>
      </c>
      <c r="H802" s="276">
        <v>14107</v>
      </c>
      <c r="I802" s="24">
        <v>103003</v>
      </c>
      <c r="J802" s="277">
        <v>0.06</v>
      </c>
      <c r="K802" s="276">
        <v>5800</v>
      </c>
      <c r="L802" s="278">
        <v>27.787736127799555</v>
      </c>
      <c r="M802" s="279">
        <v>0</v>
      </c>
      <c r="N802" s="277">
        <v>0</v>
      </c>
      <c r="O802" s="280" t="s">
        <v>888</v>
      </c>
      <c r="P802" s="279">
        <v>0</v>
      </c>
      <c r="Q802" s="281">
        <v>0</v>
      </c>
      <c r="R802" s="282" t="s">
        <v>889</v>
      </c>
      <c r="S802" s="274" t="s">
        <v>1018</v>
      </c>
      <c r="T802" s="44">
        <v>1</v>
      </c>
      <c r="U802" s="283">
        <v>67</v>
      </c>
      <c r="V802" s="284">
        <v>9</v>
      </c>
      <c r="W802" s="285" t="s">
        <v>889</v>
      </c>
      <c r="X802" s="286" t="s">
        <v>889</v>
      </c>
      <c r="Y802" s="287">
        <v>0</v>
      </c>
      <c r="Z802" s="287" t="s">
        <v>889</v>
      </c>
      <c r="AA802" s="286" t="s">
        <v>889</v>
      </c>
      <c r="AB802" s="287">
        <v>0</v>
      </c>
      <c r="AC802" s="287"/>
      <c r="AD802" s="288" t="s">
        <v>889</v>
      </c>
      <c r="AE802" s="289" t="s">
        <v>889</v>
      </c>
      <c r="AF802" s="279">
        <v>2030</v>
      </c>
      <c r="AG802" s="282">
        <v>43847</v>
      </c>
      <c r="AH802" s="282">
        <v>43174</v>
      </c>
      <c r="AI802" s="282">
        <v>43826</v>
      </c>
      <c r="AJ802" s="282" t="s">
        <v>889</v>
      </c>
      <c r="AK802" s="274"/>
    </row>
    <row r="803" spans="1:37" x14ac:dyDescent="0.3">
      <c r="A803" s="273">
        <v>134568</v>
      </c>
      <c r="B803" s="274" t="s">
        <v>1901</v>
      </c>
      <c r="C803" s="146" t="s">
        <v>263</v>
      </c>
      <c r="D803" s="275">
        <v>0.08</v>
      </c>
      <c r="E803" s="274"/>
      <c r="F803" s="274"/>
      <c r="G803" s="274" t="s">
        <v>889</v>
      </c>
      <c r="H803" s="276">
        <v>6706</v>
      </c>
      <c r="I803" s="24">
        <v>103003</v>
      </c>
      <c r="J803" s="277">
        <v>0.08</v>
      </c>
      <c r="K803" s="276">
        <v>6260</v>
      </c>
      <c r="L803" s="278">
        <v>12.266998371961147</v>
      </c>
      <c r="M803" s="279">
        <v>0</v>
      </c>
      <c r="N803" s="277">
        <v>0</v>
      </c>
      <c r="O803" s="280" t="s">
        <v>888</v>
      </c>
      <c r="P803" s="279">
        <v>0</v>
      </c>
      <c r="Q803" s="281">
        <v>0</v>
      </c>
      <c r="R803" s="282" t="s">
        <v>889</v>
      </c>
      <c r="S803" s="274" t="s">
        <v>1018</v>
      </c>
      <c r="T803" s="44">
        <v>1</v>
      </c>
      <c r="U803" s="283">
        <v>67</v>
      </c>
      <c r="V803" s="284">
        <v>9</v>
      </c>
      <c r="W803" s="285" t="s">
        <v>889</v>
      </c>
      <c r="X803" s="286" t="s">
        <v>889</v>
      </c>
      <c r="Y803" s="287">
        <v>0</v>
      </c>
      <c r="Z803" s="287" t="s">
        <v>889</v>
      </c>
      <c r="AA803" s="286" t="s">
        <v>889</v>
      </c>
      <c r="AB803" s="287">
        <v>0</v>
      </c>
      <c r="AC803" s="287"/>
      <c r="AD803" s="288" t="s">
        <v>889</v>
      </c>
      <c r="AE803" s="289" t="s">
        <v>889</v>
      </c>
      <c r="AF803" s="279">
        <v>2186</v>
      </c>
      <c r="AG803" s="282">
        <v>43837</v>
      </c>
      <c r="AH803" s="282">
        <v>43174</v>
      </c>
      <c r="AI803" s="282">
        <v>43797</v>
      </c>
      <c r="AJ803" s="282" t="s">
        <v>889</v>
      </c>
      <c r="AK803" s="274"/>
    </row>
    <row r="804" spans="1:37" x14ac:dyDescent="0.3">
      <c r="A804" s="273">
        <v>134569</v>
      </c>
      <c r="B804" s="274" t="s">
        <v>1902</v>
      </c>
      <c r="C804" s="146" t="s">
        <v>436</v>
      </c>
      <c r="D804" s="275">
        <v>19</v>
      </c>
      <c r="E804" s="274"/>
      <c r="F804" s="274"/>
      <c r="G804" s="274" t="s">
        <v>889</v>
      </c>
      <c r="H804" s="276">
        <v>100</v>
      </c>
      <c r="I804" s="24">
        <v>103003</v>
      </c>
      <c r="J804" s="277">
        <v>19</v>
      </c>
      <c r="K804" s="276">
        <v>279</v>
      </c>
      <c r="L804" s="278">
        <v>4.301075268817204</v>
      </c>
      <c r="M804" s="279">
        <v>179</v>
      </c>
      <c r="N804" s="277">
        <v>3401</v>
      </c>
      <c r="O804" s="280" t="s">
        <v>888</v>
      </c>
      <c r="P804" s="279">
        <v>0</v>
      </c>
      <c r="Q804" s="281">
        <v>0</v>
      </c>
      <c r="R804" s="282" t="s">
        <v>889</v>
      </c>
      <c r="S804" s="274" t="s">
        <v>1076</v>
      </c>
      <c r="T804" s="44">
        <v>1</v>
      </c>
      <c r="U804" s="283">
        <v>78</v>
      </c>
      <c r="V804" s="284">
        <v>2</v>
      </c>
      <c r="W804" s="285" t="s">
        <v>889</v>
      </c>
      <c r="X804" s="286" t="s">
        <v>889</v>
      </c>
      <c r="Y804" s="287">
        <v>0</v>
      </c>
      <c r="Z804" s="287" t="s">
        <v>889</v>
      </c>
      <c r="AA804" s="286" t="s">
        <v>889</v>
      </c>
      <c r="AB804" s="287">
        <v>0</v>
      </c>
      <c r="AC804" s="287"/>
      <c r="AD804" s="288" t="s">
        <v>889</v>
      </c>
      <c r="AE804" s="289" t="s">
        <v>889</v>
      </c>
      <c r="AF804" s="279">
        <v>94</v>
      </c>
      <c r="AG804" s="282">
        <v>45209</v>
      </c>
      <c r="AH804" s="282">
        <v>43174</v>
      </c>
      <c r="AI804" s="282">
        <v>45189</v>
      </c>
      <c r="AJ804" s="282" t="s">
        <v>889</v>
      </c>
      <c r="AK804" s="274"/>
    </row>
    <row r="805" spans="1:37" x14ac:dyDescent="0.3">
      <c r="A805" s="273">
        <v>134570</v>
      </c>
      <c r="B805" s="274" t="s">
        <v>1903</v>
      </c>
      <c r="C805" s="146" t="s">
        <v>263</v>
      </c>
      <c r="D805" s="275">
        <v>3.04</v>
      </c>
      <c r="E805" s="274"/>
      <c r="F805" s="274"/>
      <c r="G805" s="274" t="s">
        <v>889</v>
      </c>
      <c r="H805" s="276">
        <v>0</v>
      </c>
      <c r="I805" s="24">
        <v>103003</v>
      </c>
      <c r="J805" s="277">
        <v>3.04</v>
      </c>
      <c r="K805" s="276">
        <v>106</v>
      </c>
      <c r="L805" s="278">
        <v>0</v>
      </c>
      <c r="M805" s="279">
        <v>105.96</v>
      </c>
      <c r="N805" s="277">
        <v>322.11840000000001</v>
      </c>
      <c r="O805" s="280" t="s">
        <v>888</v>
      </c>
      <c r="P805" s="279">
        <v>0</v>
      </c>
      <c r="Q805" s="281">
        <v>0</v>
      </c>
      <c r="R805" s="282" t="s">
        <v>889</v>
      </c>
      <c r="S805" s="274" t="s">
        <v>1904</v>
      </c>
      <c r="T805" s="44">
        <v>1</v>
      </c>
      <c r="U805" s="283">
        <v>70</v>
      </c>
      <c r="V805" s="284">
        <v>25</v>
      </c>
      <c r="W805" s="285" t="s">
        <v>889</v>
      </c>
      <c r="X805" s="286" t="s">
        <v>889</v>
      </c>
      <c r="Y805" s="287">
        <v>0</v>
      </c>
      <c r="Z805" s="287" t="s">
        <v>889</v>
      </c>
      <c r="AA805" s="286" t="s">
        <v>889</v>
      </c>
      <c r="AB805" s="287">
        <v>0</v>
      </c>
      <c r="AC805" s="287"/>
      <c r="AD805" s="288" t="s">
        <v>889</v>
      </c>
      <c r="AE805" s="289" t="s">
        <v>889</v>
      </c>
      <c r="AF805" s="279">
        <v>36</v>
      </c>
      <c r="AG805" s="282">
        <v>44550</v>
      </c>
      <c r="AH805" s="282">
        <v>43174</v>
      </c>
      <c r="AI805" s="282">
        <v>44536</v>
      </c>
      <c r="AJ805" s="282" t="s">
        <v>889</v>
      </c>
      <c r="AK805" s="274"/>
    </row>
    <row r="806" spans="1:37" x14ac:dyDescent="0.3">
      <c r="A806" s="273">
        <v>134581</v>
      </c>
      <c r="B806" s="274" t="s">
        <v>1905</v>
      </c>
      <c r="C806" s="146" t="s">
        <v>263</v>
      </c>
      <c r="D806" s="275">
        <v>94.93</v>
      </c>
      <c r="E806" s="274"/>
      <c r="F806" s="274"/>
      <c r="G806" s="274" t="s">
        <v>889</v>
      </c>
      <c r="H806" s="276">
        <v>10</v>
      </c>
      <c r="I806" s="24">
        <v>103003</v>
      </c>
      <c r="J806" s="277">
        <v>94.93</v>
      </c>
      <c r="K806" s="276">
        <v>63</v>
      </c>
      <c r="L806" s="278">
        <v>1.9342359767891684</v>
      </c>
      <c r="M806" s="279">
        <v>52.04</v>
      </c>
      <c r="N806" s="277">
        <v>4940.1571999999996</v>
      </c>
      <c r="O806" s="280" t="s">
        <v>888</v>
      </c>
      <c r="P806" s="279">
        <v>0</v>
      </c>
      <c r="Q806" s="281">
        <v>0</v>
      </c>
      <c r="R806" s="282" t="s">
        <v>889</v>
      </c>
      <c r="S806" s="274" t="s">
        <v>1015</v>
      </c>
      <c r="T806" s="44">
        <v>1</v>
      </c>
      <c r="U806" s="283">
        <v>61</v>
      </c>
      <c r="V806" s="284">
        <v>14</v>
      </c>
      <c r="W806" s="285" t="s">
        <v>889</v>
      </c>
      <c r="X806" s="286" t="s">
        <v>889</v>
      </c>
      <c r="Y806" s="287">
        <v>0</v>
      </c>
      <c r="Z806" s="287" t="s">
        <v>889</v>
      </c>
      <c r="AA806" s="286" t="s">
        <v>889</v>
      </c>
      <c r="AB806" s="287">
        <v>0</v>
      </c>
      <c r="AC806" s="287"/>
      <c r="AD806" s="288" t="s">
        <v>889</v>
      </c>
      <c r="AE806" s="289" t="s">
        <v>889</v>
      </c>
      <c r="AF806" s="279">
        <v>20</v>
      </c>
      <c r="AG806" s="282">
        <v>45189</v>
      </c>
      <c r="AH806" s="282">
        <v>43174</v>
      </c>
      <c r="AI806" s="282">
        <v>45145</v>
      </c>
      <c r="AJ806" s="282" t="s">
        <v>889</v>
      </c>
      <c r="AK806" s="274"/>
    </row>
    <row r="807" spans="1:37" x14ac:dyDescent="0.3">
      <c r="A807" s="273">
        <v>134582</v>
      </c>
      <c r="B807" s="274" t="s">
        <v>1906</v>
      </c>
      <c r="C807" s="146" t="s">
        <v>263</v>
      </c>
      <c r="D807" s="275">
        <v>66.45</v>
      </c>
      <c r="E807" s="274"/>
      <c r="F807" s="274"/>
      <c r="G807" s="274" t="s">
        <v>889</v>
      </c>
      <c r="H807" s="276">
        <v>57</v>
      </c>
      <c r="I807" s="24">
        <v>103003</v>
      </c>
      <c r="J807" s="277">
        <v>66.45</v>
      </c>
      <c r="K807" s="276">
        <v>69</v>
      </c>
      <c r="L807" s="278">
        <v>7.0544554455445549</v>
      </c>
      <c r="M807" s="279">
        <v>39.96</v>
      </c>
      <c r="N807" s="277">
        <v>2655.3420000000001</v>
      </c>
      <c r="O807" s="280" t="s">
        <v>888</v>
      </c>
      <c r="P807" s="279">
        <v>0</v>
      </c>
      <c r="Q807" s="281">
        <v>0</v>
      </c>
      <c r="R807" s="282" t="s">
        <v>889</v>
      </c>
      <c r="S807" s="274" t="s">
        <v>1015</v>
      </c>
      <c r="T807" s="44">
        <v>1</v>
      </c>
      <c r="U807" s="283">
        <v>61</v>
      </c>
      <c r="V807" s="284">
        <v>14</v>
      </c>
      <c r="W807" s="285" t="s">
        <v>889</v>
      </c>
      <c r="X807" s="286" t="s">
        <v>889</v>
      </c>
      <c r="Y807" s="287">
        <v>0</v>
      </c>
      <c r="Z807" s="287" t="s">
        <v>889</v>
      </c>
      <c r="AA807" s="286" t="s">
        <v>889</v>
      </c>
      <c r="AB807" s="287">
        <v>0</v>
      </c>
      <c r="AC807" s="287"/>
      <c r="AD807" s="288" t="s">
        <v>889</v>
      </c>
      <c r="AE807" s="289" t="s">
        <v>889</v>
      </c>
      <c r="AF807" s="279">
        <v>32</v>
      </c>
      <c r="AG807" s="282">
        <v>45189</v>
      </c>
      <c r="AH807" s="282">
        <v>43174</v>
      </c>
      <c r="AI807" s="282">
        <v>45145</v>
      </c>
      <c r="AJ807" s="282" t="s">
        <v>889</v>
      </c>
      <c r="AK807" s="274"/>
    </row>
    <row r="808" spans="1:37" x14ac:dyDescent="0.3">
      <c r="A808" s="273">
        <v>135013</v>
      </c>
      <c r="B808" s="274" t="s">
        <v>1907</v>
      </c>
      <c r="C808" s="146" t="s">
        <v>436</v>
      </c>
      <c r="D808" s="275">
        <v>51.52</v>
      </c>
      <c r="E808" s="274"/>
      <c r="F808" s="274"/>
      <c r="G808" s="274" t="s">
        <v>889</v>
      </c>
      <c r="H808" s="276">
        <v>1</v>
      </c>
      <c r="I808" s="24">
        <v>103003</v>
      </c>
      <c r="J808" s="277">
        <v>51.52</v>
      </c>
      <c r="K808" s="276"/>
      <c r="L808" s="278">
        <v>0</v>
      </c>
      <c r="M808" s="279">
        <v>0</v>
      </c>
      <c r="N808" s="277">
        <v>0</v>
      </c>
      <c r="O808" s="280" t="s">
        <v>888</v>
      </c>
      <c r="P808" s="279">
        <v>0</v>
      </c>
      <c r="Q808" s="281">
        <v>0</v>
      </c>
      <c r="R808" s="282" t="s">
        <v>889</v>
      </c>
      <c r="S808" s="274" t="s">
        <v>1492</v>
      </c>
      <c r="T808" s="44">
        <v>1</v>
      </c>
      <c r="U808" s="283">
        <v>54</v>
      </c>
      <c r="V808" s="284">
        <v>4</v>
      </c>
      <c r="W808" s="285" t="s">
        <v>889</v>
      </c>
      <c r="X808" s="286" t="s">
        <v>889</v>
      </c>
      <c r="Y808" s="287">
        <v>0</v>
      </c>
      <c r="Z808" s="287" t="s">
        <v>889</v>
      </c>
      <c r="AA808" s="286" t="s">
        <v>889</v>
      </c>
      <c r="AB808" s="287">
        <v>0</v>
      </c>
      <c r="AC808" s="287"/>
      <c r="AD808" s="288" t="s">
        <v>889</v>
      </c>
      <c r="AE808" s="289" t="s">
        <v>889</v>
      </c>
      <c r="AF808" s="279">
        <v>0</v>
      </c>
      <c r="AG808" s="282">
        <v>43818</v>
      </c>
      <c r="AH808" s="282">
        <v>43235</v>
      </c>
      <c r="AI808" s="282">
        <v>43780</v>
      </c>
      <c r="AJ808" s="282" t="s">
        <v>889</v>
      </c>
      <c r="AK808" s="274"/>
    </row>
    <row r="809" spans="1:37" x14ac:dyDescent="0.3">
      <c r="A809" s="273">
        <v>135014</v>
      </c>
      <c r="B809" s="274" t="s">
        <v>1908</v>
      </c>
      <c r="C809" s="146" t="s">
        <v>436</v>
      </c>
      <c r="D809" s="275">
        <v>51.52</v>
      </c>
      <c r="E809" s="274"/>
      <c r="F809" s="274"/>
      <c r="G809" s="274" t="s">
        <v>889</v>
      </c>
      <c r="H809" s="276">
        <v>0</v>
      </c>
      <c r="I809" s="24">
        <v>103003</v>
      </c>
      <c r="J809" s="277">
        <v>51.52</v>
      </c>
      <c r="K809" s="276">
        <v>4</v>
      </c>
      <c r="L809" s="278">
        <v>0</v>
      </c>
      <c r="M809" s="279">
        <v>3.96</v>
      </c>
      <c r="N809" s="277">
        <v>204.01920000000001</v>
      </c>
      <c r="O809" s="280" t="s">
        <v>888</v>
      </c>
      <c r="P809" s="279">
        <v>0</v>
      </c>
      <c r="Q809" s="281">
        <v>0</v>
      </c>
      <c r="R809" s="282" t="s">
        <v>889</v>
      </c>
      <c r="S809" s="274" t="s">
        <v>1492</v>
      </c>
      <c r="T809" s="44">
        <v>1</v>
      </c>
      <c r="U809" s="283">
        <v>54</v>
      </c>
      <c r="V809" s="284">
        <v>4</v>
      </c>
      <c r="W809" s="285" t="s">
        <v>889</v>
      </c>
      <c r="X809" s="286" t="s">
        <v>889</v>
      </c>
      <c r="Y809" s="287">
        <v>0</v>
      </c>
      <c r="Z809" s="287" t="s">
        <v>889</v>
      </c>
      <c r="AA809" s="286" t="s">
        <v>889</v>
      </c>
      <c r="AB809" s="287">
        <v>0</v>
      </c>
      <c r="AC809" s="287"/>
      <c r="AD809" s="288" t="s">
        <v>889</v>
      </c>
      <c r="AE809" s="289" t="s">
        <v>889</v>
      </c>
      <c r="AF809" s="279">
        <v>2</v>
      </c>
      <c r="AG809" s="282">
        <v>43819</v>
      </c>
      <c r="AH809" s="282">
        <v>43235</v>
      </c>
      <c r="AI809" s="282">
        <v>43780</v>
      </c>
      <c r="AJ809" s="282" t="s">
        <v>889</v>
      </c>
      <c r="AK809" s="274"/>
    </row>
    <row r="810" spans="1:37" x14ac:dyDescent="0.3">
      <c r="A810" s="273">
        <v>135088</v>
      </c>
      <c r="B810" s="274" t="s">
        <v>1909</v>
      </c>
      <c r="C810" s="146" t="s">
        <v>31</v>
      </c>
      <c r="D810" s="275">
        <v>10.83</v>
      </c>
      <c r="E810" s="274"/>
      <c r="F810" s="274"/>
      <c r="G810" s="274" t="s">
        <v>889</v>
      </c>
      <c r="H810" s="276">
        <v>354</v>
      </c>
      <c r="I810" s="24">
        <v>103003</v>
      </c>
      <c r="J810" s="277">
        <v>10.83</v>
      </c>
      <c r="K810" s="276">
        <v>257</v>
      </c>
      <c r="L810" s="278">
        <v>16.526610644257705</v>
      </c>
      <c r="M810" s="279">
        <v>0</v>
      </c>
      <c r="N810" s="277">
        <v>0</v>
      </c>
      <c r="O810" s="280" t="s">
        <v>888</v>
      </c>
      <c r="P810" s="279">
        <v>0</v>
      </c>
      <c r="Q810" s="281">
        <v>0</v>
      </c>
      <c r="R810" s="282" t="s">
        <v>889</v>
      </c>
      <c r="S810" s="274" t="s">
        <v>1881</v>
      </c>
      <c r="T810" s="44">
        <v>1</v>
      </c>
      <c r="U810" s="283">
        <v>55</v>
      </c>
      <c r="V810" s="284">
        <v>66</v>
      </c>
      <c r="W810" s="285">
        <v>2664</v>
      </c>
      <c r="X810" s="286">
        <v>2023</v>
      </c>
      <c r="Y810" s="287">
        <v>300</v>
      </c>
      <c r="Z810" s="287" t="s">
        <v>889</v>
      </c>
      <c r="AA810" s="286" t="s">
        <v>889</v>
      </c>
      <c r="AB810" s="287">
        <v>0</v>
      </c>
      <c r="AC810" s="287"/>
      <c r="AD810" s="288" t="s">
        <v>889</v>
      </c>
      <c r="AE810" s="289" t="s">
        <v>889</v>
      </c>
      <c r="AF810" s="279">
        <v>86</v>
      </c>
      <c r="AG810" s="282">
        <v>44742</v>
      </c>
      <c r="AH810" s="282">
        <v>43238</v>
      </c>
      <c r="AI810" s="282">
        <v>44722</v>
      </c>
      <c r="AJ810" s="282" t="s">
        <v>889</v>
      </c>
      <c r="AK810" s="274"/>
    </row>
    <row r="811" spans="1:37" x14ac:dyDescent="0.3">
      <c r="A811" s="273">
        <v>135297</v>
      </c>
      <c r="B811" s="274" t="s">
        <v>1910</v>
      </c>
      <c r="C811" s="146" t="s">
        <v>269</v>
      </c>
      <c r="D811" s="275">
        <v>9.1199999999999992</v>
      </c>
      <c r="E811" s="274"/>
      <c r="F811" s="274"/>
      <c r="G811" s="274" t="s">
        <v>889</v>
      </c>
      <c r="H811" s="276">
        <v>1472</v>
      </c>
      <c r="I811" s="24">
        <v>103003</v>
      </c>
      <c r="J811" s="277">
        <v>9.1199999999999992</v>
      </c>
      <c r="K811" s="276">
        <v>13614</v>
      </c>
      <c r="L811" s="278">
        <v>1.2599180026191232</v>
      </c>
      <c r="M811" s="279">
        <v>12547.96</v>
      </c>
      <c r="N811" s="277">
        <v>114437.3952</v>
      </c>
      <c r="O811" s="280" t="s">
        <v>888</v>
      </c>
      <c r="P811" s="279">
        <v>0</v>
      </c>
      <c r="Q811" s="281">
        <v>0</v>
      </c>
      <c r="R811" s="282" t="s">
        <v>889</v>
      </c>
      <c r="S811" s="274" t="s">
        <v>937</v>
      </c>
      <c r="T811" s="44">
        <v>1</v>
      </c>
      <c r="U811" s="283">
        <v>45</v>
      </c>
      <c r="V811" s="284">
        <v>9</v>
      </c>
      <c r="W811" s="285" t="s">
        <v>889</v>
      </c>
      <c r="X811" s="286" t="s">
        <v>889</v>
      </c>
      <c r="Y811" s="287">
        <v>0</v>
      </c>
      <c r="Z811" s="287" t="s">
        <v>889</v>
      </c>
      <c r="AA811" s="286" t="s">
        <v>889</v>
      </c>
      <c r="AB811" s="287">
        <v>0</v>
      </c>
      <c r="AC811" s="287"/>
      <c r="AD811" s="288" t="s">
        <v>889</v>
      </c>
      <c r="AE811" s="289" t="s">
        <v>889</v>
      </c>
      <c r="AF811" s="279">
        <v>4674</v>
      </c>
      <c r="AG811" s="282">
        <v>44991</v>
      </c>
      <c r="AH811" s="282">
        <v>43277</v>
      </c>
      <c r="AI811" s="282">
        <v>44959</v>
      </c>
      <c r="AJ811" s="282" t="s">
        <v>889</v>
      </c>
      <c r="AK811" s="274"/>
    </row>
    <row r="812" spans="1:37" x14ac:dyDescent="0.3">
      <c r="A812" s="273">
        <v>135299</v>
      </c>
      <c r="B812" s="274" t="s">
        <v>1911</v>
      </c>
      <c r="C812" s="146" t="s">
        <v>263</v>
      </c>
      <c r="D812" s="275">
        <v>2</v>
      </c>
      <c r="E812" s="274"/>
      <c r="F812" s="274"/>
      <c r="G812" s="274" t="s">
        <v>889</v>
      </c>
      <c r="H812" s="276">
        <v>45</v>
      </c>
      <c r="I812" s="24">
        <v>103003</v>
      </c>
      <c r="J812" s="277">
        <v>2</v>
      </c>
      <c r="K812" s="276">
        <v>47</v>
      </c>
      <c r="L812" s="278">
        <v>10.180995475113122</v>
      </c>
      <c r="M812" s="279">
        <v>8.0399999999999991</v>
      </c>
      <c r="N812" s="277">
        <v>16.079999999999998</v>
      </c>
      <c r="O812" s="280" t="s">
        <v>888</v>
      </c>
      <c r="P812" s="279">
        <v>0</v>
      </c>
      <c r="Q812" s="281">
        <v>0</v>
      </c>
      <c r="R812" s="282" t="s">
        <v>889</v>
      </c>
      <c r="S812" s="274" t="s">
        <v>966</v>
      </c>
      <c r="T812" s="44">
        <v>1</v>
      </c>
      <c r="U812" s="283">
        <v>61</v>
      </c>
      <c r="V812" s="284">
        <v>8</v>
      </c>
      <c r="W812" s="285" t="s">
        <v>889</v>
      </c>
      <c r="X812" s="286" t="s">
        <v>889</v>
      </c>
      <c r="Y812" s="287">
        <v>0</v>
      </c>
      <c r="Z812" s="287" t="s">
        <v>889</v>
      </c>
      <c r="AA812" s="286" t="s">
        <v>889</v>
      </c>
      <c r="AB812" s="287">
        <v>0</v>
      </c>
      <c r="AC812" s="287"/>
      <c r="AD812" s="288" t="s">
        <v>889</v>
      </c>
      <c r="AE812" s="289" t="s">
        <v>889</v>
      </c>
      <c r="AF812" s="279">
        <v>18</v>
      </c>
      <c r="AG812" s="282">
        <v>45160</v>
      </c>
      <c r="AH812" s="282">
        <v>43277</v>
      </c>
      <c r="AI812" s="282">
        <v>45145</v>
      </c>
      <c r="AJ812" s="282" t="s">
        <v>889</v>
      </c>
      <c r="AK812" s="274"/>
    </row>
    <row r="813" spans="1:37" x14ac:dyDescent="0.3">
      <c r="A813" s="273">
        <v>135300</v>
      </c>
      <c r="B813" s="274" t="s">
        <v>1912</v>
      </c>
      <c r="C813" s="146" t="s">
        <v>263</v>
      </c>
      <c r="D813" s="275">
        <v>3</v>
      </c>
      <c r="E813" s="274"/>
      <c r="F813" s="274"/>
      <c r="G813" s="274" t="s">
        <v>889</v>
      </c>
      <c r="H813" s="276">
        <v>323</v>
      </c>
      <c r="I813" s="24">
        <v>103003</v>
      </c>
      <c r="J813" s="277">
        <v>3</v>
      </c>
      <c r="K813" s="276">
        <v>82</v>
      </c>
      <c r="L813" s="278">
        <v>39.975247524752476</v>
      </c>
      <c r="M813" s="279">
        <v>0</v>
      </c>
      <c r="N813" s="277">
        <v>0</v>
      </c>
      <c r="O813" s="280" t="s">
        <v>888</v>
      </c>
      <c r="P813" s="279">
        <v>0</v>
      </c>
      <c r="Q813" s="281">
        <v>0</v>
      </c>
      <c r="R813" s="282" t="s">
        <v>889</v>
      </c>
      <c r="S813" s="274" t="s">
        <v>966</v>
      </c>
      <c r="T813" s="44">
        <v>1</v>
      </c>
      <c r="U813" s="283">
        <v>61</v>
      </c>
      <c r="V813" s="284">
        <v>8</v>
      </c>
      <c r="W813" s="285" t="s">
        <v>889</v>
      </c>
      <c r="X813" s="286" t="s">
        <v>889</v>
      </c>
      <c r="Y813" s="287">
        <v>0</v>
      </c>
      <c r="Z813" s="287" t="s">
        <v>889</v>
      </c>
      <c r="AA813" s="286" t="s">
        <v>889</v>
      </c>
      <c r="AB813" s="287">
        <v>0</v>
      </c>
      <c r="AC813" s="287"/>
      <c r="AD813" s="288" t="s">
        <v>889</v>
      </c>
      <c r="AE813" s="289" t="s">
        <v>889</v>
      </c>
      <c r="AF813" s="279">
        <v>32</v>
      </c>
      <c r="AG813" s="282">
        <v>45160</v>
      </c>
      <c r="AH813" s="282">
        <v>43277</v>
      </c>
      <c r="AI813" s="282">
        <v>45145</v>
      </c>
      <c r="AJ813" s="282" t="s">
        <v>889</v>
      </c>
      <c r="AK813" s="274"/>
    </row>
    <row r="814" spans="1:37" x14ac:dyDescent="0.3">
      <c r="A814" s="273">
        <v>135301</v>
      </c>
      <c r="B814" s="274" t="s">
        <v>1913</v>
      </c>
      <c r="C814" s="146" t="s">
        <v>263</v>
      </c>
      <c r="D814" s="275">
        <v>4.29</v>
      </c>
      <c r="E814" s="274"/>
      <c r="F814" s="274"/>
      <c r="G814" s="274" t="s">
        <v>889</v>
      </c>
      <c r="H814" s="276">
        <v>345</v>
      </c>
      <c r="I814" s="24">
        <v>103003</v>
      </c>
      <c r="J814" s="277">
        <v>4.29</v>
      </c>
      <c r="K814" s="276">
        <v>153</v>
      </c>
      <c r="L814" s="278">
        <v>22.622950819672131</v>
      </c>
      <c r="M814" s="279">
        <v>0</v>
      </c>
      <c r="N814" s="277">
        <v>0</v>
      </c>
      <c r="O814" s="280" t="s">
        <v>888</v>
      </c>
      <c r="P814" s="279">
        <v>0</v>
      </c>
      <c r="Q814" s="281">
        <v>0</v>
      </c>
      <c r="R814" s="282" t="s">
        <v>889</v>
      </c>
      <c r="S814" s="274" t="s">
        <v>966</v>
      </c>
      <c r="T814" s="44">
        <v>1</v>
      </c>
      <c r="U814" s="283">
        <v>61</v>
      </c>
      <c r="V814" s="284">
        <v>8</v>
      </c>
      <c r="W814" s="285" t="s">
        <v>889</v>
      </c>
      <c r="X814" s="286" t="s">
        <v>889</v>
      </c>
      <c r="Y814" s="287">
        <v>0</v>
      </c>
      <c r="Z814" s="287" t="s">
        <v>889</v>
      </c>
      <c r="AA814" s="286" t="s">
        <v>889</v>
      </c>
      <c r="AB814" s="287">
        <v>0</v>
      </c>
      <c r="AC814" s="287"/>
      <c r="AD814" s="288" t="s">
        <v>889</v>
      </c>
      <c r="AE814" s="289" t="s">
        <v>889</v>
      </c>
      <c r="AF814" s="279">
        <v>62</v>
      </c>
      <c r="AG814" s="282">
        <v>45180</v>
      </c>
      <c r="AH814" s="282">
        <v>43277</v>
      </c>
      <c r="AI814" s="282">
        <v>45145</v>
      </c>
      <c r="AJ814" s="282" t="s">
        <v>889</v>
      </c>
      <c r="AK814" s="274"/>
    </row>
    <row r="815" spans="1:37" x14ac:dyDescent="0.3">
      <c r="A815" s="273">
        <v>135302</v>
      </c>
      <c r="B815" s="274" t="s">
        <v>1914</v>
      </c>
      <c r="C815" s="146" t="s">
        <v>263</v>
      </c>
      <c r="D815" s="275">
        <v>3.58</v>
      </c>
      <c r="E815" s="274"/>
      <c r="F815" s="274"/>
      <c r="G815" s="274" t="s">
        <v>889</v>
      </c>
      <c r="H815" s="276">
        <v>593</v>
      </c>
      <c r="I815" s="24">
        <v>103003</v>
      </c>
      <c r="J815" s="277">
        <v>3.58</v>
      </c>
      <c r="K815" s="276">
        <v>203</v>
      </c>
      <c r="L815" s="278">
        <v>33.408450704225352</v>
      </c>
      <c r="M815" s="279">
        <v>0</v>
      </c>
      <c r="N815" s="277">
        <v>0</v>
      </c>
      <c r="O815" s="280" t="s">
        <v>888</v>
      </c>
      <c r="P815" s="279">
        <v>0</v>
      </c>
      <c r="Q815" s="281">
        <v>0</v>
      </c>
      <c r="R815" s="282" t="s">
        <v>889</v>
      </c>
      <c r="S815" s="274" t="s">
        <v>966</v>
      </c>
      <c r="T815" s="44">
        <v>1</v>
      </c>
      <c r="U815" s="283">
        <v>61</v>
      </c>
      <c r="V815" s="284">
        <v>8</v>
      </c>
      <c r="W815" s="285" t="s">
        <v>889</v>
      </c>
      <c r="X815" s="286" t="s">
        <v>889</v>
      </c>
      <c r="Y815" s="287">
        <v>0</v>
      </c>
      <c r="Z815" s="287" t="s">
        <v>889</v>
      </c>
      <c r="AA815" s="286" t="s">
        <v>889</v>
      </c>
      <c r="AB815" s="287">
        <v>0</v>
      </c>
      <c r="AC815" s="287"/>
      <c r="AD815" s="288" t="s">
        <v>889</v>
      </c>
      <c r="AE815" s="289" t="s">
        <v>889</v>
      </c>
      <c r="AF815" s="279">
        <v>72</v>
      </c>
      <c r="AG815" s="282">
        <v>44188</v>
      </c>
      <c r="AH815" s="282">
        <v>43277</v>
      </c>
      <c r="AI815" s="282">
        <v>44133</v>
      </c>
      <c r="AJ815" s="282" t="s">
        <v>889</v>
      </c>
      <c r="AK815" s="274"/>
    </row>
    <row r="816" spans="1:37" x14ac:dyDescent="0.3">
      <c r="A816" s="273">
        <v>135303</v>
      </c>
      <c r="B816" s="274" t="s">
        <v>1915</v>
      </c>
      <c r="C816" s="146" t="s">
        <v>263</v>
      </c>
      <c r="D816" s="275">
        <v>56</v>
      </c>
      <c r="E816" s="274"/>
      <c r="F816" s="274"/>
      <c r="G816" s="274" t="s">
        <v>889</v>
      </c>
      <c r="H816" s="276">
        <v>106</v>
      </c>
      <c r="I816" s="24">
        <v>103003</v>
      </c>
      <c r="J816" s="277">
        <v>56</v>
      </c>
      <c r="K816" s="276">
        <v>34</v>
      </c>
      <c r="L816" s="278">
        <v>28.266666666666666</v>
      </c>
      <c r="M816" s="279">
        <v>0</v>
      </c>
      <c r="N816" s="277">
        <v>0</v>
      </c>
      <c r="O816" s="280" t="s">
        <v>888</v>
      </c>
      <c r="P816" s="279">
        <v>0</v>
      </c>
      <c r="Q816" s="281">
        <v>0</v>
      </c>
      <c r="R816" s="282" t="s">
        <v>889</v>
      </c>
      <c r="S816" s="274" t="s">
        <v>1916</v>
      </c>
      <c r="T816" s="44">
        <v>1</v>
      </c>
      <c r="U816" s="283">
        <v>49</v>
      </c>
      <c r="V816" s="284">
        <v>7</v>
      </c>
      <c r="W816" s="285" t="s">
        <v>889</v>
      </c>
      <c r="X816" s="286" t="s">
        <v>889</v>
      </c>
      <c r="Y816" s="287">
        <v>0</v>
      </c>
      <c r="Z816" s="287" t="s">
        <v>889</v>
      </c>
      <c r="AA816" s="286" t="s">
        <v>889</v>
      </c>
      <c r="AB816" s="287">
        <v>0</v>
      </c>
      <c r="AC816" s="287"/>
      <c r="AD816" s="288" t="s">
        <v>889</v>
      </c>
      <c r="AE816" s="289" t="s">
        <v>889</v>
      </c>
      <c r="AF816" s="279">
        <v>16</v>
      </c>
      <c r="AG816" s="282">
        <v>43866</v>
      </c>
      <c r="AH816" s="282">
        <v>43277</v>
      </c>
      <c r="AI816" s="282">
        <v>43826</v>
      </c>
      <c r="AJ816" s="282" t="s">
        <v>889</v>
      </c>
      <c r="AK816" s="274"/>
    </row>
    <row r="817" spans="1:37" x14ac:dyDescent="0.3">
      <c r="A817" s="273">
        <v>135304</v>
      </c>
      <c r="B817" s="274" t="s">
        <v>1917</v>
      </c>
      <c r="C817" s="146" t="s">
        <v>263</v>
      </c>
      <c r="D817" s="275">
        <v>4.75</v>
      </c>
      <c r="E817" s="274"/>
      <c r="F817" s="274"/>
      <c r="G817" s="274" t="s">
        <v>889</v>
      </c>
      <c r="H817" s="276">
        <v>722</v>
      </c>
      <c r="I817" s="24">
        <v>103003</v>
      </c>
      <c r="J817" s="277">
        <v>4.75</v>
      </c>
      <c r="K817" s="276">
        <v>206</v>
      </c>
      <c r="L817" s="278">
        <v>38.343069569835372</v>
      </c>
      <c r="M817" s="279">
        <v>0</v>
      </c>
      <c r="N817" s="277">
        <v>0</v>
      </c>
      <c r="O817" s="280" t="s">
        <v>888</v>
      </c>
      <c r="P817" s="279">
        <v>0</v>
      </c>
      <c r="Q817" s="281">
        <v>0</v>
      </c>
      <c r="R817" s="282" t="s">
        <v>889</v>
      </c>
      <c r="S817" s="274" t="s">
        <v>966</v>
      </c>
      <c r="T817" s="44">
        <v>1</v>
      </c>
      <c r="U817" s="283">
        <v>61</v>
      </c>
      <c r="V817" s="284">
        <v>8</v>
      </c>
      <c r="W817" s="285" t="s">
        <v>889</v>
      </c>
      <c r="X817" s="286" t="s">
        <v>889</v>
      </c>
      <c r="Y817" s="287">
        <v>0</v>
      </c>
      <c r="Z817" s="287" t="s">
        <v>889</v>
      </c>
      <c r="AA817" s="286" t="s">
        <v>889</v>
      </c>
      <c r="AB817" s="287">
        <v>0</v>
      </c>
      <c r="AC817" s="287"/>
      <c r="AD817" s="288" t="s">
        <v>889</v>
      </c>
      <c r="AE817" s="289" t="s">
        <v>889</v>
      </c>
      <c r="AF817" s="279">
        <v>76</v>
      </c>
      <c r="AG817" s="282">
        <v>43796</v>
      </c>
      <c r="AH817" s="282">
        <v>43277</v>
      </c>
      <c r="AI817" s="282">
        <v>43788</v>
      </c>
      <c r="AJ817" s="282" t="s">
        <v>889</v>
      </c>
      <c r="AK817" s="274"/>
    </row>
    <row r="818" spans="1:37" x14ac:dyDescent="0.3">
      <c r="A818" s="273">
        <v>135414</v>
      </c>
      <c r="B818" s="274" t="s">
        <v>1918</v>
      </c>
      <c r="C818" s="146" t="s">
        <v>263</v>
      </c>
      <c r="D818" s="275">
        <v>55</v>
      </c>
      <c r="E818" s="274"/>
      <c r="F818" s="274"/>
      <c r="G818" s="274" t="s">
        <v>889</v>
      </c>
      <c r="H818" s="276">
        <v>432</v>
      </c>
      <c r="I818" s="24">
        <v>103003</v>
      </c>
      <c r="J818" s="277">
        <v>55</v>
      </c>
      <c r="K818" s="276">
        <v>187</v>
      </c>
      <c r="L818" s="278">
        <v>27.72785622593068</v>
      </c>
      <c r="M818" s="279">
        <v>0</v>
      </c>
      <c r="N818" s="277">
        <v>0</v>
      </c>
      <c r="O818" s="280" t="s">
        <v>888</v>
      </c>
      <c r="P818" s="279">
        <v>0</v>
      </c>
      <c r="Q818" s="281">
        <v>0</v>
      </c>
      <c r="R818" s="282" t="s">
        <v>889</v>
      </c>
      <c r="S818" s="274" t="s">
        <v>1015</v>
      </c>
      <c r="T818" s="44">
        <v>1</v>
      </c>
      <c r="U818" s="283">
        <v>61</v>
      </c>
      <c r="V818" s="284">
        <v>14</v>
      </c>
      <c r="W818" s="285" t="s">
        <v>889</v>
      </c>
      <c r="X818" s="286" t="s">
        <v>889</v>
      </c>
      <c r="Y818" s="287">
        <v>0</v>
      </c>
      <c r="Z818" s="287" t="s">
        <v>889</v>
      </c>
      <c r="AA818" s="286" t="s">
        <v>889</v>
      </c>
      <c r="AB818" s="287">
        <v>0</v>
      </c>
      <c r="AC818" s="287"/>
      <c r="AD818" s="288" t="s">
        <v>889</v>
      </c>
      <c r="AE818" s="289" t="s">
        <v>889</v>
      </c>
      <c r="AF818" s="279">
        <v>62</v>
      </c>
      <c r="AG818" s="282">
        <v>45166</v>
      </c>
      <c r="AH818" s="282">
        <v>43294</v>
      </c>
      <c r="AI818" s="282">
        <v>45145</v>
      </c>
      <c r="AJ818" s="282" t="s">
        <v>889</v>
      </c>
      <c r="AK818" s="274"/>
    </row>
    <row r="819" spans="1:37" x14ac:dyDescent="0.3">
      <c r="A819" s="273">
        <v>135699</v>
      </c>
      <c r="B819" s="274" t="s">
        <v>864</v>
      </c>
      <c r="C819" s="146" t="s">
        <v>31</v>
      </c>
      <c r="D819" s="275">
        <v>1.01</v>
      </c>
      <c r="E819" s="274"/>
      <c r="F819" s="274"/>
      <c r="G819" s="274" t="s">
        <v>889</v>
      </c>
      <c r="H819" s="276">
        <v>0</v>
      </c>
      <c r="I819" s="24">
        <v>103003</v>
      </c>
      <c r="J819" s="277">
        <v>1.01</v>
      </c>
      <c r="K819" s="276"/>
      <c r="L819" s="278">
        <v>0</v>
      </c>
      <c r="M819" s="279">
        <v>0</v>
      </c>
      <c r="N819" s="277">
        <v>0</v>
      </c>
      <c r="O819" s="280" t="s">
        <v>888</v>
      </c>
      <c r="P819" s="279">
        <v>0</v>
      </c>
      <c r="Q819" s="281">
        <v>0</v>
      </c>
      <c r="R819" s="282" t="s">
        <v>889</v>
      </c>
      <c r="S819" s="274" t="s">
        <v>937</v>
      </c>
      <c r="T819" s="44">
        <v>1</v>
      </c>
      <c r="U819" s="283">
        <v>45</v>
      </c>
      <c r="V819" s="284">
        <v>9</v>
      </c>
      <c r="W819" s="285">
        <v>11440</v>
      </c>
      <c r="X819" s="286">
        <v>2023</v>
      </c>
      <c r="Y819" s="287">
        <v>40830</v>
      </c>
      <c r="Z819" s="287" t="s">
        <v>889</v>
      </c>
      <c r="AA819" s="286" t="s">
        <v>889</v>
      </c>
      <c r="AB819" s="287">
        <v>0</v>
      </c>
      <c r="AC819" s="287"/>
      <c r="AD819" s="288" t="s">
        <v>889</v>
      </c>
      <c r="AE819" s="289" t="s">
        <v>889</v>
      </c>
      <c r="AF819" s="279">
        <v>0</v>
      </c>
      <c r="AG819" s="282" t="s">
        <v>889</v>
      </c>
      <c r="AH819" s="282">
        <v>43333</v>
      </c>
      <c r="AI819" s="282">
        <v>44938</v>
      </c>
      <c r="AJ819" s="282" t="s">
        <v>889</v>
      </c>
      <c r="AK819" s="274"/>
    </row>
    <row r="820" spans="1:37" x14ac:dyDescent="0.3">
      <c r="A820" s="273">
        <v>135701</v>
      </c>
      <c r="B820" s="274" t="s">
        <v>1919</v>
      </c>
      <c r="C820" s="146" t="s">
        <v>31</v>
      </c>
      <c r="D820" s="275">
        <v>3.32</v>
      </c>
      <c r="E820" s="274"/>
      <c r="F820" s="274"/>
      <c r="G820" s="274" t="s">
        <v>889</v>
      </c>
      <c r="H820" s="276">
        <v>2006</v>
      </c>
      <c r="I820" s="24">
        <v>103003</v>
      </c>
      <c r="J820" s="277">
        <v>3.32</v>
      </c>
      <c r="K820" s="276">
        <v>122</v>
      </c>
      <c r="L820" s="278">
        <v>119.76119402985074</v>
      </c>
      <c r="M820" s="279">
        <v>0</v>
      </c>
      <c r="N820" s="277">
        <v>0</v>
      </c>
      <c r="O820" s="280" t="s">
        <v>888</v>
      </c>
      <c r="P820" s="279">
        <v>0</v>
      </c>
      <c r="Q820" s="281">
        <v>0</v>
      </c>
      <c r="R820" s="282" t="s">
        <v>889</v>
      </c>
      <c r="S820" s="274" t="s">
        <v>1920</v>
      </c>
      <c r="T820" s="44">
        <v>1</v>
      </c>
      <c r="U820" s="283">
        <v>46</v>
      </c>
      <c r="V820" s="284">
        <v>2</v>
      </c>
      <c r="W820" s="285" t="s">
        <v>889</v>
      </c>
      <c r="X820" s="286" t="s">
        <v>889</v>
      </c>
      <c r="Y820" s="287">
        <v>0</v>
      </c>
      <c r="Z820" s="287" t="s">
        <v>889</v>
      </c>
      <c r="AA820" s="286" t="s">
        <v>889</v>
      </c>
      <c r="AB820" s="287">
        <v>0</v>
      </c>
      <c r="AC820" s="287"/>
      <c r="AD820" s="288" t="s">
        <v>889</v>
      </c>
      <c r="AE820" s="289" t="s">
        <v>889</v>
      </c>
      <c r="AF820" s="279">
        <v>68</v>
      </c>
      <c r="AG820" s="282" t="s">
        <v>889</v>
      </c>
      <c r="AH820" s="282">
        <v>43333</v>
      </c>
      <c r="AI820" s="282">
        <v>44525</v>
      </c>
      <c r="AJ820" s="282" t="s">
        <v>889</v>
      </c>
      <c r="AK820" s="274"/>
    </row>
    <row r="821" spans="1:37" x14ac:dyDescent="0.3">
      <c r="A821" s="273">
        <v>135703</v>
      </c>
      <c r="B821" s="274" t="s">
        <v>1921</v>
      </c>
      <c r="C821" s="146" t="s">
        <v>31</v>
      </c>
      <c r="D821" s="275">
        <v>1.49</v>
      </c>
      <c r="E821" s="274"/>
      <c r="F821" s="274"/>
      <c r="G821" s="274" t="s">
        <v>889</v>
      </c>
      <c r="H821" s="276">
        <v>6143</v>
      </c>
      <c r="I821" s="24">
        <v>103003</v>
      </c>
      <c r="J821" s="277">
        <v>1.49</v>
      </c>
      <c r="K821" s="276">
        <v>7515</v>
      </c>
      <c r="L821" s="278">
        <v>3.1722179189258974</v>
      </c>
      <c r="M821" s="279">
        <v>17095</v>
      </c>
      <c r="N821" s="277">
        <v>25471.55</v>
      </c>
      <c r="O821" s="280" t="s">
        <v>888</v>
      </c>
      <c r="P821" s="279">
        <v>0</v>
      </c>
      <c r="Q821" s="281">
        <v>0</v>
      </c>
      <c r="R821" s="282" t="s">
        <v>889</v>
      </c>
      <c r="S821" s="274" t="s">
        <v>937</v>
      </c>
      <c r="T821" s="44">
        <v>1</v>
      </c>
      <c r="U821" s="283">
        <v>45</v>
      </c>
      <c r="V821" s="284">
        <v>9</v>
      </c>
      <c r="W821" s="285" t="s">
        <v>889</v>
      </c>
      <c r="X821" s="286" t="s">
        <v>889</v>
      </c>
      <c r="Y821" s="287">
        <v>0</v>
      </c>
      <c r="Z821" s="287" t="s">
        <v>889</v>
      </c>
      <c r="AA821" s="286" t="s">
        <v>889</v>
      </c>
      <c r="AB821" s="287">
        <v>0</v>
      </c>
      <c r="AC821" s="287"/>
      <c r="AD821" s="288" t="s">
        <v>889</v>
      </c>
      <c r="AE821" s="289" t="s">
        <v>889</v>
      </c>
      <c r="AF821" s="279">
        <v>7746</v>
      </c>
      <c r="AG821" s="282">
        <v>44151</v>
      </c>
      <c r="AH821" s="282">
        <v>43333</v>
      </c>
      <c r="AI821" s="282">
        <v>44999</v>
      </c>
      <c r="AJ821" s="282" t="s">
        <v>889</v>
      </c>
      <c r="AK821" s="274"/>
    </row>
    <row r="822" spans="1:37" x14ac:dyDescent="0.3">
      <c r="A822" s="273">
        <v>136082</v>
      </c>
      <c r="B822" s="274" t="s">
        <v>1922</v>
      </c>
      <c r="C822" s="146" t="s">
        <v>31</v>
      </c>
      <c r="D822" s="275">
        <v>9.1999999999999993</v>
      </c>
      <c r="E822" s="274"/>
      <c r="F822" s="274"/>
      <c r="G822" s="274" t="s">
        <v>889</v>
      </c>
      <c r="H822" s="276">
        <v>0</v>
      </c>
      <c r="I822" s="24">
        <v>103003</v>
      </c>
      <c r="J822" s="277">
        <v>9.1999999999999993</v>
      </c>
      <c r="K822" s="276">
        <v>281</v>
      </c>
      <c r="L822" s="278">
        <v>0</v>
      </c>
      <c r="M822" s="279">
        <v>0</v>
      </c>
      <c r="N822" s="277">
        <v>0</v>
      </c>
      <c r="O822" s="280" t="s">
        <v>888</v>
      </c>
      <c r="P822" s="279">
        <v>0</v>
      </c>
      <c r="Q822" s="281">
        <v>0</v>
      </c>
      <c r="R822" s="282" t="s">
        <v>889</v>
      </c>
      <c r="S822" s="274" t="s">
        <v>1687</v>
      </c>
      <c r="T822" s="44">
        <v>1</v>
      </c>
      <c r="U822" s="283">
        <v>55</v>
      </c>
      <c r="V822" s="284">
        <v>37</v>
      </c>
      <c r="W822" s="285">
        <v>10090</v>
      </c>
      <c r="X822" s="286">
        <v>2023</v>
      </c>
      <c r="Y822" s="287">
        <v>700</v>
      </c>
      <c r="Z822" s="287" t="s">
        <v>889</v>
      </c>
      <c r="AA822" s="286" t="s">
        <v>889</v>
      </c>
      <c r="AB822" s="287">
        <v>0</v>
      </c>
      <c r="AC822" s="287"/>
      <c r="AD822" s="288" t="s">
        <v>889</v>
      </c>
      <c r="AE822" s="289" t="s">
        <v>889</v>
      </c>
      <c r="AF822" s="279">
        <v>94</v>
      </c>
      <c r="AG822" s="282">
        <v>44568</v>
      </c>
      <c r="AH822" s="282">
        <v>43446</v>
      </c>
      <c r="AI822" s="282">
        <v>45195</v>
      </c>
      <c r="AJ822" s="282" t="s">
        <v>889</v>
      </c>
      <c r="AK822" s="274"/>
    </row>
    <row r="823" spans="1:37" x14ac:dyDescent="0.3">
      <c r="A823" s="273">
        <v>136083</v>
      </c>
      <c r="B823" s="274" t="s">
        <v>1923</v>
      </c>
      <c r="C823" s="146" t="s">
        <v>31</v>
      </c>
      <c r="D823" s="275">
        <v>5.83</v>
      </c>
      <c r="E823" s="274"/>
      <c r="F823" s="274"/>
      <c r="G823" s="274" t="s">
        <v>889</v>
      </c>
      <c r="H823" s="276">
        <v>436</v>
      </c>
      <c r="I823" s="24">
        <v>103003</v>
      </c>
      <c r="J823" s="277">
        <v>5.83</v>
      </c>
      <c r="K823" s="276">
        <v>110</v>
      </c>
      <c r="L823" s="278">
        <v>47.54634678298801</v>
      </c>
      <c r="M823" s="279">
        <v>0</v>
      </c>
      <c r="N823" s="277">
        <v>0</v>
      </c>
      <c r="O823" s="280" t="s">
        <v>888</v>
      </c>
      <c r="P823" s="279">
        <v>0</v>
      </c>
      <c r="Q823" s="281">
        <v>0</v>
      </c>
      <c r="R823" s="282" t="s">
        <v>889</v>
      </c>
      <c r="S823" s="274" t="s">
        <v>1687</v>
      </c>
      <c r="T823" s="44">
        <v>1</v>
      </c>
      <c r="U823" s="283">
        <v>55</v>
      </c>
      <c r="V823" s="284">
        <v>37</v>
      </c>
      <c r="W823" s="285" t="s">
        <v>889</v>
      </c>
      <c r="X823" s="286" t="s">
        <v>889</v>
      </c>
      <c r="Y823" s="287">
        <v>0</v>
      </c>
      <c r="Z823" s="287" t="s">
        <v>889</v>
      </c>
      <c r="AA823" s="286" t="s">
        <v>889</v>
      </c>
      <c r="AB823" s="287">
        <v>0</v>
      </c>
      <c r="AC823" s="287"/>
      <c r="AD823" s="288" t="s">
        <v>889</v>
      </c>
      <c r="AE823" s="289" t="s">
        <v>889</v>
      </c>
      <c r="AF823" s="279">
        <v>36</v>
      </c>
      <c r="AG823" s="282">
        <v>44448</v>
      </c>
      <c r="AH823" s="282">
        <v>43446</v>
      </c>
      <c r="AI823" s="282">
        <v>44725</v>
      </c>
      <c r="AJ823" s="282" t="s">
        <v>889</v>
      </c>
      <c r="AK823" s="274"/>
    </row>
    <row r="824" spans="1:37" x14ac:dyDescent="0.3">
      <c r="A824" s="273">
        <v>136273</v>
      </c>
      <c r="B824" s="274" t="s">
        <v>1924</v>
      </c>
      <c r="C824" s="146" t="s">
        <v>31</v>
      </c>
      <c r="D824" s="275">
        <v>1.46</v>
      </c>
      <c r="E824" s="274"/>
      <c r="F824" s="274"/>
      <c r="G824" s="274" t="s">
        <v>889</v>
      </c>
      <c r="H824" s="276">
        <v>1588</v>
      </c>
      <c r="I824" s="24">
        <v>103003</v>
      </c>
      <c r="J824" s="277">
        <v>1.46</v>
      </c>
      <c r="K824" s="276">
        <v>960</v>
      </c>
      <c r="L824" s="278">
        <v>19.346978557504872</v>
      </c>
      <c r="M824" s="279">
        <v>0</v>
      </c>
      <c r="N824" s="277">
        <v>0</v>
      </c>
      <c r="O824" s="280" t="s">
        <v>888</v>
      </c>
      <c r="P824" s="279">
        <v>0</v>
      </c>
      <c r="Q824" s="281">
        <v>0</v>
      </c>
      <c r="R824" s="282" t="s">
        <v>889</v>
      </c>
      <c r="S824" s="274" t="s">
        <v>1005</v>
      </c>
      <c r="T824" s="44">
        <v>1</v>
      </c>
      <c r="U824" s="283">
        <v>51</v>
      </c>
      <c r="V824" s="284">
        <v>11</v>
      </c>
      <c r="W824" s="285" t="s">
        <v>889</v>
      </c>
      <c r="X824" s="286" t="s">
        <v>889</v>
      </c>
      <c r="Y824" s="287">
        <v>0</v>
      </c>
      <c r="Z824" s="287" t="s">
        <v>889</v>
      </c>
      <c r="AA824" s="286" t="s">
        <v>889</v>
      </c>
      <c r="AB824" s="287">
        <v>0</v>
      </c>
      <c r="AC824" s="287"/>
      <c r="AD824" s="288" t="s">
        <v>889</v>
      </c>
      <c r="AE824" s="289" t="s">
        <v>889</v>
      </c>
      <c r="AF824" s="279">
        <v>328</v>
      </c>
      <c r="AG824" s="282">
        <v>45181</v>
      </c>
      <c r="AH824" s="282">
        <v>43483</v>
      </c>
      <c r="AI824" s="282">
        <v>45160</v>
      </c>
      <c r="AJ824" s="282" t="s">
        <v>889</v>
      </c>
      <c r="AK824" s="274"/>
    </row>
    <row r="825" spans="1:37" x14ac:dyDescent="0.3">
      <c r="A825" s="273">
        <v>136408</v>
      </c>
      <c r="B825" s="274" t="s">
        <v>1925</v>
      </c>
      <c r="C825" s="146" t="s">
        <v>31</v>
      </c>
      <c r="D825" s="275">
        <v>1.47</v>
      </c>
      <c r="E825" s="274"/>
      <c r="F825" s="274"/>
      <c r="G825" s="274" t="s">
        <v>889</v>
      </c>
      <c r="H825" s="276">
        <v>0</v>
      </c>
      <c r="I825" s="24">
        <v>103003</v>
      </c>
      <c r="J825" s="277">
        <v>1.47</v>
      </c>
      <c r="K825" s="276">
        <v>24866</v>
      </c>
      <c r="L825" s="278">
        <v>0</v>
      </c>
      <c r="M825" s="279">
        <v>22857</v>
      </c>
      <c r="N825" s="277">
        <v>33599.79</v>
      </c>
      <c r="O825" s="280" t="s">
        <v>888</v>
      </c>
      <c r="P825" s="279">
        <v>0</v>
      </c>
      <c r="Q825" s="281">
        <v>0</v>
      </c>
      <c r="R825" s="282" t="s">
        <v>889</v>
      </c>
      <c r="S825" s="274" t="s">
        <v>917</v>
      </c>
      <c r="T825" s="44">
        <v>1</v>
      </c>
      <c r="U825" s="283">
        <v>45</v>
      </c>
      <c r="V825" s="284">
        <v>14</v>
      </c>
      <c r="W825" s="285">
        <v>6982</v>
      </c>
      <c r="X825" s="286">
        <v>2023</v>
      </c>
      <c r="Y825" s="287">
        <v>11700</v>
      </c>
      <c r="Z825" s="287" t="s">
        <v>889</v>
      </c>
      <c r="AA825" s="286" t="s">
        <v>889</v>
      </c>
      <c r="AB825" s="287">
        <v>0</v>
      </c>
      <c r="AC825" s="287"/>
      <c r="AD825" s="288" t="s">
        <v>889</v>
      </c>
      <c r="AE825" s="289" t="s">
        <v>889</v>
      </c>
      <c r="AF825" s="279">
        <v>11520</v>
      </c>
      <c r="AG825" s="282">
        <v>44924</v>
      </c>
      <c r="AH825" s="282">
        <v>43500</v>
      </c>
      <c r="AI825" s="282">
        <v>44910</v>
      </c>
      <c r="AJ825" s="282" t="s">
        <v>889</v>
      </c>
      <c r="AK825" s="274"/>
    </row>
    <row r="826" spans="1:37" x14ac:dyDescent="0.3">
      <c r="A826" s="273">
        <v>136553</v>
      </c>
      <c r="B826" s="274" t="s">
        <v>1926</v>
      </c>
      <c r="C826" s="146" t="s">
        <v>263</v>
      </c>
      <c r="D826" s="275">
        <v>1.6</v>
      </c>
      <c r="E826" s="274"/>
      <c r="F826" s="274"/>
      <c r="G826" s="274" t="s">
        <v>889</v>
      </c>
      <c r="H826" s="276">
        <v>1500</v>
      </c>
      <c r="I826" s="24">
        <v>103003</v>
      </c>
      <c r="J826" s="277">
        <v>1.6</v>
      </c>
      <c r="K826" s="276">
        <v>1799</v>
      </c>
      <c r="L826" s="278">
        <v>9.2925288068393019</v>
      </c>
      <c r="M826" s="279">
        <v>437.04</v>
      </c>
      <c r="N826" s="277">
        <v>699.26400000000001</v>
      </c>
      <c r="O826" s="280" t="s">
        <v>888</v>
      </c>
      <c r="P826" s="279">
        <v>0</v>
      </c>
      <c r="Q826" s="281">
        <v>0</v>
      </c>
      <c r="R826" s="282" t="s">
        <v>889</v>
      </c>
      <c r="S826" s="274" t="s">
        <v>1927</v>
      </c>
      <c r="T826" s="44">
        <v>1</v>
      </c>
      <c r="U826" s="283">
        <v>51</v>
      </c>
      <c r="V826" s="284">
        <v>10</v>
      </c>
      <c r="W826" s="285" t="s">
        <v>889</v>
      </c>
      <c r="X826" s="286" t="s">
        <v>889</v>
      </c>
      <c r="Y826" s="287">
        <v>0</v>
      </c>
      <c r="Z826" s="287" t="s">
        <v>889</v>
      </c>
      <c r="AA826" s="286" t="s">
        <v>889</v>
      </c>
      <c r="AB826" s="287">
        <v>0</v>
      </c>
      <c r="AC826" s="287"/>
      <c r="AD826" s="288" t="s">
        <v>889</v>
      </c>
      <c r="AE826" s="289" t="s">
        <v>889</v>
      </c>
      <c r="AF826" s="279">
        <v>646</v>
      </c>
      <c r="AG826" s="282">
        <v>45209</v>
      </c>
      <c r="AH826" s="282">
        <v>43518</v>
      </c>
      <c r="AI826" s="282">
        <v>45189</v>
      </c>
      <c r="AJ826" s="282" t="s">
        <v>889</v>
      </c>
      <c r="AK826" s="274"/>
    </row>
    <row r="827" spans="1:37" x14ac:dyDescent="0.3">
      <c r="A827" s="273">
        <v>136554</v>
      </c>
      <c r="B827" s="274" t="s">
        <v>1928</v>
      </c>
      <c r="C827" s="146" t="s">
        <v>263</v>
      </c>
      <c r="D827" s="275">
        <v>5.5</v>
      </c>
      <c r="E827" s="274"/>
      <c r="F827" s="274"/>
      <c r="G827" s="274" t="s">
        <v>889</v>
      </c>
      <c r="H827" s="276">
        <v>2000</v>
      </c>
      <c r="I827" s="24">
        <v>103003</v>
      </c>
      <c r="J827" s="277">
        <v>5.5</v>
      </c>
      <c r="K827" s="276">
        <v>496</v>
      </c>
      <c r="L827" s="278">
        <v>48.390999274135012</v>
      </c>
      <c r="M827" s="279">
        <v>0</v>
      </c>
      <c r="N827" s="277">
        <v>0</v>
      </c>
      <c r="O827" s="280" t="s">
        <v>888</v>
      </c>
      <c r="P827" s="279">
        <v>0</v>
      </c>
      <c r="Q827" s="281">
        <v>0</v>
      </c>
      <c r="R827" s="282" t="s">
        <v>889</v>
      </c>
      <c r="S827" s="274" t="s">
        <v>1093</v>
      </c>
      <c r="T827" s="44">
        <v>1</v>
      </c>
      <c r="U827" s="283">
        <v>51</v>
      </c>
      <c r="V827" s="284">
        <v>9</v>
      </c>
      <c r="W827" s="285" t="s">
        <v>889</v>
      </c>
      <c r="X827" s="286" t="s">
        <v>889</v>
      </c>
      <c r="Y827" s="287">
        <v>0</v>
      </c>
      <c r="Z827" s="287" t="s">
        <v>889</v>
      </c>
      <c r="AA827" s="286" t="s">
        <v>889</v>
      </c>
      <c r="AB827" s="287">
        <v>0</v>
      </c>
      <c r="AC827" s="287"/>
      <c r="AD827" s="288" t="s">
        <v>889</v>
      </c>
      <c r="AE827" s="289" t="s">
        <v>889</v>
      </c>
      <c r="AF827" s="279">
        <v>166</v>
      </c>
      <c r="AG827" s="282">
        <v>45201</v>
      </c>
      <c r="AH827" s="282">
        <v>43518</v>
      </c>
      <c r="AI827" s="282">
        <v>45189</v>
      </c>
      <c r="AJ827" s="282" t="s">
        <v>889</v>
      </c>
      <c r="AK827" s="274"/>
    </row>
    <row r="828" spans="1:37" x14ac:dyDescent="0.3">
      <c r="A828" s="273">
        <v>136555</v>
      </c>
      <c r="B828" s="274" t="s">
        <v>1929</v>
      </c>
      <c r="C828" s="146" t="s">
        <v>263</v>
      </c>
      <c r="D828" s="275">
        <v>7.49</v>
      </c>
      <c r="E828" s="274"/>
      <c r="F828" s="274"/>
      <c r="G828" s="274" t="s">
        <v>889</v>
      </c>
      <c r="H828" s="276">
        <v>750</v>
      </c>
      <c r="I828" s="24">
        <v>103003</v>
      </c>
      <c r="J828" s="277">
        <v>7.74</v>
      </c>
      <c r="K828" s="276">
        <v>1044</v>
      </c>
      <c r="L828" s="278">
        <v>4.4032172840955797</v>
      </c>
      <c r="M828" s="279">
        <v>1293.96</v>
      </c>
      <c r="N828" s="277">
        <v>9691.7603999999992</v>
      </c>
      <c r="O828" s="280" t="s">
        <v>888</v>
      </c>
      <c r="P828" s="279">
        <v>0</v>
      </c>
      <c r="Q828" s="281">
        <v>0</v>
      </c>
      <c r="R828" s="282" t="s">
        <v>889</v>
      </c>
      <c r="S828" s="274" t="s">
        <v>1093</v>
      </c>
      <c r="T828" s="44">
        <v>1</v>
      </c>
      <c r="U828" s="283">
        <v>51</v>
      </c>
      <c r="V828" s="284">
        <v>9</v>
      </c>
      <c r="W828" s="285" t="s">
        <v>889</v>
      </c>
      <c r="X828" s="286" t="s">
        <v>889</v>
      </c>
      <c r="Y828" s="287">
        <v>0</v>
      </c>
      <c r="Z828" s="287" t="s">
        <v>889</v>
      </c>
      <c r="AA828" s="286" t="s">
        <v>889</v>
      </c>
      <c r="AB828" s="287">
        <v>0</v>
      </c>
      <c r="AC828" s="287"/>
      <c r="AD828" s="288" t="s">
        <v>889</v>
      </c>
      <c r="AE828" s="289" t="s">
        <v>889</v>
      </c>
      <c r="AF828" s="279">
        <v>682</v>
      </c>
      <c r="AG828" s="282">
        <v>45180</v>
      </c>
      <c r="AH828" s="282">
        <v>43518</v>
      </c>
      <c r="AI828" s="282">
        <v>45152</v>
      </c>
      <c r="AJ828" s="282" t="s">
        <v>889</v>
      </c>
      <c r="AK828" s="274"/>
    </row>
    <row r="829" spans="1:37" x14ac:dyDescent="0.3">
      <c r="A829" s="273">
        <v>136556</v>
      </c>
      <c r="B829" s="274" t="s">
        <v>1930</v>
      </c>
      <c r="C829" s="146" t="s">
        <v>263</v>
      </c>
      <c r="D829" s="275">
        <v>6.13</v>
      </c>
      <c r="E829" s="274"/>
      <c r="F829" s="274"/>
      <c r="G829" s="274" t="s">
        <v>889</v>
      </c>
      <c r="H829" s="276">
        <v>0</v>
      </c>
      <c r="I829" s="24">
        <v>103003</v>
      </c>
      <c r="J829" s="277">
        <v>6.13</v>
      </c>
      <c r="K829" s="276">
        <v>682</v>
      </c>
      <c r="L829" s="278">
        <v>0</v>
      </c>
      <c r="M829" s="279">
        <v>0</v>
      </c>
      <c r="N829" s="277">
        <v>0</v>
      </c>
      <c r="O829" s="280" t="s">
        <v>888</v>
      </c>
      <c r="P829" s="279">
        <v>0</v>
      </c>
      <c r="Q829" s="281">
        <v>0</v>
      </c>
      <c r="R829" s="282" t="s">
        <v>889</v>
      </c>
      <c r="S829" s="274" t="s">
        <v>1927</v>
      </c>
      <c r="T829" s="44">
        <v>1</v>
      </c>
      <c r="U829" s="283">
        <v>51</v>
      </c>
      <c r="V829" s="284">
        <v>10</v>
      </c>
      <c r="W829" s="285" t="s">
        <v>889</v>
      </c>
      <c r="X829" s="286" t="s">
        <v>889</v>
      </c>
      <c r="Y829" s="287">
        <v>0</v>
      </c>
      <c r="Z829" s="287">
        <v>11869</v>
      </c>
      <c r="AA829" s="286">
        <v>2023</v>
      </c>
      <c r="AB829" s="287">
        <v>2000</v>
      </c>
      <c r="AC829" s="287">
        <v>2000</v>
      </c>
      <c r="AD829" s="288" t="s">
        <v>2070</v>
      </c>
      <c r="AE829" s="289">
        <v>45209</v>
      </c>
      <c r="AF829" s="279">
        <v>272</v>
      </c>
      <c r="AG829" s="282">
        <v>44946</v>
      </c>
      <c r="AH829" s="282">
        <v>43518</v>
      </c>
      <c r="AI829" s="282">
        <v>45189</v>
      </c>
      <c r="AJ829" s="282" t="s">
        <v>889</v>
      </c>
      <c r="AK829" s="274"/>
    </row>
    <row r="830" spans="1:37" x14ac:dyDescent="0.3">
      <c r="A830" s="273">
        <v>136564</v>
      </c>
      <c r="B830" s="274" t="s">
        <v>1931</v>
      </c>
      <c r="C830" s="146" t="s">
        <v>272</v>
      </c>
      <c r="D830" s="275">
        <v>2.7</v>
      </c>
      <c r="E830" s="274"/>
      <c r="F830" s="274"/>
      <c r="G830" s="274" t="s">
        <v>889</v>
      </c>
      <c r="H830" s="276">
        <v>13115</v>
      </c>
      <c r="I830" s="24">
        <v>103003</v>
      </c>
      <c r="J830" s="277">
        <v>2.7</v>
      </c>
      <c r="K830" s="276">
        <v>23180</v>
      </c>
      <c r="L830" s="278">
        <v>4.6909146836538698</v>
      </c>
      <c r="M830" s="279">
        <v>19214.96</v>
      </c>
      <c r="N830" s="277">
        <v>51880.392</v>
      </c>
      <c r="O830" s="280" t="s">
        <v>888</v>
      </c>
      <c r="P830" s="279">
        <v>0</v>
      </c>
      <c r="Q830" s="281">
        <v>0</v>
      </c>
      <c r="R830" s="282" t="s">
        <v>889</v>
      </c>
      <c r="S830" s="274" t="s">
        <v>1630</v>
      </c>
      <c r="T830" s="44">
        <v>1</v>
      </c>
      <c r="U830" s="283">
        <v>60</v>
      </c>
      <c r="V830" s="284">
        <v>21</v>
      </c>
      <c r="W830" s="285">
        <v>2773</v>
      </c>
      <c r="X830" s="286">
        <v>2023</v>
      </c>
      <c r="Y830" s="287">
        <v>1220</v>
      </c>
      <c r="Z830" s="287" t="s">
        <v>889</v>
      </c>
      <c r="AA830" s="286" t="s">
        <v>889</v>
      </c>
      <c r="AB830" s="287">
        <v>0</v>
      </c>
      <c r="AC830" s="287"/>
      <c r="AD830" s="288" t="s">
        <v>889</v>
      </c>
      <c r="AE830" s="289" t="s">
        <v>889</v>
      </c>
      <c r="AF830" s="279">
        <v>11184</v>
      </c>
      <c r="AG830" s="282">
        <v>44809</v>
      </c>
      <c r="AH830" s="282">
        <v>43521</v>
      </c>
      <c r="AI830" s="282">
        <v>44803</v>
      </c>
      <c r="AJ830" s="282" t="s">
        <v>889</v>
      </c>
      <c r="AK830" s="274"/>
    </row>
    <row r="831" spans="1:37" x14ac:dyDescent="0.3">
      <c r="A831" s="273">
        <v>136674</v>
      </c>
      <c r="B831" s="274" t="s">
        <v>1932</v>
      </c>
      <c r="C831" s="146" t="s">
        <v>263</v>
      </c>
      <c r="D831" s="275">
        <v>41</v>
      </c>
      <c r="E831" s="274"/>
      <c r="F831" s="274"/>
      <c r="G831" s="274" t="s">
        <v>889</v>
      </c>
      <c r="H831" s="276">
        <v>6</v>
      </c>
      <c r="I831" s="24">
        <v>103003</v>
      </c>
      <c r="J831" s="277">
        <v>41</v>
      </c>
      <c r="K831" s="276"/>
      <c r="L831" s="278">
        <v>0</v>
      </c>
      <c r="M831" s="279">
        <v>0</v>
      </c>
      <c r="N831" s="277">
        <v>0</v>
      </c>
      <c r="O831" s="280" t="s">
        <v>888</v>
      </c>
      <c r="P831" s="279">
        <v>0</v>
      </c>
      <c r="Q831" s="281">
        <v>0</v>
      </c>
      <c r="R831" s="282" t="s">
        <v>889</v>
      </c>
      <c r="S831" s="274" t="s">
        <v>1619</v>
      </c>
      <c r="T831" s="44">
        <v>1</v>
      </c>
      <c r="U831" s="283">
        <v>62</v>
      </c>
      <c r="V831" s="284">
        <v>1</v>
      </c>
      <c r="W831" s="285" t="s">
        <v>889</v>
      </c>
      <c r="X831" s="286" t="s">
        <v>889</v>
      </c>
      <c r="Y831" s="287">
        <v>0</v>
      </c>
      <c r="Z831" s="287" t="s">
        <v>889</v>
      </c>
      <c r="AA831" s="286" t="s">
        <v>889</v>
      </c>
      <c r="AB831" s="287">
        <v>0</v>
      </c>
      <c r="AC831" s="287"/>
      <c r="AD831" s="288" t="s">
        <v>889</v>
      </c>
      <c r="AE831" s="289" t="s">
        <v>889</v>
      </c>
      <c r="AF831" s="279">
        <v>0</v>
      </c>
      <c r="AG831" s="282">
        <v>44011</v>
      </c>
      <c r="AH831" s="282">
        <v>43549</v>
      </c>
      <c r="AI831" s="282">
        <v>43970</v>
      </c>
      <c r="AJ831" s="282" t="s">
        <v>889</v>
      </c>
      <c r="AK831" s="274"/>
    </row>
    <row r="832" spans="1:37" x14ac:dyDescent="0.3">
      <c r="A832" s="273">
        <v>136675</v>
      </c>
      <c r="B832" s="274" t="s">
        <v>1933</v>
      </c>
      <c r="C832" s="146" t="s">
        <v>263</v>
      </c>
      <c r="D832" s="275">
        <v>65.260000000000005</v>
      </c>
      <c r="E832" s="274"/>
      <c r="F832" s="274"/>
      <c r="G832" s="274" t="s">
        <v>889</v>
      </c>
      <c r="H832" s="276">
        <v>0</v>
      </c>
      <c r="I832" s="24">
        <v>103003</v>
      </c>
      <c r="J832" s="277">
        <v>65.260000000000005</v>
      </c>
      <c r="K832" s="276"/>
      <c r="L832" s="278">
        <v>0</v>
      </c>
      <c r="M832" s="279">
        <v>0</v>
      </c>
      <c r="N832" s="277">
        <v>0</v>
      </c>
      <c r="O832" s="280" t="s">
        <v>888</v>
      </c>
      <c r="P832" s="279">
        <v>0</v>
      </c>
      <c r="Q832" s="281">
        <v>0</v>
      </c>
      <c r="R832" s="282" t="s">
        <v>889</v>
      </c>
      <c r="S832" s="274" t="s">
        <v>1619</v>
      </c>
      <c r="T832" s="44">
        <v>1</v>
      </c>
      <c r="U832" s="283">
        <v>62</v>
      </c>
      <c r="V832" s="284">
        <v>1</v>
      </c>
      <c r="W832" s="285">
        <v>2830</v>
      </c>
      <c r="X832" s="286">
        <v>2023</v>
      </c>
      <c r="Y832" s="287">
        <v>2</v>
      </c>
      <c r="Z832" s="287" t="s">
        <v>889</v>
      </c>
      <c r="AA832" s="286" t="s">
        <v>889</v>
      </c>
      <c r="AB832" s="287">
        <v>0</v>
      </c>
      <c r="AC832" s="287"/>
      <c r="AD832" s="288" t="s">
        <v>889</v>
      </c>
      <c r="AE832" s="289" t="s">
        <v>889</v>
      </c>
      <c r="AF832" s="279">
        <v>0</v>
      </c>
      <c r="AG832" s="282">
        <v>44011</v>
      </c>
      <c r="AH832" s="282">
        <v>43549</v>
      </c>
      <c r="AI832" s="282">
        <v>45005</v>
      </c>
      <c r="AJ832" s="282" t="s">
        <v>889</v>
      </c>
      <c r="AK832" s="274"/>
    </row>
    <row r="833" spans="1:37" x14ac:dyDescent="0.3">
      <c r="A833" s="273">
        <v>136818</v>
      </c>
      <c r="B833" s="274" t="s">
        <v>1934</v>
      </c>
      <c r="C833" s="146" t="s">
        <v>31</v>
      </c>
      <c r="D833" s="275">
        <v>5.45</v>
      </c>
      <c r="E833" s="274"/>
      <c r="F833" s="274"/>
      <c r="G833" s="274" t="s">
        <v>889</v>
      </c>
      <c r="H833" s="276">
        <v>1161</v>
      </c>
      <c r="I833" s="24">
        <v>103003</v>
      </c>
      <c r="J833" s="277">
        <v>5.45</v>
      </c>
      <c r="K833" s="276">
        <v>21</v>
      </c>
      <c r="L833" s="278">
        <v>663.42857142857144</v>
      </c>
      <c r="M833" s="279">
        <v>0</v>
      </c>
      <c r="N833" s="277">
        <v>0</v>
      </c>
      <c r="O833" s="280" t="s">
        <v>888</v>
      </c>
      <c r="P833" s="279">
        <v>0</v>
      </c>
      <c r="Q833" s="281">
        <v>0</v>
      </c>
      <c r="R833" s="282" t="s">
        <v>889</v>
      </c>
      <c r="S833" s="274" t="s">
        <v>1492</v>
      </c>
      <c r="T833" s="44">
        <v>1</v>
      </c>
      <c r="U833" s="283">
        <v>54</v>
      </c>
      <c r="V833" s="284">
        <v>4</v>
      </c>
      <c r="W833" s="285" t="s">
        <v>889</v>
      </c>
      <c r="X833" s="286" t="s">
        <v>889</v>
      </c>
      <c r="Y833" s="287">
        <v>0</v>
      </c>
      <c r="Z833" s="287" t="s">
        <v>889</v>
      </c>
      <c r="AA833" s="286" t="s">
        <v>889</v>
      </c>
      <c r="AB833" s="287">
        <v>0</v>
      </c>
      <c r="AC833" s="287"/>
      <c r="AD833" s="288" t="s">
        <v>889</v>
      </c>
      <c r="AE833" s="289" t="s">
        <v>889</v>
      </c>
      <c r="AF833" s="279">
        <v>8</v>
      </c>
      <c r="AG833" s="282">
        <v>44517</v>
      </c>
      <c r="AH833" s="282">
        <v>43572</v>
      </c>
      <c r="AI833" s="282">
        <v>44803</v>
      </c>
      <c r="AJ833" s="282" t="s">
        <v>889</v>
      </c>
      <c r="AK833" s="274"/>
    </row>
    <row r="834" spans="1:37" x14ac:dyDescent="0.3">
      <c r="A834" s="273">
        <v>136819</v>
      </c>
      <c r="B834" s="274" t="s">
        <v>1935</v>
      </c>
      <c r="C834" s="146" t="s">
        <v>436</v>
      </c>
      <c r="D834" s="275">
        <v>12.33</v>
      </c>
      <c r="E834" s="274"/>
      <c r="F834" s="274"/>
      <c r="G834" s="274" t="s">
        <v>889</v>
      </c>
      <c r="H834" s="276">
        <v>239</v>
      </c>
      <c r="I834" s="24">
        <v>103003</v>
      </c>
      <c r="J834" s="277">
        <v>12.33</v>
      </c>
      <c r="K834" s="276">
        <v>16</v>
      </c>
      <c r="L834" s="278">
        <v>143.11377245508982</v>
      </c>
      <c r="M834" s="279">
        <v>0</v>
      </c>
      <c r="N834" s="277">
        <v>0</v>
      </c>
      <c r="O834" s="280" t="s">
        <v>888</v>
      </c>
      <c r="P834" s="279">
        <v>0</v>
      </c>
      <c r="Q834" s="281">
        <v>0</v>
      </c>
      <c r="R834" s="282" t="s">
        <v>889</v>
      </c>
      <c r="S834" s="274" t="s">
        <v>1492</v>
      </c>
      <c r="T834" s="44">
        <v>1</v>
      </c>
      <c r="U834" s="283">
        <v>54</v>
      </c>
      <c r="V834" s="284">
        <v>4</v>
      </c>
      <c r="W834" s="285" t="s">
        <v>889</v>
      </c>
      <c r="X834" s="286" t="s">
        <v>889</v>
      </c>
      <c r="Y834" s="287">
        <v>0</v>
      </c>
      <c r="Z834" s="287" t="s">
        <v>889</v>
      </c>
      <c r="AA834" s="286" t="s">
        <v>889</v>
      </c>
      <c r="AB834" s="287">
        <v>0</v>
      </c>
      <c r="AC834" s="287"/>
      <c r="AD834" s="288" t="s">
        <v>889</v>
      </c>
      <c r="AE834" s="289" t="s">
        <v>889</v>
      </c>
      <c r="AF834" s="279">
        <v>6</v>
      </c>
      <c r="AG834" s="282">
        <v>44431</v>
      </c>
      <c r="AH834" s="282">
        <v>43572</v>
      </c>
      <c r="AI834" s="282">
        <v>45142</v>
      </c>
      <c r="AJ834" s="282" t="s">
        <v>889</v>
      </c>
      <c r="AK834" s="274"/>
    </row>
    <row r="835" spans="1:37" x14ac:dyDescent="0.3">
      <c r="A835" s="273">
        <v>136820</v>
      </c>
      <c r="B835" s="274" t="s">
        <v>874</v>
      </c>
      <c r="C835" s="146" t="s">
        <v>436</v>
      </c>
      <c r="D835" s="275">
        <v>115.78</v>
      </c>
      <c r="E835" s="274"/>
      <c r="F835" s="274"/>
      <c r="G835" s="274" t="s">
        <v>889</v>
      </c>
      <c r="H835" s="276">
        <v>12</v>
      </c>
      <c r="I835" s="24">
        <v>103003</v>
      </c>
      <c r="J835" s="277">
        <v>115.78</v>
      </c>
      <c r="K835" s="276">
        <v>3</v>
      </c>
      <c r="L835" s="278">
        <v>48</v>
      </c>
      <c r="M835" s="279">
        <v>0</v>
      </c>
      <c r="N835" s="277">
        <v>0</v>
      </c>
      <c r="O835" s="280" t="s">
        <v>888</v>
      </c>
      <c r="P835" s="279">
        <v>0</v>
      </c>
      <c r="Q835" s="281">
        <v>0</v>
      </c>
      <c r="R835" s="282" t="s">
        <v>889</v>
      </c>
      <c r="S835" s="274" t="s">
        <v>1492</v>
      </c>
      <c r="T835" s="44">
        <v>1</v>
      </c>
      <c r="U835" s="283">
        <v>54</v>
      </c>
      <c r="V835" s="284">
        <v>4</v>
      </c>
      <c r="W835" s="285" t="s">
        <v>889</v>
      </c>
      <c r="X835" s="286" t="s">
        <v>889</v>
      </c>
      <c r="Y835" s="287">
        <v>0</v>
      </c>
      <c r="Z835" s="287" t="s">
        <v>889</v>
      </c>
      <c r="AA835" s="286" t="s">
        <v>889</v>
      </c>
      <c r="AB835" s="287">
        <v>0</v>
      </c>
      <c r="AC835" s="287"/>
      <c r="AD835" s="288" t="s">
        <v>889</v>
      </c>
      <c r="AE835" s="289" t="s">
        <v>889</v>
      </c>
      <c r="AF835" s="279">
        <v>2</v>
      </c>
      <c r="AG835" s="282">
        <v>43837</v>
      </c>
      <c r="AH835" s="282">
        <v>43572</v>
      </c>
      <c r="AI835" s="282">
        <v>45142</v>
      </c>
      <c r="AJ835" s="282" t="s">
        <v>889</v>
      </c>
      <c r="AK835" s="274"/>
    </row>
    <row r="836" spans="1:37" x14ac:dyDescent="0.3">
      <c r="A836" s="273">
        <v>136821</v>
      </c>
      <c r="B836" s="274" t="s">
        <v>875</v>
      </c>
      <c r="C836" s="146" t="s">
        <v>436</v>
      </c>
      <c r="D836" s="275">
        <v>131</v>
      </c>
      <c r="E836" s="274"/>
      <c r="F836" s="274"/>
      <c r="G836" s="274" t="s">
        <v>889</v>
      </c>
      <c r="H836" s="276">
        <v>5</v>
      </c>
      <c r="I836" s="24">
        <v>103003</v>
      </c>
      <c r="J836" s="277">
        <v>131</v>
      </c>
      <c r="K836" s="276">
        <v>1</v>
      </c>
      <c r="L836" s="278">
        <v>62.5</v>
      </c>
      <c r="M836" s="279">
        <v>0</v>
      </c>
      <c r="N836" s="277">
        <v>0</v>
      </c>
      <c r="O836" s="280" t="s">
        <v>888</v>
      </c>
      <c r="P836" s="279">
        <v>0</v>
      </c>
      <c r="Q836" s="281">
        <v>0</v>
      </c>
      <c r="R836" s="282" t="s">
        <v>889</v>
      </c>
      <c r="S836" s="274" t="s">
        <v>1492</v>
      </c>
      <c r="T836" s="44">
        <v>1</v>
      </c>
      <c r="U836" s="283">
        <v>54</v>
      </c>
      <c r="V836" s="284">
        <v>4</v>
      </c>
      <c r="W836" s="285" t="s">
        <v>889</v>
      </c>
      <c r="X836" s="286" t="s">
        <v>889</v>
      </c>
      <c r="Y836" s="287">
        <v>0</v>
      </c>
      <c r="Z836" s="287" t="s">
        <v>889</v>
      </c>
      <c r="AA836" s="286" t="s">
        <v>889</v>
      </c>
      <c r="AB836" s="287">
        <v>0</v>
      </c>
      <c r="AC836" s="287"/>
      <c r="AD836" s="288" t="s">
        <v>889</v>
      </c>
      <c r="AE836" s="289" t="s">
        <v>889</v>
      </c>
      <c r="AF836" s="279">
        <v>0</v>
      </c>
      <c r="AG836" s="282">
        <v>43837</v>
      </c>
      <c r="AH836" s="282">
        <v>43572</v>
      </c>
      <c r="AI836" s="282">
        <v>45198</v>
      </c>
      <c r="AJ836" s="282" t="s">
        <v>889</v>
      </c>
      <c r="AK836" s="274"/>
    </row>
    <row r="837" spans="1:37" x14ac:dyDescent="0.3">
      <c r="A837" s="273">
        <v>136822</v>
      </c>
      <c r="B837" s="274" t="s">
        <v>876</v>
      </c>
      <c r="C837" s="146" t="s">
        <v>436</v>
      </c>
      <c r="D837" s="275">
        <v>61.58</v>
      </c>
      <c r="E837" s="274"/>
      <c r="F837" s="274"/>
      <c r="G837" s="274" t="s">
        <v>889</v>
      </c>
      <c r="H837" s="276">
        <v>77</v>
      </c>
      <c r="I837" s="24">
        <v>103003</v>
      </c>
      <c r="J837" s="277">
        <v>61.58</v>
      </c>
      <c r="K837" s="276">
        <v>3</v>
      </c>
      <c r="L837" s="278">
        <v>308</v>
      </c>
      <c r="M837" s="279">
        <v>0</v>
      </c>
      <c r="N837" s="277">
        <v>0</v>
      </c>
      <c r="O837" s="280" t="s">
        <v>888</v>
      </c>
      <c r="P837" s="279">
        <v>0</v>
      </c>
      <c r="Q837" s="281">
        <v>0</v>
      </c>
      <c r="R837" s="282" t="s">
        <v>889</v>
      </c>
      <c r="S837" s="274" t="s">
        <v>1492</v>
      </c>
      <c r="T837" s="44">
        <v>1</v>
      </c>
      <c r="U837" s="283">
        <v>54</v>
      </c>
      <c r="V837" s="284">
        <v>4</v>
      </c>
      <c r="W837" s="285" t="s">
        <v>889</v>
      </c>
      <c r="X837" s="286" t="s">
        <v>889</v>
      </c>
      <c r="Y837" s="287">
        <v>0</v>
      </c>
      <c r="Z837" s="287" t="s">
        <v>889</v>
      </c>
      <c r="AA837" s="286" t="s">
        <v>889</v>
      </c>
      <c r="AB837" s="287">
        <v>0</v>
      </c>
      <c r="AC837" s="287"/>
      <c r="AD837" s="288" t="s">
        <v>889</v>
      </c>
      <c r="AE837" s="289" t="s">
        <v>889</v>
      </c>
      <c r="AF837" s="279">
        <v>0</v>
      </c>
      <c r="AG837" s="282">
        <v>43837</v>
      </c>
      <c r="AH837" s="282">
        <v>43572</v>
      </c>
      <c r="AI837" s="282">
        <v>44379</v>
      </c>
      <c r="AJ837" s="282" t="s">
        <v>889</v>
      </c>
      <c r="AK837" s="274"/>
    </row>
    <row r="838" spans="1:37" x14ac:dyDescent="0.3">
      <c r="A838" s="273">
        <v>136823</v>
      </c>
      <c r="B838" s="274" t="s">
        <v>1936</v>
      </c>
      <c r="C838" s="146" t="s">
        <v>436</v>
      </c>
      <c r="D838" s="275">
        <v>131</v>
      </c>
      <c r="E838" s="274"/>
      <c r="F838" s="274"/>
      <c r="G838" s="274" t="s">
        <v>889</v>
      </c>
      <c r="H838" s="276">
        <v>51</v>
      </c>
      <c r="I838" s="24">
        <v>103003</v>
      </c>
      <c r="J838" s="277">
        <v>131</v>
      </c>
      <c r="K838" s="276">
        <v>2</v>
      </c>
      <c r="L838" s="278">
        <v>300</v>
      </c>
      <c r="M838" s="279">
        <v>0</v>
      </c>
      <c r="N838" s="277">
        <v>0</v>
      </c>
      <c r="O838" s="280" t="s">
        <v>888</v>
      </c>
      <c r="P838" s="279">
        <v>0</v>
      </c>
      <c r="Q838" s="281">
        <v>0</v>
      </c>
      <c r="R838" s="282" t="s">
        <v>889</v>
      </c>
      <c r="S838" s="274" t="s">
        <v>1492</v>
      </c>
      <c r="T838" s="44">
        <v>1</v>
      </c>
      <c r="U838" s="283">
        <v>54</v>
      </c>
      <c r="V838" s="284">
        <v>4</v>
      </c>
      <c r="W838" s="285" t="s">
        <v>889</v>
      </c>
      <c r="X838" s="286" t="s">
        <v>889</v>
      </c>
      <c r="Y838" s="287">
        <v>0</v>
      </c>
      <c r="Z838" s="287" t="s">
        <v>889</v>
      </c>
      <c r="AA838" s="286" t="s">
        <v>889</v>
      </c>
      <c r="AB838" s="287">
        <v>0</v>
      </c>
      <c r="AC838" s="287"/>
      <c r="AD838" s="288" t="s">
        <v>889</v>
      </c>
      <c r="AE838" s="289" t="s">
        <v>889</v>
      </c>
      <c r="AF838" s="279">
        <v>0</v>
      </c>
      <c r="AG838" s="282">
        <v>43837</v>
      </c>
      <c r="AH838" s="282">
        <v>43572</v>
      </c>
      <c r="AI838" s="282">
        <v>45198</v>
      </c>
      <c r="AJ838" s="282" t="s">
        <v>889</v>
      </c>
      <c r="AK838" s="274"/>
    </row>
    <row r="839" spans="1:37" x14ac:dyDescent="0.3">
      <c r="A839" s="273">
        <v>136824</v>
      </c>
      <c r="B839" s="274" t="s">
        <v>1937</v>
      </c>
      <c r="C839" s="146" t="s">
        <v>436</v>
      </c>
      <c r="D839" s="275">
        <v>131</v>
      </c>
      <c r="E839" s="274"/>
      <c r="F839" s="274"/>
      <c r="G839" s="274" t="s">
        <v>889</v>
      </c>
      <c r="H839" s="276">
        <v>11</v>
      </c>
      <c r="I839" s="24">
        <v>103003</v>
      </c>
      <c r="J839" s="277">
        <v>131</v>
      </c>
      <c r="K839" s="276">
        <v>5</v>
      </c>
      <c r="L839" s="278">
        <v>26.19047619047619</v>
      </c>
      <c r="M839" s="279">
        <v>0</v>
      </c>
      <c r="N839" s="277">
        <v>0</v>
      </c>
      <c r="O839" s="280" t="s">
        <v>888</v>
      </c>
      <c r="P839" s="279">
        <v>0</v>
      </c>
      <c r="Q839" s="281">
        <v>0</v>
      </c>
      <c r="R839" s="282" t="s">
        <v>889</v>
      </c>
      <c r="S839" s="274" t="s">
        <v>1492</v>
      </c>
      <c r="T839" s="44">
        <v>1</v>
      </c>
      <c r="U839" s="283">
        <v>54</v>
      </c>
      <c r="V839" s="284">
        <v>4</v>
      </c>
      <c r="W839" s="285" t="s">
        <v>889</v>
      </c>
      <c r="X839" s="286" t="s">
        <v>889</v>
      </c>
      <c r="Y839" s="287">
        <v>0</v>
      </c>
      <c r="Z839" s="287" t="s">
        <v>889</v>
      </c>
      <c r="AA839" s="286" t="s">
        <v>889</v>
      </c>
      <c r="AB839" s="287">
        <v>0</v>
      </c>
      <c r="AC839" s="287"/>
      <c r="AD839" s="288" t="s">
        <v>889</v>
      </c>
      <c r="AE839" s="289" t="s">
        <v>889</v>
      </c>
      <c r="AF839" s="279">
        <v>2</v>
      </c>
      <c r="AG839" s="282">
        <v>45181</v>
      </c>
      <c r="AH839" s="282">
        <v>43572</v>
      </c>
      <c r="AI839" s="282">
        <v>45198</v>
      </c>
      <c r="AJ839" s="282" t="s">
        <v>889</v>
      </c>
      <c r="AK839" s="274"/>
    </row>
    <row r="840" spans="1:37" x14ac:dyDescent="0.3">
      <c r="A840" s="273">
        <v>136825</v>
      </c>
      <c r="B840" s="274" t="s">
        <v>1938</v>
      </c>
      <c r="C840" s="146" t="s">
        <v>436</v>
      </c>
      <c r="D840" s="275">
        <v>131</v>
      </c>
      <c r="E840" s="274"/>
      <c r="F840" s="274"/>
      <c r="G840" s="274" t="s">
        <v>889</v>
      </c>
      <c r="H840" s="276">
        <v>2</v>
      </c>
      <c r="I840" s="24">
        <v>103003</v>
      </c>
      <c r="J840" s="277">
        <v>131</v>
      </c>
      <c r="K840" s="276">
        <v>4</v>
      </c>
      <c r="L840" s="278">
        <v>6.0606060606060606</v>
      </c>
      <c r="M840" s="279">
        <v>1.96</v>
      </c>
      <c r="N840" s="277">
        <v>256.76</v>
      </c>
      <c r="O840" s="280" t="s">
        <v>888</v>
      </c>
      <c r="P840" s="279">
        <v>0</v>
      </c>
      <c r="Q840" s="281">
        <v>0</v>
      </c>
      <c r="R840" s="282" t="s">
        <v>889</v>
      </c>
      <c r="S840" s="274" t="s">
        <v>1492</v>
      </c>
      <c r="T840" s="44">
        <v>1</v>
      </c>
      <c r="U840" s="283">
        <v>54</v>
      </c>
      <c r="V840" s="284">
        <v>4</v>
      </c>
      <c r="W840" s="285" t="s">
        <v>889</v>
      </c>
      <c r="X840" s="286" t="s">
        <v>889</v>
      </c>
      <c r="Y840" s="287">
        <v>0</v>
      </c>
      <c r="Z840" s="287" t="s">
        <v>889</v>
      </c>
      <c r="AA840" s="286" t="s">
        <v>889</v>
      </c>
      <c r="AB840" s="287">
        <v>0</v>
      </c>
      <c r="AC840" s="287"/>
      <c r="AD840" s="288" t="s">
        <v>889</v>
      </c>
      <c r="AE840" s="289" t="s">
        <v>889</v>
      </c>
      <c r="AF840" s="279">
        <v>2</v>
      </c>
      <c r="AG840" s="282">
        <v>45181</v>
      </c>
      <c r="AH840" s="282">
        <v>43572</v>
      </c>
      <c r="AI840" s="282">
        <v>45198</v>
      </c>
      <c r="AJ840" s="282" t="s">
        <v>889</v>
      </c>
      <c r="AK840" s="274"/>
    </row>
    <row r="841" spans="1:37" x14ac:dyDescent="0.3">
      <c r="A841" s="273">
        <v>136826</v>
      </c>
      <c r="B841" s="274" t="s">
        <v>1939</v>
      </c>
      <c r="C841" s="146" t="s">
        <v>436</v>
      </c>
      <c r="D841" s="275">
        <v>131</v>
      </c>
      <c r="E841" s="274"/>
      <c r="F841" s="274"/>
      <c r="G841" s="274" t="s">
        <v>889</v>
      </c>
      <c r="H841" s="276">
        <v>15</v>
      </c>
      <c r="I841" s="24">
        <v>103003</v>
      </c>
      <c r="J841" s="277">
        <v>131</v>
      </c>
      <c r="K841" s="276">
        <v>8</v>
      </c>
      <c r="L841" s="278">
        <v>22.388059701492537</v>
      </c>
      <c r="M841" s="279">
        <v>0</v>
      </c>
      <c r="N841" s="277">
        <v>0</v>
      </c>
      <c r="O841" s="280" t="s">
        <v>888</v>
      </c>
      <c r="P841" s="279">
        <v>0</v>
      </c>
      <c r="Q841" s="281">
        <v>0</v>
      </c>
      <c r="R841" s="282" t="s">
        <v>889</v>
      </c>
      <c r="S841" s="274" t="s">
        <v>1492</v>
      </c>
      <c r="T841" s="44">
        <v>1</v>
      </c>
      <c r="U841" s="283">
        <v>54</v>
      </c>
      <c r="V841" s="284">
        <v>4</v>
      </c>
      <c r="W841" s="285" t="s">
        <v>889</v>
      </c>
      <c r="X841" s="286" t="s">
        <v>889</v>
      </c>
      <c r="Y841" s="287">
        <v>0</v>
      </c>
      <c r="Z841" s="287" t="s">
        <v>889</v>
      </c>
      <c r="AA841" s="286" t="s">
        <v>889</v>
      </c>
      <c r="AB841" s="287">
        <v>0</v>
      </c>
      <c r="AC841" s="287"/>
      <c r="AD841" s="288" t="s">
        <v>889</v>
      </c>
      <c r="AE841" s="289" t="s">
        <v>889</v>
      </c>
      <c r="AF841" s="279">
        <v>2</v>
      </c>
      <c r="AG841" s="282">
        <v>45181</v>
      </c>
      <c r="AH841" s="282">
        <v>43572</v>
      </c>
      <c r="AI841" s="282">
        <v>45198</v>
      </c>
      <c r="AJ841" s="282" t="s">
        <v>889</v>
      </c>
      <c r="AK841" s="274"/>
    </row>
    <row r="842" spans="1:37" x14ac:dyDescent="0.3">
      <c r="A842" s="273">
        <v>136829</v>
      </c>
      <c r="B842" s="274" t="s">
        <v>1940</v>
      </c>
      <c r="C842" s="146" t="s">
        <v>436</v>
      </c>
      <c r="D842" s="275">
        <v>115.93</v>
      </c>
      <c r="E842" s="274"/>
      <c r="F842" s="274"/>
      <c r="G842" s="274" t="s">
        <v>889</v>
      </c>
      <c r="H842" s="276">
        <v>5</v>
      </c>
      <c r="I842" s="24">
        <v>103003</v>
      </c>
      <c r="J842" s="277">
        <v>115.93</v>
      </c>
      <c r="K842" s="276"/>
      <c r="L842" s="278">
        <v>0</v>
      </c>
      <c r="M842" s="279">
        <v>0</v>
      </c>
      <c r="N842" s="277">
        <v>0</v>
      </c>
      <c r="O842" s="280" t="s">
        <v>888</v>
      </c>
      <c r="P842" s="279">
        <v>0</v>
      </c>
      <c r="Q842" s="281">
        <v>0</v>
      </c>
      <c r="R842" s="282" t="s">
        <v>889</v>
      </c>
      <c r="S842" s="274" t="s">
        <v>1492</v>
      </c>
      <c r="T842" s="44">
        <v>1</v>
      </c>
      <c r="U842" s="283">
        <v>54</v>
      </c>
      <c r="V842" s="284">
        <v>4</v>
      </c>
      <c r="W842" s="285" t="s">
        <v>889</v>
      </c>
      <c r="X842" s="286" t="s">
        <v>889</v>
      </c>
      <c r="Y842" s="287">
        <v>0</v>
      </c>
      <c r="Z842" s="287" t="s">
        <v>889</v>
      </c>
      <c r="AA842" s="286" t="s">
        <v>889</v>
      </c>
      <c r="AB842" s="287">
        <v>0</v>
      </c>
      <c r="AC842" s="287"/>
      <c r="AD842" s="288" t="s">
        <v>889</v>
      </c>
      <c r="AE842" s="289" t="s">
        <v>889</v>
      </c>
      <c r="AF842" s="279">
        <v>0</v>
      </c>
      <c r="AG842" s="282">
        <v>43837</v>
      </c>
      <c r="AH842" s="282">
        <v>43572</v>
      </c>
      <c r="AI842" s="282">
        <v>45142</v>
      </c>
      <c r="AJ842" s="282" t="s">
        <v>889</v>
      </c>
      <c r="AK842" s="274"/>
    </row>
    <row r="843" spans="1:37" x14ac:dyDescent="0.3">
      <c r="A843" s="273">
        <v>136837</v>
      </c>
      <c r="B843" s="274" t="s">
        <v>877</v>
      </c>
      <c r="C843" s="146" t="s">
        <v>436</v>
      </c>
      <c r="D843" s="275">
        <v>56.6</v>
      </c>
      <c r="E843" s="274"/>
      <c r="F843" s="274"/>
      <c r="G843" s="274" t="s">
        <v>889</v>
      </c>
      <c r="H843" s="276">
        <v>3</v>
      </c>
      <c r="I843" s="24">
        <v>103003</v>
      </c>
      <c r="J843" s="277">
        <v>56.6</v>
      </c>
      <c r="K843" s="276"/>
      <c r="L843" s="278">
        <v>0</v>
      </c>
      <c r="M843" s="279">
        <v>0</v>
      </c>
      <c r="N843" s="277">
        <v>0</v>
      </c>
      <c r="O843" s="280" t="s">
        <v>888</v>
      </c>
      <c r="P843" s="279">
        <v>0</v>
      </c>
      <c r="Q843" s="281">
        <v>0</v>
      </c>
      <c r="R843" s="282" t="s">
        <v>889</v>
      </c>
      <c r="S843" s="274" t="s">
        <v>1492</v>
      </c>
      <c r="T843" s="44">
        <v>1</v>
      </c>
      <c r="U843" s="283">
        <v>54</v>
      </c>
      <c r="V843" s="284">
        <v>4</v>
      </c>
      <c r="W843" s="285" t="s">
        <v>889</v>
      </c>
      <c r="X843" s="286" t="s">
        <v>889</v>
      </c>
      <c r="Y843" s="287">
        <v>0</v>
      </c>
      <c r="Z843" s="287" t="s">
        <v>889</v>
      </c>
      <c r="AA843" s="286" t="s">
        <v>889</v>
      </c>
      <c r="AB843" s="287">
        <v>0</v>
      </c>
      <c r="AC843" s="287"/>
      <c r="AD843" s="288" t="s">
        <v>889</v>
      </c>
      <c r="AE843" s="289" t="s">
        <v>889</v>
      </c>
      <c r="AF843" s="279">
        <v>0</v>
      </c>
      <c r="AG843" s="282">
        <v>43819</v>
      </c>
      <c r="AH843" s="282">
        <v>43572</v>
      </c>
      <c r="AI843" s="282">
        <v>44461</v>
      </c>
      <c r="AJ843" s="282" t="s">
        <v>889</v>
      </c>
      <c r="AK843" s="274"/>
    </row>
    <row r="844" spans="1:37" x14ac:dyDescent="0.3">
      <c r="A844" s="273">
        <v>136838</v>
      </c>
      <c r="B844" s="274" t="s">
        <v>878</v>
      </c>
      <c r="C844" s="146" t="s">
        <v>436</v>
      </c>
      <c r="D844" s="275">
        <v>21.3</v>
      </c>
      <c r="E844" s="274"/>
      <c r="F844" s="274"/>
      <c r="G844" s="274" t="s">
        <v>889</v>
      </c>
      <c r="H844" s="276">
        <v>4</v>
      </c>
      <c r="I844" s="24">
        <v>103003</v>
      </c>
      <c r="J844" s="277">
        <v>21.3</v>
      </c>
      <c r="K844" s="276"/>
      <c r="L844" s="278">
        <v>0</v>
      </c>
      <c r="M844" s="279">
        <v>0</v>
      </c>
      <c r="N844" s="277">
        <v>0</v>
      </c>
      <c r="O844" s="280" t="s">
        <v>888</v>
      </c>
      <c r="P844" s="279">
        <v>0</v>
      </c>
      <c r="Q844" s="281">
        <v>0</v>
      </c>
      <c r="R844" s="282" t="s">
        <v>889</v>
      </c>
      <c r="S844" s="274" t="s">
        <v>1492</v>
      </c>
      <c r="T844" s="44">
        <v>1</v>
      </c>
      <c r="U844" s="283">
        <v>54</v>
      </c>
      <c r="V844" s="284">
        <v>4</v>
      </c>
      <c r="W844" s="285" t="s">
        <v>889</v>
      </c>
      <c r="X844" s="286" t="s">
        <v>889</v>
      </c>
      <c r="Y844" s="287">
        <v>0</v>
      </c>
      <c r="Z844" s="287" t="s">
        <v>889</v>
      </c>
      <c r="AA844" s="286" t="s">
        <v>889</v>
      </c>
      <c r="AB844" s="287">
        <v>0</v>
      </c>
      <c r="AC844" s="287"/>
      <c r="AD844" s="288" t="s">
        <v>889</v>
      </c>
      <c r="AE844" s="289" t="s">
        <v>889</v>
      </c>
      <c r="AF844" s="279">
        <v>0</v>
      </c>
      <c r="AG844" s="282">
        <v>43819</v>
      </c>
      <c r="AH844" s="282">
        <v>43572</v>
      </c>
      <c r="AI844" s="282">
        <v>43780</v>
      </c>
      <c r="AJ844" s="282" t="s">
        <v>889</v>
      </c>
      <c r="AK844" s="274"/>
    </row>
    <row r="845" spans="1:37" x14ac:dyDescent="0.3">
      <c r="A845" s="273">
        <v>136839</v>
      </c>
      <c r="B845" s="274" t="s">
        <v>879</v>
      </c>
      <c r="C845" s="146" t="s">
        <v>436</v>
      </c>
      <c r="D845" s="275">
        <v>21.3</v>
      </c>
      <c r="E845" s="274"/>
      <c r="F845" s="274"/>
      <c r="G845" s="274" t="s">
        <v>889</v>
      </c>
      <c r="H845" s="276">
        <v>16</v>
      </c>
      <c r="I845" s="24">
        <v>103003</v>
      </c>
      <c r="J845" s="277">
        <v>21.3</v>
      </c>
      <c r="K845" s="276"/>
      <c r="L845" s="278">
        <v>0</v>
      </c>
      <c r="M845" s="279">
        <v>0</v>
      </c>
      <c r="N845" s="277">
        <v>0</v>
      </c>
      <c r="O845" s="280" t="s">
        <v>888</v>
      </c>
      <c r="P845" s="279">
        <v>0</v>
      </c>
      <c r="Q845" s="281">
        <v>0</v>
      </c>
      <c r="R845" s="282" t="s">
        <v>889</v>
      </c>
      <c r="S845" s="274" t="s">
        <v>1492</v>
      </c>
      <c r="T845" s="44">
        <v>1</v>
      </c>
      <c r="U845" s="283">
        <v>54</v>
      </c>
      <c r="V845" s="284">
        <v>4</v>
      </c>
      <c r="W845" s="285" t="s">
        <v>889</v>
      </c>
      <c r="X845" s="286" t="s">
        <v>889</v>
      </c>
      <c r="Y845" s="287">
        <v>0</v>
      </c>
      <c r="Z845" s="287" t="s">
        <v>889</v>
      </c>
      <c r="AA845" s="286" t="s">
        <v>889</v>
      </c>
      <c r="AB845" s="287">
        <v>0</v>
      </c>
      <c r="AC845" s="287"/>
      <c r="AD845" s="288" t="s">
        <v>889</v>
      </c>
      <c r="AE845" s="289" t="s">
        <v>889</v>
      </c>
      <c r="AF845" s="279">
        <v>0</v>
      </c>
      <c r="AG845" s="282">
        <v>43819</v>
      </c>
      <c r="AH845" s="282">
        <v>43572</v>
      </c>
      <c r="AI845" s="282">
        <v>43780</v>
      </c>
      <c r="AJ845" s="282" t="s">
        <v>889</v>
      </c>
      <c r="AK845" s="274"/>
    </row>
    <row r="846" spans="1:37" x14ac:dyDescent="0.3">
      <c r="A846" s="273">
        <v>136840</v>
      </c>
      <c r="B846" s="274" t="s">
        <v>880</v>
      </c>
      <c r="C846" s="146" t="s">
        <v>436</v>
      </c>
      <c r="D846" s="275">
        <v>21.3</v>
      </c>
      <c r="E846" s="274"/>
      <c r="F846" s="274"/>
      <c r="G846" s="274" t="s">
        <v>889</v>
      </c>
      <c r="H846" s="276">
        <v>0</v>
      </c>
      <c r="I846" s="24">
        <v>103003</v>
      </c>
      <c r="J846" s="277">
        <v>21.3</v>
      </c>
      <c r="K846" s="276">
        <v>1</v>
      </c>
      <c r="L846" s="278">
        <v>0</v>
      </c>
      <c r="M846" s="279">
        <v>0.96</v>
      </c>
      <c r="N846" s="277">
        <v>20.448</v>
      </c>
      <c r="O846" s="280" t="s">
        <v>888</v>
      </c>
      <c r="P846" s="279">
        <v>0</v>
      </c>
      <c r="Q846" s="281">
        <v>0</v>
      </c>
      <c r="R846" s="282" t="s">
        <v>889</v>
      </c>
      <c r="S846" s="274" t="s">
        <v>1492</v>
      </c>
      <c r="T846" s="44">
        <v>1</v>
      </c>
      <c r="U846" s="283">
        <v>54</v>
      </c>
      <c r="V846" s="284">
        <v>4</v>
      </c>
      <c r="W846" s="285" t="s">
        <v>889</v>
      </c>
      <c r="X846" s="286" t="s">
        <v>889</v>
      </c>
      <c r="Y846" s="287">
        <v>0</v>
      </c>
      <c r="Z846" s="287" t="s">
        <v>889</v>
      </c>
      <c r="AA846" s="286" t="s">
        <v>889</v>
      </c>
      <c r="AB846" s="287">
        <v>0</v>
      </c>
      <c r="AC846" s="287"/>
      <c r="AD846" s="288" t="s">
        <v>889</v>
      </c>
      <c r="AE846" s="289" t="s">
        <v>889</v>
      </c>
      <c r="AF846" s="279">
        <v>0</v>
      </c>
      <c r="AG846" s="282">
        <v>43819</v>
      </c>
      <c r="AH846" s="282">
        <v>43572</v>
      </c>
      <c r="AI846" s="282">
        <v>43780</v>
      </c>
      <c r="AJ846" s="282" t="s">
        <v>889</v>
      </c>
      <c r="AK846" s="274"/>
    </row>
    <row r="847" spans="1:37" x14ac:dyDescent="0.3">
      <c r="A847" s="273">
        <v>136841</v>
      </c>
      <c r="B847" s="274" t="s">
        <v>881</v>
      </c>
      <c r="C847" s="146" t="s">
        <v>436</v>
      </c>
      <c r="D847" s="275">
        <v>21.3</v>
      </c>
      <c r="E847" s="274"/>
      <c r="F847" s="274"/>
      <c r="G847" s="274" t="s">
        <v>889</v>
      </c>
      <c r="H847" s="276">
        <v>0</v>
      </c>
      <c r="I847" s="24">
        <v>103003</v>
      </c>
      <c r="J847" s="277">
        <v>21.3</v>
      </c>
      <c r="K847" s="276">
        <v>7</v>
      </c>
      <c r="L847" s="278">
        <v>0</v>
      </c>
      <c r="M847" s="279">
        <v>12</v>
      </c>
      <c r="N847" s="277">
        <v>255.6</v>
      </c>
      <c r="O847" s="280" t="s">
        <v>888</v>
      </c>
      <c r="P847" s="279">
        <v>0</v>
      </c>
      <c r="Q847" s="281">
        <v>0</v>
      </c>
      <c r="R847" s="282" t="s">
        <v>889</v>
      </c>
      <c r="S847" s="274" t="s">
        <v>1492</v>
      </c>
      <c r="T847" s="44">
        <v>1</v>
      </c>
      <c r="U847" s="283">
        <v>54</v>
      </c>
      <c r="V847" s="284">
        <v>4</v>
      </c>
      <c r="W847" s="285" t="s">
        <v>889</v>
      </c>
      <c r="X847" s="286" t="s">
        <v>889</v>
      </c>
      <c r="Y847" s="287">
        <v>0</v>
      </c>
      <c r="Z847" s="287" t="s">
        <v>889</v>
      </c>
      <c r="AA847" s="286" t="s">
        <v>889</v>
      </c>
      <c r="AB847" s="287">
        <v>0</v>
      </c>
      <c r="AC847" s="287"/>
      <c r="AD847" s="288" t="s">
        <v>889</v>
      </c>
      <c r="AE847" s="289" t="s">
        <v>889</v>
      </c>
      <c r="AF847" s="279">
        <v>0</v>
      </c>
      <c r="AG847" s="282">
        <v>43819</v>
      </c>
      <c r="AH847" s="282">
        <v>43572</v>
      </c>
      <c r="AI847" s="282">
        <v>43780</v>
      </c>
      <c r="AJ847" s="282" t="s">
        <v>889</v>
      </c>
      <c r="AK847" s="274"/>
    </row>
    <row r="848" spans="1:37" x14ac:dyDescent="0.3">
      <c r="A848" s="273">
        <v>136842</v>
      </c>
      <c r="B848" s="274" t="s">
        <v>882</v>
      </c>
      <c r="C848" s="146" t="s">
        <v>436</v>
      </c>
      <c r="D848" s="275">
        <v>21.3</v>
      </c>
      <c r="E848" s="274"/>
      <c r="F848" s="274"/>
      <c r="G848" s="274" t="s">
        <v>889</v>
      </c>
      <c r="H848" s="276">
        <v>0</v>
      </c>
      <c r="I848" s="24">
        <v>103003</v>
      </c>
      <c r="J848" s="277">
        <v>21.3</v>
      </c>
      <c r="K848" s="276">
        <v>6</v>
      </c>
      <c r="L848" s="278">
        <v>0</v>
      </c>
      <c r="M848" s="279">
        <v>6</v>
      </c>
      <c r="N848" s="277">
        <v>127.8</v>
      </c>
      <c r="O848" s="280" t="s">
        <v>888</v>
      </c>
      <c r="P848" s="279">
        <v>0</v>
      </c>
      <c r="Q848" s="281">
        <v>0</v>
      </c>
      <c r="R848" s="282" t="s">
        <v>889</v>
      </c>
      <c r="S848" s="274" t="s">
        <v>1492</v>
      </c>
      <c r="T848" s="44">
        <v>1</v>
      </c>
      <c r="U848" s="283">
        <v>54</v>
      </c>
      <c r="V848" s="284">
        <v>4</v>
      </c>
      <c r="W848" s="285" t="s">
        <v>889</v>
      </c>
      <c r="X848" s="286" t="s">
        <v>889</v>
      </c>
      <c r="Y848" s="287">
        <v>0</v>
      </c>
      <c r="Z848" s="287" t="s">
        <v>889</v>
      </c>
      <c r="AA848" s="286" t="s">
        <v>889</v>
      </c>
      <c r="AB848" s="287">
        <v>0</v>
      </c>
      <c r="AC848" s="287"/>
      <c r="AD848" s="288" t="s">
        <v>889</v>
      </c>
      <c r="AE848" s="289" t="s">
        <v>889</v>
      </c>
      <c r="AF848" s="279">
        <v>0</v>
      </c>
      <c r="AG848" s="282">
        <v>43819</v>
      </c>
      <c r="AH848" s="282">
        <v>43572</v>
      </c>
      <c r="AI848" s="282">
        <v>43780</v>
      </c>
      <c r="AJ848" s="282" t="s">
        <v>889</v>
      </c>
      <c r="AK848" s="274"/>
    </row>
    <row r="849" spans="1:37" x14ac:dyDescent="0.3">
      <c r="A849" s="273">
        <v>136843</v>
      </c>
      <c r="B849" s="274" t="s">
        <v>883</v>
      </c>
      <c r="C849" s="146" t="s">
        <v>436</v>
      </c>
      <c r="D849" s="275">
        <v>56.6</v>
      </c>
      <c r="E849" s="274"/>
      <c r="F849" s="274"/>
      <c r="G849" s="274" t="s">
        <v>889</v>
      </c>
      <c r="H849" s="276">
        <v>4</v>
      </c>
      <c r="I849" s="24">
        <v>103003</v>
      </c>
      <c r="J849" s="277">
        <v>56.6</v>
      </c>
      <c r="K849" s="276">
        <v>3</v>
      </c>
      <c r="L849" s="278">
        <v>16</v>
      </c>
      <c r="M849" s="279">
        <v>0</v>
      </c>
      <c r="N849" s="277">
        <v>0</v>
      </c>
      <c r="O849" s="280" t="s">
        <v>888</v>
      </c>
      <c r="P849" s="279">
        <v>0</v>
      </c>
      <c r="Q849" s="281">
        <v>0</v>
      </c>
      <c r="R849" s="282" t="s">
        <v>889</v>
      </c>
      <c r="S849" s="274" t="s">
        <v>1492</v>
      </c>
      <c r="T849" s="44">
        <v>1</v>
      </c>
      <c r="U849" s="283">
        <v>54</v>
      </c>
      <c r="V849" s="284">
        <v>4</v>
      </c>
      <c r="W849" s="285" t="s">
        <v>889</v>
      </c>
      <c r="X849" s="286" t="s">
        <v>889</v>
      </c>
      <c r="Y849" s="287">
        <v>0</v>
      </c>
      <c r="Z849" s="287" t="s">
        <v>889</v>
      </c>
      <c r="AA849" s="286" t="s">
        <v>889</v>
      </c>
      <c r="AB849" s="287">
        <v>0</v>
      </c>
      <c r="AC849" s="287"/>
      <c r="AD849" s="288" t="s">
        <v>889</v>
      </c>
      <c r="AE849" s="289" t="s">
        <v>889</v>
      </c>
      <c r="AF849" s="279">
        <v>0</v>
      </c>
      <c r="AG849" s="282">
        <v>43819</v>
      </c>
      <c r="AH849" s="282">
        <v>43572</v>
      </c>
      <c r="AI849" s="282">
        <v>44461</v>
      </c>
      <c r="AJ849" s="282" t="s">
        <v>889</v>
      </c>
      <c r="AK849" s="274"/>
    </row>
    <row r="850" spans="1:37" x14ac:dyDescent="0.3">
      <c r="A850" s="273">
        <v>136853</v>
      </c>
      <c r="B850" s="274" t="s">
        <v>1941</v>
      </c>
      <c r="C850" s="146" t="s">
        <v>436</v>
      </c>
      <c r="D850" s="275">
        <v>1.76</v>
      </c>
      <c r="E850" s="274"/>
      <c r="F850" s="274"/>
      <c r="G850" s="274" t="s">
        <v>889</v>
      </c>
      <c r="H850" s="276">
        <v>55</v>
      </c>
      <c r="I850" s="24">
        <v>103003</v>
      </c>
      <c r="J850" s="277">
        <v>1.76</v>
      </c>
      <c r="K850" s="276">
        <v>21</v>
      </c>
      <c r="L850" s="278">
        <v>31.428571428571427</v>
      </c>
      <c r="M850" s="279">
        <v>0</v>
      </c>
      <c r="N850" s="277">
        <v>0</v>
      </c>
      <c r="O850" s="280" t="s">
        <v>888</v>
      </c>
      <c r="P850" s="279">
        <v>0</v>
      </c>
      <c r="Q850" s="281">
        <v>0</v>
      </c>
      <c r="R850" s="282" t="s">
        <v>889</v>
      </c>
      <c r="S850" s="274" t="s">
        <v>1492</v>
      </c>
      <c r="T850" s="44">
        <v>1</v>
      </c>
      <c r="U850" s="283">
        <v>54</v>
      </c>
      <c r="V850" s="284">
        <v>4</v>
      </c>
      <c r="W850" s="285" t="s">
        <v>889</v>
      </c>
      <c r="X850" s="286" t="s">
        <v>889</v>
      </c>
      <c r="Y850" s="287">
        <v>0</v>
      </c>
      <c r="Z850" s="287" t="s">
        <v>889</v>
      </c>
      <c r="AA850" s="286" t="s">
        <v>889</v>
      </c>
      <c r="AB850" s="287">
        <v>0</v>
      </c>
      <c r="AC850" s="287"/>
      <c r="AD850" s="288" t="s">
        <v>889</v>
      </c>
      <c r="AE850" s="289" t="s">
        <v>889</v>
      </c>
      <c r="AF850" s="279">
        <v>8</v>
      </c>
      <c r="AG850" s="282">
        <v>43802</v>
      </c>
      <c r="AH850" s="282">
        <v>43578</v>
      </c>
      <c r="AI850" s="282">
        <v>43780</v>
      </c>
      <c r="AJ850" s="282" t="s">
        <v>889</v>
      </c>
      <c r="AK850" s="274"/>
    </row>
    <row r="851" spans="1:37" x14ac:dyDescent="0.3">
      <c r="A851" s="273">
        <v>136854</v>
      </c>
      <c r="B851" s="274" t="s">
        <v>1942</v>
      </c>
      <c r="C851" s="146" t="s">
        <v>31</v>
      </c>
      <c r="D851" s="275">
        <v>3.5</v>
      </c>
      <c r="E851" s="274"/>
      <c r="F851" s="274"/>
      <c r="G851" s="274" t="s">
        <v>889</v>
      </c>
      <c r="H851" s="276">
        <v>66</v>
      </c>
      <c r="I851" s="24">
        <v>103003</v>
      </c>
      <c r="J851" s="277">
        <v>3.5</v>
      </c>
      <c r="K851" s="276">
        <v>4</v>
      </c>
      <c r="L851" s="278">
        <v>200</v>
      </c>
      <c r="M851" s="279">
        <v>0</v>
      </c>
      <c r="N851" s="277">
        <v>0</v>
      </c>
      <c r="O851" s="280" t="s">
        <v>888</v>
      </c>
      <c r="P851" s="279">
        <v>0</v>
      </c>
      <c r="Q851" s="281">
        <v>0</v>
      </c>
      <c r="R851" s="282" t="s">
        <v>889</v>
      </c>
      <c r="S851" s="274" t="s">
        <v>1492</v>
      </c>
      <c r="T851" s="44">
        <v>1</v>
      </c>
      <c r="U851" s="283">
        <v>54</v>
      </c>
      <c r="V851" s="284">
        <v>4</v>
      </c>
      <c r="W851" s="285" t="s">
        <v>889</v>
      </c>
      <c r="X851" s="286" t="s">
        <v>889</v>
      </c>
      <c r="Y851" s="287">
        <v>0</v>
      </c>
      <c r="Z851" s="287" t="s">
        <v>889</v>
      </c>
      <c r="AA851" s="286" t="s">
        <v>889</v>
      </c>
      <c r="AB851" s="287">
        <v>0</v>
      </c>
      <c r="AC851" s="287"/>
      <c r="AD851" s="288" t="s">
        <v>889</v>
      </c>
      <c r="AE851" s="289" t="s">
        <v>889</v>
      </c>
      <c r="AF851" s="279">
        <v>2</v>
      </c>
      <c r="AG851" s="282">
        <v>45203</v>
      </c>
      <c r="AH851" s="282">
        <v>43578</v>
      </c>
      <c r="AI851" s="282">
        <v>45142</v>
      </c>
      <c r="AJ851" s="282" t="s">
        <v>889</v>
      </c>
      <c r="AK851" s="274"/>
    </row>
    <row r="852" spans="1:37" x14ac:dyDescent="0.3">
      <c r="A852" s="273">
        <v>136855</v>
      </c>
      <c r="B852" s="274" t="s">
        <v>1943</v>
      </c>
      <c r="C852" s="146" t="s">
        <v>436</v>
      </c>
      <c r="D852" s="275">
        <v>6.9</v>
      </c>
      <c r="E852" s="274"/>
      <c r="F852" s="274"/>
      <c r="G852" s="274" t="s">
        <v>889</v>
      </c>
      <c r="H852" s="276">
        <v>80</v>
      </c>
      <c r="I852" s="24">
        <v>103003</v>
      </c>
      <c r="J852" s="277">
        <v>6.9</v>
      </c>
      <c r="K852" s="276">
        <v>3</v>
      </c>
      <c r="L852" s="278">
        <v>320</v>
      </c>
      <c r="M852" s="279">
        <v>0</v>
      </c>
      <c r="N852" s="277">
        <v>0</v>
      </c>
      <c r="O852" s="280" t="s">
        <v>888</v>
      </c>
      <c r="P852" s="279">
        <v>0</v>
      </c>
      <c r="Q852" s="281">
        <v>0</v>
      </c>
      <c r="R852" s="282" t="s">
        <v>889</v>
      </c>
      <c r="S852" s="274" t="s">
        <v>1492</v>
      </c>
      <c r="T852" s="44">
        <v>1</v>
      </c>
      <c r="U852" s="283">
        <v>54</v>
      </c>
      <c r="V852" s="284">
        <v>4</v>
      </c>
      <c r="W852" s="285" t="s">
        <v>889</v>
      </c>
      <c r="X852" s="286" t="s">
        <v>889</v>
      </c>
      <c r="Y852" s="287">
        <v>0</v>
      </c>
      <c r="Z852" s="287" t="s">
        <v>889</v>
      </c>
      <c r="AA852" s="286" t="s">
        <v>889</v>
      </c>
      <c r="AB852" s="287">
        <v>0</v>
      </c>
      <c r="AC852" s="287"/>
      <c r="AD852" s="288" t="s">
        <v>889</v>
      </c>
      <c r="AE852" s="289" t="s">
        <v>889</v>
      </c>
      <c r="AF852" s="279">
        <v>0</v>
      </c>
      <c r="AG852" s="282">
        <v>43962</v>
      </c>
      <c r="AH852" s="282">
        <v>43578</v>
      </c>
      <c r="AI852" s="282">
        <v>43929</v>
      </c>
      <c r="AJ852" s="282" t="s">
        <v>889</v>
      </c>
      <c r="AK852" s="274"/>
    </row>
    <row r="853" spans="1:37" x14ac:dyDescent="0.3">
      <c r="A853" s="273">
        <v>136858</v>
      </c>
      <c r="B853" s="274" t="s">
        <v>1944</v>
      </c>
      <c r="C853" s="146" t="s">
        <v>436</v>
      </c>
      <c r="D853" s="275">
        <v>8.8000000000000007</v>
      </c>
      <c r="E853" s="274"/>
      <c r="F853" s="274"/>
      <c r="G853" s="274" t="s">
        <v>889</v>
      </c>
      <c r="H853" s="276">
        <v>28</v>
      </c>
      <c r="I853" s="24">
        <v>103003</v>
      </c>
      <c r="J853" s="277">
        <v>8.8000000000000007</v>
      </c>
      <c r="K853" s="276"/>
      <c r="L853" s="278">
        <v>0</v>
      </c>
      <c r="M853" s="279">
        <v>0</v>
      </c>
      <c r="N853" s="277">
        <v>0</v>
      </c>
      <c r="O853" s="280" t="s">
        <v>888</v>
      </c>
      <c r="P853" s="279">
        <v>0</v>
      </c>
      <c r="Q853" s="281">
        <v>0</v>
      </c>
      <c r="R853" s="282" t="s">
        <v>889</v>
      </c>
      <c r="S853" s="274" t="s">
        <v>1492</v>
      </c>
      <c r="T853" s="44">
        <v>1</v>
      </c>
      <c r="U853" s="283">
        <v>54</v>
      </c>
      <c r="V853" s="284">
        <v>4</v>
      </c>
      <c r="W853" s="285" t="s">
        <v>889</v>
      </c>
      <c r="X853" s="286" t="s">
        <v>889</v>
      </c>
      <c r="Y853" s="287">
        <v>0</v>
      </c>
      <c r="Z853" s="287" t="s">
        <v>889</v>
      </c>
      <c r="AA853" s="286" t="s">
        <v>889</v>
      </c>
      <c r="AB853" s="287">
        <v>0</v>
      </c>
      <c r="AC853" s="287"/>
      <c r="AD853" s="288" t="s">
        <v>889</v>
      </c>
      <c r="AE853" s="289" t="s">
        <v>889</v>
      </c>
      <c r="AF853" s="279">
        <v>0</v>
      </c>
      <c r="AG853" s="282">
        <v>43965</v>
      </c>
      <c r="AH853" s="282">
        <v>43578</v>
      </c>
      <c r="AI853" s="282">
        <v>43929</v>
      </c>
      <c r="AJ853" s="282" t="s">
        <v>889</v>
      </c>
      <c r="AK853" s="274"/>
    </row>
    <row r="854" spans="1:37" x14ac:dyDescent="0.3">
      <c r="A854" s="273">
        <v>136859</v>
      </c>
      <c r="B854" s="274" t="s">
        <v>1945</v>
      </c>
      <c r="C854" s="146" t="s">
        <v>263</v>
      </c>
      <c r="D854" s="275">
        <v>30.66</v>
      </c>
      <c r="E854" s="274"/>
      <c r="F854" s="274"/>
      <c r="G854" s="274" t="s">
        <v>889</v>
      </c>
      <c r="H854" s="276">
        <v>44</v>
      </c>
      <c r="I854" s="24">
        <v>103003</v>
      </c>
      <c r="J854" s="277">
        <v>41.119259999999997</v>
      </c>
      <c r="K854" s="276"/>
      <c r="L854" s="278">
        <v>0</v>
      </c>
      <c r="M854" s="279">
        <v>0</v>
      </c>
      <c r="N854" s="277">
        <v>0</v>
      </c>
      <c r="O854" s="280" t="s">
        <v>888</v>
      </c>
      <c r="P854" s="279">
        <v>0</v>
      </c>
      <c r="Q854" s="281">
        <v>0</v>
      </c>
      <c r="R854" s="282" t="s">
        <v>889</v>
      </c>
      <c r="S854" s="274" t="s">
        <v>1492</v>
      </c>
      <c r="T854" s="44">
        <v>1</v>
      </c>
      <c r="U854" s="283">
        <v>54</v>
      </c>
      <c r="V854" s="284">
        <v>4</v>
      </c>
      <c r="W854" s="285" t="s">
        <v>889</v>
      </c>
      <c r="X854" s="286" t="s">
        <v>889</v>
      </c>
      <c r="Y854" s="287">
        <v>0</v>
      </c>
      <c r="Z854" s="287" t="s">
        <v>889</v>
      </c>
      <c r="AA854" s="286" t="s">
        <v>889</v>
      </c>
      <c r="AB854" s="287">
        <v>0</v>
      </c>
      <c r="AC854" s="287"/>
      <c r="AD854" s="288" t="s">
        <v>889</v>
      </c>
      <c r="AE854" s="289" t="s">
        <v>889</v>
      </c>
      <c r="AF854" s="279">
        <v>0</v>
      </c>
      <c r="AG854" s="282">
        <v>43826</v>
      </c>
      <c r="AH854" s="282">
        <v>43578</v>
      </c>
      <c r="AI854" s="282">
        <v>43805</v>
      </c>
      <c r="AJ854" s="282" t="s">
        <v>889</v>
      </c>
      <c r="AK854" s="274"/>
    </row>
    <row r="855" spans="1:37" x14ac:dyDescent="0.3">
      <c r="A855" s="273">
        <v>136860</v>
      </c>
      <c r="B855" s="274" t="s">
        <v>1946</v>
      </c>
      <c r="C855" s="146" t="s">
        <v>263</v>
      </c>
      <c r="D855" s="275">
        <v>26.14</v>
      </c>
      <c r="E855" s="274"/>
      <c r="F855" s="274"/>
      <c r="G855" s="274" t="s">
        <v>889</v>
      </c>
      <c r="H855" s="276">
        <v>9</v>
      </c>
      <c r="I855" s="24">
        <v>103003</v>
      </c>
      <c r="J855" s="277">
        <v>26.14</v>
      </c>
      <c r="K855" s="276">
        <v>2</v>
      </c>
      <c r="L855" s="278">
        <v>52.941176470588239</v>
      </c>
      <c r="M855" s="279">
        <v>0</v>
      </c>
      <c r="N855" s="277">
        <v>0</v>
      </c>
      <c r="O855" s="280" t="s">
        <v>888</v>
      </c>
      <c r="P855" s="279">
        <v>0</v>
      </c>
      <c r="Q855" s="281">
        <v>0</v>
      </c>
      <c r="R855" s="282" t="s">
        <v>889</v>
      </c>
      <c r="S855" s="274" t="s">
        <v>1492</v>
      </c>
      <c r="T855" s="44">
        <v>1</v>
      </c>
      <c r="U855" s="283">
        <v>54</v>
      </c>
      <c r="V855" s="284">
        <v>4</v>
      </c>
      <c r="W855" s="285" t="s">
        <v>889</v>
      </c>
      <c r="X855" s="286" t="s">
        <v>889</v>
      </c>
      <c r="Y855" s="287">
        <v>0</v>
      </c>
      <c r="Z855" s="287" t="s">
        <v>889</v>
      </c>
      <c r="AA855" s="286" t="s">
        <v>889</v>
      </c>
      <c r="AB855" s="287">
        <v>0</v>
      </c>
      <c r="AC855" s="287"/>
      <c r="AD855" s="288" t="s">
        <v>889</v>
      </c>
      <c r="AE855" s="289" t="s">
        <v>889</v>
      </c>
      <c r="AF855" s="279">
        <v>0</v>
      </c>
      <c r="AG855" s="282">
        <v>43819</v>
      </c>
      <c r="AH855" s="282">
        <v>43578</v>
      </c>
      <c r="AI855" s="282">
        <v>43780</v>
      </c>
      <c r="AJ855" s="282" t="s">
        <v>889</v>
      </c>
      <c r="AK855" s="274"/>
    </row>
    <row r="856" spans="1:37" x14ac:dyDescent="0.3">
      <c r="A856" s="273">
        <v>136876</v>
      </c>
      <c r="B856" s="274" t="s">
        <v>1947</v>
      </c>
      <c r="C856" s="146" t="s">
        <v>31</v>
      </c>
      <c r="D856" s="275">
        <v>278.92</v>
      </c>
      <c r="E856" s="274"/>
      <c r="F856" s="274"/>
      <c r="G856" s="274" t="s">
        <v>889</v>
      </c>
      <c r="H856" s="276">
        <v>1</v>
      </c>
      <c r="I856" s="24">
        <v>103003</v>
      </c>
      <c r="J856" s="277">
        <v>278.92</v>
      </c>
      <c r="K856" s="276"/>
      <c r="L856" s="278">
        <v>0</v>
      </c>
      <c r="M856" s="279">
        <v>0</v>
      </c>
      <c r="N856" s="277">
        <v>0</v>
      </c>
      <c r="O856" s="280" t="s">
        <v>888</v>
      </c>
      <c r="P856" s="279">
        <v>0</v>
      </c>
      <c r="Q856" s="281">
        <v>0</v>
      </c>
      <c r="R856" s="282" t="s">
        <v>889</v>
      </c>
      <c r="S856" s="274" t="s">
        <v>1492</v>
      </c>
      <c r="T856" s="44">
        <v>1</v>
      </c>
      <c r="U856" s="283">
        <v>54</v>
      </c>
      <c r="V856" s="284">
        <v>4</v>
      </c>
      <c r="W856" s="285">
        <v>2919</v>
      </c>
      <c r="X856" s="286">
        <v>2023</v>
      </c>
      <c r="Y856" s="287">
        <v>5</v>
      </c>
      <c r="Z856" s="287" t="s">
        <v>889</v>
      </c>
      <c r="AA856" s="286" t="s">
        <v>889</v>
      </c>
      <c r="AB856" s="287">
        <v>0</v>
      </c>
      <c r="AC856" s="287"/>
      <c r="AD856" s="288" t="s">
        <v>889</v>
      </c>
      <c r="AE856" s="289" t="s">
        <v>889</v>
      </c>
      <c r="AF856" s="279">
        <v>0</v>
      </c>
      <c r="AG856" s="282">
        <v>43945</v>
      </c>
      <c r="AH856" s="282">
        <v>43580</v>
      </c>
      <c r="AI856" s="282">
        <v>44594</v>
      </c>
      <c r="AJ856" s="282" t="s">
        <v>889</v>
      </c>
      <c r="AK856" s="274"/>
    </row>
    <row r="857" spans="1:37" x14ac:dyDescent="0.3">
      <c r="A857" s="273">
        <v>136877</v>
      </c>
      <c r="B857" s="274" t="s">
        <v>1948</v>
      </c>
      <c r="C857" s="146" t="s">
        <v>31</v>
      </c>
      <c r="D857" s="275">
        <v>9.9</v>
      </c>
      <c r="E857" s="274"/>
      <c r="F857" s="274"/>
      <c r="G857" s="274" t="s">
        <v>889</v>
      </c>
      <c r="H857" s="276">
        <v>13</v>
      </c>
      <c r="I857" s="24">
        <v>103003</v>
      </c>
      <c r="J857" s="277">
        <v>9.9</v>
      </c>
      <c r="K857" s="276"/>
      <c r="L857" s="278">
        <v>0</v>
      </c>
      <c r="M857" s="279">
        <v>0</v>
      </c>
      <c r="N857" s="277">
        <v>0</v>
      </c>
      <c r="O857" s="280" t="s">
        <v>888</v>
      </c>
      <c r="P857" s="279">
        <v>0</v>
      </c>
      <c r="Q857" s="281">
        <v>0</v>
      </c>
      <c r="R857" s="282" t="s">
        <v>889</v>
      </c>
      <c r="S857" s="274" t="s">
        <v>1492</v>
      </c>
      <c r="T857" s="44">
        <v>1</v>
      </c>
      <c r="U857" s="283">
        <v>54</v>
      </c>
      <c r="V857" s="284">
        <v>4</v>
      </c>
      <c r="W857" s="285" t="s">
        <v>889</v>
      </c>
      <c r="X857" s="286" t="s">
        <v>889</v>
      </c>
      <c r="Y857" s="287">
        <v>0</v>
      </c>
      <c r="Z857" s="287" t="s">
        <v>889</v>
      </c>
      <c r="AA857" s="286" t="s">
        <v>889</v>
      </c>
      <c r="AB857" s="287">
        <v>0</v>
      </c>
      <c r="AC857" s="287"/>
      <c r="AD857" s="288" t="s">
        <v>889</v>
      </c>
      <c r="AE857" s="289" t="s">
        <v>889</v>
      </c>
      <c r="AF857" s="279">
        <v>0</v>
      </c>
      <c r="AG857" s="282">
        <v>43955</v>
      </c>
      <c r="AH857" s="282">
        <v>43580</v>
      </c>
      <c r="AI857" s="282">
        <v>43929</v>
      </c>
      <c r="AJ857" s="282" t="s">
        <v>889</v>
      </c>
      <c r="AK857" s="274"/>
    </row>
    <row r="858" spans="1:37" x14ac:dyDescent="0.3">
      <c r="A858" s="273">
        <v>136880</v>
      </c>
      <c r="B858" s="274" t="s">
        <v>1949</v>
      </c>
      <c r="C858" s="146" t="s">
        <v>263</v>
      </c>
      <c r="D858" s="275">
        <v>18.32</v>
      </c>
      <c r="E858" s="274"/>
      <c r="F858" s="274"/>
      <c r="G858" s="274" t="s">
        <v>889</v>
      </c>
      <c r="H858" s="276">
        <v>0</v>
      </c>
      <c r="I858" s="24">
        <v>103003</v>
      </c>
      <c r="J858" s="277">
        <v>18.32</v>
      </c>
      <c r="K858" s="276">
        <v>35</v>
      </c>
      <c r="L858" s="278">
        <v>0</v>
      </c>
      <c r="M858" s="279">
        <v>5.04</v>
      </c>
      <c r="N858" s="277">
        <v>92.332800000000006</v>
      </c>
      <c r="O858" s="280" t="s">
        <v>888</v>
      </c>
      <c r="P858" s="279">
        <v>0</v>
      </c>
      <c r="Q858" s="281">
        <v>0</v>
      </c>
      <c r="R858" s="282" t="s">
        <v>889</v>
      </c>
      <c r="S858" s="274" t="s">
        <v>1492</v>
      </c>
      <c r="T858" s="44">
        <v>1</v>
      </c>
      <c r="U858" s="283">
        <v>54</v>
      </c>
      <c r="V858" s="284">
        <v>4</v>
      </c>
      <c r="W858" s="285">
        <v>2813</v>
      </c>
      <c r="X858" s="286">
        <v>2023</v>
      </c>
      <c r="Y858" s="287">
        <v>30</v>
      </c>
      <c r="Z858" s="287" t="s">
        <v>889</v>
      </c>
      <c r="AA858" s="286" t="s">
        <v>889</v>
      </c>
      <c r="AB858" s="287">
        <v>0</v>
      </c>
      <c r="AC858" s="287"/>
      <c r="AD858" s="288" t="s">
        <v>889</v>
      </c>
      <c r="AE858" s="289" t="s">
        <v>889</v>
      </c>
      <c r="AF858" s="279">
        <v>12</v>
      </c>
      <c r="AG858" s="282">
        <v>43819</v>
      </c>
      <c r="AH858" s="282">
        <v>43580</v>
      </c>
      <c r="AI858" s="282">
        <v>45056</v>
      </c>
      <c r="AJ858" s="282" t="s">
        <v>889</v>
      </c>
      <c r="AK858" s="274"/>
    </row>
    <row r="859" spans="1:37" x14ac:dyDescent="0.3">
      <c r="A859" s="273">
        <v>136881</v>
      </c>
      <c r="B859" s="274" t="s">
        <v>1950</v>
      </c>
      <c r="C859" s="146" t="s">
        <v>269</v>
      </c>
      <c r="D859" s="275">
        <v>43.38</v>
      </c>
      <c r="E859" s="274"/>
      <c r="F859" s="274"/>
      <c r="G859" s="274" t="s">
        <v>889</v>
      </c>
      <c r="H859" s="276">
        <v>0</v>
      </c>
      <c r="I859" s="24">
        <v>103003</v>
      </c>
      <c r="J859" s="277">
        <v>43.38</v>
      </c>
      <c r="K859" s="276">
        <v>163</v>
      </c>
      <c r="L859" s="278">
        <v>0</v>
      </c>
      <c r="M859" s="279">
        <v>43.96</v>
      </c>
      <c r="N859" s="277">
        <v>1906.9848</v>
      </c>
      <c r="O859" s="280" t="s">
        <v>888</v>
      </c>
      <c r="P859" s="279">
        <v>0</v>
      </c>
      <c r="Q859" s="281">
        <v>0</v>
      </c>
      <c r="R859" s="282" t="s">
        <v>889</v>
      </c>
      <c r="S859" s="274" t="s">
        <v>1492</v>
      </c>
      <c r="T859" s="44">
        <v>1</v>
      </c>
      <c r="U859" s="283">
        <v>54</v>
      </c>
      <c r="V859" s="284">
        <v>4</v>
      </c>
      <c r="W859" s="285">
        <v>2813</v>
      </c>
      <c r="X859" s="286">
        <v>2023</v>
      </c>
      <c r="Y859" s="287">
        <v>200</v>
      </c>
      <c r="Z859" s="287" t="s">
        <v>889</v>
      </c>
      <c r="AA859" s="286" t="s">
        <v>889</v>
      </c>
      <c r="AB859" s="287">
        <v>0</v>
      </c>
      <c r="AC859" s="287"/>
      <c r="AD859" s="288" t="s">
        <v>889</v>
      </c>
      <c r="AE859" s="289" t="s">
        <v>889</v>
      </c>
      <c r="AF859" s="279">
        <v>82</v>
      </c>
      <c r="AG859" s="282">
        <v>44538</v>
      </c>
      <c r="AH859" s="282">
        <v>43580</v>
      </c>
      <c r="AI859" s="282">
        <v>44519</v>
      </c>
      <c r="AJ859" s="282" t="s">
        <v>889</v>
      </c>
      <c r="AK859" s="274"/>
    </row>
    <row r="860" spans="1:37" x14ac:dyDescent="0.3">
      <c r="A860" s="273">
        <v>136895</v>
      </c>
      <c r="B860" s="274" t="s">
        <v>1951</v>
      </c>
      <c r="C860" s="146" t="s">
        <v>31</v>
      </c>
      <c r="D860" s="275">
        <v>3.8</v>
      </c>
      <c r="E860" s="274"/>
      <c r="F860" s="274"/>
      <c r="G860" s="274" t="s">
        <v>889</v>
      </c>
      <c r="H860" s="276">
        <v>15</v>
      </c>
      <c r="I860" s="24">
        <v>103003</v>
      </c>
      <c r="J860" s="277">
        <v>3.8</v>
      </c>
      <c r="K860" s="276">
        <v>524</v>
      </c>
      <c r="L860" s="278">
        <v>0.29365700861393895</v>
      </c>
      <c r="M860" s="279">
        <v>297.95999999999998</v>
      </c>
      <c r="N860" s="277">
        <v>1132.248</v>
      </c>
      <c r="O860" s="280" t="s">
        <v>888</v>
      </c>
      <c r="P860" s="279">
        <v>0</v>
      </c>
      <c r="Q860" s="281">
        <v>0</v>
      </c>
      <c r="R860" s="282" t="s">
        <v>889</v>
      </c>
      <c r="S860" s="274" t="s">
        <v>1881</v>
      </c>
      <c r="T860" s="44">
        <v>1</v>
      </c>
      <c r="U860" s="283">
        <v>55</v>
      </c>
      <c r="V860" s="284">
        <v>66</v>
      </c>
      <c r="W860" s="285">
        <v>2957</v>
      </c>
      <c r="X860" s="286">
        <v>2023</v>
      </c>
      <c r="Y860" s="287">
        <v>300</v>
      </c>
      <c r="Z860" s="287" t="s">
        <v>889</v>
      </c>
      <c r="AA860" s="286" t="s">
        <v>889</v>
      </c>
      <c r="AB860" s="287">
        <v>0</v>
      </c>
      <c r="AC860" s="287"/>
      <c r="AD860" s="288" t="s">
        <v>889</v>
      </c>
      <c r="AE860" s="289" t="s">
        <v>889</v>
      </c>
      <c r="AF860" s="279">
        <v>204</v>
      </c>
      <c r="AG860" s="282">
        <v>44883</v>
      </c>
      <c r="AH860" s="282">
        <v>43584</v>
      </c>
      <c r="AI860" s="282">
        <v>45163</v>
      </c>
      <c r="AJ860" s="282" t="s">
        <v>889</v>
      </c>
      <c r="AK860" s="274"/>
    </row>
    <row r="861" spans="1:37" x14ac:dyDescent="0.3">
      <c r="A861" s="273">
        <v>136896</v>
      </c>
      <c r="B861" s="274" t="s">
        <v>1952</v>
      </c>
      <c r="C861" s="146" t="s">
        <v>31</v>
      </c>
      <c r="D861" s="275">
        <v>12.6</v>
      </c>
      <c r="E861" s="274"/>
      <c r="F861" s="274"/>
      <c r="G861" s="274" t="s">
        <v>889</v>
      </c>
      <c r="H861" s="276">
        <v>27</v>
      </c>
      <c r="I861" s="24">
        <v>103003</v>
      </c>
      <c r="J861" s="277">
        <v>12.6</v>
      </c>
      <c r="K861" s="276">
        <v>849</v>
      </c>
      <c r="L861" s="278">
        <v>0.2961500493583416</v>
      </c>
      <c r="M861" s="279">
        <v>567.04</v>
      </c>
      <c r="N861" s="277">
        <v>7144.7039999999997</v>
      </c>
      <c r="O861" s="280" t="s">
        <v>888</v>
      </c>
      <c r="P861" s="279">
        <v>0</v>
      </c>
      <c r="Q861" s="281">
        <v>0</v>
      </c>
      <c r="R861" s="282" t="s">
        <v>889</v>
      </c>
      <c r="S861" s="274" t="s">
        <v>1881</v>
      </c>
      <c r="T861" s="44">
        <v>1</v>
      </c>
      <c r="U861" s="283">
        <v>55</v>
      </c>
      <c r="V861" s="284">
        <v>66</v>
      </c>
      <c r="W861" s="285">
        <v>2679</v>
      </c>
      <c r="X861" s="286">
        <v>2023</v>
      </c>
      <c r="Y861" s="287">
        <v>500</v>
      </c>
      <c r="Z861" s="287" t="s">
        <v>889</v>
      </c>
      <c r="AA861" s="286" t="s">
        <v>889</v>
      </c>
      <c r="AB861" s="287">
        <v>0</v>
      </c>
      <c r="AC861" s="287"/>
      <c r="AD861" s="288" t="s">
        <v>889</v>
      </c>
      <c r="AE861" s="289" t="s">
        <v>889</v>
      </c>
      <c r="AF861" s="279">
        <v>364</v>
      </c>
      <c r="AG861" s="282">
        <v>44635</v>
      </c>
      <c r="AH861" s="282">
        <v>43584</v>
      </c>
      <c r="AI861" s="282">
        <v>44616</v>
      </c>
      <c r="AJ861" s="282" t="s">
        <v>889</v>
      </c>
      <c r="AK861" s="274"/>
    </row>
    <row r="862" spans="1:37" x14ac:dyDescent="0.3">
      <c r="A862" s="273">
        <v>136898</v>
      </c>
      <c r="B862" s="274" t="s">
        <v>1953</v>
      </c>
      <c r="C862" s="146" t="s">
        <v>31</v>
      </c>
      <c r="D862" s="275">
        <v>19.920000000000002</v>
      </c>
      <c r="E862" s="274"/>
      <c r="F862" s="274"/>
      <c r="G862" s="274" t="s">
        <v>889</v>
      </c>
      <c r="H862" s="276">
        <v>0</v>
      </c>
      <c r="I862" s="24">
        <v>103003</v>
      </c>
      <c r="J862" s="277">
        <v>19.920000000000002</v>
      </c>
      <c r="K862" s="276">
        <v>122</v>
      </c>
      <c r="L862" s="278">
        <v>0</v>
      </c>
      <c r="M862" s="279">
        <v>0</v>
      </c>
      <c r="N862" s="277">
        <v>0</v>
      </c>
      <c r="O862" s="280" t="s">
        <v>888</v>
      </c>
      <c r="P862" s="279">
        <v>0</v>
      </c>
      <c r="Q862" s="281">
        <v>0</v>
      </c>
      <c r="R862" s="282" t="s">
        <v>889</v>
      </c>
      <c r="S862" s="274" t="s">
        <v>1086</v>
      </c>
      <c r="T862" s="44">
        <v>1</v>
      </c>
      <c r="U862" s="283">
        <v>55</v>
      </c>
      <c r="V862" s="284">
        <v>49</v>
      </c>
      <c r="W862" s="285">
        <v>2234</v>
      </c>
      <c r="X862" s="286">
        <v>2023</v>
      </c>
      <c r="Y862" s="287">
        <v>300</v>
      </c>
      <c r="Z862" s="287" t="s">
        <v>889</v>
      </c>
      <c r="AA862" s="286" t="s">
        <v>889</v>
      </c>
      <c r="AB862" s="287">
        <v>0</v>
      </c>
      <c r="AC862" s="287"/>
      <c r="AD862" s="288" t="s">
        <v>889</v>
      </c>
      <c r="AE862" s="289" t="s">
        <v>889</v>
      </c>
      <c r="AF862" s="279">
        <v>40</v>
      </c>
      <c r="AG862" s="282">
        <v>44957</v>
      </c>
      <c r="AH862" s="282">
        <v>43584</v>
      </c>
      <c r="AI862" s="282">
        <v>44917</v>
      </c>
      <c r="AJ862" s="282" t="s">
        <v>889</v>
      </c>
      <c r="AK862" s="274"/>
    </row>
    <row r="863" spans="1:37" x14ac:dyDescent="0.3">
      <c r="A863" s="273">
        <v>136941</v>
      </c>
      <c r="B863" s="274" t="s">
        <v>1954</v>
      </c>
      <c r="C863" s="146" t="s">
        <v>393</v>
      </c>
      <c r="D863" s="275">
        <v>67.5</v>
      </c>
      <c r="E863" s="274"/>
      <c r="F863" s="274"/>
      <c r="G863" s="274" t="s">
        <v>889</v>
      </c>
      <c r="H863" s="276">
        <v>131</v>
      </c>
      <c r="I863" s="24">
        <v>103003</v>
      </c>
      <c r="J863" s="277">
        <v>67.5</v>
      </c>
      <c r="K863" s="276">
        <v>832</v>
      </c>
      <c r="L863" s="278">
        <v>1.2157772621809746</v>
      </c>
      <c r="M863" s="279">
        <v>1162</v>
      </c>
      <c r="N863" s="277">
        <v>78435</v>
      </c>
      <c r="O863" s="280" t="s">
        <v>888</v>
      </c>
      <c r="P863" s="279">
        <v>0</v>
      </c>
      <c r="Q863" s="281">
        <v>0</v>
      </c>
      <c r="R863" s="282" t="s">
        <v>889</v>
      </c>
      <c r="S863" s="274" t="s">
        <v>1136</v>
      </c>
      <c r="T863" s="44">
        <v>1</v>
      </c>
      <c r="U863" s="283">
        <v>57</v>
      </c>
      <c r="V863" s="284">
        <v>2</v>
      </c>
      <c r="W863" s="285" t="s">
        <v>889</v>
      </c>
      <c r="X863" s="286" t="s">
        <v>889</v>
      </c>
      <c r="Y863" s="287">
        <v>0</v>
      </c>
      <c r="Z863" s="287" t="s">
        <v>889</v>
      </c>
      <c r="AA863" s="286" t="s">
        <v>889</v>
      </c>
      <c r="AB863" s="287">
        <v>0</v>
      </c>
      <c r="AC863" s="287"/>
      <c r="AD863" s="288" t="s">
        <v>889</v>
      </c>
      <c r="AE863" s="289" t="s">
        <v>889</v>
      </c>
      <c r="AF863" s="279">
        <v>432</v>
      </c>
      <c r="AG863" s="282">
        <v>44623</v>
      </c>
      <c r="AH863" s="282">
        <v>43606</v>
      </c>
      <c r="AI863" s="282">
        <v>44551</v>
      </c>
      <c r="AJ863" s="282" t="s">
        <v>889</v>
      </c>
      <c r="AK863" s="274"/>
    </row>
    <row r="864" spans="1:37" x14ac:dyDescent="0.3">
      <c r="A864" s="273">
        <v>137019</v>
      </c>
      <c r="B864" s="274" t="s">
        <v>1955</v>
      </c>
      <c r="C864" s="146" t="s">
        <v>31</v>
      </c>
      <c r="D864" s="275">
        <v>3.99</v>
      </c>
      <c r="E864" s="274"/>
      <c r="F864" s="274"/>
      <c r="G864" s="274" t="s">
        <v>889</v>
      </c>
      <c r="H864" s="276">
        <v>472</v>
      </c>
      <c r="I864" s="24">
        <v>103003</v>
      </c>
      <c r="J864" s="277">
        <v>3.99</v>
      </c>
      <c r="K864" s="276">
        <v>23</v>
      </c>
      <c r="L864" s="278">
        <v>245.83333333333331</v>
      </c>
      <c r="M864" s="279">
        <v>0</v>
      </c>
      <c r="N864" s="277">
        <v>0</v>
      </c>
      <c r="O864" s="280" t="s">
        <v>888</v>
      </c>
      <c r="P864" s="279">
        <v>0</v>
      </c>
      <c r="Q864" s="281">
        <v>0</v>
      </c>
      <c r="R864" s="282" t="s">
        <v>889</v>
      </c>
      <c r="S864" s="274" t="s">
        <v>1492</v>
      </c>
      <c r="T864" s="44">
        <v>1</v>
      </c>
      <c r="U864" s="283">
        <v>54</v>
      </c>
      <c r="V864" s="284">
        <v>4</v>
      </c>
      <c r="W864" s="285" t="s">
        <v>889</v>
      </c>
      <c r="X864" s="286" t="s">
        <v>889</v>
      </c>
      <c r="Y864" s="287">
        <v>0</v>
      </c>
      <c r="Z864" s="287" t="s">
        <v>889</v>
      </c>
      <c r="AA864" s="286" t="s">
        <v>889</v>
      </c>
      <c r="AB864" s="287">
        <v>0</v>
      </c>
      <c r="AC864" s="287"/>
      <c r="AD864" s="288" t="s">
        <v>889</v>
      </c>
      <c r="AE864" s="289" t="s">
        <v>889</v>
      </c>
      <c r="AF864" s="279">
        <v>8</v>
      </c>
      <c r="AG864" s="282">
        <v>43802</v>
      </c>
      <c r="AH864" s="282">
        <v>43620</v>
      </c>
      <c r="AI864" s="282">
        <v>44741</v>
      </c>
      <c r="AJ864" s="282" t="s">
        <v>889</v>
      </c>
      <c r="AK864" s="274"/>
    </row>
    <row r="865" spans="1:37" x14ac:dyDescent="0.3">
      <c r="A865" s="273">
        <v>137053</v>
      </c>
      <c r="B865" s="274" t="s">
        <v>1956</v>
      </c>
      <c r="C865" s="146" t="s">
        <v>263</v>
      </c>
      <c r="D865" s="275">
        <v>41.65</v>
      </c>
      <c r="E865" s="274"/>
      <c r="F865" s="274"/>
      <c r="G865" s="274" t="s">
        <v>889</v>
      </c>
      <c r="H865" s="276">
        <v>16</v>
      </c>
      <c r="I865" s="24">
        <v>103003</v>
      </c>
      <c r="J865" s="277">
        <v>41.65</v>
      </c>
      <c r="K865" s="276">
        <v>1</v>
      </c>
      <c r="L865" s="278">
        <v>200</v>
      </c>
      <c r="M865" s="279">
        <v>0</v>
      </c>
      <c r="N865" s="277">
        <v>0</v>
      </c>
      <c r="O865" s="280" t="s">
        <v>888</v>
      </c>
      <c r="P865" s="279">
        <v>0</v>
      </c>
      <c r="Q865" s="281">
        <v>0</v>
      </c>
      <c r="R865" s="282" t="s">
        <v>889</v>
      </c>
      <c r="S865" s="274" t="s">
        <v>1492</v>
      </c>
      <c r="T865" s="44">
        <v>1</v>
      </c>
      <c r="U865" s="283">
        <v>54</v>
      </c>
      <c r="V865" s="284">
        <v>4</v>
      </c>
      <c r="W865" s="285" t="s">
        <v>889</v>
      </c>
      <c r="X865" s="286" t="s">
        <v>889</v>
      </c>
      <c r="Y865" s="287">
        <v>0</v>
      </c>
      <c r="Z865" s="287" t="s">
        <v>889</v>
      </c>
      <c r="AA865" s="286" t="s">
        <v>889</v>
      </c>
      <c r="AB865" s="287">
        <v>0</v>
      </c>
      <c r="AC865" s="287"/>
      <c r="AD865" s="288" t="s">
        <v>889</v>
      </c>
      <c r="AE865" s="289" t="s">
        <v>889</v>
      </c>
      <c r="AF865" s="279">
        <v>0</v>
      </c>
      <c r="AG865" s="282">
        <v>43819</v>
      </c>
      <c r="AH865" s="282">
        <v>43626</v>
      </c>
      <c r="AI865" s="282">
        <v>43780</v>
      </c>
      <c r="AJ865" s="282" t="s">
        <v>889</v>
      </c>
      <c r="AK865" s="274"/>
    </row>
    <row r="866" spans="1:37" x14ac:dyDescent="0.3">
      <c r="A866" s="273">
        <v>137798</v>
      </c>
      <c r="B866" s="274" t="s">
        <v>1957</v>
      </c>
      <c r="C866" s="146" t="s">
        <v>263</v>
      </c>
      <c r="D866" s="275">
        <v>18.149999999999999</v>
      </c>
      <c r="E866" s="274"/>
      <c r="F866" s="274"/>
      <c r="G866" s="274" t="s">
        <v>889</v>
      </c>
      <c r="H866" s="276">
        <v>18</v>
      </c>
      <c r="I866" s="24">
        <v>103003</v>
      </c>
      <c r="J866" s="277">
        <v>18.149999999999999</v>
      </c>
      <c r="K866" s="276">
        <v>1</v>
      </c>
      <c r="L866" s="278">
        <v>225</v>
      </c>
      <c r="M866" s="279">
        <v>0</v>
      </c>
      <c r="N866" s="277">
        <v>0</v>
      </c>
      <c r="O866" s="280" t="s">
        <v>888</v>
      </c>
      <c r="P866" s="279">
        <v>0</v>
      </c>
      <c r="Q866" s="281">
        <v>0</v>
      </c>
      <c r="R866" s="282" t="s">
        <v>889</v>
      </c>
      <c r="S866" s="274" t="s">
        <v>1492</v>
      </c>
      <c r="T866" s="44">
        <v>1</v>
      </c>
      <c r="U866" s="283">
        <v>54</v>
      </c>
      <c r="V866" s="284">
        <v>4</v>
      </c>
      <c r="W866" s="285" t="s">
        <v>889</v>
      </c>
      <c r="X866" s="286" t="s">
        <v>889</v>
      </c>
      <c r="Y866" s="287">
        <v>0</v>
      </c>
      <c r="Z866" s="287" t="s">
        <v>889</v>
      </c>
      <c r="AA866" s="286" t="s">
        <v>889</v>
      </c>
      <c r="AB866" s="287">
        <v>0</v>
      </c>
      <c r="AC866" s="287"/>
      <c r="AD866" s="288" t="s">
        <v>889</v>
      </c>
      <c r="AE866" s="289" t="s">
        <v>889</v>
      </c>
      <c r="AF866" s="279">
        <v>0</v>
      </c>
      <c r="AG866" s="282">
        <v>43949</v>
      </c>
      <c r="AH866" s="282">
        <v>43629</v>
      </c>
      <c r="AI866" s="282">
        <v>43929</v>
      </c>
      <c r="AJ866" s="282" t="s">
        <v>889</v>
      </c>
      <c r="AK866" s="274"/>
    </row>
    <row r="867" spans="1:37" x14ac:dyDescent="0.3">
      <c r="A867" s="273">
        <v>137799</v>
      </c>
      <c r="B867" s="274" t="s">
        <v>1958</v>
      </c>
      <c r="C867" s="146" t="s">
        <v>436</v>
      </c>
      <c r="D867" s="275">
        <v>15.9</v>
      </c>
      <c r="E867" s="274"/>
      <c r="F867" s="274"/>
      <c r="G867" s="274" t="s">
        <v>889</v>
      </c>
      <c r="H867" s="276">
        <v>77</v>
      </c>
      <c r="I867" s="24">
        <v>103003</v>
      </c>
      <c r="J867" s="277">
        <v>15.9</v>
      </c>
      <c r="K867" s="276"/>
      <c r="L867" s="278">
        <v>0</v>
      </c>
      <c r="M867" s="279">
        <v>0</v>
      </c>
      <c r="N867" s="277">
        <v>0</v>
      </c>
      <c r="O867" s="280" t="s">
        <v>888</v>
      </c>
      <c r="P867" s="279">
        <v>0</v>
      </c>
      <c r="Q867" s="281">
        <v>0</v>
      </c>
      <c r="R867" s="282" t="s">
        <v>889</v>
      </c>
      <c r="S867" s="274" t="s">
        <v>1492</v>
      </c>
      <c r="T867" s="44">
        <v>1</v>
      </c>
      <c r="U867" s="283">
        <v>54</v>
      </c>
      <c r="V867" s="284">
        <v>4</v>
      </c>
      <c r="W867" s="285" t="s">
        <v>889</v>
      </c>
      <c r="X867" s="286" t="s">
        <v>889</v>
      </c>
      <c r="Y867" s="287">
        <v>0</v>
      </c>
      <c r="Z867" s="287" t="s">
        <v>889</v>
      </c>
      <c r="AA867" s="286" t="s">
        <v>889</v>
      </c>
      <c r="AB867" s="287">
        <v>0</v>
      </c>
      <c r="AC867" s="287"/>
      <c r="AD867" s="288" t="s">
        <v>889</v>
      </c>
      <c r="AE867" s="289" t="s">
        <v>889</v>
      </c>
      <c r="AF867" s="279">
        <v>0</v>
      </c>
      <c r="AG867" s="282">
        <v>43819</v>
      </c>
      <c r="AH867" s="282">
        <v>43629</v>
      </c>
      <c r="AI867" s="282">
        <v>44138</v>
      </c>
      <c r="AJ867" s="282" t="s">
        <v>889</v>
      </c>
      <c r="AK867" s="274"/>
    </row>
    <row r="868" spans="1:37" x14ac:dyDescent="0.3">
      <c r="A868" s="273">
        <v>137800</v>
      </c>
      <c r="B868" s="274" t="s">
        <v>1959</v>
      </c>
      <c r="C868" s="146" t="s">
        <v>436</v>
      </c>
      <c r="D868" s="275">
        <v>12.05</v>
      </c>
      <c r="E868" s="274"/>
      <c r="F868" s="274"/>
      <c r="G868" s="274" t="s">
        <v>889</v>
      </c>
      <c r="H868" s="276">
        <v>59</v>
      </c>
      <c r="I868" s="24">
        <v>103003</v>
      </c>
      <c r="J868" s="277">
        <v>12.05</v>
      </c>
      <c r="K868" s="276"/>
      <c r="L868" s="278">
        <v>0</v>
      </c>
      <c r="M868" s="279">
        <v>0</v>
      </c>
      <c r="N868" s="277">
        <v>0</v>
      </c>
      <c r="O868" s="280" t="s">
        <v>888</v>
      </c>
      <c r="P868" s="279">
        <v>0</v>
      </c>
      <c r="Q868" s="281">
        <v>0</v>
      </c>
      <c r="R868" s="282" t="s">
        <v>889</v>
      </c>
      <c r="S868" s="274" t="s">
        <v>1492</v>
      </c>
      <c r="T868" s="44">
        <v>1</v>
      </c>
      <c r="U868" s="283">
        <v>54</v>
      </c>
      <c r="V868" s="284">
        <v>4</v>
      </c>
      <c r="W868" s="285" t="s">
        <v>889</v>
      </c>
      <c r="X868" s="286" t="s">
        <v>889</v>
      </c>
      <c r="Y868" s="287">
        <v>0</v>
      </c>
      <c r="Z868" s="287" t="s">
        <v>889</v>
      </c>
      <c r="AA868" s="286" t="s">
        <v>889</v>
      </c>
      <c r="AB868" s="287">
        <v>0</v>
      </c>
      <c r="AC868" s="287"/>
      <c r="AD868" s="288" t="s">
        <v>889</v>
      </c>
      <c r="AE868" s="289" t="s">
        <v>889</v>
      </c>
      <c r="AF868" s="279">
        <v>0</v>
      </c>
      <c r="AG868" s="282">
        <v>43819</v>
      </c>
      <c r="AH868" s="282">
        <v>43629</v>
      </c>
      <c r="AI868" s="282">
        <v>43780</v>
      </c>
      <c r="AJ868" s="282" t="s">
        <v>889</v>
      </c>
      <c r="AK868" s="274"/>
    </row>
    <row r="869" spans="1:37" x14ac:dyDescent="0.3">
      <c r="A869" s="273">
        <v>138054</v>
      </c>
      <c r="B869" s="274" t="s">
        <v>1960</v>
      </c>
      <c r="C869" s="146" t="s">
        <v>263</v>
      </c>
      <c r="D869" s="275">
        <v>11.54</v>
      </c>
      <c r="E869" s="274"/>
      <c r="F869" s="274"/>
      <c r="G869" s="274" t="s">
        <v>889</v>
      </c>
      <c r="H869" s="276">
        <v>69</v>
      </c>
      <c r="I869" s="24">
        <v>103003</v>
      </c>
      <c r="J869" s="277">
        <v>11.54</v>
      </c>
      <c r="K869" s="276">
        <v>156</v>
      </c>
      <c r="L869" s="278">
        <v>4.8694424841213833</v>
      </c>
      <c r="M869" s="279">
        <v>101.04</v>
      </c>
      <c r="N869" s="277">
        <v>1166.0016000000001</v>
      </c>
      <c r="O869" s="280" t="s">
        <v>888</v>
      </c>
      <c r="P869" s="279">
        <v>0</v>
      </c>
      <c r="Q869" s="281">
        <v>0</v>
      </c>
      <c r="R869" s="282" t="s">
        <v>889</v>
      </c>
      <c r="S869" s="274" t="s">
        <v>1664</v>
      </c>
      <c r="T869" s="44">
        <v>1</v>
      </c>
      <c r="U869" s="283">
        <v>61</v>
      </c>
      <c r="V869" s="284">
        <v>10</v>
      </c>
      <c r="W869" s="285" t="s">
        <v>889</v>
      </c>
      <c r="X869" s="286" t="s">
        <v>889</v>
      </c>
      <c r="Y869" s="287">
        <v>0</v>
      </c>
      <c r="Z869" s="287" t="s">
        <v>889</v>
      </c>
      <c r="AA869" s="286" t="s">
        <v>889</v>
      </c>
      <c r="AB869" s="287">
        <v>0</v>
      </c>
      <c r="AC869" s="287"/>
      <c r="AD869" s="288" t="s">
        <v>889</v>
      </c>
      <c r="AE869" s="289" t="s">
        <v>889</v>
      </c>
      <c r="AF869" s="279">
        <v>56</v>
      </c>
      <c r="AG869" s="282">
        <v>44526</v>
      </c>
      <c r="AH869" s="282">
        <v>43656</v>
      </c>
      <c r="AI869" s="282">
        <v>44525</v>
      </c>
      <c r="AJ869" s="282" t="s">
        <v>889</v>
      </c>
      <c r="AK869" s="274"/>
    </row>
    <row r="870" spans="1:37" x14ac:dyDescent="0.3">
      <c r="A870" s="273">
        <v>138055</v>
      </c>
      <c r="B870" s="274" t="s">
        <v>1961</v>
      </c>
      <c r="C870" s="146" t="s">
        <v>263</v>
      </c>
      <c r="D870" s="275">
        <v>2.9</v>
      </c>
      <c r="E870" s="274"/>
      <c r="F870" s="274"/>
      <c r="G870" s="274" t="s">
        <v>889</v>
      </c>
      <c r="H870" s="276">
        <v>100</v>
      </c>
      <c r="I870" s="24">
        <v>103003</v>
      </c>
      <c r="J870" s="277">
        <v>2.9</v>
      </c>
      <c r="K870" s="276">
        <v>820</v>
      </c>
      <c r="L870" s="278">
        <v>1.3058239749281797</v>
      </c>
      <c r="M870" s="279">
        <v>818.96</v>
      </c>
      <c r="N870" s="277">
        <v>2374.9839999999999</v>
      </c>
      <c r="O870" s="280" t="s">
        <v>888</v>
      </c>
      <c r="P870" s="279">
        <v>0</v>
      </c>
      <c r="Q870" s="281">
        <v>0</v>
      </c>
      <c r="R870" s="282" t="s">
        <v>889</v>
      </c>
      <c r="S870" s="274" t="s">
        <v>1003</v>
      </c>
      <c r="T870" s="44">
        <v>1</v>
      </c>
      <c r="U870" s="283">
        <v>61</v>
      </c>
      <c r="V870" s="284">
        <v>11</v>
      </c>
      <c r="W870" s="285" t="s">
        <v>889</v>
      </c>
      <c r="X870" s="286" t="s">
        <v>889</v>
      </c>
      <c r="Y870" s="287">
        <v>0</v>
      </c>
      <c r="Z870" s="287" t="s">
        <v>889</v>
      </c>
      <c r="AA870" s="286" t="s">
        <v>889</v>
      </c>
      <c r="AB870" s="287">
        <v>0</v>
      </c>
      <c r="AC870" s="287"/>
      <c r="AD870" s="288" t="s">
        <v>889</v>
      </c>
      <c r="AE870" s="289" t="s">
        <v>889</v>
      </c>
      <c r="AF870" s="279">
        <v>306</v>
      </c>
      <c r="AG870" s="282">
        <v>45203</v>
      </c>
      <c r="AH870" s="282">
        <v>43656</v>
      </c>
      <c r="AI870" s="282">
        <v>45145</v>
      </c>
      <c r="AJ870" s="282" t="s">
        <v>889</v>
      </c>
      <c r="AK870" s="274"/>
    </row>
    <row r="871" spans="1:37" x14ac:dyDescent="0.3">
      <c r="A871" s="273">
        <v>138352</v>
      </c>
      <c r="B871" s="274" t="s">
        <v>1962</v>
      </c>
      <c r="C871" s="146" t="s">
        <v>653</v>
      </c>
      <c r="D871" s="275">
        <v>9.98</v>
      </c>
      <c r="E871" s="274"/>
      <c r="F871" s="274"/>
      <c r="G871" s="274" t="s">
        <v>889</v>
      </c>
      <c r="H871" s="276">
        <v>81</v>
      </c>
      <c r="I871" s="24">
        <v>103003</v>
      </c>
      <c r="J871" s="277">
        <v>9.98</v>
      </c>
      <c r="K871" s="276">
        <v>94</v>
      </c>
      <c r="L871" s="278">
        <v>7.0928196147110336</v>
      </c>
      <c r="M871" s="279">
        <v>56.04</v>
      </c>
      <c r="N871" s="277">
        <v>559.27919999999995</v>
      </c>
      <c r="O871" s="280" t="s">
        <v>888</v>
      </c>
      <c r="P871" s="279">
        <v>0</v>
      </c>
      <c r="Q871" s="281">
        <v>0</v>
      </c>
      <c r="R871" s="282" t="s">
        <v>889</v>
      </c>
      <c r="S871" s="274" t="s">
        <v>1534</v>
      </c>
      <c r="T871" s="44">
        <v>1</v>
      </c>
      <c r="U871" s="283">
        <v>72</v>
      </c>
      <c r="V871" s="284">
        <v>9</v>
      </c>
      <c r="W871" s="285" t="s">
        <v>889</v>
      </c>
      <c r="X871" s="286" t="s">
        <v>889</v>
      </c>
      <c r="Y871" s="287">
        <v>0</v>
      </c>
      <c r="Z871" s="287" t="s">
        <v>889</v>
      </c>
      <c r="AA871" s="286" t="s">
        <v>889</v>
      </c>
      <c r="AB871" s="287">
        <v>0</v>
      </c>
      <c r="AC871" s="287"/>
      <c r="AD871" s="288" t="s">
        <v>889</v>
      </c>
      <c r="AE871" s="289" t="s">
        <v>889</v>
      </c>
      <c r="AF871" s="279">
        <v>46</v>
      </c>
      <c r="AG871" s="282">
        <v>45180</v>
      </c>
      <c r="AH871" s="282">
        <v>43696</v>
      </c>
      <c r="AI871" s="282">
        <v>45173</v>
      </c>
      <c r="AJ871" s="282" t="s">
        <v>889</v>
      </c>
      <c r="AK871" s="274"/>
    </row>
    <row r="872" spans="1:37" x14ac:dyDescent="0.3">
      <c r="A872" s="273">
        <v>138450</v>
      </c>
      <c r="B872" s="274" t="s">
        <v>1963</v>
      </c>
      <c r="C872" s="146" t="s">
        <v>31</v>
      </c>
      <c r="D872" s="275">
        <v>1.57</v>
      </c>
      <c r="E872" s="274"/>
      <c r="F872" s="274"/>
      <c r="G872" s="274" t="s">
        <v>889</v>
      </c>
      <c r="H872" s="276">
        <v>13510</v>
      </c>
      <c r="I872" s="24">
        <v>103003</v>
      </c>
      <c r="J872" s="277">
        <v>1.57</v>
      </c>
      <c r="K872" s="276">
        <v>5187</v>
      </c>
      <c r="L872" s="278">
        <v>5.6145454545454552</v>
      </c>
      <c r="M872" s="279">
        <v>10565</v>
      </c>
      <c r="N872" s="277">
        <v>16587.05</v>
      </c>
      <c r="O872" s="280" t="s">
        <v>888</v>
      </c>
      <c r="P872" s="279">
        <v>0</v>
      </c>
      <c r="Q872" s="281">
        <v>0</v>
      </c>
      <c r="R872" s="282" t="s">
        <v>889</v>
      </c>
      <c r="S872" s="274" t="s">
        <v>937</v>
      </c>
      <c r="T872" s="44">
        <v>1</v>
      </c>
      <c r="U872" s="283">
        <v>45</v>
      </c>
      <c r="V872" s="284">
        <v>9</v>
      </c>
      <c r="W872" s="285">
        <v>8971</v>
      </c>
      <c r="X872" s="286">
        <v>2023</v>
      </c>
      <c r="Y872" s="287">
        <v>4800</v>
      </c>
      <c r="Z872" s="287" t="s">
        <v>889</v>
      </c>
      <c r="AA872" s="286" t="s">
        <v>889</v>
      </c>
      <c r="AB872" s="287">
        <v>0</v>
      </c>
      <c r="AC872" s="287"/>
      <c r="AD872" s="288" t="s">
        <v>889</v>
      </c>
      <c r="AE872" s="289" t="s">
        <v>889</v>
      </c>
      <c r="AF872" s="279">
        <v>9626</v>
      </c>
      <c r="AG872" s="282">
        <v>44991</v>
      </c>
      <c r="AH872" s="282">
        <v>43720</v>
      </c>
      <c r="AI872" s="282">
        <v>45156</v>
      </c>
      <c r="AJ872" s="282" t="s">
        <v>889</v>
      </c>
      <c r="AK872" s="274"/>
    </row>
    <row r="873" spans="1:37" x14ac:dyDescent="0.3">
      <c r="A873" s="273">
        <v>138451</v>
      </c>
      <c r="B873" s="274" t="s">
        <v>1964</v>
      </c>
      <c r="C873" s="146" t="s">
        <v>31</v>
      </c>
      <c r="D873" s="275">
        <v>0.43</v>
      </c>
      <c r="E873" s="274"/>
      <c r="F873" s="274"/>
      <c r="G873" s="274" t="s">
        <v>889</v>
      </c>
      <c r="H873" s="276">
        <v>53521</v>
      </c>
      <c r="I873" s="24">
        <v>103003</v>
      </c>
      <c r="J873" s="277">
        <v>0.43</v>
      </c>
      <c r="K873" s="276">
        <v>35466</v>
      </c>
      <c r="L873" s="278">
        <v>13.922061841725347</v>
      </c>
      <c r="M873" s="279">
        <v>0</v>
      </c>
      <c r="N873" s="277">
        <v>0</v>
      </c>
      <c r="O873" s="280" t="s">
        <v>888</v>
      </c>
      <c r="P873" s="279">
        <v>0</v>
      </c>
      <c r="Q873" s="281">
        <v>0</v>
      </c>
      <c r="R873" s="282" t="s">
        <v>889</v>
      </c>
      <c r="S873" s="274" t="s">
        <v>937</v>
      </c>
      <c r="T873" s="44">
        <v>1</v>
      </c>
      <c r="U873" s="283">
        <v>45</v>
      </c>
      <c r="V873" s="284">
        <v>9</v>
      </c>
      <c r="W873" s="285">
        <v>6211</v>
      </c>
      <c r="X873" s="286">
        <v>2023</v>
      </c>
      <c r="Y873" s="287">
        <v>4000</v>
      </c>
      <c r="Z873" s="287" t="s">
        <v>889</v>
      </c>
      <c r="AA873" s="286" t="s">
        <v>889</v>
      </c>
      <c r="AB873" s="287">
        <v>0</v>
      </c>
      <c r="AC873" s="287"/>
      <c r="AD873" s="288" t="s">
        <v>889</v>
      </c>
      <c r="AE873" s="289" t="s">
        <v>889</v>
      </c>
      <c r="AF873" s="279">
        <v>15378</v>
      </c>
      <c r="AG873" s="282">
        <v>44949</v>
      </c>
      <c r="AH873" s="282">
        <v>43720</v>
      </c>
      <c r="AI873" s="282">
        <v>44910</v>
      </c>
      <c r="AJ873" s="282" t="s">
        <v>889</v>
      </c>
      <c r="AK873" s="274"/>
    </row>
    <row r="874" spans="1:37" x14ac:dyDescent="0.3">
      <c r="A874" s="273">
        <v>138453</v>
      </c>
      <c r="B874" s="274" t="s">
        <v>1965</v>
      </c>
      <c r="C874" s="146" t="s">
        <v>31</v>
      </c>
      <c r="D874" s="275">
        <v>3.5</v>
      </c>
      <c r="E874" s="274"/>
      <c r="F874" s="274"/>
      <c r="G874" s="274" t="s">
        <v>889</v>
      </c>
      <c r="H874" s="276">
        <v>32475</v>
      </c>
      <c r="I874" s="24">
        <v>103003</v>
      </c>
      <c r="J874" s="277">
        <v>3.5</v>
      </c>
      <c r="K874" s="276">
        <v>5343</v>
      </c>
      <c r="L874" s="278">
        <v>6.3973382345119409</v>
      </c>
      <c r="M874" s="279">
        <v>28440.959999999999</v>
      </c>
      <c r="N874" s="277">
        <v>99543.360000000001</v>
      </c>
      <c r="O874" s="280" t="s">
        <v>888</v>
      </c>
      <c r="P874" s="279">
        <v>0</v>
      </c>
      <c r="Q874" s="281">
        <v>0</v>
      </c>
      <c r="R874" s="282" t="s">
        <v>889</v>
      </c>
      <c r="S874" s="274" t="s">
        <v>941</v>
      </c>
      <c r="T874" s="44">
        <v>1</v>
      </c>
      <c r="U874" s="283">
        <v>45</v>
      </c>
      <c r="V874" s="284">
        <v>11</v>
      </c>
      <c r="W874" s="285" t="s">
        <v>889</v>
      </c>
      <c r="X874" s="286" t="s">
        <v>889</v>
      </c>
      <c r="Y874" s="287">
        <v>0</v>
      </c>
      <c r="Z874" s="287" t="s">
        <v>889</v>
      </c>
      <c r="AA874" s="286" t="s">
        <v>889</v>
      </c>
      <c r="AB874" s="287">
        <v>0</v>
      </c>
      <c r="AC874" s="287"/>
      <c r="AD874" s="288" t="s">
        <v>889</v>
      </c>
      <c r="AE874" s="289" t="s">
        <v>889</v>
      </c>
      <c r="AF874" s="279">
        <v>20306</v>
      </c>
      <c r="AG874" s="282">
        <v>44173</v>
      </c>
      <c r="AH874" s="282">
        <v>43720</v>
      </c>
      <c r="AI874" s="282">
        <v>44133</v>
      </c>
      <c r="AJ874" s="282" t="s">
        <v>889</v>
      </c>
      <c r="AK874" s="274"/>
    </row>
    <row r="875" spans="1:37" x14ac:dyDescent="0.3">
      <c r="A875" s="273">
        <v>138454</v>
      </c>
      <c r="B875" s="274" t="s">
        <v>1966</v>
      </c>
      <c r="C875" s="146" t="s">
        <v>31</v>
      </c>
      <c r="D875" s="275">
        <v>3.37</v>
      </c>
      <c r="E875" s="274"/>
      <c r="F875" s="274"/>
      <c r="G875" s="274" t="s">
        <v>889</v>
      </c>
      <c r="H875" s="276">
        <v>10549</v>
      </c>
      <c r="I875" s="24">
        <v>103003</v>
      </c>
      <c r="J875" s="277">
        <v>3.37</v>
      </c>
      <c r="K875" s="276">
        <v>11173</v>
      </c>
      <c r="L875" s="278">
        <v>2.7522744290772092</v>
      </c>
      <c r="M875" s="279">
        <v>35444.959999999999</v>
      </c>
      <c r="N875" s="277">
        <v>119449.51519999999</v>
      </c>
      <c r="O875" s="280" t="s">
        <v>888</v>
      </c>
      <c r="P875" s="279">
        <v>0</v>
      </c>
      <c r="Q875" s="281">
        <v>0</v>
      </c>
      <c r="R875" s="282" t="s">
        <v>889</v>
      </c>
      <c r="S875" s="274" t="s">
        <v>941</v>
      </c>
      <c r="T875" s="44">
        <v>1</v>
      </c>
      <c r="U875" s="283">
        <v>45</v>
      </c>
      <c r="V875" s="284">
        <v>11</v>
      </c>
      <c r="W875" s="285" t="s">
        <v>889</v>
      </c>
      <c r="X875" s="286" t="s">
        <v>889</v>
      </c>
      <c r="Y875" s="287">
        <v>0</v>
      </c>
      <c r="Z875" s="287" t="s">
        <v>889</v>
      </c>
      <c r="AA875" s="286" t="s">
        <v>889</v>
      </c>
      <c r="AB875" s="287">
        <v>0</v>
      </c>
      <c r="AC875" s="287"/>
      <c r="AD875" s="288" t="s">
        <v>889</v>
      </c>
      <c r="AE875" s="289" t="s">
        <v>889</v>
      </c>
      <c r="AF875" s="279">
        <v>15332</v>
      </c>
      <c r="AG875" s="282">
        <v>44214</v>
      </c>
      <c r="AH875" s="282">
        <v>43720</v>
      </c>
      <c r="AI875" s="282">
        <v>44110</v>
      </c>
      <c r="AJ875" s="282" t="s">
        <v>889</v>
      </c>
      <c r="AK875" s="274"/>
    </row>
    <row r="876" spans="1:37" x14ac:dyDescent="0.3">
      <c r="A876" s="273">
        <v>138456</v>
      </c>
      <c r="B876" s="274" t="s">
        <v>1967</v>
      </c>
      <c r="C876" s="146" t="s">
        <v>31</v>
      </c>
      <c r="D876" s="275">
        <v>5.92</v>
      </c>
      <c r="E876" s="274"/>
      <c r="F876" s="274"/>
      <c r="G876" s="274" t="s">
        <v>889</v>
      </c>
      <c r="H876" s="276">
        <v>5646</v>
      </c>
      <c r="I876" s="24">
        <v>103003</v>
      </c>
      <c r="J876" s="277">
        <v>5.92</v>
      </c>
      <c r="K876" s="276">
        <v>37861</v>
      </c>
      <c r="L876" s="278">
        <v>0.98179864259295013</v>
      </c>
      <c r="M876" s="279">
        <v>49862.04</v>
      </c>
      <c r="N876" s="277">
        <v>295183.27679999999</v>
      </c>
      <c r="O876" s="280" t="s">
        <v>888</v>
      </c>
      <c r="P876" s="279">
        <v>0</v>
      </c>
      <c r="Q876" s="281">
        <v>0</v>
      </c>
      <c r="R876" s="282" t="s">
        <v>889</v>
      </c>
      <c r="S876" s="274" t="s">
        <v>941</v>
      </c>
      <c r="T876" s="44">
        <v>1</v>
      </c>
      <c r="U876" s="283">
        <v>45</v>
      </c>
      <c r="V876" s="284">
        <v>11</v>
      </c>
      <c r="W876" s="285">
        <v>6982</v>
      </c>
      <c r="X876" s="286">
        <v>2023</v>
      </c>
      <c r="Y876" s="287">
        <v>13500</v>
      </c>
      <c r="Z876" s="287" t="s">
        <v>889</v>
      </c>
      <c r="AA876" s="286" t="s">
        <v>889</v>
      </c>
      <c r="AB876" s="287">
        <v>0</v>
      </c>
      <c r="AC876" s="287"/>
      <c r="AD876" s="288" t="s">
        <v>889</v>
      </c>
      <c r="AE876" s="289" t="s">
        <v>889</v>
      </c>
      <c r="AF876" s="279">
        <v>23002</v>
      </c>
      <c r="AG876" s="282">
        <v>44942</v>
      </c>
      <c r="AH876" s="282">
        <v>43720</v>
      </c>
      <c r="AI876" s="282">
        <v>44910</v>
      </c>
      <c r="AJ876" s="282" t="s">
        <v>889</v>
      </c>
      <c r="AK876" s="274"/>
    </row>
    <row r="877" spans="1:37" x14ac:dyDescent="0.3">
      <c r="A877" s="273">
        <v>138457</v>
      </c>
      <c r="B877" s="274" t="s">
        <v>1968</v>
      </c>
      <c r="C877" s="146" t="s">
        <v>31</v>
      </c>
      <c r="D877" s="275">
        <v>0</v>
      </c>
      <c r="E877" s="274"/>
      <c r="F877" s="274"/>
      <c r="G877" s="274" t="s">
        <v>889</v>
      </c>
      <c r="H877" s="276">
        <v>1488</v>
      </c>
      <c r="I877" s="24">
        <v>103003</v>
      </c>
      <c r="J877" s="277">
        <v>0</v>
      </c>
      <c r="K877" s="276">
        <v>192</v>
      </c>
      <c r="L877" s="278">
        <v>6.4415584415584419</v>
      </c>
      <c r="M877" s="279">
        <v>1284</v>
      </c>
      <c r="N877" s="277">
        <v>0</v>
      </c>
      <c r="O877" s="280" t="s">
        <v>888</v>
      </c>
      <c r="P877" s="279">
        <v>0</v>
      </c>
      <c r="Q877" s="281">
        <v>0</v>
      </c>
      <c r="R877" s="282" t="s">
        <v>889</v>
      </c>
      <c r="S877" s="274" t="s">
        <v>941</v>
      </c>
      <c r="T877" s="44">
        <v>1</v>
      </c>
      <c r="U877" s="283">
        <v>45</v>
      </c>
      <c r="V877" s="284">
        <v>11</v>
      </c>
      <c r="W877" s="285" t="s">
        <v>889</v>
      </c>
      <c r="X877" s="286" t="s">
        <v>889</v>
      </c>
      <c r="Y877" s="287">
        <v>0</v>
      </c>
      <c r="Z877" s="287" t="s">
        <v>889</v>
      </c>
      <c r="AA877" s="286" t="s">
        <v>889</v>
      </c>
      <c r="AB877" s="287">
        <v>0</v>
      </c>
      <c r="AC877" s="287"/>
      <c r="AD877" s="288" t="s">
        <v>889</v>
      </c>
      <c r="AE877" s="289" t="s">
        <v>889</v>
      </c>
      <c r="AF877" s="279">
        <v>924</v>
      </c>
      <c r="AG877" s="282" t="s">
        <v>889</v>
      </c>
      <c r="AH877" s="282">
        <v>43720</v>
      </c>
      <c r="AI877" s="282" t="s">
        <v>889</v>
      </c>
      <c r="AJ877" s="282" t="s">
        <v>889</v>
      </c>
      <c r="AK877" s="274"/>
    </row>
    <row r="878" spans="1:37" x14ac:dyDescent="0.3">
      <c r="A878" s="273">
        <v>138458</v>
      </c>
      <c r="B878" s="274" t="s">
        <v>1969</v>
      </c>
      <c r="C878" s="146" t="s">
        <v>31</v>
      </c>
      <c r="D878" s="275">
        <v>0</v>
      </c>
      <c r="E878" s="274"/>
      <c r="F878" s="274"/>
      <c r="G878" s="274" t="s">
        <v>889</v>
      </c>
      <c r="H878" s="276">
        <v>7093</v>
      </c>
      <c r="I878" s="24">
        <v>103003</v>
      </c>
      <c r="J878" s="277">
        <v>0</v>
      </c>
      <c r="K878" s="276">
        <v>4601</v>
      </c>
      <c r="L878" s="278">
        <v>1.1497811638839359</v>
      </c>
      <c r="M878" s="279">
        <v>66935</v>
      </c>
      <c r="N878" s="277">
        <v>0</v>
      </c>
      <c r="O878" s="280" t="s">
        <v>888</v>
      </c>
      <c r="P878" s="279">
        <v>0</v>
      </c>
      <c r="Q878" s="281">
        <v>0</v>
      </c>
      <c r="R878" s="282" t="s">
        <v>889</v>
      </c>
      <c r="S878" s="274" t="s">
        <v>941</v>
      </c>
      <c r="T878" s="44">
        <v>1</v>
      </c>
      <c r="U878" s="283">
        <v>45</v>
      </c>
      <c r="V878" s="284">
        <v>11</v>
      </c>
      <c r="W878" s="285" t="s">
        <v>889</v>
      </c>
      <c r="X878" s="286" t="s">
        <v>889</v>
      </c>
      <c r="Y878" s="287">
        <v>0</v>
      </c>
      <c r="Z878" s="287" t="s">
        <v>889</v>
      </c>
      <c r="AA878" s="286" t="s">
        <v>889</v>
      </c>
      <c r="AB878" s="287">
        <v>0</v>
      </c>
      <c r="AC878" s="287"/>
      <c r="AD878" s="288" t="s">
        <v>889</v>
      </c>
      <c r="AE878" s="289" t="s">
        <v>889</v>
      </c>
      <c r="AF878" s="279">
        <v>24676</v>
      </c>
      <c r="AG878" s="282" t="s">
        <v>889</v>
      </c>
      <c r="AH878" s="282">
        <v>43720</v>
      </c>
      <c r="AI878" s="282" t="s">
        <v>889</v>
      </c>
      <c r="AJ878" s="282" t="s">
        <v>889</v>
      </c>
      <c r="AK878" s="274"/>
    </row>
    <row r="879" spans="1:37" x14ac:dyDescent="0.3">
      <c r="A879" s="273">
        <v>138459</v>
      </c>
      <c r="B879" s="274" t="s">
        <v>1970</v>
      </c>
      <c r="C879" s="146" t="s">
        <v>31</v>
      </c>
      <c r="D879" s="275">
        <v>0.51</v>
      </c>
      <c r="E879" s="274"/>
      <c r="F879" s="274"/>
      <c r="G879" s="274" t="s">
        <v>889</v>
      </c>
      <c r="H879" s="276">
        <v>36881</v>
      </c>
      <c r="I879" s="24">
        <v>103003</v>
      </c>
      <c r="J879" s="277">
        <v>0.51</v>
      </c>
      <c r="K879" s="276">
        <v>23513</v>
      </c>
      <c r="L879" s="278">
        <v>13.295624963949933</v>
      </c>
      <c r="M879" s="279">
        <v>0</v>
      </c>
      <c r="N879" s="277">
        <v>0</v>
      </c>
      <c r="O879" s="280" t="s">
        <v>888</v>
      </c>
      <c r="P879" s="279">
        <v>0</v>
      </c>
      <c r="Q879" s="281">
        <v>0</v>
      </c>
      <c r="R879" s="282" t="s">
        <v>889</v>
      </c>
      <c r="S879" s="274" t="s">
        <v>909</v>
      </c>
      <c r="T879" s="44">
        <v>1</v>
      </c>
      <c r="U879" s="283">
        <v>45</v>
      </c>
      <c r="V879" s="284">
        <v>10</v>
      </c>
      <c r="W879" s="285" t="s">
        <v>889</v>
      </c>
      <c r="X879" s="286" t="s">
        <v>889</v>
      </c>
      <c r="Y879" s="287">
        <v>0</v>
      </c>
      <c r="Z879" s="287" t="s">
        <v>889</v>
      </c>
      <c r="AA879" s="286" t="s">
        <v>889</v>
      </c>
      <c r="AB879" s="287">
        <v>0</v>
      </c>
      <c r="AC879" s="287"/>
      <c r="AD879" s="288" t="s">
        <v>889</v>
      </c>
      <c r="AE879" s="289" t="s">
        <v>889</v>
      </c>
      <c r="AF879" s="279">
        <v>11096</v>
      </c>
      <c r="AG879" s="282">
        <v>45009</v>
      </c>
      <c r="AH879" s="282">
        <v>43720</v>
      </c>
      <c r="AI879" s="282">
        <v>45107</v>
      </c>
      <c r="AJ879" s="282" t="s">
        <v>889</v>
      </c>
      <c r="AK879" s="274"/>
    </row>
    <row r="880" spans="1:37" x14ac:dyDescent="0.3">
      <c r="A880" s="273">
        <v>138460</v>
      </c>
      <c r="B880" s="274" t="s">
        <v>1971</v>
      </c>
      <c r="C880" s="146" t="s">
        <v>31</v>
      </c>
      <c r="D880" s="275">
        <v>0.63</v>
      </c>
      <c r="E880" s="274"/>
      <c r="F880" s="274"/>
      <c r="G880" s="274" t="s">
        <v>889</v>
      </c>
      <c r="H880" s="276">
        <v>1856</v>
      </c>
      <c r="I880" s="24">
        <v>103003</v>
      </c>
      <c r="J880" s="277">
        <v>0.63</v>
      </c>
      <c r="K880" s="276">
        <v>8212</v>
      </c>
      <c r="L880" s="278">
        <v>0.69661040486726489</v>
      </c>
      <c r="M880" s="279">
        <v>28615.96</v>
      </c>
      <c r="N880" s="277">
        <v>18028.054800000002</v>
      </c>
      <c r="O880" s="280" t="s">
        <v>888</v>
      </c>
      <c r="P880" s="279">
        <v>0</v>
      </c>
      <c r="Q880" s="281">
        <v>0</v>
      </c>
      <c r="R880" s="282" t="s">
        <v>889</v>
      </c>
      <c r="S880" s="274" t="s">
        <v>909</v>
      </c>
      <c r="T880" s="44">
        <v>1</v>
      </c>
      <c r="U880" s="283">
        <v>45</v>
      </c>
      <c r="V880" s="284">
        <v>10</v>
      </c>
      <c r="W880" s="285">
        <v>6211</v>
      </c>
      <c r="X880" s="286">
        <v>2023</v>
      </c>
      <c r="Y880" s="287">
        <v>1500</v>
      </c>
      <c r="Z880" s="287" t="s">
        <v>889</v>
      </c>
      <c r="AA880" s="286" t="s">
        <v>889</v>
      </c>
      <c r="AB880" s="287">
        <v>0</v>
      </c>
      <c r="AC880" s="287"/>
      <c r="AD880" s="288" t="s">
        <v>889</v>
      </c>
      <c r="AE880" s="289" t="s">
        <v>889</v>
      </c>
      <c r="AF880" s="279">
        <v>10658</v>
      </c>
      <c r="AG880" s="282">
        <v>44151</v>
      </c>
      <c r="AH880" s="282">
        <v>43720</v>
      </c>
      <c r="AI880" s="282">
        <v>45050</v>
      </c>
      <c r="AJ880" s="282" t="s">
        <v>889</v>
      </c>
      <c r="AK880" s="274"/>
    </row>
    <row r="881" spans="1:37" x14ac:dyDescent="0.3">
      <c r="A881" s="273">
        <v>138461</v>
      </c>
      <c r="B881" s="274" t="s">
        <v>1972</v>
      </c>
      <c r="C881" s="146" t="s">
        <v>1973</v>
      </c>
      <c r="D881" s="275">
        <v>8.5299999999999994</v>
      </c>
      <c r="E881" s="274"/>
      <c r="F881" s="274"/>
      <c r="G881" s="274" t="s">
        <v>889</v>
      </c>
      <c r="H881" s="276">
        <v>4972</v>
      </c>
      <c r="I881" s="24">
        <v>103003</v>
      </c>
      <c r="J881" s="277">
        <v>8.5299999999999994</v>
      </c>
      <c r="K881" s="276">
        <v>10902</v>
      </c>
      <c r="L881" s="278">
        <v>2.7670953846496329</v>
      </c>
      <c r="M881" s="279">
        <v>16589.96</v>
      </c>
      <c r="N881" s="277">
        <v>141512.35879999999</v>
      </c>
      <c r="O881" s="280" t="s">
        <v>888</v>
      </c>
      <c r="P881" s="279">
        <v>0</v>
      </c>
      <c r="Q881" s="281">
        <v>0</v>
      </c>
      <c r="R881" s="282" t="s">
        <v>889</v>
      </c>
      <c r="S881" s="274" t="s">
        <v>937</v>
      </c>
      <c r="T881" s="44">
        <v>1</v>
      </c>
      <c r="U881" s="283">
        <v>45</v>
      </c>
      <c r="V881" s="284">
        <v>9</v>
      </c>
      <c r="W881" s="285" t="s">
        <v>889</v>
      </c>
      <c r="X881" s="286" t="s">
        <v>889</v>
      </c>
      <c r="Y881" s="287">
        <v>0</v>
      </c>
      <c r="Z881" s="287" t="s">
        <v>889</v>
      </c>
      <c r="AA881" s="286" t="s">
        <v>889</v>
      </c>
      <c r="AB881" s="287">
        <v>0</v>
      </c>
      <c r="AC881" s="287"/>
      <c r="AD881" s="288" t="s">
        <v>889</v>
      </c>
      <c r="AE881" s="289" t="s">
        <v>889</v>
      </c>
      <c r="AF881" s="279">
        <v>7188</v>
      </c>
      <c r="AG881" s="282">
        <v>45090</v>
      </c>
      <c r="AH881" s="282">
        <v>43720</v>
      </c>
      <c r="AI881" s="282">
        <v>45079</v>
      </c>
      <c r="AJ881" s="282" t="s">
        <v>889</v>
      </c>
      <c r="AK881" s="274"/>
    </row>
    <row r="882" spans="1:37" x14ac:dyDescent="0.3">
      <c r="A882" s="273">
        <v>138462</v>
      </c>
      <c r="B882" s="274" t="s">
        <v>1974</v>
      </c>
      <c r="C882" s="146" t="s">
        <v>1973</v>
      </c>
      <c r="D882" s="275">
        <v>2.95</v>
      </c>
      <c r="E882" s="274"/>
      <c r="F882" s="274"/>
      <c r="G882" s="274" t="s">
        <v>889</v>
      </c>
      <c r="H882" s="276">
        <v>7640</v>
      </c>
      <c r="I882" s="24">
        <v>103003</v>
      </c>
      <c r="J882" s="277">
        <v>2.95</v>
      </c>
      <c r="K882" s="276">
        <v>8479</v>
      </c>
      <c r="L882" s="278">
        <v>9.0529908048156216</v>
      </c>
      <c r="M882" s="279">
        <v>2487.04</v>
      </c>
      <c r="N882" s="277">
        <v>7336.768</v>
      </c>
      <c r="O882" s="280" t="s">
        <v>888</v>
      </c>
      <c r="P882" s="279">
        <v>0</v>
      </c>
      <c r="Q882" s="281">
        <v>0</v>
      </c>
      <c r="R882" s="282" t="s">
        <v>889</v>
      </c>
      <c r="S882" s="274" t="s">
        <v>1829</v>
      </c>
      <c r="T882" s="44">
        <v>1</v>
      </c>
      <c r="U882" s="283">
        <v>45</v>
      </c>
      <c r="V882" s="284">
        <v>16</v>
      </c>
      <c r="W882" s="285" t="s">
        <v>889</v>
      </c>
      <c r="X882" s="286" t="s">
        <v>889</v>
      </c>
      <c r="Y882" s="287">
        <v>0</v>
      </c>
      <c r="Z882" s="287" t="s">
        <v>889</v>
      </c>
      <c r="AA882" s="286" t="s">
        <v>889</v>
      </c>
      <c r="AB882" s="287">
        <v>0</v>
      </c>
      <c r="AC882" s="287"/>
      <c r="AD882" s="288" t="s">
        <v>889</v>
      </c>
      <c r="AE882" s="289" t="s">
        <v>889</v>
      </c>
      <c r="AF882" s="279">
        <v>3376</v>
      </c>
      <c r="AG882" s="282">
        <v>44991</v>
      </c>
      <c r="AH882" s="282">
        <v>43720</v>
      </c>
      <c r="AI882" s="282">
        <v>44910</v>
      </c>
      <c r="AJ882" s="282" t="s">
        <v>889</v>
      </c>
      <c r="AK882" s="274"/>
    </row>
    <row r="883" spans="1:37" x14ac:dyDescent="0.3">
      <c r="A883" s="273">
        <v>138463</v>
      </c>
      <c r="B883" s="274" t="s">
        <v>1975</v>
      </c>
      <c r="C883" s="146" t="s">
        <v>1973</v>
      </c>
      <c r="D883" s="275">
        <v>7.29</v>
      </c>
      <c r="E883" s="274"/>
      <c r="F883" s="274"/>
      <c r="G883" s="274" t="s">
        <v>889</v>
      </c>
      <c r="H883" s="276">
        <v>22837</v>
      </c>
      <c r="I883" s="24">
        <v>103003</v>
      </c>
      <c r="J883" s="277">
        <v>7.3499400000000001</v>
      </c>
      <c r="K883" s="276">
        <v>23569</v>
      </c>
      <c r="L883" s="278">
        <v>8.0129824561403495</v>
      </c>
      <c r="M883" s="279">
        <v>11363</v>
      </c>
      <c r="N883" s="277">
        <v>82836.27</v>
      </c>
      <c r="O883" s="280" t="s">
        <v>888</v>
      </c>
      <c r="P883" s="279">
        <v>0</v>
      </c>
      <c r="Q883" s="281">
        <v>0</v>
      </c>
      <c r="R883" s="282" t="s">
        <v>889</v>
      </c>
      <c r="S883" s="274" t="s">
        <v>937</v>
      </c>
      <c r="T883" s="44">
        <v>1</v>
      </c>
      <c r="U883" s="283">
        <v>45</v>
      </c>
      <c r="V883" s="284">
        <v>9</v>
      </c>
      <c r="W883" s="285" t="s">
        <v>889</v>
      </c>
      <c r="X883" s="286" t="s">
        <v>889</v>
      </c>
      <c r="Y883" s="287">
        <v>0</v>
      </c>
      <c r="Z883" s="287" t="s">
        <v>889</v>
      </c>
      <c r="AA883" s="286" t="s">
        <v>889</v>
      </c>
      <c r="AB883" s="287">
        <v>0</v>
      </c>
      <c r="AC883" s="287"/>
      <c r="AD883" s="288" t="s">
        <v>889</v>
      </c>
      <c r="AE883" s="289" t="s">
        <v>889</v>
      </c>
      <c r="AF883" s="279">
        <v>11400</v>
      </c>
      <c r="AG883" s="282">
        <v>45051</v>
      </c>
      <c r="AH883" s="282">
        <v>43720</v>
      </c>
      <c r="AI883" s="282">
        <v>44959</v>
      </c>
      <c r="AJ883" s="282" t="s">
        <v>889</v>
      </c>
      <c r="AK883" s="274"/>
    </row>
    <row r="884" spans="1:37" x14ac:dyDescent="0.3">
      <c r="A884" s="273">
        <v>138464</v>
      </c>
      <c r="B884" s="274" t="s">
        <v>1976</v>
      </c>
      <c r="C884" s="146" t="s">
        <v>31</v>
      </c>
      <c r="D884" s="275">
        <v>0.23</v>
      </c>
      <c r="E884" s="274"/>
      <c r="F884" s="274"/>
      <c r="G884" s="274" t="s">
        <v>889</v>
      </c>
      <c r="H884" s="276">
        <v>60181</v>
      </c>
      <c r="I884" s="24">
        <v>103003</v>
      </c>
      <c r="J884" s="277">
        <v>0.23</v>
      </c>
      <c r="K884" s="276">
        <v>42641</v>
      </c>
      <c r="L884" s="278">
        <v>3.8939073462148914</v>
      </c>
      <c r="M884" s="279">
        <v>125281.04</v>
      </c>
      <c r="N884" s="277">
        <v>28814.639200000001</v>
      </c>
      <c r="O884" s="280" t="s">
        <v>888</v>
      </c>
      <c r="P884" s="279">
        <v>0</v>
      </c>
      <c r="Q884" s="281">
        <v>0</v>
      </c>
      <c r="R884" s="282" t="s">
        <v>889</v>
      </c>
      <c r="S884" s="274" t="s">
        <v>937</v>
      </c>
      <c r="T884" s="44">
        <v>1</v>
      </c>
      <c r="U884" s="283">
        <v>45</v>
      </c>
      <c r="V884" s="284">
        <v>9</v>
      </c>
      <c r="W884" s="285" t="s">
        <v>889</v>
      </c>
      <c r="X884" s="286" t="s">
        <v>889</v>
      </c>
      <c r="Y884" s="287">
        <v>0</v>
      </c>
      <c r="Z884" s="287" t="s">
        <v>889</v>
      </c>
      <c r="AA884" s="286" t="s">
        <v>889</v>
      </c>
      <c r="AB884" s="287">
        <v>0</v>
      </c>
      <c r="AC884" s="287"/>
      <c r="AD884" s="288" t="s">
        <v>889</v>
      </c>
      <c r="AE884" s="289" t="s">
        <v>889</v>
      </c>
      <c r="AF884" s="279">
        <v>61820</v>
      </c>
      <c r="AG884" s="282">
        <v>44151</v>
      </c>
      <c r="AH884" s="282">
        <v>43720</v>
      </c>
      <c r="AI884" s="282">
        <v>44110</v>
      </c>
      <c r="AJ884" s="282" t="s">
        <v>889</v>
      </c>
      <c r="AK884" s="274"/>
    </row>
    <row r="885" spans="1:37" x14ac:dyDescent="0.3">
      <c r="A885" s="273">
        <v>138465</v>
      </c>
      <c r="B885" s="274" t="s">
        <v>1977</v>
      </c>
      <c r="C885" s="146" t="s">
        <v>31</v>
      </c>
      <c r="D885" s="275">
        <v>2.94</v>
      </c>
      <c r="E885" s="274"/>
      <c r="F885" s="274"/>
      <c r="G885" s="274" t="s">
        <v>889</v>
      </c>
      <c r="H885" s="276">
        <v>4384</v>
      </c>
      <c r="I885" s="24">
        <v>103003</v>
      </c>
      <c r="J885" s="277">
        <v>2.94</v>
      </c>
      <c r="K885" s="276">
        <v>2936</v>
      </c>
      <c r="L885" s="278">
        <v>1.7401451973342119</v>
      </c>
      <c r="M885" s="279">
        <v>25847.96</v>
      </c>
      <c r="N885" s="277">
        <v>75993.002399999998</v>
      </c>
      <c r="O885" s="280" t="s">
        <v>888</v>
      </c>
      <c r="P885" s="279">
        <v>0</v>
      </c>
      <c r="Q885" s="281">
        <v>0</v>
      </c>
      <c r="R885" s="282" t="s">
        <v>889</v>
      </c>
      <c r="S885" s="274" t="s">
        <v>937</v>
      </c>
      <c r="T885" s="44">
        <v>1</v>
      </c>
      <c r="U885" s="283">
        <v>45</v>
      </c>
      <c r="V885" s="284">
        <v>9</v>
      </c>
      <c r="W885" s="285" t="s">
        <v>889</v>
      </c>
      <c r="X885" s="286" t="s">
        <v>889</v>
      </c>
      <c r="Y885" s="287">
        <v>0</v>
      </c>
      <c r="Z885" s="287" t="s">
        <v>889</v>
      </c>
      <c r="AA885" s="286" t="s">
        <v>889</v>
      </c>
      <c r="AB885" s="287">
        <v>0</v>
      </c>
      <c r="AC885" s="287"/>
      <c r="AD885" s="288" t="s">
        <v>889</v>
      </c>
      <c r="AE885" s="289" t="s">
        <v>889</v>
      </c>
      <c r="AF885" s="279">
        <v>10078</v>
      </c>
      <c r="AG885" s="282" t="s">
        <v>889</v>
      </c>
      <c r="AH885" s="282">
        <v>43720</v>
      </c>
      <c r="AI885" s="282">
        <v>45125</v>
      </c>
      <c r="AJ885" s="282" t="s">
        <v>889</v>
      </c>
      <c r="AK885" s="274"/>
    </row>
    <row r="886" spans="1:37" x14ac:dyDescent="0.3">
      <c r="A886" s="273">
        <v>138471</v>
      </c>
      <c r="B886" s="274" t="s">
        <v>1978</v>
      </c>
      <c r="C886" s="146" t="s">
        <v>31</v>
      </c>
      <c r="D886" s="275">
        <v>3.84</v>
      </c>
      <c r="E886" s="274"/>
      <c r="F886" s="274"/>
      <c r="G886" s="274" t="s">
        <v>889</v>
      </c>
      <c r="H886" s="276">
        <v>4448</v>
      </c>
      <c r="I886" s="24">
        <v>103003</v>
      </c>
      <c r="J886" s="277">
        <v>3.84</v>
      </c>
      <c r="K886" s="276">
        <v>8087</v>
      </c>
      <c r="L886" s="278">
        <v>2.1990735018564571</v>
      </c>
      <c r="M886" s="279">
        <v>16724.04</v>
      </c>
      <c r="N886" s="277">
        <v>64220.313600000001</v>
      </c>
      <c r="O886" s="280" t="s">
        <v>888</v>
      </c>
      <c r="P886" s="279">
        <v>0</v>
      </c>
      <c r="Q886" s="281">
        <v>0</v>
      </c>
      <c r="R886" s="282" t="s">
        <v>889</v>
      </c>
      <c r="S886" s="274" t="s">
        <v>931</v>
      </c>
      <c r="T886" s="44">
        <v>1</v>
      </c>
      <c r="U886" s="283">
        <v>45</v>
      </c>
      <c r="V886" s="284">
        <v>12</v>
      </c>
      <c r="W886" s="285">
        <v>8971</v>
      </c>
      <c r="X886" s="286">
        <v>2023</v>
      </c>
      <c r="Y886" s="287">
        <v>3100</v>
      </c>
      <c r="Z886" s="287" t="s">
        <v>889</v>
      </c>
      <c r="AA886" s="286" t="s">
        <v>889</v>
      </c>
      <c r="AB886" s="287">
        <v>0</v>
      </c>
      <c r="AC886" s="287"/>
      <c r="AD886" s="288" t="s">
        <v>889</v>
      </c>
      <c r="AE886" s="289" t="s">
        <v>889</v>
      </c>
      <c r="AF886" s="279">
        <v>8090</v>
      </c>
      <c r="AG886" s="282">
        <v>44985</v>
      </c>
      <c r="AH886" s="282">
        <v>43720</v>
      </c>
      <c r="AI886" s="282">
        <v>44959</v>
      </c>
      <c r="AJ886" s="282" t="s">
        <v>889</v>
      </c>
      <c r="AK886" s="274"/>
    </row>
    <row r="887" spans="1:37" x14ac:dyDescent="0.3">
      <c r="A887" s="273">
        <v>138475</v>
      </c>
      <c r="B887" s="274" t="s">
        <v>1979</v>
      </c>
      <c r="C887" s="146" t="s">
        <v>263</v>
      </c>
      <c r="D887" s="275">
        <v>13.05</v>
      </c>
      <c r="E887" s="274"/>
      <c r="F887" s="274"/>
      <c r="G887" s="274" t="s">
        <v>889</v>
      </c>
      <c r="H887" s="276">
        <v>155</v>
      </c>
      <c r="I887" s="24">
        <v>103003</v>
      </c>
      <c r="J887" s="277">
        <v>13.05</v>
      </c>
      <c r="K887" s="276">
        <v>21</v>
      </c>
      <c r="L887" s="278">
        <v>88.571428571428569</v>
      </c>
      <c r="M887" s="279">
        <v>0</v>
      </c>
      <c r="N887" s="277">
        <v>0</v>
      </c>
      <c r="O887" s="280" t="s">
        <v>888</v>
      </c>
      <c r="P887" s="279">
        <v>0</v>
      </c>
      <c r="Q887" s="281">
        <v>0</v>
      </c>
      <c r="R887" s="282" t="s">
        <v>889</v>
      </c>
      <c r="S887" s="274" t="s">
        <v>1276</v>
      </c>
      <c r="T887" s="44">
        <v>1</v>
      </c>
      <c r="U887" s="283">
        <v>83</v>
      </c>
      <c r="V887" s="284">
        <v>4</v>
      </c>
      <c r="W887" s="285" t="s">
        <v>889</v>
      </c>
      <c r="X887" s="286" t="s">
        <v>889</v>
      </c>
      <c r="Y887" s="287">
        <v>0</v>
      </c>
      <c r="Z887" s="287" t="s">
        <v>889</v>
      </c>
      <c r="AA887" s="286" t="s">
        <v>889</v>
      </c>
      <c r="AB887" s="287">
        <v>0</v>
      </c>
      <c r="AC887" s="287"/>
      <c r="AD887" s="288" t="s">
        <v>889</v>
      </c>
      <c r="AE887" s="289" t="s">
        <v>889</v>
      </c>
      <c r="AF887" s="279">
        <v>8</v>
      </c>
      <c r="AG887" s="282">
        <v>43878</v>
      </c>
      <c r="AH887" s="282">
        <v>43721</v>
      </c>
      <c r="AI887" s="282">
        <v>43826</v>
      </c>
      <c r="AJ887" s="282" t="s">
        <v>889</v>
      </c>
      <c r="AK887" s="274"/>
    </row>
    <row r="888" spans="1:37" x14ac:dyDescent="0.3">
      <c r="A888" s="273">
        <v>138528</v>
      </c>
      <c r="B888" s="274" t="s">
        <v>1980</v>
      </c>
      <c r="C888" s="146" t="s">
        <v>31</v>
      </c>
      <c r="D888" s="275">
        <v>184</v>
      </c>
      <c r="E888" s="274"/>
      <c r="F888" s="274"/>
      <c r="G888" s="274" t="s">
        <v>889</v>
      </c>
      <c r="H888" s="276">
        <v>29</v>
      </c>
      <c r="I888" s="24">
        <v>103003</v>
      </c>
      <c r="J888" s="277">
        <v>184</v>
      </c>
      <c r="K888" s="276"/>
      <c r="L888" s="278">
        <v>0</v>
      </c>
      <c r="M888" s="279">
        <v>0</v>
      </c>
      <c r="N888" s="277">
        <v>0</v>
      </c>
      <c r="O888" s="280" t="s">
        <v>888</v>
      </c>
      <c r="P888" s="279">
        <v>0</v>
      </c>
      <c r="Q888" s="281">
        <v>0</v>
      </c>
      <c r="R888" s="282" t="s">
        <v>889</v>
      </c>
      <c r="S888" s="274" t="s">
        <v>1981</v>
      </c>
      <c r="T888" s="44">
        <v>1</v>
      </c>
      <c r="U888" s="283">
        <v>78</v>
      </c>
      <c r="V888" s="284">
        <v>4</v>
      </c>
      <c r="W888" s="285" t="s">
        <v>889</v>
      </c>
      <c r="X888" s="286" t="s">
        <v>889</v>
      </c>
      <c r="Y888" s="287">
        <v>0</v>
      </c>
      <c r="Z888" s="287" t="s">
        <v>889</v>
      </c>
      <c r="AA888" s="286" t="s">
        <v>889</v>
      </c>
      <c r="AB888" s="287">
        <v>0</v>
      </c>
      <c r="AC888" s="287"/>
      <c r="AD888" s="288" t="s">
        <v>889</v>
      </c>
      <c r="AE888" s="289" t="s">
        <v>889</v>
      </c>
      <c r="AF888" s="279">
        <v>0</v>
      </c>
      <c r="AG888" s="282">
        <v>43847</v>
      </c>
      <c r="AH888" s="282">
        <v>43727</v>
      </c>
      <c r="AI888" s="282">
        <v>43809</v>
      </c>
      <c r="AJ888" s="282" t="s">
        <v>889</v>
      </c>
      <c r="AK888" s="274"/>
    </row>
    <row r="889" spans="1:37" x14ac:dyDescent="0.3">
      <c r="A889" s="273">
        <v>138551</v>
      </c>
      <c r="B889" s="274" t="s">
        <v>1982</v>
      </c>
      <c r="C889" s="146" t="s">
        <v>31</v>
      </c>
      <c r="D889" s="275">
        <v>299.89</v>
      </c>
      <c r="E889" s="274"/>
      <c r="F889" s="274"/>
      <c r="G889" s="274" t="s">
        <v>889</v>
      </c>
      <c r="H889" s="276">
        <v>0</v>
      </c>
      <c r="I889" s="24">
        <v>103003</v>
      </c>
      <c r="J889" s="277">
        <v>299.89</v>
      </c>
      <c r="K889" s="276">
        <v>278</v>
      </c>
      <c r="L889" s="278">
        <v>0</v>
      </c>
      <c r="M889" s="279">
        <v>0</v>
      </c>
      <c r="N889" s="277">
        <v>0</v>
      </c>
      <c r="O889" s="280" t="s">
        <v>888</v>
      </c>
      <c r="P889" s="279">
        <v>0</v>
      </c>
      <c r="Q889" s="281">
        <v>0</v>
      </c>
      <c r="R889" s="282" t="s">
        <v>889</v>
      </c>
      <c r="S889" s="274" t="s">
        <v>1881</v>
      </c>
      <c r="T889" s="44">
        <v>1</v>
      </c>
      <c r="U889" s="283">
        <v>55</v>
      </c>
      <c r="V889" s="284">
        <v>66</v>
      </c>
      <c r="W889" s="285">
        <v>2376</v>
      </c>
      <c r="X889" s="286">
        <v>2023</v>
      </c>
      <c r="Y889" s="287">
        <v>500</v>
      </c>
      <c r="Z889" s="287" t="s">
        <v>889</v>
      </c>
      <c r="AA889" s="286" t="s">
        <v>889</v>
      </c>
      <c r="AB889" s="287">
        <v>0</v>
      </c>
      <c r="AC889" s="287"/>
      <c r="AD889" s="288" t="s">
        <v>889</v>
      </c>
      <c r="AE889" s="289" t="s">
        <v>889</v>
      </c>
      <c r="AF889" s="279">
        <v>100</v>
      </c>
      <c r="AG889" s="282">
        <v>44495</v>
      </c>
      <c r="AH889" s="282">
        <v>43734</v>
      </c>
      <c r="AI889" s="282">
        <v>44431</v>
      </c>
      <c r="AJ889" s="282" t="s">
        <v>889</v>
      </c>
      <c r="AK889" s="274"/>
    </row>
    <row r="890" spans="1:37" x14ac:dyDescent="0.3">
      <c r="A890" s="273">
        <v>138552</v>
      </c>
      <c r="B890" s="274" t="s">
        <v>1983</v>
      </c>
      <c r="C890" s="146" t="s">
        <v>31</v>
      </c>
      <c r="D890" s="275">
        <v>438.58</v>
      </c>
      <c r="E890" s="274"/>
      <c r="F890" s="274"/>
      <c r="G890" s="274" t="s">
        <v>889</v>
      </c>
      <c r="H890" s="276">
        <v>484</v>
      </c>
      <c r="I890" s="24">
        <v>103003</v>
      </c>
      <c r="J890" s="277">
        <v>438.58</v>
      </c>
      <c r="K890" s="276">
        <v>115</v>
      </c>
      <c r="L890" s="278">
        <v>50.521920668058456</v>
      </c>
      <c r="M890" s="279">
        <v>0</v>
      </c>
      <c r="N890" s="277">
        <v>0</v>
      </c>
      <c r="O890" s="280" t="s">
        <v>888</v>
      </c>
      <c r="P890" s="279">
        <v>0</v>
      </c>
      <c r="Q890" s="281">
        <v>0</v>
      </c>
      <c r="R890" s="282" t="s">
        <v>889</v>
      </c>
      <c r="S890" s="274" t="s">
        <v>1086</v>
      </c>
      <c r="T890" s="44">
        <v>1</v>
      </c>
      <c r="U890" s="283">
        <v>55</v>
      </c>
      <c r="V890" s="284">
        <v>49</v>
      </c>
      <c r="W890" s="285" t="s">
        <v>889</v>
      </c>
      <c r="X890" s="286" t="s">
        <v>889</v>
      </c>
      <c r="Y890" s="287">
        <v>0</v>
      </c>
      <c r="Z890" s="287" t="s">
        <v>889</v>
      </c>
      <c r="AA890" s="286" t="s">
        <v>889</v>
      </c>
      <c r="AB890" s="287">
        <v>0</v>
      </c>
      <c r="AC890" s="287"/>
      <c r="AD890" s="288" t="s">
        <v>889</v>
      </c>
      <c r="AE890" s="289" t="s">
        <v>889</v>
      </c>
      <c r="AF890" s="279">
        <v>38</v>
      </c>
      <c r="AG890" s="282">
        <v>44532</v>
      </c>
      <c r="AH890" s="282">
        <v>43734</v>
      </c>
      <c r="AI890" s="282">
        <v>44470</v>
      </c>
      <c r="AJ890" s="282" t="s">
        <v>889</v>
      </c>
      <c r="AK890" s="274"/>
    </row>
    <row r="891" spans="1:37" x14ac:dyDescent="0.3">
      <c r="A891" s="273">
        <v>138553</v>
      </c>
      <c r="B891" s="274" t="s">
        <v>1984</v>
      </c>
      <c r="C891" s="146" t="s">
        <v>31</v>
      </c>
      <c r="D891" s="275">
        <v>566.33000000000004</v>
      </c>
      <c r="E891" s="274"/>
      <c r="F891" s="274"/>
      <c r="G891" s="274" t="s">
        <v>889</v>
      </c>
      <c r="H891" s="276">
        <v>660</v>
      </c>
      <c r="I891" s="24">
        <v>103003</v>
      </c>
      <c r="J891" s="277">
        <v>566.33000000000004</v>
      </c>
      <c r="K891" s="276">
        <v>20</v>
      </c>
      <c r="L891" s="278">
        <v>395.20958083832335</v>
      </c>
      <c r="M891" s="279">
        <v>0</v>
      </c>
      <c r="N891" s="277">
        <v>0</v>
      </c>
      <c r="O891" s="280" t="s">
        <v>888</v>
      </c>
      <c r="P891" s="279">
        <v>0</v>
      </c>
      <c r="Q891" s="281">
        <v>0</v>
      </c>
      <c r="R891" s="282" t="s">
        <v>889</v>
      </c>
      <c r="S891" s="274" t="s">
        <v>1086</v>
      </c>
      <c r="T891" s="44">
        <v>1</v>
      </c>
      <c r="U891" s="283">
        <v>55</v>
      </c>
      <c r="V891" s="284">
        <v>49</v>
      </c>
      <c r="W891" s="285" t="s">
        <v>889</v>
      </c>
      <c r="X891" s="286" t="s">
        <v>889</v>
      </c>
      <c r="Y891" s="287">
        <v>0</v>
      </c>
      <c r="Z891" s="287" t="s">
        <v>889</v>
      </c>
      <c r="AA891" s="286" t="s">
        <v>889</v>
      </c>
      <c r="AB891" s="287">
        <v>0</v>
      </c>
      <c r="AC891" s="287"/>
      <c r="AD891" s="288" t="s">
        <v>889</v>
      </c>
      <c r="AE891" s="289" t="s">
        <v>889</v>
      </c>
      <c r="AF891" s="279">
        <v>6</v>
      </c>
      <c r="AG891" s="282">
        <v>44537</v>
      </c>
      <c r="AH891" s="282">
        <v>43734</v>
      </c>
      <c r="AI891" s="282">
        <v>44470</v>
      </c>
      <c r="AJ891" s="282" t="s">
        <v>889</v>
      </c>
      <c r="AK891" s="274"/>
    </row>
    <row r="892" spans="1:37" x14ac:dyDescent="0.3">
      <c r="A892" s="273">
        <v>138554</v>
      </c>
      <c r="B892" s="274" t="s">
        <v>1985</v>
      </c>
      <c r="C892" s="146" t="s">
        <v>31</v>
      </c>
      <c r="D892" s="275">
        <v>377.85</v>
      </c>
      <c r="E892" s="274"/>
      <c r="F892" s="274"/>
      <c r="G892" s="274" t="s">
        <v>889</v>
      </c>
      <c r="H892" s="276">
        <v>248</v>
      </c>
      <c r="I892" s="24">
        <v>103003</v>
      </c>
      <c r="J892" s="277">
        <v>377.85</v>
      </c>
      <c r="K892" s="276">
        <v>368</v>
      </c>
      <c r="L892" s="278">
        <v>8.0860776002608414</v>
      </c>
      <c r="M892" s="279">
        <v>120.04</v>
      </c>
      <c r="N892" s="277">
        <v>45357.114000000001</v>
      </c>
      <c r="O892" s="280" t="s">
        <v>888</v>
      </c>
      <c r="P892" s="279">
        <v>0</v>
      </c>
      <c r="Q892" s="281">
        <v>0</v>
      </c>
      <c r="R892" s="282" t="s">
        <v>889</v>
      </c>
      <c r="S892" s="274" t="s">
        <v>1086</v>
      </c>
      <c r="T892" s="44">
        <v>1</v>
      </c>
      <c r="U892" s="283">
        <v>55</v>
      </c>
      <c r="V892" s="284">
        <v>49</v>
      </c>
      <c r="W892" s="285" t="s">
        <v>889</v>
      </c>
      <c r="X892" s="286" t="s">
        <v>889</v>
      </c>
      <c r="Y892" s="287">
        <v>0</v>
      </c>
      <c r="Z892" s="287" t="s">
        <v>889</v>
      </c>
      <c r="AA892" s="286" t="s">
        <v>889</v>
      </c>
      <c r="AB892" s="287">
        <v>0</v>
      </c>
      <c r="AC892" s="287"/>
      <c r="AD892" s="288" t="s">
        <v>889</v>
      </c>
      <c r="AE892" s="289" t="s">
        <v>889</v>
      </c>
      <c r="AF892" s="279">
        <v>0</v>
      </c>
      <c r="AG892" s="282">
        <v>44525</v>
      </c>
      <c r="AH892" s="282">
        <v>43734</v>
      </c>
      <c r="AI892" s="282">
        <v>44431</v>
      </c>
      <c r="AJ892" s="282" t="s">
        <v>889</v>
      </c>
      <c r="AK892" s="274"/>
    </row>
    <row r="893" spans="1:37" x14ac:dyDescent="0.3">
      <c r="A893" s="273">
        <v>139141</v>
      </c>
      <c r="B893" s="274" t="s">
        <v>1986</v>
      </c>
      <c r="C893" s="146" t="s">
        <v>31</v>
      </c>
      <c r="D893" s="275">
        <v>5.65</v>
      </c>
      <c r="E893" s="274"/>
      <c r="F893" s="274"/>
      <c r="G893" s="274" t="s">
        <v>889</v>
      </c>
      <c r="H893" s="276">
        <v>1706</v>
      </c>
      <c r="I893" s="24">
        <v>103003</v>
      </c>
      <c r="J893" s="277">
        <v>3.7949999999999999</v>
      </c>
      <c r="K893" s="276">
        <v>3315</v>
      </c>
      <c r="L893" s="278">
        <v>5.3605655930871956</v>
      </c>
      <c r="M893" s="279">
        <v>2113</v>
      </c>
      <c r="N893" s="277">
        <v>11938.45</v>
      </c>
      <c r="O893" s="280" t="s">
        <v>888</v>
      </c>
      <c r="P893" s="279">
        <v>0</v>
      </c>
      <c r="Q893" s="281">
        <v>0</v>
      </c>
      <c r="R893" s="282" t="s">
        <v>889</v>
      </c>
      <c r="S893" s="274" t="s">
        <v>937</v>
      </c>
      <c r="T893" s="44">
        <v>1</v>
      </c>
      <c r="U893" s="283">
        <v>45</v>
      </c>
      <c r="V893" s="284">
        <v>9</v>
      </c>
      <c r="W893" s="285" t="s">
        <v>889</v>
      </c>
      <c r="X893" s="286" t="s">
        <v>889</v>
      </c>
      <c r="Y893" s="287">
        <v>0</v>
      </c>
      <c r="Z893" s="287" t="s">
        <v>889</v>
      </c>
      <c r="AA893" s="286" t="s">
        <v>889</v>
      </c>
      <c r="AB893" s="287">
        <v>0</v>
      </c>
      <c r="AC893" s="287"/>
      <c r="AD893" s="288" t="s">
        <v>889</v>
      </c>
      <c r="AE893" s="289" t="s">
        <v>889</v>
      </c>
      <c r="AF893" s="279">
        <v>1274</v>
      </c>
      <c r="AG893" s="282">
        <v>45057</v>
      </c>
      <c r="AH893" s="282">
        <v>43881</v>
      </c>
      <c r="AI893" s="282">
        <v>45044</v>
      </c>
      <c r="AJ893" s="282" t="s">
        <v>889</v>
      </c>
      <c r="AK893" s="274"/>
    </row>
    <row r="894" spans="1:37" x14ac:dyDescent="0.3">
      <c r="A894" s="273">
        <v>139142</v>
      </c>
      <c r="B894" s="274" t="s">
        <v>1987</v>
      </c>
      <c r="C894" s="146" t="s">
        <v>31</v>
      </c>
      <c r="D894" s="275">
        <v>6.85</v>
      </c>
      <c r="E894" s="274"/>
      <c r="F894" s="274"/>
      <c r="G894" s="274" t="s">
        <v>889</v>
      </c>
      <c r="H894" s="276">
        <v>1746</v>
      </c>
      <c r="I894" s="24">
        <v>103003</v>
      </c>
      <c r="J894" s="277">
        <v>4.625</v>
      </c>
      <c r="K894" s="276">
        <v>3522</v>
      </c>
      <c r="L894" s="278">
        <v>4.985010706638116</v>
      </c>
      <c r="M894" s="279">
        <v>2457</v>
      </c>
      <c r="N894" s="277">
        <v>16830.45</v>
      </c>
      <c r="O894" s="280" t="s">
        <v>888</v>
      </c>
      <c r="P894" s="279">
        <v>0</v>
      </c>
      <c r="Q894" s="281">
        <v>0</v>
      </c>
      <c r="R894" s="282" t="s">
        <v>889</v>
      </c>
      <c r="S894" s="274" t="s">
        <v>937</v>
      </c>
      <c r="T894" s="44">
        <v>1</v>
      </c>
      <c r="U894" s="283">
        <v>45</v>
      </c>
      <c r="V894" s="284">
        <v>9</v>
      </c>
      <c r="W894" s="285" t="s">
        <v>889</v>
      </c>
      <c r="X894" s="286" t="s">
        <v>889</v>
      </c>
      <c r="Y894" s="287">
        <v>0</v>
      </c>
      <c r="Z894" s="287" t="s">
        <v>889</v>
      </c>
      <c r="AA894" s="286" t="s">
        <v>889</v>
      </c>
      <c r="AB894" s="287">
        <v>0</v>
      </c>
      <c r="AC894" s="287"/>
      <c r="AD894" s="288" t="s">
        <v>889</v>
      </c>
      <c r="AE894" s="289" t="s">
        <v>889</v>
      </c>
      <c r="AF894" s="279">
        <v>1402</v>
      </c>
      <c r="AG894" s="282">
        <v>45057</v>
      </c>
      <c r="AH894" s="282">
        <v>43881</v>
      </c>
      <c r="AI894" s="282">
        <v>45044</v>
      </c>
      <c r="AJ894" s="282" t="s">
        <v>889</v>
      </c>
      <c r="AK894" s="274"/>
    </row>
    <row r="895" spans="1:37" x14ac:dyDescent="0.3">
      <c r="A895" s="273">
        <v>139143</v>
      </c>
      <c r="B895" s="274" t="s">
        <v>1988</v>
      </c>
      <c r="C895" s="146" t="s">
        <v>31</v>
      </c>
      <c r="D895" s="275">
        <v>10.4</v>
      </c>
      <c r="E895" s="274"/>
      <c r="F895" s="274"/>
      <c r="G895" s="274" t="s">
        <v>889</v>
      </c>
      <c r="H895" s="276">
        <v>250</v>
      </c>
      <c r="I895" s="24">
        <v>103003</v>
      </c>
      <c r="J895" s="277">
        <v>10.4</v>
      </c>
      <c r="K895" s="276">
        <v>4867</v>
      </c>
      <c r="L895" s="278">
        <v>0.54083288263926443</v>
      </c>
      <c r="M895" s="279">
        <v>4197</v>
      </c>
      <c r="N895" s="277">
        <v>43648.800000000003</v>
      </c>
      <c r="O895" s="280" t="s">
        <v>888</v>
      </c>
      <c r="P895" s="279">
        <v>0</v>
      </c>
      <c r="Q895" s="281">
        <v>0</v>
      </c>
      <c r="R895" s="282" t="s">
        <v>889</v>
      </c>
      <c r="S895" s="274" t="s">
        <v>937</v>
      </c>
      <c r="T895" s="44">
        <v>1</v>
      </c>
      <c r="U895" s="283">
        <v>45</v>
      </c>
      <c r="V895" s="284">
        <v>9</v>
      </c>
      <c r="W895" s="285">
        <v>6978</v>
      </c>
      <c r="X895" s="286">
        <v>2023</v>
      </c>
      <c r="Y895" s="287">
        <v>1100</v>
      </c>
      <c r="Z895" s="287" t="s">
        <v>889</v>
      </c>
      <c r="AA895" s="286" t="s">
        <v>889</v>
      </c>
      <c r="AB895" s="287">
        <v>0</v>
      </c>
      <c r="AC895" s="287"/>
      <c r="AD895" s="288" t="s">
        <v>889</v>
      </c>
      <c r="AE895" s="289" t="s">
        <v>889</v>
      </c>
      <c r="AF895" s="279">
        <v>1850</v>
      </c>
      <c r="AG895" s="282">
        <v>44974</v>
      </c>
      <c r="AH895" s="282">
        <v>43881</v>
      </c>
      <c r="AI895" s="282">
        <v>45044</v>
      </c>
      <c r="AJ895" s="282" t="s">
        <v>889</v>
      </c>
      <c r="AK895" s="274"/>
    </row>
    <row r="896" spans="1:37" x14ac:dyDescent="0.3">
      <c r="A896" s="273">
        <v>139144</v>
      </c>
      <c r="B896" s="274" t="s">
        <v>1989</v>
      </c>
      <c r="C896" s="146" t="s">
        <v>31</v>
      </c>
      <c r="D896" s="275">
        <v>14.1</v>
      </c>
      <c r="E896" s="274"/>
      <c r="F896" s="274"/>
      <c r="G896" s="274" t="s">
        <v>889</v>
      </c>
      <c r="H896" s="276">
        <v>542</v>
      </c>
      <c r="I896" s="24">
        <v>103003</v>
      </c>
      <c r="J896" s="277">
        <v>14.1</v>
      </c>
      <c r="K896" s="276">
        <v>4839</v>
      </c>
      <c r="L896" s="278">
        <v>1.3440793552386858</v>
      </c>
      <c r="M896" s="279">
        <v>3097</v>
      </c>
      <c r="N896" s="277">
        <v>43667.7</v>
      </c>
      <c r="O896" s="280" t="s">
        <v>888</v>
      </c>
      <c r="P896" s="279">
        <v>0</v>
      </c>
      <c r="Q896" s="281">
        <v>0</v>
      </c>
      <c r="R896" s="282" t="s">
        <v>889</v>
      </c>
      <c r="S896" s="274" t="s">
        <v>937</v>
      </c>
      <c r="T896" s="44">
        <v>1</v>
      </c>
      <c r="U896" s="283">
        <v>45</v>
      </c>
      <c r="V896" s="284">
        <v>9</v>
      </c>
      <c r="W896" s="285">
        <v>6982</v>
      </c>
      <c r="X896" s="286">
        <v>2023</v>
      </c>
      <c r="Y896" s="287">
        <v>1200</v>
      </c>
      <c r="Z896" s="287" t="s">
        <v>889</v>
      </c>
      <c r="AA896" s="286" t="s">
        <v>889</v>
      </c>
      <c r="AB896" s="287">
        <v>0</v>
      </c>
      <c r="AC896" s="287"/>
      <c r="AD896" s="288" t="s">
        <v>889</v>
      </c>
      <c r="AE896" s="289" t="s">
        <v>889</v>
      </c>
      <c r="AF896" s="279">
        <v>1614</v>
      </c>
      <c r="AG896" s="282">
        <v>44337</v>
      </c>
      <c r="AH896" s="282">
        <v>43881</v>
      </c>
      <c r="AI896" s="282">
        <v>45044</v>
      </c>
      <c r="AJ896" s="282" t="s">
        <v>889</v>
      </c>
      <c r="AK896" s="274"/>
    </row>
    <row r="897" spans="1:37" x14ac:dyDescent="0.3">
      <c r="A897" s="273">
        <v>139545</v>
      </c>
      <c r="B897" s="274" t="s">
        <v>1990</v>
      </c>
      <c r="C897" s="146" t="s">
        <v>31</v>
      </c>
      <c r="D897" s="275">
        <v>4.28</v>
      </c>
      <c r="E897" s="274"/>
      <c r="F897" s="274"/>
      <c r="G897" s="274" t="s">
        <v>889</v>
      </c>
      <c r="H897" s="276">
        <v>0</v>
      </c>
      <c r="I897" s="24">
        <v>103003</v>
      </c>
      <c r="J897" s="277">
        <v>4.28</v>
      </c>
      <c r="K897" s="276">
        <v>77</v>
      </c>
      <c r="L897" s="278">
        <v>0</v>
      </c>
      <c r="M897" s="279">
        <v>77.040000000000006</v>
      </c>
      <c r="N897" s="277">
        <v>329.7312</v>
      </c>
      <c r="O897" s="280" t="s">
        <v>888</v>
      </c>
      <c r="P897" s="279">
        <v>0</v>
      </c>
      <c r="Q897" s="281">
        <v>0</v>
      </c>
      <c r="R897" s="282" t="s">
        <v>889</v>
      </c>
      <c r="S897" s="274" t="s">
        <v>1276</v>
      </c>
      <c r="T897" s="44">
        <v>1</v>
      </c>
      <c r="U897" s="283">
        <v>83</v>
      </c>
      <c r="V897" s="284">
        <v>4</v>
      </c>
      <c r="W897" s="285" t="s">
        <v>889</v>
      </c>
      <c r="X897" s="286" t="s">
        <v>889</v>
      </c>
      <c r="Y897" s="287">
        <v>0</v>
      </c>
      <c r="Z897" s="287" t="s">
        <v>889</v>
      </c>
      <c r="AA897" s="286" t="s">
        <v>889</v>
      </c>
      <c r="AB897" s="287">
        <v>0</v>
      </c>
      <c r="AC897" s="287"/>
      <c r="AD897" s="288" t="s">
        <v>889</v>
      </c>
      <c r="AE897" s="289" t="s">
        <v>889</v>
      </c>
      <c r="AF897" s="279">
        <v>26</v>
      </c>
      <c r="AG897" s="282">
        <v>44166</v>
      </c>
      <c r="AH897" s="282">
        <v>43983</v>
      </c>
      <c r="AI897" s="282">
        <v>44125</v>
      </c>
      <c r="AJ897" s="282" t="s">
        <v>889</v>
      </c>
      <c r="AK897" s="274"/>
    </row>
    <row r="898" spans="1:37" x14ac:dyDescent="0.3">
      <c r="A898" s="273">
        <v>139767</v>
      </c>
      <c r="B898" s="274" t="s">
        <v>1991</v>
      </c>
      <c r="C898" s="146" t="s">
        <v>31</v>
      </c>
      <c r="D898" s="275">
        <v>0</v>
      </c>
      <c r="E898" s="274"/>
      <c r="F898" s="274"/>
      <c r="G898" s="274" t="s">
        <v>889</v>
      </c>
      <c r="H898" s="276">
        <v>1813</v>
      </c>
      <c r="I898" s="24">
        <v>103003</v>
      </c>
      <c r="J898" s="277">
        <v>0</v>
      </c>
      <c r="K898" s="276">
        <v>1369</v>
      </c>
      <c r="L898" s="278">
        <v>9.2147395171537489</v>
      </c>
      <c r="M898" s="279">
        <v>548</v>
      </c>
      <c r="N898" s="277">
        <v>0</v>
      </c>
      <c r="O898" s="280" t="s">
        <v>888</v>
      </c>
      <c r="P898" s="279">
        <v>0</v>
      </c>
      <c r="Q898" s="281">
        <v>0</v>
      </c>
      <c r="R898" s="282" t="s">
        <v>889</v>
      </c>
      <c r="S898" s="274" t="s">
        <v>941</v>
      </c>
      <c r="T898" s="44">
        <v>1</v>
      </c>
      <c r="U898" s="283">
        <v>45</v>
      </c>
      <c r="V898" s="284">
        <v>11</v>
      </c>
      <c r="W898" s="285" t="s">
        <v>889</v>
      </c>
      <c r="X898" s="286" t="s">
        <v>889</v>
      </c>
      <c r="Y898" s="287">
        <v>0</v>
      </c>
      <c r="Z898" s="287" t="s">
        <v>889</v>
      </c>
      <c r="AA898" s="286" t="s">
        <v>889</v>
      </c>
      <c r="AB898" s="287">
        <v>0</v>
      </c>
      <c r="AC898" s="287"/>
      <c r="AD898" s="288" t="s">
        <v>889</v>
      </c>
      <c r="AE898" s="289" t="s">
        <v>889</v>
      </c>
      <c r="AF898" s="279">
        <v>788</v>
      </c>
      <c r="AG898" s="282" t="s">
        <v>889</v>
      </c>
      <c r="AH898" s="282">
        <v>44020</v>
      </c>
      <c r="AI898" s="282" t="s">
        <v>889</v>
      </c>
      <c r="AJ898" s="282" t="s">
        <v>889</v>
      </c>
      <c r="AK898" s="274"/>
    </row>
    <row r="899" spans="1:37" x14ac:dyDescent="0.3">
      <c r="A899" s="273">
        <v>139957</v>
      </c>
      <c r="B899" s="274" t="s">
        <v>1992</v>
      </c>
      <c r="C899" s="146" t="s">
        <v>560</v>
      </c>
      <c r="D899" s="275">
        <v>47.5</v>
      </c>
      <c r="E899" s="274" t="s">
        <v>1993</v>
      </c>
      <c r="F899" s="274" t="s">
        <v>1994</v>
      </c>
      <c r="G899" s="274" t="s">
        <v>1995</v>
      </c>
      <c r="H899" s="276">
        <v>0</v>
      </c>
      <c r="I899" s="24">
        <v>103003</v>
      </c>
      <c r="J899" s="277">
        <v>47.5</v>
      </c>
      <c r="K899" s="276">
        <v>2521</v>
      </c>
      <c r="L899" s="278">
        <v>0</v>
      </c>
      <c r="M899" s="279">
        <v>6099.96</v>
      </c>
      <c r="N899" s="277">
        <v>289748.09999999998</v>
      </c>
      <c r="O899" s="280" t="s">
        <v>1996</v>
      </c>
      <c r="P899" s="279">
        <v>10691</v>
      </c>
      <c r="Q899" s="281">
        <v>507822.5</v>
      </c>
      <c r="R899" s="282">
        <v>45561</v>
      </c>
      <c r="S899" s="274" t="s">
        <v>1734</v>
      </c>
      <c r="T899" s="44">
        <v>1</v>
      </c>
      <c r="U899" s="283">
        <v>51</v>
      </c>
      <c r="V899" s="284">
        <v>21</v>
      </c>
      <c r="W899" s="285" t="s">
        <v>889</v>
      </c>
      <c r="X899" s="286" t="s">
        <v>889</v>
      </c>
      <c r="Y899" s="287">
        <v>0</v>
      </c>
      <c r="Z899" s="287" t="s">
        <v>889</v>
      </c>
      <c r="AA899" s="286" t="s">
        <v>889</v>
      </c>
      <c r="AB899" s="287">
        <v>0</v>
      </c>
      <c r="AC899" s="287"/>
      <c r="AD899" s="288" t="s">
        <v>889</v>
      </c>
      <c r="AE899" s="289" t="s">
        <v>889</v>
      </c>
      <c r="AF899" s="279">
        <v>2034</v>
      </c>
      <c r="AG899" s="282">
        <v>44922</v>
      </c>
      <c r="AH899" s="282">
        <v>44075</v>
      </c>
      <c r="AI899" s="282">
        <v>45215</v>
      </c>
      <c r="AJ899" s="282" t="s">
        <v>889</v>
      </c>
      <c r="AK899" s="274"/>
    </row>
    <row r="900" spans="1:37" x14ac:dyDescent="0.3">
      <c r="A900" s="273">
        <v>139958</v>
      </c>
      <c r="B900" s="274" t="s">
        <v>1997</v>
      </c>
      <c r="C900" s="146" t="s">
        <v>560</v>
      </c>
      <c r="D900" s="275">
        <v>59.34</v>
      </c>
      <c r="E900" s="274" t="s">
        <v>1993</v>
      </c>
      <c r="F900" s="274" t="s">
        <v>1994</v>
      </c>
      <c r="G900" s="274" t="s">
        <v>1995</v>
      </c>
      <c r="H900" s="276">
        <v>0</v>
      </c>
      <c r="I900" s="24">
        <v>103003</v>
      </c>
      <c r="J900" s="277">
        <v>59.34</v>
      </c>
      <c r="K900" s="276">
        <v>1757.55</v>
      </c>
      <c r="L900" s="278">
        <v>0</v>
      </c>
      <c r="M900" s="279">
        <v>1757.52</v>
      </c>
      <c r="N900" s="277">
        <v>104291.2368</v>
      </c>
      <c r="O900" s="280" t="s">
        <v>1996</v>
      </c>
      <c r="P900" s="279">
        <v>11495.9</v>
      </c>
      <c r="Q900" s="281">
        <v>682166.71</v>
      </c>
      <c r="R900" s="282">
        <v>45561</v>
      </c>
      <c r="S900" s="274" t="s">
        <v>1734</v>
      </c>
      <c r="T900" s="44">
        <v>1</v>
      </c>
      <c r="U900" s="283">
        <v>51</v>
      </c>
      <c r="V900" s="284">
        <v>21</v>
      </c>
      <c r="W900" s="285" t="s">
        <v>889</v>
      </c>
      <c r="X900" s="286" t="s">
        <v>889</v>
      </c>
      <c r="Y900" s="287">
        <v>0</v>
      </c>
      <c r="Z900" s="287" t="s">
        <v>889</v>
      </c>
      <c r="AA900" s="286" t="s">
        <v>889</v>
      </c>
      <c r="AB900" s="287">
        <v>0</v>
      </c>
      <c r="AC900" s="287"/>
      <c r="AD900" s="288" t="s">
        <v>889</v>
      </c>
      <c r="AE900" s="289" t="s">
        <v>889</v>
      </c>
      <c r="AF900" s="279">
        <v>586</v>
      </c>
      <c r="AG900" s="282">
        <v>44550</v>
      </c>
      <c r="AH900" s="282">
        <v>44075</v>
      </c>
      <c r="AI900" s="282">
        <v>45215</v>
      </c>
      <c r="AJ900" s="282" t="s">
        <v>889</v>
      </c>
      <c r="AK900" s="274"/>
    </row>
    <row r="901" spans="1:37" x14ac:dyDescent="0.3">
      <c r="A901" s="273">
        <v>140028</v>
      </c>
      <c r="B901" s="274" t="s">
        <v>1998</v>
      </c>
      <c r="C901" s="146" t="s">
        <v>260</v>
      </c>
      <c r="D901" s="275">
        <v>94</v>
      </c>
      <c r="E901" s="274"/>
      <c r="F901" s="274"/>
      <c r="G901" s="274" t="s">
        <v>889</v>
      </c>
      <c r="H901" s="276">
        <v>843</v>
      </c>
      <c r="I901" s="24">
        <v>103003</v>
      </c>
      <c r="J901" s="277">
        <v>94</v>
      </c>
      <c r="K901" s="276">
        <v>49</v>
      </c>
      <c r="L901" s="278">
        <v>174.53416149068323</v>
      </c>
      <c r="M901" s="279">
        <v>0</v>
      </c>
      <c r="N901" s="277">
        <v>0</v>
      </c>
      <c r="O901" s="280" t="s">
        <v>888</v>
      </c>
      <c r="P901" s="279">
        <v>0</v>
      </c>
      <c r="Q901" s="281">
        <v>0</v>
      </c>
      <c r="R901" s="282" t="s">
        <v>889</v>
      </c>
      <c r="S901" s="274" t="s">
        <v>1676</v>
      </c>
      <c r="T901" s="44">
        <v>1</v>
      </c>
      <c r="U901" s="283">
        <v>55</v>
      </c>
      <c r="V901" s="284">
        <v>19</v>
      </c>
      <c r="W901" s="285" t="s">
        <v>889</v>
      </c>
      <c r="X901" s="286" t="s">
        <v>889</v>
      </c>
      <c r="Y901" s="287">
        <v>0</v>
      </c>
      <c r="Z901" s="287" t="s">
        <v>889</v>
      </c>
      <c r="AA901" s="286" t="s">
        <v>889</v>
      </c>
      <c r="AB901" s="287">
        <v>0</v>
      </c>
      <c r="AC901" s="287"/>
      <c r="AD901" s="288" t="s">
        <v>889</v>
      </c>
      <c r="AE901" s="289" t="s">
        <v>889</v>
      </c>
      <c r="AF901" s="279">
        <v>20</v>
      </c>
      <c r="AG901" s="282" t="s">
        <v>889</v>
      </c>
      <c r="AH901" s="282">
        <v>44096</v>
      </c>
      <c r="AI901" s="282">
        <v>45139</v>
      </c>
      <c r="AJ901" s="282" t="s">
        <v>889</v>
      </c>
      <c r="AK901" s="274"/>
    </row>
    <row r="902" spans="1:37" x14ac:dyDescent="0.3">
      <c r="A902" s="273">
        <v>140030</v>
      </c>
      <c r="B902" s="274" t="s">
        <v>1999</v>
      </c>
      <c r="C902" s="146" t="s">
        <v>260</v>
      </c>
      <c r="D902" s="275">
        <v>173</v>
      </c>
      <c r="E902" s="274"/>
      <c r="F902" s="274"/>
      <c r="G902" s="274" t="s">
        <v>889</v>
      </c>
      <c r="H902" s="276">
        <v>60</v>
      </c>
      <c r="I902" s="24">
        <v>103003</v>
      </c>
      <c r="J902" s="277">
        <v>173</v>
      </c>
      <c r="K902" s="276">
        <v>82</v>
      </c>
      <c r="L902" s="278">
        <v>6.9930069930069934</v>
      </c>
      <c r="M902" s="279">
        <v>42.96</v>
      </c>
      <c r="N902" s="277">
        <v>7432.08</v>
      </c>
      <c r="O902" s="280" t="s">
        <v>888</v>
      </c>
      <c r="P902" s="279">
        <v>0</v>
      </c>
      <c r="Q902" s="281">
        <v>0</v>
      </c>
      <c r="R902" s="282" t="s">
        <v>889</v>
      </c>
      <c r="S902" s="274" t="s">
        <v>1676</v>
      </c>
      <c r="T902" s="44">
        <v>1</v>
      </c>
      <c r="U902" s="283">
        <v>55</v>
      </c>
      <c r="V902" s="284">
        <v>19</v>
      </c>
      <c r="W902" s="285" t="s">
        <v>889</v>
      </c>
      <c r="X902" s="286" t="s">
        <v>889</v>
      </c>
      <c r="Y902" s="287">
        <v>0</v>
      </c>
      <c r="Z902" s="287" t="s">
        <v>889</v>
      </c>
      <c r="AA902" s="286" t="s">
        <v>889</v>
      </c>
      <c r="AB902" s="287">
        <v>0</v>
      </c>
      <c r="AC902" s="287"/>
      <c r="AD902" s="288" t="s">
        <v>889</v>
      </c>
      <c r="AE902" s="289" t="s">
        <v>889</v>
      </c>
      <c r="AF902" s="279">
        <v>34</v>
      </c>
      <c r="AG902" s="282">
        <v>45030</v>
      </c>
      <c r="AH902" s="282">
        <v>44096</v>
      </c>
      <c r="AI902" s="282">
        <v>45139</v>
      </c>
      <c r="AJ902" s="282" t="s">
        <v>889</v>
      </c>
      <c r="AK902" s="274"/>
    </row>
    <row r="903" spans="1:37" x14ac:dyDescent="0.3">
      <c r="A903" s="273">
        <v>140032</v>
      </c>
      <c r="B903" s="274" t="s">
        <v>2000</v>
      </c>
      <c r="C903" s="146" t="s">
        <v>260</v>
      </c>
      <c r="D903" s="275">
        <v>173</v>
      </c>
      <c r="E903" s="274"/>
      <c r="F903" s="274"/>
      <c r="G903" s="274" t="s">
        <v>889</v>
      </c>
      <c r="H903" s="276">
        <v>44</v>
      </c>
      <c r="I903" s="24">
        <v>103003</v>
      </c>
      <c r="J903" s="277">
        <v>173</v>
      </c>
      <c r="K903" s="276">
        <v>203</v>
      </c>
      <c r="L903" s="278">
        <v>1.7200938232994527</v>
      </c>
      <c r="M903" s="279">
        <v>0</v>
      </c>
      <c r="N903" s="277">
        <v>0</v>
      </c>
      <c r="O903" s="280" t="s">
        <v>888</v>
      </c>
      <c r="P903" s="279">
        <v>0</v>
      </c>
      <c r="Q903" s="281">
        <v>0</v>
      </c>
      <c r="R903" s="282" t="s">
        <v>889</v>
      </c>
      <c r="S903" s="274" t="s">
        <v>1676</v>
      </c>
      <c r="T903" s="44">
        <v>1</v>
      </c>
      <c r="U903" s="283">
        <v>55</v>
      </c>
      <c r="V903" s="284">
        <v>19</v>
      </c>
      <c r="W903" s="285">
        <v>2375</v>
      </c>
      <c r="X903" s="286">
        <v>2023</v>
      </c>
      <c r="Y903" s="287">
        <v>400</v>
      </c>
      <c r="Z903" s="287" t="s">
        <v>889</v>
      </c>
      <c r="AA903" s="286" t="s">
        <v>889</v>
      </c>
      <c r="AB903" s="287">
        <v>0</v>
      </c>
      <c r="AC903" s="287"/>
      <c r="AD903" s="288" t="s">
        <v>889</v>
      </c>
      <c r="AE903" s="289" t="s">
        <v>889</v>
      </c>
      <c r="AF903" s="279">
        <v>102</v>
      </c>
      <c r="AG903" s="282">
        <v>44928</v>
      </c>
      <c r="AH903" s="282">
        <v>44096</v>
      </c>
      <c r="AI903" s="282">
        <v>45139</v>
      </c>
      <c r="AJ903" s="282" t="s">
        <v>889</v>
      </c>
      <c r="AK903" s="274"/>
    </row>
    <row r="904" spans="1:37" x14ac:dyDescent="0.3">
      <c r="A904" s="273">
        <v>140033</v>
      </c>
      <c r="B904" s="274" t="s">
        <v>2001</v>
      </c>
      <c r="C904" s="146" t="s">
        <v>260</v>
      </c>
      <c r="D904" s="275">
        <v>264.43</v>
      </c>
      <c r="E904" s="274"/>
      <c r="F904" s="274"/>
      <c r="G904" s="274" t="s">
        <v>889</v>
      </c>
      <c r="H904" s="276">
        <v>235</v>
      </c>
      <c r="I904" s="24">
        <v>103003</v>
      </c>
      <c r="J904" s="277">
        <v>264.43</v>
      </c>
      <c r="K904" s="276">
        <v>200</v>
      </c>
      <c r="L904" s="278">
        <v>10.181975736568457</v>
      </c>
      <c r="M904" s="279">
        <v>41.96</v>
      </c>
      <c r="N904" s="277">
        <v>11095.4828</v>
      </c>
      <c r="O904" s="280" t="s">
        <v>888</v>
      </c>
      <c r="P904" s="279">
        <v>0</v>
      </c>
      <c r="Q904" s="281">
        <v>0</v>
      </c>
      <c r="R904" s="282" t="s">
        <v>889</v>
      </c>
      <c r="S904" s="274" t="s">
        <v>1676</v>
      </c>
      <c r="T904" s="44">
        <v>1</v>
      </c>
      <c r="U904" s="283">
        <v>55</v>
      </c>
      <c r="V904" s="284">
        <v>19</v>
      </c>
      <c r="W904" s="285" t="s">
        <v>889</v>
      </c>
      <c r="X904" s="286" t="s">
        <v>889</v>
      </c>
      <c r="Y904" s="287">
        <v>0</v>
      </c>
      <c r="Z904" s="287" t="s">
        <v>889</v>
      </c>
      <c r="AA904" s="286" t="s">
        <v>889</v>
      </c>
      <c r="AB904" s="287">
        <v>0</v>
      </c>
      <c r="AC904" s="287"/>
      <c r="AD904" s="288" t="s">
        <v>889</v>
      </c>
      <c r="AE904" s="289" t="s">
        <v>889</v>
      </c>
      <c r="AF904" s="279">
        <v>92</v>
      </c>
      <c r="AG904" s="282">
        <v>44670</v>
      </c>
      <c r="AH904" s="282">
        <v>44096</v>
      </c>
      <c r="AI904" s="282">
        <v>45033</v>
      </c>
      <c r="AJ904" s="282" t="s">
        <v>889</v>
      </c>
      <c r="AK904" s="274"/>
    </row>
    <row r="905" spans="1:37" x14ac:dyDescent="0.3">
      <c r="A905" s="273">
        <v>140035</v>
      </c>
      <c r="B905" s="274" t="s">
        <v>2002</v>
      </c>
      <c r="C905" s="146" t="s">
        <v>260</v>
      </c>
      <c r="D905" s="275">
        <v>200</v>
      </c>
      <c r="E905" s="274"/>
      <c r="F905" s="274"/>
      <c r="G905" s="274" t="s">
        <v>889</v>
      </c>
      <c r="H905" s="276">
        <v>11</v>
      </c>
      <c r="I905" s="24">
        <v>103003</v>
      </c>
      <c r="J905" s="277">
        <v>200</v>
      </c>
      <c r="K905" s="276">
        <v>79</v>
      </c>
      <c r="L905" s="278">
        <v>1.1891891891891893</v>
      </c>
      <c r="M905" s="279">
        <v>100</v>
      </c>
      <c r="N905" s="277">
        <v>20000</v>
      </c>
      <c r="O905" s="280" t="s">
        <v>888</v>
      </c>
      <c r="P905" s="279">
        <v>0</v>
      </c>
      <c r="Q905" s="281">
        <v>0</v>
      </c>
      <c r="R905" s="282" t="s">
        <v>889</v>
      </c>
      <c r="S905" s="274" t="s">
        <v>1676</v>
      </c>
      <c r="T905" s="44">
        <v>1</v>
      </c>
      <c r="U905" s="283">
        <v>55</v>
      </c>
      <c r="V905" s="284">
        <v>19</v>
      </c>
      <c r="W905" s="285" t="s">
        <v>889</v>
      </c>
      <c r="X905" s="286" t="s">
        <v>889</v>
      </c>
      <c r="Y905" s="287">
        <v>0</v>
      </c>
      <c r="Z905" s="287" t="s">
        <v>889</v>
      </c>
      <c r="AA905" s="286" t="s">
        <v>889</v>
      </c>
      <c r="AB905" s="287">
        <v>0</v>
      </c>
      <c r="AC905" s="287"/>
      <c r="AD905" s="288" t="s">
        <v>889</v>
      </c>
      <c r="AE905" s="289" t="s">
        <v>889</v>
      </c>
      <c r="AF905" s="279">
        <v>38</v>
      </c>
      <c r="AG905" s="282">
        <v>44490</v>
      </c>
      <c r="AH905" s="282">
        <v>44096</v>
      </c>
      <c r="AI905" s="282">
        <v>44470</v>
      </c>
      <c r="AJ905" s="282" t="s">
        <v>889</v>
      </c>
      <c r="AK905" s="274"/>
    </row>
    <row r="906" spans="1:37" x14ac:dyDescent="0.3">
      <c r="A906" s="273">
        <v>140036</v>
      </c>
      <c r="B906" s="274" t="s">
        <v>2003</v>
      </c>
      <c r="C906" s="146" t="s">
        <v>260</v>
      </c>
      <c r="D906" s="275">
        <v>428</v>
      </c>
      <c r="E906" s="274"/>
      <c r="F906" s="274"/>
      <c r="G906" s="274" t="s">
        <v>889</v>
      </c>
      <c r="H906" s="276">
        <v>0</v>
      </c>
      <c r="I906" s="24">
        <v>103003</v>
      </c>
      <c r="J906" s="277">
        <v>428</v>
      </c>
      <c r="K906" s="276">
        <v>67</v>
      </c>
      <c r="L906" s="278">
        <v>0</v>
      </c>
      <c r="M906" s="279">
        <v>64.040000000000006</v>
      </c>
      <c r="N906" s="277">
        <v>27409.119999999999</v>
      </c>
      <c r="O906" s="280" t="s">
        <v>888</v>
      </c>
      <c r="P906" s="279">
        <v>0</v>
      </c>
      <c r="Q906" s="281">
        <v>0</v>
      </c>
      <c r="R906" s="282" t="s">
        <v>889</v>
      </c>
      <c r="S906" s="274" t="s">
        <v>1676</v>
      </c>
      <c r="T906" s="44">
        <v>1</v>
      </c>
      <c r="U906" s="283">
        <v>55</v>
      </c>
      <c r="V906" s="284">
        <v>19</v>
      </c>
      <c r="W906" s="285">
        <v>1376</v>
      </c>
      <c r="X906" s="286">
        <v>2023</v>
      </c>
      <c r="Y906" s="287">
        <v>19</v>
      </c>
      <c r="Z906" s="287" t="s">
        <v>889</v>
      </c>
      <c r="AA906" s="286" t="s">
        <v>889</v>
      </c>
      <c r="AB906" s="287">
        <v>0</v>
      </c>
      <c r="AC906" s="287"/>
      <c r="AD906" s="288" t="s">
        <v>889</v>
      </c>
      <c r="AE906" s="289" t="s">
        <v>889</v>
      </c>
      <c r="AF906" s="279">
        <v>28</v>
      </c>
      <c r="AG906" s="282">
        <v>44874</v>
      </c>
      <c r="AH906" s="282">
        <v>44096</v>
      </c>
      <c r="AI906" s="282">
        <v>45139</v>
      </c>
      <c r="AJ906" s="282" t="s">
        <v>889</v>
      </c>
      <c r="AK906" s="274"/>
    </row>
    <row r="907" spans="1:37" x14ac:dyDescent="0.3">
      <c r="A907" s="273">
        <v>140036</v>
      </c>
      <c r="B907" s="274" t="s">
        <v>2003</v>
      </c>
      <c r="C907" s="146" t="s">
        <v>260</v>
      </c>
      <c r="D907" s="275">
        <v>428</v>
      </c>
      <c r="E907" s="274"/>
      <c r="F907" s="274"/>
      <c r="G907" s="274" t="s">
        <v>889</v>
      </c>
      <c r="H907" s="276">
        <v>0</v>
      </c>
      <c r="I907" s="24">
        <v>103003</v>
      </c>
      <c r="J907" s="277">
        <v>428</v>
      </c>
      <c r="K907" s="276">
        <v>67</v>
      </c>
      <c r="L907" s="278">
        <v>0</v>
      </c>
      <c r="M907" s="279">
        <v>0</v>
      </c>
      <c r="N907" s="277">
        <v>0</v>
      </c>
      <c r="O907" s="280" t="s">
        <v>888</v>
      </c>
      <c r="P907" s="279">
        <v>0</v>
      </c>
      <c r="Q907" s="281">
        <v>0</v>
      </c>
      <c r="R907" s="282" t="s">
        <v>889</v>
      </c>
      <c r="S907" s="274" t="s">
        <v>1676</v>
      </c>
      <c r="T907" s="44">
        <v>1</v>
      </c>
      <c r="U907" s="283">
        <v>55</v>
      </c>
      <c r="V907" s="284">
        <v>19</v>
      </c>
      <c r="W907" s="285">
        <v>2375</v>
      </c>
      <c r="X907" s="286">
        <v>2023</v>
      </c>
      <c r="Y907" s="287">
        <v>150</v>
      </c>
      <c r="Z907" s="287" t="s">
        <v>889</v>
      </c>
      <c r="AA907" s="286" t="s">
        <v>889</v>
      </c>
      <c r="AB907" s="287">
        <v>0</v>
      </c>
      <c r="AC907" s="287"/>
      <c r="AD907" s="288" t="s">
        <v>889</v>
      </c>
      <c r="AE907" s="289" t="s">
        <v>889</v>
      </c>
      <c r="AF907" s="279">
        <v>28</v>
      </c>
      <c r="AG907" s="282">
        <v>44874</v>
      </c>
      <c r="AH907" s="282">
        <v>44096</v>
      </c>
      <c r="AI907" s="282">
        <v>45139</v>
      </c>
      <c r="AJ907" s="282" t="s">
        <v>889</v>
      </c>
      <c r="AK907" s="274"/>
    </row>
    <row r="908" spans="1:37" x14ac:dyDescent="0.3">
      <c r="A908" s="273">
        <v>140038</v>
      </c>
      <c r="B908" s="274" t="s">
        <v>2004</v>
      </c>
      <c r="C908" s="146" t="s">
        <v>260</v>
      </c>
      <c r="D908" s="275">
        <v>394.93</v>
      </c>
      <c r="E908" s="274"/>
      <c r="F908" s="274"/>
      <c r="G908" s="274" t="s">
        <v>889</v>
      </c>
      <c r="H908" s="276">
        <v>0</v>
      </c>
      <c r="I908" s="24">
        <v>103003</v>
      </c>
      <c r="J908" s="277">
        <v>394.93</v>
      </c>
      <c r="K908" s="276">
        <v>30</v>
      </c>
      <c r="L908" s="278">
        <v>0</v>
      </c>
      <c r="M908" s="279">
        <v>7.96</v>
      </c>
      <c r="N908" s="277">
        <v>3143.6428000000001</v>
      </c>
      <c r="O908" s="280" t="s">
        <v>888</v>
      </c>
      <c r="P908" s="279">
        <v>0</v>
      </c>
      <c r="Q908" s="281">
        <v>0</v>
      </c>
      <c r="R908" s="282" t="s">
        <v>889</v>
      </c>
      <c r="S908" s="274" t="s">
        <v>1676</v>
      </c>
      <c r="T908" s="44">
        <v>1</v>
      </c>
      <c r="U908" s="283">
        <v>55</v>
      </c>
      <c r="V908" s="284">
        <v>19</v>
      </c>
      <c r="W908" s="285">
        <v>1376</v>
      </c>
      <c r="X908" s="286">
        <v>2023</v>
      </c>
      <c r="Y908" s="287">
        <v>29</v>
      </c>
      <c r="Z908" s="287" t="s">
        <v>889</v>
      </c>
      <c r="AA908" s="286" t="s">
        <v>889</v>
      </c>
      <c r="AB908" s="287">
        <v>0</v>
      </c>
      <c r="AC908" s="287"/>
      <c r="AD908" s="288" t="s">
        <v>889</v>
      </c>
      <c r="AE908" s="289" t="s">
        <v>889</v>
      </c>
      <c r="AF908" s="279">
        <v>12</v>
      </c>
      <c r="AG908" s="282">
        <v>44313</v>
      </c>
      <c r="AH908" s="282">
        <v>44096</v>
      </c>
      <c r="AI908" s="282">
        <v>44727</v>
      </c>
      <c r="AJ908" s="282" t="s">
        <v>889</v>
      </c>
      <c r="AK908" s="274"/>
    </row>
    <row r="909" spans="1:37" x14ac:dyDescent="0.3">
      <c r="A909" s="273">
        <v>140038</v>
      </c>
      <c r="B909" s="274" t="s">
        <v>2004</v>
      </c>
      <c r="C909" s="146" t="s">
        <v>260</v>
      </c>
      <c r="D909" s="275">
        <v>394.93</v>
      </c>
      <c r="E909" s="274"/>
      <c r="F909" s="274"/>
      <c r="G909" s="274" t="s">
        <v>889</v>
      </c>
      <c r="H909" s="276">
        <v>0</v>
      </c>
      <c r="I909" s="24">
        <v>103003</v>
      </c>
      <c r="J909" s="277">
        <v>394.93</v>
      </c>
      <c r="K909" s="276">
        <v>30</v>
      </c>
      <c r="L909" s="278">
        <v>0</v>
      </c>
      <c r="M909" s="279">
        <v>0</v>
      </c>
      <c r="N909" s="277">
        <v>0</v>
      </c>
      <c r="O909" s="280" t="s">
        <v>888</v>
      </c>
      <c r="P909" s="279">
        <v>0</v>
      </c>
      <c r="Q909" s="281">
        <v>0</v>
      </c>
      <c r="R909" s="282" t="s">
        <v>889</v>
      </c>
      <c r="S909" s="274" t="s">
        <v>1676</v>
      </c>
      <c r="T909" s="44">
        <v>1</v>
      </c>
      <c r="U909" s="283">
        <v>55</v>
      </c>
      <c r="V909" s="284">
        <v>19</v>
      </c>
      <c r="W909" s="285">
        <v>2383</v>
      </c>
      <c r="X909" s="286">
        <v>2023</v>
      </c>
      <c r="Y909" s="287">
        <v>50</v>
      </c>
      <c r="Z909" s="287" t="s">
        <v>889</v>
      </c>
      <c r="AA909" s="286" t="s">
        <v>889</v>
      </c>
      <c r="AB909" s="287">
        <v>0</v>
      </c>
      <c r="AC909" s="287"/>
      <c r="AD909" s="288" t="s">
        <v>889</v>
      </c>
      <c r="AE909" s="289" t="s">
        <v>889</v>
      </c>
      <c r="AF909" s="279">
        <v>12</v>
      </c>
      <c r="AG909" s="282">
        <v>44313</v>
      </c>
      <c r="AH909" s="282">
        <v>44096</v>
      </c>
      <c r="AI909" s="282">
        <v>44727</v>
      </c>
      <c r="AJ909" s="282" t="s">
        <v>889</v>
      </c>
      <c r="AK909" s="274"/>
    </row>
    <row r="910" spans="1:37" x14ac:dyDescent="0.3">
      <c r="A910" s="273">
        <v>140042</v>
      </c>
      <c r="B910" s="274" t="s">
        <v>2005</v>
      </c>
      <c r="C910" s="146" t="s">
        <v>272</v>
      </c>
      <c r="D910" s="275">
        <v>9.0500000000000007</v>
      </c>
      <c r="E910" s="274"/>
      <c r="F910" s="274"/>
      <c r="G910" s="274" t="s">
        <v>889</v>
      </c>
      <c r="H910" s="276">
        <v>0</v>
      </c>
      <c r="I910" s="24">
        <v>103003</v>
      </c>
      <c r="J910" s="277">
        <v>9.0500000000000007</v>
      </c>
      <c r="K910" s="276">
        <v>4080</v>
      </c>
      <c r="L910" s="278">
        <v>0</v>
      </c>
      <c r="M910" s="279">
        <v>1080</v>
      </c>
      <c r="N910" s="277">
        <v>9774</v>
      </c>
      <c r="O910" s="280" t="s">
        <v>888</v>
      </c>
      <c r="P910" s="279">
        <v>0</v>
      </c>
      <c r="Q910" s="281">
        <v>0</v>
      </c>
      <c r="R910" s="282" t="s">
        <v>889</v>
      </c>
      <c r="S910" s="274" t="s">
        <v>1676</v>
      </c>
      <c r="T910" s="44">
        <v>1</v>
      </c>
      <c r="U910" s="283">
        <v>55</v>
      </c>
      <c r="V910" s="284">
        <v>19</v>
      </c>
      <c r="W910" s="285">
        <v>2375</v>
      </c>
      <c r="X910" s="286">
        <v>2023</v>
      </c>
      <c r="Y910" s="287">
        <v>3000</v>
      </c>
      <c r="Z910" s="287" t="s">
        <v>889</v>
      </c>
      <c r="AA910" s="286" t="s">
        <v>889</v>
      </c>
      <c r="AB910" s="287">
        <v>0</v>
      </c>
      <c r="AC910" s="287"/>
      <c r="AD910" s="288" t="s">
        <v>889</v>
      </c>
      <c r="AE910" s="289" t="s">
        <v>889</v>
      </c>
      <c r="AF910" s="279">
        <v>1360</v>
      </c>
      <c r="AG910" s="282">
        <v>44237</v>
      </c>
      <c r="AH910" s="282">
        <v>44096</v>
      </c>
      <c r="AI910" s="282">
        <v>44623</v>
      </c>
      <c r="AJ910" s="282" t="s">
        <v>889</v>
      </c>
      <c r="AK910" s="274"/>
    </row>
    <row r="911" spans="1:37" x14ac:dyDescent="0.3">
      <c r="A911" s="273">
        <v>140043</v>
      </c>
      <c r="B911" s="274" t="s">
        <v>2006</v>
      </c>
      <c r="C911" s="146" t="s">
        <v>272</v>
      </c>
      <c r="D911" s="275">
        <v>11.37</v>
      </c>
      <c r="E911" s="274"/>
      <c r="F911" s="274"/>
      <c r="G911" s="274" t="s">
        <v>889</v>
      </c>
      <c r="H911" s="276">
        <v>0</v>
      </c>
      <c r="I911" s="24">
        <v>103003</v>
      </c>
      <c r="J911" s="277">
        <v>11.37</v>
      </c>
      <c r="K911" s="276">
        <v>846.7</v>
      </c>
      <c r="L911" s="278">
        <v>0</v>
      </c>
      <c r="M911" s="279">
        <v>46.72</v>
      </c>
      <c r="N911" s="277">
        <v>531.20640000000003</v>
      </c>
      <c r="O911" s="280" t="s">
        <v>888</v>
      </c>
      <c r="P911" s="279">
        <v>0</v>
      </c>
      <c r="Q911" s="281">
        <v>0</v>
      </c>
      <c r="R911" s="282" t="s">
        <v>889</v>
      </c>
      <c r="S911" s="274" t="s">
        <v>1676</v>
      </c>
      <c r="T911" s="44">
        <v>1</v>
      </c>
      <c r="U911" s="283">
        <v>55</v>
      </c>
      <c r="V911" s="284">
        <v>19</v>
      </c>
      <c r="W911" s="285">
        <v>1929</v>
      </c>
      <c r="X911" s="286">
        <v>2023</v>
      </c>
      <c r="Y911" s="287">
        <v>800</v>
      </c>
      <c r="Z911" s="287" t="s">
        <v>889</v>
      </c>
      <c r="AA911" s="286" t="s">
        <v>889</v>
      </c>
      <c r="AB911" s="287">
        <v>0</v>
      </c>
      <c r="AC911" s="287"/>
      <c r="AD911" s="288" t="s">
        <v>889</v>
      </c>
      <c r="AE911" s="289" t="s">
        <v>889</v>
      </c>
      <c r="AF911" s="279">
        <v>282</v>
      </c>
      <c r="AG911" s="282">
        <v>44928</v>
      </c>
      <c r="AH911" s="282">
        <v>44096</v>
      </c>
      <c r="AI911" s="282">
        <v>44915</v>
      </c>
      <c r="AJ911" s="282" t="s">
        <v>889</v>
      </c>
      <c r="AK911" s="274"/>
    </row>
    <row r="912" spans="1:37" x14ac:dyDescent="0.3">
      <c r="A912" s="273">
        <v>140043</v>
      </c>
      <c r="B912" s="274" t="s">
        <v>2006</v>
      </c>
      <c r="C912" s="146" t="s">
        <v>272</v>
      </c>
      <c r="D912" s="275">
        <v>11.37</v>
      </c>
      <c r="E912" s="274"/>
      <c r="F912" s="274"/>
      <c r="G912" s="274" t="s">
        <v>889</v>
      </c>
      <c r="H912" s="276">
        <v>0</v>
      </c>
      <c r="I912" s="24">
        <v>103003</v>
      </c>
      <c r="J912" s="277">
        <v>11.37</v>
      </c>
      <c r="K912" s="276">
        <v>846.7</v>
      </c>
      <c r="L912" s="278">
        <v>0</v>
      </c>
      <c r="M912" s="279">
        <v>0</v>
      </c>
      <c r="N912" s="277">
        <v>0</v>
      </c>
      <c r="O912" s="280" t="s">
        <v>888</v>
      </c>
      <c r="P912" s="279">
        <v>0</v>
      </c>
      <c r="Q912" s="281">
        <v>0</v>
      </c>
      <c r="R912" s="282" t="s">
        <v>889</v>
      </c>
      <c r="S912" s="274" t="s">
        <v>1676</v>
      </c>
      <c r="T912" s="44">
        <v>1</v>
      </c>
      <c r="U912" s="283">
        <v>55</v>
      </c>
      <c r="V912" s="284">
        <v>19</v>
      </c>
      <c r="W912" s="285">
        <v>2697</v>
      </c>
      <c r="X912" s="286">
        <v>2023</v>
      </c>
      <c r="Y912" s="287">
        <v>1000</v>
      </c>
      <c r="Z912" s="287" t="s">
        <v>889</v>
      </c>
      <c r="AA912" s="286" t="s">
        <v>889</v>
      </c>
      <c r="AB912" s="287">
        <v>0</v>
      </c>
      <c r="AC912" s="287"/>
      <c r="AD912" s="288" t="s">
        <v>889</v>
      </c>
      <c r="AE912" s="289" t="s">
        <v>889</v>
      </c>
      <c r="AF912" s="279">
        <v>282</v>
      </c>
      <c r="AG912" s="282">
        <v>44928</v>
      </c>
      <c r="AH912" s="282">
        <v>44096</v>
      </c>
      <c r="AI912" s="282">
        <v>44915</v>
      </c>
      <c r="AJ912" s="282" t="s">
        <v>889</v>
      </c>
      <c r="AK912" s="274"/>
    </row>
    <row r="913" spans="1:37" x14ac:dyDescent="0.3">
      <c r="A913" s="273">
        <v>140047</v>
      </c>
      <c r="B913" s="274" t="s">
        <v>2007</v>
      </c>
      <c r="C913" s="146" t="s">
        <v>272</v>
      </c>
      <c r="D913" s="275">
        <v>70</v>
      </c>
      <c r="E913" s="274"/>
      <c r="F913" s="274"/>
      <c r="G913" s="274" t="s">
        <v>889</v>
      </c>
      <c r="H913" s="276">
        <v>29</v>
      </c>
      <c r="I913" s="24">
        <v>103003</v>
      </c>
      <c r="J913" s="277">
        <v>70</v>
      </c>
      <c r="K913" s="276">
        <v>130</v>
      </c>
      <c r="L913" s="278">
        <v>2.6777469990766392</v>
      </c>
      <c r="M913" s="279">
        <v>0.96</v>
      </c>
      <c r="N913" s="277">
        <v>67.2</v>
      </c>
      <c r="O913" s="280" t="s">
        <v>888</v>
      </c>
      <c r="P913" s="279">
        <v>0</v>
      </c>
      <c r="Q913" s="281">
        <v>0</v>
      </c>
      <c r="R913" s="282" t="s">
        <v>889</v>
      </c>
      <c r="S913" s="274" t="s">
        <v>1676</v>
      </c>
      <c r="T913" s="44">
        <v>1</v>
      </c>
      <c r="U913" s="283">
        <v>55</v>
      </c>
      <c r="V913" s="284">
        <v>19</v>
      </c>
      <c r="W913" s="285">
        <v>2693</v>
      </c>
      <c r="X913" s="286">
        <v>2023</v>
      </c>
      <c r="Y913" s="287">
        <v>100</v>
      </c>
      <c r="Z913" s="287" t="s">
        <v>889</v>
      </c>
      <c r="AA913" s="286" t="s">
        <v>889</v>
      </c>
      <c r="AB913" s="287">
        <v>0</v>
      </c>
      <c r="AC913" s="287"/>
      <c r="AD913" s="288" t="s">
        <v>889</v>
      </c>
      <c r="AE913" s="289" t="s">
        <v>889</v>
      </c>
      <c r="AF913" s="279">
        <v>44</v>
      </c>
      <c r="AG913" s="282">
        <v>44875</v>
      </c>
      <c r="AH913" s="282">
        <v>44096</v>
      </c>
      <c r="AI913" s="282">
        <v>44845</v>
      </c>
      <c r="AJ913" s="282" t="s">
        <v>889</v>
      </c>
      <c r="AK913" s="274"/>
    </row>
    <row r="914" spans="1:37" x14ac:dyDescent="0.3">
      <c r="A914" s="273">
        <v>140048</v>
      </c>
      <c r="B914" s="274" t="s">
        <v>2008</v>
      </c>
      <c r="C914" s="146" t="s">
        <v>272</v>
      </c>
      <c r="D914" s="275">
        <v>5.98</v>
      </c>
      <c r="E914" s="274"/>
      <c r="F914" s="274"/>
      <c r="G914" s="274" t="s">
        <v>889</v>
      </c>
      <c r="H914" s="276">
        <v>0</v>
      </c>
      <c r="I914" s="24">
        <v>103003</v>
      </c>
      <c r="J914" s="277">
        <v>5.98</v>
      </c>
      <c r="K914" s="276">
        <v>2440</v>
      </c>
      <c r="L914" s="278">
        <v>0</v>
      </c>
      <c r="M914" s="279">
        <v>439.96</v>
      </c>
      <c r="N914" s="277">
        <v>2630.9607999999998</v>
      </c>
      <c r="O914" s="280" t="s">
        <v>888</v>
      </c>
      <c r="P914" s="279">
        <v>0</v>
      </c>
      <c r="Q914" s="281">
        <v>0</v>
      </c>
      <c r="R914" s="282" t="s">
        <v>889</v>
      </c>
      <c r="S914" s="274" t="s">
        <v>1676</v>
      </c>
      <c r="T914" s="44">
        <v>1</v>
      </c>
      <c r="U914" s="283">
        <v>55</v>
      </c>
      <c r="V914" s="284">
        <v>19</v>
      </c>
      <c r="W914" s="285">
        <v>2694</v>
      </c>
      <c r="X914" s="286">
        <v>2023</v>
      </c>
      <c r="Y914" s="287">
        <v>2000</v>
      </c>
      <c r="Z914" s="287" t="s">
        <v>889</v>
      </c>
      <c r="AA914" s="286" t="s">
        <v>889</v>
      </c>
      <c r="AB914" s="287">
        <v>0</v>
      </c>
      <c r="AC914" s="287"/>
      <c r="AD914" s="288" t="s">
        <v>889</v>
      </c>
      <c r="AE914" s="289" t="s">
        <v>889</v>
      </c>
      <c r="AF914" s="279">
        <v>814</v>
      </c>
      <c r="AG914" s="282">
        <v>44887</v>
      </c>
      <c r="AH914" s="282">
        <v>44096</v>
      </c>
      <c r="AI914" s="282">
        <v>44845</v>
      </c>
      <c r="AJ914" s="282" t="s">
        <v>889</v>
      </c>
      <c r="AK914" s="274"/>
    </row>
    <row r="915" spans="1:37" x14ac:dyDescent="0.3">
      <c r="A915" s="273">
        <v>140049</v>
      </c>
      <c r="B915" s="274" t="s">
        <v>2009</v>
      </c>
      <c r="C915" s="146" t="s">
        <v>272</v>
      </c>
      <c r="D915" s="275">
        <v>0</v>
      </c>
      <c r="E915" s="274"/>
      <c r="F915" s="274"/>
      <c r="G915" s="274" t="s">
        <v>889</v>
      </c>
      <c r="H915" s="276">
        <v>496</v>
      </c>
      <c r="I915" s="24">
        <v>103003</v>
      </c>
      <c r="J915" s="277">
        <v>0</v>
      </c>
      <c r="K915" s="276">
        <v>504</v>
      </c>
      <c r="L915" s="278">
        <v>11.809523809523808</v>
      </c>
      <c r="M915" s="279">
        <v>8</v>
      </c>
      <c r="N915" s="277">
        <v>0</v>
      </c>
      <c r="O915" s="280" t="s">
        <v>888</v>
      </c>
      <c r="P915" s="279">
        <v>0</v>
      </c>
      <c r="Q915" s="281">
        <v>0</v>
      </c>
      <c r="R915" s="282" t="s">
        <v>889</v>
      </c>
      <c r="S915" s="274" t="s">
        <v>1676</v>
      </c>
      <c r="T915" s="44">
        <v>1</v>
      </c>
      <c r="U915" s="283">
        <v>55</v>
      </c>
      <c r="V915" s="284">
        <v>19</v>
      </c>
      <c r="W915" s="285" t="s">
        <v>889</v>
      </c>
      <c r="X915" s="286" t="s">
        <v>889</v>
      </c>
      <c r="Y915" s="287">
        <v>0</v>
      </c>
      <c r="Z915" s="287" t="s">
        <v>889</v>
      </c>
      <c r="AA915" s="286" t="s">
        <v>889</v>
      </c>
      <c r="AB915" s="287">
        <v>0</v>
      </c>
      <c r="AC915" s="287"/>
      <c r="AD915" s="288" t="s">
        <v>889</v>
      </c>
      <c r="AE915" s="289" t="s">
        <v>889</v>
      </c>
      <c r="AF915" s="279">
        <v>168</v>
      </c>
      <c r="AG915" s="282" t="s">
        <v>889</v>
      </c>
      <c r="AH915" s="282">
        <v>44096</v>
      </c>
      <c r="AI915" s="282" t="s">
        <v>889</v>
      </c>
      <c r="AJ915" s="282" t="s">
        <v>889</v>
      </c>
      <c r="AK915" s="274"/>
    </row>
    <row r="916" spans="1:37" x14ac:dyDescent="0.3">
      <c r="A916" s="273">
        <v>140050</v>
      </c>
      <c r="B916" s="274" t="s">
        <v>2010</v>
      </c>
      <c r="C916" s="146" t="s">
        <v>272</v>
      </c>
      <c r="D916" s="275">
        <v>6</v>
      </c>
      <c r="E916" s="274"/>
      <c r="F916" s="274"/>
      <c r="G916" s="274" t="s">
        <v>889</v>
      </c>
      <c r="H916" s="276">
        <v>985</v>
      </c>
      <c r="I916" s="24">
        <v>103003</v>
      </c>
      <c r="J916" s="277">
        <v>6</v>
      </c>
      <c r="K916" s="276">
        <v>894</v>
      </c>
      <c r="L916" s="278">
        <v>11.89182663286249</v>
      </c>
      <c r="M916" s="279">
        <v>0</v>
      </c>
      <c r="N916" s="277">
        <v>0</v>
      </c>
      <c r="O916" s="280" t="s">
        <v>888</v>
      </c>
      <c r="P916" s="279">
        <v>0</v>
      </c>
      <c r="Q916" s="281">
        <v>0</v>
      </c>
      <c r="R916" s="282" t="s">
        <v>889</v>
      </c>
      <c r="S916" s="274" t="s">
        <v>1676</v>
      </c>
      <c r="T916" s="44">
        <v>1</v>
      </c>
      <c r="U916" s="283">
        <v>55</v>
      </c>
      <c r="V916" s="284">
        <v>19</v>
      </c>
      <c r="W916" s="285">
        <v>2957</v>
      </c>
      <c r="X916" s="286">
        <v>2023</v>
      </c>
      <c r="Y916" s="287">
        <v>500</v>
      </c>
      <c r="Z916" s="287" t="s">
        <v>889</v>
      </c>
      <c r="AA916" s="286" t="s">
        <v>889</v>
      </c>
      <c r="AB916" s="287">
        <v>0</v>
      </c>
      <c r="AC916" s="287"/>
      <c r="AD916" s="288" t="s">
        <v>889</v>
      </c>
      <c r="AE916" s="289" t="s">
        <v>889</v>
      </c>
      <c r="AF916" s="279">
        <v>332</v>
      </c>
      <c r="AG916" s="282">
        <v>44887</v>
      </c>
      <c r="AH916" s="282">
        <v>44096</v>
      </c>
      <c r="AI916" s="282">
        <v>44845</v>
      </c>
      <c r="AJ916" s="282" t="s">
        <v>889</v>
      </c>
      <c r="AK916" s="274"/>
    </row>
    <row r="917" spans="1:37" x14ac:dyDescent="0.3">
      <c r="A917" s="273">
        <v>140051</v>
      </c>
      <c r="B917" s="274" t="s">
        <v>2011</v>
      </c>
      <c r="C917" s="146" t="s">
        <v>272</v>
      </c>
      <c r="D917" s="275">
        <v>9.82</v>
      </c>
      <c r="E917" s="274"/>
      <c r="F917" s="274"/>
      <c r="G917" s="274" t="s">
        <v>889</v>
      </c>
      <c r="H917" s="276">
        <v>1428</v>
      </c>
      <c r="I917" s="24">
        <v>103003</v>
      </c>
      <c r="J917" s="277">
        <v>9.82</v>
      </c>
      <c r="K917" s="276">
        <v>314</v>
      </c>
      <c r="L917" s="278">
        <v>54.566297286969814</v>
      </c>
      <c r="M917" s="279">
        <v>0</v>
      </c>
      <c r="N917" s="277">
        <v>0</v>
      </c>
      <c r="O917" s="280" t="s">
        <v>888</v>
      </c>
      <c r="P917" s="279">
        <v>0</v>
      </c>
      <c r="Q917" s="281">
        <v>0</v>
      </c>
      <c r="R917" s="282" t="s">
        <v>889</v>
      </c>
      <c r="S917" s="274" t="s">
        <v>1676</v>
      </c>
      <c r="T917" s="44">
        <v>1</v>
      </c>
      <c r="U917" s="283">
        <v>55</v>
      </c>
      <c r="V917" s="284">
        <v>19</v>
      </c>
      <c r="W917" s="285" t="s">
        <v>889</v>
      </c>
      <c r="X917" s="286" t="s">
        <v>889</v>
      </c>
      <c r="Y917" s="287">
        <v>0</v>
      </c>
      <c r="Z917" s="287" t="s">
        <v>889</v>
      </c>
      <c r="AA917" s="286" t="s">
        <v>889</v>
      </c>
      <c r="AB917" s="287">
        <v>0</v>
      </c>
      <c r="AC917" s="287"/>
      <c r="AD917" s="288" t="s">
        <v>889</v>
      </c>
      <c r="AE917" s="289" t="s">
        <v>889</v>
      </c>
      <c r="AF917" s="279">
        <v>104</v>
      </c>
      <c r="AG917" s="282">
        <v>44454</v>
      </c>
      <c r="AH917" s="282">
        <v>44096</v>
      </c>
      <c r="AI917" s="282">
        <v>44412</v>
      </c>
      <c r="AJ917" s="282" t="s">
        <v>889</v>
      </c>
      <c r="AK917" s="274"/>
    </row>
    <row r="918" spans="1:37" x14ac:dyDescent="0.3">
      <c r="A918" s="273">
        <v>140052</v>
      </c>
      <c r="B918" s="274" t="s">
        <v>2012</v>
      </c>
      <c r="C918" s="146" t="s">
        <v>272</v>
      </c>
      <c r="D918" s="275">
        <v>13.2</v>
      </c>
      <c r="E918" s="274"/>
      <c r="F918" s="274"/>
      <c r="G918" s="274" t="s">
        <v>889</v>
      </c>
      <c r="H918" s="276">
        <v>0</v>
      </c>
      <c r="I918" s="24">
        <v>103003</v>
      </c>
      <c r="J918" s="277">
        <v>13.2</v>
      </c>
      <c r="K918" s="276">
        <v>2079</v>
      </c>
      <c r="L918" s="278">
        <v>0</v>
      </c>
      <c r="M918" s="279">
        <v>1079</v>
      </c>
      <c r="N918" s="277">
        <v>14242.8</v>
      </c>
      <c r="O918" s="280" t="s">
        <v>888</v>
      </c>
      <c r="P918" s="279">
        <v>0</v>
      </c>
      <c r="Q918" s="281">
        <v>0</v>
      </c>
      <c r="R918" s="282" t="s">
        <v>889</v>
      </c>
      <c r="S918" s="274" t="s">
        <v>1676</v>
      </c>
      <c r="T918" s="44">
        <v>1</v>
      </c>
      <c r="U918" s="283">
        <v>55</v>
      </c>
      <c r="V918" s="284">
        <v>19</v>
      </c>
      <c r="W918" s="285">
        <v>2694</v>
      </c>
      <c r="X918" s="286">
        <v>2023</v>
      </c>
      <c r="Y918" s="287">
        <v>1000</v>
      </c>
      <c r="Z918" s="287" t="s">
        <v>889</v>
      </c>
      <c r="AA918" s="286" t="s">
        <v>889</v>
      </c>
      <c r="AB918" s="287">
        <v>0</v>
      </c>
      <c r="AC918" s="287"/>
      <c r="AD918" s="288" t="s">
        <v>889</v>
      </c>
      <c r="AE918" s="289" t="s">
        <v>889</v>
      </c>
      <c r="AF918" s="279">
        <v>694</v>
      </c>
      <c r="AG918" s="282" t="s">
        <v>889</v>
      </c>
      <c r="AH918" s="282">
        <v>44096</v>
      </c>
      <c r="AI918" s="282">
        <v>44845</v>
      </c>
      <c r="AJ918" s="282" t="s">
        <v>889</v>
      </c>
      <c r="AK918" s="274"/>
    </row>
    <row r="919" spans="1:37" x14ac:dyDescent="0.3">
      <c r="A919" s="273">
        <v>140053</v>
      </c>
      <c r="B919" s="274" t="s">
        <v>2013</v>
      </c>
      <c r="C919" s="146" t="s">
        <v>272</v>
      </c>
      <c r="D919" s="275">
        <v>17.87</v>
      </c>
      <c r="E919" s="274"/>
      <c r="F919" s="274"/>
      <c r="G919" s="274" t="s">
        <v>889</v>
      </c>
      <c r="H919" s="276">
        <v>0</v>
      </c>
      <c r="I919" s="24">
        <v>103003</v>
      </c>
      <c r="J919" s="277">
        <v>17.87</v>
      </c>
      <c r="K919" s="276">
        <v>827</v>
      </c>
      <c r="L919" s="278">
        <v>0</v>
      </c>
      <c r="M919" s="279">
        <v>327.04000000000002</v>
      </c>
      <c r="N919" s="277">
        <v>5844.2048000000004</v>
      </c>
      <c r="O919" s="280" t="s">
        <v>888</v>
      </c>
      <c r="P919" s="279">
        <v>0</v>
      </c>
      <c r="Q919" s="281">
        <v>0</v>
      </c>
      <c r="R919" s="282" t="s">
        <v>889</v>
      </c>
      <c r="S919" s="274" t="s">
        <v>1676</v>
      </c>
      <c r="T919" s="44">
        <v>1</v>
      </c>
      <c r="U919" s="283">
        <v>55</v>
      </c>
      <c r="V919" s="284">
        <v>19</v>
      </c>
      <c r="W919" s="285">
        <v>1929</v>
      </c>
      <c r="X919" s="286">
        <v>2023</v>
      </c>
      <c r="Y919" s="287">
        <v>500</v>
      </c>
      <c r="Z919" s="287" t="s">
        <v>889</v>
      </c>
      <c r="AA919" s="286" t="s">
        <v>889</v>
      </c>
      <c r="AB919" s="287">
        <v>0</v>
      </c>
      <c r="AC919" s="287"/>
      <c r="AD919" s="288" t="s">
        <v>889</v>
      </c>
      <c r="AE919" s="289" t="s">
        <v>889</v>
      </c>
      <c r="AF919" s="279">
        <v>276</v>
      </c>
      <c r="AG919" s="282">
        <v>45030</v>
      </c>
      <c r="AH919" s="282">
        <v>44096</v>
      </c>
      <c r="AI919" s="282">
        <v>44995</v>
      </c>
      <c r="AJ919" s="282" t="s">
        <v>889</v>
      </c>
      <c r="AK919" s="274"/>
    </row>
    <row r="920" spans="1:37" x14ac:dyDescent="0.3">
      <c r="A920" s="273">
        <v>140053</v>
      </c>
      <c r="B920" s="274" t="s">
        <v>2013</v>
      </c>
      <c r="C920" s="146" t="s">
        <v>272</v>
      </c>
      <c r="D920" s="275">
        <v>17.87</v>
      </c>
      <c r="E920" s="274"/>
      <c r="F920" s="274"/>
      <c r="G920" s="274" t="s">
        <v>889</v>
      </c>
      <c r="H920" s="276">
        <v>0</v>
      </c>
      <c r="I920" s="24">
        <v>103003</v>
      </c>
      <c r="J920" s="277">
        <v>17.87</v>
      </c>
      <c r="K920" s="276">
        <v>827</v>
      </c>
      <c r="L920" s="278">
        <v>0</v>
      </c>
      <c r="M920" s="279">
        <v>127.04</v>
      </c>
      <c r="N920" s="277">
        <v>2270.2048</v>
      </c>
      <c r="O920" s="280" t="s">
        <v>888</v>
      </c>
      <c r="P920" s="279">
        <v>0</v>
      </c>
      <c r="Q920" s="281">
        <v>0</v>
      </c>
      <c r="R920" s="282" t="s">
        <v>889</v>
      </c>
      <c r="S920" s="274" t="s">
        <v>1676</v>
      </c>
      <c r="T920" s="44">
        <v>1</v>
      </c>
      <c r="U920" s="283">
        <v>55</v>
      </c>
      <c r="V920" s="284">
        <v>19</v>
      </c>
      <c r="W920" s="285">
        <v>2697</v>
      </c>
      <c r="X920" s="286">
        <v>2023</v>
      </c>
      <c r="Y920" s="287">
        <v>700</v>
      </c>
      <c r="Z920" s="287" t="s">
        <v>889</v>
      </c>
      <c r="AA920" s="286" t="s">
        <v>889</v>
      </c>
      <c r="AB920" s="287">
        <v>0</v>
      </c>
      <c r="AC920" s="287"/>
      <c r="AD920" s="288" t="s">
        <v>889</v>
      </c>
      <c r="AE920" s="289" t="s">
        <v>889</v>
      </c>
      <c r="AF920" s="279">
        <v>276</v>
      </c>
      <c r="AG920" s="282">
        <v>45030</v>
      </c>
      <c r="AH920" s="282">
        <v>44096</v>
      </c>
      <c r="AI920" s="282">
        <v>44995</v>
      </c>
      <c r="AJ920" s="282" t="s">
        <v>889</v>
      </c>
      <c r="AK920" s="274"/>
    </row>
    <row r="921" spans="1:37" x14ac:dyDescent="0.3">
      <c r="A921" s="273">
        <v>140054</v>
      </c>
      <c r="B921" s="274" t="s">
        <v>2014</v>
      </c>
      <c r="C921" s="146" t="s">
        <v>272</v>
      </c>
      <c r="D921" s="275">
        <v>19.7</v>
      </c>
      <c r="E921" s="274"/>
      <c r="F921" s="274"/>
      <c r="G921" s="274" t="s">
        <v>889</v>
      </c>
      <c r="H921" s="276">
        <v>707</v>
      </c>
      <c r="I921" s="24">
        <v>103003</v>
      </c>
      <c r="J921" s="277">
        <v>19.7</v>
      </c>
      <c r="K921" s="276">
        <v>640</v>
      </c>
      <c r="L921" s="278">
        <v>13.257078567410463</v>
      </c>
      <c r="M921" s="279">
        <v>0</v>
      </c>
      <c r="N921" s="277">
        <v>0</v>
      </c>
      <c r="O921" s="280" t="s">
        <v>888</v>
      </c>
      <c r="P921" s="279">
        <v>0</v>
      </c>
      <c r="Q921" s="281">
        <v>0</v>
      </c>
      <c r="R921" s="282" t="s">
        <v>889</v>
      </c>
      <c r="S921" s="274" t="s">
        <v>1676</v>
      </c>
      <c r="T921" s="44">
        <v>1</v>
      </c>
      <c r="U921" s="283">
        <v>55</v>
      </c>
      <c r="V921" s="284">
        <v>19</v>
      </c>
      <c r="W921" s="285" t="s">
        <v>889</v>
      </c>
      <c r="X921" s="286" t="s">
        <v>889</v>
      </c>
      <c r="Y921" s="287">
        <v>0</v>
      </c>
      <c r="Z921" s="287" t="s">
        <v>889</v>
      </c>
      <c r="AA921" s="286" t="s">
        <v>889</v>
      </c>
      <c r="AB921" s="287">
        <v>0</v>
      </c>
      <c r="AC921" s="287"/>
      <c r="AD921" s="288" t="s">
        <v>889</v>
      </c>
      <c r="AE921" s="289" t="s">
        <v>889</v>
      </c>
      <c r="AF921" s="279">
        <v>214</v>
      </c>
      <c r="AG921" s="282">
        <v>44875</v>
      </c>
      <c r="AH921" s="282">
        <v>44096</v>
      </c>
      <c r="AI921" s="282">
        <v>44845</v>
      </c>
      <c r="AJ921" s="282" t="s">
        <v>889</v>
      </c>
      <c r="AK921" s="274"/>
    </row>
    <row r="922" spans="1:37" x14ac:dyDescent="0.3">
      <c r="A922" s="273">
        <v>140055</v>
      </c>
      <c r="B922" s="274" t="s">
        <v>2015</v>
      </c>
      <c r="C922" s="146" t="s">
        <v>272</v>
      </c>
      <c r="D922" s="275">
        <v>19.8</v>
      </c>
      <c r="E922" s="274"/>
      <c r="F922" s="274"/>
      <c r="G922" s="274" t="s">
        <v>889</v>
      </c>
      <c r="H922" s="276">
        <v>5710</v>
      </c>
      <c r="I922" s="24">
        <v>103003</v>
      </c>
      <c r="J922" s="277">
        <v>19.8</v>
      </c>
      <c r="K922" s="276">
        <v>336</v>
      </c>
      <c r="L922" s="278">
        <v>203.92857142857144</v>
      </c>
      <c r="M922" s="279">
        <v>0</v>
      </c>
      <c r="N922" s="277">
        <v>0</v>
      </c>
      <c r="O922" s="280" t="s">
        <v>888</v>
      </c>
      <c r="P922" s="279">
        <v>0</v>
      </c>
      <c r="Q922" s="281">
        <v>0</v>
      </c>
      <c r="R922" s="282" t="s">
        <v>889</v>
      </c>
      <c r="S922" s="274" t="s">
        <v>1676</v>
      </c>
      <c r="T922" s="44">
        <v>1</v>
      </c>
      <c r="U922" s="283">
        <v>55</v>
      </c>
      <c r="V922" s="284">
        <v>19</v>
      </c>
      <c r="W922" s="285" t="s">
        <v>889</v>
      </c>
      <c r="X922" s="286" t="s">
        <v>889</v>
      </c>
      <c r="Y922" s="287">
        <v>0</v>
      </c>
      <c r="Z922" s="287" t="s">
        <v>889</v>
      </c>
      <c r="AA922" s="286" t="s">
        <v>889</v>
      </c>
      <c r="AB922" s="287">
        <v>0</v>
      </c>
      <c r="AC922" s="287"/>
      <c r="AD922" s="288" t="s">
        <v>889</v>
      </c>
      <c r="AE922" s="289" t="s">
        <v>889</v>
      </c>
      <c r="AF922" s="279">
        <v>112</v>
      </c>
      <c r="AG922" s="282" t="s">
        <v>889</v>
      </c>
      <c r="AH922" s="282">
        <v>44096</v>
      </c>
      <c r="AI922" s="282">
        <v>44845</v>
      </c>
      <c r="AJ922" s="282" t="s">
        <v>889</v>
      </c>
      <c r="AK922" s="274"/>
    </row>
    <row r="923" spans="1:37" x14ac:dyDescent="0.3">
      <c r="A923" s="273">
        <v>140056</v>
      </c>
      <c r="B923" s="274" t="s">
        <v>2016</v>
      </c>
      <c r="C923" s="146" t="s">
        <v>272</v>
      </c>
      <c r="D923" s="275">
        <v>19.7</v>
      </c>
      <c r="E923" s="274"/>
      <c r="F923" s="274"/>
      <c r="G923" s="274" t="s">
        <v>889</v>
      </c>
      <c r="H923" s="276">
        <v>1635</v>
      </c>
      <c r="I923" s="24">
        <v>103003</v>
      </c>
      <c r="J923" s="277">
        <v>19.7</v>
      </c>
      <c r="K923" s="276">
        <v>75</v>
      </c>
      <c r="L923" s="278">
        <v>261.60000000000002</v>
      </c>
      <c r="M923" s="279">
        <v>0</v>
      </c>
      <c r="N923" s="277">
        <v>0</v>
      </c>
      <c r="O923" s="280" t="s">
        <v>888</v>
      </c>
      <c r="P923" s="279">
        <v>0</v>
      </c>
      <c r="Q923" s="281">
        <v>0</v>
      </c>
      <c r="R923" s="282" t="s">
        <v>889</v>
      </c>
      <c r="S923" s="274" t="s">
        <v>1676</v>
      </c>
      <c r="T923" s="44">
        <v>1</v>
      </c>
      <c r="U923" s="283">
        <v>55</v>
      </c>
      <c r="V923" s="284">
        <v>19</v>
      </c>
      <c r="W923" s="285" t="s">
        <v>889</v>
      </c>
      <c r="X923" s="286" t="s">
        <v>889</v>
      </c>
      <c r="Y923" s="287">
        <v>0</v>
      </c>
      <c r="Z923" s="287" t="s">
        <v>889</v>
      </c>
      <c r="AA923" s="286" t="s">
        <v>889</v>
      </c>
      <c r="AB923" s="287">
        <v>0</v>
      </c>
      <c r="AC923" s="287"/>
      <c r="AD923" s="288" t="s">
        <v>889</v>
      </c>
      <c r="AE923" s="289" t="s">
        <v>889</v>
      </c>
      <c r="AF923" s="279">
        <v>26</v>
      </c>
      <c r="AG923" s="282">
        <v>44876</v>
      </c>
      <c r="AH923" s="282">
        <v>44096</v>
      </c>
      <c r="AI923" s="282">
        <v>44845</v>
      </c>
      <c r="AJ923" s="282" t="s">
        <v>889</v>
      </c>
      <c r="AK923" s="274"/>
    </row>
    <row r="924" spans="1:37" x14ac:dyDescent="0.3">
      <c r="A924" s="273">
        <v>140057</v>
      </c>
      <c r="B924" s="274" t="s">
        <v>2017</v>
      </c>
      <c r="C924" s="146" t="s">
        <v>272</v>
      </c>
      <c r="D924" s="275">
        <v>24.4</v>
      </c>
      <c r="E924" s="274"/>
      <c r="F924" s="274"/>
      <c r="G924" s="274" t="s">
        <v>889</v>
      </c>
      <c r="H924" s="276">
        <v>474</v>
      </c>
      <c r="I924" s="24">
        <v>103003</v>
      </c>
      <c r="J924" s="277">
        <v>24.4</v>
      </c>
      <c r="K924" s="276">
        <v>2260</v>
      </c>
      <c r="L924" s="278">
        <v>2.5168587054638136</v>
      </c>
      <c r="M924" s="279">
        <v>1785.96</v>
      </c>
      <c r="N924" s="277">
        <v>43577.423999999999</v>
      </c>
      <c r="O924" s="280" t="s">
        <v>888</v>
      </c>
      <c r="P924" s="279">
        <v>0</v>
      </c>
      <c r="Q924" s="281">
        <v>0</v>
      </c>
      <c r="R924" s="282" t="s">
        <v>889</v>
      </c>
      <c r="S924" s="274" t="s">
        <v>1676</v>
      </c>
      <c r="T924" s="44">
        <v>1</v>
      </c>
      <c r="U924" s="283">
        <v>55</v>
      </c>
      <c r="V924" s="284">
        <v>19</v>
      </c>
      <c r="W924" s="285" t="s">
        <v>889</v>
      </c>
      <c r="X924" s="286" t="s">
        <v>889</v>
      </c>
      <c r="Y924" s="287">
        <v>0</v>
      </c>
      <c r="Z924" s="287" t="s">
        <v>889</v>
      </c>
      <c r="AA924" s="286" t="s">
        <v>889</v>
      </c>
      <c r="AB924" s="287">
        <v>0</v>
      </c>
      <c r="AC924" s="287"/>
      <c r="AD924" s="288" t="s">
        <v>889</v>
      </c>
      <c r="AE924" s="289" t="s">
        <v>889</v>
      </c>
      <c r="AF924" s="279">
        <v>754</v>
      </c>
      <c r="AG924" s="282">
        <v>44876</v>
      </c>
      <c r="AH924" s="282">
        <v>44096</v>
      </c>
      <c r="AI924" s="282">
        <v>44845</v>
      </c>
      <c r="AJ924" s="282" t="s">
        <v>889</v>
      </c>
      <c r="AK924" s="274"/>
    </row>
    <row r="925" spans="1:37" x14ac:dyDescent="0.3">
      <c r="A925" s="273">
        <v>140058</v>
      </c>
      <c r="B925" s="274" t="s">
        <v>2018</v>
      </c>
      <c r="C925" s="146" t="s">
        <v>272</v>
      </c>
      <c r="D925" s="275">
        <v>0</v>
      </c>
      <c r="E925" s="274"/>
      <c r="F925" s="274"/>
      <c r="G925" s="274" t="s">
        <v>889</v>
      </c>
      <c r="H925" s="276">
        <v>272</v>
      </c>
      <c r="I925" s="24">
        <v>103003</v>
      </c>
      <c r="J925" s="277">
        <v>0</v>
      </c>
      <c r="K925" s="276">
        <v>78</v>
      </c>
      <c r="L925" s="278">
        <v>41.846153846153847</v>
      </c>
      <c r="M925" s="279">
        <v>0</v>
      </c>
      <c r="N925" s="277">
        <v>0</v>
      </c>
      <c r="O925" s="280" t="s">
        <v>888</v>
      </c>
      <c r="P925" s="279">
        <v>0</v>
      </c>
      <c r="Q925" s="281">
        <v>0</v>
      </c>
      <c r="R925" s="282" t="s">
        <v>889</v>
      </c>
      <c r="S925" s="274" t="s">
        <v>1676</v>
      </c>
      <c r="T925" s="44">
        <v>1</v>
      </c>
      <c r="U925" s="283">
        <v>55</v>
      </c>
      <c r="V925" s="284">
        <v>19</v>
      </c>
      <c r="W925" s="285" t="s">
        <v>889</v>
      </c>
      <c r="X925" s="286" t="s">
        <v>889</v>
      </c>
      <c r="Y925" s="287">
        <v>0</v>
      </c>
      <c r="Z925" s="287" t="s">
        <v>889</v>
      </c>
      <c r="AA925" s="286" t="s">
        <v>889</v>
      </c>
      <c r="AB925" s="287">
        <v>0</v>
      </c>
      <c r="AC925" s="287"/>
      <c r="AD925" s="288" t="s">
        <v>889</v>
      </c>
      <c r="AE925" s="289" t="s">
        <v>889</v>
      </c>
      <c r="AF925" s="279">
        <v>26</v>
      </c>
      <c r="AG925" s="282" t="s">
        <v>889</v>
      </c>
      <c r="AH925" s="282">
        <v>44096</v>
      </c>
      <c r="AI925" s="282" t="s">
        <v>889</v>
      </c>
      <c r="AJ925" s="282" t="s">
        <v>889</v>
      </c>
      <c r="AK925" s="274"/>
    </row>
    <row r="926" spans="1:37" x14ac:dyDescent="0.3">
      <c r="A926" s="273">
        <v>140059</v>
      </c>
      <c r="B926" s="274" t="s">
        <v>2019</v>
      </c>
      <c r="C926" s="146" t="s">
        <v>272</v>
      </c>
      <c r="D926" s="275">
        <v>36.909999999999997</v>
      </c>
      <c r="E926" s="274"/>
      <c r="F926" s="274"/>
      <c r="G926" s="274" t="s">
        <v>889</v>
      </c>
      <c r="H926" s="276">
        <v>499</v>
      </c>
      <c r="I926" s="24">
        <v>103003</v>
      </c>
      <c r="J926" s="277">
        <v>36.909999999999997</v>
      </c>
      <c r="K926" s="276">
        <v>205</v>
      </c>
      <c r="L926" s="278">
        <v>29.215456674473067</v>
      </c>
      <c r="M926" s="279">
        <v>0</v>
      </c>
      <c r="N926" s="277">
        <v>0</v>
      </c>
      <c r="O926" s="280" t="s">
        <v>888</v>
      </c>
      <c r="P926" s="279">
        <v>0</v>
      </c>
      <c r="Q926" s="281">
        <v>0</v>
      </c>
      <c r="R926" s="282" t="s">
        <v>889</v>
      </c>
      <c r="S926" s="274" t="s">
        <v>1676</v>
      </c>
      <c r="T926" s="44">
        <v>1</v>
      </c>
      <c r="U926" s="283">
        <v>55</v>
      </c>
      <c r="V926" s="284">
        <v>19</v>
      </c>
      <c r="W926" s="285">
        <v>1929</v>
      </c>
      <c r="X926" s="286">
        <v>2023</v>
      </c>
      <c r="Y926" s="287">
        <v>500</v>
      </c>
      <c r="Z926" s="287" t="s">
        <v>889</v>
      </c>
      <c r="AA926" s="286" t="s">
        <v>889</v>
      </c>
      <c r="AB926" s="287">
        <v>0</v>
      </c>
      <c r="AC926" s="287"/>
      <c r="AD926" s="288" t="s">
        <v>889</v>
      </c>
      <c r="AE926" s="289" t="s">
        <v>889</v>
      </c>
      <c r="AF926" s="279">
        <v>68</v>
      </c>
      <c r="AG926" s="282">
        <v>44876</v>
      </c>
      <c r="AH926" s="282">
        <v>44096</v>
      </c>
      <c r="AI926" s="282">
        <v>44845</v>
      </c>
      <c r="AJ926" s="282" t="s">
        <v>889</v>
      </c>
      <c r="AK926" s="274"/>
    </row>
    <row r="927" spans="1:37" x14ac:dyDescent="0.3">
      <c r="A927" s="273">
        <v>140059</v>
      </c>
      <c r="B927" s="274" t="s">
        <v>2019</v>
      </c>
      <c r="C927" s="146" t="s">
        <v>272</v>
      </c>
      <c r="D927" s="275">
        <v>36.909999999999997</v>
      </c>
      <c r="E927" s="274"/>
      <c r="F927" s="274"/>
      <c r="G927" s="274" t="s">
        <v>889</v>
      </c>
      <c r="H927" s="276">
        <v>499</v>
      </c>
      <c r="I927" s="24">
        <v>103003</v>
      </c>
      <c r="J927" s="277">
        <v>36.909999999999997</v>
      </c>
      <c r="K927" s="276">
        <v>205</v>
      </c>
      <c r="L927" s="278">
        <v>29.215456674473067</v>
      </c>
      <c r="M927" s="279">
        <v>0</v>
      </c>
      <c r="N927" s="277">
        <v>0</v>
      </c>
      <c r="O927" s="280" t="s">
        <v>888</v>
      </c>
      <c r="P927" s="279">
        <v>0</v>
      </c>
      <c r="Q927" s="281">
        <v>0</v>
      </c>
      <c r="R927" s="282" t="s">
        <v>889</v>
      </c>
      <c r="S927" s="274" t="s">
        <v>1676</v>
      </c>
      <c r="T927" s="44">
        <v>1</v>
      </c>
      <c r="U927" s="283">
        <v>55</v>
      </c>
      <c r="V927" s="284">
        <v>19</v>
      </c>
      <c r="W927" s="285">
        <v>2957</v>
      </c>
      <c r="X927" s="286">
        <v>2023</v>
      </c>
      <c r="Y927" s="287">
        <v>1000</v>
      </c>
      <c r="Z927" s="287" t="s">
        <v>889</v>
      </c>
      <c r="AA927" s="286" t="s">
        <v>889</v>
      </c>
      <c r="AB927" s="287">
        <v>0</v>
      </c>
      <c r="AC927" s="287"/>
      <c r="AD927" s="288" t="s">
        <v>889</v>
      </c>
      <c r="AE927" s="289" t="s">
        <v>889</v>
      </c>
      <c r="AF927" s="279">
        <v>68</v>
      </c>
      <c r="AG927" s="282">
        <v>44876</v>
      </c>
      <c r="AH927" s="282">
        <v>44096</v>
      </c>
      <c r="AI927" s="282">
        <v>44845</v>
      </c>
      <c r="AJ927" s="282" t="s">
        <v>889</v>
      </c>
      <c r="AK927" s="274"/>
    </row>
    <row r="928" spans="1:37" x14ac:dyDescent="0.3">
      <c r="A928" s="273">
        <v>140060</v>
      </c>
      <c r="B928" s="274" t="s">
        <v>2020</v>
      </c>
      <c r="C928" s="146" t="s">
        <v>272</v>
      </c>
      <c r="D928" s="275">
        <v>61.23</v>
      </c>
      <c r="E928" s="274"/>
      <c r="F928" s="274"/>
      <c r="G928" s="274" t="s">
        <v>889</v>
      </c>
      <c r="H928" s="276">
        <v>557</v>
      </c>
      <c r="I928" s="24">
        <v>103003</v>
      </c>
      <c r="J928" s="277">
        <v>61.23</v>
      </c>
      <c r="K928" s="276">
        <v>412</v>
      </c>
      <c r="L928" s="278">
        <v>16.224876201572968</v>
      </c>
      <c r="M928" s="279">
        <v>0</v>
      </c>
      <c r="N928" s="277">
        <v>0</v>
      </c>
      <c r="O928" s="280" t="s">
        <v>888</v>
      </c>
      <c r="P928" s="279">
        <v>0</v>
      </c>
      <c r="Q928" s="281">
        <v>0</v>
      </c>
      <c r="R928" s="282" t="s">
        <v>889</v>
      </c>
      <c r="S928" s="274" t="s">
        <v>1676</v>
      </c>
      <c r="T928" s="44">
        <v>1</v>
      </c>
      <c r="U928" s="283">
        <v>55</v>
      </c>
      <c r="V928" s="284">
        <v>19</v>
      </c>
      <c r="W928" s="285" t="s">
        <v>889</v>
      </c>
      <c r="X928" s="286" t="s">
        <v>889</v>
      </c>
      <c r="Y928" s="287">
        <v>0</v>
      </c>
      <c r="Z928" s="287" t="s">
        <v>889</v>
      </c>
      <c r="AA928" s="286" t="s">
        <v>889</v>
      </c>
      <c r="AB928" s="287">
        <v>0</v>
      </c>
      <c r="AC928" s="287"/>
      <c r="AD928" s="288" t="s">
        <v>889</v>
      </c>
      <c r="AE928" s="289" t="s">
        <v>889</v>
      </c>
      <c r="AF928" s="279">
        <v>138</v>
      </c>
      <c r="AG928" s="282" t="s">
        <v>889</v>
      </c>
      <c r="AH928" s="282">
        <v>44096</v>
      </c>
      <c r="AI928" s="282">
        <v>44923</v>
      </c>
      <c r="AJ928" s="282" t="s">
        <v>889</v>
      </c>
      <c r="AK928" s="274"/>
    </row>
    <row r="929" spans="1:37" x14ac:dyDescent="0.3">
      <c r="A929" s="273">
        <v>140061</v>
      </c>
      <c r="B929" s="274" t="s">
        <v>2021</v>
      </c>
      <c r="C929" s="146" t="s">
        <v>272</v>
      </c>
      <c r="D929" s="275">
        <v>81.72</v>
      </c>
      <c r="E929" s="274"/>
      <c r="F929" s="274"/>
      <c r="G929" s="274" t="s">
        <v>889</v>
      </c>
      <c r="H929" s="276">
        <v>171</v>
      </c>
      <c r="I929" s="24">
        <v>103003</v>
      </c>
      <c r="J929" s="277">
        <v>81.72</v>
      </c>
      <c r="K929" s="276">
        <v>275</v>
      </c>
      <c r="L929" s="278">
        <v>7.4607329842931938</v>
      </c>
      <c r="M929" s="279">
        <v>4.04</v>
      </c>
      <c r="N929" s="277">
        <v>330.14879999999999</v>
      </c>
      <c r="O929" s="280" t="s">
        <v>888</v>
      </c>
      <c r="P929" s="279">
        <v>0</v>
      </c>
      <c r="Q929" s="281">
        <v>0</v>
      </c>
      <c r="R929" s="282" t="s">
        <v>889</v>
      </c>
      <c r="S929" s="274" t="s">
        <v>1676</v>
      </c>
      <c r="T929" s="44">
        <v>1</v>
      </c>
      <c r="U929" s="283">
        <v>55</v>
      </c>
      <c r="V929" s="284">
        <v>19</v>
      </c>
      <c r="W929" s="285">
        <v>2696</v>
      </c>
      <c r="X929" s="286">
        <v>2023</v>
      </c>
      <c r="Y929" s="287">
        <v>100</v>
      </c>
      <c r="Z929" s="287" t="s">
        <v>889</v>
      </c>
      <c r="AA929" s="286" t="s">
        <v>889</v>
      </c>
      <c r="AB929" s="287">
        <v>0</v>
      </c>
      <c r="AC929" s="287"/>
      <c r="AD929" s="288" t="s">
        <v>889</v>
      </c>
      <c r="AE929" s="289" t="s">
        <v>889</v>
      </c>
      <c r="AF929" s="279">
        <v>92</v>
      </c>
      <c r="AG929" s="282" t="s">
        <v>889</v>
      </c>
      <c r="AH929" s="282">
        <v>44096</v>
      </c>
      <c r="AI929" s="282">
        <v>44740</v>
      </c>
      <c r="AJ929" s="282" t="s">
        <v>889</v>
      </c>
      <c r="AK929" s="274"/>
    </row>
    <row r="930" spans="1:37" x14ac:dyDescent="0.3">
      <c r="A930" s="273">
        <v>140063</v>
      </c>
      <c r="B930" s="274" t="s">
        <v>2022</v>
      </c>
      <c r="C930" s="146" t="s">
        <v>272</v>
      </c>
      <c r="D930" s="275">
        <v>6.11</v>
      </c>
      <c r="E930" s="274"/>
      <c r="F930" s="274"/>
      <c r="G930" s="274" t="s">
        <v>889</v>
      </c>
      <c r="H930" s="276">
        <v>0</v>
      </c>
      <c r="I930" s="24">
        <v>103003</v>
      </c>
      <c r="J930" s="277">
        <v>6.11</v>
      </c>
      <c r="K930" s="276">
        <v>5416</v>
      </c>
      <c r="L930" s="278">
        <v>0</v>
      </c>
      <c r="M930" s="279">
        <v>2845.04</v>
      </c>
      <c r="N930" s="277">
        <v>17383.1944</v>
      </c>
      <c r="O930" s="280" t="s">
        <v>888</v>
      </c>
      <c r="P930" s="279">
        <v>0</v>
      </c>
      <c r="Q930" s="281">
        <v>0</v>
      </c>
      <c r="R930" s="282" t="s">
        <v>889</v>
      </c>
      <c r="S930" s="274" t="s">
        <v>1676</v>
      </c>
      <c r="T930" s="44">
        <v>1</v>
      </c>
      <c r="U930" s="283">
        <v>55</v>
      </c>
      <c r="V930" s="284">
        <v>19</v>
      </c>
      <c r="W930" s="285">
        <v>2375</v>
      </c>
      <c r="X930" s="286">
        <v>2023</v>
      </c>
      <c r="Y930" s="287">
        <v>4000</v>
      </c>
      <c r="Z930" s="287" t="s">
        <v>889</v>
      </c>
      <c r="AA930" s="286" t="s">
        <v>889</v>
      </c>
      <c r="AB930" s="287">
        <v>0</v>
      </c>
      <c r="AC930" s="287"/>
      <c r="AD930" s="288" t="s">
        <v>889</v>
      </c>
      <c r="AE930" s="289" t="s">
        <v>889</v>
      </c>
      <c r="AF930" s="279">
        <v>2282</v>
      </c>
      <c r="AG930" s="282">
        <v>44893</v>
      </c>
      <c r="AH930" s="282">
        <v>44096</v>
      </c>
      <c r="AI930" s="282">
        <v>44845</v>
      </c>
      <c r="AJ930" s="282" t="s">
        <v>889</v>
      </c>
      <c r="AK930" s="274"/>
    </row>
    <row r="931" spans="1:37" x14ac:dyDescent="0.3">
      <c r="A931" s="273">
        <v>140125</v>
      </c>
      <c r="B931" s="274" t="s">
        <v>2023</v>
      </c>
      <c r="C931" s="146" t="s">
        <v>272</v>
      </c>
      <c r="D931" s="275">
        <v>87.79</v>
      </c>
      <c r="E931" s="274"/>
      <c r="F931" s="274"/>
      <c r="G931" s="274" t="s">
        <v>889</v>
      </c>
      <c r="H931" s="276">
        <v>550</v>
      </c>
      <c r="I931" s="24">
        <v>103003</v>
      </c>
      <c r="J931" s="277">
        <v>87.79</v>
      </c>
      <c r="K931" s="276"/>
      <c r="L931" s="278">
        <v>0</v>
      </c>
      <c r="M931" s="279">
        <v>0</v>
      </c>
      <c r="N931" s="277">
        <v>0</v>
      </c>
      <c r="O931" s="280" t="s">
        <v>888</v>
      </c>
      <c r="P931" s="279">
        <v>0</v>
      </c>
      <c r="Q931" s="281">
        <v>0</v>
      </c>
      <c r="R931" s="282" t="s">
        <v>889</v>
      </c>
      <c r="S931" s="274" t="s">
        <v>1676</v>
      </c>
      <c r="T931" s="44">
        <v>1</v>
      </c>
      <c r="U931" s="283">
        <v>55</v>
      </c>
      <c r="V931" s="284">
        <v>19</v>
      </c>
      <c r="W931" s="285" t="s">
        <v>889</v>
      </c>
      <c r="X931" s="286" t="s">
        <v>889</v>
      </c>
      <c r="Y931" s="287">
        <v>0</v>
      </c>
      <c r="Z931" s="287" t="s">
        <v>889</v>
      </c>
      <c r="AA931" s="286" t="s">
        <v>889</v>
      </c>
      <c r="AB931" s="287">
        <v>0</v>
      </c>
      <c r="AC931" s="287"/>
      <c r="AD931" s="288" t="s">
        <v>889</v>
      </c>
      <c r="AE931" s="289" t="s">
        <v>889</v>
      </c>
      <c r="AF931" s="279">
        <v>0</v>
      </c>
      <c r="AG931" s="282">
        <v>44211</v>
      </c>
      <c r="AH931" s="282">
        <v>44109</v>
      </c>
      <c r="AI931" s="282">
        <v>44167</v>
      </c>
      <c r="AJ931" s="282" t="s">
        <v>889</v>
      </c>
      <c r="AK931" s="274"/>
    </row>
    <row r="932" spans="1:37" x14ac:dyDescent="0.3">
      <c r="A932" s="273">
        <v>140126</v>
      </c>
      <c r="B932" s="274" t="s">
        <v>2024</v>
      </c>
      <c r="C932" s="146" t="s">
        <v>272</v>
      </c>
      <c r="D932" s="275">
        <v>34.54</v>
      </c>
      <c r="E932" s="274"/>
      <c r="F932" s="274"/>
      <c r="G932" s="274" t="s">
        <v>889</v>
      </c>
      <c r="H932" s="276">
        <v>891</v>
      </c>
      <c r="I932" s="24">
        <v>103003</v>
      </c>
      <c r="J932" s="277">
        <v>34.54</v>
      </c>
      <c r="K932" s="276">
        <v>316</v>
      </c>
      <c r="L932" s="278">
        <v>33.839726547664256</v>
      </c>
      <c r="M932" s="279">
        <v>0</v>
      </c>
      <c r="N932" s="277">
        <v>0</v>
      </c>
      <c r="O932" s="280" t="s">
        <v>888</v>
      </c>
      <c r="P932" s="279">
        <v>0</v>
      </c>
      <c r="Q932" s="281">
        <v>0</v>
      </c>
      <c r="R932" s="282" t="s">
        <v>889</v>
      </c>
      <c r="S932" s="274" t="s">
        <v>1676</v>
      </c>
      <c r="T932" s="44">
        <v>1</v>
      </c>
      <c r="U932" s="283">
        <v>55</v>
      </c>
      <c r="V932" s="284">
        <v>19</v>
      </c>
      <c r="W932" s="285" t="s">
        <v>889</v>
      </c>
      <c r="X932" s="286" t="s">
        <v>889</v>
      </c>
      <c r="Y932" s="287">
        <v>0</v>
      </c>
      <c r="Z932" s="287" t="s">
        <v>889</v>
      </c>
      <c r="AA932" s="286" t="s">
        <v>889</v>
      </c>
      <c r="AB932" s="287">
        <v>0</v>
      </c>
      <c r="AC932" s="287"/>
      <c r="AD932" s="288" t="s">
        <v>889</v>
      </c>
      <c r="AE932" s="289" t="s">
        <v>889</v>
      </c>
      <c r="AF932" s="279">
        <v>106</v>
      </c>
      <c r="AG932" s="282">
        <v>44876</v>
      </c>
      <c r="AH932" s="282">
        <v>44109</v>
      </c>
      <c r="AI932" s="282">
        <v>44923</v>
      </c>
      <c r="AJ932" s="282" t="s">
        <v>889</v>
      </c>
      <c r="AK932" s="274"/>
    </row>
    <row r="933" spans="1:37" x14ac:dyDescent="0.3">
      <c r="A933" s="273">
        <v>140241</v>
      </c>
      <c r="B933" s="274" t="s">
        <v>2025</v>
      </c>
      <c r="C933" s="146" t="s">
        <v>272</v>
      </c>
      <c r="D933" s="275">
        <v>3.32</v>
      </c>
      <c r="E933" s="274"/>
      <c r="F933" s="274"/>
      <c r="G933" s="274" t="s">
        <v>889</v>
      </c>
      <c r="H933" s="276">
        <v>0</v>
      </c>
      <c r="I933" s="24">
        <v>103003</v>
      </c>
      <c r="J933" s="277">
        <v>3.32</v>
      </c>
      <c r="K933" s="276">
        <v>1458</v>
      </c>
      <c r="L933" s="278">
        <v>0</v>
      </c>
      <c r="M933" s="279">
        <v>1057.96</v>
      </c>
      <c r="N933" s="277">
        <v>3512.4272000000001</v>
      </c>
      <c r="O933" s="280" t="s">
        <v>888</v>
      </c>
      <c r="P933" s="279">
        <v>0</v>
      </c>
      <c r="Q933" s="281">
        <v>0</v>
      </c>
      <c r="R933" s="282" t="s">
        <v>889</v>
      </c>
      <c r="S933" s="274" t="s">
        <v>1676</v>
      </c>
      <c r="T933" s="44">
        <v>1</v>
      </c>
      <c r="U933" s="283">
        <v>55</v>
      </c>
      <c r="V933" s="284">
        <v>19</v>
      </c>
      <c r="W933" s="285">
        <v>10083</v>
      </c>
      <c r="X933" s="286">
        <v>2023</v>
      </c>
      <c r="Y933" s="287">
        <v>500</v>
      </c>
      <c r="Z933" s="287" t="s">
        <v>889</v>
      </c>
      <c r="AA933" s="286" t="s">
        <v>889</v>
      </c>
      <c r="AB933" s="287">
        <v>0</v>
      </c>
      <c r="AC933" s="287"/>
      <c r="AD933" s="288" t="s">
        <v>889</v>
      </c>
      <c r="AE933" s="289" t="s">
        <v>889</v>
      </c>
      <c r="AF933" s="279">
        <v>520</v>
      </c>
      <c r="AG933" s="282" t="s">
        <v>889</v>
      </c>
      <c r="AH933" s="282">
        <v>44132</v>
      </c>
      <c r="AI933" s="282">
        <v>44623</v>
      </c>
      <c r="AJ933" s="282" t="s">
        <v>889</v>
      </c>
      <c r="AK933" s="274"/>
    </row>
    <row r="934" spans="1:37" x14ac:dyDescent="0.3">
      <c r="A934" s="273">
        <v>140242</v>
      </c>
      <c r="B934" s="274" t="s">
        <v>2026</v>
      </c>
      <c r="C934" s="146" t="s">
        <v>272</v>
      </c>
      <c r="D934" s="275">
        <v>15.5</v>
      </c>
      <c r="E934" s="274"/>
      <c r="F934" s="274"/>
      <c r="G934" s="274" t="s">
        <v>889</v>
      </c>
      <c r="H934" s="276">
        <v>933</v>
      </c>
      <c r="I934" s="24">
        <v>103003</v>
      </c>
      <c r="J934" s="277">
        <v>15.5</v>
      </c>
      <c r="K934" s="276">
        <v>985</v>
      </c>
      <c r="L934" s="278">
        <v>11.366959064327485</v>
      </c>
      <c r="M934" s="279">
        <v>51.96</v>
      </c>
      <c r="N934" s="277">
        <v>805.38</v>
      </c>
      <c r="O934" s="280" t="s">
        <v>888</v>
      </c>
      <c r="P934" s="279">
        <v>0</v>
      </c>
      <c r="Q934" s="281">
        <v>0</v>
      </c>
      <c r="R934" s="282" t="s">
        <v>889</v>
      </c>
      <c r="S934" s="274" t="s">
        <v>1676</v>
      </c>
      <c r="T934" s="44">
        <v>1</v>
      </c>
      <c r="U934" s="283">
        <v>55</v>
      </c>
      <c r="V934" s="284">
        <v>19</v>
      </c>
      <c r="W934" s="285" t="s">
        <v>889</v>
      </c>
      <c r="X934" s="286" t="s">
        <v>889</v>
      </c>
      <c r="Y934" s="287">
        <v>0</v>
      </c>
      <c r="Z934" s="287" t="s">
        <v>889</v>
      </c>
      <c r="AA934" s="286" t="s">
        <v>889</v>
      </c>
      <c r="AB934" s="287">
        <v>0</v>
      </c>
      <c r="AC934" s="287"/>
      <c r="AD934" s="288" t="s">
        <v>889</v>
      </c>
      <c r="AE934" s="289" t="s">
        <v>889</v>
      </c>
      <c r="AF934" s="279">
        <v>328</v>
      </c>
      <c r="AG934" s="282">
        <v>44876</v>
      </c>
      <c r="AH934" s="282">
        <v>44132</v>
      </c>
      <c r="AI934" s="282">
        <v>44845</v>
      </c>
      <c r="AJ934" s="282" t="s">
        <v>889</v>
      </c>
      <c r="AK934" s="274"/>
    </row>
    <row r="935" spans="1:37" x14ac:dyDescent="0.3">
      <c r="A935" s="273">
        <v>140283</v>
      </c>
      <c r="B935" s="274" t="s">
        <v>2027</v>
      </c>
      <c r="C935" s="146" t="s">
        <v>31</v>
      </c>
      <c r="D935" s="275">
        <v>155</v>
      </c>
      <c r="E935" s="274"/>
      <c r="F935" s="274"/>
      <c r="G935" s="274" t="s">
        <v>889</v>
      </c>
      <c r="H935" s="276">
        <v>0</v>
      </c>
      <c r="I935" s="24">
        <v>103003</v>
      </c>
      <c r="J935" s="277">
        <v>155</v>
      </c>
      <c r="K935" s="276">
        <v>37</v>
      </c>
      <c r="L935" s="278">
        <v>0</v>
      </c>
      <c r="M935" s="279">
        <v>39</v>
      </c>
      <c r="N935" s="277">
        <v>6045</v>
      </c>
      <c r="O935" s="280" t="s">
        <v>888</v>
      </c>
      <c r="P935" s="279">
        <v>0</v>
      </c>
      <c r="Q935" s="281">
        <v>0</v>
      </c>
      <c r="R935" s="282" t="s">
        <v>889</v>
      </c>
      <c r="S935" s="274" t="s">
        <v>1446</v>
      </c>
      <c r="T935" s="44">
        <v>1</v>
      </c>
      <c r="U935" s="283">
        <v>51</v>
      </c>
      <c r="V935" s="284">
        <v>36</v>
      </c>
      <c r="W935" s="285" t="s">
        <v>889</v>
      </c>
      <c r="X935" s="286" t="s">
        <v>889</v>
      </c>
      <c r="Y935" s="287">
        <v>0</v>
      </c>
      <c r="Z935" s="287" t="s">
        <v>889</v>
      </c>
      <c r="AA935" s="286" t="s">
        <v>889</v>
      </c>
      <c r="AB935" s="287">
        <v>0</v>
      </c>
      <c r="AC935" s="287"/>
      <c r="AD935" s="288" t="s">
        <v>889</v>
      </c>
      <c r="AE935" s="289" t="s">
        <v>889</v>
      </c>
      <c r="AF935" s="279">
        <v>14</v>
      </c>
      <c r="AG935" s="282">
        <v>45184</v>
      </c>
      <c r="AH935" s="282">
        <v>44155</v>
      </c>
      <c r="AI935" s="282">
        <v>45160</v>
      </c>
      <c r="AJ935" s="282" t="s">
        <v>889</v>
      </c>
      <c r="AK935" s="274"/>
    </row>
    <row r="936" spans="1:37" x14ac:dyDescent="0.3">
      <c r="A936" s="273">
        <v>140326</v>
      </c>
      <c r="B936" s="274" t="s">
        <v>2028</v>
      </c>
      <c r="C936" s="146" t="s">
        <v>290</v>
      </c>
      <c r="D936" s="275">
        <v>12.34</v>
      </c>
      <c r="E936" s="274"/>
      <c r="F936" s="274"/>
      <c r="G936" s="274" t="s">
        <v>889</v>
      </c>
      <c r="H936" s="276">
        <v>1176</v>
      </c>
      <c r="I936" s="24">
        <v>103003</v>
      </c>
      <c r="J936" s="277">
        <v>12.34</v>
      </c>
      <c r="K936" s="276">
        <v>102</v>
      </c>
      <c r="L936" s="278">
        <v>147</v>
      </c>
      <c r="M936" s="279">
        <v>0</v>
      </c>
      <c r="N936" s="277">
        <v>0</v>
      </c>
      <c r="O936" s="280" t="s">
        <v>888</v>
      </c>
      <c r="P936" s="279">
        <v>0</v>
      </c>
      <c r="Q936" s="281">
        <v>0</v>
      </c>
      <c r="R936" s="282" t="s">
        <v>889</v>
      </c>
      <c r="S936" s="274" t="s">
        <v>1113</v>
      </c>
      <c r="T936" s="44">
        <v>1</v>
      </c>
      <c r="U936" s="283">
        <v>51</v>
      </c>
      <c r="V936" s="284">
        <v>33</v>
      </c>
      <c r="W936" s="285" t="s">
        <v>889</v>
      </c>
      <c r="X936" s="286" t="s">
        <v>889</v>
      </c>
      <c r="Y936" s="287">
        <v>0</v>
      </c>
      <c r="Z936" s="287" t="s">
        <v>889</v>
      </c>
      <c r="AA936" s="286" t="s">
        <v>889</v>
      </c>
      <c r="AB936" s="287">
        <v>0</v>
      </c>
      <c r="AC936" s="287"/>
      <c r="AD936" s="288" t="s">
        <v>889</v>
      </c>
      <c r="AE936" s="289" t="s">
        <v>889</v>
      </c>
      <c r="AF936" s="279">
        <v>32</v>
      </c>
      <c r="AG936" s="282">
        <v>45210</v>
      </c>
      <c r="AH936" s="282">
        <v>44180</v>
      </c>
      <c r="AI936" s="282">
        <v>45189</v>
      </c>
      <c r="AJ936" s="282" t="s">
        <v>889</v>
      </c>
      <c r="AK936" s="274"/>
    </row>
    <row r="937" spans="1:37" x14ac:dyDescent="0.3">
      <c r="A937" s="273">
        <v>140666</v>
      </c>
      <c r="B937" s="274" t="s">
        <v>2029</v>
      </c>
      <c r="C937" s="146" t="s">
        <v>263</v>
      </c>
      <c r="D937" s="275">
        <v>66.680000000000007</v>
      </c>
      <c r="E937" s="274"/>
      <c r="F937" s="274"/>
      <c r="G937" s="274" t="s">
        <v>889</v>
      </c>
      <c r="H937" s="276">
        <v>18</v>
      </c>
      <c r="I937" s="24">
        <v>103003</v>
      </c>
      <c r="J937" s="277">
        <v>66.680000000000007</v>
      </c>
      <c r="K937" s="276">
        <v>98</v>
      </c>
      <c r="L937" s="278">
        <v>2.203182374541004</v>
      </c>
      <c r="M937" s="279">
        <v>50.04</v>
      </c>
      <c r="N937" s="277">
        <v>3336.6671999999999</v>
      </c>
      <c r="O937" s="280" t="s">
        <v>888</v>
      </c>
      <c r="P937" s="279">
        <v>0</v>
      </c>
      <c r="Q937" s="281">
        <v>0</v>
      </c>
      <c r="R937" s="282" t="s">
        <v>889</v>
      </c>
      <c r="S937" s="274" t="s">
        <v>1086</v>
      </c>
      <c r="T937" s="44">
        <v>1</v>
      </c>
      <c r="U937" s="283">
        <v>55</v>
      </c>
      <c r="V937" s="284">
        <v>49</v>
      </c>
      <c r="W937" s="285">
        <v>10083</v>
      </c>
      <c r="X937" s="286">
        <v>2023</v>
      </c>
      <c r="Y937" s="287">
        <v>30</v>
      </c>
      <c r="Z937" s="287" t="s">
        <v>889</v>
      </c>
      <c r="AA937" s="286" t="s">
        <v>889</v>
      </c>
      <c r="AB937" s="287">
        <v>0</v>
      </c>
      <c r="AC937" s="287"/>
      <c r="AD937" s="288" t="s">
        <v>889</v>
      </c>
      <c r="AE937" s="289" t="s">
        <v>889</v>
      </c>
      <c r="AF937" s="279">
        <v>32</v>
      </c>
      <c r="AG937" s="282">
        <v>44410</v>
      </c>
      <c r="AH937" s="282">
        <v>44243</v>
      </c>
      <c r="AI937" s="282">
        <v>44393</v>
      </c>
      <c r="AJ937" s="282" t="s">
        <v>889</v>
      </c>
      <c r="AK937" s="274"/>
    </row>
    <row r="938" spans="1:37" x14ac:dyDescent="0.3">
      <c r="A938" s="273">
        <v>140933</v>
      </c>
      <c r="B938" s="274" t="s">
        <v>2030</v>
      </c>
      <c r="C938" s="146" t="s">
        <v>263</v>
      </c>
      <c r="D938" s="275">
        <v>4.08</v>
      </c>
      <c r="E938" s="274"/>
      <c r="F938" s="274"/>
      <c r="G938" s="274" t="s">
        <v>889</v>
      </c>
      <c r="H938" s="276">
        <v>567</v>
      </c>
      <c r="I938" s="24">
        <v>103003</v>
      </c>
      <c r="J938" s="277">
        <v>4.08</v>
      </c>
      <c r="K938" s="276">
        <v>312</v>
      </c>
      <c r="L938" s="278">
        <v>21.807692307692307</v>
      </c>
      <c r="M938" s="279">
        <v>0</v>
      </c>
      <c r="N938" s="277">
        <v>0</v>
      </c>
      <c r="O938" s="280" t="s">
        <v>888</v>
      </c>
      <c r="P938" s="279">
        <v>0</v>
      </c>
      <c r="Q938" s="281">
        <v>0</v>
      </c>
      <c r="R938" s="282" t="s">
        <v>889</v>
      </c>
      <c r="S938" s="274" t="s">
        <v>1829</v>
      </c>
      <c r="T938" s="44">
        <v>1</v>
      </c>
      <c r="U938" s="283">
        <v>45</v>
      </c>
      <c r="V938" s="284">
        <v>16</v>
      </c>
      <c r="W938" s="285" t="s">
        <v>889</v>
      </c>
      <c r="X938" s="286" t="s">
        <v>889</v>
      </c>
      <c r="Y938" s="287">
        <v>0</v>
      </c>
      <c r="Z938" s="287" t="s">
        <v>889</v>
      </c>
      <c r="AA938" s="286" t="s">
        <v>889</v>
      </c>
      <c r="AB938" s="287">
        <v>0</v>
      </c>
      <c r="AC938" s="287"/>
      <c r="AD938" s="288" t="s">
        <v>889</v>
      </c>
      <c r="AE938" s="289" t="s">
        <v>889</v>
      </c>
      <c r="AF938" s="279">
        <v>104</v>
      </c>
      <c r="AG938" s="282">
        <v>45014</v>
      </c>
      <c r="AH938" s="282">
        <v>44294</v>
      </c>
      <c r="AI938" s="282">
        <v>45140</v>
      </c>
      <c r="AJ938" s="282" t="s">
        <v>889</v>
      </c>
      <c r="AK938" s="274"/>
    </row>
    <row r="939" spans="1:37" x14ac:dyDescent="0.3">
      <c r="A939" s="273">
        <v>141253</v>
      </c>
      <c r="B939" s="274" t="s">
        <v>2031</v>
      </c>
      <c r="C939" s="146" t="s">
        <v>301</v>
      </c>
      <c r="D939" s="275">
        <v>138.5</v>
      </c>
      <c r="E939" s="274"/>
      <c r="F939" s="274"/>
      <c r="G939" s="274" t="s">
        <v>889</v>
      </c>
      <c r="H939" s="276">
        <v>190</v>
      </c>
      <c r="I939" s="24">
        <v>103003</v>
      </c>
      <c r="J939" s="277">
        <v>138.5</v>
      </c>
      <c r="K939" s="276">
        <v>157</v>
      </c>
      <c r="L939" s="278">
        <v>12.811867835468643</v>
      </c>
      <c r="M939" s="279">
        <v>0</v>
      </c>
      <c r="N939" s="277">
        <v>0</v>
      </c>
      <c r="O939" s="280" t="s">
        <v>888</v>
      </c>
      <c r="P939" s="279">
        <v>0</v>
      </c>
      <c r="Q939" s="281">
        <v>0</v>
      </c>
      <c r="R939" s="282" t="s">
        <v>889</v>
      </c>
      <c r="S939" s="274" t="s">
        <v>1520</v>
      </c>
      <c r="T939" s="44">
        <v>1</v>
      </c>
      <c r="U939" s="283">
        <v>76</v>
      </c>
      <c r="V939" s="284">
        <v>13</v>
      </c>
      <c r="W939" s="285" t="s">
        <v>889</v>
      </c>
      <c r="X939" s="286" t="s">
        <v>889</v>
      </c>
      <c r="Y939" s="287">
        <v>0</v>
      </c>
      <c r="Z939" s="287" t="s">
        <v>889</v>
      </c>
      <c r="AA939" s="286" t="s">
        <v>889</v>
      </c>
      <c r="AB939" s="287">
        <v>0</v>
      </c>
      <c r="AC939" s="287"/>
      <c r="AD939" s="288" t="s">
        <v>889</v>
      </c>
      <c r="AE939" s="289" t="s">
        <v>889</v>
      </c>
      <c r="AF939" s="279">
        <v>60</v>
      </c>
      <c r="AG939" s="282">
        <v>45201</v>
      </c>
      <c r="AH939" s="282">
        <v>44355</v>
      </c>
      <c r="AI939" s="282">
        <v>45181</v>
      </c>
      <c r="AJ939" s="282" t="s">
        <v>889</v>
      </c>
      <c r="AK939" s="274"/>
    </row>
    <row r="940" spans="1:37" x14ac:dyDescent="0.3">
      <c r="A940" s="273">
        <v>141265</v>
      </c>
      <c r="B940" s="274" t="s">
        <v>2032</v>
      </c>
      <c r="C940" s="146" t="s">
        <v>301</v>
      </c>
      <c r="D940" s="275">
        <v>75.5</v>
      </c>
      <c r="E940" s="274"/>
      <c r="F940" s="274"/>
      <c r="G940" s="274" t="s">
        <v>889</v>
      </c>
      <c r="H940" s="276">
        <v>74</v>
      </c>
      <c r="I940" s="24">
        <v>103003</v>
      </c>
      <c r="J940" s="277">
        <v>71.779300000000006</v>
      </c>
      <c r="K940" s="276">
        <v>81</v>
      </c>
      <c r="L940" s="278">
        <v>9.5483870967741939</v>
      </c>
      <c r="M940" s="279">
        <v>19</v>
      </c>
      <c r="N940" s="277">
        <v>1434.5</v>
      </c>
      <c r="O940" s="280" t="s">
        <v>888</v>
      </c>
      <c r="P940" s="279">
        <v>0</v>
      </c>
      <c r="Q940" s="281">
        <v>0</v>
      </c>
      <c r="R940" s="282" t="s">
        <v>889</v>
      </c>
      <c r="S940" s="274" t="s">
        <v>2033</v>
      </c>
      <c r="T940" s="44">
        <v>1</v>
      </c>
      <c r="U940" s="283">
        <v>76</v>
      </c>
      <c r="V940" s="284">
        <v>3</v>
      </c>
      <c r="W940" s="285" t="s">
        <v>889</v>
      </c>
      <c r="X940" s="286" t="s">
        <v>889</v>
      </c>
      <c r="Y940" s="287">
        <v>0</v>
      </c>
      <c r="Z940" s="287" t="s">
        <v>889</v>
      </c>
      <c r="AA940" s="286" t="s">
        <v>889</v>
      </c>
      <c r="AB940" s="287">
        <v>0</v>
      </c>
      <c r="AC940" s="287"/>
      <c r="AD940" s="288" t="s">
        <v>889</v>
      </c>
      <c r="AE940" s="289" t="s">
        <v>889</v>
      </c>
      <c r="AF940" s="279">
        <v>32</v>
      </c>
      <c r="AG940" s="282">
        <v>44784</v>
      </c>
      <c r="AH940" s="282">
        <v>44355</v>
      </c>
      <c r="AI940" s="282">
        <v>44586</v>
      </c>
      <c r="AJ940" s="282" t="s">
        <v>889</v>
      </c>
      <c r="AK940" s="274"/>
    </row>
    <row r="941" spans="1:37" x14ac:dyDescent="0.3">
      <c r="A941" s="273">
        <v>141266</v>
      </c>
      <c r="B941" s="274" t="s">
        <v>2034</v>
      </c>
      <c r="C941" s="146" t="s">
        <v>301</v>
      </c>
      <c r="D941" s="275">
        <v>65</v>
      </c>
      <c r="E941" s="274"/>
      <c r="F941" s="274"/>
      <c r="G941" s="274" t="s">
        <v>889</v>
      </c>
      <c r="H941" s="276">
        <v>109</v>
      </c>
      <c r="I941" s="24">
        <v>103003</v>
      </c>
      <c r="J941" s="277">
        <v>65</v>
      </c>
      <c r="K941" s="276">
        <v>61</v>
      </c>
      <c r="L941" s="278">
        <v>19.534050179211469</v>
      </c>
      <c r="M941" s="279">
        <v>0</v>
      </c>
      <c r="N941" s="277">
        <v>0</v>
      </c>
      <c r="O941" s="280" t="s">
        <v>888</v>
      </c>
      <c r="P941" s="279">
        <v>0</v>
      </c>
      <c r="Q941" s="281">
        <v>0</v>
      </c>
      <c r="R941" s="282" t="s">
        <v>889</v>
      </c>
      <c r="S941" s="274" t="s">
        <v>2033</v>
      </c>
      <c r="T941" s="44">
        <v>1</v>
      </c>
      <c r="U941" s="283">
        <v>76</v>
      </c>
      <c r="V941" s="284">
        <v>3</v>
      </c>
      <c r="W941" s="285" t="s">
        <v>889</v>
      </c>
      <c r="X941" s="286" t="s">
        <v>889</v>
      </c>
      <c r="Y941" s="287">
        <v>0</v>
      </c>
      <c r="Z941" s="287">
        <v>11620</v>
      </c>
      <c r="AA941" s="286">
        <v>2023</v>
      </c>
      <c r="AB941" s="287">
        <v>50</v>
      </c>
      <c r="AC941" s="287">
        <v>50</v>
      </c>
      <c r="AD941" s="288" t="s">
        <v>2059</v>
      </c>
      <c r="AE941" s="289">
        <v>45247</v>
      </c>
      <c r="AF941" s="279">
        <v>22</v>
      </c>
      <c r="AG941" s="282">
        <v>44635</v>
      </c>
      <c r="AH941" s="282">
        <v>44355</v>
      </c>
      <c r="AI941" s="282">
        <v>45181</v>
      </c>
      <c r="AJ941" s="282" t="s">
        <v>889</v>
      </c>
      <c r="AK941" s="274"/>
    </row>
    <row r="942" spans="1:37" x14ac:dyDescent="0.3">
      <c r="A942" s="273">
        <v>141268</v>
      </c>
      <c r="B942" s="274" t="s">
        <v>2035</v>
      </c>
      <c r="C942" s="146" t="s">
        <v>301</v>
      </c>
      <c r="D942" s="275">
        <v>68.39</v>
      </c>
      <c r="E942" s="274"/>
      <c r="F942" s="274"/>
      <c r="G942" s="274" t="s">
        <v>889</v>
      </c>
      <c r="H942" s="276">
        <v>354</v>
      </c>
      <c r="I942" s="24">
        <v>103003</v>
      </c>
      <c r="J942" s="277">
        <v>68.39</v>
      </c>
      <c r="K942" s="276">
        <v>615</v>
      </c>
      <c r="L942" s="278">
        <v>4.5577443028196214</v>
      </c>
      <c r="M942" s="279">
        <v>78.040000000000006</v>
      </c>
      <c r="N942" s="277">
        <v>5337.1556</v>
      </c>
      <c r="O942" s="280" t="s">
        <v>888</v>
      </c>
      <c r="P942" s="279">
        <v>0</v>
      </c>
      <c r="Q942" s="281">
        <v>0</v>
      </c>
      <c r="R942" s="282" t="s">
        <v>889</v>
      </c>
      <c r="S942" s="274" t="s">
        <v>2033</v>
      </c>
      <c r="T942" s="44">
        <v>1</v>
      </c>
      <c r="U942" s="283">
        <v>76</v>
      </c>
      <c r="V942" s="284">
        <v>3</v>
      </c>
      <c r="W942" s="285" t="s">
        <v>889</v>
      </c>
      <c r="X942" s="286" t="s">
        <v>889</v>
      </c>
      <c r="Y942" s="287">
        <v>0</v>
      </c>
      <c r="Z942" s="287">
        <v>11623</v>
      </c>
      <c r="AA942" s="286">
        <v>2023</v>
      </c>
      <c r="AB942" s="287">
        <v>500</v>
      </c>
      <c r="AC942" s="287">
        <v>500</v>
      </c>
      <c r="AD942" s="288" t="s">
        <v>2059</v>
      </c>
      <c r="AE942" s="289">
        <v>45247</v>
      </c>
      <c r="AF942" s="279">
        <v>310</v>
      </c>
      <c r="AG942" s="282">
        <v>44628</v>
      </c>
      <c r="AH942" s="282">
        <v>44355</v>
      </c>
      <c r="AI942" s="282">
        <v>45182</v>
      </c>
      <c r="AJ942" s="282" t="s">
        <v>889</v>
      </c>
      <c r="AK942" s="274"/>
    </row>
    <row r="943" spans="1:37" x14ac:dyDescent="0.3">
      <c r="A943" s="273">
        <v>141270</v>
      </c>
      <c r="B943" s="274" t="s">
        <v>2036</v>
      </c>
      <c r="C943" s="146" t="s">
        <v>301</v>
      </c>
      <c r="D943" s="275">
        <v>96.26</v>
      </c>
      <c r="E943" s="274"/>
      <c r="F943" s="274"/>
      <c r="G943" s="274" t="s">
        <v>889</v>
      </c>
      <c r="H943" s="276">
        <v>22</v>
      </c>
      <c r="I943" s="24">
        <v>103003</v>
      </c>
      <c r="J943" s="277">
        <v>96.26</v>
      </c>
      <c r="K943" s="276">
        <v>40</v>
      </c>
      <c r="L943" s="278">
        <v>6.2857142857142856</v>
      </c>
      <c r="M943" s="279">
        <v>20</v>
      </c>
      <c r="N943" s="277">
        <v>1925.2</v>
      </c>
      <c r="O943" s="280" t="s">
        <v>888</v>
      </c>
      <c r="P943" s="279">
        <v>0</v>
      </c>
      <c r="Q943" s="281">
        <v>0</v>
      </c>
      <c r="R943" s="282" t="s">
        <v>889</v>
      </c>
      <c r="S943" s="274" t="s">
        <v>1071</v>
      </c>
      <c r="T943" s="44">
        <v>1</v>
      </c>
      <c r="U943" s="283">
        <v>76</v>
      </c>
      <c r="V943" s="284">
        <v>5</v>
      </c>
      <c r="W943" s="285" t="s">
        <v>889</v>
      </c>
      <c r="X943" s="286" t="s">
        <v>889</v>
      </c>
      <c r="Y943" s="287">
        <v>0</v>
      </c>
      <c r="Z943" s="287" t="s">
        <v>889</v>
      </c>
      <c r="AA943" s="286" t="s">
        <v>889</v>
      </c>
      <c r="AB943" s="287">
        <v>0</v>
      </c>
      <c r="AC943" s="287"/>
      <c r="AD943" s="288" t="s">
        <v>889</v>
      </c>
      <c r="AE943" s="289" t="s">
        <v>889</v>
      </c>
      <c r="AF943" s="279">
        <v>14</v>
      </c>
      <c r="AG943" s="282">
        <v>45201</v>
      </c>
      <c r="AH943" s="282">
        <v>44355</v>
      </c>
      <c r="AI943" s="282">
        <v>45181</v>
      </c>
      <c r="AJ943" s="282" t="s">
        <v>889</v>
      </c>
      <c r="AK943" s="274"/>
    </row>
    <row r="944" spans="1:37" x14ac:dyDescent="0.3">
      <c r="A944" s="273">
        <v>141418</v>
      </c>
      <c r="B944" s="274" t="s">
        <v>2037</v>
      </c>
      <c r="C944" s="146" t="s">
        <v>263</v>
      </c>
      <c r="D944" s="275">
        <v>31.07</v>
      </c>
      <c r="E944" s="274"/>
      <c r="F944" s="274"/>
      <c r="G944" s="274" t="s">
        <v>889</v>
      </c>
      <c r="H944" s="276">
        <v>857</v>
      </c>
      <c r="I944" s="24">
        <v>103003</v>
      </c>
      <c r="J944" s="277">
        <v>31.07</v>
      </c>
      <c r="K944" s="276">
        <v>388</v>
      </c>
      <c r="L944" s="278">
        <v>10.052785923753667</v>
      </c>
      <c r="M944" s="279">
        <v>166</v>
      </c>
      <c r="N944" s="277">
        <v>5157.62</v>
      </c>
      <c r="O944" s="280" t="s">
        <v>888</v>
      </c>
      <c r="P944" s="279">
        <v>0</v>
      </c>
      <c r="Q944" s="281">
        <v>0</v>
      </c>
      <c r="R944" s="282" t="s">
        <v>889</v>
      </c>
      <c r="S944" s="274" t="s">
        <v>964</v>
      </c>
      <c r="T944" s="44">
        <v>1</v>
      </c>
      <c r="U944" s="283">
        <v>76</v>
      </c>
      <c r="V944" s="284">
        <v>11</v>
      </c>
      <c r="W944" s="285" t="s">
        <v>889</v>
      </c>
      <c r="X944" s="286" t="s">
        <v>889</v>
      </c>
      <c r="Y944" s="287">
        <v>0</v>
      </c>
      <c r="Z944" s="287" t="s">
        <v>889</v>
      </c>
      <c r="AA944" s="286" t="s">
        <v>889</v>
      </c>
      <c r="AB944" s="287">
        <v>0</v>
      </c>
      <c r="AC944" s="287"/>
      <c r="AD944" s="288" t="s">
        <v>889</v>
      </c>
      <c r="AE944" s="289" t="s">
        <v>889</v>
      </c>
      <c r="AF944" s="279">
        <v>342</v>
      </c>
      <c r="AG944" s="282">
        <v>44924</v>
      </c>
      <c r="AH944" s="282">
        <v>44362</v>
      </c>
      <c r="AI944" s="282">
        <v>45119</v>
      </c>
      <c r="AJ944" s="282" t="s">
        <v>889</v>
      </c>
      <c r="AK944" s="274"/>
    </row>
    <row r="945" spans="1:37" x14ac:dyDescent="0.3">
      <c r="A945" s="273">
        <v>141429</v>
      </c>
      <c r="B945" s="274" t="s">
        <v>2038</v>
      </c>
      <c r="C945" s="146" t="s">
        <v>31</v>
      </c>
      <c r="D945" s="275">
        <v>22.6</v>
      </c>
      <c r="E945" s="274"/>
      <c r="F945" s="274"/>
      <c r="G945" s="274" t="s">
        <v>889</v>
      </c>
      <c r="H945" s="276">
        <v>607</v>
      </c>
      <c r="I945" s="24">
        <v>103003</v>
      </c>
      <c r="J945" s="277">
        <v>22.6</v>
      </c>
      <c r="K945" s="276">
        <v>295</v>
      </c>
      <c r="L945" s="278">
        <v>12.242839854780154</v>
      </c>
      <c r="M945" s="279">
        <v>0</v>
      </c>
      <c r="N945" s="277">
        <v>0</v>
      </c>
      <c r="O945" s="280" t="s">
        <v>888</v>
      </c>
      <c r="P945" s="279">
        <v>0</v>
      </c>
      <c r="Q945" s="281">
        <v>0</v>
      </c>
      <c r="R945" s="282" t="s">
        <v>889</v>
      </c>
      <c r="S945" s="274" t="s">
        <v>1015</v>
      </c>
      <c r="T945" s="44">
        <v>1</v>
      </c>
      <c r="U945" s="283">
        <v>61</v>
      </c>
      <c r="V945" s="284">
        <v>14</v>
      </c>
      <c r="W945" s="285" t="s">
        <v>889</v>
      </c>
      <c r="X945" s="286" t="s">
        <v>889</v>
      </c>
      <c r="Y945" s="287">
        <v>0</v>
      </c>
      <c r="Z945" s="287" t="s">
        <v>889</v>
      </c>
      <c r="AA945" s="286" t="s">
        <v>889</v>
      </c>
      <c r="AB945" s="287">
        <v>0</v>
      </c>
      <c r="AC945" s="287"/>
      <c r="AD945" s="288" t="s">
        <v>889</v>
      </c>
      <c r="AE945" s="289" t="s">
        <v>889</v>
      </c>
      <c r="AF945" s="279">
        <v>198</v>
      </c>
      <c r="AG945" s="282">
        <v>44609</v>
      </c>
      <c r="AH945" s="282">
        <v>44362</v>
      </c>
      <c r="AI945" s="282">
        <v>44607</v>
      </c>
      <c r="AJ945" s="282" t="s">
        <v>889</v>
      </c>
      <c r="AK945" s="274"/>
    </row>
    <row r="946" spans="1:37" x14ac:dyDescent="0.3">
      <c r="A946" s="273">
        <v>141430</v>
      </c>
      <c r="B946" s="274" t="s">
        <v>2039</v>
      </c>
      <c r="C946" s="146" t="s">
        <v>847</v>
      </c>
      <c r="D946" s="275">
        <v>293.3</v>
      </c>
      <c r="E946" s="274"/>
      <c r="F946" s="274"/>
      <c r="G946" s="274" t="s">
        <v>889</v>
      </c>
      <c r="H946" s="276">
        <v>70</v>
      </c>
      <c r="I946" s="24">
        <v>103003</v>
      </c>
      <c r="J946" s="277">
        <v>293.3</v>
      </c>
      <c r="K946" s="276">
        <v>101</v>
      </c>
      <c r="L946" s="278">
        <v>7.7777777777777786</v>
      </c>
      <c r="M946" s="279">
        <v>38</v>
      </c>
      <c r="N946" s="277">
        <v>11145.4</v>
      </c>
      <c r="O946" s="280" t="s">
        <v>888</v>
      </c>
      <c r="P946" s="279">
        <v>0</v>
      </c>
      <c r="Q946" s="281">
        <v>0</v>
      </c>
      <c r="R946" s="282" t="s">
        <v>889</v>
      </c>
      <c r="S946" s="274" t="s">
        <v>1300</v>
      </c>
      <c r="T946" s="44">
        <v>1</v>
      </c>
      <c r="U946" s="283">
        <v>61</v>
      </c>
      <c r="V946" s="284">
        <v>16</v>
      </c>
      <c r="W946" s="285" t="s">
        <v>889</v>
      </c>
      <c r="X946" s="286" t="s">
        <v>889</v>
      </c>
      <c r="Y946" s="287">
        <v>0</v>
      </c>
      <c r="Z946" s="287" t="s">
        <v>889</v>
      </c>
      <c r="AA946" s="286" t="s">
        <v>889</v>
      </c>
      <c r="AB946" s="287">
        <v>0</v>
      </c>
      <c r="AC946" s="287"/>
      <c r="AD946" s="288" t="s">
        <v>889</v>
      </c>
      <c r="AE946" s="289" t="s">
        <v>889</v>
      </c>
      <c r="AF946" s="279">
        <v>36</v>
      </c>
      <c r="AG946" s="282">
        <v>44641</v>
      </c>
      <c r="AH946" s="282">
        <v>44362</v>
      </c>
      <c r="AI946" s="282">
        <v>44615</v>
      </c>
      <c r="AJ946" s="282" t="s">
        <v>889</v>
      </c>
      <c r="AK946" s="274"/>
    </row>
    <row r="947" spans="1:37" x14ac:dyDescent="0.3">
      <c r="A947" s="273">
        <v>141608</v>
      </c>
      <c r="B947" s="274" t="s">
        <v>2040</v>
      </c>
      <c r="C947" s="146" t="s">
        <v>287</v>
      </c>
      <c r="D947" s="275">
        <v>303</v>
      </c>
      <c r="E947" s="274"/>
      <c r="F947" s="274"/>
      <c r="G947" s="274" t="s">
        <v>889</v>
      </c>
      <c r="H947" s="276">
        <v>55</v>
      </c>
      <c r="I947" s="24">
        <v>103003</v>
      </c>
      <c r="J947" s="277">
        <v>303</v>
      </c>
      <c r="K947" s="276">
        <v>33</v>
      </c>
      <c r="L947" s="278">
        <v>20</v>
      </c>
      <c r="M947" s="279">
        <v>0</v>
      </c>
      <c r="N947" s="277">
        <v>0</v>
      </c>
      <c r="O947" s="280" t="s">
        <v>888</v>
      </c>
      <c r="P947" s="279">
        <v>0</v>
      </c>
      <c r="Q947" s="281">
        <v>0</v>
      </c>
      <c r="R947" s="282" t="s">
        <v>889</v>
      </c>
      <c r="S947" s="274" t="s">
        <v>1391</v>
      </c>
      <c r="T947" s="44">
        <v>1</v>
      </c>
      <c r="U947" s="283">
        <v>76</v>
      </c>
      <c r="V947" s="284">
        <v>9</v>
      </c>
      <c r="W947" s="285" t="s">
        <v>889</v>
      </c>
      <c r="X947" s="286" t="s">
        <v>889</v>
      </c>
      <c r="Y947" s="287">
        <v>0</v>
      </c>
      <c r="Z947" s="287" t="s">
        <v>889</v>
      </c>
      <c r="AA947" s="286" t="s">
        <v>889</v>
      </c>
      <c r="AB947" s="287">
        <v>0</v>
      </c>
      <c r="AC947" s="287"/>
      <c r="AD947" s="288" t="s">
        <v>889</v>
      </c>
      <c r="AE947" s="289" t="s">
        <v>889</v>
      </c>
      <c r="AF947" s="279">
        <v>12</v>
      </c>
      <c r="AG947" s="282">
        <v>44799</v>
      </c>
      <c r="AH947" s="282">
        <v>44371</v>
      </c>
      <c r="AI947" s="282">
        <v>44915</v>
      </c>
      <c r="AJ947" s="282" t="s">
        <v>889</v>
      </c>
      <c r="AK947" s="274"/>
    </row>
    <row r="948" spans="1:37" x14ac:dyDescent="0.3">
      <c r="A948" s="273">
        <v>141615</v>
      </c>
      <c r="B948" s="274" t="s">
        <v>2041</v>
      </c>
      <c r="C948" s="146" t="s">
        <v>287</v>
      </c>
      <c r="D948" s="275">
        <v>299.98</v>
      </c>
      <c r="E948" s="274"/>
      <c r="F948" s="274"/>
      <c r="G948" s="274" t="s">
        <v>889</v>
      </c>
      <c r="H948" s="276">
        <v>61</v>
      </c>
      <c r="I948" s="24">
        <v>103003</v>
      </c>
      <c r="J948" s="277">
        <v>299.98</v>
      </c>
      <c r="K948" s="276">
        <v>55</v>
      </c>
      <c r="L948" s="278">
        <v>11.254612546125459</v>
      </c>
      <c r="M948" s="279">
        <v>0</v>
      </c>
      <c r="N948" s="277">
        <v>0</v>
      </c>
      <c r="O948" s="280" t="s">
        <v>888</v>
      </c>
      <c r="P948" s="279">
        <v>0</v>
      </c>
      <c r="Q948" s="281">
        <v>0</v>
      </c>
      <c r="R948" s="282" t="s">
        <v>889</v>
      </c>
      <c r="S948" s="274" t="s">
        <v>974</v>
      </c>
      <c r="T948" s="44">
        <v>1</v>
      </c>
      <c r="U948" s="283">
        <v>76</v>
      </c>
      <c r="V948" s="284">
        <v>10</v>
      </c>
      <c r="W948" s="285" t="s">
        <v>889</v>
      </c>
      <c r="X948" s="286" t="s">
        <v>889</v>
      </c>
      <c r="Y948" s="287">
        <v>0</v>
      </c>
      <c r="Z948" s="287">
        <v>11620</v>
      </c>
      <c r="AA948" s="286">
        <v>2023</v>
      </c>
      <c r="AB948" s="287">
        <v>50</v>
      </c>
      <c r="AC948" s="287">
        <v>50</v>
      </c>
      <c r="AD948" s="288" t="s">
        <v>2059</v>
      </c>
      <c r="AE948" s="289">
        <v>45247</v>
      </c>
      <c r="AF948" s="279">
        <v>22</v>
      </c>
      <c r="AG948" s="282">
        <v>44838</v>
      </c>
      <c r="AH948" s="282">
        <v>44371</v>
      </c>
      <c r="AI948" s="282">
        <v>45181</v>
      </c>
      <c r="AJ948" s="282" t="s">
        <v>889</v>
      </c>
      <c r="AK948" s="274"/>
    </row>
    <row r="949" spans="1:37" x14ac:dyDescent="0.3">
      <c r="A949" s="273">
        <v>141679</v>
      </c>
      <c r="B949" s="274" t="s">
        <v>2042</v>
      </c>
      <c r="C949" s="146" t="s">
        <v>301</v>
      </c>
      <c r="D949" s="275">
        <v>90</v>
      </c>
      <c r="E949" s="274"/>
      <c r="F949" s="274"/>
      <c r="G949" s="274" t="s">
        <v>889</v>
      </c>
      <c r="H949" s="276">
        <v>143</v>
      </c>
      <c r="I949" s="24">
        <v>103003</v>
      </c>
      <c r="J949" s="277">
        <v>90</v>
      </c>
      <c r="K949" s="276">
        <v>45</v>
      </c>
      <c r="L949" s="278">
        <v>27.238095238095237</v>
      </c>
      <c r="M949" s="279">
        <v>0</v>
      </c>
      <c r="N949" s="277">
        <v>0</v>
      </c>
      <c r="O949" s="280" t="s">
        <v>888</v>
      </c>
      <c r="P949" s="279">
        <v>0</v>
      </c>
      <c r="Q949" s="281">
        <v>0</v>
      </c>
      <c r="R949" s="282" t="s">
        <v>889</v>
      </c>
      <c r="S949" s="274" t="s">
        <v>2033</v>
      </c>
      <c r="T949" s="44">
        <v>1</v>
      </c>
      <c r="U949" s="283">
        <v>76</v>
      </c>
      <c r="V949" s="284">
        <v>3</v>
      </c>
      <c r="W949" s="285" t="s">
        <v>889</v>
      </c>
      <c r="X949" s="286" t="s">
        <v>889</v>
      </c>
      <c r="Y949" s="287">
        <v>0</v>
      </c>
      <c r="Z949" s="287">
        <v>11621</v>
      </c>
      <c r="AA949" s="286">
        <v>2023</v>
      </c>
      <c r="AB949" s="287">
        <v>50</v>
      </c>
      <c r="AC949" s="287">
        <v>50</v>
      </c>
      <c r="AD949" s="288" t="s">
        <v>2059</v>
      </c>
      <c r="AE949" s="289">
        <v>45247</v>
      </c>
      <c r="AF949" s="279">
        <v>22</v>
      </c>
      <c r="AG949" s="282">
        <v>44652</v>
      </c>
      <c r="AH949" s="282">
        <v>44375</v>
      </c>
      <c r="AI949" s="282">
        <v>45181</v>
      </c>
      <c r="AJ949" s="282" t="s">
        <v>889</v>
      </c>
      <c r="AK949" s="274"/>
    </row>
    <row r="950" spans="1:37" x14ac:dyDescent="0.3">
      <c r="A950" s="273">
        <v>141680</v>
      </c>
      <c r="B950" s="274" t="s">
        <v>2043</v>
      </c>
      <c r="C950" s="146" t="s">
        <v>301</v>
      </c>
      <c r="D950" s="275">
        <v>119.9</v>
      </c>
      <c r="E950" s="274"/>
      <c r="F950" s="274"/>
      <c r="G950" s="274" t="s">
        <v>889</v>
      </c>
      <c r="H950" s="276">
        <v>430</v>
      </c>
      <c r="I950" s="24">
        <v>103003</v>
      </c>
      <c r="J950" s="277">
        <v>119.9</v>
      </c>
      <c r="K950" s="276">
        <v>582</v>
      </c>
      <c r="L950" s="278">
        <v>2.921791125908813</v>
      </c>
      <c r="M950" s="279">
        <v>1136.04</v>
      </c>
      <c r="N950" s="277">
        <v>136211.196</v>
      </c>
      <c r="O950" s="280" t="s">
        <v>888</v>
      </c>
      <c r="P950" s="279">
        <v>0</v>
      </c>
      <c r="Q950" s="281">
        <v>0</v>
      </c>
      <c r="R950" s="282" t="s">
        <v>889</v>
      </c>
      <c r="S950" s="274" t="s">
        <v>2033</v>
      </c>
      <c r="T950" s="44">
        <v>1</v>
      </c>
      <c r="U950" s="283">
        <v>76</v>
      </c>
      <c r="V950" s="284">
        <v>3</v>
      </c>
      <c r="W950" s="285" t="s">
        <v>889</v>
      </c>
      <c r="X950" s="286" t="s">
        <v>889</v>
      </c>
      <c r="Y950" s="287">
        <v>0</v>
      </c>
      <c r="Z950" s="287">
        <v>11626</v>
      </c>
      <c r="AA950" s="286">
        <v>2023</v>
      </c>
      <c r="AB950" s="287">
        <v>200</v>
      </c>
      <c r="AC950" s="287">
        <v>200</v>
      </c>
      <c r="AD950" s="288" t="s">
        <v>2059</v>
      </c>
      <c r="AE950" s="289">
        <v>45247</v>
      </c>
      <c r="AF950" s="279">
        <v>255</v>
      </c>
      <c r="AG950" s="282">
        <v>44784</v>
      </c>
      <c r="AH950" s="282">
        <v>44375</v>
      </c>
      <c r="AI950" s="282">
        <v>45173</v>
      </c>
      <c r="AJ950" s="282" t="s">
        <v>889</v>
      </c>
      <c r="AK950" s="274"/>
    </row>
    <row r="951" spans="1:37" x14ac:dyDescent="0.3">
      <c r="A951" s="273">
        <v>141681</v>
      </c>
      <c r="B951" s="274" t="s">
        <v>2044</v>
      </c>
      <c r="C951" s="146" t="s">
        <v>301</v>
      </c>
      <c r="D951" s="275">
        <v>75</v>
      </c>
      <c r="E951" s="274"/>
      <c r="F951" s="274"/>
      <c r="G951" s="274" t="s">
        <v>889</v>
      </c>
      <c r="H951" s="276">
        <v>113</v>
      </c>
      <c r="I951" s="24">
        <v>103003</v>
      </c>
      <c r="J951" s="277">
        <v>88.772729999999996</v>
      </c>
      <c r="K951" s="276">
        <v>25</v>
      </c>
      <c r="L951" s="278">
        <v>52.073732718894007</v>
      </c>
      <c r="M951" s="279">
        <v>0</v>
      </c>
      <c r="N951" s="277">
        <v>0</v>
      </c>
      <c r="O951" s="280" t="s">
        <v>888</v>
      </c>
      <c r="P951" s="279">
        <v>0</v>
      </c>
      <c r="Q951" s="281">
        <v>0</v>
      </c>
      <c r="R951" s="282" t="s">
        <v>889</v>
      </c>
      <c r="S951" s="274" t="s">
        <v>2033</v>
      </c>
      <c r="T951" s="44">
        <v>1</v>
      </c>
      <c r="U951" s="283">
        <v>76</v>
      </c>
      <c r="V951" s="284">
        <v>3</v>
      </c>
      <c r="W951" s="285" t="s">
        <v>889</v>
      </c>
      <c r="X951" s="286" t="s">
        <v>889</v>
      </c>
      <c r="Y951" s="287">
        <v>0</v>
      </c>
      <c r="Z951" s="287" t="s">
        <v>889</v>
      </c>
      <c r="AA951" s="286" t="s">
        <v>889</v>
      </c>
      <c r="AB951" s="287">
        <v>0</v>
      </c>
      <c r="AC951" s="287"/>
      <c r="AD951" s="288" t="s">
        <v>889</v>
      </c>
      <c r="AE951" s="289" t="s">
        <v>889</v>
      </c>
      <c r="AF951" s="279">
        <v>8</v>
      </c>
      <c r="AG951" s="282">
        <v>44676</v>
      </c>
      <c r="AH951" s="282">
        <v>44375</v>
      </c>
      <c r="AI951" s="282">
        <v>44586</v>
      </c>
      <c r="AJ951" s="282" t="s">
        <v>889</v>
      </c>
      <c r="AK951" s="274"/>
    </row>
    <row r="952" spans="1:37" x14ac:dyDescent="0.3">
      <c r="A952" s="273">
        <v>141786</v>
      </c>
      <c r="B952" s="274" t="s">
        <v>2045</v>
      </c>
      <c r="C952" s="146" t="s">
        <v>287</v>
      </c>
      <c r="D952" s="275">
        <v>535</v>
      </c>
      <c r="E952" s="274"/>
      <c r="F952" s="274"/>
      <c r="G952" s="274" t="s">
        <v>889</v>
      </c>
      <c r="H952" s="276">
        <v>243</v>
      </c>
      <c r="I952" s="24">
        <v>103003</v>
      </c>
      <c r="J952" s="277">
        <v>515.79926</v>
      </c>
      <c r="K952" s="276">
        <v>24</v>
      </c>
      <c r="L952" s="278">
        <v>88.36363636363636</v>
      </c>
      <c r="M952" s="279">
        <v>0</v>
      </c>
      <c r="N952" s="277">
        <v>0</v>
      </c>
      <c r="O952" s="280" t="s">
        <v>888</v>
      </c>
      <c r="P952" s="279">
        <v>0</v>
      </c>
      <c r="Q952" s="281">
        <v>0</v>
      </c>
      <c r="R952" s="282" t="s">
        <v>889</v>
      </c>
      <c r="S952" s="274" t="s">
        <v>974</v>
      </c>
      <c r="T952" s="44">
        <v>1</v>
      </c>
      <c r="U952" s="283">
        <v>76</v>
      </c>
      <c r="V952" s="284">
        <v>10</v>
      </c>
      <c r="W952" s="285" t="s">
        <v>889</v>
      </c>
      <c r="X952" s="286" t="s">
        <v>889</v>
      </c>
      <c r="Y952" s="287">
        <v>0</v>
      </c>
      <c r="Z952" s="287" t="s">
        <v>889</v>
      </c>
      <c r="AA952" s="286" t="s">
        <v>889</v>
      </c>
      <c r="AB952" s="287">
        <v>0</v>
      </c>
      <c r="AC952" s="287"/>
      <c r="AD952" s="288" t="s">
        <v>889</v>
      </c>
      <c r="AE952" s="289" t="s">
        <v>889</v>
      </c>
      <c r="AF952" s="279">
        <v>12</v>
      </c>
      <c r="AG952" s="282">
        <v>44613</v>
      </c>
      <c r="AH952" s="282">
        <v>44375</v>
      </c>
      <c r="AI952" s="282">
        <v>44586</v>
      </c>
      <c r="AJ952" s="282" t="s">
        <v>889</v>
      </c>
      <c r="AK952" s="274"/>
    </row>
    <row r="953" spans="1:37" x14ac:dyDescent="0.3">
      <c r="A953" s="273">
        <v>141787</v>
      </c>
      <c r="B953" s="274" t="s">
        <v>2046</v>
      </c>
      <c r="C953" s="146" t="s">
        <v>287</v>
      </c>
      <c r="D953" s="275">
        <v>692.83</v>
      </c>
      <c r="E953" s="274"/>
      <c r="F953" s="274"/>
      <c r="G953" s="274" t="s">
        <v>889</v>
      </c>
      <c r="H953" s="276">
        <v>271</v>
      </c>
      <c r="I953" s="24">
        <v>103003</v>
      </c>
      <c r="J953" s="277">
        <v>692.83</v>
      </c>
      <c r="K953" s="276">
        <v>233</v>
      </c>
      <c r="L953" s="278">
        <v>9.4821553533939813</v>
      </c>
      <c r="M953" s="279">
        <v>21.96</v>
      </c>
      <c r="N953" s="277">
        <v>15214.5468</v>
      </c>
      <c r="O953" s="280" t="s">
        <v>888</v>
      </c>
      <c r="P953" s="279">
        <v>0</v>
      </c>
      <c r="Q953" s="281">
        <v>0</v>
      </c>
      <c r="R953" s="282" t="s">
        <v>889</v>
      </c>
      <c r="S953" s="274" t="s">
        <v>974</v>
      </c>
      <c r="T953" s="44">
        <v>1</v>
      </c>
      <c r="U953" s="283">
        <v>76</v>
      </c>
      <c r="V953" s="284">
        <v>10</v>
      </c>
      <c r="W953" s="285" t="s">
        <v>889</v>
      </c>
      <c r="X953" s="286" t="s">
        <v>889</v>
      </c>
      <c r="Y953" s="287">
        <v>0</v>
      </c>
      <c r="Z953" s="287">
        <v>11623</v>
      </c>
      <c r="AA953" s="286">
        <v>2023</v>
      </c>
      <c r="AB953" s="287">
        <v>50</v>
      </c>
      <c r="AC953" s="287">
        <v>50</v>
      </c>
      <c r="AD953" s="288" t="s">
        <v>2059</v>
      </c>
      <c r="AE953" s="289">
        <v>45247</v>
      </c>
      <c r="AF953" s="279">
        <v>114</v>
      </c>
      <c r="AG953" s="282">
        <v>44616</v>
      </c>
      <c r="AH953" s="282">
        <v>44375</v>
      </c>
      <c r="AI953" s="282">
        <v>45182</v>
      </c>
      <c r="AJ953" s="282" t="s">
        <v>889</v>
      </c>
      <c r="AK953" s="274"/>
    </row>
    <row r="954" spans="1:37" x14ac:dyDescent="0.3">
      <c r="A954" s="273">
        <v>142982</v>
      </c>
      <c r="B954" s="274" t="s">
        <v>2047</v>
      </c>
      <c r="C954" s="146" t="s">
        <v>263</v>
      </c>
      <c r="D954" s="275">
        <v>233</v>
      </c>
      <c r="E954" s="274"/>
      <c r="F954" s="274"/>
      <c r="G954" s="274" t="s">
        <v>889</v>
      </c>
      <c r="H954" s="276">
        <v>0</v>
      </c>
      <c r="I954" s="24">
        <v>103003</v>
      </c>
      <c r="J954" s="277">
        <v>233</v>
      </c>
      <c r="K954" s="276">
        <v>63</v>
      </c>
      <c r="L954" s="278">
        <v>0</v>
      </c>
      <c r="M954" s="279">
        <v>0</v>
      </c>
      <c r="N954" s="277">
        <v>0</v>
      </c>
      <c r="O954" s="280" t="s">
        <v>888</v>
      </c>
      <c r="P954" s="279">
        <v>0</v>
      </c>
      <c r="Q954" s="281">
        <v>0</v>
      </c>
      <c r="R954" s="282" t="s">
        <v>889</v>
      </c>
      <c r="S954" s="274" t="s">
        <v>2048</v>
      </c>
      <c r="T954" s="44">
        <v>1</v>
      </c>
      <c r="U954" s="283">
        <v>55</v>
      </c>
      <c r="V954" s="284">
        <v>6</v>
      </c>
      <c r="W954" s="285">
        <v>2956</v>
      </c>
      <c r="X954" s="286">
        <v>2023</v>
      </c>
      <c r="Y954" s="287">
        <v>100</v>
      </c>
      <c r="Z954" s="287" t="s">
        <v>889</v>
      </c>
      <c r="AA954" s="286" t="s">
        <v>889</v>
      </c>
      <c r="AB954" s="287">
        <v>0</v>
      </c>
      <c r="AC954" s="287"/>
      <c r="AD954" s="288" t="s">
        <v>889</v>
      </c>
      <c r="AE954" s="289" t="s">
        <v>889</v>
      </c>
      <c r="AF954" s="279">
        <v>24</v>
      </c>
      <c r="AG954" s="282">
        <v>44909</v>
      </c>
      <c r="AH954" s="282">
        <v>44428</v>
      </c>
      <c r="AI954" s="282">
        <v>44845</v>
      </c>
      <c r="AJ954" s="282" t="s">
        <v>889</v>
      </c>
      <c r="AK954" s="274"/>
    </row>
    <row r="955" spans="1:37" x14ac:dyDescent="0.3">
      <c r="A955" s="273">
        <v>143099</v>
      </c>
      <c r="B955" s="274" t="s">
        <v>2049</v>
      </c>
      <c r="C955" s="146" t="s">
        <v>269</v>
      </c>
      <c r="D955" s="275">
        <v>37.5</v>
      </c>
      <c r="E955" s="274"/>
      <c r="F955" s="274"/>
      <c r="G955" s="274" t="s">
        <v>889</v>
      </c>
      <c r="H955" s="276">
        <v>1495</v>
      </c>
      <c r="I955" s="24">
        <v>103003</v>
      </c>
      <c r="J955" s="277">
        <v>37.5</v>
      </c>
      <c r="K955" s="276">
        <v>694</v>
      </c>
      <c r="L955" s="278">
        <v>16.892655367231637</v>
      </c>
      <c r="M955" s="279">
        <v>0</v>
      </c>
      <c r="N955" s="277">
        <v>0</v>
      </c>
      <c r="O955" s="280" t="s">
        <v>888</v>
      </c>
      <c r="P955" s="279">
        <v>0</v>
      </c>
      <c r="Q955" s="281">
        <v>0</v>
      </c>
      <c r="R955" s="282" t="s">
        <v>889</v>
      </c>
      <c r="S955" s="274" t="s">
        <v>1492</v>
      </c>
      <c r="T955" s="44">
        <v>1</v>
      </c>
      <c r="U955" s="283">
        <v>54</v>
      </c>
      <c r="V955" s="284">
        <v>4</v>
      </c>
      <c r="W955" s="285" t="s">
        <v>889</v>
      </c>
      <c r="X955" s="286" t="s">
        <v>889</v>
      </c>
      <c r="Y955" s="287">
        <v>0</v>
      </c>
      <c r="Z955" s="287" t="s">
        <v>889</v>
      </c>
      <c r="AA955" s="286" t="s">
        <v>889</v>
      </c>
      <c r="AB955" s="287">
        <v>0</v>
      </c>
      <c r="AC955" s="287"/>
      <c r="AD955" s="288" t="s">
        <v>889</v>
      </c>
      <c r="AE955" s="289" t="s">
        <v>889</v>
      </c>
      <c r="AF955" s="279">
        <v>354</v>
      </c>
      <c r="AG955" s="282">
        <v>44540</v>
      </c>
      <c r="AH955" s="282">
        <v>44438</v>
      </c>
      <c r="AI955" s="282">
        <v>44519</v>
      </c>
      <c r="AJ955" s="282" t="s">
        <v>889</v>
      </c>
      <c r="AK955" s="274"/>
    </row>
    <row r="956" spans="1:37" x14ac:dyDescent="0.3">
      <c r="A956" s="273">
        <v>144153</v>
      </c>
      <c r="B956" s="274" t="s">
        <v>2050</v>
      </c>
      <c r="C956" s="146" t="s">
        <v>31</v>
      </c>
      <c r="D956" s="275">
        <v>31.45</v>
      </c>
      <c r="E956" s="274"/>
      <c r="F956" s="274"/>
      <c r="G956" s="274" t="s">
        <v>889</v>
      </c>
      <c r="H956" s="276">
        <v>373</v>
      </c>
      <c r="I956" s="24">
        <v>103003</v>
      </c>
      <c r="J956" s="277">
        <v>31.45</v>
      </c>
      <c r="K956" s="276">
        <v>598</v>
      </c>
      <c r="L956" s="278">
        <v>5.5464684014869894</v>
      </c>
      <c r="M956" s="279">
        <v>434</v>
      </c>
      <c r="N956" s="277">
        <v>13649.3</v>
      </c>
      <c r="O956" s="280" t="s">
        <v>888</v>
      </c>
      <c r="P956" s="279">
        <v>0</v>
      </c>
      <c r="Q956" s="281">
        <v>0</v>
      </c>
      <c r="R956" s="282" t="s">
        <v>889</v>
      </c>
      <c r="S956" s="274" t="s">
        <v>1446</v>
      </c>
      <c r="T956" s="44">
        <v>1</v>
      </c>
      <c r="U956" s="283">
        <v>51</v>
      </c>
      <c r="V956" s="284">
        <v>36</v>
      </c>
      <c r="W956" s="285" t="s">
        <v>889</v>
      </c>
      <c r="X956" s="286" t="s">
        <v>889</v>
      </c>
      <c r="Y956" s="287">
        <v>0</v>
      </c>
      <c r="Z956" s="287" t="s">
        <v>889</v>
      </c>
      <c r="AA956" s="286" t="s">
        <v>889</v>
      </c>
      <c r="AB956" s="287">
        <v>0</v>
      </c>
      <c r="AC956" s="287"/>
      <c r="AD956" s="288" t="s">
        <v>889</v>
      </c>
      <c r="AE956" s="289" t="s">
        <v>889</v>
      </c>
      <c r="AF956" s="279">
        <v>270</v>
      </c>
      <c r="AG956" s="282">
        <v>44844</v>
      </c>
      <c r="AH956" s="282">
        <v>44700</v>
      </c>
      <c r="AI956" s="282">
        <v>45145</v>
      </c>
      <c r="AJ956" s="282" t="s">
        <v>889</v>
      </c>
      <c r="AK956" s="274"/>
    </row>
  </sheetData>
  <sortState xmlns:xlrd2="http://schemas.microsoft.com/office/spreadsheetml/2017/richdata2" ref="A3:AK956">
    <sortCondition ref="A2:A956"/>
    <sortCondition ref="AA2:AA956"/>
    <sortCondition ref="Z2:Z956"/>
    <sortCondition ref="X2:X956"/>
    <sortCondition ref="W2:W956"/>
  </sortState>
  <conditionalFormatting sqref="W3:W956">
    <cfRule type="notContainsBlanks" dxfId="205" priority="294">
      <formula>LEN(TRIM(W3))&gt;0</formula>
    </cfRule>
  </conditionalFormatting>
  <conditionalFormatting sqref="X3:X956">
    <cfRule type="notContainsBlanks" dxfId="204" priority="293">
      <formula>LEN(TRIM(X3))&gt;0</formula>
    </cfRule>
  </conditionalFormatting>
  <conditionalFormatting sqref="Y3:Y956">
    <cfRule type="cellIs" dxfId="203" priority="290" operator="greaterThan">
      <formula>0</formula>
    </cfRule>
  </conditionalFormatting>
  <conditionalFormatting sqref="Z3:Z956">
    <cfRule type="notContainsBlanks" dxfId="202" priority="289">
      <formula>LEN(TRIM(Z3))&gt;0</formula>
    </cfRule>
  </conditionalFormatting>
  <conditionalFormatting sqref="AA3:AA956">
    <cfRule type="notContainsBlanks" dxfId="201" priority="287">
      <formula>LEN(TRIM(AA3))&gt;0</formula>
    </cfRule>
  </conditionalFormatting>
  <conditionalFormatting sqref="AB3:AB956">
    <cfRule type="cellIs" dxfId="200" priority="286" operator="greaterThan">
      <formula>0</formula>
    </cfRule>
  </conditionalFormatting>
  <conditionalFormatting sqref="AC3:AC956">
    <cfRule type="cellIs" dxfId="199" priority="285" operator="greaterThan">
      <formula>0</formula>
    </cfRule>
  </conditionalFormatting>
  <conditionalFormatting sqref="O3:O956">
    <cfRule type="cellIs" dxfId="198" priority="1" operator="lessThan">
      <formula>0</formula>
    </cfRule>
    <cfRule type="cellIs" dxfId="197" priority="2" operator="lessThan">
      <formula>0</formula>
    </cfRule>
    <cfRule type="cellIs" dxfId="196" priority="3" operator="lessThan">
      <formula>0</formula>
    </cfRule>
    <cfRule type="cellIs" dxfId="195" priority="4" operator="lessThan">
      <formula>0</formula>
    </cfRule>
    <cfRule type="cellIs" dxfId="194" priority="5" operator="lessThan">
      <formula>0</formula>
    </cfRule>
    <cfRule type="cellIs" dxfId="193" priority="6" operator="lessThan">
      <formula>0</formula>
    </cfRule>
    <cfRule type="cellIs" dxfId="192" priority="7" operator="lessThan">
      <formula>0</formula>
    </cfRule>
    <cfRule type="cellIs" dxfId="191" priority="8" operator="lessThan">
      <formula>0</formula>
    </cfRule>
    <cfRule type="cellIs" dxfId="190" priority="9" operator="lessThan">
      <formula>0</formula>
    </cfRule>
    <cfRule type="cellIs" dxfId="189" priority="110"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1" r:id="rId4" name="btn_RC_AF_CopiAta">
          <controlPr defaultSize="0" autoLine="0" r:id="rId5">
            <anchor moveWithCells="1">
              <from>
                <xdr:col>1</xdr:col>
                <xdr:colOff>83820</xdr:colOff>
                <xdr:row>0</xdr:row>
                <xdr:rowOff>53340</xdr:rowOff>
              </from>
              <to>
                <xdr:col>1</xdr:col>
                <xdr:colOff>1668780</xdr:colOff>
                <xdr:row>0</xdr:row>
                <xdr:rowOff>533400</xdr:rowOff>
              </to>
            </anchor>
          </controlPr>
        </control>
      </mc:Choice>
      <mc:Fallback>
        <control shapeId="2351611" r:id="rId4" name="btn_RC_AF_CopiAta"/>
      </mc:Fallback>
    </mc:AlternateContent>
    <mc:AlternateContent xmlns:mc="http://schemas.openxmlformats.org/markup-compatibility/2006">
      <mc:Choice Requires="x14">
        <control shapeId="2351610" r:id="rId6" name="btn_RC_AF_Voltar">
          <controlPr defaultSize="0" autoLine="0" r:id="rId7">
            <anchor moveWithCells="1">
              <from>
                <xdr:col>1</xdr:col>
                <xdr:colOff>1775460</xdr:colOff>
                <xdr:row>0</xdr:row>
                <xdr:rowOff>53340</xdr:rowOff>
              </from>
              <to>
                <xdr:col>1</xdr:col>
                <xdr:colOff>3360420</xdr:colOff>
                <xdr:row>0</xdr:row>
                <xdr:rowOff>533400</xdr:rowOff>
              </to>
            </anchor>
          </controlPr>
        </control>
      </mc:Choice>
      <mc:Fallback>
        <control shapeId="2351610" r:id="rId6" name="btn_RC_AF_Voltar"/>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349" t="s">
        <v>124</v>
      </c>
      <c r="B1" s="350"/>
      <c r="C1" s="350"/>
      <c r="D1" s="350"/>
      <c r="E1" s="350"/>
      <c r="F1" s="350"/>
      <c r="G1" s="350"/>
      <c r="H1" s="350"/>
      <c r="I1" s="350"/>
      <c r="J1" s="350"/>
      <c r="K1" s="350"/>
      <c r="L1" s="350"/>
      <c r="M1" s="350"/>
      <c r="N1" s="351"/>
      <c r="O1" s="358"/>
      <c r="P1" s="348"/>
      <c r="Q1" s="348"/>
      <c r="R1" s="348"/>
      <c r="S1" s="348"/>
      <c r="T1" s="348"/>
      <c r="U1" s="348"/>
      <c r="V1" s="348"/>
      <c r="W1" s="348"/>
    </row>
    <row r="2" spans="1:23" ht="36" customHeight="1" x14ac:dyDescent="0.3">
      <c r="A2" s="355" t="s">
        <v>125</v>
      </c>
      <c r="B2" s="356"/>
      <c r="C2" s="356"/>
      <c r="D2" s="356"/>
      <c r="E2" s="356"/>
      <c r="F2" s="356"/>
      <c r="G2" s="356"/>
      <c r="H2" s="356"/>
      <c r="I2" s="356"/>
      <c r="J2" s="356"/>
      <c r="K2" s="356"/>
      <c r="L2" s="356"/>
      <c r="M2" s="356"/>
      <c r="N2" s="357"/>
      <c r="O2" s="358"/>
      <c r="P2" s="348"/>
      <c r="Q2" s="348"/>
      <c r="R2" s="348"/>
      <c r="S2" s="348"/>
      <c r="T2" s="348"/>
      <c r="U2" s="348"/>
      <c r="V2" s="348"/>
      <c r="W2" s="348"/>
    </row>
    <row r="3" spans="1:23" ht="36" customHeight="1" x14ac:dyDescent="0.3">
      <c r="A3" s="355"/>
      <c r="B3" s="356"/>
      <c r="C3" s="356"/>
      <c r="D3" s="356"/>
      <c r="E3" s="356"/>
      <c r="F3" s="356"/>
      <c r="G3" s="356"/>
      <c r="H3" s="356"/>
      <c r="I3" s="356"/>
      <c r="J3" s="356"/>
      <c r="K3" s="356"/>
      <c r="L3" s="356"/>
      <c r="M3" s="356"/>
      <c r="N3" s="357"/>
      <c r="O3" s="358"/>
      <c r="P3" s="348"/>
      <c r="Q3" s="348"/>
      <c r="R3" s="348"/>
      <c r="S3" s="348"/>
      <c r="T3" s="348"/>
      <c r="U3" s="348"/>
      <c r="V3" s="348"/>
      <c r="W3" s="348"/>
    </row>
    <row r="4" spans="1:23" ht="37.200000000000003" thickBot="1" x14ac:dyDescent="0.35">
      <c r="A4" s="352" t="s">
        <v>126</v>
      </c>
      <c r="B4" s="353"/>
      <c r="C4" s="353"/>
      <c r="D4" s="353"/>
      <c r="E4" s="353"/>
      <c r="F4" s="353"/>
      <c r="G4" s="353"/>
      <c r="H4" s="353"/>
      <c r="I4" s="353"/>
      <c r="J4" s="353"/>
      <c r="K4" s="353"/>
      <c r="L4" s="353"/>
      <c r="M4" s="353"/>
      <c r="N4" s="354"/>
      <c r="O4" s="358"/>
      <c r="P4" s="348"/>
      <c r="Q4" s="348"/>
      <c r="R4" s="348"/>
      <c r="S4" s="348"/>
      <c r="T4" s="348"/>
      <c r="U4" s="348"/>
      <c r="V4" s="348"/>
      <c r="W4" s="348"/>
    </row>
    <row r="5" spans="1:23" ht="66.599999999999994" thickBot="1" x14ac:dyDescent="0.35">
      <c r="A5" s="179" t="s">
        <v>0</v>
      </c>
      <c r="B5" s="178" t="s">
        <v>1</v>
      </c>
      <c r="C5" s="180" t="s">
        <v>2</v>
      </c>
      <c r="D5" s="180" t="s">
        <v>20</v>
      </c>
      <c r="E5" s="181" t="s">
        <v>97</v>
      </c>
      <c r="F5" s="182" t="s">
        <v>113</v>
      </c>
      <c r="G5" s="183" t="s">
        <v>98</v>
      </c>
      <c r="H5" s="177" t="s">
        <v>86</v>
      </c>
      <c r="I5" s="181" t="s">
        <v>99</v>
      </c>
      <c r="J5" s="181" t="s">
        <v>100</v>
      </c>
      <c r="K5" s="181" t="s">
        <v>127</v>
      </c>
      <c r="L5" s="181" t="s">
        <v>116</v>
      </c>
      <c r="M5" s="181" t="s">
        <v>101</v>
      </c>
      <c r="N5" s="184" t="s">
        <v>102</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8" r:id="rId4" name="btnConferirCompra_Exportar">
          <controlPr locked="0" defaultSize="0" print="0" autoLine="0" r:id="rId5">
            <anchor moveWithCells="1">
              <from>
                <xdr:col>18</xdr:col>
                <xdr:colOff>198120</xdr:colOff>
                <xdr:row>2</xdr:row>
                <xdr:rowOff>297180</xdr:rowOff>
              </from>
              <to>
                <xdr:col>22</xdr:col>
                <xdr:colOff>68580</xdr:colOff>
                <xdr:row>3</xdr:row>
                <xdr:rowOff>327660</xdr:rowOff>
              </to>
            </anchor>
          </controlPr>
        </control>
      </mc:Choice>
      <mc:Fallback>
        <control shapeId="1403908" r:id="rId4" name="btnConferirCompra_Exportar"/>
      </mc:Fallback>
    </mc:AlternateContent>
    <mc:AlternateContent xmlns:mc="http://schemas.openxmlformats.org/markup-compatibility/2006">
      <mc:Choice Requires="x14">
        <control shapeId="1403907" r:id="rId6" name="btnConferirCompra_Imprimir">
          <controlPr locked="0" defaultSize="0" print="0" autoLine="0" r:id="rId7">
            <anchor moveWithCells="1">
              <from>
                <xdr:col>18</xdr:col>
                <xdr:colOff>198120</xdr:colOff>
                <xdr:row>0</xdr:row>
                <xdr:rowOff>83820</xdr:rowOff>
              </from>
              <to>
                <xdr:col>22</xdr:col>
                <xdr:colOff>68580</xdr:colOff>
                <xdr:row>1</xdr:row>
                <xdr:rowOff>121920</xdr:rowOff>
              </to>
            </anchor>
          </controlPr>
        </control>
      </mc:Choice>
      <mc:Fallback>
        <control shapeId="1403907" r:id="rId6" name="btnConferirCompra_Imprimir"/>
      </mc:Fallback>
    </mc:AlternateContent>
    <mc:AlternateContent xmlns:mc="http://schemas.openxmlformats.org/markup-compatibility/2006">
      <mc:Choice Requires="x14">
        <control shapeId="1403906" r:id="rId8" name="btnConferirCompra_Importar">
          <controlPr locked="0" defaultSize="0" print="0" autoLine="0" r:id="rId9">
            <anchor moveWithCells="1">
              <from>
                <xdr:col>14</xdr:col>
                <xdr:colOff>190500</xdr:colOff>
                <xdr:row>2</xdr:row>
                <xdr:rowOff>297180</xdr:rowOff>
              </from>
              <to>
                <xdr:col>18</xdr:col>
                <xdr:colOff>60960</xdr:colOff>
                <xdr:row>3</xdr:row>
                <xdr:rowOff>327660</xdr:rowOff>
              </to>
            </anchor>
          </controlPr>
        </control>
      </mc:Choice>
      <mc:Fallback>
        <control shapeId="1403906" r:id="rId8" name="btnConferirCompra_Importar"/>
      </mc:Fallback>
    </mc:AlternateContent>
    <mc:AlternateContent xmlns:mc="http://schemas.openxmlformats.org/markup-compatibility/2006">
      <mc:Choice Requires="x14">
        <control shapeId="1403905" r:id="rId10" name="btnConferirCompra_Voltar">
          <controlPr locked="0" defaultSize="0" print="0" autoLine="0" r:id="rId11">
            <anchor moveWithCells="1">
              <from>
                <xdr:col>14</xdr:col>
                <xdr:colOff>190500</xdr:colOff>
                <xdr:row>0</xdr:row>
                <xdr:rowOff>83820</xdr:rowOff>
              </from>
              <to>
                <xdr:col>18</xdr:col>
                <xdr:colOff>60960</xdr:colOff>
                <xdr:row>1</xdr:row>
                <xdr:rowOff>121920</xdr:rowOff>
              </to>
            </anchor>
          </controlPr>
        </control>
      </mc:Choice>
      <mc:Fallback>
        <control shapeId="1403905" r:id="rId10" name="btnConferirCompra_Voltar"/>
      </mc:Fallback>
    </mc:AlternateContent>
  </controls>
  <tableParts count="1">
    <tablePart r:id="rId1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359">
        <v>0</v>
      </c>
      <c r="H1" s="348"/>
      <c r="I1" s="348"/>
      <c r="J1" s="348"/>
      <c r="K1" s="348"/>
      <c r="L1" s="348"/>
      <c r="M1" s="86" t="s">
        <v>64</v>
      </c>
      <c r="N1" s="85" t="s">
        <v>52</v>
      </c>
      <c r="O1" s="187" t="s">
        <v>117</v>
      </c>
      <c r="P1" s="114" t="s">
        <v>90</v>
      </c>
    </row>
    <row r="2" spans="1:16" x14ac:dyDescent="0.3">
      <c r="A2" s="359"/>
      <c r="H2" s="348"/>
      <c r="I2" s="348"/>
      <c r="J2" s="348"/>
      <c r="K2" s="348"/>
      <c r="L2" s="348"/>
      <c r="M2" s="115"/>
      <c r="N2" s="234" t="str">
        <f>IF(ISBLANK(tabCodigosParaFiltrar[Código do Item]),"",VLOOKUP(tabCodigosParaFiltrar[Código do Item],Itens!$A$4:$B$946,2,FALSE))</f>
        <v/>
      </c>
      <c r="O2" s="188"/>
      <c r="P2" s="185" t="str">
        <f>IF(ISBLANK(tabCodigosParaFiltrar[Código do Item]),"","*")</f>
        <v/>
      </c>
    </row>
    <row r="3" spans="1:16" x14ac:dyDescent="0.3">
      <c r="A3" s="359"/>
      <c r="H3" s="348"/>
      <c r="I3" s="348"/>
      <c r="J3" s="348"/>
      <c r="K3" s="348"/>
      <c r="L3" s="348"/>
    </row>
    <row r="4" spans="1:16" x14ac:dyDescent="0.3">
      <c r="A4" s="359"/>
      <c r="H4" s="348"/>
      <c r="I4" s="348"/>
      <c r="J4" s="348"/>
      <c r="K4" s="348"/>
      <c r="L4" s="348"/>
    </row>
    <row r="5" spans="1:16" x14ac:dyDescent="0.3">
      <c r="A5" s="359"/>
      <c r="H5" s="348"/>
      <c r="I5" s="348"/>
      <c r="J5" s="348"/>
      <c r="K5" s="348"/>
      <c r="L5" s="348"/>
    </row>
    <row r="6" spans="1:16" x14ac:dyDescent="0.3">
      <c r="A6" s="359"/>
      <c r="H6" s="348"/>
      <c r="I6" s="348"/>
      <c r="J6" s="348"/>
      <c r="K6" s="348"/>
      <c r="L6" s="348"/>
    </row>
    <row r="7" spans="1:16" x14ac:dyDescent="0.3">
      <c r="A7" s="359"/>
      <c r="H7" s="348"/>
      <c r="I7" s="348"/>
      <c r="J7" s="348"/>
      <c r="K7" s="348"/>
      <c r="L7" s="348"/>
    </row>
    <row r="8" spans="1:16" x14ac:dyDescent="0.3">
      <c r="A8" s="359"/>
      <c r="H8" s="348"/>
      <c r="I8" s="348"/>
      <c r="J8" s="348"/>
      <c r="K8" s="348"/>
      <c r="L8" s="348"/>
    </row>
    <row r="9" spans="1:16" x14ac:dyDescent="0.3">
      <c r="A9" s="359"/>
      <c r="H9" s="348"/>
      <c r="I9" s="348"/>
      <c r="J9" s="348"/>
      <c r="K9" s="348"/>
      <c r="L9" s="348"/>
    </row>
    <row r="10" spans="1:16" x14ac:dyDescent="0.3">
      <c r="A10" s="359"/>
      <c r="H10" s="348"/>
      <c r="I10" s="348"/>
      <c r="J10" s="348"/>
      <c r="K10" s="348"/>
      <c r="L10" s="348"/>
    </row>
    <row r="11" spans="1:16" x14ac:dyDescent="0.3">
      <c r="A11" s="359"/>
      <c r="H11" s="348"/>
      <c r="I11" s="348"/>
      <c r="J11" s="348"/>
      <c r="K11" s="348"/>
      <c r="L11" s="348"/>
    </row>
    <row r="12" spans="1:16" x14ac:dyDescent="0.3">
      <c r="A12" s="359"/>
      <c r="H12" s="348"/>
      <c r="I12" s="348"/>
      <c r="J12" s="348"/>
      <c r="K12" s="348"/>
      <c r="L12" s="348"/>
    </row>
    <row r="13" spans="1:16" x14ac:dyDescent="0.3">
      <c r="A13" s="359"/>
      <c r="H13" s="348"/>
      <c r="I13" s="348"/>
      <c r="J13" s="348"/>
      <c r="K13" s="348"/>
      <c r="L13" s="348"/>
    </row>
    <row r="14" spans="1:16" x14ac:dyDescent="0.3">
      <c r="A14" s="359"/>
      <c r="H14" s="348"/>
      <c r="I14" s="348"/>
      <c r="J14" s="348"/>
      <c r="K14" s="348"/>
      <c r="L14" s="348"/>
    </row>
    <row r="15" spans="1:16" x14ac:dyDescent="0.3">
      <c r="A15" s="359"/>
      <c r="H15" s="348"/>
      <c r="I15" s="348"/>
      <c r="J15" s="348"/>
      <c r="K15" s="348"/>
      <c r="L15" s="348"/>
    </row>
    <row r="16" spans="1:16" x14ac:dyDescent="0.3">
      <c r="A16" s="359"/>
      <c r="H16" s="348"/>
      <c r="I16" s="348"/>
      <c r="J16" s="348"/>
      <c r="K16" s="348"/>
      <c r="L16" s="348"/>
    </row>
    <row r="17" spans="1:12" x14ac:dyDescent="0.3">
      <c r="A17" s="359"/>
      <c r="H17" s="348"/>
      <c r="I17" s="348"/>
      <c r="J17" s="348"/>
      <c r="K17" s="348"/>
      <c r="L17" s="348"/>
    </row>
    <row r="18" spans="1:12" x14ac:dyDescent="0.3">
      <c r="A18" s="359"/>
      <c r="H18" s="348"/>
      <c r="I18" s="348"/>
      <c r="J18" s="348"/>
      <c r="K18" s="348"/>
      <c r="L18" s="348"/>
    </row>
    <row r="19" spans="1:12" x14ac:dyDescent="0.3">
      <c r="A19" s="359"/>
      <c r="H19" s="348"/>
      <c r="I19" s="348"/>
      <c r="J19" s="348"/>
      <c r="K19" s="348"/>
      <c r="L19" s="348"/>
    </row>
    <row r="20" spans="1:12" x14ac:dyDescent="0.3">
      <c r="A20" s="359"/>
      <c r="H20" s="348"/>
      <c r="I20" s="348"/>
      <c r="J20" s="348"/>
      <c r="K20" s="348"/>
      <c r="L20" s="348"/>
    </row>
    <row r="21" spans="1:12" x14ac:dyDescent="0.3">
      <c r="A21" s="359"/>
      <c r="H21" s="348"/>
      <c r="I21" s="348"/>
      <c r="J21" s="348"/>
      <c r="K21" s="348"/>
      <c r="L21" s="348"/>
    </row>
    <row r="22" spans="1:12" x14ac:dyDescent="0.3">
      <c r="A22" s="359"/>
      <c r="H22" s="348"/>
      <c r="I22" s="348"/>
      <c r="J22" s="348"/>
      <c r="K22" s="348"/>
      <c r="L22" s="348"/>
    </row>
    <row r="23" spans="1:12" x14ac:dyDescent="0.3">
      <c r="A23" s="359"/>
      <c r="H23" s="348"/>
      <c r="I23" s="348"/>
      <c r="J23" s="348"/>
      <c r="K23" s="348"/>
      <c r="L23" s="348"/>
    </row>
    <row r="24" spans="1:12" x14ac:dyDescent="0.3">
      <c r="A24" s="359"/>
      <c r="H24" s="348"/>
      <c r="I24" s="348"/>
      <c r="J24" s="348"/>
      <c r="K24" s="348"/>
      <c r="L24" s="348"/>
    </row>
    <row r="25" spans="1:12" x14ac:dyDescent="0.3">
      <c r="A25" s="359"/>
      <c r="H25" s="348"/>
      <c r="I25" s="348"/>
      <c r="J25" s="348"/>
      <c r="K25" s="348"/>
      <c r="L25" s="348"/>
    </row>
    <row r="26" spans="1:12" x14ac:dyDescent="0.3">
      <c r="A26" s="359"/>
      <c r="H26" s="348"/>
      <c r="I26" s="348"/>
      <c r="J26" s="348"/>
      <c r="K26" s="348"/>
      <c r="L26" s="348"/>
    </row>
    <row r="27" spans="1:12" x14ac:dyDescent="0.3">
      <c r="A27" s="359"/>
      <c r="H27" s="348"/>
      <c r="I27" s="348"/>
      <c r="J27" s="348"/>
      <c r="K27" s="348"/>
      <c r="L27" s="348"/>
    </row>
    <row r="28" spans="1:12" x14ac:dyDescent="0.3">
      <c r="A28" s="359"/>
      <c r="H28" s="348"/>
      <c r="I28" s="348"/>
      <c r="J28" s="348"/>
      <c r="K28" s="348"/>
      <c r="L28" s="348"/>
    </row>
    <row r="29" spans="1:12" x14ac:dyDescent="0.3">
      <c r="A29" s="359"/>
      <c r="H29" s="348"/>
      <c r="I29" s="348"/>
      <c r="J29" s="348"/>
      <c r="K29" s="348"/>
      <c r="L29" s="348"/>
    </row>
    <row r="30" spans="1:12" x14ac:dyDescent="0.3">
      <c r="A30" s="359"/>
      <c r="H30" s="348"/>
      <c r="I30" s="348"/>
      <c r="J30" s="348"/>
      <c r="K30" s="348"/>
      <c r="L30" s="348"/>
    </row>
    <row r="31" spans="1:12" x14ac:dyDescent="0.3">
      <c r="A31" s="359"/>
      <c r="H31" s="348"/>
      <c r="I31" s="348"/>
      <c r="J31" s="348"/>
      <c r="K31" s="348"/>
      <c r="L31" s="348"/>
    </row>
    <row r="32" spans="1:12" x14ac:dyDescent="0.3">
      <c r="A32" s="359"/>
      <c r="H32" s="348"/>
      <c r="I32" s="348"/>
      <c r="J32" s="348"/>
      <c r="K32" s="348"/>
      <c r="L32" s="348"/>
    </row>
    <row r="33" spans="1:12" x14ac:dyDescent="0.3">
      <c r="A33" s="359"/>
      <c r="H33" s="348"/>
      <c r="I33" s="348"/>
      <c r="J33" s="348"/>
      <c r="K33" s="348"/>
      <c r="L33" s="348"/>
    </row>
    <row r="34" spans="1:12" x14ac:dyDescent="0.3">
      <c r="A34" s="359"/>
      <c r="H34" s="348"/>
      <c r="I34" s="348"/>
      <c r="J34" s="348"/>
      <c r="K34" s="348"/>
      <c r="L34" s="348"/>
    </row>
    <row r="35" spans="1:12" x14ac:dyDescent="0.3">
      <c r="A35" s="359"/>
      <c r="H35" s="348"/>
      <c r="I35" s="348"/>
      <c r="J35" s="348"/>
      <c r="K35" s="348"/>
      <c r="L35" s="348"/>
    </row>
    <row r="36" spans="1:12" x14ac:dyDescent="0.3">
      <c r="A36" s="359"/>
      <c r="H36" s="348"/>
      <c r="I36" s="348"/>
      <c r="J36" s="348"/>
      <c r="K36" s="348"/>
      <c r="L36" s="348"/>
    </row>
    <row r="37" spans="1:12" x14ac:dyDescent="0.3">
      <c r="A37" s="359"/>
      <c r="H37" s="348"/>
      <c r="I37" s="348"/>
      <c r="J37" s="348"/>
      <c r="K37" s="348"/>
      <c r="L37" s="348"/>
    </row>
    <row r="38" spans="1:12" x14ac:dyDescent="0.3">
      <c r="A38" s="359"/>
      <c r="H38" s="348"/>
      <c r="I38" s="348"/>
      <c r="J38" s="348"/>
      <c r="K38" s="348"/>
      <c r="L38" s="348"/>
    </row>
    <row r="39" spans="1:12" x14ac:dyDescent="0.3">
      <c r="A39" s="359"/>
      <c r="H39" s="348"/>
      <c r="I39" s="348"/>
      <c r="J39" s="348"/>
      <c r="K39" s="348"/>
      <c r="L39" s="348"/>
    </row>
    <row r="40" spans="1:12" x14ac:dyDescent="0.3">
      <c r="H40" s="348"/>
      <c r="I40" s="348"/>
      <c r="J40" s="348"/>
      <c r="K40" s="348"/>
      <c r="L40" s="348"/>
    </row>
    <row r="41" spans="1:12" x14ac:dyDescent="0.3">
      <c r="H41" s="348"/>
      <c r="I41" s="348"/>
      <c r="J41" s="348"/>
      <c r="K41" s="348"/>
      <c r="L41" s="348"/>
    </row>
    <row r="42" spans="1:12" x14ac:dyDescent="0.3">
      <c r="H42" s="348"/>
      <c r="I42" s="348"/>
      <c r="J42" s="348"/>
      <c r="K42" s="348"/>
      <c r="L42" s="348"/>
    </row>
    <row r="43" spans="1:12" x14ac:dyDescent="0.3">
      <c r="H43" s="348"/>
      <c r="I43" s="348"/>
      <c r="J43" s="348"/>
      <c r="K43" s="348"/>
      <c r="L43" s="348"/>
    </row>
    <row r="44" spans="1:12" x14ac:dyDescent="0.3">
      <c r="H44" s="348"/>
      <c r="I44" s="348"/>
      <c r="J44" s="348"/>
      <c r="K44" s="348"/>
      <c r="L44" s="348"/>
    </row>
    <row r="45" spans="1:12" x14ac:dyDescent="0.3">
      <c r="H45" s="348"/>
      <c r="I45" s="348"/>
      <c r="J45" s="348"/>
      <c r="K45" s="348"/>
      <c r="L45" s="348"/>
    </row>
    <row r="46" spans="1:12" x14ac:dyDescent="0.3">
      <c r="H46" s="348"/>
      <c r="I46" s="348"/>
      <c r="J46" s="348"/>
      <c r="K46" s="348"/>
      <c r="L46" s="348"/>
    </row>
    <row r="47" spans="1:12" x14ac:dyDescent="0.3">
      <c r="H47" s="348"/>
      <c r="I47" s="348"/>
      <c r="J47" s="348"/>
      <c r="K47" s="348"/>
      <c r="L47" s="348"/>
    </row>
    <row r="48" spans="1:12" x14ac:dyDescent="0.3">
      <c r="H48" s="348"/>
      <c r="I48" s="348"/>
      <c r="J48" s="348"/>
      <c r="K48" s="348"/>
      <c r="L48" s="348"/>
    </row>
    <row r="49" spans="8:12" x14ac:dyDescent="0.3">
      <c r="H49" s="348"/>
      <c r="I49" s="348"/>
      <c r="J49" s="348"/>
      <c r="K49" s="348"/>
      <c r="L49" s="348"/>
    </row>
    <row r="50" spans="8:12" x14ac:dyDescent="0.3">
      <c r="H50" s="348"/>
      <c r="I50" s="348"/>
      <c r="J50" s="348"/>
      <c r="K50" s="348"/>
      <c r="L50" s="348"/>
    </row>
    <row r="51" spans="8:12" x14ac:dyDescent="0.3">
      <c r="H51" s="348"/>
      <c r="I51" s="348"/>
      <c r="J51" s="348"/>
      <c r="K51" s="348"/>
      <c r="L51" s="348"/>
    </row>
    <row r="52" spans="8:12" x14ac:dyDescent="0.3">
      <c r="H52" s="348"/>
      <c r="I52" s="348"/>
      <c r="J52" s="348"/>
      <c r="K52" s="348"/>
      <c r="L52" s="348"/>
    </row>
    <row r="53" spans="8:12" x14ac:dyDescent="0.3">
      <c r="H53" s="348"/>
      <c r="I53" s="348"/>
      <c r="J53" s="348"/>
      <c r="K53" s="348"/>
      <c r="L53" s="348"/>
    </row>
    <row r="54" spans="8:12" x14ac:dyDescent="0.3">
      <c r="H54" s="348"/>
      <c r="I54" s="348"/>
      <c r="J54" s="348"/>
      <c r="K54" s="348"/>
      <c r="L54" s="348"/>
    </row>
    <row r="55" spans="8:12" x14ac:dyDescent="0.3">
      <c r="H55" s="348"/>
      <c r="I55" s="348"/>
      <c r="J55" s="348"/>
      <c r="K55" s="348"/>
      <c r="L55" s="348"/>
    </row>
    <row r="56" spans="8:12" x14ac:dyDescent="0.3">
      <c r="H56" s="348"/>
      <c r="I56" s="348"/>
      <c r="J56" s="348"/>
      <c r="K56" s="348"/>
      <c r="L56" s="348"/>
    </row>
    <row r="57" spans="8:12" x14ac:dyDescent="0.3">
      <c r="H57" s="348"/>
      <c r="I57" s="348"/>
      <c r="J57" s="348"/>
      <c r="K57" s="348"/>
      <c r="L57" s="348"/>
    </row>
    <row r="58" spans="8:12" x14ac:dyDescent="0.3">
      <c r="H58" s="348"/>
      <c r="I58" s="348"/>
      <c r="J58" s="348"/>
      <c r="K58" s="348"/>
      <c r="L58" s="348"/>
    </row>
    <row r="59" spans="8:12" x14ac:dyDescent="0.3">
      <c r="H59" s="348"/>
      <c r="I59" s="348"/>
      <c r="J59" s="348"/>
      <c r="K59" s="348"/>
      <c r="L59" s="348"/>
    </row>
    <row r="60" spans="8:12" x14ac:dyDescent="0.3">
      <c r="H60" s="348"/>
      <c r="I60" s="348"/>
      <c r="J60" s="348"/>
      <c r="K60" s="348"/>
      <c r="L60" s="348"/>
    </row>
    <row r="61" spans="8:12" x14ac:dyDescent="0.3">
      <c r="H61" s="348"/>
      <c r="I61" s="348"/>
      <c r="J61" s="348"/>
      <c r="K61" s="348"/>
      <c r="L61" s="348"/>
    </row>
    <row r="62" spans="8:12" x14ac:dyDescent="0.3">
      <c r="H62" s="348"/>
      <c r="I62" s="348"/>
      <c r="J62" s="348"/>
      <c r="K62" s="348"/>
      <c r="L62" s="348"/>
    </row>
    <row r="63" spans="8:12" x14ac:dyDescent="0.3">
      <c r="H63" s="348"/>
      <c r="I63" s="348"/>
      <c r="J63" s="348"/>
      <c r="K63" s="348"/>
      <c r="L63" s="348"/>
    </row>
    <row r="64" spans="8:12" x14ac:dyDescent="0.3">
      <c r="H64" s="348"/>
      <c r="I64" s="348"/>
      <c r="J64" s="348"/>
      <c r="K64" s="348"/>
      <c r="L64" s="348"/>
    </row>
    <row r="65" spans="8:12" x14ac:dyDescent="0.3">
      <c r="H65" s="348"/>
      <c r="I65" s="348"/>
      <c r="J65" s="348"/>
      <c r="K65" s="348"/>
      <c r="L65" s="348"/>
    </row>
    <row r="66" spans="8:12" x14ac:dyDescent="0.3">
      <c r="H66" s="348"/>
      <c r="I66" s="348"/>
      <c r="J66" s="348"/>
      <c r="K66" s="348"/>
      <c r="L66" s="348"/>
    </row>
    <row r="67" spans="8:12" x14ac:dyDescent="0.3">
      <c r="H67" s="348"/>
      <c r="I67" s="348"/>
      <c r="J67" s="348"/>
      <c r="K67" s="348"/>
      <c r="L67" s="348"/>
    </row>
    <row r="68" spans="8:12" x14ac:dyDescent="0.3">
      <c r="H68" s="348"/>
      <c r="I68" s="348"/>
      <c r="J68" s="348"/>
      <c r="K68" s="348"/>
      <c r="L68" s="348"/>
    </row>
    <row r="69" spans="8:12" x14ac:dyDescent="0.3">
      <c r="H69" s="348"/>
      <c r="I69" s="348"/>
      <c r="J69" s="348"/>
      <c r="K69" s="348"/>
      <c r="L69" s="348"/>
    </row>
    <row r="70" spans="8:12" x14ac:dyDescent="0.3">
      <c r="H70" s="348"/>
      <c r="I70" s="348"/>
      <c r="J70" s="348"/>
      <c r="K70" s="348"/>
      <c r="L70" s="348"/>
    </row>
    <row r="71" spans="8:12" x14ac:dyDescent="0.3">
      <c r="H71" s="348"/>
      <c r="I71" s="348"/>
      <c r="J71" s="348"/>
      <c r="K71" s="348"/>
      <c r="L71" s="348"/>
    </row>
    <row r="72" spans="8:12" x14ac:dyDescent="0.3">
      <c r="H72" s="348"/>
      <c r="I72" s="348"/>
      <c r="J72" s="348"/>
      <c r="K72" s="348"/>
      <c r="L72" s="348"/>
    </row>
    <row r="73" spans="8:12" x14ac:dyDescent="0.3">
      <c r="H73" s="348"/>
      <c r="I73" s="348"/>
      <c r="J73" s="348"/>
      <c r="K73" s="348"/>
      <c r="L73" s="348"/>
    </row>
    <row r="74" spans="8:12" x14ac:dyDescent="0.3">
      <c r="H74" s="348"/>
      <c r="I74" s="348"/>
      <c r="J74" s="348"/>
      <c r="K74" s="348"/>
      <c r="L74" s="348"/>
    </row>
    <row r="75" spans="8:12" x14ac:dyDescent="0.3">
      <c r="H75" s="348"/>
      <c r="I75" s="348"/>
      <c r="J75" s="348"/>
      <c r="K75" s="348"/>
      <c r="L75" s="348"/>
    </row>
    <row r="76" spans="8:12" x14ac:dyDescent="0.3">
      <c r="H76" s="348"/>
      <c r="I76" s="348"/>
      <c r="J76" s="348"/>
      <c r="K76" s="348"/>
      <c r="L76" s="348"/>
    </row>
    <row r="77" spans="8:12" x14ac:dyDescent="0.3">
      <c r="H77" s="348"/>
      <c r="I77" s="348"/>
      <c r="J77" s="348"/>
      <c r="K77" s="348"/>
      <c r="L77" s="348"/>
    </row>
    <row r="78" spans="8:12" x14ac:dyDescent="0.3">
      <c r="H78" s="348"/>
      <c r="I78" s="348"/>
      <c r="J78" s="348"/>
      <c r="K78" s="348"/>
      <c r="L78" s="348"/>
    </row>
    <row r="79" spans="8:12" x14ac:dyDescent="0.3">
      <c r="H79" s="348"/>
      <c r="I79" s="348"/>
      <c r="J79" s="348"/>
      <c r="K79" s="348"/>
      <c r="L79" s="348"/>
    </row>
    <row r="80" spans="8:12" x14ac:dyDescent="0.3">
      <c r="H80" s="348"/>
      <c r="I80" s="348"/>
      <c r="J80" s="348"/>
      <c r="K80" s="348"/>
      <c r="L80" s="348"/>
    </row>
    <row r="81" spans="8:12" x14ac:dyDescent="0.3">
      <c r="H81" s="348"/>
      <c r="I81" s="348"/>
      <c r="J81" s="348"/>
      <c r="K81" s="348"/>
      <c r="L81" s="348"/>
    </row>
    <row r="82" spans="8:12" x14ac:dyDescent="0.3">
      <c r="H82" s="348"/>
      <c r="I82" s="348"/>
      <c r="J82" s="348"/>
      <c r="K82" s="348"/>
      <c r="L82" s="348"/>
    </row>
    <row r="83" spans="8:12" x14ac:dyDescent="0.3">
      <c r="H83" s="348"/>
      <c r="I83" s="348"/>
      <c r="J83" s="348"/>
      <c r="K83" s="348"/>
      <c r="L83" s="348"/>
    </row>
    <row r="84" spans="8:12" x14ac:dyDescent="0.3">
      <c r="H84" s="348"/>
      <c r="I84" s="348"/>
      <c r="J84" s="348"/>
      <c r="K84" s="348"/>
      <c r="L84" s="348"/>
    </row>
    <row r="85" spans="8:12" x14ac:dyDescent="0.3">
      <c r="H85" s="348"/>
      <c r="I85" s="348"/>
      <c r="J85" s="348"/>
      <c r="K85" s="348"/>
      <c r="L85" s="348"/>
    </row>
    <row r="86" spans="8:12" x14ac:dyDescent="0.3">
      <c r="H86" s="348"/>
      <c r="I86" s="348"/>
      <c r="J86" s="348"/>
      <c r="K86" s="348"/>
      <c r="L86" s="348"/>
    </row>
    <row r="87" spans="8:12" x14ac:dyDescent="0.3">
      <c r="H87" s="348"/>
      <c r="I87" s="348"/>
      <c r="J87" s="348"/>
      <c r="K87" s="348"/>
      <c r="L87" s="348"/>
    </row>
    <row r="88" spans="8:12" x14ac:dyDescent="0.3">
      <c r="H88" s="348"/>
      <c r="I88" s="348"/>
      <c r="J88" s="348"/>
      <c r="K88" s="348"/>
      <c r="L88" s="348"/>
    </row>
    <row r="89" spans="8:12" x14ac:dyDescent="0.3">
      <c r="H89" s="348"/>
      <c r="I89" s="348"/>
      <c r="J89" s="348"/>
      <c r="K89" s="348"/>
      <c r="L89" s="348"/>
    </row>
    <row r="90" spans="8:12" x14ac:dyDescent="0.3">
      <c r="H90" s="348"/>
      <c r="I90" s="348"/>
      <c r="J90" s="348"/>
      <c r="K90" s="348"/>
      <c r="L90" s="348"/>
    </row>
    <row r="91" spans="8:12" x14ac:dyDescent="0.3">
      <c r="H91" s="348"/>
      <c r="I91" s="348"/>
      <c r="J91" s="348"/>
      <c r="K91" s="348"/>
      <c r="L91" s="348"/>
    </row>
    <row r="92" spans="8:12" x14ac:dyDescent="0.3">
      <c r="H92" s="348"/>
      <c r="I92" s="348"/>
      <c r="J92" s="348"/>
      <c r="K92" s="348"/>
      <c r="L92" s="348"/>
    </row>
    <row r="93" spans="8:12" x14ac:dyDescent="0.3">
      <c r="H93" s="348"/>
      <c r="I93" s="348"/>
      <c r="J93" s="348"/>
      <c r="K93" s="348"/>
      <c r="L93" s="348"/>
    </row>
    <row r="94" spans="8:12" x14ac:dyDescent="0.3">
      <c r="H94" s="348"/>
      <c r="I94" s="348"/>
      <c r="J94" s="348"/>
      <c r="K94" s="348"/>
      <c r="L94" s="348"/>
    </row>
    <row r="95" spans="8:12" x14ac:dyDescent="0.3">
      <c r="H95" s="348"/>
      <c r="I95" s="348"/>
      <c r="J95" s="348"/>
      <c r="K95" s="348"/>
      <c r="L95" s="348"/>
    </row>
    <row r="96" spans="8:12" x14ac:dyDescent="0.3">
      <c r="H96" s="348"/>
      <c r="I96" s="348"/>
      <c r="J96" s="348"/>
      <c r="K96" s="348"/>
      <c r="L96" s="348"/>
    </row>
    <row r="97" spans="8:12" x14ac:dyDescent="0.3">
      <c r="H97" s="348"/>
      <c r="I97" s="348"/>
      <c r="J97" s="348"/>
      <c r="K97" s="348"/>
      <c r="L97" s="348"/>
    </row>
    <row r="98" spans="8:12" x14ac:dyDescent="0.3">
      <c r="H98" s="348"/>
      <c r="I98" s="348"/>
      <c r="J98" s="348"/>
      <c r="K98" s="348"/>
      <c r="L98" s="348"/>
    </row>
    <row r="99" spans="8:12" x14ac:dyDescent="0.3">
      <c r="H99" s="348"/>
      <c r="I99" s="348"/>
      <c r="J99" s="348"/>
      <c r="K99" s="348"/>
      <c r="L99" s="348"/>
    </row>
    <row r="100" spans="8:12" x14ac:dyDescent="0.3">
      <c r="H100" s="348"/>
      <c r="I100" s="348"/>
      <c r="J100" s="348"/>
      <c r="K100" s="348"/>
      <c r="L100" s="348"/>
    </row>
    <row r="101" spans="8:12" x14ac:dyDescent="0.3">
      <c r="H101" s="348"/>
      <c r="I101" s="348"/>
      <c r="J101" s="348"/>
      <c r="K101" s="348"/>
      <c r="L101" s="348"/>
    </row>
    <row r="102" spans="8:12" x14ac:dyDescent="0.3">
      <c r="H102" s="348"/>
      <c r="I102" s="348"/>
      <c r="J102" s="348"/>
      <c r="K102" s="348"/>
      <c r="L102" s="348"/>
    </row>
    <row r="103" spans="8:12" x14ac:dyDescent="0.3">
      <c r="H103" s="348"/>
      <c r="I103" s="348"/>
      <c r="J103" s="348"/>
      <c r="K103" s="348"/>
      <c r="L103" s="348"/>
    </row>
    <row r="104" spans="8:12" x14ac:dyDescent="0.3">
      <c r="H104" s="348"/>
      <c r="I104" s="348"/>
      <c r="J104" s="348"/>
      <c r="K104" s="348"/>
      <c r="L104" s="348"/>
    </row>
    <row r="105" spans="8:12" x14ac:dyDescent="0.3">
      <c r="H105" s="348"/>
      <c r="I105" s="348"/>
      <c r="J105" s="348"/>
      <c r="K105" s="348"/>
      <c r="L105" s="348"/>
    </row>
    <row r="106" spans="8:12" x14ac:dyDescent="0.3">
      <c r="H106" s="348"/>
      <c r="I106" s="348"/>
      <c r="J106" s="348"/>
      <c r="K106" s="348"/>
      <c r="L106" s="348"/>
    </row>
    <row r="107" spans="8:12" x14ac:dyDescent="0.3">
      <c r="H107" s="348"/>
      <c r="I107" s="348"/>
      <c r="J107" s="348"/>
      <c r="K107" s="348"/>
      <c r="L107" s="348"/>
    </row>
    <row r="108" spans="8:12" x14ac:dyDescent="0.3">
      <c r="H108" s="348"/>
      <c r="I108" s="348"/>
      <c r="J108" s="348"/>
      <c r="K108" s="348"/>
      <c r="L108" s="348"/>
    </row>
    <row r="109" spans="8:12" x14ac:dyDescent="0.3">
      <c r="H109" s="348"/>
      <c r="I109" s="348"/>
      <c r="J109" s="348"/>
      <c r="K109" s="348"/>
      <c r="L109" s="348"/>
    </row>
    <row r="110" spans="8:12" x14ac:dyDescent="0.3">
      <c r="H110" s="348"/>
      <c r="I110" s="348"/>
      <c r="J110" s="348"/>
      <c r="K110" s="348"/>
      <c r="L110" s="348"/>
    </row>
    <row r="111" spans="8:12" x14ac:dyDescent="0.3">
      <c r="H111" s="348"/>
      <c r="I111" s="348"/>
      <c r="J111" s="348"/>
      <c r="K111" s="348"/>
      <c r="L111" s="348"/>
    </row>
    <row r="112" spans="8:12" x14ac:dyDescent="0.3">
      <c r="H112" s="348"/>
      <c r="I112" s="348"/>
      <c r="J112" s="348"/>
      <c r="K112" s="348"/>
      <c r="L112" s="348"/>
    </row>
    <row r="113" spans="8:12" x14ac:dyDescent="0.3">
      <c r="H113" s="348"/>
      <c r="I113" s="348"/>
      <c r="J113" s="348"/>
      <c r="K113" s="348"/>
      <c r="L113" s="348"/>
    </row>
    <row r="114" spans="8:12" x14ac:dyDescent="0.3">
      <c r="H114" s="348"/>
      <c r="I114" s="348"/>
      <c r="J114" s="348"/>
      <c r="K114" s="348"/>
      <c r="L114" s="348"/>
    </row>
    <row r="115" spans="8:12" x14ac:dyDescent="0.3">
      <c r="H115" s="348"/>
      <c r="I115" s="348"/>
      <c r="J115" s="348"/>
      <c r="K115" s="348"/>
      <c r="L115" s="348"/>
    </row>
    <row r="116" spans="8:12" x14ac:dyDescent="0.3">
      <c r="H116" s="348"/>
      <c r="I116" s="348"/>
      <c r="J116" s="348"/>
      <c r="K116" s="348"/>
      <c r="L116" s="348"/>
    </row>
    <row r="117" spans="8:12" x14ac:dyDescent="0.3">
      <c r="H117" s="348"/>
      <c r="I117" s="348"/>
      <c r="J117" s="348"/>
      <c r="K117" s="348"/>
      <c r="L117" s="348"/>
    </row>
    <row r="118" spans="8:12" x14ac:dyDescent="0.3">
      <c r="H118" s="348"/>
      <c r="I118" s="348"/>
      <c r="J118" s="348"/>
      <c r="K118" s="348"/>
      <c r="L118" s="348"/>
    </row>
    <row r="119" spans="8:12" x14ac:dyDescent="0.3">
      <c r="H119" s="348"/>
      <c r="I119" s="348"/>
      <c r="J119" s="348"/>
      <c r="K119" s="348"/>
      <c r="L119" s="348"/>
    </row>
    <row r="120" spans="8:12" x14ac:dyDescent="0.3">
      <c r="H120" s="348"/>
      <c r="I120" s="348"/>
      <c r="J120" s="348"/>
      <c r="K120" s="348"/>
      <c r="L120" s="348"/>
    </row>
    <row r="121" spans="8:12" x14ac:dyDescent="0.3">
      <c r="H121" s="348"/>
      <c r="I121" s="348"/>
      <c r="J121" s="348"/>
      <c r="K121" s="348"/>
      <c r="L121" s="348"/>
    </row>
    <row r="122" spans="8:12" x14ac:dyDescent="0.3">
      <c r="H122" s="348"/>
      <c r="I122" s="348"/>
      <c r="J122" s="348"/>
      <c r="K122" s="348"/>
      <c r="L122" s="348"/>
    </row>
    <row r="123" spans="8:12" x14ac:dyDescent="0.3">
      <c r="H123" s="348"/>
      <c r="I123" s="348"/>
      <c r="J123" s="348"/>
      <c r="K123" s="348"/>
      <c r="L123" s="348"/>
    </row>
    <row r="124" spans="8:12" x14ac:dyDescent="0.3">
      <c r="H124" s="348"/>
      <c r="I124" s="348"/>
      <c r="J124" s="348"/>
      <c r="K124" s="348"/>
      <c r="L124" s="348"/>
    </row>
    <row r="125" spans="8:12" x14ac:dyDescent="0.3">
      <c r="H125" s="348"/>
      <c r="I125" s="348"/>
      <c r="J125" s="348"/>
      <c r="K125" s="348"/>
      <c r="L125" s="348"/>
    </row>
    <row r="126" spans="8:12" x14ac:dyDescent="0.3">
      <c r="H126" s="348"/>
      <c r="I126" s="348"/>
      <c r="J126" s="348"/>
      <c r="K126" s="348"/>
      <c r="L126" s="348"/>
    </row>
    <row r="127" spans="8:12" x14ac:dyDescent="0.3">
      <c r="H127" s="348"/>
      <c r="I127" s="348"/>
      <c r="J127" s="348"/>
      <c r="K127" s="348"/>
      <c r="L127" s="348"/>
    </row>
    <row r="128" spans="8:12" x14ac:dyDescent="0.3">
      <c r="H128" s="348"/>
      <c r="I128" s="348"/>
      <c r="J128" s="348"/>
      <c r="K128" s="348"/>
      <c r="L128" s="348"/>
    </row>
    <row r="129" spans="8:12" x14ac:dyDescent="0.3">
      <c r="H129" s="348"/>
      <c r="I129" s="348"/>
      <c r="J129" s="348"/>
      <c r="K129" s="348"/>
      <c r="L129" s="348"/>
    </row>
    <row r="130" spans="8:12" x14ac:dyDescent="0.3">
      <c r="H130" s="348"/>
      <c r="I130" s="348"/>
      <c r="J130" s="348"/>
      <c r="K130" s="348"/>
      <c r="L130" s="348"/>
    </row>
    <row r="131" spans="8:12" x14ac:dyDescent="0.3">
      <c r="H131" s="348"/>
      <c r="I131" s="348"/>
      <c r="J131" s="348"/>
      <c r="K131" s="348"/>
      <c r="L131" s="348"/>
    </row>
    <row r="132" spans="8:12" x14ac:dyDescent="0.3">
      <c r="H132" s="348"/>
      <c r="I132" s="348"/>
      <c r="J132" s="348"/>
      <c r="K132" s="348"/>
      <c r="L132" s="348"/>
    </row>
    <row r="133" spans="8:12" x14ac:dyDescent="0.3">
      <c r="H133" s="348"/>
      <c r="I133" s="348"/>
      <c r="J133" s="348"/>
      <c r="K133" s="348"/>
      <c r="L133" s="348"/>
    </row>
    <row r="134" spans="8:12" x14ac:dyDescent="0.3">
      <c r="H134" s="348"/>
      <c r="I134" s="348"/>
      <c r="J134" s="348"/>
      <c r="K134" s="348"/>
      <c r="L134" s="348"/>
    </row>
    <row r="135" spans="8:12" x14ac:dyDescent="0.3">
      <c r="H135" s="348"/>
      <c r="I135" s="348"/>
      <c r="J135" s="348"/>
      <c r="K135" s="348"/>
      <c r="L135" s="348"/>
    </row>
    <row r="136" spans="8:12" x14ac:dyDescent="0.3">
      <c r="H136" s="348"/>
      <c r="I136" s="348"/>
      <c r="J136" s="348"/>
      <c r="K136" s="348"/>
      <c r="L136" s="348"/>
    </row>
    <row r="137" spans="8:12" x14ac:dyDescent="0.3">
      <c r="H137" s="348"/>
      <c r="I137" s="348"/>
      <c r="J137" s="348"/>
      <c r="K137" s="348"/>
      <c r="L137" s="348"/>
    </row>
    <row r="138" spans="8:12" x14ac:dyDescent="0.3">
      <c r="H138" s="348"/>
      <c r="I138" s="348"/>
      <c r="J138" s="348"/>
      <c r="K138" s="348"/>
      <c r="L138" s="348"/>
    </row>
    <row r="139" spans="8:12" x14ac:dyDescent="0.3">
      <c r="H139" s="348"/>
      <c r="I139" s="348"/>
      <c r="J139" s="348"/>
      <c r="K139" s="348"/>
      <c r="L139" s="348"/>
    </row>
    <row r="140" spans="8:12" x14ac:dyDescent="0.3">
      <c r="H140" s="348"/>
      <c r="I140" s="348"/>
      <c r="J140" s="348"/>
      <c r="K140" s="348"/>
      <c r="L140" s="348"/>
    </row>
    <row r="141" spans="8:12" x14ac:dyDescent="0.3">
      <c r="H141" s="348"/>
      <c r="I141" s="348"/>
      <c r="J141" s="348"/>
      <c r="K141" s="348"/>
      <c r="L141" s="348"/>
    </row>
    <row r="142" spans="8:12" x14ac:dyDescent="0.3">
      <c r="H142" s="348"/>
      <c r="I142" s="348"/>
      <c r="J142" s="348"/>
      <c r="K142" s="348"/>
      <c r="L142" s="348"/>
    </row>
    <row r="143" spans="8:12" x14ac:dyDescent="0.3">
      <c r="H143" s="348"/>
      <c r="I143" s="348"/>
      <c r="J143" s="348"/>
      <c r="K143" s="348"/>
      <c r="L143" s="348"/>
    </row>
    <row r="144" spans="8:12" x14ac:dyDescent="0.3">
      <c r="H144" s="348"/>
      <c r="I144" s="348"/>
      <c r="J144" s="348"/>
      <c r="K144" s="348"/>
      <c r="L144" s="348"/>
    </row>
    <row r="145" spans="8:12" x14ac:dyDescent="0.3">
      <c r="H145" s="348"/>
      <c r="I145" s="348"/>
      <c r="J145" s="348"/>
      <c r="K145" s="348"/>
      <c r="L145" s="348"/>
    </row>
    <row r="146" spans="8:12" x14ac:dyDescent="0.3">
      <c r="H146" s="348"/>
      <c r="I146" s="348"/>
      <c r="J146" s="348"/>
      <c r="K146" s="348"/>
      <c r="L146" s="348"/>
    </row>
    <row r="147" spans="8:12" x14ac:dyDescent="0.3">
      <c r="H147" s="348"/>
      <c r="I147" s="348"/>
      <c r="J147" s="348"/>
      <c r="K147" s="348"/>
      <c r="L147" s="348"/>
    </row>
    <row r="148" spans="8:12" x14ac:dyDescent="0.3">
      <c r="H148" s="348"/>
      <c r="I148" s="348"/>
      <c r="J148" s="348"/>
      <c r="K148" s="348"/>
      <c r="L148" s="348"/>
    </row>
    <row r="149" spans="8:12" x14ac:dyDescent="0.3">
      <c r="H149" s="348"/>
      <c r="I149" s="348"/>
      <c r="J149" s="348"/>
      <c r="K149" s="348"/>
      <c r="L149" s="348"/>
    </row>
    <row r="150" spans="8:12" x14ac:dyDescent="0.3">
      <c r="H150" s="348"/>
      <c r="I150" s="348"/>
      <c r="J150" s="348"/>
      <c r="K150" s="348"/>
      <c r="L150" s="348"/>
    </row>
    <row r="151" spans="8:12" x14ac:dyDescent="0.3">
      <c r="H151" s="348"/>
      <c r="I151" s="348"/>
      <c r="J151" s="348"/>
      <c r="K151" s="348"/>
      <c r="L151" s="348"/>
    </row>
    <row r="152" spans="8:12" x14ac:dyDescent="0.3">
      <c r="H152" s="348"/>
      <c r="I152" s="348"/>
      <c r="J152" s="348"/>
      <c r="K152" s="348"/>
      <c r="L152" s="348"/>
    </row>
    <row r="153" spans="8:12" x14ac:dyDescent="0.3">
      <c r="H153" s="348"/>
      <c r="I153" s="348"/>
      <c r="J153" s="348"/>
      <c r="K153" s="348"/>
      <c r="L153" s="348"/>
    </row>
    <row r="154" spans="8:12" x14ac:dyDescent="0.3">
      <c r="H154" s="348"/>
      <c r="I154" s="348"/>
      <c r="J154" s="348"/>
      <c r="K154" s="348"/>
      <c r="L154" s="348"/>
    </row>
    <row r="155" spans="8:12" x14ac:dyDescent="0.3">
      <c r="H155" s="348"/>
      <c r="I155" s="348"/>
      <c r="J155" s="348"/>
      <c r="K155" s="348"/>
      <c r="L155" s="348"/>
    </row>
    <row r="156" spans="8:12" x14ac:dyDescent="0.3">
      <c r="H156" s="348"/>
      <c r="I156" s="348"/>
      <c r="J156" s="348"/>
      <c r="K156" s="348"/>
      <c r="L156" s="348"/>
    </row>
    <row r="157" spans="8:12" x14ac:dyDescent="0.3">
      <c r="H157" s="348"/>
      <c r="I157" s="348"/>
      <c r="J157" s="348"/>
      <c r="K157" s="348"/>
      <c r="L157" s="348"/>
    </row>
    <row r="158" spans="8:12" x14ac:dyDescent="0.3">
      <c r="H158" s="348"/>
      <c r="I158" s="348"/>
      <c r="J158" s="348"/>
      <c r="K158" s="348"/>
      <c r="L158" s="348"/>
    </row>
    <row r="159" spans="8:12" x14ac:dyDescent="0.3">
      <c r="H159" s="348"/>
      <c r="I159" s="348"/>
      <c r="J159" s="348"/>
      <c r="K159" s="348"/>
      <c r="L159" s="348"/>
    </row>
    <row r="160" spans="8:12" x14ac:dyDescent="0.3">
      <c r="H160" s="348"/>
      <c r="I160" s="348"/>
      <c r="J160" s="348"/>
      <c r="K160" s="348"/>
      <c r="L160" s="348"/>
    </row>
    <row r="161" spans="8:12" x14ac:dyDescent="0.3">
      <c r="H161" s="348"/>
      <c r="I161" s="348"/>
      <c r="J161" s="348"/>
      <c r="K161" s="348"/>
      <c r="L161" s="348"/>
    </row>
    <row r="162" spans="8:12" x14ac:dyDescent="0.3">
      <c r="H162" s="348"/>
      <c r="I162" s="348"/>
      <c r="J162" s="348"/>
      <c r="K162" s="348"/>
      <c r="L162" s="348"/>
    </row>
    <row r="163" spans="8:12" x14ac:dyDescent="0.3">
      <c r="H163" s="348"/>
      <c r="I163" s="348"/>
      <c r="J163" s="348"/>
      <c r="K163" s="348"/>
      <c r="L163" s="348"/>
    </row>
    <row r="164" spans="8:12" x14ac:dyDescent="0.3">
      <c r="H164" s="348"/>
      <c r="I164" s="348"/>
      <c r="J164" s="348"/>
      <c r="K164" s="348"/>
      <c r="L164" s="348"/>
    </row>
    <row r="165" spans="8:12" x14ac:dyDescent="0.3">
      <c r="H165" s="348"/>
      <c r="I165" s="348"/>
      <c r="J165" s="348"/>
      <c r="K165" s="348"/>
      <c r="L165" s="348"/>
    </row>
    <row r="166" spans="8:12" x14ac:dyDescent="0.3">
      <c r="H166" s="348"/>
      <c r="I166" s="348"/>
      <c r="J166" s="348"/>
      <c r="K166" s="348"/>
      <c r="L166" s="348"/>
    </row>
    <row r="167" spans="8:12" x14ac:dyDescent="0.3">
      <c r="H167" s="348"/>
      <c r="I167" s="348"/>
      <c r="J167" s="348"/>
      <c r="K167" s="348"/>
      <c r="L167" s="348"/>
    </row>
    <row r="168" spans="8:12" x14ac:dyDescent="0.3">
      <c r="H168" s="348"/>
      <c r="I168" s="348"/>
      <c r="J168" s="348"/>
      <c r="K168" s="348"/>
      <c r="L168" s="348"/>
    </row>
    <row r="169" spans="8:12" x14ac:dyDescent="0.3">
      <c r="H169" s="348"/>
      <c r="I169" s="348"/>
      <c r="J169" s="348"/>
      <c r="K169" s="348"/>
      <c r="L169" s="348"/>
    </row>
    <row r="170" spans="8:12" x14ac:dyDescent="0.3">
      <c r="H170" s="348"/>
      <c r="I170" s="348"/>
      <c r="J170" s="348"/>
      <c r="K170" s="348"/>
      <c r="L170" s="348"/>
    </row>
    <row r="171" spans="8:12" x14ac:dyDescent="0.3">
      <c r="H171" s="348"/>
      <c r="I171" s="348"/>
      <c r="J171" s="348"/>
      <c r="K171" s="348"/>
      <c r="L171" s="348"/>
    </row>
    <row r="172" spans="8:12" x14ac:dyDescent="0.3">
      <c r="H172" s="348"/>
      <c r="I172" s="348"/>
      <c r="J172" s="348"/>
      <c r="K172" s="348"/>
      <c r="L172" s="348"/>
    </row>
  </sheetData>
  <dataConsolidate/>
  <mergeCells count="2">
    <mergeCell ref="A1:A39"/>
    <mergeCell ref="H1:L172"/>
  </mergeCells>
  <conditionalFormatting sqref="M2">
    <cfRule type="duplicateValues" dxfId="128"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5" r:id="rId4" name="btn_Filtros_AtivosAbxPPAta">
          <controlPr defaultSize="0" autoLine="0" r:id="rId5">
            <anchor moveWithCells="1">
              <from>
                <xdr:col>0</xdr:col>
                <xdr:colOff>6987540</xdr:colOff>
                <xdr:row>24</xdr:row>
                <xdr:rowOff>7620</xdr:rowOff>
              </from>
              <to>
                <xdr:col>0</xdr:col>
                <xdr:colOff>12626340</xdr:colOff>
                <xdr:row>25</xdr:row>
                <xdr:rowOff>144780</xdr:rowOff>
              </to>
            </anchor>
          </controlPr>
        </control>
      </mc:Choice>
      <mc:Fallback>
        <control shapeId="291985" r:id="rId4" name="btn_Filtros_AtivosAbxPPAta"/>
      </mc:Fallback>
    </mc:AlternateContent>
    <mc:AlternateContent xmlns:mc="http://schemas.openxmlformats.org/markup-compatibility/2006">
      <mc:Choice Requires="x14">
        <control shapeId="291983" r:id="rId6" name="btn_Filtros_ComQtNoZ">
          <controlPr defaultSize="0" autoLine="0" r:id="rId7">
            <anchor moveWithCells="1">
              <from>
                <xdr:col>0</xdr:col>
                <xdr:colOff>632460</xdr:colOff>
                <xdr:row>22</xdr:row>
                <xdr:rowOff>15240</xdr:rowOff>
              </from>
              <to>
                <xdr:col>0</xdr:col>
                <xdr:colOff>6271260</xdr:colOff>
                <xdr:row>23</xdr:row>
                <xdr:rowOff>152400</xdr:rowOff>
              </to>
            </anchor>
          </controlPr>
        </control>
      </mc:Choice>
      <mc:Fallback>
        <control shapeId="291983" r:id="rId6" name="btn_Filtros_ComQtNoZ"/>
      </mc:Fallback>
    </mc:AlternateContent>
    <mc:AlternateContent xmlns:mc="http://schemas.openxmlformats.org/markup-compatibility/2006">
      <mc:Choice Requires="x14">
        <control shapeId="291869" r:id="rId8" name="btn_Filtros_AtivosRecentes">
          <controlPr defaultSize="0" autoLine="0" r:id="rId9">
            <anchor moveWithCells="1">
              <from>
                <xdr:col>0</xdr:col>
                <xdr:colOff>632460</xdr:colOff>
                <xdr:row>12</xdr:row>
                <xdr:rowOff>68580</xdr:rowOff>
              </from>
              <to>
                <xdr:col>0</xdr:col>
                <xdr:colOff>6271260</xdr:colOff>
                <xdr:row>14</xdr:row>
                <xdr:rowOff>22860</xdr:rowOff>
              </to>
            </anchor>
          </controlPr>
        </control>
      </mc:Choice>
      <mc:Fallback>
        <control shapeId="291869" r:id="rId8" name="btn_Filtros_AtivosRecentes"/>
      </mc:Fallback>
    </mc:AlternateContent>
    <mc:AlternateContent xmlns:mc="http://schemas.openxmlformats.org/markup-compatibility/2006">
      <mc:Choice Requires="x14">
        <control shapeId="291868" r:id="rId10" name="btn_Filtros_ImpDRM">
          <controlPr defaultSize="0" autoLine="0" r:id="rId11">
            <anchor moveWithCells="1">
              <from>
                <xdr:col>7</xdr:col>
                <xdr:colOff>480060</xdr:colOff>
                <xdr:row>3</xdr:row>
                <xdr:rowOff>76200</xdr:rowOff>
              </from>
              <to>
                <xdr:col>11</xdr:col>
                <xdr:colOff>403860</xdr:colOff>
                <xdr:row>6</xdr:row>
                <xdr:rowOff>22860</xdr:rowOff>
              </to>
            </anchor>
          </controlPr>
        </control>
      </mc:Choice>
      <mc:Fallback>
        <control shapeId="291868" r:id="rId10" name="btn_Filtros_ImpDRM"/>
      </mc:Fallback>
    </mc:AlternateContent>
    <mc:AlternateContent xmlns:mc="http://schemas.openxmlformats.org/markup-compatibility/2006">
      <mc:Choice Requires="x14">
        <control shapeId="291866" r:id="rId12" name="btn_Filtros_AtivosFAbxPonP">
          <controlPr defaultSize="0" autoLine="0" r:id="rId13">
            <anchor moveWithCells="1">
              <from>
                <xdr:col>0</xdr:col>
                <xdr:colOff>6987540</xdr:colOff>
                <xdr:row>20</xdr:row>
                <xdr:rowOff>22860</xdr:rowOff>
              </from>
              <to>
                <xdr:col>0</xdr:col>
                <xdr:colOff>12626340</xdr:colOff>
                <xdr:row>21</xdr:row>
                <xdr:rowOff>160020</xdr:rowOff>
              </to>
            </anchor>
          </controlPr>
        </control>
      </mc:Choice>
      <mc:Fallback>
        <control shapeId="291866" r:id="rId12" name="btn_Filtros_AtivosFAbxPonP"/>
      </mc:Fallback>
    </mc:AlternateContent>
    <mc:AlternateContent xmlns:mc="http://schemas.openxmlformats.org/markup-compatibility/2006">
      <mc:Choice Requires="x14">
        <control shapeId="291864" r:id="rId14" name="btn_Filtros_FiltroDigVoltar">
          <controlPr defaultSize="0" autoLine="0" r:id="rId15">
            <anchor moveWithCells="1">
              <from>
                <xdr:col>7</xdr:col>
                <xdr:colOff>457200</xdr:colOff>
                <xdr:row>0</xdr:row>
                <xdr:rowOff>99060</xdr:rowOff>
              </from>
              <to>
                <xdr:col>9</xdr:col>
                <xdr:colOff>403860</xdr:colOff>
                <xdr:row>3</xdr:row>
                <xdr:rowOff>45720</xdr:rowOff>
              </to>
            </anchor>
          </controlPr>
        </control>
      </mc:Choice>
      <mc:Fallback>
        <control shapeId="291864" r:id="rId14" name="btn_Filtros_FiltroDigVoltar"/>
      </mc:Fallback>
    </mc:AlternateContent>
    <mc:AlternateContent xmlns:mc="http://schemas.openxmlformats.org/markup-compatibility/2006">
      <mc:Choice Requires="x14">
        <control shapeId="291861" r:id="rId16" name="btn_Filtros_AtivosTodosPrio">
          <controlPr defaultSize="0" autoLine="0" r:id="rId17">
            <anchor moveWithCells="1">
              <from>
                <xdr:col>0</xdr:col>
                <xdr:colOff>6987540</xdr:colOff>
                <xdr:row>16</xdr:row>
                <xdr:rowOff>45720</xdr:rowOff>
              </from>
              <to>
                <xdr:col>0</xdr:col>
                <xdr:colOff>12626340</xdr:colOff>
                <xdr:row>18</xdr:row>
                <xdr:rowOff>0</xdr:rowOff>
              </to>
            </anchor>
          </controlPr>
        </control>
      </mc:Choice>
      <mc:Fallback>
        <control shapeId="291861" r:id="rId16" name="btn_Filtros_AtivosTodosPrio"/>
      </mc:Fallback>
    </mc:AlternateContent>
    <mc:AlternateContent xmlns:mc="http://schemas.openxmlformats.org/markup-compatibility/2006">
      <mc:Choice Requires="x14">
        <control shapeId="291860" r:id="rId18" name="btn_Filtros_AtivosZerados">
          <controlPr defaultSize="0" autoLine="0" r:id="rId19">
            <anchor moveWithCells="1">
              <from>
                <xdr:col>0</xdr:col>
                <xdr:colOff>6987540</xdr:colOff>
                <xdr:row>12</xdr:row>
                <xdr:rowOff>68580</xdr:rowOff>
              </from>
              <to>
                <xdr:col>0</xdr:col>
                <xdr:colOff>12626340</xdr:colOff>
                <xdr:row>14</xdr:row>
                <xdr:rowOff>22860</xdr:rowOff>
              </to>
            </anchor>
          </controlPr>
        </control>
      </mc:Choice>
      <mc:Fallback>
        <control shapeId="291860" r:id="rId18" name="btn_Filtros_AtivosZerados"/>
      </mc:Fallback>
    </mc:AlternateContent>
    <mc:AlternateContent xmlns:mc="http://schemas.openxmlformats.org/markup-compatibility/2006">
      <mc:Choice Requires="x14">
        <control shapeId="291857" r:id="rId20" name="btn_Filtros_AtivosComAtaZero">
          <controlPr defaultSize="0" autoLine="0" r:id="rId21">
            <anchor moveWithCells="1">
              <from>
                <xdr:col>0</xdr:col>
                <xdr:colOff>6987540</xdr:colOff>
                <xdr:row>4</xdr:row>
                <xdr:rowOff>106680</xdr:rowOff>
              </from>
              <to>
                <xdr:col>0</xdr:col>
                <xdr:colOff>12626340</xdr:colOff>
                <xdr:row>6</xdr:row>
                <xdr:rowOff>60960</xdr:rowOff>
              </to>
            </anchor>
          </controlPr>
        </control>
      </mc:Choice>
      <mc:Fallback>
        <control shapeId="291857" r:id="rId20" name="btn_Filtros_AtivosComAtaZero"/>
      </mc:Fallback>
    </mc:AlternateContent>
    <mc:AlternateContent xmlns:mc="http://schemas.openxmlformats.org/markup-compatibility/2006">
      <mc:Choice Requires="x14">
        <control shapeId="291855" r:id="rId22" name="btn_Filtros_ComQtdJah">
          <controlPr defaultSize="0" autoLine="0" r:id="rId23">
            <anchor moveWithCells="1">
              <from>
                <xdr:col>0</xdr:col>
                <xdr:colOff>632460</xdr:colOff>
                <xdr:row>20</xdr:row>
                <xdr:rowOff>22860</xdr:rowOff>
              </from>
              <to>
                <xdr:col>0</xdr:col>
                <xdr:colOff>6271260</xdr:colOff>
                <xdr:row>21</xdr:row>
                <xdr:rowOff>160020</xdr:rowOff>
              </to>
            </anchor>
          </controlPr>
        </control>
      </mc:Choice>
      <mc:Fallback>
        <control shapeId="291855" r:id="rId22" name="btn_Filtros_ComQtdJah"/>
      </mc:Fallback>
    </mc:AlternateContent>
    <mc:AlternateContent xmlns:mc="http://schemas.openxmlformats.org/markup-compatibility/2006">
      <mc:Choice Requires="x14">
        <control shapeId="291854" r:id="rId24" name="btn_Filtros_FiltroDigitado2">
          <controlPr defaultSize="0" autoLine="0" r:id="rId25">
            <anchor moveWithCells="1">
              <from>
                <xdr:col>9</xdr:col>
                <xdr:colOff>464820</xdr:colOff>
                <xdr:row>0</xdr:row>
                <xdr:rowOff>99060</xdr:rowOff>
              </from>
              <to>
                <xdr:col>11</xdr:col>
                <xdr:colOff>411480</xdr:colOff>
                <xdr:row>3</xdr:row>
                <xdr:rowOff>45720</xdr:rowOff>
              </to>
            </anchor>
          </controlPr>
        </control>
      </mc:Choice>
      <mc:Fallback>
        <control shapeId="291854" r:id="rId24" name="btn_Filtros_FiltroDigitado2"/>
      </mc:Fallback>
    </mc:AlternateContent>
    <mc:AlternateContent xmlns:mc="http://schemas.openxmlformats.org/markup-compatibility/2006">
      <mc:Choice Requires="x14">
        <control shapeId="291853" r:id="rId26" name="btn_Filtros_FiltroDigitado">
          <controlPr defaultSize="0" autoLine="0" r:id="rId27">
            <anchor moveWithCells="1">
              <from>
                <xdr:col>0</xdr:col>
                <xdr:colOff>632460</xdr:colOff>
                <xdr:row>8</xdr:row>
                <xdr:rowOff>83820</xdr:rowOff>
              </from>
              <to>
                <xdr:col>0</xdr:col>
                <xdr:colOff>6271260</xdr:colOff>
                <xdr:row>10</xdr:row>
                <xdr:rowOff>38100</xdr:rowOff>
              </to>
            </anchor>
          </controlPr>
        </control>
      </mc:Choice>
      <mc:Fallback>
        <control shapeId="291853" r:id="rId26" name="btn_Filtros_FiltroDigitado"/>
      </mc:Fallback>
    </mc:AlternateContent>
    <mc:AlternateContent xmlns:mc="http://schemas.openxmlformats.org/markup-compatibility/2006">
      <mc:Choice Requires="x14">
        <control shapeId="291843" r:id="rId28" name="btn_Filtros_ExcluirComSaldo">
          <controlPr defaultSize="0" autoLine="0" r:id="rId29">
            <anchor moveWithCells="1">
              <from>
                <xdr:col>0</xdr:col>
                <xdr:colOff>632460</xdr:colOff>
                <xdr:row>2</xdr:row>
                <xdr:rowOff>114300</xdr:rowOff>
              </from>
              <to>
                <xdr:col>0</xdr:col>
                <xdr:colOff>6271260</xdr:colOff>
                <xdr:row>4</xdr:row>
                <xdr:rowOff>68580</xdr:rowOff>
              </to>
            </anchor>
          </controlPr>
        </control>
      </mc:Choice>
      <mc:Fallback>
        <control shapeId="291843" r:id="rId28" name="btn_Filtros_ExcluirComSaldo"/>
      </mc:Fallback>
    </mc:AlternateContent>
    <mc:AlternateContent xmlns:mc="http://schemas.openxmlformats.org/markup-compatibility/2006">
      <mc:Choice Requires="x14">
        <control shapeId="291842" r:id="rId30" name="btn_Filtros_ExcluirSemSaldo">
          <controlPr defaultSize="0" autoLine="0" r:id="rId31">
            <anchor moveWithCells="1">
              <from>
                <xdr:col>0</xdr:col>
                <xdr:colOff>632460</xdr:colOff>
                <xdr:row>0</xdr:row>
                <xdr:rowOff>129540</xdr:rowOff>
              </from>
              <to>
                <xdr:col>0</xdr:col>
                <xdr:colOff>6271260</xdr:colOff>
                <xdr:row>2</xdr:row>
                <xdr:rowOff>83820</xdr:rowOff>
              </to>
            </anchor>
          </controlPr>
        </control>
      </mc:Choice>
      <mc:Fallback>
        <control shapeId="291842" r:id="rId30" name="btn_Filtros_ExcluirSemSaldo"/>
      </mc:Fallback>
    </mc:AlternateContent>
    <mc:AlternateContent xmlns:mc="http://schemas.openxmlformats.org/markup-compatibility/2006">
      <mc:Choice Requires="x14">
        <control shapeId="291845" r:id="rId32" name="btn_Filtros_Limpar">
          <controlPr defaultSize="0" autoLine="0" r:id="rId33">
            <anchor moveWithCells="1">
              <from>
                <xdr:col>0</xdr:col>
                <xdr:colOff>632460</xdr:colOff>
                <xdr:row>27</xdr:row>
                <xdr:rowOff>167640</xdr:rowOff>
              </from>
              <to>
                <xdr:col>0</xdr:col>
                <xdr:colOff>12618720</xdr:colOff>
                <xdr:row>29</xdr:row>
                <xdr:rowOff>121920</xdr:rowOff>
              </to>
            </anchor>
          </controlPr>
        </control>
      </mc:Choice>
      <mc:Fallback>
        <control shapeId="291845" r:id="rId32" name="btn_Filtros_Limpar"/>
      </mc:Fallback>
    </mc:AlternateContent>
    <mc:AlternateContent xmlns:mc="http://schemas.openxmlformats.org/markup-compatibility/2006">
      <mc:Choice Requires="x14">
        <control shapeId="291846" r:id="rId34" name="btn_Filtros_AtivosComAtaT_Ata">
          <controlPr defaultSize="0" autoLine="0" r:id="rId35">
            <anchor moveWithCells="1">
              <from>
                <xdr:col>0</xdr:col>
                <xdr:colOff>6987540</xdr:colOff>
                <xdr:row>0</xdr:row>
                <xdr:rowOff>129540</xdr:rowOff>
              </from>
              <to>
                <xdr:col>0</xdr:col>
                <xdr:colOff>12626340</xdr:colOff>
                <xdr:row>2</xdr:row>
                <xdr:rowOff>83820</xdr:rowOff>
              </to>
            </anchor>
          </controlPr>
        </control>
      </mc:Choice>
      <mc:Fallback>
        <control shapeId="291846" r:id="rId34" name="btn_Filtros_AtivosComAtaT_Ata"/>
      </mc:Fallback>
    </mc:AlternateContent>
    <mc:AlternateContent xmlns:mc="http://schemas.openxmlformats.org/markup-compatibility/2006">
      <mc:Choice Requires="x14">
        <control shapeId="291847" r:id="rId36" name="btn_Filtros_AtivosComAtaT_Pri">
          <controlPr defaultSize="0" autoLine="0" r:id="rId37">
            <anchor moveWithCells="1">
              <from>
                <xdr:col>0</xdr:col>
                <xdr:colOff>6987540</xdr:colOff>
                <xdr:row>2</xdr:row>
                <xdr:rowOff>114300</xdr:rowOff>
              </from>
              <to>
                <xdr:col>0</xdr:col>
                <xdr:colOff>12626340</xdr:colOff>
                <xdr:row>4</xdr:row>
                <xdr:rowOff>68580</xdr:rowOff>
              </to>
            </anchor>
          </controlPr>
        </control>
      </mc:Choice>
      <mc:Fallback>
        <control shapeId="291847" r:id="rId36" name="btn_Filtros_AtivosComAtaT_Pri"/>
      </mc:Fallback>
    </mc:AlternateContent>
    <mc:AlternateContent xmlns:mc="http://schemas.openxmlformats.org/markup-compatibility/2006">
      <mc:Choice Requires="x14">
        <control shapeId="291848" r:id="rId38" name="btn_Filtros_AtivosSemAtaTodos">
          <controlPr defaultSize="0" autoLine="0" r:id="rId39">
            <anchor moveWithCells="1">
              <from>
                <xdr:col>0</xdr:col>
                <xdr:colOff>6987540</xdr:colOff>
                <xdr:row>6</xdr:row>
                <xdr:rowOff>99060</xdr:rowOff>
              </from>
              <to>
                <xdr:col>0</xdr:col>
                <xdr:colOff>12626340</xdr:colOff>
                <xdr:row>8</xdr:row>
                <xdr:rowOff>53340</xdr:rowOff>
              </to>
            </anchor>
          </controlPr>
        </control>
      </mc:Choice>
      <mc:Fallback>
        <control shapeId="291848" r:id="rId38" name="btn_Filtros_AtivosSemAtaTodos"/>
      </mc:Fallback>
    </mc:AlternateContent>
    <mc:AlternateContent xmlns:mc="http://schemas.openxmlformats.org/markup-compatibility/2006">
      <mc:Choice Requires="x14">
        <control shapeId="291850" r:id="rId40" name="btn_Filtros_ComQtd">
          <controlPr defaultSize="0" autoLine="0" r:id="rId41">
            <anchor moveWithCells="1">
              <from>
                <xdr:col>0</xdr:col>
                <xdr:colOff>632460</xdr:colOff>
                <xdr:row>24</xdr:row>
                <xdr:rowOff>7620</xdr:rowOff>
              </from>
              <to>
                <xdr:col>0</xdr:col>
                <xdr:colOff>6271260</xdr:colOff>
                <xdr:row>25</xdr:row>
                <xdr:rowOff>144780</xdr:rowOff>
              </to>
            </anchor>
          </controlPr>
        </control>
      </mc:Choice>
      <mc:Fallback>
        <control shapeId="291850" r:id="rId40" name="btn_Filtros_ComQtd"/>
      </mc:Fallback>
    </mc:AlternateContent>
    <mc:AlternateContent xmlns:mc="http://schemas.openxmlformats.org/markup-compatibility/2006">
      <mc:Choice Requires="x14">
        <control shapeId="291851" r:id="rId42" name="btn_Filtros_SemMov">
          <controlPr defaultSize="0" autoLine="0" r:id="rId43">
            <anchor moveWithCells="1">
              <from>
                <xdr:col>0</xdr:col>
                <xdr:colOff>632460</xdr:colOff>
                <xdr:row>6</xdr:row>
                <xdr:rowOff>99060</xdr:rowOff>
              </from>
              <to>
                <xdr:col>0</xdr:col>
                <xdr:colOff>6271260</xdr:colOff>
                <xdr:row>8</xdr:row>
                <xdr:rowOff>53340</xdr:rowOff>
              </to>
            </anchor>
          </controlPr>
        </control>
      </mc:Choice>
      <mc:Fallback>
        <control shapeId="291851" r:id="rId42" name="btn_Filtros_SemMov"/>
      </mc:Fallback>
    </mc:AlternateContent>
    <mc:AlternateContent xmlns:mc="http://schemas.openxmlformats.org/markup-compatibility/2006">
      <mc:Choice Requires="x14">
        <control shapeId="291852" r:id="rId44" name="btn_Filtros_SemMovS">
          <controlPr defaultSize="0" autoLine="0" r:id="rId45">
            <anchor moveWithCells="1">
              <from>
                <xdr:col>0</xdr:col>
                <xdr:colOff>632460</xdr:colOff>
                <xdr:row>4</xdr:row>
                <xdr:rowOff>106680</xdr:rowOff>
              </from>
              <to>
                <xdr:col>0</xdr:col>
                <xdr:colOff>6271260</xdr:colOff>
                <xdr:row>6</xdr:row>
                <xdr:rowOff>60960</xdr:rowOff>
              </to>
            </anchor>
          </controlPr>
        </control>
      </mc:Choice>
      <mc:Fallback>
        <control shapeId="291852" r:id="rId44" name="btn_Filtros_SemMovS"/>
      </mc:Fallback>
    </mc:AlternateContent>
    <mc:AlternateContent xmlns:mc="http://schemas.openxmlformats.org/markup-compatibility/2006">
      <mc:Choice Requires="x14">
        <control shapeId="291858" r:id="rId46" name="btn_Filtros_AtivosSemAtaZero">
          <controlPr defaultSize="0" autoLine="0" r:id="rId47">
            <anchor moveWithCells="1">
              <from>
                <xdr:col>0</xdr:col>
                <xdr:colOff>6987540</xdr:colOff>
                <xdr:row>8</xdr:row>
                <xdr:rowOff>83820</xdr:rowOff>
              </from>
              <to>
                <xdr:col>0</xdr:col>
                <xdr:colOff>12626340</xdr:colOff>
                <xdr:row>10</xdr:row>
                <xdr:rowOff>38100</xdr:rowOff>
              </to>
            </anchor>
          </controlPr>
        </control>
      </mc:Choice>
      <mc:Fallback>
        <control shapeId="291858" r:id="rId46" name="btn_Filtros_AtivosSemAtaZero"/>
      </mc:Fallback>
    </mc:AlternateContent>
    <mc:AlternateContent xmlns:mc="http://schemas.openxmlformats.org/markup-compatibility/2006">
      <mc:Choice Requires="x14">
        <control shapeId="291859" r:id="rId48" name="btn_Filtros_AtivosSemAtaRcZ">
          <controlPr defaultSize="0" autoLine="0" r:id="rId49">
            <anchor moveWithCells="1">
              <from>
                <xdr:col>0</xdr:col>
                <xdr:colOff>6987540</xdr:colOff>
                <xdr:row>10</xdr:row>
                <xdr:rowOff>76200</xdr:rowOff>
              </from>
              <to>
                <xdr:col>0</xdr:col>
                <xdr:colOff>12626340</xdr:colOff>
                <xdr:row>12</xdr:row>
                <xdr:rowOff>30480</xdr:rowOff>
              </to>
            </anchor>
          </controlPr>
        </control>
      </mc:Choice>
      <mc:Fallback>
        <control shapeId="291859" r:id="rId48" name="btn_Filtros_AtivosSemAtaRcZ"/>
      </mc:Fallback>
    </mc:AlternateContent>
    <mc:AlternateContent xmlns:mc="http://schemas.openxmlformats.org/markup-compatibility/2006">
      <mc:Choice Requires="x14">
        <control shapeId="291862" r:id="rId50" name="btn_Filtros_ComSugest">
          <controlPr defaultSize="0" autoLine="0" r:id="rId51">
            <anchor moveWithCells="1">
              <from>
                <xdr:col>0</xdr:col>
                <xdr:colOff>6987540</xdr:colOff>
                <xdr:row>18</xdr:row>
                <xdr:rowOff>38100</xdr:rowOff>
              </from>
              <to>
                <xdr:col>0</xdr:col>
                <xdr:colOff>12626340</xdr:colOff>
                <xdr:row>19</xdr:row>
                <xdr:rowOff>175260</xdr:rowOff>
              </to>
            </anchor>
          </controlPr>
        </control>
      </mc:Choice>
      <mc:Fallback>
        <control shapeId="291862" r:id="rId50" name="btn_Filtros_ComSugest"/>
      </mc:Fallback>
    </mc:AlternateContent>
    <mc:AlternateContent xmlns:mc="http://schemas.openxmlformats.org/markup-compatibility/2006">
      <mc:Choice Requires="x14">
        <control shapeId="291863" r:id="rId52" name="btn_Filtros_AtivosAbxPonP">
          <controlPr defaultSize="0" autoLine="0" r:id="rId53">
            <anchor moveWithCells="1">
              <from>
                <xdr:col>0</xdr:col>
                <xdr:colOff>6987540</xdr:colOff>
                <xdr:row>22</xdr:row>
                <xdr:rowOff>15240</xdr:rowOff>
              </from>
              <to>
                <xdr:col>0</xdr:col>
                <xdr:colOff>12626340</xdr:colOff>
                <xdr:row>23</xdr:row>
                <xdr:rowOff>152400</xdr:rowOff>
              </to>
            </anchor>
          </controlPr>
        </control>
      </mc:Choice>
      <mc:Fallback>
        <control shapeId="291863" r:id="rId52" name="btn_Filtros_AtivosAbxPonP"/>
      </mc:Fallback>
    </mc:AlternateContent>
    <mc:AlternateContent xmlns:mc="http://schemas.openxmlformats.org/markup-compatibility/2006">
      <mc:Choice Requires="x14">
        <control shapeId="291865" r:id="rId54" name="btn_Filtros_AbxPpComAF">
          <controlPr defaultSize="0" autoLine="0" r:id="rId55">
            <anchor moveWithCells="1">
              <from>
                <xdr:col>0</xdr:col>
                <xdr:colOff>632460</xdr:colOff>
                <xdr:row>10</xdr:row>
                <xdr:rowOff>76200</xdr:rowOff>
              </from>
              <to>
                <xdr:col>0</xdr:col>
                <xdr:colOff>6271260</xdr:colOff>
                <xdr:row>12</xdr:row>
                <xdr:rowOff>30480</xdr:rowOff>
              </to>
            </anchor>
          </controlPr>
        </control>
      </mc:Choice>
      <mc:Fallback>
        <control shapeId="291865" r:id="rId54" name="btn_Filtros_AbxPpComAF"/>
      </mc:Fallback>
    </mc:AlternateContent>
    <mc:AlternateContent xmlns:mc="http://schemas.openxmlformats.org/markup-compatibility/2006">
      <mc:Choice Requires="x14">
        <control shapeId="291867" r:id="rId56" name="btn_Filtros_Cronograma">
          <controlPr defaultSize="0" autoLine="0" r:id="rId57">
            <anchor moveWithCells="1">
              <from>
                <xdr:col>0</xdr:col>
                <xdr:colOff>632460</xdr:colOff>
                <xdr:row>14</xdr:row>
                <xdr:rowOff>53340</xdr:rowOff>
              </from>
              <to>
                <xdr:col>0</xdr:col>
                <xdr:colOff>6271260</xdr:colOff>
                <xdr:row>16</xdr:row>
                <xdr:rowOff>7620</xdr:rowOff>
              </to>
            </anchor>
          </controlPr>
        </control>
      </mc:Choice>
      <mc:Fallback>
        <control shapeId="291867" r:id="rId56" name="btn_Filtros_Cronograma"/>
      </mc:Fallback>
    </mc:AlternateContent>
    <mc:AlternateContent xmlns:mc="http://schemas.openxmlformats.org/markup-compatibility/2006">
      <mc:Choice Requires="x14">
        <control shapeId="291981" r:id="rId58" name="btn_Filtros_CronogrAta">
          <controlPr defaultSize="0" autoLine="0" r:id="rId59">
            <anchor moveWithCells="1">
              <from>
                <xdr:col>0</xdr:col>
                <xdr:colOff>6987540</xdr:colOff>
                <xdr:row>14</xdr:row>
                <xdr:rowOff>53340</xdr:rowOff>
              </from>
              <to>
                <xdr:col>0</xdr:col>
                <xdr:colOff>12626340</xdr:colOff>
                <xdr:row>16</xdr:row>
                <xdr:rowOff>7620</xdr:rowOff>
              </to>
            </anchor>
          </controlPr>
        </control>
      </mc:Choice>
      <mc:Fallback>
        <control shapeId="291981" r:id="rId58" name="btn_Filtros_CronogrAta"/>
      </mc:Fallback>
    </mc:AlternateContent>
    <mc:AlternateContent xmlns:mc="http://schemas.openxmlformats.org/markup-compatibility/2006">
      <mc:Choice Requires="x14">
        <control shapeId="291982" r:id="rId60" name="btn_Filtros_AtalhPlDRM">
          <controlPr defaultSize="0" autoLine="0" r:id="rId61">
            <anchor moveWithCells="1">
              <from>
                <xdr:col>7</xdr:col>
                <xdr:colOff>457200</xdr:colOff>
                <xdr:row>10</xdr:row>
                <xdr:rowOff>30480</xdr:rowOff>
              </from>
              <to>
                <xdr:col>11</xdr:col>
                <xdr:colOff>381000</xdr:colOff>
                <xdr:row>12</xdr:row>
                <xdr:rowOff>160020</xdr:rowOff>
              </to>
            </anchor>
          </controlPr>
        </control>
      </mc:Choice>
      <mc:Fallback>
        <control shapeId="291982" r:id="rId60" name="btn_Filtros_AtalhPlDRM"/>
      </mc:Fallback>
    </mc:AlternateContent>
    <mc:AlternateContent xmlns:mc="http://schemas.openxmlformats.org/markup-compatibility/2006">
      <mc:Choice Requires="x14">
        <control shapeId="291984" r:id="rId62" name="btn_Filtros_SdoAtaAbx">
          <controlPr defaultSize="0" autoLine="0" r:id="rId63">
            <anchor moveWithCells="1">
              <from>
                <xdr:col>0</xdr:col>
                <xdr:colOff>632460</xdr:colOff>
                <xdr:row>16</xdr:row>
                <xdr:rowOff>45720</xdr:rowOff>
              </from>
              <to>
                <xdr:col>0</xdr:col>
                <xdr:colOff>6271260</xdr:colOff>
                <xdr:row>18</xdr:row>
                <xdr:rowOff>0</xdr:rowOff>
              </to>
            </anchor>
          </controlPr>
        </control>
      </mc:Choice>
      <mc:Fallback>
        <control shapeId="291984" r:id="rId62" name="btn_Filtros_SdoAtaAbx"/>
      </mc:Fallback>
    </mc:AlternateContent>
  </controls>
  <tableParts count="1">
    <tablePart r:id="rId6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862"/>
  <sheetViews>
    <sheetView zoomScaleNormal="100" workbookViewId="0">
      <pane ySplit="2" topLeftCell="A3" activePane="bottomLeft" state="frozen"/>
      <selection pane="bottomLeft" activeCell="I4" sqref="I4"/>
    </sheetView>
  </sheetViews>
  <sheetFormatPr defaultRowHeight="14.4" x14ac:dyDescent="0.3"/>
  <cols>
    <col min="1" max="1" width="50.77734375" style="4" customWidth="1"/>
    <col min="2" max="2" width="5.77734375" style="3" customWidth="1"/>
    <col min="3" max="4" width="8.88671875" style="2" bestFit="1" customWidth="1"/>
    <col min="5" max="5" width="11.77734375" style="2" customWidth="1"/>
    <col min="6" max="7" width="7.88671875" style="2" bestFit="1" customWidth="1"/>
    <col min="8" max="8" width="8.88671875" style="2" bestFit="1" customWidth="1"/>
    <col min="9" max="18" width="7.88671875" style="2" bestFit="1" customWidth="1"/>
    <col min="19" max="19" width="5.77734375" style="2" customWidth="1"/>
    <col min="20" max="20" width="11.33203125" style="2" bestFit="1" customWidth="1"/>
    <col min="21" max="21" width="8.88671875" style="2" bestFit="1" customWidth="1"/>
    <col min="22" max="23" width="8.88671875" bestFit="1" customWidth="1"/>
    <col min="24" max="24" width="6.6640625" bestFit="1" customWidth="1"/>
    <col min="25" max="25" width="12" bestFit="1" customWidth="1"/>
    <col min="26" max="26" width="11.5546875" bestFit="1" customWidth="1"/>
    <col min="27" max="27" width="8.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862</v>
      </c>
      <c r="F1" s="12"/>
      <c r="BC1" s="42"/>
      <c r="BD1"/>
      <c r="BI1" s="60"/>
      <c r="BJ1"/>
    </row>
    <row r="2" spans="1:62" s="15" customFormat="1" ht="15.6" x14ac:dyDescent="0.3">
      <c r="A2" s="147" t="s">
        <v>2211</v>
      </c>
      <c r="B2" s="33" t="s">
        <v>31</v>
      </c>
      <c r="C2" s="80" t="s">
        <v>2212</v>
      </c>
      <c r="D2" s="82" t="s">
        <v>86</v>
      </c>
      <c r="E2" s="82" t="s">
        <v>2216</v>
      </c>
      <c r="F2" s="82" t="s">
        <v>2217</v>
      </c>
      <c r="G2" s="81" t="s">
        <v>2218</v>
      </c>
      <c r="H2" s="81" t="s">
        <v>2219</v>
      </c>
      <c r="I2" s="81" t="s">
        <v>2220</v>
      </c>
      <c r="J2" s="82" t="s">
        <v>2221</v>
      </c>
      <c r="K2" s="82" t="s">
        <v>2222</v>
      </c>
      <c r="L2" s="82" t="s">
        <v>2223</v>
      </c>
      <c r="M2" s="82" t="s">
        <v>2224</v>
      </c>
      <c r="N2" s="82" t="s">
        <v>2225</v>
      </c>
      <c r="O2" s="82" t="s">
        <v>2226</v>
      </c>
      <c r="P2" s="82" t="s">
        <v>2227</v>
      </c>
      <c r="Q2" s="82" t="s">
        <v>2228</v>
      </c>
      <c r="R2" s="148" t="s">
        <v>2229</v>
      </c>
      <c r="S2" s="82" t="s">
        <v>2230</v>
      </c>
      <c r="T2" s="148" t="s">
        <v>2231</v>
      </c>
      <c r="U2" s="148" t="s">
        <v>2232</v>
      </c>
      <c r="V2" s="148" t="s">
        <v>2233</v>
      </c>
      <c r="W2" s="148" t="s">
        <v>2234</v>
      </c>
      <c r="X2" s="148" t="s">
        <v>2235</v>
      </c>
      <c r="Y2" s="166" t="s">
        <v>2236</v>
      </c>
      <c r="Z2" s="166" t="s">
        <v>2237</v>
      </c>
      <c r="AA2" s="166" t="s">
        <v>107</v>
      </c>
      <c r="AB2" s="82" t="s">
        <v>51</v>
      </c>
      <c r="AC2" s="82" t="s">
        <v>55</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1555</v>
      </c>
      <c r="B3" s="3" t="s">
        <v>263</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t="shared" ref="X3:X66" si="0" xml:space="preserve"> 2</f>
        <v>2</v>
      </c>
      <c r="Y3" s="222">
        <v>561.41666666666663</v>
      </c>
      <c r="Z3" s="223">
        <f>SUM( tabConsumo[[#This Row],[QTD.PENDENTE]]:tabConsumo[[#This Row],[09_23]] )</f>
        <v>6737</v>
      </c>
      <c r="AA3" s="223">
        <f>LARGE(tabConsumo[[#This Row],[10_22]:[09_23]],1)</f>
        <v>1800</v>
      </c>
      <c r="AB3" s="146" t="s">
        <v>2238</v>
      </c>
      <c r="AC3" s="239" t="s">
        <v>2086</v>
      </c>
      <c r="AD3" s="44"/>
      <c r="AE3" s="222"/>
      <c r="AF3" s="223"/>
      <c r="AG3" s="223"/>
      <c r="AH3" s="146"/>
      <c r="AI3" s="219"/>
      <c r="AJ3" s="221"/>
      <c r="AK3" s="5"/>
      <c r="AL3" s="222"/>
      <c r="AM3" s="223"/>
      <c r="AN3" s="223"/>
      <c r="AO3" s="146"/>
      <c r="AP3" s="3"/>
    </row>
    <row r="4" spans="1:62" x14ac:dyDescent="0.3">
      <c r="A4" s="4" t="s">
        <v>1556</v>
      </c>
      <c r="B4" s="3" t="s">
        <v>263</v>
      </c>
      <c r="C4" s="2">
        <v>95229</v>
      </c>
      <c r="D4" s="2">
        <v>0</v>
      </c>
      <c r="E4" s="2">
        <v>1687</v>
      </c>
      <c r="F4" s="2">
        <v>500</v>
      </c>
      <c r="G4" s="2">
        <v>350</v>
      </c>
      <c r="H4" s="2">
        <v>900</v>
      </c>
      <c r="I4" s="2">
        <v>400</v>
      </c>
      <c r="J4" s="2">
        <v>870</v>
      </c>
      <c r="K4" s="2">
        <v>1332</v>
      </c>
      <c r="L4" s="2">
        <v>851</v>
      </c>
      <c r="M4" s="2">
        <v>1203</v>
      </c>
      <c r="N4" s="2">
        <v>3200</v>
      </c>
      <c r="O4" s="2">
        <v>113</v>
      </c>
      <c r="P4" s="2">
        <v>0</v>
      </c>
      <c r="Q4" s="2">
        <v>0</v>
      </c>
      <c r="R4" s="238">
        <v>39007</v>
      </c>
      <c r="S4" s="219">
        <v>12</v>
      </c>
      <c r="T4" s="220">
        <f>SUM( tabConsumo[[#This Row],[QTD.PENDENTE]]:tabConsumo[[#This Row],[09_23]] ) / tabConsumo[[#This Row],[Div]]</f>
        <v>950.5</v>
      </c>
      <c r="U4" s="221">
        <f xml:space="preserve"> tabConsumo[[#This Row],[Média.A]] + (_xlfn.STDEV.S( tabConsumo[[#This Row],[QTD.PENDENTE]]:tabConsumo[[#This Row],[09_23]] ) * 1)</f>
        <v>1823.0596004917122</v>
      </c>
      <c r="V4" s="221">
        <f xml:space="preserve"> tabConsumo[[#This Row],[Média.A]] + (_xlfn.STDEV.S( tabConsumo[[#This Row],[QTD.PENDENTE]]:tabConsumo[[#This Row],[09_23]] ) * 2)</f>
        <v>2695.6192009834244</v>
      </c>
      <c r="W4" s="221">
        <f xml:space="preserve"> tabConsumo[[#This Row],[Média.A]] + (_xlfn.STDEV.S( tabConsumo[[#This Row],[QTD.PENDENTE]]:tabConsumo[[#This Row],[09_23]] ) * 3)</f>
        <v>3568.1788014751364</v>
      </c>
      <c r="X4" s="5">
        <f t="shared" si="0"/>
        <v>2</v>
      </c>
      <c r="Y4">
        <v>908.41666666666663</v>
      </c>
      <c r="Z4" s="223">
        <f>SUM( tabConsumo[[#This Row],[QTD.PENDENTE]]:tabConsumo[[#This Row],[09_23]] )</f>
        <v>11406</v>
      </c>
      <c r="AA4" s="223">
        <f>LARGE(tabConsumo[[#This Row],[10_22]:[09_23]],1)</f>
        <v>3200</v>
      </c>
      <c r="AB4" s="146" t="s">
        <v>2239</v>
      </c>
      <c r="AC4" s="3" t="s">
        <v>2086</v>
      </c>
    </row>
    <row r="5" spans="1:62" x14ac:dyDescent="0.3">
      <c r="A5" s="4" t="s">
        <v>1449</v>
      </c>
      <c r="B5" s="3" t="s">
        <v>263</v>
      </c>
      <c r="C5" s="2">
        <v>78399</v>
      </c>
      <c r="D5" s="2">
        <v>325</v>
      </c>
      <c r="F5" s="2">
        <v>0</v>
      </c>
      <c r="G5" s="2">
        <v>6</v>
      </c>
      <c r="H5" s="2">
        <v>0</v>
      </c>
      <c r="I5" s="2">
        <v>0</v>
      </c>
      <c r="J5" s="2">
        <v>0</v>
      </c>
      <c r="K5" s="2">
        <v>0</v>
      </c>
      <c r="L5" s="2">
        <v>0</v>
      </c>
      <c r="M5" s="2">
        <v>0</v>
      </c>
      <c r="N5" s="2">
        <v>0</v>
      </c>
      <c r="O5" s="2">
        <v>10</v>
      </c>
      <c r="P5" s="2">
        <v>0</v>
      </c>
      <c r="Q5" s="2">
        <v>0</v>
      </c>
      <c r="R5" s="238">
        <v>38096</v>
      </c>
      <c r="S5" s="219">
        <v>12</v>
      </c>
      <c r="T5" s="220">
        <f>SUM( tabConsumo[[#This Row],[QTD.PENDENTE]]:tabConsumo[[#This Row],[09_23]] ) / tabConsumo[[#This Row],[Div]]</f>
        <v>1.3333333333333333</v>
      </c>
      <c r="U5" s="221">
        <f xml:space="preserve"> tabConsumo[[#This Row],[Média.A]] + (_xlfn.STDEV.S( tabConsumo[[#This Row],[QTD.PENDENTE]]:tabConsumo[[#This Row],[09_23]] ) * 1)</f>
        <v>4.5619928731799275</v>
      </c>
      <c r="V5" s="221">
        <f xml:space="preserve"> tabConsumo[[#This Row],[Média.A]] + (_xlfn.STDEV.S( tabConsumo[[#This Row],[QTD.PENDENTE]]:tabConsumo[[#This Row],[09_23]] ) * 2)</f>
        <v>7.790652413026522</v>
      </c>
      <c r="W5" s="221">
        <f xml:space="preserve"> tabConsumo[[#This Row],[Média.A]] + (_xlfn.STDEV.S( tabConsumo[[#This Row],[QTD.PENDENTE]]:tabConsumo[[#This Row],[09_23]] ) * 3)</f>
        <v>11.019311952873117</v>
      </c>
      <c r="X5" s="5">
        <f t="shared" si="0"/>
        <v>2</v>
      </c>
      <c r="Y5">
        <v>1.0833333333333333</v>
      </c>
      <c r="Z5" s="223">
        <f>SUM( tabConsumo[[#This Row],[QTD.PENDENTE]]:tabConsumo[[#This Row],[09_23]] )</f>
        <v>16</v>
      </c>
      <c r="AA5" s="223">
        <f>LARGE(tabConsumo[[#This Row],[10_22]:[09_23]],1)</f>
        <v>10</v>
      </c>
      <c r="AB5" s="146" t="s">
        <v>2239</v>
      </c>
      <c r="AC5" s="3" t="s">
        <v>2086</v>
      </c>
    </row>
    <row r="6" spans="1:62" x14ac:dyDescent="0.3">
      <c r="A6" s="4" t="s">
        <v>1053</v>
      </c>
      <c r="B6" s="3" t="s">
        <v>263</v>
      </c>
      <c r="C6" s="2">
        <v>14013</v>
      </c>
      <c r="D6" s="2">
        <v>190</v>
      </c>
      <c r="F6" s="2">
        <v>30</v>
      </c>
      <c r="G6" s="2">
        <v>55</v>
      </c>
      <c r="H6" s="2">
        <v>70</v>
      </c>
      <c r="I6" s="2">
        <v>40</v>
      </c>
      <c r="J6" s="2">
        <v>50</v>
      </c>
      <c r="K6" s="2">
        <v>62</v>
      </c>
      <c r="L6" s="2">
        <v>90</v>
      </c>
      <c r="M6" s="2">
        <v>0</v>
      </c>
      <c r="N6" s="2">
        <v>100</v>
      </c>
      <c r="O6" s="2">
        <v>0</v>
      </c>
      <c r="P6" s="2">
        <v>100</v>
      </c>
      <c r="Q6" s="2">
        <v>100</v>
      </c>
      <c r="R6" s="238">
        <v>367</v>
      </c>
      <c r="S6" s="219">
        <f t="shared" ref="S6:S16" si="1" xml:space="preserve"> 12</f>
        <v>12</v>
      </c>
      <c r="T6" s="220">
        <f>SUM( tabConsumo[[#This Row],[QTD.PENDENTE]]:tabConsumo[[#This Row],[09_23]] ) / tabConsumo[[#This Row],[Div]]</f>
        <v>58.083333333333336</v>
      </c>
      <c r="U6" s="221">
        <f xml:space="preserve"> tabConsumo[[#This Row],[Média.A]] + (_xlfn.STDEV.S( tabConsumo[[#This Row],[QTD.PENDENTE]]:tabConsumo[[#This Row],[09_23]] ) * 1)</f>
        <v>94.245740567499823</v>
      </c>
      <c r="V6" s="221">
        <f xml:space="preserve"> tabConsumo[[#This Row],[Média.A]] + (_xlfn.STDEV.S( tabConsumo[[#This Row],[QTD.PENDENTE]]:tabConsumo[[#This Row],[09_23]] ) * 2)</f>
        <v>130.4081478016663</v>
      </c>
      <c r="W6" s="221">
        <f xml:space="preserve"> tabConsumo[[#This Row],[Média.A]] + (_xlfn.STDEV.S( tabConsumo[[#This Row],[QTD.PENDENTE]]:tabConsumo[[#This Row],[09_23]] ) * 3)</f>
        <v>166.5705550358328</v>
      </c>
      <c r="X6" s="5">
        <f t="shared" si="0"/>
        <v>2</v>
      </c>
      <c r="Y6">
        <v>58.083333333333336</v>
      </c>
      <c r="Z6" s="223">
        <f>SUM( tabConsumo[[#This Row],[QTD.PENDENTE]]:tabConsumo[[#This Row],[09_23]] )</f>
        <v>697</v>
      </c>
      <c r="AA6" s="223">
        <f>LARGE(tabConsumo[[#This Row],[10_22]:[09_23]],1)</f>
        <v>100</v>
      </c>
      <c r="AB6" s="146" t="s">
        <v>2238</v>
      </c>
      <c r="AC6" s="3" t="s">
        <v>2086</v>
      </c>
    </row>
    <row r="7" spans="1:62" x14ac:dyDescent="0.3">
      <c r="A7" s="4" t="s">
        <v>1051</v>
      </c>
      <c r="B7" s="3" t="s">
        <v>263</v>
      </c>
      <c r="C7" s="2">
        <v>14012</v>
      </c>
      <c r="D7" s="2">
        <v>3316</v>
      </c>
      <c r="F7" s="2">
        <v>50</v>
      </c>
      <c r="G7" s="2">
        <v>40</v>
      </c>
      <c r="H7" s="2">
        <v>180</v>
      </c>
      <c r="I7" s="2">
        <v>224</v>
      </c>
      <c r="J7" s="2">
        <v>60</v>
      </c>
      <c r="K7" s="2">
        <v>30</v>
      </c>
      <c r="L7" s="2">
        <v>102</v>
      </c>
      <c r="M7" s="2">
        <v>0</v>
      </c>
      <c r="N7" s="2">
        <v>100</v>
      </c>
      <c r="O7" s="2">
        <v>40</v>
      </c>
      <c r="P7" s="2">
        <v>100</v>
      </c>
      <c r="Q7" s="2">
        <v>100</v>
      </c>
      <c r="R7" s="238">
        <v>367</v>
      </c>
      <c r="S7" s="219">
        <f t="shared" si="1"/>
        <v>12</v>
      </c>
      <c r="T7" s="220">
        <f>SUM( tabConsumo[[#This Row],[QTD.PENDENTE]]:tabConsumo[[#This Row],[09_23]] ) / tabConsumo[[#This Row],[Div]]</f>
        <v>85.5</v>
      </c>
      <c r="U7" s="221">
        <f xml:space="preserve"> tabConsumo[[#This Row],[Média.A]] + (_xlfn.STDEV.S( tabConsumo[[#This Row],[QTD.PENDENTE]]:tabConsumo[[#This Row],[09_23]] ) * 1)</f>
        <v>149.78417025562783</v>
      </c>
      <c r="V7" s="221">
        <f xml:space="preserve"> tabConsumo[[#This Row],[Média.A]] + (_xlfn.STDEV.S( tabConsumo[[#This Row],[QTD.PENDENTE]]:tabConsumo[[#This Row],[09_23]] ) * 2)</f>
        <v>214.06834051125566</v>
      </c>
      <c r="W7" s="221">
        <f xml:space="preserve"> tabConsumo[[#This Row],[Média.A]] + (_xlfn.STDEV.S( tabConsumo[[#This Row],[QTD.PENDENTE]]:tabConsumo[[#This Row],[09_23]] ) * 3)</f>
        <v>278.35251076688348</v>
      </c>
      <c r="X7" s="5">
        <f t="shared" si="0"/>
        <v>2</v>
      </c>
      <c r="Y7">
        <v>84.666666666666671</v>
      </c>
      <c r="Z7" s="223">
        <f>SUM( tabConsumo[[#This Row],[QTD.PENDENTE]]:tabConsumo[[#This Row],[09_23]] )</f>
        <v>1026</v>
      </c>
      <c r="AA7" s="223">
        <f>LARGE(tabConsumo[[#This Row],[10_22]:[09_23]],1)</f>
        <v>224</v>
      </c>
      <c r="AB7" s="146" t="s">
        <v>2238</v>
      </c>
      <c r="AC7" s="3" t="s">
        <v>2086</v>
      </c>
    </row>
    <row r="8" spans="1:62" x14ac:dyDescent="0.3">
      <c r="A8" s="4" t="s">
        <v>924</v>
      </c>
      <c r="B8" s="3" t="s">
        <v>267</v>
      </c>
      <c r="C8" s="2">
        <v>10867</v>
      </c>
      <c r="D8" s="2">
        <v>12771</v>
      </c>
      <c r="E8" s="2">
        <v>234</v>
      </c>
      <c r="F8" s="2">
        <v>3367</v>
      </c>
      <c r="G8" s="2">
        <v>4128</v>
      </c>
      <c r="H8" s="2">
        <v>2246</v>
      </c>
      <c r="I8" s="2">
        <v>1272</v>
      </c>
      <c r="J8" s="2">
        <v>3033</v>
      </c>
      <c r="K8" s="2">
        <v>4414</v>
      </c>
      <c r="L8" s="2">
        <v>3250</v>
      </c>
      <c r="M8" s="2">
        <v>3240</v>
      </c>
      <c r="N8" s="2">
        <v>3854</v>
      </c>
      <c r="O8" s="2">
        <v>3597</v>
      </c>
      <c r="P8" s="2">
        <v>4080</v>
      </c>
      <c r="Q8" s="2">
        <v>3603</v>
      </c>
      <c r="R8" s="238">
        <v>367</v>
      </c>
      <c r="S8" s="219">
        <f t="shared" si="1"/>
        <v>12</v>
      </c>
      <c r="T8" s="220">
        <f>SUM( tabConsumo[[#This Row],[QTD.PENDENTE]]:tabConsumo[[#This Row],[09_23]] ) / tabConsumo[[#This Row],[Div]]</f>
        <v>3359.8333333333335</v>
      </c>
      <c r="U8" s="221">
        <f xml:space="preserve"> tabConsumo[[#This Row],[Média.A]] + (_xlfn.STDEV.S( tabConsumo[[#This Row],[QTD.PENDENTE]]:tabConsumo[[#This Row],[09_23]] ) * 1)</f>
        <v>4557.5750652648276</v>
      </c>
      <c r="V8" s="221">
        <f xml:space="preserve"> tabConsumo[[#This Row],[Média.A]] + (_xlfn.STDEV.S( tabConsumo[[#This Row],[QTD.PENDENTE]]:tabConsumo[[#This Row],[09_23]] ) * 2)</f>
        <v>5755.316797196323</v>
      </c>
      <c r="W8" s="221">
        <f xml:space="preserve"> tabConsumo[[#This Row],[Média.A]] + (_xlfn.STDEV.S( tabConsumo[[#This Row],[QTD.PENDENTE]]:tabConsumo[[#This Row],[09_23]] ) * 3)</f>
        <v>6953.0585291278167</v>
      </c>
      <c r="X8" s="5">
        <f t="shared" si="0"/>
        <v>2</v>
      </c>
      <c r="Y8">
        <v>3359.8333333333335</v>
      </c>
      <c r="Z8" s="223">
        <f>SUM( tabConsumo[[#This Row],[QTD.PENDENTE]]:tabConsumo[[#This Row],[09_23]] )</f>
        <v>40318</v>
      </c>
      <c r="AA8" s="223">
        <f>LARGE(tabConsumo[[#This Row],[10_22]:[09_23]],1)</f>
        <v>4414</v>
      </c>
      <c r="AB8" s="146" t="s">
        <v>2238</v>
      </c>
      <c r="AC8" s="3" t="s">
        <v>2086</v>
      </c>
    </row>
    <row r="9" spans="1:62" x14ac:dyDescent="0.3">
      <c r="A9" s="4" t="s">
        <v>1231</v>
      </c>
      <c r="B9" s="3" t="s">
        <v>263</v>
      </c>
      <c r="C9" s="2">
        <v>28181</v>
      </c>
      <c r="D9" s="2">
        <v>12</v>
      </c>
      <c r="F9" s="2">
        <v>0</v>
      </c>
      <c r="G9" s="2">
        <v>0</v>
      </c>
      <c r="H9" s="2">
        <v>0</v>
      </c>
      <c r="I9" s="2">
        <v>0</v>
      </c>
      <c r="J9" s="2">
        <v>0</v>
      </c>
      <c r="K9" s="2">
        <v>0</v>
      </c>
      <c r="L9" s="2">
        <v>5</v>
      </c>
      <c r="M9" s="2">
        <v>0</v>
      </c>
      <c r="N9" s="2">
        <v>0</v>
      </c>
      <c r="O9" s="2">
        <v>0</v>
      </c>
      <c r="P9" s="2">
        <v>0</v>
      </c>
      <c r="Q9" s="2">
        <v>0</v>
      </c>
      <c r="R9" s="238">
        <v>367</v>
      </c>
      <c r="S9" s="219">
        <f t="shared" si="1"/>
        <v>12</v>
      </c>
      <c r="T9" s="220">
        <f>SUM( tabConsumo[[#This Row],[QTD.PENDENTE]]:tabConsumo[[#This Row],[09_23]] ) / tabConsumo[[#This Row],[Div]]</f>
        <v>0.41666666666666669</v>
      </c>
      <c r="U9" s="221">
        <f xml:space="preserve"> tabConsumo[[#This Row],[Média.A]] + (_xlfn.STDEV.S( tabConsumo[[#This Row],[QTD.PENDENTE]]:tabConsumo[[#This Row],[09_23]] ) * 1)</f>
        <v>1.8600423396407313</v>
      </c>
      <c r="V9" s="221">
        <f xml:space="preserve"> tabConsumo[[#This Row],[Média.A]] + (_xlfn.STDEV.S( tabConsumo[[#This Row],[QTD.PENDENTE]]:tabConsumo[[#This Row],[09_23]] ) * 2)</f>
        <v>3.3034180126147956</v>
      </c>
      <c r="W9" s="221">
        <f xml:space="preserve"> tabConsumo[[#This Row],[Média.A]] + (_xlfn.STDEV.S( tabConsumo[[#This Row],[QTD.PENDENTE]]:tabConsumo[[#This Row],[09_23]] ) * 3)</f>
        <v>4.7467936855888606</v>
      </c>
      <c r="X9" s="5">
        <f t="shared" si="0"/>
        <v>2</v>
      </c>
      <c r="Y9">
        <v>0.25</v>
      </c>
      <c r="Z9" s="223">
        <f>SUM( tabConsumo[[#This Row],[QTD.PENDENTE]]:tabConsumo[[#This Row],[09_23]] )</f>
        <v>5</v>
      </c>
      <c r="AA9" s="223">
        <f>LARGE(tabConsumo[[#This Row],[10_22]:[09_23]],1)</f>
        <v>5</v>
      </c>
      <c r="AB9" s="146" t="s">
        <v>2240</v>
      </c>
      <c r="AC9" s="3" t="s">
        <v>2086</v>
      </c>
    </row>
    <row r="10" spans="1:62" x14ac:dyDescent="0.3">
      <c r="A10" s="4" t="s">
        <v>968</v>
      </c>
      <c r="B10" s="3" t="s">
        <v>263</v>
      </c>
      <c r="C10" s="2">
        <v>12824</v>
      </c>
      <c r="D10" s="2">
        <v>92</v>
      </c>
      <c r="F10" s="2">
        <v>4</v>
      </c>
      <c r="G10" s="2">
        <v>0</v>
      </c>
      <c r="H10" s="2">
        <v>4</v>
      </c>
      <c r="I10" s="2">
        <v>0</v>
      </c>
      <c r="J10" s="2">
        <v>2</v>
      </c>
      <c r="K10" s="2">
        <v>0</v>
      </c>
      <c r="L10" s="2">
        <v>5</v>
      </c>
      <c r="M10" s="2">
        <v>0</v>
      </c>
      <c r="N10" s="2">
        <v>0</v>
      </c>
      <c r="O10" s="2">
        <v>0</v>
      </c>
      <c r="P10" s="2">
        <v>0</v>
      </c>
      <c r="Q10" s="2">
        <v>0</v>
      </c>
      <c r="R10" s="238">
        <v>367</v>
      </c>
      <c r="S10" s="219">
        <f t="shared" si="1"/>
        <v>12</v>
      </c>
      <c r="T10" s="220">
        <f>SUM( tabConsumo[[#This Row],[QTD.PENDENTE]]:tabConsumo[[#This Row],[09_23]] ) / tabConsumo[[#This Row],[Div]]</f>
        <v>1.25</v>
      </c>
      <c r="U10" s="221">
        <f xml:space="preserve"> tabConsumo[[#This Row],[Média.A]] + (_xlfn.STDEV.S( tabConsumo[[#This Row],[QTD.PENDENTE]]:tabConsumo[[#This Row],[09_23]] ) * 1)</f>
        <v>3.2098237397554632</v>
      </c>
      <c r="V10" s="221">
        <f xml:space="preserve"> tabConsumo[[#This Row],[Média.A]] + (_xlfn.STDEV.S( tabConsumo[[#This Row],[QTD.PENDENTE]]:tabConsumo[[#This Row],[09_23]] ) * 2)</f>
        <v>5.1696474795109264</v>
      </c>
      <c r="W10" s="221">
        <f xml:space="preserve"> tabConsumo[[#This Row],[Média.A]] + (_xlfn.STDEV.S( tabConsumo[[#This Row],[QTD.PENDENTE]]:tabConsumo[[#This Row],[09_23]] ) * 3)</f>
        <v>7.1294712192663905</v>
      </c>
      <c r="X10" s="5">
        <f t="shared" si="0"/>
        <v>2</v>
      </c>
      <c r="Y10">
        <v>1.25</v>
      </c>
      <c r="Z10" s="223">
        <f>SUM( tabConsumo[[#This Row],[QTD.PENDENTE]]:tabConsumo[[#This Row],[09_23]] )</f>
        <v>15</v>
      </c>
      <c r="AA10" s="223">
        <f>LARGE(tabConsumo[[#This Row],[10_22]:[09_23]],1)</f>
        <v>5</v>
      </c>
      <c r="AB10" s="146" t="s">
        <v>2240</v>
      </c>
      <c r="AC10" s="3" t="s">
        <v>2086</v>
      </c>
    </row>
    <row r="11" spans="1:62" x14ac:dyDescent="0.3">
      <c r="A11" s="4" t="s">
        <v>967</v>
      </c>
      <c r="B11" s="3" t="s">
        <v>263</v>
      </c>
      <c r="C11" s="2">
        <v>12821</v>
      </c>
      <c r="D11" s="2">
        <v>137</v>
      </c>
      <c r="F11" s="2">
        <v>0</v>
      </c>
      <c r="G11" s="2">
        <v>0</v>
      </c>
      <c r="H11" s="2">
        <v>0</v>
      </c>
      <c r="I11" s="2">
        <v>0</v>
      </c>
      <c r="J11" s="2">
        <v>1</v>
      </c>
      <c r="K11" s="2">
        <v>0</v>
      </c>
      <c r="L11" s="2">
        <v>7</v>
      </c>
      <c r="M11" s="2">
        <v>0</v>
      </c>
      <c r="N11" s="2">
        <v>0</v>
      </c>
      <c r="O11" s="2">
        <v>0</v>
      </c>
      <c r="P11" s="2">
        <v>0</v>
      </c>
      <c r="Q11" s="2">
        <v>0</v>
      </c>
      <c r="R11" s="238">
        <v>367</v>
      </c>
      <c r="S11" s="219">
        <f t="shared" si="1"/>
        <v>12</v>
      </c>
      <c r="T11" s="220">
        <f>SUM( tabConsumo[[#This Row],[QTD.PENDENTE]]:tabConsumo[[#This Row],[09_23]] ) / tabConsumo[[#This Row],[Div]]</f>
        <v>0.66666666666666663</v>
      </c>
      <c r="U11" s="221">
        <f xml:space="preserve"> tabConsumo[[#This Row],[Média.A]] + (_xlfn.STDEV.S( tabConsumo[[#This Row],[QTD.PENDENTE]]:tabConsumo[[#This Row],[09_23]] ) * 1)</f>
        <v>2.6817612204298542</v>
      </c>
      <c r="V11" s="221">
        <f xml:space="preserve"> tabConsumo[[#This Row],[Média.A]] + (_xlfn.STDEV.S( tabConsumo[[#This Row],[QTD.PENDENTE]]:tabConsumo[[#This Row],[09_23]] ) * 2)</f>
        <v>4.6968557741930423</v>
      </c>
      <c r="W11" s="221">
        <f xml:space="preserve"> tabConsumo[[#This Row],[Média.A]] + (_xlfn.STDEV.S( tabConsumo[[#This Row],[QTD.PENDENTE]]:tabConsumo[[#This Row],[09_23]] ) * 3)</f>
        <v>6.71195032795623</v>
      </c>
      <c r="X11" s="5">
        <f t="shared" si="0"/>
        <v>2</v>
      </c>
      <c r="Y11">
        <v>0.41666666666666669</v>
      </c>
      <c r="Z11" s="223">
        <f>SUM( tabConsumo[[#This Row],[QTD.PENDENTE]]:tabConsumo[[#This Row],[09_23]] )</f>
        <v>8</v>
      </c>
      <c r="AA11" s="223">
        <f>LARGE(tabConsumo[[#This Row],[10_22]:[09_23]],1)</f>
        <v>7</v>
      </c>
      <c r="AB11" s="146" t="s">
        <v>2240</v>
      </c>
      <c r="AC11" s="3" t="s">
        <v>2086</v>
      </c>
    </row>
    <row r="12" spans="1:62" x14ac:dyDescent="0.3">
      <c r="A12" s="4" t="s">
        <v>965</v>
      </c>
      <c r="B12" s="3" t="s">
        <v>263</v>
      </c>
      <c r="C12" s="2">
        <v>12813</v>
      </c>
      <c r="D12" s="2">
        <v>61</v>
      </c>
      <c r="F12" s="2">
        <v>2</v>
      </c>
      <c r="G12" s="2">
        <v>4</v>
      </c>
      <c r="H12" s="2">
        <v>0</v>
      </c>
      <c r="I12" s="2">
        <v>0</v>
      </c>
      <c r="J12" s="2">
        <v>0</v>
      </c>
      <c r="K12" s="2">
        <v>6</v>
      </c>
      <c r="L12" s="2">
        <v>5</v>
      </c>
      <c r="M12" s="2">
        <v>0</v>
      </c>
      <c r="N12" s="2">
        <v>0</v>
      </c>
      <c r="O12" s="2">
        <v>0</v>
      </c>
      <c r="P12" s="2">
        <v>0</v>
      </c>
      <c r="Q12" s="2">
        <v>0</v>
      </c>
      <c r="R12" s="238">
        <v>367</v>
      </c>
      <c r="S12" s="219">
        <f t="shared" si="1"/>
        <v>12</v>
      </c>
      <c r="T12" s="220">
        <f>SUM( tabConsumo[[#This Row],[QTD.PENDENTE]]:tabConsumo[[#This Row],[09_23]] ) / tabConsumo[[#This Row],[Div]]</f>
        <v>1.4166666666666667</v>
      </c>
      <c r="U12" s="221">
        <f xml:space="preserve"> tabConsumo[[#This Row],[Média.A]] + (_xlfn.STDEV.S( tabConsumo[[#This Row],[QTD.PENDENTE]]:tabConsumo[[#This Row],[09_23]] ) * 1)</f>
        <v>3.6913627835672136</v>
      </c>
      <c r="V12" s="221">
        <f xml:space="preserve"> tabConsumo[[#This Row],[Média.A]] + (_xlfn.STDEV.S( tabConsumo[[#This Row],[QTD.PENDENTE]]:tabConsumo[[#This Row],[09_23]] ) * 2)</f>
        <v>5.9660589004677602</v>
      </c>
      <c r="W12" s="221">
        <f xml:space="preserve"> tabConsumo[[#This Row],[Média.A]] + (_xlfn.STDEV.S( tabConsumo[[#This Row],[QTD.PENDENTE]]:tabConsumo[[#This Row],[09_23]] ) * 3)</f>
        <v>8.240755017368306</v>
      </c>
      <c r="X12" s="5">
        <f t="shared" si="0"/>
        <v>2</v>
      </c>
      <c r="Y12">
        <v>1.3333333333333333</v>
      </c>
      <c r="Z12" s="223">
        <f>SUM( tabConsumo[[#This Row],[QTD.PENDENTE]]:tabConsumo[[#This Row],[09_23]] )</f>
        <v>17</v>
      </c>
      <c r="AA12" s="223">
        <f>LARGE(tabConsumo[[#This Row],[10_22]:[09_23]],1)</f>
        <v>6</v>
      </c>
      <c r="AB12" s="146" t="s">
        <v>2240</v>
      </c>
      <c r="AC12" s="3" t="s">
        <v>2086</v>
      </c>
    </row>
    <row r="13" spans="1:62" x14ac:dyDescent="0.3">
      <c r="A13" s="4" t="s">
        <v>969</v>
      </c>
      <c r="B13" s="3" t="s">
        <v>263</v>
      </c>
      <c r="C13" s="2">
        <v>12830</v>
      </c>
      <c r="D13" s="2">
        <v>1412</v>
      </c>
      <c r="F13" s="2">
        <v>7</v>
      </c>
      <c r="G13" s="2">
        <v>27</v>
      </c>
      <c r="H13" s="2">
        <v>17</v>
      </c>
      <c r="I13" s="2">
        <v>12</v>
      </c>
      <c r="J13" s="2">
        <v>12</v>
      </c>
      <c r="K13" s="2">
        <v>27</v>
      </c>
      <c r="L13" s="2">
        <v>25</v>
      </c>
      <c r="M13" s="2">
        <v>80</v>
      </c>
      <c r="N13" s="2">
        <v>30</v>
      </c>
      <c r="O13" s="2">
        <v>0</v>
      </c>
      <c r="P13" s="2">
        <v>76</v>
      </c>
      <c r="Q13" s="2">
        <v>0</v>
      </c>
      <c r="R13" s="238">
        <v>367</v>
      </c>
      <c r="S13" s="219">
        <f t="shared" si="1"/>
        <v>12</v>
      </c>
      <c r="T13" s="220">
        <f>SUM( tabConsumo[[#This Row],[QTD.PENDENTE]]:tabConsumo[[#This Row],[09_23]] ) / tabConsumo[[#This Row],[Div]]</f>
        <v>26.083333333333332</v>
      </c>
      <c r="U13" s="221">
        <f xml:space="preserve"> tabConsumo[[#This Row],[Média.A]] + (_xlfn.STDEV.S( tabConsumo[[#This Row],[QTD.PENDENTE]]:tabConsumo[[#This Row],[09_23]] ) * 1)</f>
        <v>52.404629009279951</v>
      </c>
      <c r="V13" s="221">
        <f xml:space="preserve"> tabConsumo[[#This Row],[Média.A]] + (_xlfn.STDEV.S( tabConsumo[[#This Row],[QTD.PENDENTE]]:tabConsumo[[#This Row],[09_23]] ) * 2)</f>
        <v>78.725924685226573</v>
      </c>
      <c r="W13" s="221">
        <f xml:space="preserve"> tabConsumo[[#This Row],[Média.A]] + (_xlfn.STDEV.S( tabConsumo[[#This Row],[QTD.PENDENTE]]:tabConsumo[[#This Row],[09_23]] ) * 3)</f>
        <v>105.04722036117319</v>
      </c>
      <c r="X13" s="5">
        <f t="shared" si="0"/>
        <v>2</v>
      </c>
      <c r="Y13">
        <v>25.916666666666668</v>
      </c>
      <c r="Z13" s="223">
        <f>SUM( tabConsumo[[#This Row],[QTD.PENDENTE]]:tabConsumo[[#This Row],[09_23]] )</f>
        <v>313</v>
      </c>
      <c r="AA13" s="223">
        <f>LARGE(tabConsumo[[#This Row],[10_22]:[09_23]],1)</f>
        <v>80</v>
      </c>
      <c r="AB13" s="146" t="s">
        <v>2241</v>
      </c>
      <c r="AC13" s="3" t="s">
        <v>2086</v>
      </c>
    </row>
    <row r="14" spans="1:62" x14ac:dyDescent="0.3">
      <c r="A14" s="4" t="s">
        <v>970</v>
      </c>
      <c r="B14" s="3" t="s">
        <v>263</v>
      </c>
      <c r="C14" s="2">
        <v>12835</v>
      </c>
      <c r="D14" s="2">
        <v>459</v>
      </c>
      <c r="F14" s="2">
        <v>4</v>
      </c>
      <c r="G14" s="2">
        <v>2</v>
      </c>
      <c r="H14" s="2">
        <v>20</v>
      </c>
      <c r="I14" s="2">
        <v>18</v>
      </c>
      <c r="J14" s="2">
        <v>0</v>
      </c>
      <c r="K14" s="2">
        <v>10</v>
      </c>
      <c r="L14" s="2">
        <v>45</v>
      </c>
      <c r="M14" s="2">
        <v>100</v>
      </c>
      <c r="N14" s="2">
        <v>0</v>
      </c>
      <c r="O14" s="2">
        <v>0</v>
      </c>
      <c r="P14" s="2">
        <v>0</v>
      </c>
      <c r="Q14" s="2">
        <v>50</v>
      </c>
      <c r="R14" s="238">
        <v>367</v>
      </c>
      <c r="S14" s="219">
        <f t="shared" si="1"/>
        <v>12</v>
      </c>
      <c r="T14" s="220">
        <f>SUM( tabConsumo[[#This Row],[QTD.PENDENTE]]:tabConsumo[[#This Row],[09_23]] ) / tabConsumo[[#This Row],[Div]]</f>
        <v>20.75</v>
      </c>
      <c r="U14" s="221">
        <f xml:space="preserve"> tabConsumo[[#This Row],[Média.A]] + (_xlfn.STDEV.S( tabConsumo[[#This Row],[QTD.PENDENTE]]:tabConsumo[[#This Row],[09_23]] ) * 1)</f>
        <v>51.204511533223986</v>
      </c>
      <c r="V14" s="221">
        <f xml:space="preserve"> tabConsumo[[#This Row],[Média.A]] + (_xlfn.STDEV.S( tabConsumo[[#This Row],[QTD.PENDENTE]]:tabConsumo[[#This Row],[09_23]] ) * 2)</f>
        <v>81.659023066447972</v>
      </c>
      <c r="W14" s="221">
        <f xml:space="preserve"> tabConsumo[[#This Row],[Média.A]] + (_xlfn.STDEV.S( tabConsumo[[#This Row],[QTD.PENDENTE]]:tabConsumo[[#This Row],[09_23]] ) * 3)</f>
        <v>112.11353459967196</v>
      </c>
      <c r="X14" s="5">
        <f t="shared" si="0"/>
        <v>2</v>
      </c>
      <c r="Y14">
        <v>19.166666666666668</v>
      </c>
      <c r="Z14" s="223">
        <f>SUM( tabConsumo[[#This Row],[QTD.PENDENTE]]:tabConsumo[[#This Row],[09_23]] )</f>
        <v>249</v>
      </c>
      <c r="AA14" s="223">
        <f>LARGE(tabConsumo[[#This Row],[10_22]:[09_23]],1)</f>
        <v>100</v>
      </c>
      <c r="AB14" s="146" t="s">
        <v>2238</v>
      </c>
      <c r="AC14" s="3" t="s">
        <v>2086</v>
      </c>
    </row>
    <row r="15" spans="1:62" x14ac:dyDescent="0.3">
      <c r="A15" s="4" t="s">
        <v>1232</v>
      </c>
      <c r="B15" s="3" t="s">
        <v>263</v>
      </c>
      <c r="C15" s="2">
        <v>28184</v>
      </c>
      <c r="D15" s="2">
        <v>380</v>
      </c>
      <c r="F15" s="2">
        <v>10</v>
      </c>
      <c r="G15" s="2">
        <v>6</v>
      </c>
      <c r="H15" s="2">
        <v>19</v>
      </c>
      <c r="I15" s="2">
        <v>10</v>
      </c>
      <c r="J15" s="2">
        <v>10</v>
      </c>
      <c r="K15" s="2">
        <v>38</v>
      </c>
      <c r="L15" s="2">
        <v>24</v>
      </c>
      <c r="M15" s="2">
        <v>0</v>
      </c>
      <c r="N15" s="2">
        <v>0</v>
      </c>
      <c r="O15" s="2">
        <v>0</v>
      </c>
      <c r="P15" s="2">
        <v>0</v>
      </c>
      <c r="Q15" s="2">
        <v>0</v>
      </c>
      <c r="R15" s="238">
        <v>367</v>
      </c>
      <c r="S15" s="219">
        <f t="shared" si="1"/>
        <v>12</v>
      </c>
      <c r="T15" s="220">
        <f>SUM( tabConsumo[[#This Row],[QTD.PENDENTE]]:tabConsumo[[#This Row],[09_23]] ) / tabConsumo[[#This Row],[Div]]</f>
        <v>9.75</v>
      </c>
      <c r="U15" s="221">
        <f xml:space="preserve"> tabConsumo[[#This Row],[Média.A]] + (_xlfn.STDEV.S( tabConsumo[[#This Row],[QTD.PENDENTE]]:tabConsumo[[#This Row],[09_23]] ) * 1)</f>
        <v>21.72060794385375</v>
      </c>
      <c r="V15" s="221">
        <f xml:space="preserve"> tabConsumo[[#This Row],[Média.A]] + (_xlfn.STDEV.S( tabConsumo[[#This Row],[QTD.PENDENTE]]:tabConsumo[[#This Row],[09_23]] ) * 2)</f>
        <v>33.6912158877075</v>
      </c>
      <c r="W15" s="221">
        <f xml:space="preserve"> tabConsumo[[#This Row],[Média.A]] + (_xlfn.STDEV.S( tabConsumo[[#This Row],[QTD.PENDENTE]]:tabConsumo[[#This Row],[09_23]] ) * 3)</f>
        <v>45.661823831561257</v>
      </c>
      <c r="X15" s="5">
        <f t="shared" si="0"/>
        <v>2</v>
      </c>
      <c r="Y15">
        <v>9.3333333333333339</v>
      </c>
      <c r="Z15" s="223">
        <f>SUM( tabConsumo[[#This Row],[QTD.PENDENTE]]:tabConsumo[[#This Row],[09_23]] )</f>
        <v>117</v>
      </c>
      <c r="AA15" s="223">
        <f>LARGE(tabConsumo[[#This Row],[10_22]:[09_23]],1)</f>
        <v>38</v>
      </c>
      <c r="AB15" s="146" t="s">
        <v>2240</v>
      </c>
      <c r="AC15" s="3" t="s">
        <v>2086</v>
      </c>
    </row>
    <row r="16" spans="1:62" x14ac:dyDescent="0.3">
      <c r="A16" s="4" t="s">
        <v>1112</v>
      </c>
      <c r="B16" s="3" t="s">
        <v>1070</v>
      </c>
      <c r="C16" s="2">
        <v>16053</v>
      </c>
      <c r="D16" s="2">
        <v>7</v>
      </c>
      <c r="E16" s="2">
        <v>16</v>
      </c>
      <c r="F16" s="2">
        <v>10</v>
      </c>
      <c r="G16" s="2">
        <v>21</v>
      </c>
      <c r="H16" s="2">
        <v>8</v>
      </c>
      <c r="I16" s="2">
        <v>20</v>
      </c>
      <c r="J16" s="2">
        <v>10</v>
      </c>
      <c r="K16" s="2">
        <v>4</v>
      </c>
      <c r="L16" s="2">
        <v>5</v>
      </c>
      <c r="M16" s="2">
        <v>22</v>
      </c>
      <c r="N16" s="2">
        <v>10</v>
      </c>
      <c r="O16" s="2">
        <v>15</v>
      </c>
      <c r="P16" s="2">
        <v>0</v>
      </c>
      <c r="Q16" s="2">
        <v>20</v>
      </c>
      <c r="R16" s="238">
        <v>367</v>
      </c>
      <c r="S16" s="219">
        <f t="shared" si="1"/>
        <v>12</v>
      </c>
      <c r="T16" s="220">
        <f>SUM( tabConsumo[[#This Row],[QTD.PENDENTE]]:tabConsumo[[#This Row],[09_23]] ) / tabConsumo[[#This Row],[Div]]</f>
        <v>13.416666666666666</v>
      </c>
      <c r="U16" s="221">
        <f xml:space="preserve"> tabConsumo[[#This Row],[Média.A]] + (_xlfn.STDEV.S( tabConsumo[[#This Row],[QTD.PENDENTE]]:tabConsumo[[#This Row],[09_23]] ) * 1)</f>
        <v>20.587655226347746</v>
      </c>
      <c r="V16" s="221">
        <f xml:space="preserve"> tabConsumo[[#This Row],[Média.A]] + (_xlfn.STDEV.S( tabConsumo[[#This Row],[QTD.PENDENTE]]:tabConsumo[[#This Row],[09_23]] ) * 2)</f>
        <v>27.758643786028827</v>
      </c>
      <c r="W16" s="221">
        <f xml:space="preserve"> tabConsumo[[#This Row],[Média.A]] + (_xlfn.STDEV.S( tabConsumo[[#This Row],[QTD.PENDENTE]]:tabConsumo[[#This Row],[09_23]] ) * 3)</f>
        <v>34.929632345709905</v>
      </c>
      <c r="X16" s="5">
        <f t="shared" si="0"/>
        <v>2</v>
      </c>
      <c r="Y16">
        <v>13.416666666666666</v>
      </c>
      <c r="Z16" s="223">
        <f>SUM( tabConsumo[[#This Row],[QTD.PENDENTE]]:tabConsumo[[#This Row],[09_23]] )</f>
        <v>161</v>
      </c>
      <c r="AA16" s="223">
        <f>LARGE(tabConsumo[[#This Row],[10_22]:[09_23]],1)</f>
        <v>22</v>
      </c>
      <c r="AB16" s="146" t="s">
        <v>2238</v>
      </c>
      <c r="AC16" s="3" t="s">
        <v>2086</v>
      </c>
    </row>
    <row r="17" spans="1:29" x14ac:dyDescent="0.3">
      <c r="A17" s="4" t="s">
        <v>2028</v>
      </c>
      <c r="B17" s="3" t="s">
        <v>290</v>
      </c>
      <c r="C17" s="2">
        <v>140326</v>
      </c>
      <c r="D17" s="2">
        <v>1176</v>
      </c>
      <c r="E17" s="2">
        <v>20</v>
      </c>
      <c r="F17" s="2">
        <v>96</v>
      </c>
      <c r="G17" s="2">
        <v>0</v>
      </c>
      <c r="H17" s="2">
        <v>0</v>
      </c>
      <c r="I17" s="2">
        <v>0</v>
      </c>
      <c r="J17" s="2">
        <v>0</v>
      </c>
      <c r="K17" s="2">
        <v>0</v>
      </c>
      <c r="L17" s="2">
        <v>0</v>
      </c>
      <c r="M17" s="2">
        <v>0</v>
      </c>
      <c r="N17" s="2">
        <v>0</v>
      </c>
      <c r="O17" s="2">
        <v>0</v>
      </c>
      <c r="P17" s="2">
        <v>0</v>
      </c>
      <c r="Q17" s="2">
        <v>0</v>
      </c>
      <c r="R17" s="238">
        <v>44180</v>
      </c>
      <c r="S17" s="219">
        <v>12</v>
      </c>
      <c r="T17" s="220">
        <f>SUM( tabConsumo[[#This Row],[QTD.PENDENTE]]:tabConsumo[[#This Row],[09_23]] ) / tabConsumo[[#This Row],[Div]]</f>
        <v>9.6666666666666661</v>
      </c>
      <c r="U17" s="221">
        <f xml:space="preserve"> tabConsumo[[#This Row],[Média.A]] + (_xlfn.STDEV.S( tabConsumo[[#This Row],[QTD.PENDENTE]]:tabConsumo[[#This Row],[09_23]] ) * 1)</f>
        <v>36.407588922208319</v>
      </c>
      <c r="V17" s="221">
        <f xml:space="preserve"> tabConsumo[[#This Row],[Média.A]] + (_xlfn.STDEV.S( tabConsumo[[#This Row],[QTD.PENDENTE]]:tabConsumo[[#This Row],[09_23]] ) * 2)</f>
        <v>63.148511177749974</v>
      </c>
      <c r="W17" s="221">
        <f xml:space="preserve"> tabConsumo[[#This Row],[Média.A]] + (_xlfn.STDEV.S( tabConsumo[[#This Row],[QTD.PENDENTE]]:tabConsumo[[#This Row],[09_23]] ) * 3)</f>
        <v>89.889433433291643</v>
      </c>
      <c r="X17" s="5">
        <f t="shared" si="0"/>
        <v>2</v>
      </c>
      <c r="Y17">
        <v>6.916666666666667</v>
      </c>
      <c r="Z17" s="223">
        <f>SUM( tabConsumo[[#This Row],[QTD.PENDENTE]]:tabConsumo[[#This Row],[09_23]] )</f>
        <v>116</v>
      </c>
      <c r="AA17" s="223">
        <f>LARGE(tabConsumo[[#This Row],[10_22]:[09_23]],1)</f>
        <v>96</v>
      </c>
      <c r="AB17" s="146" t="s">
        <v>2242</v>
      </c>
      <c r="AC17" s="3" t="s">
        <v>2086</v>
      </c>
    </row>
    <row r="18" spans="1:29" x14ac:dyDescent="0.3">
      <c r="A18" s="4" t="s">
        <v>1775</v>
      </c>
      <c r="B18" s="3" t="s">
        <v>1671</v>
      </c>
      <c r="C18" s="2">
        <v>126345</v>
      </c>
      <c r="D18" s="2">
        <v>300</v>
      </c>
      <c r="F18" s="2">
        <v>4</v>
      </c>
      <c r="G18" s="2">
        <v>8</v>
      </c>
      <c r="H18" s="2">
        <v>9</v>
      </c>
      <c r="I18" s="2">
        <v>5</v>
      </c>
      <c r="J18" s="2">
        <v>0</v>
      </c>
      <c r="K18" s="2">
        <v>10</v>
      </c>
      <c r="L18" s="2">
        <v>0</v>
      </c>
      <c r="M18" s="2">
        <v>2</v>
      </c>
      <c r="N18" s="2">
        <v>3</v>
      </c>
      <c r="O18" s="2">
        <v>2</v>
      </c>
      <c r="P18" s="2">
        <v>6</v>
      </c>
      <c r="Q18" s="2">
        <v>4</v>
      </c>
      <c r="R18" s="238">
        <v>41543</v>
      </c>
      <c r="S18" s="219">
        <v>12</v>
      </c>
      <c r="T18" s="220">
        <f>SUM( tabConsumo[[#This Row],[QTD.PENDENTE]]:tabConsumo[[#This Row],[09_23]] ) / tabConsumo[[#This Row],[Div]]</f>
        <v>4.416666666666667</v>
      </c>
      <c r="U18" s="221">
        <f xml:space="preserve"> tabConsumo[[#This Row],[Média.A]] + (_xlfn.STDEV.S( tabConsumo[[#This Row],[QTD.PENDENTE]]:tabConsumo[[#This Row],[09_23]] ) * 1)</f>
        <v>7.7321491718873236</v>
      </c>
      <c r="V18" s="221">
        <f xml:space="preserve"> tabConsumo[[#This Row],[Média.A]] + (_xlfn.STDEV.S( tabConsumo[[#This Row],[QTD.PENDENTE]]:tabConsumo[[#This Row],[09_23]] ) * 2)</f>
        <v>11.047631677107979</v>
      </c>
      <c r="W18" s="221">
        <f xml:space="preserve"> tabConsumo[[#This Row],[Média.A]] + (_xlfn.STDEV.S( tabConsumo[[#This Row],[QTD.PENDENTE]]:tabConsumo[[#This Row],[09_23]] ) * 3)</f>
        <v>14.363114182328637</v>
      </c>
      <c r="X18" s="5">
        <f t="shared" si="0"/>
        <v>2</v>
      </c>
      <c r="Y18">
        <v>4.416666666666667</v>
      </c>
      <c r="Z18" s="223">
        <f>SUM( tabConsumo[[#This Row],[QTD.PENDENTE]]:tabConsumo[[#This Row],[09_23]] )</f>
        <v>53</v>
      </c>
      <c r="AA18" s="223">
        <f>LARGE(tabConsumo[[#This Row],[10_22]:[09_23]],1)</f>
        <v>10</v>
      </c>
      <c r="AB18" s="146" t="s">
        <v>2238</v>
      </c>
      <c r="AC18" s="3" t="s">
        <v>2086</v>
      </c>
    </row>
    <row r="19" spans="1:29" x14ac:dyDescent="0.3">
      <c r="A19" s="4" t="s">
        <v>957</v>
      </c>
      <c r="B19" s="3" t="s">
        <v>335</v>
      </c>
      <c r="C19" s="2">
        <v>12685</v>
      </c>
      <c r="D19" s="2">
        <v>0</v>
      </c>
      <c r="E19" s="2">
        <v>211</v>
      </c>
      <c r="F19" s="2">
        <v>0</v>
      </c>
      <c r="G19" s="2">
        <v>0</v>
      </c>
      <c r="H19" s="2">
        <v>21</v>
      </c>
      <c r="I19" s="2">
        <v>64</v>
      </c>
      <c r="J19" s="2">
        <v>52</v>
      </c>
      <c r="K19" s="2">
        <v>63</v>
      </c>
      <c r="L19" s="2">
        <v>0</v>
      </c>
      <c r="M19" s="2">
        <v>0</v>
      </c>
      <c r="N19" s="2">
        <v>0</v>
      </c>
      <c r="O19" s="2">
        <v>48</v>
      </c>
      <c r="P19" s="2">
        <v>80</v>
      </c>
      <c r="Q19" s="2">
        <v>82</v>
      </c>
      <c r="R19" s="238">
        <v>367</v>
      </c>
      <c r="S19" s="219">
        <f xml:space="preserve"> 12</f>
        <v>12</v>
      </c>
      <c r="T19" s="220">
        <f>SUM( tabConsumo[[#This Row],[QTD.PENDENTE]]:tabConsumo[[#This Row],[09_23]] ) / tabConsumo[[#This Row],[Div]]</f>
        <v>51.75</v>
      </c>
      <c r="U19" s="221">
        <f xml:space="preserve"> tabConsumo[[#This Row],[Média.A]] + (_xlfn.STDEV.S( tabConsumo[[#This Row],[QTD.PENDENTE]]:tabConsumo[[#This Row],[09_23]] ) * 1)</f>
        <v>110.55356259920799</v>
      </c>
      <c r="V19" s="221">
        <f xml:space="preserve"> tabConsumo[[#This Row],[Média.A]] + (_xlfn.STDEV.S( tabConsumo[[#This Row],[QTD.PENDENTE]]:tabConsumo[[#This Row],[09_23]] ) * 2)</f>
        <v>169.35712519841599</v>
      </c>
      <c r="W19" s="221">
        <f xml:space="preserve"> tabConsumo[[#This Row],[Média.A]] + (_xlfn.STDEV.S( tabConsumo[[#This Row],[QTD.PENDENTE]]:tabConsumo[[#This Row],[09_23]] ) * 3)</f>
        <v>228.16068779762401</v>
      </c>
      <c r="X19" s="5">
        <f t="shared" si="0"/>
        <v>2</v>
      </c>
      <c r="Y19">
        <v>51.75</v>
      </c>
      <c r="Z19" s="223">
        <f>SUM( tabConsumo[[#This Row],[QTD.PENDENTE]]:tabConsumo[[#This Row],[09_23]] )</f>
        <v>621</v>
      </c>
      <c r="AA19" s="223">
        <f>LARGE(tabConsumo[[#This Row],[10_22]:[09_23]],1)</f>
        <v>82</v>
      </c>
      <c r="AB19" s="146" t="s">
        <v>2238</v>
      </c>
      <c r="AC19" s="3" t="s">
        <v>2086</v>
      </c>
    </row>
    <row r="20" spans="1:29" x14ac:dyDescent="0.3">
      <c r="A20" s="4" t="s">
        <v>1523</v>
      </c>
      <c r="B20" s="3" t="s">
        <v>263</v>
      </c>
      <c r="C20" s="2">
        <v>88876</v>
      </c>
      <c r="D20" s="2">
        <v>692</v>
      </c>
      <c r="F20" s="2">
        <v>0</v>
      </c>
      <c r="G20" s="2">
        <v>0</v>
      </c>
      <c r="H20" s="2">
        <v>0</v>
      </c>
      <c r="I20" s="2">
        <v>0</v>
      </c>
      <c r="J20" s="2">
        <v>0</v>
      </c>
      <c r="K20" s="2">
        <v>0</v>
      </c>
      <c r="L20" s="2">
        <v>200</v>
      </c>
      <c r="M20" s="2">
        <v>0</v>
      </c>
      <c r="N20" s="2">
        <v>0</v>
      </c>
      <c r="O20" s="2">
        <v>0</v>
      </c>
      <c r="P20" s="2">
        <v>0</v>
      </c>
      <c r="Q20" s="2">
        <v>0</v>
      </c>
      <c r="R20" s="238">
        <v>38664</v>
      </c>
      <c r="S20" s="219">
        <v>12</v>
      </c>
      <c r="T20" s="220">
        <f>SUM( tabConsumo[[#This Row],[QTD.PENDENTE]]:tabConsumo[[#This Row],[09_23]] ) / tabConsumo[[#This Row],[Div]]</f>
        <v>16.666666666666668</v>
      </c>
      <c r="U20" s="221">
        <f xml:space="preserve"> tabConsumo[[#This Row],[Média.A]] + (_xlfn.STDEV.S( tabConsumo[[#This Row],[QTD.PENDENTE]]:tabConsumo[[#This Row],[09_23]] ) * 1)</f>
        <v>74.401693585629246</v>
      </c>
      <c r="V20" s="221">
        <f xml:space="preserve"> tabConsumo[[#This Row],[Média.A]] + (_xlfn.STDEV.S( tabConsumo[[#This Row],[QTD.PENDENTE]]:tabConsumo[[#This Row],[09_23]] ) * 2)</f>
        <v>132.13672050459181</v>
      </c>
      <c r="W20" s="221">
        <f xml:space="preserve"> tabConsumo[[#This Row],[Média.A]] + (_xlfn.STDEV.S( tabConsumo[[#This Row],[QTD.PENDENTE]]:tabConsumo[[#This Row],[09_23]] ) * 3)</f>
        <v>189.87174742355438</v>
      </c>
      <c r="X20" s="5">
        <f t="shared" si="0"/>
        <v>2</v>
      </c>
      <c r="Y20">
        <v>11</v>
      </c>
      <c r="Z20" s="223">
        <f>SUM( tabConsumo[[#This Row],[QTD.PENDENTE]]:tabConsumo[[#This Row],[09_23]] )</f>
        <v>200</v>
      </c>
      <c r="AA20" s="223">
        <f>LARGE(tabConsumo[[#This Row],[10_22]:[09_23]],1)</f>
        <v>200</v>
      </c>
      <c r="AB20" s="146" t="s">
        <v>2240</v>
      </c>
      <c r="AC20" s="3" t="s">
        <v>2086</v>
      </c>
    </row>
    <row r="21" spans="1:29" x14ac:dyDescent="0.3">
      <c r="A21" s="4" t="s">
        <v>1685</v>
      </c>
      <c r="B21" s="3" t="s">
        <v>335</v>
      </c>
      <c r="C21" s="2">
        <v>112109</v>
      </c>
      <c r="D21" s="2">
        <v>12614</v>
      </c>
      <c r="E21" s="2">
        <v>20</v>
      </c>
      <c r="F21" s="2">
        <v>1240</v>
      </c>
      <c r="G21" s="2">
        <v>1191</v>
      </c>
      <c r="H21" s="2">
        <v>814</v>
      </c>
      <c r="I21" s="2">
        <v>450</v>
      </c>
      <c r="J21" s="2">
        <v>873</v>
      </c>
      <c r="K21" s="2">
        <v>7812</v>
      </c>
      <c r="L21" s="2">
        <v>626</v>
      </c>
      <c r="M21" s="2">
        <v>590</v>
      </c>
      <c r="N21" s="2">
        <v>703</v>
      </c>
      <c r="O21" s="2">
        <v>700</v>
      </c>
      <c r="P21" s="2">
        <v>834</v>
      </c>
      <c r="Q21" s="2">
        <v>1188</v>
      </c>
      <c r="R21" s="238">
        <v>40043</v>
      </c>
      <c r="S21" s="219">
        <v>12</v>
      </c>
      <c r="T21" s="220">
        <f>SUM( tabConsumo[[#This Row],[QTD.PENDENTE]]:tabConsumo[[#This Row],[09_23]] ) / tabConsumo[[#This Row],[Div]]</f>
        <v>1420.0833333333333</v>
      </c>
      <c r="U21" s="221">
        <f xml:space="preserve"> tabConsumo[[#This Row],[Média.A]] + (_xlfn.STDEV.S( tabConsumo[[#This Row],[QTD.PENDENTE]]:tabConsumo[[#This Row],[09_23]] ) * 1)</f>
        <v>3401.3288526197007</v>
      </c>
      <c r="V21" s="221">
        <f xml:space="preserve"> tabConsumo[[#This Row],[Média.A]] + (_xlfn.STDEV.S( tabConsumo[[#This Row],[QTD.PENDENTE]]:tabConsumo[[#This Row],[09_23]] ) * 2)</f>
        <v>5382.5743719060683</v>
      </c>
      <c r="W21" s="221">
        <f xml:space="preserve"> tabConsumo[[#This Row],[Média.A]] + (_xlfn.STDEV.S( tabConsumo[[#This Row],[QTD.PENDENTE]]:tabConsumo[[#This Row],[09_23]] ) * 3)</f>
        <v>7363.8198911924355</v>
      </c>
      <c r="X21" s="5">
        <f t="shared" si="0"/>
        <v>2</v>
      </c>
      <c r="Y21">
        <v>1217.5833333333333</v>
      </c>
      <c r="Z21" s="223">
        <f>SUM( tabConsumo[[#This Row],[QTD.PENDENTE]]:tabConsumo[[#This Row],[09_23]] )</f>
        <v>17041</v>
      </c>
      <c r="AA21" s="223">
        <f>LARGE(tabConsumo[[#This Row],[10_22]:[09_23]],1)</f>
        <v>7812</v>
      </c>
      <c r="AB21" s="146" t="s">
        <v>2238</v>
      </c>
      <c r="AC21" s="3" t="s">
        <v>2086</v>
      </c>
    </row>
    <row r="22" spans="1:29" x14ac:dyDescent="0.3">
      <c r="A22" s="4" t="s">
        <v>1960</v>
      </c>
      <c r="B22" s="3" t="s">
        <v>263</v>
      </c>
      <c r="C22" s="2">
        <v>138054</v>
      </c>
      <c r="D22" s="2">
        <v>69</v>
      </c>
      <c r="F22" s="2">
        <v>8</v>
      </c>
      <c r="G22" s="2">
        <v>1</v>
      </c>
      <c r="H22" s="2">
        <v>23</v>
      </c>
      <c r="I22" s="2">
        <v>30</v>
      </c>
      <c r="J22" s="2">
        <v>5</v>
      </c>
      <c r="K22" s="2">
        <v>12</v>
      </c>
      <c r="L22" s="2">
        <v>47</v>
      </c>
      <c r="M22" s="2">
        <v>0</v>
      </c>
      <c r="N22" s="2">
        <v>30</v>
      </c>
      <c r="O22" s="2">
        <v>14</v>
      </c>
      <c r="P22" s="2">
        <v>0</v>
      </c>
      <c r="Q22" s="2">
        <v>0</v>
      </c>
      <c r="R22" s="238">
        <v>43656</v>
      </c>
      <c r="S22" s="219">
        <v>12</v>
      </c>
      <c r="T22" s="220">
        <f>SUM( tabConsumo[[#This Row],[QTD.PENDENTE]]:tabConsumo[[#This Row],[09_23]] ) / tabConsumo[[#This Row],[Div]]</f>
        <v>14.166666666666666</v>
      </c>
      <c r="U22" s="221">
        <f xml:space="preserve"> tabConsumo[[#This Row],[Média.A]] + (_xlfn.STDEV.S( tabConsumo[[#This Row],[QTD.PENDENTE]]:tabConsumo[[#This Row],[09_23]] ) * 1)</f>
        <v>29.421074872066498</v>
      </c>
      <c r="V22" s="221">
        <f xml:space="preserve"> tabConsumo[[#This Row],[Média.A]] + (_xlfn.STDEV.S( tabConsumo[[#This Row],[QTD.PENDENTE]]:tabConsumo[[#This Row],[09_23]] ) * 2)</f>
        <v>44.675483077466325</v>
      </c>
      <c r="W22" s="221">
        <f xml:space="preserve"> tabConsumo[[#This Row],[Média.A]] + (_xlfn.STDEV.S( tabConsumo[[#This Row],[QTD.PENDENTE]]:tabConsumo[[#This Row],[09_23]] ) * 3)</f>
        <v>59.929891282866159</v>
      </c>
      <c r="X22" s="5">
        <f t="shared" si="0"/>
        <v>2</v>
      </c>
      <c r="Y22">
        <v>13.916666666666666</v>
      </c>
      <c r="Z22" s="223">
        <f>SUM( tabConsumo[[#This Row],[QTD.PENDENTE]]:tabConsumo[[#This Row],[09_23]] )</f>
        <v>170</v>
      </c>
      <c r="AA22" s="223">
        <f>LARGE(tabConsumo[[#This Row],[10_22]:[09_23]],1)</f>
        <v>47</v>
      </c>
      <c r="AB22" s="146" t="s">
        <v>2239</v>
      </c>
      <c r="AC22" s="3" t="s">
        <v>2086</v>
      </c>
    </row>
    <row r="23" spans="1:29" x14ac:dyDescent="0.3">
      <c r="A23" s="4" t="s">
        <v>1036</v>
      </c>
      <c r="B23" s="3" t="s">
        <v>263</v>
      </c>
      <c r="C23" s="2">
        <v>13539</v>
      </c>
      <c r="D23" s="2">
        <v>0</v>
      </c>
      <c r="E23" s="2">
        <v>45</v>
      </c>
      <c r="F23" s="2">
        <v>371</v>
      </c>
      <c r="G23" s="2">
        <v>268</v>
      </c>
      <c r="H23" s="2">
        <v>0</v>
      </c>
      <c r="I23" s="2">
        <v>261</v>
      </c>
      <c r="J23" s="2">
        <v>376</v>
      </c>
      <c r="K23" s="2">
        <v>661</v>
      </c>
      <c r="L23" s="2">
        <v>444</v>
      </c>
      <c r="M23" s="2">
        <v>437</v>
      </c>
      <c r="N23" s="2">
        <v>462</v>
      </c>
      <c r="O23" s="2">
        <v>399</v>
      </c>
      <c r="P23" s="2">
        <v>425</v>
      </c>
      <c r="Q23" s="2">
        <v>429</v>
      </c>
      <c r="R23" s="238">
        <v>367</v>
      </c>
      <c r="S23" s="219">
        <f xml:space="preserve"> 12</f>
        <v>12</v>
      </c>
      <c r="T23" s="220">
        <f>SUM( tabConsumo[[#This Row],[QTD.PENDENTE]]:tabConsumo[[#This Row],[09_23]] ) / tabConsumo[[#This Row],[Div]]</f>
        <v>381.5</v>
      </c>
      <c r="U23" s="221">
        <f xml:space="preserve"> tabConsumo[[#This Row],[Média.A]] + (_xlfn.STDEV.S( tabConsumo[[#This Row],[QTD.PENDENTE]]:tabConsumo[[#This Row],[09_23]] ) * 1)</f>
        <v>557.37014440293069</v>
      </c>
      <c r="V23" s="221">
        <f xml:space="preserve"> tabConsumo[[#This Row],[Média.A]] + (_xlfn.STDEV.S( tabConsumo[[#This Row],[QTD.PENDENTE]]:tabConsumo[[#This Row],[09_23]] ) * 2)</f>
        <v>733.24028880586138</v>
      </c>
      <c r="W23" s="221">
        <f xml:space="preserve"> tabConsumo[[#This Row],[Média.A]] + (_xlfn.STDEV.S( tabConsumo[[#This Row],[QTD.PENDENTE]]:tabConsumo[[#This Row],[09_23]] ) * 3)</f>
        <v>909.11043320879196</v>
      </c>
      <c r="X23" s="5">
        <f t="shared" si="0"/>
        <v>2</v>
      </c>
      <c r="Y23">
        <v>381.5</v>
      </c>
      <c r="Z23" s="223">
        <f>SUM( tabConsumo[[#This Row],[QTD.PENDENTE]]:tabConsumo[[#This Row],[09_23]] )</f>
        <v>4578</v>
      </c>
      <c r="AA23" s="223">
        <f>LARGE(tabConsumo[[#This Row],[10_22]:[09_23]],1)</f>
        <v>661</v>
      </c>
      <c r="AB23" s="146" t="s">
        <v>2238</v>
      </c>
      <c r="AC23" s="3" t="s">
        <v>2086</v>
      </c>
    </row>
    <row r="24" spans="1:29" x14ac:dyDescent="0.3">
      <c r="A24" s="4" t="s">
        <v>1817</v>
      </c>
      <c r="B24" s="3" t="s">
        <v>31</v>
      </c>
      <c r="C24" s="2">
        <v>131917</v>
      </c>
      <c r="D24" s="2">
        <v>3605</v>
      </c>
      <c r="F24" s="2">
        <v>172</v>
      </c>
      <c r="G24" s="2">
        <v>166</v>
      </c>
      <c r="H24" s="2">
        <v>151</v>
      </c>
      <c r="I24" s="2">
        <v>81</v>
      </c>
      <c r="J24" s="2">
        <v>263</v>
      </c>
      <c r="K24" s="2">
        <v>7920</v>
      </c>
      <c r="L24" s="2">
        <v>95</v>
      </c>
      <c r="M24" s="2">
        <v>110</v>
      </c>
      <c r="N24" s="2">
        <v>138</v>
      </c>
      <c r="O24" s="2">
        <v>126</v>
      </c>
      <c r="P24" s="2">
        <v>95</v>
      </c>
      <c r="Q24" s="2">
        <v>79</v>
      </c>
      <c r="R24" s="238">
        <v>42590</v>
      </c>
      <c r="S24" s="219">
        <v>12</v>
      </c>
      <c r="T24" s="220">
        <f>SUM( tabConsumo[[#This Row],[QTD.PENDENTE]]:tabConsumo[[#This Row],[09_23]] ) / tabConsumo[[#This Row],[Div]]</f>
        <v>783</v>
      </c>
      <c r="U24" s="221">
        <f xml:space="preserve"> tabConsumo[[#This Row],[Média.A]] + (_xlfn.STDEV.S( tabConsumo[[#This Row],[QTD.PENDENTE]]:tabConsumo[[#This Row],[09_23]] ) * 1)</f>
        <v>3031.15710386004</v>
      </c>
      <c r="V24" s="221">
        <f xml:space="preserve"> tabConsumo[[#This Row],[Média.A]] + (_xlfn.STDEV.S( tabConsumo[[#This Row],[QTD.PENDENTE]]:tabConsumo[[#This Row],[09_23]] ) * 2)</f>
        <v>5279.31420772008</v>
      </c>
      <c r="W24" s="221">
        <f xml:space="preserve"> tabConsumo[[#This Row],[Média.A]] + (_xlfn.STDEV.S( tabConsumo[[#This Row],[QTD.PENDENTE]]:tabConsumo[[#This Row],[09_23]] ) * 3)</f>
        <v>7527.4713115801205</v>
      </c>
      <c r="X24" s="5">
        <f t="shared" si="0"/>
        <v>2</v>
      </c>
      <c r="Y24">
        <v>562.91666666666663</v>
      </c>
      <c r="Z24" s="223">
        <f>SUM( tabConsumo[[#This Row],[QTD.PENDENTE]]:tabConsumo[[#This Row],[09_23]] )</f>
        <v>9396</v>
      </c>
      <c r="AA24" s="223">
        <f>LARGE(tabConsumo[[#This Row],[10_22]:[09_23]],1)</f>
        <v>7920</v>
      </c>
      <c r="AB24" s="146" t="s">
        <v>2238</v>
      </c>
      <c r="AC24" s="3" t="s">
        <v>2086</v>
      </c>
    </row>
    <row r="25" spans="1:29" x14ac:dyDescent="0.3">
      <c r="A25" s="4" t="s">
        <v>1963</v>
      </c>
      <c r="B25" s="3" t="s">
        <v>31</v>
      </c>
      <c r="C25" s="2">
        <v>138450</v>
      </c>
      <c r="D25" s="2">
        <v>13510</v>
      </c>
      <c r="E25" s="2">
        <v>435</v>
      </c>
      <c r="F25" s="2">
        <v>745</v>
      </c>
      <c r="G25" s="2">
        <v>935</v>
      </c>
      <c r="H25" s="2">
        <v>657</v>
      </c>
      <c r="I25" s="2">
        <v>36</v>
      </c>
      <c r="J25" s="2">
        <v>30</v>
      </c>
      <c r="K25" s="2">
        <v>1005</v>
      </c>
      <c r="L25" s="2">
        <v>931</v>
      </c>
      <c r="M25" s="2">
        <v>739</v>
      </c>
      <c r="N25" s="2">
        <v>721</v>
      </c>
      <c r="O25" s="2">
        <v>477</v>
      </c>
      <c r="P25" s="2">
        <v>823</v>
      </c>
      <c r="Q25" s="2">
        <v>748</v>
      </c>
      <c r="R25" s="238">
        <v>43720</v>
      </c>
      <c r="S25" s="219">
        <v>12</v>
      </c>
      <c r="T25" s="220">
        <f>SUM( tabConsumo[[#This Row],[QTD.PENDENTE]]:tabConsumo[[#This Row],[09_23]] ) / tabConsumo[[#This Row],[Div]]</f>
        <v>690.16666666666663</v>
      </c>
      <c r="U25" s="221">
        <f xml:space="preserve"> tabConsumo[[#This Row],[Média.A]] + (_xlfn.STDEV.S( tabConsumo[[#This Row],[QTD.PENDENTE]]:tabConsumo[[#This Row],[09_23]] ) * 1)</f>
        <v>1004.1675853326427</v>
      </c>
      <c r="V25" s="221">
        <f xml:space="preserve"> tabConsumo[[#This Row],[Média.A]] + (_xlfn.STDEV.S( tabConsumo[[#This Row],[QTD.PENDENTE]]:tabConsumo[[#This Row],[09_23]] ) * 2)</f>
        <v>1318.1685039986187</v>
      </c>
      <c r="W25" s="221">
        <f xml:space="preserve"> tabConsumo[[#This Row],[Média.A]] + (_xlfn.STDEV.S( tabConsumo[[#This Row],[QTD.PENDENTE]]:tabConsumo[[#This Row],[09_23]] ) * 3)</f>
        <v>1632.169422664595</v>
      </c>
      <c r="X25" s="5">
        <f t="shared" si="0"/>
        <v>2</v>
      </c>
      <c r="Y25">
        <v>690.16666666666663</v>
      </c>
      <c r="Z25" s="223">
        <f>SUM( tabConsumo[[#This Row],[QTD.PENDENTE]]:tabConsumo[[#This Row],[09_23]] )</f>
        <v>8282</v>
      </c>
      <c r="AA25" s="223">
        <f>LARGE(tabConsumo[[#This Row],[10_22]:[09_23]],1)</f>
        <v>1005</v>
      </c>
      <c r="AB25" s="146" t="s">
        <v>2238</v>
      </c>
      <c r="AC25" s="3" t="s">
        <v>2086</v>
      </c>
    </row>
    <row r="26" spans="1:29" x14ac:dyDescent="0.3">
      <c r="A26" s="4" t="s">
        <v>1251</v>
      </c>
      <c r="B26" s="3" t="s">
        <v>320</v>
      </c>
      <c r="C26" s="2">
        <v>33609</v>
      </c>
      <c r="D26" s="2">
        <v>145</v>
      </c>
      <c r="F26" s="2">
        <v>2</v>
      </c>
      <c r="G26" s="2">
        <v>3</v>
      </c>
      <c r="H26" s="2">
        <v>0</v>
      </c>
      <c r="I26" s="2">
        <v>0</v>
      </c>
      <c r="J26" s="2">
        <v>0</v>
      </c>
      <c r="K26" s="2">
        <v>0</v>
      </c>
      <c r="L26" s="2">
        <v>0</v>
      </c>
      <c r="M26" s="2">
        <v>0</v>
      </c>
      <c r="N26" s="2">
        <v>0</v>
      </c>
      <c r="O26" s="2">
        <v>0</v>
      </c>
      <c r="P26" s="2">
        <v>0</v>
      </c>
      <c r="Q26" s="2">
        <v>0</v>
      </c>
      <c r="R26" s="238">
        <v>367</v>
      </c>
      <c r="S26" s="219">
        <f xml:space="preserve"> 12</f>
        <v>12</v>
      </c>
      <c r="T26" s="220">
        <f>SUM( tabConsumo[[#This Row],[QTD.PENDENTE]]:tabConsumo[[#This Row],[09_23]] ) / tabConsumo[[#This Row],[Div]]</f>
        <v>0.41666666666666669</v>
      </c>
      <c r="U26" s="221">
        <f xml:space="preserve"> tabConsumo[[#This Row],[Média.A]] + (_xlfn.STDEV.S( tabConsumo[[#This Row],[QTD.PENDENTE]]:tabConsumo[[#This Row],[09_23]] ) * 1)</f>
        <v>1.4128715865622885</v>
      </c>
      <c r="V26" s="221">
        <f xml:space="preserve"> tabConsumo[[#This Row],[Média.A]] + (_xlfn.STDEV.S( tabConsumo[[#This Row],[QTD.PENDENTE]]:tabConsumo[[#This Row],[09_23]] ) * 2)</f>
        <v>2.4090765064579105</v>
      </c>
      <c r="W26" s="221">
        <f xml:space="preserve"> tabConsumo[[#This Row],[Média.A]] + (_xlfn.STDEV.S( tabConsumo[[#This Row],[QTD.PENDENTE]]:tabConsumo[[#This Row],[09_23]] ) * 3)</f>
        <v>3.405281426353532</v>
      </c>
      <c r="X26" s="5">
        <f t="shared" si="0"/>
        <v>2</v>
      </c>
      <c r="Y26">
        <v>0.33333333333333331</v>
      </c>
      <c r="Z26" s="223">
        <f>SUM( tabConsumo[[#This Row],[QTD.PENDENTE]]:tabConsumo[[#This Row],[09_23]] )</f>
        <v>5</v>
      </c>
      <c r="AA26" s="223">
        <f>LARGE(tabConsumo[[#This Row],[10_22]:[09_23]],1)</f>
        <v>3</v>
      </c>
      <c r="AB26" s="146" t="s">
        <v>2243</v>
      </c>
      <c r="AC26" s="3" t="s">
        <v>2086</v>
      </c>
    </row>
    <row r="27" spans="1:29" x14ac:dyDescent="0.3">
      <c r="A27" s="4" t="s">
        <v>1253</v>
      </c>
      <c r="B27" s="3" t="s">
        <v>320</v>
      </c>
      <c r="C27" s="2">
        <v>33612</v>
      </c>
      <c r="D27" s="2">
        <v>325</v>
      </c>
      <c r="F27" s="2">
        <v>12</v>
      </c>
      <c r="G27" s="2">
        <v>0</v>
      </c>
      <c r="H27" s="2">
        <v>2</v>
      </c>
      <c r="I27" s="2">
        <v>1</v>
      </c>
      <c r="J27" s="2">
        <v>3</v>
      </c>
      <c r="K27" s="2">
        <v>9</v>
      </c>
      <c r="L27" s="2">
        <v>22</v>
      </c>
      <c r="M27" s="2">
        <v>0</v>
      </c>
      <c r="N27" s="2">
        <v>10</v>
      </c>
      <c r="O27" s="2">
        <v>5</v>
      </c>
      <c r="P27" s="2">
        <v>0</v>
      </c>
      <c r="Q27" s="2">
        <v>0</v>
      </c>
      <c r="R27" s="238">
        <v>367</v>
      </c>
      <c r="S27" s="219">
        <f xml:space="preserve"> 12</f>
        <v>12</v>
      </c>
      <c r="T27" s="220">
        <f>SUM( tabConsumo[[#This Row],[QTD.PENDENTE]]:tabConsumo[[#This Row],[09_23]] ) / tabConsumo[[#This Row],[Div]]</f>
        <v>5.333333333333333</v>
      </c>
      <c r="U27" s="221">
        <f xml:space="preserve"> tabConsumo[[#This Row],[Média.A]] + (_xlfn.STDEV.S( tabConsumo[[#This Row],[QTD.PENDENTE]]:tabConsumo[[#This Row],[09_23]] ) * 1)</f>
        <v>12.120129783839719</v>
      </c>
      <c r="V27" s="221">
        <f xml:space="preserve"> tabConsumo[[#This Row],[Média.A]] + (_xlfn.STDEV.S( tabConsumo[[#This Row],[QTD.PENDENTE]]:tabConsumo[[#This Row],[09_23]] ) * 2)</f>
        <v>18.906926234346102</v>
      </c>
      <c r="W27" s="221">
        <f xml:space="preserve"> tabConsumo[[#This Row],[Média.A]] + (_xlfn.STDEV.S( tabConsumo[[#This Row],[QTD.PENDENTE]]:tabConsumo[[#This Row],[09_23]] ) * 3)</f>
        <v>25.693722684852485</v>
      </c>
      <c r="X27" s="5">
        <f t="shared" si="0"/>
        <v>2</v>
      </c>
      <c r="Y27">
        <v>5</v>
      </c>
      <c r="Z27" s="223">
        <f>SUM( tabConsumo[[#This Row],[QTD.PENDENTE]]:tabConsumo[[#This Row],[09_23]] )</f>
        <v>64</v>
      </c>
      <c r="AA27" s="223">
        <f>LARGE(tabConsumo[[#This Row],[10_22]:[09_23]],1)</f>
        <v>22</v>
      </c>
      <c r="AB27" s="146" t="s">
        <v>2239</v>
      </c>
      <c r="AC27" s="3" t="s">
        <v>2086</v>
      </c>
    </row>
    <row r="28" spans="1:29" x14ac:dyDescent="0.3">
      <c r="A28" s="4" t="s">
        <v>1254</v>
      </c>
      <c r="B28" s="3" t="s">
        <v>320</v>
      </c>
      <c r="C28" s="2">
        <v>33623</v>
      </c>
      <c r="D28" s="2">
        <v>408</v>
      </c>
      <c r="F28" s="2">
        <v>15</v>
      </c>
      <c r="G28" s="2">
        <v>29</v>
      </c>
      <c r="H28" s="2">
        <v>4</v>
      </c>
      <c r="I28" s="2">
        <v>58</v>
      </c>
      <c r="J28" s="2">
        <v>22</v>
      </c>
      <c r="K28" s="2">
        <v>72</v>
      </c>
      <c r="L28" s="2">
        <v>7</v>
      </c>
      <c r="M28" s="2">
        <v>74</v>
      </c>
      <c r="N28" s="2">
        <v>20</v>
      </c>
      <c r="O28" s="2">
        <v>11</v>
      </c>
      <c r="P28" s="2">
        <v>10</v>
      </c>
      <c r="Q28" s="2">
        <v>20</v>
      </c>
      <c r="R28" s="238">
        <v>367</v>
      </c>
      <c r="S28" s="219">
        <f xml:space="preserve"> 12</f>
        <v>12</v>
      </c>
      <c r="T28" s="220">
        <f>SUM( tabConsumo[[#This Row],[QTD.PENDENTE]]:tabConsumo[[#This Row],[09_23]] ) / tabConsumo[[#This Row],[Div]]</f>
        <v>28.5</v>
      </c>
      <c r="U28" s="221">
        <f xml:space="preserve"> tabConsumo[[#This Row],[Média.A]] + (_xlfn.STDEV.S( tabConsumo[[#This Row],[QTD.PENDENTE]]:tabConsumo[[#This Row],[09_23]] ) * 1)</f>
        <v>53.568995700955902</v>
      </c>
      <c r="V28" s="221">
        <f xml:space="preserve"> tabConsumo[[#This Row],[Média.A]] + (_xlfn.STDEV.S( tabConsumo[[#This Row],[QTD.PENDENTE]]:tabConsumo[[#This Row],[09_23]] ) * 2)</f>
        <v>78.637991401911805</v>
      </c>
      <c r="W28" s="221">
        <f xml:space="preserve"> tabConsumo[[#This Row],[Média.A]] + (_xlfn.STDEV.S( tabConsumo[[#This Row],[QTD.PENDENTE]]:tabConsumo[[#This Row],[09_23]] ) * 3)</f>
        <v>103.70698710286771</v>
      </c>
      <c r="X28" s="5">
        <f t="shared" si="0"/>
        <v>2</v>
      </c>
      <c r="Y28">
        <v>28.5</v>
      </c>
      <c r="Z28" s="223">
        <f>SUM( tabConsumo[[#This Row],[QTD.PENDENTE]]:tabConsumo[[#This Row],[09_23]] )</f>
        <v>342</v>
      </c>
      <c r="AA28" s="223">
        <f>LARGE(tabConsumo[[#This Row],[10_22]:[09_23]],1)</f>
        <v>74</v>
      </c>
      <c r="AB28" s="146" t="s">
        <v>2238</v>
      </c>
      <c r="AC28" s="3" t="s">
        <v>2086</v>
      </c>
    </row>
    <row r="29" spans="1:29" x14ac:dyDescent="0.3">
      <c r="A29" s="4" t="s">
        <v>1609</v>
      </c>
      <c r="B29" s="3" t="s">
        <v>31</v>
      </c>
      <c r="C29" s="2">
        <v>104911</v>
      </c>
      <c r="D29" s="2">
        <v>95</v>
      </c>
      <c r="F29" s="2">
        <v>4</v>
      </c>
      <c r="G29" s="2">
        <v>0</v>
      </c>
      <c r="H29" s="2">
        <v>0</v>
      </c>
      <c r="I29" s="2">
        <v>8</v>
      </c>
      <c r="J29" s="2">
        <v>4</v>
      </c>
      <c r="K29" s="2">
        <v>10</v>
      </c>
      <c r="L29" s="2">
        <v>0</v>
      </c>
      <c r="M29" s="2">
        <v>0</v>
      </c>
      <c r="N29" s="2">
        <v>0</v>
      </c>
      <c r="O29" s="2">
        <v>20</v>
      </c>
      <c r="P29" s="2">
        <v>0</v>
      </c>
      <c r="Q29" s="2">
        <v>0</v>
      </c>
      <c r="R29" s="238">
        <v>39490</v>
      </c>
      <c r="S29" s="219">
        <v>12</v>
      </c>
      <c r="T29" s="220">
        <f>SUM( tabConsumo[[#This Row],[QTD.PENDENTE]]:tabConsumo[[#This Row],[09_23]] ) / tabConsumo[[#This Row],[Div]]</f>
        <v>3.8333333333333335</v>
      </c>
      <c r="U29" s="221">
        <f xml:space="preserve"> tabConsumo[[#This Row],[Média.A]] + (_xlfn.STDEV.S( tabConsumo[[#This Row],[QTD.PENDENTE]]:tabConsumo[[#This Row],[09_23]] ) * 1)</f>
        <v>10.010024611964244</v>
      </c>
      <c r="V29" s="221">
        <f xml:space="preserve"> tabConsumo[[#This Row],[Média.A]] + (_xlfn.STDEV.S( tabConsumo[[#This Row],[QTD.PENDENTE]]:tabConsumo[[#This Row],[09_23]] ) * 2)</f>
        <v>16.186715890595153</v>
      </c>
      <c r="W29" s="221">
        <f xml:space="preserve"> tabConsumo[[#This Row],[Média.A]] + (_xlfn.STDEV.S( tabConsumo[[#This Row],[QTD.PENDENTE]]:tabConsumo[[#This Row],[09_23]] ) * 3)</f>
        <v>22.363407169226061</v>
      </c>
      <c r="X29" s="5">
        <f t="shared" si="0"/>
        <v>2</v>
      </c>
      <c r="Y29">
        <v>3.5</v>
      </c>
      <c r="Z29" s="223">
        <f>SUM( tabConsumo[[#This Row],[QTD.PENDENTE]]:tabConsumo[[#This Row],[09_23]] )</f>
        <v>46</v>
      </c>
      <c r="AA29" s="223">
        <f>LARGE(tabConsumo[[#This Row],[10_22]:[09_23]],1)</f>
        <v>20</v>
      </c>
      <c r="AB29" s="146" t="s">
        <v>2239</v>
      </c>
      <c r="AC29" s="3" t="s">
        <v>2086</v>
      </c>
    </row>
    <row r="30" spans="1:29" x14ac:dyDescent="0.3">
      <c r="A30" s="4" t="s">
        <v>1871</v>
      </c>
      <c r="B30" s="3" t="s">
        <v>1872</v>
      </c>
      <c r="C30" s="2">
        <v>134246</v>
      </c>
      <c r="D30" s="2">
        <v>35.53</v>
      </c>
      <c r="E30" s="2">
        <v>18.75</v>
      </c>
      <c r="F30" s="2">
        <v>97</v>
      </c>
      <c r="G30" s="2">
        <v>94.25</v>
      </c>
      <c r="H30" s="2">
        <v>87</v>
      </c>
      <c r="I30" s="2">
        <v>82</v>
      </c>
      <c r="J30" s="2">
        <v>140</v>
      </c>
      <c r="K30" s="2">
        <v>113.58</v>
      </c>
      <c r="L30" s="2">
        <v>103.42</v>
      </c>
      <c r="M30" s="2">
        <v>165.94</v>
      </c>
      <c r="N30" s="2">
        <v>98</v>
      </c>
      <c r="O30" s="2">
        <v>89.06</v>
      </c>
      <c r="P30" s="2">
        <v>106</v>
      </c>
      <c r="Q30" s="2">
        <v>28</v>
      </c>
      <c r="R30" s="238">
        <v>43138</v>
      </c>
      <c r="S30" s="219">
        <v>12</v>
      </c>
      <c r="T30" s="220">
        <f>SUM( tabConsumo[[#This Row],[QTD.PENDENTE]]:tabConsumo[[#This Row],[09_23]] ) / tabConsumo[[#This Row],[Div]]</f>
        <v>101.91666666666667</v>
      </c>
      <c r="U30" s="221">
        <f xml:space="preserve"> tabConsumo[[#This Row],[Média.A]] + (_xlfn.STDEV.S( tabConsumo[[#This Row],[QTD.PENDENTE]]:tabConsumo[[#This Row],[09_23]] ) * 1)</f>
        <v>140.82727798385011</v>
      </c>
      <c r="V30" s="221">
        <f xml:space="preserve"> tabConsumo[[#This Row],[Média.A]] + (_xlfn.STDEV.S( tabConsumo[[#This Row],[QTD.PENDENTE]]:tabConsumo[[#This Row],[09_23]] ) * 2)</f>
        <v>179.73788930103353</v>
      </c>
      <c r="W30" s="221">
        <f xml:space="preserve"> tabConsumo[[#This Row],[Média.A]] + (_xlfn.STDEV.S( tabConsumo[[#This Row],[QTD.PENDENTE]]:tabConsumo[[#This Row],[09_23]] ) * 3)</f>
        <v>218.64850061821699</v>
      </c>
      <c r="X30" s="5">
        <f t="shared" si="0"/>
        <v>2</v>
      </c>
      <c r="Y30">
        <v>101.91666666666667</v>
      </c>
      <c r="Z30" s="223">
        <f>SUM( tabConsumo[[#This Row],[QTD.PENDENTE]]:tabConsumo[[#This Row],[09_23]] )</f>
        <v>1223</v>
      </c>
      <c r="AA30" s="223">
        <f>LARGE(tabConsumo[[#This Row],[10_22]:[09_23]],1)</f>
        <v>165.94</v>
      </c>
      <c r="AB30" s="146" t="s">
        <v>2238</v>
      </c>
      <c r="AC30" s="3" t="s">
        <v>2086</v>
      </c>
    </row>
    <row r="31" spans="1:29" x14ac:dyDescent="0.3">
      <c r="A31" s="4" t="s">
        <v>1521</v>
      </c>
      <c r="B31" s="3" t="s">
        <v>320</v>
      </c>
      <c r="C31" s="2">
        <v>88849</v>
      </c>
      <c r="D31" s="2">
        <v>563</v>
      </c>
      <c r="F31" s="2">
        <v>2</v>
      </c>
      <c r="G31" s="2">
        <v>102</v>
      </c>
      <c r="H31" s="2">
        <v>2</v>
      </c>
      <c r="I31" s="2">
        <v>331</v>
      </c>
      <c r="J31" s="2">
        <v>2</v>
      </c>
      <c r="K31" s="2">
        <v>1</v>
      </c>
      <c r="L31" s="2">
        <v>8</v>
      </c>
      <c r="M31" s="2">
        <v>1</v>
      </c>
      <c r="N31" s="2">
        <v>0</v>
      </c>
      <c r="O31" s="2">
        <v>0</v>
      </c>
      <c r="P31" s="2">
        <v>0</v>
      </c>
      <c r="Q31" s="2">
        <v>0</v>
      </c>
      <c r="R31" s="238">
        <v>38664</v>
      </c>
      <c r="S31" s="219">
        <v>12</v>
      </c>
      <c r="T31" s="220">
        <f>SUM( tabConsumo[[#This Row],[QTD.PENDENTE]]:tabConsumo[[#This Row],[09_23]] ) / tabConsumo[[#This Row],[Div]]</f>
        <v>37.416666666666664</v>
      </c>
      <c r="U31" s="221">
        <f xml:space="preserve"> tabConsumo[[#This Row],[Média.A]] + (_xlfn.STDEV.S( tabConsumo[[#This Row],[QTD.PENDENTE]]:tabConsumo[[#This Row],[09_23]] ) * 1)</f>
        <v>134.29659078394545</v>
      </c>
      <c r="V31" s="221">
        <f xml:space="preserve"> tabConsumo[[#This Row],[Média.A]] + (_xlfn.STDEV.S( tabConsumo[[#This Row],[QTD.PENDENTE]]:tabConsumo[[#This Row],[09_23]] ) * 2)</f>
        <v>231.17651490122424</v>
      </c>
      <c r="W31" s="221">
        <f xml:space="preserve"> tabConsumo[[#This Row],[Média.A]] + (_xlfn.STDEV.S( tabConsumo[[#This Row],[QTD.PENDENTE]]:tabConsumo[[#This Row],[09_23]] ) * 3)</f>
        <v>328.05643901850306</v>
      </c>
      <c r="X31" s="5">
        <f t="shared" si="0"/>
        <v>2</v>
      </c>
      <c r="Y31">
        <v>29.083333333333332</v>
      </c>
      <c r="Z31" s="223">
        <f>SUM( tabConsumo[[#This Row],[QTD.PENDENTE]]:tabConsumo[[#This Row],[09_23]] )</f>
        <v>449</v>
      </c>
      <c r="AA31" s="223">
        <f>LARGE(tabConsumo[[#This Row],[10_22]:[09_23]],1)</f>
        <v>331</v>
      </c>
      <c r="AB31" s="146" t="s">
        <v>2244</v>
      </c>
      <c r="AC31" s="3" t="s">
        <v>2086</v>
      </c>
    </row>
    <row r="32" spans="1:29" x14ac:dyDescent="0.3">
      <c r="A32" s="4" t="s">
        <v>1374</v>
      </c>
      <c r="B32" s="3" t="s">
        <v>263</v>
      </c>
      <c r="C32" s="2">
        <v>64466</v>
      </c>
      <c r="D32" s="2">
        <v>5067</v>
      </c>
      <c r="F32" s="2">
        <v>0</v>
      </c>
      <c r="G32" s="2">
        <v>0</v>
      </c>
      <c r="H32" s="2">
        <v>30</v>
      </c>
      <c r="I32" s="2">
        <v>115</v>
      </c>
      <c r="J32" s="2">
        <v>0</v>
      </c>
      <c r="K32" s="2">
        <v>50</v>
      </c>
      <c r="L32" s="2">
        <v>0</v>
      </c>
      <c r="M32" s="2">
        <v>0</v>
      </c>
      <c r="N32" s="2">
        <v>0</v>
      </c>
      <c r="O32" s="2">
        <v>0</v>
      </c>
      <c r="P32" s="2">
        <v>0</v>
      </c>
      <c r="Q32" s="2">
        <v>0</v>
      </c>
      <c r="R32" s="238">
        <v>367</v>
      </c>
      <c r="S32" s="219">
        <f xml:space="preserve"> 12</f>
        <v>12</v>
      </c>
      <c r="T32" s="220">
        <f>SUM( tabConsumo[[#This Row],[QTD.PENDENTE]]:tabConsumo[[#This Row],[09_23]] ) / tabConsumo[[#This Row],[Div]]</f>
        <v>16.25</v>
      </c>
      <c r="U32" s="221">
        <f xml:space="preserve"> tabConsumo[[#This Row],[Média.A]] + (_xlfn.STDEV.S( tabConsumo[[#This Row],[QTD.PENDENTE]]:tabConsumo[[#This Row],[09_23]] ) * 1)</f>
        <v>51.225640873977625</v>
      </c>
      <c r="V32" s="221">
        <f xml:space="preserve"> tabConsumo[[#This Row],[Média.A]] + (_xlfn.STDEV.S( tabConsumo[[#This Row],[QTD.PENDENTE]]:tabConsumo[[#This Row],[09_23]] ) * 2)</f>
        <v>86.20128174795525</v>
      </c>
      <c r="W32" s="221">
        <f xml:space="preserve"> tabConsumo[[#This Row],[Média.A]] + (_xlfn.STDEV.S( tabConsumo[[#This Row],[QTD.PENDENTE]]:tabConsumo[[#This Row],[09_23]] ) * 3)</f>
        <v>121.17692262193287</v>
      </c>
      <c r="X32" s="5">
        <f t="shared" si="0"/>
        <v>2</v>
      </c>
      <c r="Y32">
        <v>13.833333333333334</v>
      </c>
      <c r="Z32" s="223">
        <f>SUM( tabConsumo[[#This Row],[QTD.PENDENTE]]:tabConsumo[[#This Row],[09_23]] )</f>
        <v>195</v>
      </c>
      <c r="AA32" s="223">
        <f>LARGE(tabConsumo[[#This Row],[10_22]:[09_23]],1)</f>
        <v>115</v>
      </c>
      <c r="AB32" s="146" t="s">
        <v>2245</v>
      </c>
      <c r="AC32" s="3" t="s">
        <v>2086</v>
      </c>
    </row>
    <row r="33" spans="1:29" x14ac:dyDescent="0.3">
      <c r="A33" s="4" t="s">
        <v>1318</v>
      </c>
      <c r="B33" s="3" t="s">
        <v>263</v>
      </c>
      <c r="C33" s="2">
        <v>54032</v>
      </c>
      <c r="D33" s="2">
        <v>22466</v>
      </c>
      <c r="F33" s="2">
        <v>1724</v>
      </c>
      <c r="G33" s="2">
        <v>1900</v>
      </c>
      <c r="H33" s="2">
        <v>2010</v>
      </c>
      <c r="I33" s="2">
        <v>850</v>
      </c>
      <c r="J33" s="2">
        <v>1890</v>
      </c>
      <c r="K33" s="2">
        <v>650</v>
      </c>
      <c r="L33" s="2">
        <v>1800</v>
      </c>
      <c r="M33" s="2">
        <v>0</v>
      </c>
      <c r="N33" s="2">
        <v>0</v>
      </c>
      <c r="O33" s="2">
        <v>0</v>
      </c>
      <c r="P33" s="2">
        <v>1000</v>
      </c>
      <c r="Q33" s="2">
        <v>0</v>
      </c>
      <c r="R33" s="238">
        <v>367</v>
      </c>
      <c r="S33" s="219">
        <f xml:space="preserve"> 12</f>
        <v>12</v>
      </c>
      <c r="T33" s="220">
        <f>SUM( tabConsumo[[#This Row],[QTD.PENDENTE]]:tabConsumo[[#This Row],[09_23]] ) / tabConsumo[[#This Row],[Div]]</f>
        <v>985.33333333333337</v>
      </c>
      <c r="U33" s="221">
        <f xml:space="preserve"> tabConsumo[[#This Row],[Média.A]] + (_xlfn.STDEV.S( tabConsumo[[#This Row],[QTD.PENDENTE]]:tabConsumo[[#This Row],[09_23]] ) * 1)</f>
        <v>1834.3324588638106</v>
      </c>
      <c r="V33" s="221">
        <f xml:space="preserve"> tabConsumo[[#This Row],[Média.A]] + (_xlfn.STDEV.S( tabConsumo[[#This Row],[QTD.PENDENTE]]:tabConsumo[[#This Row],[09_23]] ) * 2)</f>
        <v>2683.3315843942878</v>
      </c>
      <c r="W33" s="221">
        <f xml:space="preserve"> tabConsumo[[#This Row],[Média.A]] + (_xlfn.STDEV.S( tabConsumo[[#This Row],[QTD.PENDENTE]]:tabConsumo[[#This Row],[09_23]] ) * 3)</f>
        <v>3532.3307099247654</v>
      </c>
      <c r="X33" s="5">
        <f t="shared" si="0"/>
        <v>2</v>
      </c>
      <c r="Y33">
        <v>985.33333333333337</v>
      </c>
      <c r="Z33" s="223">
        <f>SUM( tabConsumo[[#This Row],[QTD.PENDENTE]]:tabConsumo[[#This Row],[09_23]] )</f>
        <v>11824</v>
      </c>
      <c r="AA33" s="223">
        <f>LARGE(tabConsumo[[#This Row],[10_22]:[09_23]],1)</f>
        <v>2010</v>
      </c>
      <c r="AB33" s="146" t="s">
        <v>2241</v>
      </c>
      <c r="AC33" s="3" t="s">
        <v>2086</v>
      </c>
    </row>
    <row r="34" spans="1:29" x14ac:dyDescent="0.3">
      <c r="A34" s="4" t="s">
        <v>1317</v>
      </c>
      <c r="B34" s="3" t="s">
        <v>31</v>
      </c>
      <c r="C34" s="2">
        <v>54029</v>
      </c>
      <c r="D34" s="2">
        <v>2115</v>
      </c>
      <c r="F34" s="2">
        <v>0</v>
      </c>
      <c r="G34" s="2">
        <v>0</v>
      </c>
      <c r="H34" s="2">
        <v>50</v>
      </c>
      <c r="I34" s="2">
        <v>100</v>
      </c>
      <c r="J34" s="2">
        <v>0</v>
      </c>
      <c r="K34" s="2">
        <v>200</v>
      </c>
      <c r="L34" s="2">
        <v>200</v>
      </c>
      <c r="M34" s="2">
        <v>0</v>
      </c>
      <c r="N34" s="2">
        <v>0</v>
      </c>
      <c r="O34" s="2">
        <v>0</v>
      </c>
      <c r="P34" s="2">
        <v>1000</v>
      </c>
      <c r="Q34" s="2">
        <v>0</v>
      </c>
      <c r="R34" s="238">
        <v>367</v>
      </c>
      <c r="S34" s="219">
        <f xml:space="preserve"> 12</f>
        <v>12</v>
      </c>
      <c r="T34" s="220">
        <f>SUM( tabConsumo[[#This Row],[QTD.PENDENTE]]:tabConsumo[[#This Row],[09_23]] ) / tabConsumo[[#This Row],[Div]]</f>
        <v>129.16666666666666</v>
      </c>
      <c r="U34" s="221">
        <f xml:space="preserve"> tabConsumo[[#This Row],[Média.A]] + (_xlfn.STDEV.S( tabConsumo[[#This Row],[QTD.PENDENTE]]:tabConsumo[[#This Row],[09_23]] ) * 1)</f>
        <v>413.97787473689732</v>
      </c>
      <c r="V34" s="221">
        <f xml:space="preserve"> tabConsumo[[#This Row],[Média.A]] + (_xlfn.STDEV.S( tabConsumo[[#This Row],[QTD.PENDENTE]]:tabConsumo[[#This Row],[09_23]] ) * 2)</f>
        <v>698.78908280712801</v>
      </c>
      <c r="W34" s="221">
        <f xml:space="preserve"> tabConsumo[[#This Row],[Média.A]] + (_xlfn.STDEV.S( tabConsumo[[#This Row],[QTD.PENDENTE]]:tabConsumo[[#This Row],[09_23]] ) * 3)</f>
        <v>983.6002908773587</v>
      </c>
      <c r="X34" s="5">
        <f t="shared" si="0"/>
        <v>2</v>
      </c>
      <c r="Y34">
        <v>104</v>
      </c>
      <c r="Z34" s="223">
        <f>SUM( tabConsumo[[#This Row],[QTD.PENDENTE]]:tabConsumo[[#This Row],[09_23]] )</f>
        <v>1550</v>
      </c>
      <c r="AA34" s="223">
        <f>LARGE(tabConsumo[[#This Row],[10_22]:[09_23]],1)</f>
        <v>1000</v>
      </c>
      <c r="AB34" s="146" t="s">
        <v>2241</v>
      </c>
      <c r="AC34" s="3" t="s">
        <v>2086</v>
      </c>
    </row>
    <row r="35" spans="1:29" x14ac:dyDescent="0.3">
      <c r="A35" s="4" t="s">
        <v>2213</v>
      </c>
      <c r="B35" s="3" t="s">
        <v>263</v>
      </c>
      <c r="C35" s="2">
        <v>113611</v>
      </c>
      <c r="D35" s="2">
        <v>0</v>
      </c>
      <c r="F35" s="2">
        <v>35</v>
      </c>
      <c r="G35" s="2">
        <v>0</v>
      </c>
      <c r="H35" s="2">
        <v>0</v>
      </c>
      <c r="I35" s="2">
        <v>0</v>
      </c>
      <c r="J35" s="2">
        <v>0</v>
      </c>
      <c r="K35" s="2">
        <v>0</v>
      </c>
      <c r="L35" s="2">
        <v>0</v>
      </c>
      <c r="M35" s="2">
        <v>0</v>
      </c>
      <c r="N35" s="2">
        <v>0</v>
      </c>
      <c r="O35" s="2">
        <v>0</v>
      </c>
      <c r="P35" s="2">
        <v>0</v>
      </c>
      <c r="Q35" s="2">
        <v>0</v>
      </c>
      <c r="R35" s="238">
        <v>367</v>
      </c>
      <c r="S35" s="219">
        <f xml:space="preserve"> 12</f>
        <v>12</v>
      </c>
      <c r="T35" s="220">
        <f>SUM( tabConsumo[[#This Row],[QTD.PENDENTE]]:tabConsumo[[#This Row],[09_23]] ) / tabConsumo[[#This Row],[Div]]</f>
        <v>2.9166666666666665</v>
      </c>
      <c r="U35" s="221">
        <f xml:space="preserve"> tabConsumo[[#This Row],[Média.A]] + (_xlfn.STDEV.S( tabConsumo[[#This Row],[QTD.PENDENTE]]:tabConsumo[[#This Row],[09_23]] ) * 1)</f>
        <v>13.020296377485117</v>
      </c>
      <c r="V35" s="221">
        <f xml:space="preserve"> tabConsumo[[#This Row],[Média.A]] + (_xlfn.STDEV.S( tabConsumo[[#This Row],[QTD.PENDENTE]]:tabConsumo[[#This Row],[09_23]] ) * 2)</f>
        <v>23.12392608830357</v>
      </c>
      <c r="W35" s="221">
        <f xml:space="preserve"> tabConsumo[[#This Row],[Média.A]] + (_xlfn.STDEV.S( tabConsumo[[#This Row],[QTD.PENDENTE]]:tabConsumo[[#This Row],[09_23]] ) * 3)</f>
        <v>33.227555799122015</v>
      </c>
      <c r="X35" s="5">
        <f t="shared" si="0"/>
        <v>2</v>
      </c>
      <c r="Y35">
        <v>1.9166666666666667</v>
      </c>
      <c r="Z35" s="223">
        <f>SUM( tabConsumo[[#This Row],[QTD.PENDENTE]]:tabConsumo[[#This Row],[09_23]] )</f>
        <v>35</v>
      </c>
      <c r="AA35" s="223">
        <f>LARGE(tabConsumo[[#This Row],[10_22]:[09_23]],1)</f>
        <v>35</v>
      </c>
      <c r="AB35" s="146" t="s">
        <v>2242</v>
      </c>
      <c r="AC35" s="3" t="s">
        <v>2086</v>
      </c>
    </row>
    <row r="36" spans="1:29" x14ac:dyDescent="0.3">
      <c r="A36" s="4" t="s">
        <v>2050</v>
      </c>
      <c r="B36" s="3" t="s">
        <v>31</v>
      </c>
      <c r="C36" s="2">
        <v>144153</v>
      </c>
      <c r="D36" s="2">
        <v>373</v>
      </c>
      <c r="E36" s="2">
        <v>10</v>
      </c>
      <c r="F36" s="2">
        <v>5</v>
      </c>
      <c r="G36" s="2">
        <v>23</v>
      </c>
      <c r="H36" s="2">
        <v>44</v>
      </c>
      <c r="I36" s="2">
        <v>104</v>
      </c>
      <c r="J36" s="2">
        <v>49</v>
      </c>
      <c r="K36" s="2">
        <v>39</v>
      </c>
      <c r="L36" s="2">
        <v>73</v>
      </c>
      <c r="M36" s="2">
        <v>173</v>
      </c>
      <c r="N36" s="2">
        <v>80</v>
      </c>
      <c r="O36" s="2">
        <v>40</v>
      </c>
      <c r="P36" s="2">
        <v>112</v>
      </c>
      <c r="Q36" s="2">
        <v>56</v>
      </c>
      <c r="R36" s="238">
        <v>44700</v>
      </c>
      <c r="S36" s="219">
        <v>12</v>
      </c>
      <c r="T36" s="220">
        <f>SUM( tabConsumo[[#This Row],[QTD.PENDENTE]]:tabConsumo[[#This Row],[09_23]] ) / tabConsumo[[#This Row],[Div]]</f>
        <v>67.333333333333329</v>
      </c>
      <c r="U36" s="221">
        <f xml:space="preserve"> tabConsumo[[#This Row],[Média.A]] + (_xlfn.STDEV.S( tabConsumo[[#This Row],[QTD.PENDENTE]]:tabConsumo[[#This Row],[09_23]] ) * 1)</f>
        <v>113.92168336823325</v>
      </c>
      <c r="V36" s="221">
        <f xml:space="preserve"> tabConsumo[[#This Row],[Média.A]] + (_xlfn.STDEV.S( tabConsumo[[#This Row],[QTD.PENDENTE]]:tabConsumo[[#This Row],[09_23]] ) * 2)</f>
        <v>160.51003340313315</v>
      </c>
      <c r="W36" s="221">
        <f xml:space="preserve"> tabConsumo[[#This Row],[Média.A]] + (_xlfn.STDEV.S( tabConsumo[[#This Row],[QTD.PENDENTE]]:tabConsumo[[#This Row],[09_23]] ) * 3)</f>
        <v>207.09838343803307</v>
      </c>
      <c r="X36" s="5">
        <f t="shared" si="0"/>
        <v>2</v>
      </c>
      <c r="Y36">
        <v>66.25</v>
      </c>
      <c r="Z36" s="223">
        <f>SUM( tabConsumo[[#This Row],[QTD.PENDENTE]]:tabConsumo[[#This Row],[09_23]] )</f>
        <v>808</v>
      </c>
      <c r="AA36" s="223">
        <f>LARGE(tabConsumo[[#This Row],[10_22]:[09_23]],1)</f>
        <v>173</v>
      </c>
      <c r="AB36" s="146" t="s">
        <v>2238</v>
      </c>
      <c r="AC36" s="3" t="s">
        <v>2086</v>
      </c>
    </row>
    <row r="37" spans="1:29" x14ac:dyDescent="0.3">
      <c r="A37" s="4" t="s">
        <v>1957</v>
      </c>
      <c r="B37" s="3" t="s">
        <v>263</v>
      </c>
      <c r="C37" s="2">
        <v>137798</v>
      </c>
      <c r="D37" s="2">
        <v>18</v>
      </c>
      <c r="F37" s="2">
        <v>0</v>
      </c>
      <c r="G37" s="2">
        <v>0</v>
      </c>
      <c r="H37" s="2">
        <v>0</v>
      </c>
      <c r="I37" s="2">
        <v>0</v>
      </c>
      <c r="J37" s="2">
        <v>0</v>
      </c>
      <c r="K37" s="2">
        <v>0</v>
      </c>
      <c r="L37" s="2">
        <v>0</v>
      </c>
      <c r="M37" s="2">
        <v>0</v>
      </c>
      <c r="N37" s="2">
        <v>1</v>
      </c>
      <c r="O37" s="2">
        <v>0</v>
      </c>
      <c r="P37" s="2">
        <v>0</v>
      </c>
      <c r="Q37" s="2">
        <v>0</v>
      </c>
      <c r="R37" s="238">
        <v>43629</v>
      </c>
      <c r="S37" s="219">
        <v>12</v>
      </c>
      <c r="T37" s="220">
        <f>SUM( tabConsumo[[#This Row],[QTD.PENDENTE]]:tabConsumo[[#This Row],[09_23]] ) / tabConsumo[[#This Row],[Div]]</f>
        <v>8.3333333333333329E-2</v>
      </c>
      <c r="U37" s="221">
        <f xml:space="preserve"> tabConsumo[[#This Row],[Média.A]] + (_xlfn.STDEV.S( tabConsumo[[#This Row],[QTD.PENDENTE]]:tabConsumo[[#This Row],[09_23]] ) * 1)</f>
        <v>0.37200846792814618</v>
      </c>
      <c r="V37" s="221">
        <f xml:space="preserve"> tabConsumo[[#This Row],[Média.A]] + (_xlfn.STDEV.S( tabConsumo[[#This Row],[QTD.PENDENTE]]:tabConsumo[[#This Row],[09_23]] ) * 2)</f>
        <v>0.6606836025229591</v>
      </c>
      <c r="W37" s="221">
        <f xml:space="preserve"> tabConsumo[[#This Row],[Média.A]] + (_xlfn.STDEV.S( tabConsumo[[#This Row],[QTD.PENDENTE]]:tabConsumo[[#This Row],[09_23]] ) * 3)</f>
        <v>0.94935873711777197</v>
      </c>
      <c r="X37" s="5">
        <f t="shared" si="0"/>
        <v>2</v>
      </c>
      <c r="Y37">
        <v>0</v>
      </c>
      <c r="Z37" s="223">
        <f>SUM( tabConsumo[[#This Row],[QTD.PENDENTE]]:tabConsumo[[#This Row],[09_23]] )</f>
        <v>1</v>
      </c>
      <c r="AA37" s="223">
        <f>LARGE(tabConsumo[[#This Row],[10_22]:[09_23]],1)</f>
        <v>1</v>
      </c>
      <c r="AB37" s="146" t="s">
        <v>2246</v>
      </c>
      <c r="AC37" s="3" t="s">
        <v>2086</v>
      </c>
    </row>
    <row r="38" spans="1:29" x14ac:dyDescent="0.3">
      <c r="A38" s="4" t="s">
        <v>1367</v>
      </c>
      <c r="B38" s="3" t="s">
        <v>847</v>
      </c>
      <c r="C38" s="2">
        <v>63991</v>
      </c>
      <c r="D38" s="2">
        <v>3652</v>
      </c>
      <c r="E38" s="2">
        <v>210</v>
      </c>
      <c r="F38" s="2">
        <v>253</v>
      </c>
      <c r="G38" s="2">
        <v>307</v>
      </c>
      <c r="H38" s="2">
        <v>167</v>
      </c>
      <c r="I38" s="2">
        <v>101</v>
      </c>
      <c r="J38" s="2">
        <v>215</v>
      </c>
      <c r="K38" s="2">
        <v>1319</v>
      </c>
      <c r="L38" s="2">
        <v>5</v>
      </c>
      <c r="M38" s="2">
        <v>130</v>
      </c>
      <c r="N38" s="2">
        <v>271</v>
      </c>
      <c r="O38" s="2">
        <v>274</v>
      </c>
      <c r="P38" s="2">
        <v>303</v>
      </c>
      <c r="Q38" s="2">
        <v>257</v>
      </c>
      <c r="R38" s="238">
        <v>367</v>
      </c>
      <c r="S38" s="219">
        <f xml:space="preserve"> 12</f>
        <v>12</v>
      </c>
      <c r="T38" s="220">
        <f>SUM( tabConsumo[[#This Row],[QTD.PENDENTE]]:tabConsumo[[#This Row],[09_23]] ) / tabConsumo[[#This Row],[Div]]</f>
        <v>317.66666666666669</v>
      </c>
      <c r="U38" s="221">
        <f xml:space="preserve"> tabConsumo[[#This Row],[Média.A]] + (_xlfn.STDEV.S( tabConsumo[[#This Row],[QTD.PENDENTE]]:tabConsumo[[#This Row],[09_23]] ) * 1)</f>
        <v>638.07503990467308</v>
      </c>
      <c r="V38" s="221">
        <f xml:space="preserve"> tabConsumo[[#This Row],[Média.A]] + (_xlfn.STDEV.S( tabConsumo[[#This Row],[QTD.PENDENTE]]:tabConsumo[[#This Row],[09_23]] ) * 2)</f>
        <v>958.48341314267964</v>
      </c>
      <c r="W38" s="221">
        <f xml:space="preserve"> tabConsumo[[#This Row],[Média.A]] + (_xlfn.STDEV.S( tabConsumo[[#This Row],[QTD.PENDENTE]]:tabConsumo[[#This Row],[09_23]] ) * 3)</f>
        <v>1278.891786380686</v>
      </c>
      <c r="X38" s="5">
        <f t="shared" si="0"/>
        <v>2</v>
      </c>
      <c r="Y38">
        <v>287.58333333333331</v>
      </c>
      <c r="Z38" s="223">
        <f>SUM( tabConsumo[[#This Row],[QTD.PENDENTE]]:tabConsumo[[#This Row],[09_23]] )</f>
        <v>3812</v>
      </c>
      <c r="AA38" s="223">
        <f>LARGE(tabConsumo[[#This Row],[10_22]:[09_23]],1)</f>
        <v>1319</v>
      </c>
      <c r="AB38" s="146" t="s">
        <v>2238</v>
      </c>
      <c r="AC38" s="3" t="s">
        <v>2086</v>
      </c>
    </row>
    <row r="39" spans="1:29" x14ac:dyDescent="0.3">
      <c r="A39" s="4" t="s">
        <v>1327</v>
      </c>
      <c r="B39" s="3" t="s">
        <v>260</v>
      </c>
      <c r="C39" s="2">
        <v>54682</v>
      </c>
      <c r="D39" s="2">
        <v>0</v>
      </c>
      <c r="E39" s="2">
        <v>154</v>
      </c>
      <c r="F39" s="2">
        <v>120</v>
      </c>
      <c r="G39" s="2">
        <v>143</v>
      </c>
      <c r="H39" s="2">
        <v>81</v>
      </c>
      <c r="I39" s="2">
        <v>78</v>
      </c>
      <c r="J39" s="2">
        <v>78</v>
      </c>
      <c r="K39" s="2">
        <v>3731</v>
      </c>
      <c r="L39" s="2">
        <v>84</v>
      </c>
      <c r="M39" s="2">
        <v>0</v>
      </c>
      <c r="N39" s="2">
        <v>0</v>
      </c>
      <c r="O39" s="2">
        <v>0</v>
      </c>
      <c r="P39" s="2">
        <v>0</v>
      </c>
      <c r="Q39" s="2">
        <v>0</v>
      </c>
      <c r="R39" s="238">
        <v>367</v>
      </c>
      <c r="S39" s="219">
        <f xml:space="preserve"> 12</f>
        <v>12</v>
      </c>
      <c r="T39" s="220">
        <f>SUM( tabConsumo[[#This Row],[QTD.PENDENTE]]:tabConsumo[[#This Row],[09_23]] ) / tabConsumo[[#This Row],[Div]]</f>
        <v>372.41666666666669</v>
      </c>
      <c r="U39" s="221">
        <f xml:space="preserve"> tabConsumo[[#This Row],[Média.A]] + (_xlfn.STDEV.S( tabConsumo[[#This Row],[QTD.PENDENTE]]:tabConsumo[[#This Row],[09_23]] ) * 1)</f>
        <v>1391.746769711975</v>
      </c>
      <c r="V39" s="221">
        <f xml:space="preserve"> tabConsumo[[#This Row],[Média.A]] + (_xlfn.STDEV.S( tabConsumo[[#This Row],[QTD.PENDENTE]]:tabConsumo[[#This Row],[09_23]] ) * 2)</f>
        <v>2411.0768727572836</v>
      </c>
      <c r="W39" s="221">
        <f xml:space="preserve"> tabConsumo[[#This Row],[Média.A]] + (_xlfn.STDEV.S( tabConsumo[[#This Row],[QTD.PENDENTE]]:tabConsumo[[#This Row],[09_23]] ) * 3)</f>
        <v>3430.4069758025917</v>
      </c>
      <c r="X39" s="5">
        <f t="shared" si="0"/>
        <v>2</v>
      </c>
      <c r="Y39">
        <v>262.41666666666669</v>
      </c>
      <c r="Z39" s="223">
        <f>SUM( tabConsumo[[#This Row],[QTD.PENDENTE]]:tabConsumo[[#This Row],[09_23]] )</f>
        <v>4469</v>
      </c>
      <c r="AA39" s="223">
        <f>LARGE(tabConsumo[[#This Row],[10_22]:[09_23]],1)</f>
        <v>3731</v>
      </c>
      <c r="AB39" s="146" t="s">
        <v>2240</v>
      </c>
      <c r="AC39" s="3" t="s">
        <v>2086</v>
      </c>
    </row>
    <row r="40" spans="1:29" x14ac:dyDescent="0.3">
      <c r="A40" s="4" t="s">
        <v>1522</v>
      </c>
      <c r="B40" s="3" t="s">
        <v>345</v>
      </c>
      <c r="C40" s="2">
        <v>88856</v>
      </c>
      <c r="D40" s="2">
        <v>450</v>
      </c>
      <c r="F40" s="2">
        <v>20</v>
      </c>
      <c r="G40" s="2">
        <v>85</v>
      </c>
      <c r="H40" s="2">
        <v>5</v>
      </c>
      <c r="I40" s="2">
        <v>40</v>
      </c>
      <c r="J40" s="2">
        <v>10</v>
      </c>
      <c r="K40" s="2">
        <v>0</v>
      </c>
      <c r="L40" s="2">
        <v>20</v>
      </c>
      <c r="M40" s="2">
        <v>0</v>
      </c>
      <c r="N40" s="2">
        <v>50</v>
      </c>
      <c r="O40" s="2">
        <v>0</v>
      </c>
      <c r="P40" s="2">
        <v>0</v>
      </c>
      <c r="Q40" s="2">
        <v>0</v>
      </c>
      <c r="R40" s="238">
        <v>38664</v>
      </c>
      <c r="S40" s="219">
        <v>12</v>
      </c>
      <c r="T40" s="220">
        <f>SUM( tabConsumo[[#This Row],[QTD.PENDENTE]]:tabConsumo[[#This Row],[09_23]] ) / tabConsumo[[#This Row],[Div]]</f>
        <v>19.166666666666668</v>
      </c>
      <c r="U40" s="221">
        <f xml:space="preserve"> tabConsumo[[#This Row],[Média.A]] + (_xlfn.STDEV.S( tabConsumo[[#This Row],[QTD.PENDENTE]]:tabConsumo[[#This Row],[09_23]] ) * 1)</f>
        <v>45.86645670102439</v>
      </c>
      <c r="V40" s="221">
        <f xml:space="preserve"> tabConsumo[[#This Row],[Média.A]] + (_xlfn.STDEV.S( tabConsumo[[#This Row],[QTD.PENDENTE]]:tabConsumo[[#This Row],[09_23]] ) * 2)</f>
        <v>72.566246735382109</v>
      </c>
      <c r="W40" s="221">
        <f xml:space="preserve"> tabConsumo[[#This Row],[Média.A]] + (_xlfn.STDEV.S( tabConsumo[[#This Row],[QTD.PENDENTE]]:tabConsumo[[#This Row],[09_23]] ) * 3)</f>
        <v>99.266036769739841</v>
      </c>
      <c r="X40" s="5">
        <f t="shared" si="0"/>
        <v>2</v>
      </c>
      <c r="Y40">
        <v>18.083333333333332</v>
      </c>
      <c r="Z40" s="223">
        <f>SUM( tabConsumo[[#This Row],[QTD.PENDENTE]]:tabConsumo[[#This Row],[09_23]] )</f>
        <v>230</v>
      </c>
      <c r="AA40" s="223">
        <f>LARGE(tabConsumo[[#This Row],[10_22]:[09_23]],1)</f>
        <v>85</v>
      </c>
      <c r="AB40" s="146" t="s">
        <v>2246</v>
      </c>
      <c r="AC40" s="3" t="s">
        <v>2086</v>
      </c>
    </row>
    <row r="41" spans="1:29" x14ac:dyDescent="0.3">
      <c r="A41" s="4" t="s">
        <v>1346</v>
      </c>
      <c r="B41" s="3" t="s">
        <v>345</v>
      </c>
      <c r="C41" s="2">
        <v>59882</v>
      </c>
      <c r="D41" s="2">
        <v>1986</v>
      </c>
      <c r="F41" s="2">
        <v>12</v>
      </c>
      <c r="G41" s="2">
        <v>53</v>
      </c>
      <c r="H41" s="2">
        <v>15</v>
      </c>
      <c r="I41" s="2">
        <v>152</v>
      </c>
      <c r="J41" s="2">
        <v>31</v>
      </c>
      <c r="K41" s="2">
        <v>240</v>
      </c>
      <c r="L41" s="2">
        <v>75</v>
      </c>
      <c r="M41" s="2">
        <v>89</v>
      </c>
      <c r="N41" s="2">
        <v>60</v>
      </c>
      <c r="O41" s="2">
        <v>15</v>
      </c>
      <c r="P41" s="2">
        <v>28</v>
      </c>
      <c r="Q41" s="2">
        <v>0</v>
      </c>
      <c r="R41" s="238">
        <v>367</v>
      </c>
      <c r="S41" s="219">
        <f xml:space="preserve"> 12</f>
        <v>12</v>
      </c>
      <c r="T41" s="220">
        <f>SUM( tabConsumo[[#This Row],[QTD.PENDENTE]]:tabConsumo[[#This Row],[09_23]] ) / tabConsumo[[#This Row],[Div]]</f>
        <v>64.166666666666671</v>
      </c>
      <c r="U41" s="221">
        <f xml:space="preserve"> tabConsumo[[#This Row],[Média.A]] + (_xlfn.STDEV.S( tabConsumo[[#This Row],[QTD.PENDENTE]]:tabConsumo[[#This Row],[09_23]] ) * 1)</f>
        <v>133.96486061742644</v>
      </c>
      <c r="V41" s="221">
        <f xml:space="preserve"> tabConsumo[[#This Row],[Média.A]] + (_xlfn.STDEV.S( tabConsumo[[#This Row],[QTD.PENDENTE]]:tabConsumo[[#This Row],[09_23]] ) * 2)</f>
        <v>203.76305456818625</v>
      </c>
      <c r="W41" s="221">
        <f xml:space="preserve"> tabConsumo[[#This Row],[Média.A]] + (_xlfn.STDEV.S( tabConsumo[[#This Row],[QTD.PENDENTE]]:tabConsumo[[#This Row],[09_23]] ) * 3)</f>
        <v>273.561248518946</v>
      </c>
      <c r="X41" s="5">
        <f t="shared" si="0"/>
        <v>2</v>
      </c>
      <c r="Y41">
        <v>61.083333333333336</v>
      </c>
      <c r="Z41" s="223">
        <f>SUM( tabConsumo[[#This Row],[QTD.PENDENTE]]:tabConsumo[[#This Row],[09_23]] )</f>
        <v>770</v>
      </c>
      <c r="AA41" s="223">
        <f>LARGE(tabConsumo[[#This Row],[10_22]:[09_23]],1)</f>
        <v>240</v>
      </c>
      <c r="AB41" s="146" t="s">
        <v>2241</v>
      </c>
      <c r="AC41" s="3" t="s">
        <v>2086</v>
      </c>
    </row>
    <row r="42" spans="1:29" x14ac:dyDescent="0.3">
      <c r="A42" s="4" t="s">
        <v>1348</v>
      </c>
      <c r="B42" s="3" t="s">
        <v>345</v>
      </c>
      <c r="C42" s="2">
        <v>59942</v>
      </c>
      <c r="D42" s="2">
        <v>508</v>
      </c>
      <c r="F42" s="2">
        <v>0</v>
      </c>
      <c r="G42" s="2">
        <v>0</v>
      </c>
      <c r="H42" s="2">
        <v>5</v>
      </c>
      <c r="I42" s="2">
        <v>6</v>
      </c>
      <c r="J42" s="2">
        <v>0</v>
      </c>
      <c r="K42" s="2">
        <v>39</v>
      </c>
      <c r="L42" s="2">
        <v>4</v>
      </c>
      <c r="M42" s="2">
        <v>20</v>
      </c>
      <c r="N42" s="2">
        <v>9</v>
      </c>
      <c r="O42" s="2">
        <v>16</v>
      </c>
      <c r="P42" s="2">
        <v>26</v>
      </c>
      <c r="Q42" s="2">
        <v>0</v>
      </c>
      <c r="R42" s="238">
        <v>367</v>
      </c>
      <c r="S42" s="219">
        <f xml:space="preserve"> 12</f>
        <v>12</v>
      </c>
      <c r="T42" s="220">
        <f>SUM( tabConsumo[[#This Row],[QTD.PENDENTE]]:tabConsumo[[#This Row],[09_23]] ) / tabConsumo[[#This Row],[Div]]</f>
        <v>10.416666666666666</v>
      </c>
      <c r="U42" s="221">
        <f xml:space="preserve"> tabConsumo[[#This Row],[Média.A]] + (_xlfn.STDEV.S( tabConsumo[[#This Row],[QTD.PENDENTE]]:tabConsumo[[#This Row],[09_23]] ) * 1)</f>
        <v>22.88085779991156</v>
      </c>
      <c r="V42" s="221">
        <f xml:space="preserve"> tabConsumo[[#This Row],[Média.A]] + (_xlfn.STDEV.S( tabConsumo[[#This Row],[QTD.PENDENTE]]:tabConsumo[[#This Row],[09_23]] ) * 2)</f>
        <v>35.345048933156455</v>
      </c>
      <c r="W42" s="221">
        <f xml:space="preserve"> tabConsumo[[#This Row],[Média.A]] + (_xlfn.STDEV.S( tabConsumo[[#This Row],[QTD.PENDENTE]]:tabConsumo[[#This Row],[09_23]] ) * 3)</f>
        <v>47.809240066401344</v>
      </c>
      <c r="X42" s="5">
        <f t="shared" si="0"/>
        <v>2</v>
      </c>
      <c r="Y42">
        <v>10.083333333333334</v>
      </c>
      <c r="Z42" s="223">
        <f>SUM( tabConsumo[[#This Row],[QTD.PENDENTE]]:tabConsumo[[#This Row],[09_23]] )</f>
        <v>125</v>
      </c>
      <c r="AA42" s="223">
        <f>LARGE(tabConsumo[[#This Row],[10_22]:[09_23]],1)</f>
        <v>39</v>
      </c>
      <c r="AB42" s="146" t="s">
        <v>2241</v>
      </c>
      <c r="AC42" s="3" t="s">
        <v>2086</v>
      </c>
    </row>
    <row r="43" spans="1:29" x14ac:dyDescent="0.3">
      <c r="A43" s="4" t="s">
        <v>1375</v>
      </c>
      <c r="B43" s="3" t="s">
        <v>345</v>
      </c>
      <c r="C43" s="2">
        <v>64604</v>
      </c>
      <c r="D43" s="2">
        <v>1361</v>
      </c>
      <c r="F43" s="2">
        <v>0</v>
      </c>
      <c r="G43" s="2">
        <v>0</v>
      </c>
      <c r="H43" s="2">
        <v>0</v>
      </c>
      <c r="I43" s="2">
        <v>1</v>
      </c>
      <c r="J43" s="2">
        <v>2</v>
      </c>
      <c r="K43" s="2">
        <v>30</v>
      </c>
      <c r="L43" s="2">
        <v>0</v>
      </c>
      <c r="M43" s="2">
        <v>0</v>
      </c>
      <c r="N43" s="2">
        <v>0</v>
      </c>
      <c r="O43" s="2">
        <v>5</v>
      </c>
      <c r="P43" s="2">
        <v>10</v>
      </c>
      <c r="Q43" s="2">
        <v>0</v>
      </c>
      <c r="R43" s="238">
        <v>367</v>
      </c>
      <c r="S43" s="219">
        <f xml:space="preserve"> 12</f>
        <v>12</v>
      </c>
      <c r="T43" s="220">
        <f>SUM( tabConsumo[[#This Row],[QTD.PENDENTE]]:tabConsumo[[#This Row],[09_23]] ) / tabConsumo[[#This Row],[Div]]</f>
        <v>4</v>
      </c>
      <c r="U43" s="221">
        <f xml:space="preserve"> tabConsumo[[#This Row],[Média.A]] + (_xlfn.STDEV.S( tabConsumo[[#This Row],[QTD.PENDENTE]]:tabConsumo[[#This Row],[09_23]] ) * 1)</f>
        <v>12.728219645598877</v>
      </c>
      <c r="V43" s="221">
        <f xml:space="preserve"> tabConsumo[[#This Row],[Média.A]] + (_xlfn.STDEV.S( tabConsumo[[#This Row],[QTD.PENDENTE]]:tabConsumo[[#This Row],[09_23]] ) * 2)</f>
        <v>21.456439291197754</v>
      </c>
      <c r="W43" s="221">
        <f xml:space="preserve"> tabConsumo[[#This Row],[Média.A]] + (_xlfn.STDEV.S( tabConsumo[[#This Row],[QTD.PENDENTE]]:tabConsumo[[#This Row],[09_23]] ) * 3)</f>
        <v>30.18465893679663</v>
      </c>
      <c r="X43" s="5">
        <f t="shared" si="0"/>
        <v>2</v>
      </c>
      <c r="Y43">
        <v>3.25</v>
      </c>
      <c r="Z43" s="223">
        <f>SUM( tabConsumo[[#This Row],[QTD.PENDENTE]]:tabConsumo[[#This Row],[09_23]] )</f>
        <v>48</v>
      </c>
      <c r="AA43" s="223">
        <f>LARGE(tabConsumo[[#This Row],[10_22]:[09_23]],1)</f>
        <v>30</v>
      </c>
      <c r="AB43" s="146" t="s">
        <v>2241</v>
      </c>
      <c r="AC43" s="3" t="s">
        <v>2086</v>
      </c>
    </row>
    <row r="44" spans="1:29" x14ac:dyDescent="0.3">
      <c r="A44" s="4" t="s">
        <v>1376</v>
      </c>
      <c r="B44" s="3" t="s">
        <v>345</v>
      </c>
      <c r="C44" s="2">
        <v>64605</v>
      </c>
      <c r="D44" s="2">
        <v>1020</v>
      </c>
      <c r="F44" s="2">
        <v>10</v>
      </c>
      <c r="G44" s="2">
        <v>31</v>
      </c>
      <c r="H44" s="2">
        <v>6</v>
      </c>
      <c r="I44" s="2">
        <v>105</v>
      </c>
      <c r="J44" s="2">
        <v>13</v>
      </c>
      <c r="K44" s="2">
        <v>106</v>
      </c>
      <c r="L44" s="2">
        <v>60</v>
      </c>
      <c r="M44" s="2">
        <v>46</v>
      </c>
      <c r="N44" s="2">
        <v>50</v>
      </c>
      <c r="O44" s="2">
        <v>5</v>
      </c>
      <c r="P44" s="2">
        <v>7</v>
      </c>
      <c r="Q44" s="2">
        <v>0</v>
      </c>
      <c r="R44" s="238">
        <v>367</v>
      </c>
      <c r="S44" s="219">
        <f xml:space="preserve"> 12</f>
        <v>12</v>
      </c>
      <c r="T44" s="220">
        <f>SUM( tabConsumo[[#This Row],[QTD.PENDENTE]]:tabConsumo[[#This Row],[09_23]] ) / tabConsumo[[#This Row],[Div]]</f>
        <v>36.583333333333336</v>
      </c>
      <c r="U44" s="221">
        <f xml:space="preserve"> tabConsumo[[#This Row],[Média.A]] + (_xlfn.STDEV.S( tabConsumo[[#This Row],[QTD.PENDENTE]]:tabConsumo[[#This Row],[09_23]] ) * 1)</f>
        <v>74.431014500043801</v>
      </c>
      <c r="V44" s="221">
        <f xml:space="preserve"> tabConsumo[[#This Row],[Média.A]] + (_xlfn.STDEV.S( tabConsumo[[#This Row],[QTD.PENDENTE]]:tabConsumo[[#This Row],[09_23]] ) * 2)</f>
        <v>112.27869566675426</v>
      </c>
      <c r="W44" s="221">
        <f xml:space="preserve"> tabConsumo[[#This Row],[Média.A]] + (_xlfn.STDEV.S( tabConsumo[[#This Row],[QTD.PENDENTE]]:tabConsumo[[#This Row],[09_23]] ) * 3)</f>
        <v>150.12637683346472</v>
      </c>
      <c r="X44" s="5">
        <f t="shared" si="0"/>
        <v>2</v>
      </c>
      <c r="Y44">
        <v>36.583333333333336</v>
      </c>
      <c r="Z44" s="223">
        <f>SUM( tabConsumo[[#This Row],[QTD.PENDENTE]]:tabConsumo[[#This Row],[09_23]] )</f>
        <v>439</v>
      </c>
      <c r="AA44" s="223">
        <f>LARGE(tabConsumo[[#This Row],[10_22]:[09_23]],1)</f>
        <v>106</v>
      </c>
      <c r="AB44" s="146" t="s">
        <v>2241</v>
      </c>
      <c r="AC44" s="3" t="s">
        <v>2086</v>
      </c>
    </row>
    <row r="45" spans="1:29" x14ac:dyDescent="0.3">
      <c r="A45" s="4" t="s">
        <v>1463</v>
      </c>
      <c r="B45" s="3" t="s">
        <v>263</v>
      </c>
      <c r="C45" s="2">
        <v>80300</v>
      </c>
      <c r="D45" s="2">
        <v>54</v>
      </c>
      <c r="E45" s="2">
        <v>5</v>
      </c>
      <c r="F45" s="2">
        <v>11</v>
      </c>
      <c r="G45" s="2">
        <v>3</v>
      </c>
      <c r="H45" s="2">
        <v>14</v>
      </c>
      <c r="I45" s="2">
        <v>7</v>
      </c>
      <c r="J45" s="2">
        <v>1</v>
      </c>
      <c r="K45" s="2">
        <v>9</v>
      </c>
      <c r="L45" s="2">
        <v>1</v>
      </c>
      <c r="M45" s="2">
        <v>0</v>
      </c>
      <c r="N45" s="2">
        <v>4</v>
      </c>
      <c r="O45" s="2">
        <v>0</v>
      </c>
      <c r="P45" s="2">
        <v>0</v>
      </c>
      <c r="Q45" s="2">
        <v>0</v>
      </c>
      <c r="R45" s="238">
        <v>38166</v>
      </c>
      <c r="S45" s="219">
        <v>12</v>
      </c>
      <c r="T45" s="220">
        <f>SUM( tabConsumo[[#This Row],[QTD.PENDENTE]]:tabConsumo[[#This Row],[09_23]] ) / tabConsumo[[#This Row],[Div]]</f>
        <v>4.583333333333333</v>
      </c>
      <c r="U45" s="221">
        <f xml:space="preserve"> tabConsumo[[#This Row],[Média.A]] + (_xlfn.STDEV.S( tabConsumo[[#This Row],[QTD.PENDENTE]]:tabConsumo[[#This Row],[09_23]] ) * 1)</f>
        <v>9.2942045576725949</v>
      </c>
      <c r="V45" s="221">
        <f xml:space="preserve"> tabConsumo[[#This Row],[Média.A]] + (_xlfn.STDEV.S( tabConsumo[[#This Row],[QTD.PENDENTE]]:tabConsumo[[#This Row],[09_23]] ) * 2)</f>
        <v>14.005075782011858</v>
      </c>
      <c r="W45" s="221">
        <f xml:space="preserve"> tabConsumo[[#This Row],[Média.A]] + (_xlfn.STDEV.S( tabConsumo[[#This Row],[QTD.PENDENTE]]:tabConsumo[[#This Row],[09_23]] ) * 3)</f>
        <v>18.715947006351119</v>
      </c>
      <c r="X45" s="5">
        <f t="shared" si="0"/>
        <v>2</v>
      </c>
      <c r="Y45">
        <v>4.583333333333333</v>
      </c>
      <c r="Z45" s="223">
        <f>SUM( tabConsumo[[#This Row],[QTD.PENDENTE]]:tabConsumo[[#This Row],[09_23]] )</f>
        <v>55</v>
      </c>
      <c r="AA45" s="223">
        <f>LARGE(tabConsumo[[#This Row],[10_22]:[09_23]],1)</f>
        <v>14</v>
      </c>
      <c r="AB45" s="146" t="s">
        <v>2246</v>
      </c>
      <c r="AC45" s="3" t="s">
        <v>2086</v>
      </c>
    </row>
    <row r="46" spans="1:29" x14ac:dyDescent="0.3">
      <c r="A46" s="4" t="s">
        <v>1256</v>
      </c>
      <c r="B46" s="3" t="s">
        <v>263</v>
      </c>
      <c r="C46" s="2">
        <v>34801</v>
      </c>
      <c r="D46" s="2">
        <v>2439</v>
      </c>
      <c r="F46" s="2">
        <v>20</v>
      </c>
      <c r="G46" s="2">
        <v>0</v>
      </c>
      <c r="H46" s="2">
        <v>180</v>
      </c>
      <c r="I46" s="2">
        <v>890</v>
      </c>
      <c r="J46" s="2">
        <v>10</v>
      </c>
      <c r="K46" s="2">
        <v>0</v>
      </c>
      <c r="L46" s="2">
        <v>432</v>
      </c>
      <c r="M46" s="2">
        <v>432</v>
      </c>
      <c r="N46" s="2">
        <v>80</v>
      </c>
      <c r="O46" s="2">
        <v>276</v>
      </c>
      <c r="P46" s="2">
        <v>532</v>
      </c>
      <c r="Q46" s="2">
        <v>0</v>
      </c>
      <c r="R46" s="238">
        <v>367</v>
      </c>
      <c r="S46" s="219">
        <f xml:space="preserve"> 12</f>
        <v>12</v>
      </c>
      <c r="T46" s="220">
        <f>SUM( tabConsumo[[#This Row],[QTD.PENDENTE]]:tabConsumo[[#This Row],[09_23]] ) / tabConsumo[[#This Row],[Div]]</f>
        <v>237.66666666666666</v>
      </c>
      <c r="U46" s="221">
        <f xml:space="preserve"> tabConsumo[[#This Row],[Média.A]] + (_xlfn.STDEV.S( tabConsumo[[#This Row],[QTD.PENDENTE]]:tabConsumo[[#This Row],[09_23]] ) * 1)</f>
        <v>521.47560794850006</v>
      </c>
      <c r="V46" s="221">
        <f xml:space="preserve"> tabConsumo[[#This Row],[Média.A]] + (_xlfn.STDEV.S( tabConsumo[[#This Row],[QTD.PENDENTE]]:tabConsumo[[#This Row],[09_23]] ) * 2)</f>
        <v>805.28454923033337</v>
      </c>
      <c r="W46" s="221">
        <f xml:space="preserve"> tabConsumo[[#This Row],[Média.A]] + (_xlfn.STDEV.S( tabConsumo[[#This Row],[QTD.PENDENTE]]:tabConsumo[[#This Row],[09_23]] ) * 3)</f>
        <v>1089.0934905121669</v>
      </c>
      <c r="X46" s="5">
        <f t="shared" si="0"/>
        <v>2</v>
      </c>
      <c r="Y46">
        <v>230.58333333333334</v>
      </c>
      <c r="Z46" s="223">
        <f>SUM( tabConsumo[[#This Row],[QTD.PENDENTE]]:tabConsumo[[#This Row],[09_23]] )</f>
        <v>2852</v>
      </c>
      <c r="AA46" s="223">
        <f>LARGE(tabConsumo[[#This Row],[10_22]:[09_23]],1)</f>
        <v>890</v>
      </c>
      <c r="AB46" s="146" t="s">
        <v>2241</v>
      </c>
      <c r="AC46" s="3" t="s">
        <v>2086</v>
      </c>
    </row>
    <row r="47" spans="1:29" x14ac:dyDescent="0.3">
      <c r="A47" s="4" t="s">
        <v>1195</v>
      </c>
      <c r="B47" s="3" t="s">
        <v>263</v>
      </c>
      <c r="C47" s="2">
        <v>24371</v>
      </c>
      <c r="D47" s="2">
        <v>19274</v>
      </c>
      <c r="F47" s="2">
        <v>2330</v>
      </c>
      <c r="G47" s="2">
        <v>1458</v>
      </c>
      <c r="H47" s="2">
        <v>1108</v>
      </c>
      <c r="I47" s="2">
        <v>876</v>
      </c>
      <c r="J47" s="2">
        <v>2394</v>
      </c>
      <c r="K47" s="2">
        <v>3722</v>
      </c>
      <c r="L47" s="2">
        <v>4608</v>
      </c>
      <c r="M47" s="2">
        <v>5184</v>
      </c>
      <c r="N47" s="2">
        <v>2334</v>
      </c>
      <c r="O47" s="2">
        <v>1068</v>
      </c>
      <c r="P47" s="2">
        <v>2160</v>
      </c>
      <c r="Q47" s="2">
        <v>144</v>
      </c>
      <c r="R47" s="238">
        <v>367</v>
      </c>
      <c r="S47" s="219">
        <f xml:space="preserve"> 12</f>
        <v>12</v>
      </c>
      <c r="T47" s="220">
        <f>SUM( tabConsumo[[#This Row],[QTD.PENDENTE]]:tabConsumo[[#This Row],[09_23]] ) / tabConsumo[[#This Row],[Div]]</f>
        <v>2282.1666666666665</v>
      </c>
      <c r="U47" s="221">
        <f xml:space="preserve"> tabConsumo[[#This Row],[Média.A]] + (_xlfn.STDEV.S( tabConsumo[[#This Row],[QTD.PENDENTE]]:tabConsumo[[#This Row],[09_23]] ) * 1)</f>
        <v>3820.0768090549032</v>
      </c>
      <c r="V47" s="221">
        <f xml:space="preserve"> tabConsumo[[#This Row],[Média.A]] + (_xlfn.STDEV.S( tabConsumo[[#This Row],[QTD.PENDENTE]]:tabConsumo[[#This Row],[09_23]] ) * 2)</f>
        <v>5357.9869514431393</v>
      </c>
      <c r="W47" s="221">
        <f xml:space="preserve"> tabConsumo[[#This Row],[Média.A]] + (_xlfn.STDEV.S( tabConsumo[[#This Row],[QTD.PENDENTE]]:tabConsumo[[#This Row],[09_23]] ) * 3)</f>
        <v>6895.897093831376</v>
      </c>
      <c r="X47" s="5">
        <f t="shared" si="0"/>
        <v>2</v>
      </c>
      <c r="Y47">
        <v>2282.1666666666665</v>
      </c>
      <c r="Z47" s="223">
        <f>SUM( tabConsumo[[#This Row],[QTD.PENDENTE]]:tabConsumo[[#This Row],[09_23]] )</f>
        <v>27386</v>
      </c>
      <c r="AA47" s="223">
        <f>LARGE(tabConsumo[[#This Row],[10_22]:[09_23]],1)</f>
        <v>5184</v>
      </c>
      <c r="AB47" s="146" t="s">
        <v>2238</v>
      </c>
      <c r="AC47" s="3" t="s">
        <v>2086</v>
      </c>
    </row>
    <row r="48" spans="1:29" x14ac:dyDescent="0.3">
      <c r="A48" s="4" t="s">
        <v>1248</v>
      </c>
      <c r="B48" s="3" t="s">
        <v>263</v>
      </c>
      <c r="C48" s="2">
        <v>32534</v>
      </c>
      <c r="D48" s="2">
        <v>4399</v>
      </c>
      <c r="F48" s="2">
        <v>0</v>
      </c>
      <c r="G48" s="2">
        <v>1540</v>
      </c>
      <c r="H48" s="2">
        <v>670</v>
      </c>
      <c r="I48" s="2">
        <v>25</v>
      </c>
      <c r="J48" s="2">
        <v>80</v>
      </c>
      <c r="K48" s="2">
        <v>364</v>
      </c>
      <c r="L48" s="2">
        <v>432</v>
      </c>
      <c r="M48" s="2">
        <v>0</v>
      </c>
      <c r="N48" s="2">
        <v>296</v>
      </c>
      <c r="O48" s="2">
        <v>0</v>
      </c>
      <c r="P48" s="2">
        <v>0</v>
      </c>
      <c r="Q48" s="2">
        <v>0</v>
      </c>
      <c r="R48" s="238">
        <v>367</v>
      </c>
      <c r="S48" s="219">
        <f xml:space="preserve"> 12</f>
        <v>12</v>
      </c>
      <c r="T48" s="220">
        <f>SUM( tabConsumo[[#This Row],[QTD.PENDENTE]]:tabConsumo[[#This Row],[09_23]] ) / tabConsumo[[#This Row],[Div]]</f>
        <v>283.91666666666669</v>
      </c>
      <c r="U48" s="221">
        <f xml:space="preserve"> tabConsumo[[#This Row],[Média.A]] + (_xlfn.STDEV.S( tabConsumo[[#This Row],[QTD.PENDENTE]]:tabConsumo[[#This Row],[09_23]] ) * 1)</f>
        <v>737.88471887325363</v>
      </c>
      <c r="V48" s="221">
        <f xml:space="preserve"> tabConsumo[[#This Row],[Média.A]] + (_xlfn.STDEV.S( tabConsumo[[#This Row],[QTD.PENDENTE]]:tabConsumo[[#This Row],[09_23]] ) * 2)</f>
        <v>1191.8527710798405</v>
      </c>
      <c r="W48" s="221">
        <f xml:space="preserve"> tabConsumo[[#This Row],[Média.A]] + (_xlfn.STDEV.S( tabConsumo[[#This Row],[QTD.PENDENTE]]:tabConsumo[[#This Row],[09_23]] ) * 3)</f>
        <v>1645.8208232864274</v>
      </c>
      <c r="X48" s="5">
        <f t="shared" si="0"/>
        <v>2</v>
      </c>
      <c r="Y48">
        <v>254.83333333333334</v>
      </c>
      <c r="Z48" s="223">
        <f>SUM( tabConsumo[[#This Row],[QTD.PENDENTE]]:tabConsumo[[#This Row],[09_23]] )</f>
        <v>3407</v>
      </c>
      <c r="AA48" s="223">
        <f>LARGE(tabConsumo[[#This Row],[10_22]:[09_23]],1)</f>
        <v>1540</v>
      </c>
      <c r="AB48" s="146" t="s">
        <v>2246</v>
      </c>
      <c r="AC48" s="3" t="s">
        <v>2086</v>
      </c>
    </row>
    <row r="49" spans="1:29" x14ac:dyDescent="0.3">
      <c r="A49" s="4" t="s">
        <v>1399</v>
      </c>
      <c r="B49" s="3" t="s">
        <v>1343</v>
      </c>
      <c r="C49" s="2">
        <v>69222</v>
      </c>
      <c r="D49" s="2">
        <v>0</v>
      </c>
      <c r="E49" s="2">
        <v>1202</v>
      </c>
      <c r="F49" s="2">
        <v>317</v>
      </c>
      <c r="G49" s="2">
        <v>248</v>
      </c>
      <c r="H49" s="2">
        <v>0</v>
      </c>
      <c r="I49" s="2">
        <v>0</v>
      </c>
      <c r="J49" s="2">
        <v>0</v>
      </c>
      <c r="K49" s="2">
        <v>649</v>
      </c>
      <c r="L49" s="2">
        <v>519</v>
      </c>
      <c r="M49" s="2">
        <v>587</v>
      </c>
      <c r="N49" s="2">
        <v>730</v>
      </c>
      <c r="O49" s="2">
        <v>518</v>
      </c>
      <c r="P49" s="2">
        <v>5</v>
      </c>
      <c r="Q49" s="2">
        <v>0</v>
      </c>
      <c r="R49" s="238">
        <v>367</v>
      </c>
      <c r="S49" s="219">
        <f xml:space="preserve"> 12</f>
        <v>12</v>
      </c>
      <c r="T49" s="220">
        <f>SUM( tabConsumo[[#This Row],[QTD.PENDENTE]]:tabConsumo[[#This Row],[09_23]] ) / tabConsumo[[#This Row],[Div]]</f>
        <v>397.91666666666669</v>
      </c>
      <c r="U49" s="221">
        <f xml:space="preserve"> tabConsumo[[#This Row],[Média.A]] + (_xlfn.STDEV.S( tabConsumo[[#This Row],[QTD.PENDENTE]]:tabConsumo[[#This Row],[09_23]] ) * 1)</f>
        <v>773.11469984723135</v>
      </c>
      <c r="V49" s="221">
        <f xml:space="preserve"> tabConsumo[[#This Row],[Média.A]] + (_xlfn.STDEV.S( tabConsumo[[#This Row],[QTD.PENDENTE]]:tabConsumo[[#This Row],[09_23]] ) * 2)</f>
        <v>1148.312733027796</v>
      </c>
      <c r="W49" s="221">
        <f xml:space="preserve"> tabConsumo[[#This Row],[Média.A]] + (_xlfn.STDEV.S( tabConsumo[[#This Row],[QTD.PENDENTE]]:tabConsumo[[#This Row],[09_23]] ) * 3)</f>
        <v>1523.5107662083608</v>
      </c>
      <c r="X49" s="5">
        <f t="shared" si="0"/>
        <v>2</v>
      </c>
      <c r="Y49">
        <v>397.91666666666669</v>
      </c>
      <c r="Z49" s="223">
        <f>SUM( tabConsumo[[#This Row],[QTD.PENDENTE]]:tabConsumo[[#This Row],[09_23]] )</f>
        <v>4775</v>
      </c>
      <c r="AA49" s="223">
        <f>LARGE(tabConsumo[[#This Row],[10_22]:[09_23]],1)</f>
        <v>730</v>
      </c>
      <c r="AB49" s="146" t="s">
        <v>2241</v>
      </c>
      <c r="AC49" s="3" t="s">
        <v>2086</v>
      </c>
    </row>
    <row r="50" spans="1:29" x14ac:dyDescent="0.3">
      <c r="A50" s="4" t="s">
        <v>1342</v>
      </c>
      <c r="B50" s="3" t="s">
        <v>1343</v>
      </c>
      <c r="C50" s="2">
        <v>59074</v>
      </c>
      <c r="D50" s="2">
        <v>0</v>
      </c>
      <c r="E50" s="2">
        <v>316</v>
      </c>
      <c r="F50" s="2">
        <v>110</v>
      </c>
      <c r="G50" s="2">
        <v>130</v>
      </c>
      <c r="H50" s="2">
        <v>421</v>
      </c>
      <c r="I50" s="2">
        <v>115</v>
      </c>
      <c r="J50" s="2">
        <v>117</v>
      </c>
      <c r="K50" s="2">
        <v>173</v>
      </c>
      <c r="L50" s="2">
        <v>343</v>
      </c>
      <c r="M50" s="2">
        <v>39</v>
      </c>
      <c r="N50" s="2">
        <v>0</v>
      </c>
      <c r="O50" s="2">
        <v>0</v>
      </c>
      <c r="P50" s="2">
        <v>0</v>
      </c>
      <c r="Q50" s="2">
        <v>0</v>
      </c>
      <c r="R50" s="238">
        <v>367</v>
      </c>
      <c r="S50" s="219">
        <f xml:space="preserve"> 12</f>
        <v>12</v>
      </c>
      <c r="T50" s="220">
        <f>SUM( tabConsumo[[#This Row],[QTD.PENDENTE]]:tabConsumo[[#This Row],[09_23]] ) / tabConsumo[[#This Row],[Div]]</f>
        <v>147</v>
      </c>
      <c r="U50" s="221">
        <f xml:space="preserve"> tabConsumo[[#This Row],[Média.A]] + (_xlfn.STDEV.S( tabConsumo[[#This Row],[QTD.PENDENTE]]:tabConsumo[[#This Row],[09_23]] ) * 1)</f>
        <v>289.22891443923805</v>
      </c>
      <c r="V50" s="221">
        <f xml:space="preserve"> tabConsumo[[#This Row],[Média.A]] + (_xlfn.STDEV.S( tabConsumo[[#This Row],[QTD.PENDENTE]]:tabConsumo[[#This Row],[09_23]] ) * 2)</f>
        <v>431.45782887847611</v>
      </c>
      <c r="W50" s="221">
        <f xml:space="preserve"> tabConsumo[[#This Row],[Média.A]] + (_xlfn.STDEV.S( tabConsumo[[#This Row],[QTD.PENDENTE]]:tabConsumo[[#This Row],[09_23]] ) * 3)</f>
        <v>573.68674331771422</v>
      </c>
      <c r="X50" s="5">
        <f t="shared" si="0"/>
        <v>2</v>
      </c>
      <c r="Y50">
        <v>147</v>
      </c>
      <c r="Z50" s="223">
        <f>SUM( tabConsumo[[#This Row],[QTD.PENDENTE]]:tabConsumo[[#This Row],[09_23]] )</f>
        <v>1764</v>
      </c>
      <c r="AA50" s="223">
        <f>LARGE(tabConsumo[[#This Row],[10_22]:[09_23]],1)</f>
        <v>421</v>
      </c>
      <c r="AB50" s="146" t="s">
        <v>2244</v>
      </c>
      <c r="AC50" s="3" t="s">
        <v>2086</v>
      </c>
    </row>
    <row r="51" spans="1:29" x14ac:dyDescent="0.3">
      <c r="A51" s="4" t="s">
        <v>1437</v>
      </c>
      <c r="B51" s="3" t="s">
        <v>393</v>
      </c>
      <c r="C51" s="2">
        <v>77819</v>
      </c>
      <c r="D51" s="2">
        <v>3046</v>
      </c>
      <c r="F51" s="2">
        <v>258</v>
      </c>
      <c r="G51" s="2">
        <v>261</v>
      </c>
      <c r="H51" s="2">
        <v>208</v>
      </c>
      <c r="I51" s="2">
        <v>61</v>
      </c>
      <c r="J51" s="2">
        <v>194</v>
      </c>
      <c r="K51" s="2">
        <v>380</v>
      </c>
      <c r="L51" s="2">
        <v>194</v>
      </c>
      <c r="M51" s="2">
        <v>286</v>
      </c>
      <c r="N51" s="2">
        <v>250</v>
      </c>
      <c r="O51" s="2">
        <v>233</v>
      </c>
      <c r="P51" s="2">
        <v>261</v>
      </c>
      <c r="Q51" s="2">
        <v>233</v>
      </c>
      <c r="R51" s="238">
        <v>38065</v>
      </c>
      <c r="S51" s="219">
        <v>12</v>
      </c>
      <c r="T51" s="220">
        <f>SUM( tabConsumo[[#This Row],[QTD.PENDENTE]]:tabConsumo[[#This Row],[09_23]] ) / tabConsumo[[#This Row],[Div]]</f>
        <v>234.91666666666666</v>
      </c>
      <c r="U51" s="221">
        <f xml:space="preserve"> tabConsumo[[#This Row],[Média.A]] + (_xlfn.STDEV.S( tabConsumo[[#This Row],[QTD.PENDENTE]]:tabConsumo[[#This Row],[09_23]] ) * 1)</f>
        <v>308.83733462573713</v>
      </c>
      <c r="V51" s="221">
        <f xml:space="preserve"> tabConsumo[[#This Row],[Média.A]] + (_xlfn.STDEV.S( tabConsumo[[#This Row],[QTD.PENDENTE]]:tabConsumo[[#This Row],[09_23]] ) * 2)</f>
        <v>382.75800258480763</v>
      </c>
      <c r="W51" s="221">
        <f xml:space="preserve"> tabConsumo[[#This Row],[Média.A]] + (_xlfn.STDEV.S( tabConsumo[[#This Row],[QTD.PENDENTE]]:tabConsumo[[#This Row],[09_23]] ) * 3)</f>
        <v>456.67867054387807</v>
      </c>
      <c r="X51" s="5">
        <f t="shared" si="0"/>
        <v>2</v>
      </c>
      <c r="Y51">
        <v>234.91666666666666</v>
      </c>
      <c r="Z51" s="223">
        <f>SUM( tabConsumo[[#This Row],[QTD.PENDENTE]]:tabConsumo[[#This Row],[09_23]] )</f>
        <v>2819</v>
      </c>
      <c r="AA51" s="223">
        <f>LARGE(tabConsumo[[#This Row],[10_22]:[09_23]],1)</f>
        <v>380</v>
      </c>
      <c r="AB51" s="146" t="s">
        <v>2238</v>
      </c>
      <c r="AC51" s="3" t="s">
        <v>2086</v>
      </c>
    </row>
    <row r="52" spans="1:29" x14ac:dyDescent="0.3">
      <c r="A52" s="4" t="s">
        <v>1964</v>
      </c>
      <c r="B52" s="3" t="s">
        <v>31</v>
      </c>
      <c r="C52" s="2">
        <v>138451</v>
      </c>
      <c r="D52" s="2">
        <v>53521</v>
      </c>
      <c r="E52" s="2">
        <v>300</v>
      </c>
      <c r="F52" s="2">
        <v>2397</v>
      </c>
      <c r="G52" s="2">
        <v>3300</v>
      </c>
      <c r="H52" s="2">
        <v>2043</v>
      </c>
      <c r="I52" s="2">
        <v>1044</v>
      </c>
      <c r="J52" s="2">
        <v>1461</v>
      </c>
      <c r="K52" s="2">
        <v>22155</v>
      </c>
      <c r="L52" s="2">
        <v>2348</v>
      </c>
      <c r="M52" s="2">
        <v>1907</v>
      </c>
      <c r="N52" s="2">
        <v>2256</v>
      </c>
      <c r="O52" s="2">
        <v>1955</v>
      </c>
      <c r="P52" s="2">
        <v>2629</v>
      </c>
      <c r="Q52" s="2">
        <v>2637</v>
      </c>
      <c r="R52" s="238">
        <v>43720</v>
      </c>
      <c r="S52" s="219">
        <v>12</v>
      </c>
      <c r="T52" s="220">
        <f>SUM( tabConsumo[[#This Row],[QTD.PENDENTE]]:tabConsumo[[#This Row],[09_23]] ) / tabConsumo[[#This Row],[Div]]</f>
        <v>3869.3333333333335</v>
      </c>
      <c r="U52" s="221">
        <f xml:space="preserve"> tabConsumo[[#This Row],[Média.A]] + (_xlfn.STDEV.S( tabConsumo[[#This Row],[QTD.PENDENTE]]:tabConsumo[[#This Row],[09_23]] ) * 1)</f>
        <v>9504.4453314012717</v>
      </c>
      <c r="V52" s="221">
        <f xml:space="preserve"> tabConsumo[[#This Row],[Média.A]] + (_xlfn.STDEV.S( tabConsumo[[#This Row],[QTD.PENDENTE]]:tabConsumo[[#This Row],[09_23]] ) * 2)</f>
        <v>15139.557329469211</v>
      </c>
      <c r="W52" s="221">
        <f xml:space="preserve"> tabConsumo[[#This Row],[Média.A]] + (_xlfn.STDEV.S( tabConsumo[[#This Row],[QTD.PENDENTE]]:tabConsumo[[#This Row],[09_23]] ) * 3)</f>
        <v>20774.669327537147</v>
      </c>
      <c r="X52" s="5">
        <f t="shared" si="0"/>
        <v>2</v>
      </c>
      <c r="Y52">
        <v>3284.6666666666665</v>
      </c>
      <c r="Z52" s="223">
        <f>SUM( tabConsumo[[#This Row],[QTD.PENDENTE]]:tabConsumo[[#This Row],[09_23]] )</f>
        <v>46432</v>
      </c>
      <c r="AA52" s="223">
        <f>LARGE(tabConsumo[[#This Row],[10_22]:[09_23]],1)</f>
        <v>22155</v>
      </c>
      <c r="AB52" s="146" t="s">
        <v>2238</v>
      </c>
      <c r="AC52" s="3" t="s">
        <v>2086</v>
      </c>
    </row>
    <row r="53" spans="1:29" x14ac:dyDescent="0.3">
      <c r="A53" s="4" t="s">
        <v>880</v>
      </c>
      <c r="B53" s="3" t="s">
        <v>436</v>
      </c>
      <c r="C53" s="2">
        <v>136840</v>
      </c>
      <c r="D53" s="2">
        <v>0</v>
      </c>
      <c r="E53" s="2">
        <v>4</v>
      </c>
      <c r="F53" s="2">
        <v>0</v>
      </c>
      <c r="G53" s="2">
        <v>0</v>
      </c>
      <c r="H53" s="2">
        <v>0</v>
      </c>
      <c r="I53" s="2">
        <v>0</v>
      </c>
      <c r="J53" s="2">
        <v>0</v>
      </c>
      <c r="K53" s="2">
        <v>0</v>
      </c>
      <c r="L53" s="2">
        <v>0</v>
      </c>
      <c r="M53" s="2">
        <v>0</v>
      </c>
      <c r="N53" s="2">
        <v>0</v>
      </c>
      <c r="O53" s="2">
        <v>0</v>
      </c>
      <c r="P53" s="2">
        <v>0</v>
      </c>
      <c r="Q53" s="2">
        <v>1</v>
      </c>
      <c r="R53" s="238">
        <v>43572</v>
      </c>
      <c r="S53" s="219">
        <v>12</v>
      </c>
      <c r="T53" s="220">
        <f>SUM( tabConsumo[[#This Row],[QTD.PENDENTE]]:tabConsumo[[#This Row],[09_23]] ) / tabConsumo[[#This Row],[Div]]</f>
        <v>0.41666666666666669</v>
      </c>
      <c r="U53" s="221">
        <f xml:space="preserve"> tabConsumo[[#This Row],[Média.A]] + (_xlfn.STDEV.S( tabConsumo[[#This Row],[QTD.PENDENTE]]:tabConsumo[[#This Row],[09_23]] ) * 1)</f>
        <v>1.5375637433022766</v>
      </c>
      <c r="V53" s="221">
        <f xml:space="preserve"> tabConsumo[[#This Row],[Média.A]] + (_xlfn.STDEV.S( tabConsumo[[#This Row],[QTD.PENDENTE]]:tabConsumo[[#This Row],[09_23]] ) * 2)</f>
        <v>2.6584608199378863</v>
      </c>
      <c r="W53" s="221">
        <f xml:space="preserve"> tabConsumo[[#This Row],[Média.A]] + (_xlfn.STDEV.S( tabConsumo[[#This Row],[QTD.PENDENTE]]:tabConsumo[[#This Row],[09_23]] ) * 3)</f>
        <v>3.779357896573496</v>
      </c>
      <c r="X53" s="5">
        <f t="shared" si="0"/>
        <v>2</v>
      </c>
      <c r="Y53">
        <v>0.41666666666666669</v>
      </c>
      <c r="Z53" s="223">
        <f>SUM( tabConsumo[[#This Row],[QTD.PENDENTE]]:tabConsumo[[#This Row],[09_23]] )</f>
        <v>5</v>
      </c>
      <c r="AA53" s="223">
        <f>LARGE(tabConsumo[[#This Row],[10_22]:[09_23]],1)</f>
        <v>1</v>
      </c>
      <c r="AB53" s="146" t="s">
        <v>2238</v>
      </c>
      <c r="AC53" s="3" t="s">
        <v>2086</v>
      </c>
    </row>
    <row r="54" spans="1:29" x14ac:dyDescent="0.3">
      <c r="A54" s="4" t="s">
        <v>881</v>
      </c>
      <c r="B54" s="3" t="s">
        <v>436</v>
      </c>
      <c r="C54" s="2">
        <v>136841</v>
      </c>
      <c r="D54" s="2">
        <v>0</v>
      </c>
      <c r="E54" s="2">
        <v>2</v>
      </c>
      <c r="F54" s="2">
        <v>0</v>
      </c>
      <c r="G54" s="2">
        <v>0</v>
      </c>
      <c r="H54" s="2">
        <v>0</v>
      </c>
      <c r="I54" s="2">
        <v>0</v>
      </c>
      <c r="J54" s="2">
        <v>0</v>
      </c>
      <c r="K54" s="2">
        <v>1</v>
      </c>
      <c r="L54" s="2">
        <v>0</v>
      </c>
      <c r="M54" s="2">
        <v>0</v>
      </c>
      <c r="N54" s="2">
        <v>0</v>
      </c>
      <c r="O54" s="2">
        <v>0</v>
      </c>
      <c r="P54" s="2">
        <v>0</v>
      </c>
      <c r="Q54" s="2">
        <v>6</v>
      </c>
      <c r="R54" s="238">
        <v>43572</v>
      </c>
      <c r="S54" s="219">
        <v>12</v>
      </c>
      <c r="T54" s="220">
        <f>SUM( tabConsumo[[#This Row],[QTD.PENDENTE]]:tabConsumo[[#This Row],[09_23]] ) / tabConsumo[[#This Row],[Div]]</f>
        <v>0.75</v>
      </c>
      <c r="U54" s="221">
        <f xml:space="preserve"> tabConsumo[[#This Row],[Média.A]] + (_xlfn.STDEV.S( tabConsumo[[#This Row],[QTD.PENDENTE]]:tabConsumo[[#This Row],[09_23]] ) * 1)</f>
        <v>2.4521856236720767</v>
      </c>
      <c r="V54" s="221">
        <f xml:space="preserve"> tabConsumo[[#This Row],[Média.A]] + (_xlfn.STDEV.S( tabConsumo[[#This Row],[QTD.PENDENTE]]:tabConsumo[[#This Row],[09_23]] ) * 2)</f>
        <v>4.1543712473441534</v>
      </c>
      <c r="W54" s="221">
        <f xml:space="preserve"> tabConsumo[[#This Row],[Média.A]] + (_xlfn.STDEV.S( tabConsumo[[#This Row],[QTD.PENDENTE]]:tabConsumo[[#This Row],[09_23]] ) * 3)</f>
        <v>5.856556871016231</v>
      </c>
      <c r="X54" s="5">
        <f t="shared" si="0"/>
        <v>2</v>
      </c>
      <c r="Y54">
        <v>0.58333333333333337</v>
      </c>
      <c r="Z54" s="223">
        <f>SUM( tabConsumo[[#This Row],[QTD.PENDENTE]]:tabConsumo[[#This Row],[09_23]] )</f>
        <v>9</v>
      </c>
      <c r="AA54" s="223">
        <f>LARGE(tabConsumo[[#This Row],[10_22]:[09_23]],1)</f>
        <v>6</v>
      </c>
      <c r="AB54" s="146" t="s">
        <v>2238</v>
      </c>
      <c r="AC54" s="3" t="s">
        <v>2086</v>
      </c>
    </row>
    <row r="55" spans="1:29" x14ac:dyDescent="0.3">
      <c r="A55" s="4" t="s">
        <v>882</v>
      </c>
      <c r="B55" s="3" t="s">
        <v>436</v>
      </c>
      <c r="C55" s="2">
        <v>136842</v>
      </c>
      <c r="D55" s="2">
        <v>0</v>
      </c>
      <c r="F55" s="2">
        <v>0</v>
      </c>
      <c r="G55" s="2">
        <v>0</v>
      </c>
      <c r="H55" s="2">
        <v>0</v>
      </c>
      <c r="I55" s="2">
        <v>0</v>
      </c>
      <c r="J55" s="2">
        <v>0</v>
      </c>
      <c r="K55" s="2">
        <v>1</v>
      </c>
      <c r="L55" s="2">
        <v>0</v>
      </c>
      <c r="M55" s="2">
        <v>0</v>
      </c>
      <c r="N55" s="2">
        <v>0</v>
      </c>
      <c r="O55" s="2">
        <v>0</v>
      </c>
      <c r="P55" s="2">
        <v>0</v>
      </c>
      <c r="Q55" s="2">
        <v>5</v>
      </c>
      <c r="R55" s="238">
        <v>43572</v>
      </c>
      <c r="S55" s="219">
        <v>12</v>
      </c>
      <c r="T55" s="220">
        <f>SUM( tabConsumo[[#This Row],[QTD.PENDENTE]]:tabConsumo[[#This Row],[09_23]] ) / tabConsumo[[#This Row],[Div]]</f>
        <v>0.5</v>
      </c>
      <c r="U55" s="221">
        <f xml:space="preserve"> tabConsumo[[#This Row],[Média.A]] + (_xlfn.STDEV.S( tabConsumo[[#This Row],[QTD.PENDENTE]]:tabConsumo[[#This Row],[09_23]] ) * 1)</f>
        <v>1.9459976109624424</v>
      </c>
      <c r="V55" s="221">
        <f xml:space="preserve"> tabConsumo[[#This Row],[Média.A]] + (_xlfn.STDEV.S( tabConsumo[[#This Row],[QTD.PENDENTE]]:tabConsumo[[#This Row],[09_23]] ) * 2)</f>
        <v>3.3919952219248848</v>
      </c>
      <c r="W55" s="221">
        <f xml:space="preserve"> tabConsumo[[#This Row],[Média.A]] + (_xlfn.STDEV.S( tabConsumo[[#This Row],[QTD.PENDENTE]]:tabConsumo[[#This Row],[09_23]] ) * 3)</f>
        <v>4.837992832887327</v>
      </c>
      <c r="X55" s="5">
        <f t="shared" si="0"/>
        <v>2</v>
      </c>
      <c r="Y55">
        <v>0.33333333333333331</v>
      </c>
      <c r="Z55" s="223">
        <f>SUM( tabConsumo[[#This Row],[QTD.PENDENTE]]:tabConsumo[[#This Row],[09_23]] )</f>
        <v>6</v>
      </c>
      <c r="AA55" s="223">
        <f>LARGE(tabConsumo[[#This Row],[10_22]:[09_23]],1)</f>
        <v>5</v>
      </c>
      <c r="AB55" s="146" t="s">
        <v>2238</v>
      </c>
      <c r="AC55" s="3" t="s">
        <v>2086</v>
      </c>
    </row>
    <row r="56" spans="1:29" x14ac:dyDescent="0.3">
      <c r="A56" s="4" t="s">
        <v>883</v>
      </c>
      <c r="B56" s="3" t="s">
        <v>436</v>
      </c>
      <c r="C56" s="2">
        <v>136843</v>
      </c>
      <c r="D56" s="2">
        <v>4</v>
      </c>
      <c r="F56" s="2">
        <v>0</v>
      </c>
      <c r="G56" s="2">
        <v>0</v>
      </c>
      <c r="H56" s="2">
        <v>0</v>
      </c>
      <c r="I56" s="2">
        <v>0</v>
      </c>
      <c r="J56" s="2">
        <v>0</v>
      </c>
      <c r="K56" s="2">
        <v>0</v>
      </c>
      <c r="L56" s="2">
        <v>0</v>
      </c>
      <c r="M56" s="2">
        <v>0</v>
      </c>
      <c r="N56" s="2">
        <v>0</v>
      </c>
      <c r="O56" s="2">
        <v>0</v>
      </c>
      <c r="P56" s="2">
        <v>0</v>
      </c>
      <c r="Q56" s="2">
        <v>3</v>
      </c>
      <c r="R56" s="238">
        <v>43572</v>
      </c>
      <c r="S56" s="219">
        <v>12</v>
      </c>
      <c r="T56" s="220">
        <f>SUM( tabConsumo[[#This Row],[QTD.PENDENTE]]:tabConsumo[[#This Row],[09_23]] ) / tabConsumo[[#This Row],[Div]]</f>
        <v>0.25</v>
      </c>
      <c r="U56" s="221">
        <f xml:space="preserve"> tabConsumo[[#This Row],[Média.A]] + (_xlfn.STDEV.S( tabConsumo[[#This Row],[QTD.PENDENTE]]:tabConsumo[[#This Row],[09_23]] ) * 1)</f>
        <v>1.1160254037844386</v>
      </c>
      <c r="V56" s="221">
        <f xml:space="preserve"> tabConsumo[[#This Row],[Média.A]] + (_xlfn.STDEV.S( tabConsumo[[#This Row],[QTD.PENDENTE]]:tabConsumo[[#This Row],[09_23]] ) * 2)</f>
        <v>1.9820508075688772</v>
      </c>
      <c r="W56" s="221">
        <f xml:space="preserve"> tabConsumo[[#This Row],[Média.A]] + (_xlfn.STDEV.S( tabConsumo[[#This Row],[QTD.PENDENTE]]:tabConsumo[[#This Row],[09_23]] ) * 3)</f>
        <v>2.848076211353316</v>
      </c>
      <c r="X56" s="5">
        <f t="shared" si="0"/>
        <v>2</v>
      </c>
      <c r="Y56">
        <v>8.3333333333333329E-2</v>
      </c>
      <c r="Z56" s="223">
        <f>SUM( tabConsumo[[#This Row],[QTD.PENDENTE]]:tabConsumo[[#This Row],[09_23]] )</f>
        <v>3</v>
      </c>
      <c r="AA56" s="223">
        <f>LARGE(tabConsumo[[#This Row],[10_22]:[09_23]],1)</f>
        <v>3</v>
      </c>
      <c r="AB56" s="146" t="s">
        <v>2238</v>
      </c>
      <c r="AC56" s="3" t="s">
        <v>2086</v>
      </c>
    </row>
    <row r="57" spans="1:29" x14ac:dyDescent="0.3">
      <c r="A57" s="4" t="s">
        <v>874</v>
      </c>
      <c r="B57" s="3" t="s">
        <v>436</v>
      </c>
      <c r="C57" s="2">
        <v>136820</v>
      </c>
      <c r="D57" s="2">
        <v>12</v>
      </c>
      <c r="F57" s="2">
        <v>1</v>
      </c>
      <c r="G57" s="2">
        <v>0</v>
      </c>
      <c r="H57" s="2">
        <v>1</v>
      </c>
      <c r="I57" s="2">
        <v>0</v>
      </c>
      <c r="J57" s="2">
        <v>0</v>
      </c>
      <c r="K57" s="2">
        <v>1</v>
      </c>
      <c r="L57" s="2">
        <v>0</v>
      </c>
      <c r="M57" s="2">
        <v>0</v>
      </c>
      <c r="N57" s="2">
        <v>0</v>
      </c>
      <c r="O57" s="2">
        <v>0</v>
      </c>
      <c r="P57" s="2">
        <v>0</v>
      </c>
      <c r="Q57" s="2">
        <v>0</v>
      </c>
      <c r="R57" s="238">
        <v>43572</v>
      </c>
      <c r="S57" s="219">
        <v>12</v>
      </c>
      <c r="T57" s="220">
        <f>SUM( tabConsumo[[#This Row],[QTD.PENDENTE]]:tabConsumo[[#This Row],[09_23]] ) / tabConsumo[[#This Row],[Div]]</f>
        <v>0.25</v>
      </c>
      <c r="U57" s="221">
        <f xml:space="preserve"> tabConsumo[[#This Row],[Média.A]] + (_xlfn.STDEV.S( tabConsumo[[#This Row],[QTD.PENDENTE]]:tabConsumo[[#This Row],[09_23]] ) * 1)</f>
        <v>0.70226701686664539</v>
      </c>
      <c r="V57" s="221">
        <f xml:space="preserve"> tabConsumo[[#This Row],[Média.A]] + (_xlfn.STDEV.S( tabConsumo[[#This Row],[QTD.PENDENTE]]:tabConsumo[[#This Row],[09_23]] ) * 2)</f>
        <v>1.1545340337332908</v>
      </c>
      <c r="W57" s="221">
        <f xml:space="preserve"> tabConsumo[[#This Row],[Média.A]] + (_xlfn.STDEV.S( tabConsumo[[#This Row],[QTD.PENDENTE]]:tabConsumo[[#This Row],[09_23]] ) * 3)</f>
        <v>1.6068010505999364</v>
      </c>
      <c r="X57" s="5">
        <f t="shared" si="0"/>
        <v>2</v>
      </c>
      <c r="Y57">
        <v>0.25</v>
      </c>
      <c r="Z57" s="223">
        <f>SUM( tabConsumo[[#This Row],[QTD.PENDENTE]]:tabConsumo[[#This Row],[09_23]] )</f>
        <v>3</v>
      </c>
      <c r="AA57" s="223">
        <f>LARGE(tabConsumo[[#This Row],[10_22]:[09_23]],1)</f>
        <v>1</v>
      </c>
      <c r="AB57" s="146" t="s">
        <v>2245</v>
      </c>
      <c r="AC57" s="3" t="s">
        <v>2086</v>
      </c>
    </row>
    <row r="58" spans="1:29" x14ac:dyDescent="0.3">
      <c r="A58" s="4" t="s">
        <v>875</v>
      </c>
      <c r="B58" s="3" t="s">
        <v>436</v>
      </c>
      <c r="C58" s="2">
        <v>136821</v>
      </c>
      <c r="D58" s="2">
        <v>5</v>
      </c>
      <c r="F58" s="2">
        <v>0</v>
      </c>
      <c r="G58" s="2">
        <v>0</v>
      </c>
      <c r="H58" s="2">
        <v>0</v>
      </c>
      <c r="I58" s="2">
        <v>0</v>
      </c>
      <c r="J58" s="2">
        <v>0</v>
      </c>
      <c r="K58" s="2">
        <v>1</v>
      </c>
      <c r="L58" s="2">
        <v>0</v>
      </c>
      <c r="M58" s="2">
        <v>0</v>
      </c>
      <c r="N58" s="2">
        <v>0</v>
      </c>
      <c r="O58" s="2">
        <v>0</v>
      </c>
      <c r="P58" s="2">
        <v>0</v>
      </c>
      <c r="Q58" s="2">
        <v>0</v>
      </c>
      <c r="R58" s="238">
        <v>43572</v>
      </c>
      <c r="S58" s="219">
        <v>12</v>
      </c>
      <c r="T58" s="220">
        <f>SUM( tabConsumo[[#This Row],[QTD.PENDENTE]]:tabConsumo[[#This Row],[09_23]] ) / tabConsumo[[#This Row],[Div]]</f>
        <v>8.3333333333333329E-2</v>
      </c>
      <c r="U58" s="221">
        <f xml:space="preserve"> tabConsumo[[#This Row],[Média.A]] + (_xlfn.STDEV.S( tabConsumo[[#This Row],[QTD.PENDENTE]]:tabConsumo[[#This Row],[09_23]] ) * 1)</f>
        <v>0.37200846792814618</v>
      </c>
      <c r="V58" s="221">
        <f xml:space="preserve"> tabConsumo[[#This Row],[Média.A]] + (_xlfn.STDEV.S( tabConsumo[[#This Row],[QTD.PENDENTE]]:tabConsumo[[#This Row],[09_23]] ) * 2)</f>
        <v>0.6606836025229591</v>
      </c>
      <c r="W58" s="221">
        <f xml:space="preserve"> tabConsumo[[#This Row],[Média.A]] + (_xlfn.STDEV.S( tabConsumo[[#This Row],[QTD.PENDENTE]]:tabConsumo[[#This Row],[09_23]] ) * 3)</f>
        <v>0.94935873711777197</v>
      </c>
      <c r="X58" s="5">
        <f t="shared" si="0"/>
        <v>2</v>
      </c>
      <c r="Y58">
        <v>0</v>
      </c>
      <c r="Z58" s="223">
        <f>SUM( tabConsumo[[#This Row],[QTD.PENDENTE]]:tabConsumo[[#This Row],[09_23]] )</f>
        <v>1</v>
      </c>
      <c r="AA58" s="223">
        <f>LARGE(tabConsumo[[#This Row],[10_22]:[09_23]],1)</f>
        <v>1</v>
      </c>
      <c r="AB58" s="146" t="s">
        <v>2245</v>
      </c>
      <c r="AC58" s="3" t="s">
        <v>2086</v>
      </c>
    </row>
    <row r="59" spans="1:29" x14ac:dyDescent="0.3">
      <c r="A59" s="4" t="s">
        <v>876</v>
      </c>
      <c r="B59" s="3" t="s">
        <v>436</v>
      </c>
      <c r="C59" s="2">
        <v>136822</v>
      </c>
      <c r="D59" s="2">
        <v>77</v>
      </c>
      <c r="F59" s="2">
        <v>0</v>
      </c>
      <c r="G59" s="2">
        <v>0</v>
      </c>
      <c r="H59" s="2">
        <v>0</v>
      </c>
      <c r="I59" s="2">
        <v>1</v>
      </c>
      <c r="J59" s="2">
        <v>0</v>
      </c>
      <c r="K59" s="2">
        <v>0</v>
      </c>
      <c r="L59" s="2">
        <v>0</v>
      </c>
      <c r="M59" s="2">
        <v>0</v>
      </c>
      <c r="N59" s="2">
        <v>2</v>
      </c>
      <c r="O59" s="2">
        <v>0</v>
      </c>
      <c r="P59" s="2">
        <v>0</v>
      </c>
      <c r="Q59" s="2">
        <v>0</v>
      </c>
      <c r="R59" s="238">
        <v>43572</v>
      </c>
      <c r="S59" s="219">
        <v>12</v>
      </c>
      <c r="T59" s="220">
        <f>SUM( tabConsumo[[#This Row],[QTD.PENDENTE]]:tabConsumo[[#This Row],[09_23]] ) / tabConsumo[[#This Row],[Div]]</f>
        <v>0.25</v>
      </c>
      <c r="U59" s="221">
        <f xml:space="preserve"> tabConsumo[[#This Row],[Média.A]] + (_xlfn.STDEV.S( tabConsumo[[#This Row],[QTD.PENDENTE]]:tabConsumo[[#This Row],[09_23]] ) * 1)</f>
        <v>0.87158156050806102</v>
      </c>
      <c r="V59" s="221">
        <f xml:space="preserve"> tabConsumo[[#This Row],[Média.A]] + (_xlfn.STDEV.S( tabConsumo[[#This Row],[QTD.PENDENTE]]:tabConsumo[[#This Row],[09_23]] ) * 2)</f>
        <v>1.493163121016122</v>
      </c>
      <c r="W59" s="221">
        <f xml:space="preserve"> tabConsumo[[#This Row],[Média.A]] + (_xlfn.STDEV.S( tabConsumo[[#This Row],[QTD.PENDENTE]]:tabConsumo[[#This Row],[09_23]] ) * 3)</f>
        <v>2.1147446815241828</v>
      </c>
      <c r="X59" s="5">
        <f t="shared" si="0"/>
        <v>2</v>
      </c>
      <c r="Y59">
        <v>0.16666666666666666</v>
      </c>
      <c r="Z59" s="223">
        <f>SUM( tabConsumo[[#This Row],[QTD.PENDENTE]]:tabConsumo[[#This Row],[09_23]] )</f>
        <v>3</v>
      </c>
      <c r="AA59" s="223">
        <f>LARGE(tabConsumo[[#This Row],[10_22]:[09_23]],1)</f>
        <v>2</v>
      </c>
      <c r="AB59" s="146" t="s">
        <v>2246</v>
      </c>
      <c r="AC59" s="3" t="s">
        <v>2086</v>
      </c>
    </row>
    <row r="60" spans="1:29" x14ac:dyDescent="0.3">
      <c r="A60" s="4" t="s">
        <v>1936</v>
      </c>
      <c r="B60" s="3" t="s">
        <v>436</v>
      </c>
      <c r="C60" s="2">
        <v>136823</v>
      </c>
      <c r="D60" s="2">
        <v>51</v>
      </c>
      <c r="F60" s="2">
        <v>0</v>
      </c>
      <c r="G60" s="2">
        <v>1</v>
      </c>
      <c r="H60" s="2">
        <v>0</v>
      </c>
      <c r="I60" s="2">
        <v>1</v>
      </c>
      <c r="J60" s="2">
        <v>0</v>
      </c>
      <c r="K60" s="2">
        <v>0</v>
      </c>
      <c r="L60" s="2">
        <v>0</v>
      </c>
      <c r="M60" s="2">
        <v>0</v>
      </c>
      <c r="N60" s="2">
        <v>0</v>
      </c>
      <c r="O60" s="2">
        <v>0</v>
      </c>
      <c r="P60" s="2">
        <v>0</v>
      </c>
      <c r="Q60" s="2">
        <v>0</v>
      </c>
      <c r="R60" s="238">
        <v>43572</v>
      </c>
      <c r="S60" s="219">
        <v>12</v>
      </c>
      <c r="T60" s="220">
        <f>SUM( tabConsumo[[#This Row],[QTD.PENDENTE]]:tabConsumo[[#This Row],[09_23]] ) / tabConsumo[[#This Row],[Div]]</f>
        <v>0.16666666666666666</v>
      </c>
      <c r="U60" s="221">
        <f xml:space="preserve"> tabConsumo[[#This Row],[Média.A]] + (_xlfn.STDEV.S( tabConsumo[[#This Row],[QTD.PENDENTE]]:tabConsumo[[#This Row],[09_23]] ) * 1)</f>
        <v>0.55591613874742818</v>
      </c>
      <c r="V60" s="221">
        <f xml:space="preserve"> tabConsumo[[#This Row],[Média.A]] + (_xlfn.STDEV.S( tabConsumo[[#This Row],[QTD.PENDENTE]]:tabConsumo[[#This Row],[09_23]] ) * 2)</f>
        <v>0.94516561082818962</v>
      </c>
      <c r="W60" s="221">
        <f xml:space="preserve"> tabConsumo[[#This Row],[Média.A]] + (_xlfn.STDEV.S( tabConsumo[[#This Row],[QTD.PENDENTE]]:tabConsumo[[#This Row],[09_23]] ) * 3)</f>
        <v>1.3344150829089512</v>
      </c>
      <c r="X60" s="5">
        <f t="shared" si="0"/>
        <v>2</v>
      </c>
      <c r="Y60">
        <v>0</v>
      </c>
      <c r="Z60" s="223">
        <f>SUM( tabConsumo[[#This Row],[QTD.PENDENTE]]:tabConsumo[[#This Row],[09_23]] )</f>
        <v>2</v>
      </c>
      <c r="AA60" s="223">
        <f>LARGE(tabConsumo[[#This Row],[10_22]:[09_23]],1)</f>
        <v>1</v>
      </c>
      <c r="AB60" s="146" t="s">
        <v>2247</v>
      </c>
      <c r="AC60" s="3" t="s">
        <v>2086</v>
      </c>
    </row>
    <row r="61" spans="1:29" x14ac:dyDescent="0.3">
      <c r="A61" s="4" t="s">
        <v>1937</v>
      </c>
      <c r="B61" s="3" t="s">
        <v>436</v>
      </c>
      <c r="C61" s="2">
        <v>136824</v>
      </c>
      <c r="D61" s="2">
        <v>11</v>
      </c>
      <c r="F61" s="2">
        <v>1</v>
      </c>
      <c r="G61" s="2">
        <v>1</v>
      </c>
      <c r="H61" s="2">
        <v>0</v>
      </c>
      <c r="I61" s="2">
        <v>0</v>
      </c>
      <c r="J61" s="2">
        <v>1</v>
      </c>
      <c r="K61" s="2">
        <v>1</v>
      </c>
      <c r="L61" s="2">
        <v>0</v>
      </c>
      <c r="M61" s="2">
        <v>1</v>
      </c>
      <c r="N61" s="2">
        <v>0</v>
      </c>
      <c r="O61" s="2">
        <v>0</v>
      </c>
      <c r="P61" s="2">
        <v>0</v>
      </c>
      <c r="Q61" s="2">
        <v>0</v>
      </c>
      <c r="R61" s="238">
        <v>43572</v>
      </c>
      <c r="S61" s="219">
        <v>12</v>
      </c>
      <c r="T61" s="220">
        <f>SUM( tabConsumo[[#This Row],[QTD.PENDENTE]]:tabConsumo[[#This Row],[09_23]] ) / tabConsumo[[#This Row],[Div]]</f>
        <v>0.41666666666666669</v>
      </c>
      <c r="U61" s="221">
        <f xml:space="preserve"> tabConsumo[[#This Row],[Média.A]] + (_xlfn.STDEV.S( tabConsumo[[#This Row],[QTD.PENDENTE]]:tabConsumo[[#This Row],[09_23]] ) * 1)</f>
        <v>0.931595317211104</v>
      </c>
      <c r="V61" s="221">
        <f xml:space="preserve"> tabConsumo[[#This Row],[Média.A]] + (_xlfn.STDEV.S( tabConsumo[[#This Row],[QTD.PENDENTE]]:tabConsumo[[#This Row],[09_23]] ) * 2)</f>
        <v>1.4465239677555413</v>
      </c>
      <c r="W61" s="221">
        <f xml:space="preserve"> tabConsumo[[#This Row],[Média.A]] + (_xlfn.STDEV.S( tabConsumo[[#This Row],[QTD.PENDENTE]]:tabConsumo[[#This Row],[09_23]] ) * 3)</f>
        <v>1.9614526182999785</v>
      </c>
      <c r="X61" s="5">
        <f t="shared" si="0"/>
        <v>2</v>
      </c>
      <c r="Y61">
        <v>0.41666666666666669</v>
      </c>
      <c r="Z61" s="223">
        <f>SUM( tabConsumo[[#This Row],[QTD.PENDENTE]]:tabConsumo[[#This Row],[09_23]] )</f>
        <v>5</v>
      </c>
      <c r="AA61" s="223">
        <f>LARGE(tabConsumo[[#This Row],[10_22]:[09_23]],1)</f>
        <v>1</v>
      </c>
      <c r="AB61" s="146" t="s">
        <v>2244</v>
      </c>
      <c r="AC61" s="3" t="s">
        <v>2086</v>
      </c>
    </row>
    <row r="62" spans="1:29" x14ac:dyDescent="0.3">
      <c r="A62" s="4" t="s">
        <v>1938</v>
      </c>
      <c r="B62" s="3" t="s">
        <v>436</v>
      </c>
      <c r="C62" s="2">
        <v>136825</v>
      </c>
      <c r="D62" s="2">
        <v>2</v>
      </c>
      <c r="E62" s="2">
        <v>1</v>
      </c>
      <c r="F62" s="2">
        <v>1</v>
      </c>
      <c r="G62" s="2">
        <v>0</v>
      </c>
      <c r="H62" s="2">
        <v>1</v>
      </c>
      <c r="I62" s="2">
        <v>0</v>
      </c>
      <c r="J62" s="2">
        <v>0</v>
      </c>
      <c r="K62" s="2">
        <v>0</v>
      </c>
      <c r="L62" s="2">
        <v>1</v>
      </c>
      <c r="M62" s="2">
        <v>0</v>
      </c>
      <c r="N62" s="2">
        <v>0</v>
      </c>
      <c r="O62" s="2">
        <v>0</v>
      </c>
      <c r="P62" s="2">
        <v>0</v>
      </c>
      <c r="Q62" s="2">
        <v>1</v>
      </c>
      <c r="R62" s="238">
        <v>43572</v>
      </c>
      <c r="S62" s="219">
        <v>12</v>
      </c>
      <c r="T62" s="220">
        <f>SUM( tabConsumo[[#This Row],[QTD.PENDENTE]]:tabConsumo[[#This Row],[09_23]] ) / tabConsumo[[#This Row],[Div]]</f>
        <v>0.41666666666666669</v>
      </c>
      <c r="U62" s="221">
        <f xml:space="preserve"> tabConsumo[[#This Row],[Média.A]] + (_xlfn.STDEV.S( tabConsumo[[#This Row],[QTD.PENDENTE]]:tabConsumo[[#This Row],[09_23]] ) * 1)</f>
        <v>0.92303635020849994</v>
      </c>
      <c r="V62" s="221">
        <f xml:space="preserve"> tabConsumo[[#This Row],[Média.A]] + (_xlfn.STDEV.S( tabConsumo[[#This Row],[QTD.PENDENTE]]:tabConsumo[[#This Row],[09_23]] ) * 2)</f>
        <v>1.4294060337503334</v>
      </c>
      <c r="W62" s="221">
        <f xml:space="preserve"> tabConsumo[[#This Row],[Média.A]] + (_xlfn.STDEV.S( tabConsumo[[#This Row],[QTD.PENDENTE]]:tabConsumo[[#This Row],[09_23]] ) * 3)</f>
        <v>1.9357757172921668</v>
      </c>
      <c r="X62" s="5">
        <f t="shared" si="0"/>
        <v>2</v>
      </c>
      <c r="Y62">
        <v>0.41666666666666669</v>
      </c>
      <c r="Z62" s="223">
        <f>SUM( tabConsumo[[#This Row],[QTD.PENDENTE]]:tabConsumo[[#This Row],[09_23]] )</f>
        <v>5</v>
      </c>
      <c r="AA62" s="223">
        <f>LARGE(tabConsumo[[#This Row],[10_22]:[09_23]],1)</f>
        <v>1</v>
      </c>
      <c r="AB62" s="146" t="s">
        <v>2238</v>
      </c>
      <c r="AC62" s="3" t="s">
        <v>2086</v>
      </c>
    </row>
    <row r="63" spans="1:29" x14ac:dyDescent="0.3">
      <c r="A63" s="4" t="s">
        <v>1939</v>
      </c>
      <c r="B63" s="3" t="s">
        <v>436</v>
      </c>
      <c r="C63" s="2">
        <v>136826</v>
      </c>
      <c r="D63" s="2">
        <v>15</v>
      </c>
      <c r="F63" s="2">
        <v>1</v>
      </c>
      <c r="G63" s="2">
        <v>1</v>
      </c>
      <c r="H63" s="2">
        <v>0</v>
      </c>
      <c r="I63" s="2">
        <v>2</v>
      </c>
      <c r="J63" s="2">
        <v>1</v>
      </c>
      <c r="K63" s="2">
        <v>0</v>
      </c>
      <c r="L63" s="2">
        <v>1</v>
      </c>
      <c r="M63" s="2">
        <v>0</v>
      </c>
      <c r="N63" s="2">
        <v>0</v>
      </c>
      <c r="O63" s="2">
        <v>0</v>
      </c>
      <c r="P63" s="2">
        <v>0</v>
      </c>
      <c r="Q63" s="2">
        <v>2</v>
      </c>
      <c r="R63" s="238">
        <v>43572</v>
      </c>
      <c r="S63" s="219">
        <v>12</v>
      </c>
      <c r="T63" s="220">
        <f>SUM( tabConsumo[[#This Row],[QTD.PENDENTE]]:tabConsumo[[#This Row],[09_23]] ) / tabConsumo[[#This Row],[Div]]</f>
        <v>0.66666666666666663</v>
      </c>
      <c r="U63" s="221">
        <f xml:space="preserve"> tabConsumo[[#This Row],[Média.A]] + (_xlfn.STDEV.S( tabConsumo[[#This Row],[QTD.PENDENTE]]:tabConsumo[[#This Row],[09_23]] ) * 1)</f>
        <v>1.4451656108281896</v>
      </c>
      <c r="V63" s="221">
        <f xml:space="preserve"> tabConsumo[[#This Row],[Média.A]] + (_xlfn.STDEV.S( tabConsumo[[#This Row],[QTD.PENDENTE]]:tabConsumo[[#This Row],[09_23]] ) * 2)</f>
        <v>2.2236645549897127</v>
      </c>
      <c r="W63" s="221">
        <f xml:space="preserve"> tabConsumo[[#This Row],[Média.A]] + (_xlfn.STDEV.S( tabConsumo[[#This Row],[QTD.PENDENTE]]:tabConsumo[[#This Row],[09_23]] ) * 3)</f>
        <v>3.0021634991512354</v>
      </c>
      <c r="X63" s="5">
        <f t="shared" si="0"/>
        <v>2</v>
      </c>
      <c r="Y63">
        <v>0.66666666666666663</v>
      </c>
      <c r="Z63" s="223">
        <f>SUM( tabConsumo[[#This Row],[QTD.PENDENTE]]:tabConsumo[[#This Row],[09_23]] )</f>
        <v>8</v>
      </c>
      <c r="AA63" s="223">
        <f>LARGE(tabConsumo[[#This Row],[10_22]:[09_23]],1)</f>
        <v>2</v>
      </c>
      <c r="AB63" s="146" t="s">
        <v>2238</v>
      </c>
      <c r="AC63" s="3" t="s">
        <v>2086</v>
      </c>
    </row>
    <row r="64" spans="1:29" x14ac:dyDescent="0.3">
      <c r="A64" s="4" t="s">
        <v>1155</v>
      </c>
      <c r="B64" s="3" t="s">
        <v>263</v>
      </c>
      <c r="C64" s="2">
        <v>19998</v>
      </c>
      <c r="D64" s="2">
        <v>0</v>
      </c>
      <c r="E64" s="2">
        <v>49</v>
      </c>
      <c r="F64" s="2">
        <v>11</v>
      </c>
      <c r="G64" s="2">
        <v>3</v>
      </c>
      <c r="H64" s="2">
        <v>0</v>
      </c>
      <c r="I64" s="2">
        <v>0</v>
      </c>
      <c r="J64" s="2">
        <v>0</v>
      </c>
      <c r="K64" s="2">
        <v>0</v>
      </c>
      <c r="L64" s="2">
        <v>0</v>
      </c>
      <c r="M64" s="2">
        <v>0</v>
      </c>
      <c r="N64" s="2">
        <v>0</v>
      </c>
      <c r="O64" s="2">
        <v>0</v>
      </c>
      <c r="P64" s="2">
        <v>0</v>
      </c>
      <c r="Q64" s="2">
        <v>0</v>
      </c>
      <c r="R64" s="238">
        <v>367</v>
      </c>
      <c r="S64" s="219">
        <f t="shared" ref="S64:S78" si="2" xml:space="preserve"> 12</f>
        <v>12</v>
      </c>
      <c r="T64" s="220">
        <f>SUM( tabConsumo[[#This Row],[QTD.PENDENTE]]:tabConsumo[[#This Row],[09_23]] ) / tabConsumo[[#This Row],[Div]]</f>
        <v>5.25</v>
      </c>
      <c r="U64" s="221">
        <f xml:space="preserve"> tabConsumo[[#This Row],[Média.A]] + (_xlfn.STDEV.S( tabConsumo[[#This Row],[QTD.PENDENTE]]:tabConsumo[[#This Row],[09_23]] ) * 1)</f>
        <v>18.868897127681045</v>
      </c>
      <c r="V64" s="221">
        <f xml:space="preserve"> tabConsumo[[#This Row],[Média.A]] + (_xlfn.STDEV.S( tabConsumo[[#This Row],[QTD.PENDENTE]]:tabConsumo[[#This Row],[09_23]] ) * 2)</f>
        <v>32.48779425536209</v>
      </c>
      <c r="W64" s="221">
        <f xml:space="preserve"> tabConsumo[[#This Row],[Média.A]] + (_xlfn.STDEV.S( tabConsumo[[#This Row],[QTD.PENDENTE]]:tabConsumo[[#This Row],[09_23]] ) * 3)</f>
        <v>46.106691383043128</v>
      </c>
      <c r="X64" s="5">
        <f t="shared" si="0"/>
        <v>2</v>
      </c>
      <c r="Y64">
        <v>5.25</v>
      </c>
      <c r="Z64" s="223">
        <f>SUM( tabConsumo[[#This Row],[QTD.PENDENTE]]:tabConsumo[[#This Row],[09_23]] )</f>
        <v>63</v>
      </c>
      <c r="AA64" s="223">
        <f>LARGE(tabConsumo[[#This Row],[10_22]:[09_23]],1)</f>
        <v>11</v>
      </c>
      <c r="AB64" s="146" t="s">
        <v>2243</v>
      </c>
      <c r="AC64" s="3" t="s">
        <v>2086</v>
      </c>
    </row>
    <row r="65" spans="1:29" x14ac:dyDescent="0.3">
      <c r="A65" s="4" t="s">
        <v>1164</v>
      </c>
      <c r="B65" s="3" t="s">
        <v>263</v>
      </c>
      <c r="C65" s="2">
        <v>20144</v>
      </c>
      <c r="D65" s="2">
        <v>47</v>
      </c>
      <c r="F65" s="2">
        <v>27</v>
      </c>
      <c r="G65" s="2">
        <v>38</v>
      </c>
      <c r="H65" s="2">
        <v>12</v>
      </c>
      <c r="I65" s="2">
        <v>16</v>
      </c>
      <c r="J65" s="2">
        <v>18</v>
      </c>
      <c r="K65" s="2">
        <v>25</v>
      </c>
      <c r="L65" s="2">
        <v>49</v>
      </c>
      <c r="M65" s="2">
        <v>10</v>
      </c>
      <c r="N65" s="2">
        <v>50</v>
      </c>
      <c r="O65" s="2">
        <v>0</v>
      </c>
      <c r="P65" s="2">
        <v>0</v>
      </c>
      <c r="Q65" s="2">
        <v>70</v>
      </c>
      <c r="R65" s="238">
        <v>367</v>
      </c>
      <c r="S65" s="219">
        <f t="shared" si="2"/>
        <v>12</v>
      </c>
      <c r="T65" s="220">
        <f>SUM( tabConsumo[[#This Row],[QTD.PENDENTE]]:tabConsumo[[#This Row],[09_23]] ) / tabConsumo[[#This Row],[Div]]</f>
        <v>26.25</v>
      </c>
      <c r="U65" s="221">
        <f xml:space="preserve"> tabConsumo[[#This Row],[Média.A]] + (_xlfn.STDEV.S( tabConsumo[[#This Row],[QTD.PENDENTE]]:tabConsumo[[#This Row],[09_23]] ) * 1)</f>
        <v>47.896435776316196</v>
      </c>
      <c r="V65" s="221">
        <f xml:space="preserve"> tabConsumo[[#This Row],[Média.A]] + (_xlfn.STDEV.S( tabConsumo[[#This Row],[QTD.PENDENTE]]:tabConsumo[[#This Row],[09_23]] ) * 2)</f>
        <v>69.542871552632391</v>
      </c>
      <c r="W65" s="221">
        <f xml:space="preserve"> tabConsumo[[#This Row],[Média.A]] + (_xlfn.STDEV.S( tabConsumo[[#This Row],[QTD.PENDENTE]]:tabConsumo[[#This Row],[09_23]] ) * 3)</f>
        <v>91.189307328948587</v>
      </c>
      <c r="X65" s="5">
        <f t="shared" si="0"/>
        <v>2</v>
      </c>
      <c r="Y65">
        <v>26.166666666666668</v>
      </c>
      <c r="Z65" s="223">
        <f>SUM( tabConsumo[[#This Row],[QTD.PENDENTE]]:tabConsumo[[#This Row],[09_23]] )</f>
        <v>315</v>
      </c>
      <c r="AA65" s="223">
        <f>LARGE(tabConsumo[[#This Row],[10_22]:[09_23]],1)</f>
        <v>70</v>
      </c>
      <c r="AB65" s="146" t="s">
        <v>2238</v>
      </c>
      <c r="AC65" s="3" t="s">
        <v>2086</v>
      </c>
    </row>
    <row r="66" spans="1:29" x14ac:dyDescent="0.3">
      <c r="A66" s="4" t="s">
        <v>1156</v>
      </c>
      <c r="B66" s="3" t="s">
        <v>263</v>
      </c>
      <c r="C66" s="2">
        <v>20001</v>
      </c>
      <c r="D66" s="2">
        <v>0</v>
      </c>
      <c r="E66" s="2">
        <v>103</v>
      </c>
      <c r="F66" s="2">
        <v>0</v>
      </c>
      <c r="G66" s="2">
        <v>0</v>
      </c>
      <c r="H66" s="2">
        <v>0</v>
      </c>
      <c r="I66" s="2">
        <v>0</v>
      </c>
      <c r="J66" s="2">
        <v>0</v>
      </c>
      <c r="K66" s="2">
        <v>0</v>
      </c>
      <c r="L66" s="2">
        <v>0</v>
      </c>
      <c r="M66" s="2">
        <v>0</v>
      </c>
      <c r="N66" s="2">
        <v>0</v>
      </c>
      <c r="O66" s="2">
        <v>0</v>
      </c>
      <c r="P66" s="2">
        <v>0</v>
      </c>
      <c r="Q66" s="2">
        <v>0</v>
      </c>
      <c r="R66" s="238">
        <v>367</v>
      </c>
      <c r="S66" s="219">
        <f t="shared" si="2"/>
        <v>12</v>
      </c>
      <c r="T66" s="220">
        <f>SUM( tabConsumo[[#This Row],[QTD.PENDENTE]]:tabConsumo[[#This Row],[09_23]] ) / tabConsumo[[#This Row],[Div]]</f>
        <v>8.5833333333333339</v>
      </c>
      <c r="U66" s="221">
        <f xml:space="preserve"> tabConsumo[[#This Row],[Média.A]] + (_xlfn.STDEV.S( tabConsumo[[#This Row],[QTD.PENDENTE]]:tabConsumo[[#This Row],[09_23]] ) * 1)</f>
        <v>37.150393438932632</v>
      </c>
      <c r="V66" s="221">
        <f xml:space="preserve"> tabConsumo[[#This Row],[Média.A]] + (_xlfn.STDEV.S( tabConsumo[[#This Row],[QTD.PENDENTE]]:tabConsumo[[#This Row],[09_23]] ) * 2)</f>
        <v>65.717453544531935</v>
      </c>
      <c r="W66" s="221">
        <f xml:space="preserve"> tabConsumo[[#This Row],[Média.A]] + (_xlfn.STDEV.S( tabConsumo[[#This Row],[QTD.PENDENTE]]:tabConsumo[[#This Row],[09_23]] ) * 3)</f>
        <v>94.284513650131231</v>
      </c>
      <c r="X66" s="5">
        <f t="shared" si="0"/>
        <v>2</v>
      </c>
      <c r="Y66">
        <v>8.5833333333333339</v>
      </c>
      <c r="Z66" s="223">
        <f>SUM( tabConsumo[[#This Row],[QTD.PENDENTE]]:tabConsumo[[#This Row],[09_23]] )</f>
        <v>103</v>
      </c>
      <c r="AA66" s="223">
        <f>LARGE(tabConsumo[[#This Row],[10_22]:[09_23]],1)</f>
        <v>0</v>
      </c>
      <c r="AB66" s="146" t="s">
        <v>2238</v>
      </c>
      <c r="AC66" s="3" t="s">
        <v>2086</v>
      </c>
    </row>
    <row r="67" spans="1:29" x14ac:dyDescent="0.3">
      <c r="A67" s="4" t="s">
        <v>1157</v>
      </c>
      <c r="B67" s="3" t="s">
        <v>263</v>
      </c>
      <c r="C67" s="2">
        <v>20034</v>
      </c>
      <c r="D67" s="2">
        <v>241</v>
      </c>
      <c r="E67" s="2">
        <v>5</v>
      </c>
      <c r="F67" s="2">
        <v>60</v>
      </c>
      <c r="G67" s="2">
        <v>58</v>
      </c>
      <c r="H67" s="2">
        <v>46</v>
      </c>
      <c r="I67" s="2">
        <v>117</v>
      </c>
      <c r="J67" s="2">
        <v>108</v>
      </c>
      <c r="K67" s="2">
        <v>90</v>
      </c>
      <c r="L67" s="2">
        <v>65</v>
      </c>
      <c r="M67" s="2">
        <v>5</v>
      </c>
      <c r="N67" s="2">
        <v>0</v>
      </c>
      <c r="O67" s="2">
        <v>0</v>
      </c>
      <c r="P67" s="2">
        <v>0</v>
      </c>
      <c r="Q67" s="2">
        <v>100</v>
      </c>
      <c r="R67" s="238">
        <v>367</v>
      </c>
      <c r="S67" s="219">
        <f t="shared" si="2"/>
        <v>12</v>
      </c>
      <c r="T67" s="220">
        <f>SUM( tabConsumo[[#This Row],[QTD.PENDENTE]]:tabConsumo[[#This Row],[09_23]] ) / tabConsumo[[#This Row],[Div]]</f>
        <v>54.5</v>
      </c>
      <c r="U67" s="221">
        <f xml:space="preserve"> tabConsumo[[#This Row],[Média.A]] + (_xlfn.STDEV.S( tabConsumo[[#This Row],[QTD.PENDENTE]]:tabConsumo[[#This Row],[09_23]] ) * 1)</f>
        <v>99.134412388097701</v>
      </c>
      <c r="V67" s="221">
        <f xml:space="preserve"> tabConsumo[[#This Row],[Média.A]] + (_xlfn.STDEV.S( tabConsumo[[#This Row],[QTD.PENDENTE]]:tabConsumo[[#This Row],[09_23]] ) * 2)</f>
        <v>143.7688247761954</v>
      </c>
      <c r="W67" s="221">
        <f xml:space="preserve"> tabConsumo[[#This Row],[Média.A]] + (_xlfn.STDEV.S( tabConsumo[[#This Row],[QTD.PENDENTE]]:tabConsumo[[#This Row],[09_23]] ) * 3)</f>
        <v>188.4032371642931</v>
      </c>
      <c r="X67" s="5">
        <f t="shared" ref="X67:X130" si="3" xml:space="preserve"> 2</f>
        <v>2</v>
      </c>
      <c r="Y67">
        <v>54.5</v>
      </c>
      <c r="Z67" s="223">
        <f>SUM( tabConsumo[[#This Row],[QTD.PENDENTE]]:tabConsumo[[#This Row],[09_23]] )</f>
        <v>654</v>
      </c>
      <c r="AA67" s="223">
        <f>LARGE(tabConsumo[[#This Row],[10_22]:[09_23]],1)</f>
        <v>117</v>
      </c>
      <c r="AB67" s="146" t="s">
        <v>2238</v>
      </c>
      <c r="AC67" s="3" t="s">
        <v>2086</v>
      </c>
    </row>
    <row r="68" spans="1:29" x14ac:dyDescent="0.3">
      <c r="A68" s="4" t="s">
        <v>1158</v>
      </c>
      <c r="B68" s="3" t="s">
        <v>263</v>
      </c>
      <c r="C68" s="2">
        <v>20035</v>
      </c>
      <c r="D68" s="2">
        <v>849</v>
      </c>
      <c r="F68" s="2">
        <v>12</v>
      </c>
      <c r="G68" s="2">
        <v>4</v>
      </c>
      <c r="H68" s="2">
        <v>9</v>
      </c>
      <c r="I68" s="2">
        <v>7</v>
      </c>
      <c r="J68" s="2">
        <v>0</v>
      </c>
      <c r="K68" s="2">
        <v>20</v>
      </c>
      <c r="L68" s="2">
        <v>38</v>
      </c>
      <c r="M68" s="2">
        <v>10</v>
      </c>
      <c r="N68" s="2">
        <v>30</v>
      </c>
      <c r="O68" s="2">
        <v>0</v>
      </c>
      <c r="P68" s="2">
        <v>0</v>
      </c>
      <c r="Q68" s="2">
        <v>50</v>
      </c>
      <c r="R68" s="238">
        <v>367</v>
      </c>
      <c r="S68" s="219">
        <f t="shared" si="2"/>
        <v>12</v>
      </c>
      <c r="T68" s="220">
        <f>SUM( tabConsumo[[#This Row],[QTD.PENDENTE]]:tabConsumo[[#This Row],[09_23]] ) / tabConsumo[[#This Row],[Div]]</f>
        <v>15</v>
      </c>
      <c r="U68" s="221">
        <f xml:space="preserve"> tabConsumo[[#This Row],[Média.A]] + (_xlfn.STDEV.S( tabConsumo[[#This Row],[QTD.PENDENTE]]:tabConsumo[[#This Row],[09_23]] ) * 1)</f>
        <v>31.331787187178037</v>
      </c>
      <c r="V68" s="221">
        <f xml:space="preserve"> tabConsumo[[#This Row],[Média.A]] + (_xlfn.STDEV.S( tabConsumo[[#This Row],[QTD.PENDENTE]]:tabConsumo[[#This Row],[09_23]] ) * 2)</f>
        <v>47.663574374356074</v>
      </c>
      <c r="W68" s="221">
        <f xml:space="preserve"> tabConsumo[[#This Row],[Média.A]] + (_xlfn.STDEV.S( tabConsumo[[#This Row],[QTD.PENDENTE]]:tabConsumo[[#This Row],[09_23]] ) * 3)</f>
        <v>63.995361561534111</v>
      </c>
      <c r="X68" s="5">
        <f t="shared" si="3"/>
        <v>2</v>
      </c>
      <c r="Y68">
        <v>14.75</v>
      </c>
      <c r="Z68" s="223">
        <f>SUM( tabConsumo[[#This Row],[QTD.PENDENTE]]:tabConsumo[[#This Row],[09_23]] )</f>
        <v>180</v>
      </c>
      <c r="AA68" s="223">
        <f>LARGE(tabConsumo[[#This Row],[10_22]:[09_23]],1)</f>
        <v>50</v>
      </c>
      <c r="AB68" s="146" t="s">
        <v>2238</v>
      </c>
      <c r="AC68" s="3" t="s">
        <v>2086</v>
      </c>
    </row>
    <row r="69" spans="1:29" x14ac:dyDescent="0.3">
      <c r="A69" s="4" t="s">
        <v>1159</v>
      </c>
      <c r="B69" s="3" t="s">
        <v>263</v>
      </c>
      <c r="C69" s="2">
        <v>20037</v>
      </c>
      <c r="D69" s="2">
        <v>148</v>
      </c>
      <c r="F69" s="2">
        <v>12</v>
      </c>
      <c r="G69" s="2">
        <v>4</v>
      </c>
      <c r="H69" s="2">
        <v>9</v>
      </c>
      <c r="I69" s="2">
        <v>20</v>
      </c>
      <c r="J69" s="2">
        <v>4</v>
      </c>
      <c r="K69" s="2">
        <v>36</v>
      </c>
      <c r="L69" s="2">
        <v>23</v>
      </c>
      <c r="M69" s="2">
        <v>0</v>
      </c>
      <c r="N69" s="2">
        <v>0</v>
      </c>
      <c r="O69" s="2">
        <v>0</v>
      </c>
      <c r="P69" s="2">
        <v>0</v>
      </c>
      <c r="Q69" s="2">
        <v>10</v>
      </c>
      <c r="R69" s="238">
        <v>367</v>
      </c>
      <c r="S69" s="219">
        <f t="shared" si="2"/>
        <v>12</v>
      </c>
      <c r="T69" s="220">
        <f>SUM( tabConsumo[[#This Row],[QTD.PENDENTE]]:tabConsumo[[#This Row],[09_23]] ) / tabConsumo[[#This Row],[Div]]</f>
        <v>9.8333333333333339</v>
      </c>
      <c r="U69" s="221">
        <f xml:space="preserve"> tabConsumo[[#This Row],[Média.A]] + (_xlfn.STDEV.S( tabConsumo[[#This Row],[QTD.PENDENTE]]:tabConsumo[[#This Row],[09_23]] ) * 1)</f>
        <v>21.201817147915833</v>
      </c>
      <c r="V69" s="221">
        <f xml:space="preserve"> tabConsumo[[#This Row],[Média.A]] + (_xlfn.STDEV.S( tabConsumo[[#This Row],[QTD.PENDENTE]]:tabConsumo[[#This Row],[09_23]] ) * 2)</f>
        <v>32.57030096249833</v>
      </c>
      <c r="W69" s="221">
        <f xml:space="preserve"> tabConsumo[[#This Row],[Média.A]] + (_xlfn.STDEV.S( tabConsumo[[#This Row],[QTD.PENDENTE]]:tabConsumo[[#This Row],[09_23]] ) * 3)</f>
        <v>43.938784777080834</v>
      </c>
      <c r="X69" s="5">
        <f t="shared" si="3"/>
        <v>2</v>
      </c>
      <c r="Y69">
        <v>9.5</v>
      </c>
      <c r="Z69" s="223">
        <f>SUM( tabConsumo[[#This Row],[QTD.PENDENTE]]:tabConsumo[[#This Row],[09_23]] )</f>
        <v>118</v>
      </c>
      <c r="AA69" s="223">
        <f>LARGE(tabConsumo[[#This Row],[10_22]:[09_23]],1)</f>
        <v>36</v>
      </c>
      <c r="AB69" s="146" t="s">
        <v>2238</v>
      </c>
      <c r="AC69" s="3" t="s">
        <v>2086</v>
      </c>
    </row>
    <row r="70" spans="1:29" x14ac:dyDescent="0.3">
      <c r="A70" s="4" t="s">
        <v>1160</v>
      </c>
      <c r="B70" s="3" t="s">
        <v>263</v>
      </c>
      <c r="C70" s="2">
        <v>20104</v>
      </c>
      <c r="D70" s="2">
        <v>284</v>
      </c>
      <c r="F70" s="2">
        <v>15</v>
      </c>
      <c r="G70" s="2">
        <v>18</v>
      </c>
      <c r="H70" s="2">
        <v>1</v>
      </c>
      <c r="I70" s="2">
        <v>27</v>
      </c>
      <c r="J70" s="2">
        <v>0</v>
      </c>
      <c r="K70" s="2">
        <v>51</v>
      </c>
      <c r="L70" s="2">
        <v>20</v>
      </c>
      <c r="M70" s="2">
        <v>0</v>
      </c>
      <c r="N70" s="2">
        <v>0</v>
      </c>
      <c r="O70" s="2">
        <v>0</v>
      </c>
      <c r="P70" s="2">
        <v>0</v>
      </c>
      <c r="Q70" s="2">
        <v>100</v>
      </c>
      <c r="R70" s="238">
        <v>367</v>
      </c>
      <c r="S70" s="219">
        <f t="shared" si="2"/>
        <v>12</v>
      </c>
      <c r="T70" s="220">
        <f>SUM( tabConsumo[[#This Row],[QTD.PENDENTE]]:tabConsumo[[#This Row],[09_23]] ) / tabConsumo[[#This Row],[Div]]</f>
        <v>19.333333333333332</v>
      </c>
      <c r="U70" s="221">
        <f xml:space="preserve"> tabConsumo[[#This Row],[Média.A]] + (_xlfn.STDEV.S( tabConsumo[[#This Row],[QTD.PENDENTE]]:tabConsumo[[#This Row],[09_23]] ) * 1)</f>
        <v>49.173310585741589</v>
      </c>
      <c r="V70" s="221">
        <f xml:space="preserve"> tabConsumo[[#This Row],[Média.A]] + (_xlfn.STDEV.S( tabConsumo[[#This Row],[QTD.PENDENTE]]:tabConsumo[[#This Row],[09_23]] ) * 2)</f>
        <v>79.01328783814985</v>
      </c>
      <c r="W70" s="221">
        <f xml:space="preserve"> tabConsumo[[#This Row],[Média.A]] + (_xlfn.STDEV.S( tabConsumo[[#This Row],[QTD.PENDENTE]]:tabConsumo[[#This Row],[09_23]] ) * 3)</f>
        <v>108.85326509055811</v>
      </c>
      <c r="X70" s="5">
        <f t="shared" si="3"/>
        <v>2</v>
      </c>
      <c r="Y70">
        <v>17.583333333333332</v>
      </c>
      <c r="Z70" s="223">
        <f>SUM( tabConsumo[[#This Row],[QTD.PENDENTE]]:tabConsumo[[#This Row],[09_23]] )</f>
        <v>232</v>
      </c>
      <c r="AA70" s="223">
        <f>LARGE(tabConsumo[[#This Row],[10_22]:[09_23]],1)</f>
        <v>100</v>
      </c>
      <c r="AB70" s="146" t="s">
        <v>2238</v>
      </c>
      <c r="AC70" s="3" t="s">
        <v>2086</v>
      </c>
    </row>
    <row r="71" spans="1:29" x14ac:dyDescent="0.3">
      <c r="A71" s="4" t="s">
        <v>1161</v>
      </c>
      <c r="B71" s="3" t="s">
        <v>263</v>
      </c>
      <c r="C71" s="2">
        <v>20106</v>
      </c>
      <c r="D71" s="2">
        <v>518</v>
      </c>
      <c r="E71" s="2">
        <v>10</v>
      </c>
      <c r="F71" s="2">
        <v>42</v>
      </c>
      <c r="G71" s="2">
        <v>32</v>
      </c>
      <c r="H71" s="2">
        <v>17</v>
      </c>
      <c r="I71" s="2">
        <v>56</v>
      </c>
      <c r="J71" s="2">
        <v>47</v>
      </c>
      <c r="K71" s="2">
        <v>88</v>
      </c>
      <c r="L71" s="2">
        <v>52</v>
      </c>
      <c r="M71" s="2">
        <v>6</v>
      </c>
      <c r="N71" s="2">
        <v>0</v>
      </c>
      <c r="O71" s="2">
        <v>0</v>
      </c>
      <c r="P71" s="2">
        <v>0</v>
      </c>
      <c r="Q71" s="2">
        <v>50</v>
      </c>
      <c r="R71" s="238">
        <v>367</v>
      </c>
      <c r="S71" s="219">
        <f t="shared" si="2"/>
        <v>12</v>
      </c>
      <c r="T71" s="220">
        <f>SUM( tabConsumo[[#This Row],[QTD.PENDENTE]]:tabConsumo[[#This Row],[09_23]] ) / tabConsumo[[#This Row],[Div]]</f>
        <v>33.333333333333336</v>
      </c>
      <c r="U71" s="221">
        <f xml:space="preserve"> tabConsumo[[#This Row],[Média.A]] + (_xlfn.STDEV.S( tabConsumo[[#This Row],[QTD.PENDENTE]]:tabConsumo[[#This Row],[09_23]] ) * 1)</f>
        <v>61.019532802123578</v>
      </c>
      <c r="V71" s="221">
        <f xml:space="preserve"> tabConsumo[[#This Row],[Média.A]] + (_xlfn.STDEV.S( tabConsumo[[#This Row],[QTD.PENDENTE]]:tabConsumo[[#This Row],[09_23]] ) * 2)</f>
        <v>88.705732270913813</v>
      </c>
      <c r="W71" s="221">
        <f xml:space="preserve"> tabConsumo[[#This Row],[Média.A]] + (_xlfn.STDEV.S( tabConsumo[[#This Row],[QTD.PENDENTE]]:tabConsumo[[#This Row],[09_23]] ) * 3)</f>
        <v>116.39193173970406</v>
      </c>
      <c r="X71" s="5">
        <f t="shared" si="3"/>
        <v>2</v>
      </c>
      <c r="Y71">
        <v>33.333333333333336</v>
      </c>
      <c r="Z71" s="223">
        <f>SUM( tabConsumo[[#This Row],[QTD.PENDENTE]]:tabConsumo[[#This Row],[09_23]] )</f>
        <v>400</v>
      </c>
      <c r="AA71" s="223">
        <f>LARGE(tabConsumo[[#This Row],[10_22]:[09_23]],1)</f>
        <v>88</v>
      </c>
      <c r="AB71" s="146" t="s">
        <v>2238</v>
      </c>
      <c r="AC71" s="3" t="s">
        <v>2086</v>
      </c>
    </row>
    <row r="72" spans="1:29" x14ac:dyDescent="0.3">
      <c r="A72" s="4" t="s">
        <v>1151</v>
      </c>
      <c r="B72" s="3" t="s">
        <v>263</v>
      </c>
      <c r="C72" s="2">
        <v>19871</v>
      </c>
      <c r="D72" s="2">
        <v>95</v>
      </c>
      <c r="F72" s="2">
        <v>0</v>
      </c>
      <c r="G72" s="2">
        <v>6</v>
      </c>
      <c r="H72" s="2">
        <v>1</v>
      </c>
      <c r="I72" s="2">
        <v>7</v>
      </c>
      <c r="J72" s="2">
        <v>0</v>
      </c>
      <c r="K72" s="2">
        <v>2</v>
      </c>
      <c r="L72" s="2">
        <v>22</v>
      </c>
      <c r="M72" s="2">
        <v>0</v>
      </c>
      <c r="N72" s="2">
        <v>0</v>
      </c>
      <c r="O72" s="2">
        <v>0</v>
      </c>
      <c r="P72" s="2">
        <v>0</v>
      </c>
      <c r="Q72" s="2">
        <v>0</v>
      </c>
      <c r="R72" s="238">
        <v>367</v>
      </c>
      <c r="S72" s="219">
        <f t="shared" si="2"/>
        <v>12</v>
      </c>
      <c r="T72" s="220">
        <f>SUM( tabConsumo[[#This Row],[QTD.PENDENTE]]:tabConsumo[[#This Row],[09_23]] ) / tabConsumo[[#This Row],[Div]]</f>
        <v>3.1666666666666665</v>
      </c>
      <c r="U72" s="221">
        <f xml:space="preserve"> tabConsumo[[#This Row],[Média.A]] + (_xlfn.STDEV.S( tabConsumo[[#This Row],[QTD.PENDENTE]]:tabConsumo[[#This Row],[09_23]] ) * 1)</f>
        <v>9.5886931569907485</v>
      </c>
      <c r="V72" s="221">
        <f xml:space="preserve"> tabConsumo[[#This Row],[Média.A]] + (_xlfn.STDEV.S( tabConsumo[[#This Row],[QTD.PENDENTE]]:tabConsumo[[#This Row],[09_23]] ) * 2)</f>
        <v>16.010719647314829</v>
      </c>
      <c r="W72" s="221">
        <f xml:space="preserve"> tabConsumo[[#This Row],[Média.A]] + (_xlfn.STDEV.S( tabConsumo[[#This Row],[QTD.PENDENTE]]:tabConsumo[[#This Row],[09_23]] ) * 3)</f>
        <v>22.432746137638912</v>
      </c>
      <c r="X72" s="5">
        <f t="shared" si="3"/>
        <v>2</v>
      </c>
      <c r="Y72">
        <v>2.6666666666666665</v>
      </c>
      <c r="Z72" s="223">
        <f>SUM( tabConsumo[[#This Row],[QTD.PENDENTE]]:tabConsumo[[#This Row],[09_23]] )</f>
        <v>38</v>
      </c>
      <c r="AA72" s="223">
        <f>LARGE(tabConsumo[[#This Row],[10_22]:[09_23]],1)</f>
        <v>22</v>
      </c>
      <c r="AB72" s="146" t="s">
        <v>2240</v>
      </c>
      <c r="AC72" s="3" t="s">
        <v>2086</v>
      </c>
    </row>
    <row r="73" spans="1:29" x14ac:dyDescent="0.3">
      <c r="A73" s="4" t="s">
        <v>1153</v>
      </c>
      <c r="B73" s="3" t="s">
        <v>263</v>
      </c>
      <c r="C73" s="2">
        <v>19882</v>
      </c>
      <c r="D73" s="2">
        <v>224</v>
      </c>
      <c r="F73" s="2">
        <v>4</v>
      </c>
      <c r="G73" s="2">
        <v>4</v>
      </c>
      <c r="H73" s="2">
        <v>2</v>
      </c>
      <c r="I73" s="2">
        <v>2</v>
      </c>
      <c r="J73" s="2">
        <v>2</v>
      </c>
      <c r="K73" s="2">
        <v>0</v>
      </c>
      <c r="L73" s="2">
        <v>20</v>
      </c>
      <c r="M73" s="2">
        <v>0</v>
      </c>
      <c r="N73" s="2">
        <v>0</v>
      </c>
      <c r="O73" s="2">
        <v>0</v>
      </c>
      <c r="P73" s="2">
        <v>0</v>
      </c>
      <c r="Q73" s="2">
        <v>0</v>
      </c>
      <c r="R73" s="238">
        <v>367</v>
      </c>
      <c r="S73" s="219">
        <f t="shared" si="2"/>
        <v>12</v>
      </c>
      <c r="T73" s="220">
        <f>SUM( tabConsumo[[#This Row],[QTD.PENDENTE]]:tabConsumo[[#This Row],[09_23]] ) / tabConsumo[[#This Row],[Div]]</f>
        <v>2.8333333333333335</v>
      </c>
      <c r="U73" s="221">
        <f xml:space="preserve"> tabConsumo[[#This Row],[Média.A]] + (_xlfn.STDEV.S( tabConsumo[[#This Row],[QTD.PENDENTE]]:tabConsumo[[#This Row],[09_23]] ) * 1)</f>
        <v>8.4552601032282073</v>
      </c>
      <c r="V73" s="221">
        <f xml:space="preserve"> tabConsumo[[#This Row],[Média.A]] + (_xlfn.STDEV.S( tabConsumo[[#This Row],[QTD.PENDENTE]]:tabConsumo[[#This Row],[09_23]] ) * 2)</f>
        <v>14.077186873123081</v>
      </c>
      <c r="W73" s="221">
        <f xml:space="preserve"> tabConsumo[[#This Row],[Média.A]] + (_xlfn.STDEV.S( tabConsumo[[#This Row],[QTD.PENDENTE]]:tabConsumo[[#This Row],[09_23]] ) * 3)</f>
        <v>19.699113643017952</v>
      </c>
      <c r="X73" s="5">
        <f t="shared" si="3"/>
        <v>2</v>
      </c>
      <c r="Y73">
        <v>2.3333333333333335</v>
      </c>
      <c r="Z73" s="223">
        <f>SUM( tabConsumo[[#This Row],[QTD.PENDENTE]]:tabConsumo[[#This Row],[09_23]] )</f>
        <v>34</v>
      </c>
      <c r="AA73" s="223">
        <f>LARGE(tabConsumo[[#This Row],[10_22]:[09_23]],1)</f>
        <v>20</v>
      </c>
      <c r="AB73" s="146" t="s">
        <v>2240</v>
      </c>
      <c r="AC73" s="3" t="s">
        <v>2086</v>
      </c>
    </row>
    <row r="74" spans="1:29" x14ac:dyDescent="0.3">
      <c r="A74" s="4" t="s">
        <v>1154</v>
      </c>
      <c r="B74" s="3" t="s">
        <v>263</v>
      </c>
      <c r="C74" s="2">
        <v>19883</v>
      </c>
      <c r="D74" s="2">
        <v>547</v>
      </c>
      <c r="F74" s="2">
        <v>2</v>
      </c>
      <c r="G74" s="2">
        <v>4</v>
      </c>
      <c r="H74" s="2">
        <v>2</v>
      </c>
      <c r="I74" s="2">
        <v>6</v>
      </c>
      <c r="J74" s="2">
        <v>0</v>
      </c>
      <c r="K74" s="2">
        <v>2</v>
      </c>
      <c r="L74" s="2">
        <v>22</v>
      </c>
      <c r="M74" s="2">
        <v>0</v>
      </c>
      <c r="N74" s="2">
        <v>0</v>
      </c>
      <c r="O74" s="2">
        <v>0</v>
      </c>
      <c r="P74" s="2">
        <v>0</v>
      </c>
      <c r="Q74" s="2">
        <v>0</v>
      </c>
      <c r="R74" s="238">
        <v>367</v>
      </c>
      <c r="S74" s="219">
        <f t="shared" si="2"/>
        <v>12</v>
      </c>
      <c r="T74" s="220">
        <f>SUM( tabConsumo[[#This Row],[QTD.PENDENTE]]:tabConsumo[[#This Row],[09_23]] ) / tabConsumo[[#This Row],[Div]]</f>
        <v>3.1666666666666665</v>
      </c>
      <c r="U74" s="221">
        <f xml:space="preserve"> tabConsumo[[#This Row],[Média.A]] + (_xlfn.STDEV.S( tabConsumo[[#This Row],[QTD.PENDENTE]]:tabConsumo[[#This Row],[09_23]] ) * 1)</f>
        <v>9.4019523761420452</v>
      </c>
      <c r="V74" s="221">
        <f xml:space="preserve"> tabConsumo[[#This Row],[Média.A]] + (_xlfn.STDEV.S( tabConsumo[[#This Row],[QTD.PENDENTE]]:tabConsumo[[#This Row],[09_23]] ) * 2)</f>
        <v>15.637238085617424</v>
      </c>
      <c r="W74" s="221">
        <f xml:space="preserve"> tabConsumo[[#This Row],[Média.A]] + (_xlfn.STDEV.S( tabConsumo[[#This Row],[QTD.PENDENTE]]:tabConsumo[[#This Row],[09_23]] ) * 3)</f>
        <v>21.872523795092807</v>
      </c>
      <c r="X74" s="5">
        <f t="shared" si="3"/>
        <v>2</v>
      </c>
      <c r="Y74">
        <v>2.5833333333333335</v>
      </c>
      <c r="Z74" s="223">
        <f>SUM( tabConsumo[[#This Row],[QTD.PENDENTE]]:tabConsumo[[#This Row],[09_23]] )</f>
        <v>38</v>
      </c>
      <c r="AA74" s="223">
        <f>LARGE(tabConsumo[[#This Row],[10_22]:[09_23]],1)</f>
        <v>22</v>
      </c>
      <c r="AB74" s="146" t="s">
        <v>2240</v>
      </c>
      <c r="AC74" s="3" t="s">
        <v>2086</v>
      </c>
    </row>
    <row r="75" spans="1:29" x14ac:dyDescent="0.3">
      <c r="A75" s="4" t="s">
        <v>288</v>
      </c>
      <c r="B75" s="3" t="s">
        <v>263</v>
      </c>
      <c r="C75" s="2">
        <v>12812</v>
      </c>
      <c r="D75" s="2">
        <v>63</v>
      </c>
      <c r="F75" s="2">
        <v>2</v>
      </c>
      <c r="G75" s="2">
        <v>3</v>
      </c>
      <c r="H75" s="2">
        <v>4</v>
      </c>
      <c r="I75" s="2">
        <v>1</v>
      </c>
      <c r="J75" s="2">
        <v>0</v>
      </c>
      <c r="K75" s="2">
        <v>2</v>
      </c>
      <c r="L75" s="2">
        <v>2</v>
      </c>
      <c r="M75" s="2">
        <v>0</v>
      </c>
      <c r="N75" s="2">
        <v>0</v>
      </c>
      <c r="O75" s="2">
        <v>0</v>
      </c>
      <c r="P75" s="2">
        <v>0</v>
      </c>
      <c r="Q75" s="2">
        <v>0</v>
      </c>
      <c r="R75" s="238">
        <v>367</v>
      </c>
      <c r="S75" s="219">
        <f t="shared" si="2"/>
        <v>12</v>
      </c>
      <c r="T75" s="220">
        <f>SUM( tabConsumo[[#This Row],[QTD.PENDENTE]]:tabConsumo[[#This Row],[09_23]] ) / tabConsumo[[#This Row],[Div]]</f>
        <v>1.1666666666666667</v>
      </c>
      <c r="U75" s="221">
        <f xml:space="preserve"> tabConsumo[[#This Row],[Média.A]] + (_xlfn.STDEV.S( tabConsumo[[#This Row],[QTD.PENDENTE]]:tabConsumo[[#This Row],[09_23]] ) * 1)</f>
        <v>2.570125597201141</v>
      </c>
      <c r="V75" s="221">
        <f xml:space="preserve"> tabConsumo[[#This Row],[Média.A]] + (_xlfn.STDEV.S( tabConsumo[[#This Row],[QTD.PENDENTE]]:tabConsumo[[#This Row],[09_23]] ) * 2)</f>
        <v>3.973584527735615</v>
      </c>
      <c r="W75" s="221">
        <f xml:space="preserve"> tabConsumo[[#This Row],[Média.A]] + (_xlfn.STDEV.S( tabConsumo[[#This Row],[QTD.PENDENTE]]:tabConsumo[[#This Row],[09_23]] ) * 3)</f>
        <v>5.377043458270089</v>
      </c>
      <c r="X75" s="5">
        <f t="shared" si="3"/>
        <v>2</v>
      </c>
      <c r="Y75">
        <v>1.0833333333333333</v>
      </c>
      <c r="Z75" s="223">
        <f>SUM( tabConsumo[[#This Row],[QTD.PENDENTE]]:tabConsumo[[#This Row],[09_23]] )</f>
        <v>14</v>
      </c>
      <c r="AA75" s="223">
        <f>LARGE(tabConsumo[[#This Row],[10_22]:[09_23]],1)</f>
        <v>4</v>
      </c>
      <c r="AB75" s="146" t="s">
        <v>2240</v>
      </c>
      <c r="AC75" s="3" t="s">
        <v>2086</v>
      </c>
    </row>
    <row r="76" spans="1:29" x14ac:dyDescent="0.3">
      <c r="A76" s="4" t="s">
        <v>1017</v>
      </c>
      <c r="B76" s="3" t="s">
        <v>263</v>
      </c>
      <c r="C76" s="2">
        <v>13178</v>
      </c>
      <c r="D76" s="2">
        <v>1950</v>
      </c>
      <c r="E76" s="2">
        <v>647</v>
      </c>
      <c r="F76" s="2">
        <v>1310</v>
      </c>
      <c r="G76" s="2">
        <v>600</v>
      </c>
      <c r="H76" s="2">
        <v>1450</v>
      </c>
      <c r="I76" s="2">
        <v>1500</v>
      </c>
      <c r="J76" s="2">
        <v>500</v>
      </c>
      <c r="K76" s="2">
        <v>1000</v>
      </c>
      <c r="L76" s="2">
        <v>2620</v>
      </c>
      <c r="M76" s="2">
        <v>6900</v>
      </c>
      <c r="N76" s="2">
        <v>1353</v>
      </c>
      <c r="O76" s="2">
        <v>0</v>
      </c>
      <c r="P76" s="2">
        <v>0</v>
      </c>
      <c r="Q76" s="2">
        <v>0</v>
      </c>
      <c r="R76" s="238">
        <v>367</v>
      </c>
      <c r="S76" s="219">
        <f t="shared" si="2"/>
        <v>12</v>
      </c>
      <c r="T76" s="220">
        <f>SUM( tabConsumo[[#This Row],[QTD.PENDENTE]]:tabConsumo[[#This Row],[09_23]] ) / tabConsumo[[#This Row],[Div]]</f>
        <v>1490</v>
      </c>
      <c r="U76" s="221">
        <f xml:space="preserve"> tabConsumo[[#This Row],[Média.A]] + (_xlfn.STDEV.S( tabConsumo[[#This Row],[QTD.PENDENTE]]:tabConsumo[[#This Row],[09_23]] ) * 1)</f>
        <v>3311.4083625252524</v>
      </c>
      <c r="V76" s="221">
        <f xml:space="preserve"> tabConsumo[[#This Row],[Média.A]] + (_xlfn.STDEV.S( tabConsumo[[#This Row],[QTD.PENDENTE]]:tabConsumo[[#This Row],[09_23]] ) * 2)</f>
        <v>5132.8167250505048</v>
      </c>
      <c r="W76" s="221">
        <f xml:space="preserve"> tabConsumo[[#This Row],[Média.A]] + (_xlfn.STDEV.S( tabConsumo[[#This Row],[QTD.PENDENTE]]:tabConsumo[[#This Row],[09_23]] ) * 3)</f>
        <v>6954.2250875757582</v>
      </c>
      <c r="X76" s="5">
        <f t="shared" si="3"/>
        <v>2</v>
      </c>
      <c r="Y76">
        <v>1342.6666666666667</v>
      </c>
      <c r="Z76" s="223">
        <f>SUM( tabConsumo[[#This Row],[QTD.PENDENTE]]:tabConsumo[[#This Row],[09_23]] )</f>
        <v>17880</v>
      </c>
      <c r="AA76" s="223">
        <f>LARGE(tabConsumo[[#This Row],[10_22]:[09_23]],1)</f>
        <v>6900</v>
      </c>
      <c r="AB76" s="146" t="s">
        <v>2246</v>
      </c>
      <c r="AC76" s="3" t="s">
        <v>2086</v>
      </c>
    </row>
    <row r="77" spans="1:29" x14ac:dyDescent="0.3">
      <c r="A77" s="4" t="s">
        <v>1237</v>
      </c>
      <c r="B77" s="3" t="s">
        <v>263</v>
      </c>
      <c r="C77" s="2">
        <v>29293</v>
      </c>
      <c r="D77" s="2">
        <v>5000</v>
      </c>
      <c r="E77" s="2">
        <v>2055</v>
      </c>
      <c r="F77" s="2">
        <v>170</v>
      </c>
      <c r="G77" s="2">
        <v>500</v>
      </c>
      <c r="H77" s="2">
        <v>250</v>
      </c>
      <c r="I77" s="2">
        <v>750</v>
      </c>
      <c r="J77" s="2">
        <v>0</v>
      </c>
      <c r="K77" s="2">
        <v>1495</v>
      </c>
      <c r="L77" s="2">
        <v>0</v>
      </c>
      <c r="M77" s="2">
        <v>0</v>
      </c>
      <c r="N77" s="2">
        <v>0</v>
      </c>
      <c r="O77" s="2">
        <v>0</v>
      </c>
      <c r="P77" s="2">
        <v>0</v>
      </c>
      <c r="Q77" s="2">
        <v>0</v>
      </c>
      <c r="R77" s="238">
        <v>367</v>
      </c>
      <c r="S77" s="219">
        <f t="shared" si="2"/>
        <v>12</v>
      </c>
      <c r="T77" s="220">
        <f>SUM( tabConsumo[[#This Row],[QTD.PENDENTE]]:tabConsumo[[#This Row],[09_23]] ) / tabConsumo[[#This Row],[Div]]</f>
        <v>435</v>
      </c>
      <c r="U77" s="221">
        <f xml:space="preserve"> tabConsumo[[#This Row],[Média.A]] + (_xlfn.STDEV.S( tabConsumo[[#This Row],[QTD.PENDENTE]]:tabConsumo[[#This Row],[09_23]] ) * 1)</f>
        <v>1097.4398860003091</v>
      </c>
      <c r="V77" s="221">
        <f xml:space="preserve"> tabConsumo[[#This Row],[Média.A]] + (_xlfn.STDEV.S( tabConsumo[[#This Row],[QTD.PENDENTE]]:tabConsumo[[#This Row],[09_23]] ) * 2)</f>
        <v>1759.8797720006182</v>
      </c>
      <c r="W77" s="221">
        <f xml:space="preserve"> tabConsumo[[#This Row],[Média.A]] + (_xlfn.STDEV.S( tabConsumo[[#This Row],[QTD.PENDENTE]]:tabConsumo[[#This Row],[09_23]] ) * 3)</f>
        <v>2422.3196580009271</v>
      </c>
      <c r="X77" s="5">
        <f t="shared" si="3"/>
        <v>2</v>
      </c>
      <c r="Y77">
        <v>435</v>
      </c>
      <c r="Z77" s="223">
        <f>SUM( tabConsumo[[#This Row],[QTD.PENDENTE]]:tabConsumo[[#This Row],[09_23]] )</f>
        <v>5220</v>
      </c>
      <c r="AA77" s="223">
        <f>LARGE(tabConsumo[[#This Row],[10_22]:[09_23]],1)</f>
        <v>1495</v>
      </c>
      <c r="AB77" s="146" t="s">
        <v>2245</v>
      </c>
      <c r="AC77" s="3" t="s">
        <v>2086</v>
      </c>
    </row>
    <row r="78" spans="1:29" x14ac:dyDescent="0.3">
      <c r="A78" s="4" t="s">
        <v>1019</v>
      </c>
      <c r="B78" s="3" t="s">
        <v>263</v>
      </c>
      <c r="C78" s="2">
        <v>13179</v>
      </c>
      <c r="D78" s="2">
        <v>9557</v>
      </c>
      <c r="F78" s="2">
        <v>2465</v>
      </c>
      <c r="G78" s="2">
        <v>2311</v>
      </c>
      <c r="H78" s="2">
        <v>1450</v>
      </c>
      <c r="I78" s="2">
        <v>3020</v>
      </c>
      <c r="J78" s="2">
        <v>1090</v>
      </c>
      <c r="K78" s="2">
        <v>3100</v>
      </c>
      <c r="L78" s="2">
        <v>3800</v>
      </c>
      <c r="M78" s="2">
        <v>2000</v>
      </c>
      <c r="N78" s="2">
        <v>1000</v>
      </c>
      <c r="O78" s="2">
        <v>50</v>
      </c>
      <c r="P78" s="2">
        <v>1000</v>
      </c>
      <c r="Q78" s="2">
        <v>1000</v>
      </c>
      <c r="R78" s="238">
        <v>367</v>
      </c>
      <c r="S78" s="219">
        <f t="shared" si="2"/>
        <v>12</v>
      </c>
      <c r="T78" s="220">
        <f>SUM( tabConsumo[[#This Row],[QTD.PENDENTE]]:tabConsumo[[#This Row],[09_23]] ) / tabConsumo[[#This Row],[Div]]</f>
        <v>1857.1666666666667</v>
      </c>
      <c r="U78" s="221">
        <f xml:space="preserve"> tabConsumo[[#This Row],[Média.A]] + (_xlfn.STDEV.S( tabConsumo[[#This Row],[QTD.PENDENTE]]:tabConsumo[[#This Row],[09_23]] ) * 1)</f>
        <v>2964.6465932923311</v>
      </c>
      <c r="V78" s="221">
        <f xml:space="preserve"> tabConsumo[[#This Row],[Média.A]] + (_xlfn.STDEV.S( tabConsumo[[#This Row],[QTD.PENDENTE]]:tabConsumo[[#This Row],[09_23]] ) * 2)</f>
        <v>4072.1265199179961</v>
      </c>
      <c r="W78" s="221">
        <f xml:space="preserve"> tabConsumo[[#This Row],[Média.A]] + (_xlfn.STDEV.S( tabConsumo[[#This Row],[QTD.PENDENTE]]:tabConsumo[[#This Row],[09_23]] ) * 3)</f>
        <v>5179.6064465436602</v>
      </c>
      <c r="X78" s="5">
        <f t="shared" si="3"/>
        <v>2</v>
      </c>
      <c r="Y78">
        <v>1857.1666666666667</v>
      </c>
      <c r="Z78" s="223">
        <f>SUM( tabConsumo[[#This Row],[QTD.PENDENTE]]:tabConsumo[[#This Row],[09_23]] )</f>
        <v>22286</v>
      </c>
      <c r="AA78" s="223">
        <f>LARGE(tabConsumo[[#This Row],[10_22]:[09_23]],1)</f>
        <v>3800</v>
      </c>
      <c r="AB78" s="146" t="s">
        <v>2238</v>
      </c>
      <c r="AC78" s="3" t="s">
        <v>2086</v>
      </c>
    </row>
    <row r="79" spans="1:29" x14ac:dyDescent="0.3">
      <c r="A79" s="4" t="s">
        <v>1901</v>
      </c>
      <c r="B79" s="3" t="s">
        <v>263</v>
      </c>
      <c r="C79" s="2">
        <v>134568</v>
      </c>
      <c r="D79" s="2">
        <v>6706</v>
      </c>
      <c r="F79" s="2">
        <v>0</v>
      </c>
      <c r="G79" s="2">
        <v>200</v>
      </c>
      <c r="H79" s="2">
        <v>0</v>
      </c>
      <c r="I79" s="2">
        <v>100</v>
      </c>
      <c r="J79" s="2">
        <v>200</v>
      </c>
      <c r="K79" s="2">
        <v>2160</v>
      </c>
      <c r="L79" s="2">
        <v>1400</v>
      </c>
      <c r="M79" s="2">
        <v>1000</v>
      </c>
      <c r="N79" s="2">
        <v>1000</v>
      </c>
      <c r="O79" s="2">
        <v>0</v>
      </c>
      <c r="P79" s="2">
        <v>500</v>
      </c>
      <c r="Q79" s="2">
        <v>0</v>
      </c>
      <c r="R79" s="238">
        <v>43174</v>
      </c>
      <c r="S79" s="219">
        <v>12</v>
      </c>
      <c r="T79" s="220">
        <f>SUM( tabConsumo[[#This Row],[QTD.PENDENTE]]:tabConsumo[[#This Row],[09_23]] ) / tabConsumo[[#This Row],[Div]]</f>
        <v>546.66666666666663</v>
      </c>
      <c r="U79" s="221">
        <f xml:space="preserve"> tabConsumo[[#This Row],[Média.A]] + (_xlfn.STDEV.S( tabConsumo[[#This Row],[QTD.PENDENTE]]:tabConsumo[[#This Row],[09_23]] ) * 1)</f>
        <v>1245.9823494898278</v>
      </c>
      <c r="V79" s="221">
        <f xml:space="preserve"> tabConsumo[[#This Row],[Média.A]] + (_xlfn.STDEV.S( tabConsumo[[#This Row],[QTD.PENDENTE]]:tabConsumo[[#This Row],[09_23]] ) * 2)</f>
        <v>1945.2980323129891</v>
      </c>
      <c r="W79" s="221">
        <f xml:space="preserve"> tabConsumo[[#This Row],[Média.A]] + (_xlfn.STDEV.S( tabConsumo[[#This Row],[QTD.PENDENTE]]:tabConsumo[[#This Row],[09_23]] ) * 3)</f>
        <v>2644.6137151361499</v>
      </c>
      <c r="X79" s="5">
        <f t="shared" si="3"/>
        <v>2</v>
      </c>
      <c r="Y79">
        <v>528.75</v>
      </c>
      <c r="Z79" s="223">
        <f>SUM( tabConsumo[[#This Row],[QTD.PENDENTE]]:tabConsumo[[#This Row],[09_23]] )</f>
        <v>6560</v>
      </c>
      <c r="AA79" s="223">
        <f>LARGE(tabConsumo[[#This Row],[10_22]:[09_23]],1)</f>
        <v>2160</v>
      </c>
      <c r="AB79" s="146" t="s">
        <v>2241</v>
      </c>
      <c r="AC79" s="3" t="s">
        <v>2086</v>
      </c>
    </row>
    <row r="80" spans="1:29" x14ac:dyDescent="0.3">
      <c r="A80" s="4" t="s">
        <v>1900</v>
      </c>
      <c r="B80" s="3" t="s">
        <v>263</v>
      </c>
      <c r="C80" s="2">
        <v>134567</v>
      </c>
      <c r="D80" s="2">
        <v>14107</v>
      </c>
      <c r="F80" s="2">
        <v>600</v>
      </c>
      <c r="G80" s="2">
        <v>50</v>
      </c>
      <c r="H80" s="2">
        <v>0</v>
      </c>
      <c r="I80" s="2">
        <v>1000</v>
      </c>
      <c r="J80" s="2">
        <v>300</v>
      </c>
      <c r="K80" s="2">
        <v>2200</v>
      </c>
      <c r="L80" s="2">
        <v>700</v>
      </c>
      <c r="M80" s="2">
        <v>1000</v>
      </c>
      <c r="N80" s="2">
        <v>0</v>
      </c>
      <c r="O80" s="2">
        <v>0</v>
      </c>
      <c r="P80" s="2">
        <v>0</v>
      </c>
      <c r="Q80" s="2">
        <v>0</v>
      </c>
      <c r="R80" s="238">
        <v>43174</v>
      </c>
      <c r="S80" s="219">
        <v>12</v>
      </c>
      <c r="T80" s="220">
        <f>SUM( tabConsumo[[#This Row],[QTD.PENDENTE]]:tabConsumo[[#This Row],[09_23]] ) / tabConsumo[[#This Row],[Div]]</f>
        <v>487.5</v>
      </c>
      <c r="U80" s="221">
        <f xml:space="preserve"> tabConsumo[[#This Row],[Média.A]] + (_xlfn.STDEV.S( tabConsumo[[#This Row],[QTD.PENDENTE]]:tabConsumo[[#This Row],[09_23]] ) * 1)</f>
        <v>1157.0062631250257</v>
      </c>
      <c r="V80" s="221">
        <f xml:space="preserve"> tabConsumo[[#This Row],[Média.A]] + (_xlfn.STDEV.S( tabConsumo[[#This Row],[QTD.PENDENTE]]:tabConsumo[[#This Row],[09_23]] ) * 2)</f>
        <v>1826.5125262500517</v>
      </c>
      <c r="W80" s="221">
        <f xml:space="preserve"> tabConsumo[[#This Row],[Média.A]] + (_xlfn.STDEV.S( tabConsumo[[#This Row],[QTD.PENDENTE]]:tabConsumo[[#This Row],[09_23]] ) * 3)</f>
        <v>2496.0187893750776</v>
      </c>
      <c r="X80" s="5">
        <f t="shared" si="3"/>
        <v>2</v>
      </c>
      <c r="Y80">
        <v>456.33333333333331</v>
      </c>
      <c r="Z80" s="223">
        <f>SUM( tabConsumo[[#This Row],[QTD.PENDENTE]]:tabConsumo[[#This Row],[09_23]] )</f>
        <v>5850</v>
      </c>
      <c r="AA80" s="223">
        <f>LARGE(tabConsumo[[#This Row],[10_22]:[09_23]],1)</f>
        <v>2200</v>
      </c>
      <c r="AB80" s="146" t="s">
        <v>2244</v>
      </c>
      <c r="AC80" s="3" t="s">
        <v>2086</v>
      </c>
    </row>
    <row r="81" spans="1:29" x14ac:dyDescent="0.3">
      <c r="A81" s="4" t="s">
        <v>1487</v>
      </c>
      <c r="B81" s="3" t="s">
        <v>263</v>
      </c>
      <c r="C81" s="2">
        <v>82452</v>
      </c>
      <c r="D81" s="2">
        <v>10</v>
      </c>
      <c r="E81" s="2">
        <v>48</v>
      </c>
      <c r="F81" s="2">
        <v>10</v>
      </c>
      <c r="G81" s="2">
        <v>0</v>
      </c>
      <c r="H81" s="2">
        <v>0</v>
      </c>
      <c r="I81" s="2">
        <v>10</v>
      </c>
      <c r="J81" s="2">
        <v>24</v>
      </c>
      <c r="K81" s="2">
        <v>50</v>
      </c>
      <c r="L81" s="2">
        <v>20</v>
      </c>
      <c r="M81" s="2">
        <v>0</v>
      </c>
      <c r="N81" s="2">
        <v>0</v>
      </c>
      <c r="O81" s="2">
        <v>0</v>
      </c>
      <c r="P81" s="2">
        <v>2</v>
      </c>
      <c r="Q81" s="2">
        <v>0</v>
      </c>
      <c r="R81" s="238">
        <v>38296</v>
      </c>
      <c r="S81" s="219">
        <v>12</v>
      </c>
      <c r="T81" s="220">
        <f>SUM( tabConsumo[[#This Row],[QTD.PENDENTE]]:tabConsumo[[#This Row],[09_23]] ) / tabConsumo[[#This Row],[Div]]</f>
        <v>13.666666666666666</v>
      </c>
      <c r="U81" s="221">
        <f xml:space="preserve"> tabConsumo[[#This Row],[Média.A]] + (_xlfn.STDEV.S( tabConsumo[[#This Row],[QTD.PENDENTE]]:tabConsumo[[#This Row],[09_23]] ) * 1)</f>
        <v>31.729235981590008</v>
      </c>
      <c r="V81" s="221">
        <f xml:space="preserve"> tabConsumo[[#This Row],[Média.A]] + (_xlfn.STDEV.S( tabConsumo[[#This Row],[QTD.PENDENTE]]:tabConsumo[[#This Row],[09_23]] ) * 2)</f>
        <v>49.791805296513346</v>
      </c>
      <c r="W81" s="221">
        <f xml:space="preserve"> tabConsumo[[#This Row],[Média.A]] + (_xlfn.STDEV.S( tabConsumo[[#This Row],[QTD.PENDENTE]]:tabConsumo[[#This Row],[09_23]] ) * 3)</f>
        <v>67.854374611436697</v>
      </c>
      <c r="X81" s="5">
        <f t="shared" si="3"/>
        <v>2</v>
      </c>
      <c r="Y81">
        <v>13.583333333333334</v>
      </c>
      <c r="Z81" s="223">
        <f>SUM( tabConsumo[[#This Row],[QTD.PENDENTE]]:tabConsumo[[#This Row],[09_23]] )</f>
        <v>164</v>
      </c>
      <c r="AA81" s="223">
        <f>LARGE(tabConsumo[[#This Row],[10_22]:[09_23]],1)</f>
        <v>50</v>
      </c>
      <c r="AB81" s="146" t="s">
        <v>2241</v>
      </c>
      <c r="AC81" s="3" t="s">
        <v>2086</v>
      </c>
    </row>
    <row r="82" spans="1:29" x14ac:dyDescent="0.3">
      <c r="A82" s="4" t="s">
        <v>1651</v>
      </c>
      <c r="B82" s="3" t="s">
        <v>263</v>
      </c>
      <c r="C82" s="2">
        <v>107401</v>
      </c>
      <c r="D82" s="2">
        <v>201</v>
      </c>
      <c r="F82" s="2">
        <v>1</v>
      </c>
      <c r="G82" s="2">
        <v>2</v>
      </c>
      <c r="H82" s="2">
        <v>2</v>
      </c>
      <c r="I82" s="2">
        <v>7</v>
      </c>
      <c r="J82" s="2">
        <v>0</v>
      </c>
      <c r="K82" s="2">
        <v>4</v>
      </c>
      <c r="L82" s="2">
        <v>20</v>
      </c>
      <c r="M82" s="2">
        <v>20</v>
      </c>
      <c r="N82" s="2">
        <v>0</v>
      </c>
      <c r="O82" s="2">
        <v>0</v>
      </c>
      <c r="P82" s="2">
        <v>0</v>
      </c>
      <c r="Q82" s="2">
        <v>0</v>
      </c>
      <c r="R82" s="238">
        <v>39671</v>
      </c>
      <c r="S82" s="219">
        <v>12</v>
      </c>
      <c r="T82" s="220">
        <f>SUM( tabConsumo[[#This Row],[QTD.PENDENTE]]:tabConsumo[[#This Row],[09_23]] ) / tabConsumo[[#This Row],[Div]]</f>
        <v>4.666666666666667</v>
      </c>
      <c r="U82" s="221">
        <f xml:space="preserve"> tabConsumo[[#This Row],[Média.A]] + (_xlfn.STDEV.S( tabConsumo[[#This Row],[QTD.PENDENTE]]:tabConsumo[[#This Row],[09_23]] ) * 1)</f>
        <v>12.129706911564835</v>
      </c>
      <c r="V82" s="221">
        <f xml:space="preserve"> tabConsumo[[#This Row],[Média.A]] + (_xlfn.STDEV.S( tabConsumo[[#This Row],[QTD.PENDENTE]]:tabConsumo[[#This Row],[09_23]] ) * 2)</f>
        <v>19.592747156463002</v>
      </c>
      <c r="W82" s="221">
        <f xml:space="preserve"> tabConsumo[[#This Row],[Média.A]] + (_xlfn.STDEV.S( tabConsumo[[#This Row],[QTD.PENDENTE]]:tabConsumo[[#This Row],[09_23]] ) * 3)</f>
        <v>27.055787401361172</v>
      </c>
      <c r="X82" s="5">
        <f t="shared" si="3"/>
        <v>2</v>
      </c>
      <c r="Y82">
        <v>4.5</v>
      </c>
      <c r="Z82" s="223">
        <f>SUM( tabConsumo[[#This Row],[QTD.PENDENTE]]:tabConsumo[[#This Row],[09_23]] )</f>
        <v>56</v>
      </c>
      <c r="AA82" s="223">
        <f>LARGE(tabConsumo[[#This Row],[10_22]:[09_23]],1)</f>
        <v>20</v>
      </c>
      <c r="AB82" s="146" t="s">
        <v>2244</v>
      </c>
      <c r="AC82" s="3" t="s">
        <v>2086</v>
      </c>
    </row>
    <row r="83" spans="1:29" x14ac:dyDescent="0.3">
      <c r="A83" s="4" t="s">
        <v>1853</v>
      </c>
      <c r="B83" s="3" t="s">
        <v>263</v>
      </c>
      <c r="C83" s="2">
        <v>133366</v>
      </c>
      <c r="D83" s="2">
        <v>28282</v>
      </c>
      <c r="F83" s="2">
        <v>190</v>
      </c>
      <c r="G83" s="2">
        <v>0</v>
      </c>
      <c r="H83" s="2">
        <v>600</v>
      </c>
      <c r="I83" s="2">
        <v>420</v>
      </c>
      <c r="J83" s="2">
        <v>50</v>
      </c>
      <c r="K83" s="2">
        <v>200</v>
      </c>
      <c r="L83" s="2">
        <v>500</v>
      </c>
      <c r="M83" s="2">
        <v>0</v>
      </c>
      <c r="N83" s="2">
        <v>0</v>
      </c>
      <c r="O83" s="2">
        <v>1100</v>
      </c>
      <c r="P83" s="2">
        <v>0</v>
      </c>
      <c r="Q83" s="2">
        <v>0</v>
      </c>
      <c r="R83" s="238">
        <v>42982</v>
      </c>
      <c r="S83" s="219">
        <v>12</v>
      </c>
      <c r="T83" s="220">
        <f>SUM( tabConsumo[[#This Row],[QTD.PENDENTE]]:tabConsumo[[#This Row],[09_23]] ) / tabConsumo[[#This Row],[Div]]</f>
        <v>255</v>
      </c>
      <c r="U83" s="221">
        <f xml:space="preserve"> tabConsumo[[#This Row],[Média.A]] + (_xlfn.STDEV.S( tabConsumo[[#This Row],[QTD.PENDENTE]]:tabConsumo[[#This Row],[09_23]] ) * 1)</f>
        <v>598.07433596816884</v>
      </c>
      <c r="V83" s="221">
        <f xml:space="preserve"> tabConsumo[[#This Row],[Média.A]] + (_xlfn.STDEV.S( tabConsumo[[#This Row],[QTD.PENDENTE]]:tabConsumo[[#This Row],[09_23]] ) * 2)</f>
        <v>941.14867193633768</v>
      </c>
      <c r="W83" s="221">
        <f xml:space="preserve"> tabConsumo[[#This Row],[Média.A]] + (_xlfn.STDEV.S( tabConsumo[[#This Row],[QTD.PENDENTE]]:tabConsumo[[#This Row],[09_23]] ) * 3)</f>
        <v>1284.2230079045066</v>
      </c>
      <c r="X83" s="5">
        <f t="shared" si="3"/>
        <v>2</v>
      </c>
      <c r="Y83">
        <v>241.75</v>
      </c>
      <c r="Z83" s="223">
        <f>SUM( tabConsumo[[#This Row],[QTD.PENDENTE]]:tabConsumo[[#This Row],[09_23]] )</f>
        <v>3060</v>
      </c>
      <c r="AA83" s="223">
        <f>LARGE(tabConsumo[[#This Row],[10_22]:[09_23]],1)</f>
        <v>1100</v>
      </c>
      <c r="AB83" s="146" t="s">
        <v>2239</v>
      </c>
      <c r="AC83" s="3" t="s">
        <v>2086</v>
      </c>
    </row>
    <row r="84" spans="1:29" x14ac:dyDescent="0.3">
      <c r="A84" s="4" t="s">
        <v>367</v>
      </c>
      <c r="B84" s="3" t="s">
        <v>263</v>
      </c>
      <c r="C84" s="2">
        <v>16763</v>
      </c>
      <c r="D84" s="2">
        <v>0</v>
      </c>
      <c r="F84" s="2">
        <v>0</v>
      </c>
      <c r="G84" s="2">
        <v>4</v>
      </c>
      <c r="H84" s="2">
        <v>0</v>
      </c>
      <c r="I84" s="2">
        <v>0</v>
      </c>
      <c r="J84" s="2">
        <v>0</v>
      </c>
      <c r="K84" s="2">
        <v>0</v>
      </c>
      <c r="L84" s="2">
        <v>0</v>
      </c>
      <c r="M84" s="2">
        <v>0</v>
      </c>
      <c r="N84" s="2">
        <v>0</v>
      </c>
      <c r="O84" s="2">
        <v>0</v>
      </c>
      <c r="P84" s="2">
        <v>0</v>
      </c>
      <c r="Q84" s="2">
        <v>0</v>
      </c>
      <c r="R84" s="238">
        <v>367</v>
      </c>
      <c r="S84" s="219">
        <f xml:space="preserve"> 12</f>
        <v>12</v>
      </c>
      <c r="T84" s="220">
        <f>SUM( tabConsumo[[#This Row],[QTD.PENDENTE]]:tabConsumo[[#This Row],[09_23]] ) / tabConsumo[[#This Row],[Div]]</f>
        <v>0.33333333333333331</v>
      </c>
      <c r="U84" s="221">
        <f xml:space="preserve"> tabConsumo[[#This Row],[Média.A]] + (_xlfn.STDEV.S( tabConsumo[[#This Row],[QTD.PENDENTE]]:tabConsumo[[#This Row],[09_23]] ) * 1)</f>
        <v>1.4880338717125847</v>
      </c>
      <c r="V84" s="221">
        <f xml:space="preserve"> tabConsumo[[#This Row],[Média.A]] + (_xlfn.STDEV.S( tabConsumo[[#This Row],[QTD.PENDENTE]]:tabConsumo[[#This Row],[09_23]] ) * 2)</f>
        <v>2.6427344100918364</v>
      </c>
      <c r="W84" s="221">
        <f xml:space="preserve"> tabConsumo[[#This Row],[Média.A]] + (_xlfn.STDEV.S( tabConsumo[[#This Row],[QTD.PENDENTE]]:tabConsumo[[#This Row],[09_23]] ) * 3)</f>
        <v>3.7974349484710879</v>
      </c>
      <c r="X84" s="5">
        <f t="shared" si="3"/>
        <v>2</v>
      </c>
      <c r="Y84">
        <v>0.16666666666666666</v>
      </c>
      <c r="Z84" s="223">
        <f>SUM( tabConsumo[[#This Row],[QTD.PENDENTE]]:tabConsumo[[#This Row],[09_23]] )</f>
        <v>4</v>
      </c>
      <c r="AA84" s="223">
        <f>LARGE(tabConsumo[[#This Row],[10_22]:[09_23]],1)</f>
        <v>4</v>
      </c>
      <c r="AB84" s="146" t="s">
        <v>2243</v>
      </c>
      <c r="AC84" s="3" t="s">
        <v>2086</v>
      </c>
    </row>
    <row r="85" spans="1:29" x14ac:dyDescent="0.3">
      <c r="A85" s="4" t="s">
        <v>1675</v>
      </c>
      <c r="B85" s="3" t="s">
        <v>272</v>
      </c>
      <c r="C85" s="2">
        <v>110889</v>
      </c>
      <c r="D85" s="2">
        <v>80</v>
      </c>
      <c r="F85" s="2">
        <v>0</v>
      </c>
      <c r="G85" s="2">
        <v>220</v>
      </c>
      <c r="H85" s="2">
        <v>0</v>
      </c>
      <c r="I85" s="2">
        <v>0</v>
      </c>
      <c r="J85" s="2">
        <v>0</v>
      </c>
      <c r="K85" s="2">
        <v>0</v>
      </c>
      <c r="L85" s="2">
        <v>0</v>
      </c>
      <c r="M85" s="2">
        <v>0</v>
      </c>
      <c r="N85" s="2">
        <v>0</v>
      </c>
      <c r="O85" s="2">
        <v>0</v>
      </c>
      <c r="P85" s="2">
        <v>0</v>
      </c>
      <c r="Q85" s="2">
        <v>0</v>
      </c>
      <c r="R85" s="238">
        <v>39944</v>
      </c>
      <c r="S85" s="219">
        <v>12</v>
      </c>
      <c r="T85" s="220">
        <f>SUM( tabConsumo[[#This Row],[QTD.PENDENTE]]:tabConsumo[[#This Row],[09_23]] ) / tabConsumo[[#This Row],[Div]]</f>
        <v>18.333333333333332</v>
      </c>
      <c r="U85" s="221">
        <f xml:space="preserve"> tabConsumo[[#This Row],[Média.A]] + (_xlfn.STDEV.S( tabConsumo[[#This Row],[QTD.PENDENTE]]:tabConsumo[[#This Row],[09_23]] ) * 1)</f>
        <v>81.841862944192158</v>
      </c>
      <c r="V85" s="221">
        <f xml:space="preserve"> tabConsumo[[#This Row],[Média.A]] + (_xlfn.STDEV.S( tabConsumo[[#This Row],[QTD.PENDENTE]]:tabConsumo[[#This Row],[09_23]] ) * 2)</f>
        <v>145.350392555051</v>
      </c>
      <c r="W85" s="221">
        <f xml:space="preserve"> tabConsumo[[#This Row],[Média.A]] + (_xlfn.STDEV.S( tabConsumo[[#This Row],[QTD.PENDENTE]]:tabConsumo[[#This Row],[09_23]] ) * 3)</f>
        <v>208.85892216590983</v>
      </c>
      <c r="X85" s="5">
        <f t="shared" si="3"/>
        <v>2</v>
      </c>
      <c r="Y85">
        <v>12.083333333333334</v>
      </c>
      <c r="Z85" s="223">
        <f>SUM( tabConsumo[[#This Row],[QTD.PENDENTE]]:tabConsumo[[#This Row],[09_23]] )</f>
        <v>220</v>
      </c>
      <c r="AA85" s="223">
        <f>LARGE(tabConsumo[[#This Row],[10_22]:[09_23]],1)</f>
        <v>220</v>
      </c>
      <c r="AB85" s="146" t="s">
        <v>2243</v>
      </c>
      <c r="AC85" s="3" t="s">
        <v>2086</v>
      </c>
    </row>
    <row r="86" spans="1:29" x14ac:dyDescent="0.3">
      <c r="A86" s="4" t="s">
        <v>1759</v>
      </c>
      <c r="B86" s="3" t="s">
        <v>272</v>
      </c>
      <c r="C86" s="2">
        <v>123370</v>
      </c>
      <c r="D86" s="2">
        <v>49</v>
      </c>
      <c r="F86" s="2">
        <v>0</v>
      </c>
      <c r="G86" s="2">
        <v>0</v>
      </c>
      <c r="H86" s="2">
        <v>0</v>
      </c>
      <c r="I86" s="2">
        <v>0</v>
      </c>
      <c r="J86" s="2">
        <v>0</v>
      </c>
      <c r="K86" s="2">
        <v>0</v>
      </c>
      <c r="L86" s="2">
        <v>0</v>
      </c>
      <c r="M86" s="2">
        <v>0</v>
      </c>
      <c r="N86" s="2">
        <v>20</v>
      </c>
      <c r="O86" s="2">
        <v>100</v>
      </c>
      <c r="P86" s="2">
        <v>0</v>
      </c>
      <c r="Q86" s="2">
        <v>0</v>
      </c>
      <c r="R86" s="238">
        <v>41101</v>
      </c>
      <c r="S86" s="219">
        <v>12</v>
      </c>
      <c r="T86" s="220">
        <f>SUM( tabConsumo[[#This Row],[QTD.PENDENTE]]:tabConsumo[[#This Row],[09_23]] ) / tabConsumo[[#This Row],[Div]]</f>
        <v>10</v>
      </c>
      <c r="U86" s="221">
        <f xml:space="preserve"> tabConsumo[[#This Row],[Média.A]] + (_xlfn.STDEV.S( tabConsumo[[#This Row],[QTD.PENDENTE]]:tabConsumo[[#This Row],[09_23]] ) * 1)</f>
        <v>38.919952219248849</v>
      </c>
      <c r="V86" s="221">
        <f xml:space="preserve"> tabConsumo[[#This Row],[Média.A]] + (_xlfn.STDEV.S( tabConsumo[[#This Row],[QTD.PENDENTE]]:tabConsumo[[#This Row],[09_23]] ) * 2)</f>
        <v>67.839904438497697</v>
      </c>
      <c r="W86" s="221">
        <f xml:space="preserve"> tabConsumo[[#This Row],[Média.A]] + (_xlfn.STDEV.S( tabConsumo[[#This Row],[QTD.PENDENTE]]:tabConsumo[[#This Row],[09_23]] ) * 3)</f>
        <v>96.759856657746553</v>
      </c>
      <c r="X86" s="5">
        <f t="shared" si="3"/>
        <v>2</v>
      </c>
      <c r="Y86">
        <v>7.25</v>
      </c>
      <c r="Z86" s="223">
        <f>SUM( tabConsumo[[#This Row],[QTD.PENDENTE]]:tabConsumo[[#This Row],[09_23]] )</f>
        <v>120</v>
      </c>
      <c r="AA86" s="223">
        <f>LARGE(tabConsumo[[#This Row],[10_22]:[09_23]],1)</f>
        <v>100</v>
      </c>
      <c r="AB86" s="146" t="s">
        <v>2239</v>
      </c>
      <c r="AC86" s="3" t="s">
        <v>2086</v>
      </c>
    </row>
    <row r="87" spans="1:29" x14ac:dyDescent="0.3">
      <c r="A87" s="4" t="s">
        <v>1712</v>
      </c>
      <c r="B87" s="3" t="s">
        <v>272</v>
      </c>
      <c r="C87" s="2">
        <v>114976</v>
      </c>
      <c r="D87" s="2">
        <v>634</v>
      </c>
      <c r="F87" s="2">
        <v>0</v>
      </c>
      <c r="G87" s="2">
        <v>0</v>
      </c>
      <c r="H87" s="2">
        <v>50</v>
      </c>
      <c r="I87" s="2">
        <v>3</v>
      </c>
      <c r="J87" s="2">
        <v>0</v>
      </c>
      <c r="K87" s="2">
        <v>0</v>
      </c>
      <c r="L87" s="2">
        <v>0</v>
      </c>
      <c r="M87" s="2">
        <v>0</v>
      </c>
      <c r="N87" s="2">
        <v>0</v>
      </c>
      <c r="O87" s="2">
        <v>0</v>
      </c>
      <c r="P87" s="2">
        <v>0</v>
      </c>
      <c r="Q87" s="2">
        <v>0</v>
      </c>
      <c r="R87" s="238">
        <v>40291</v>
      </c>
      <c r="S87" s="219">
        <v>12</v>
      </c>
      <c r="T87" s="220">
        <f>SUM( tabConsumo[[#This Row],[QTD.PENDENTE]]:tabConsumo[[#This Row],[09_23]] ) / tabConsumo[[#This Row],[Div]]</f>
        <v>4.416666666666667</v>
      </c>
      <c r="U87" s="221">
        <f xml:space="preserve"> tabConsumo[[#This Row],[Média.A]] + (_xlfn.STDEV.S( tabConsumo[[#This Row],[QTD.PENDENTE]]:tabConsumo[[#This Row],[09_23]] ) * 1)</f>
        <v>18.797577836012163</v>
      </c>
      <c r="V87" s="221">
        <f xml:space="preserve"> tabConsumo[[#This Row],[Média.A]] + (_xlfn.STDEV.S( tabConsumo[[#This Row],[QTD.PENDENTE]]:tabConsumo[[#This Row],[09_23]] ) * 2)</f>
        <v>33.178489005357655</v>
      </c>
      <c r="W87" s="221">
        <f xml:space="preserve"> tabConsumo[[#This Row],[Média.A]] + (_xlfn.STDEV.S( tabConsumo[[#This Row],[QTD.PENDENTE]]:tabConsumo[[#This Row],[09_23]] ) * 3)</f>
        <v>47.55940017470315</v>
      </c>
      <c r="X87" s="5">
        <f t="shared" si="3"/>
        <v>2</v>
      </c>
      <c r="Y87">
        <v>3</v>
      </c>
      <c r="Z87" s="223">
        <f>SUM( tabConsumo[[#This Row],[QTD.PENDENTE]]:tabConsumo[[#This Row],[09_23]] )</f>
        <v>53</v>
      </c>
      <c r="AA87" s="223">
        <f>LARGE(tabConsumo[[#This Row],[10_22]:[09_23]],1)</f>
        <v>50</v>
      </c>
      <c r="AB87" s="146" t="s">
        <v>2247</v>
      </c>
      <c r="AC87" s="3" t="s">
        <v>2086</v>
      </c>
    </row>
    <row r="88" spans="1:29" x14ac:dyDescent="0.3">
      <c r="A88" s="4" t="s">
        <v>1799</v>
      </c>
      <c r="B88" s="3" t="s">
        <v>272</v>
      </c>
      <c r="C88" s="2">
        <v>129960</v>
      </c>
      <c r="D88" s="2">
        <v>240</v>
      </c>
      <c r="F88" s="2">
        <v>0</v>
      </c>
      <c r="G88" s="2">
        <v>0</v>
      </c>
      <c r="H88" s="2">
        <v>0</v>
      </c>
      <c r="I88" s="2">
        <v>0</v>
      </c>
      <c r="J88" s="2">
        <v>0</v>
      </c>
      <c r="K88" s="2">
        <v>0</v>
      </c>
      <c r="L88" s="2">
        <v>0</v>
      </c>
      <c r="M88" s="2">
        <v>0</v>
      </c>
      <c r="N88" s="2">
        <v>0</v>
      </c>
      <c r="O88" s="2">
        <v>0</v>
      </c>
      <c r="P88" s="2">
        <v>10</v>
      </c>
      <c r="Q88" s="2">
        <v>0</v>
      </c>
      <c r="R88" s="238">
        <v>42046</v>
      </c>
      <c r="S88" s="219">
        <v>12</v>
      </c>
      <c r="T88" s="220">
        <f>SUM( tabConsumo[[#This Row],[QTD.PENDENTE]]:tabConsumo[[#This Row],[09_23]] ) / tabConsumo[[#This Row],[Div]]</f>
        <v>0.83333333333333337</v>
      </c>
      <c r="U88" s="221">
        <f xml:space="preserve"> tabConsumo[[#This Row],[Média.A]] + (_xlfn.STDEV.S( tabConsumo[[#This Row],[QTD.PENDENTE]]:tabConsumo[[#This Row],[09_23]] ) * 1)</f>
        <v>3.7200846792814626</v>
      </c>
      <c r="V88" s="221">
        <f xml:space="preserve"> tabConsumo[[#This Row],[Média.A]] + (_xlfn.STDEV.S( tabConsumo[[#This Row],[QTD.PENDENTE]]:tabConsumo[[#This Row],[09_23]] ) * 2)</f>
        <v>6.6068360252295912</v>
      </c>
      <c r="W88" s="221">
        <f xml:space="preserve"> tabConsumo[[#This Row],[Média.A]] + (_xlfn.STDEV.S( tabConsumo[[#This Row],[QTD.PENDENTE]]:tabConsumo[[#This Row],[09_23]] ) * 3)</f>
        <v>9.4935873711777212</v>
      </c>
      <c r="X88" s="5">
        <f t="shared" si="3"/>
        <v>2</v>
      </c>
      <c r="Y88">
        <v>0.5</v>
      </c>
      <c r="Z88" s="223">
        <f>SUM( tabConsumo[[#This Row],[QTD.PENDENTE]]:tabConsumo[[#This Row],[09_23]] )</f>
        <v>10</v>
      </c>
      <c r="AA88" s="223">
        <f>LARGE(tabConsumo[[#This Row],[10_22]:[09_23]],1)</f>
        <v>10</v>
      </c>
      <c r="AB88" s="146" t="s">
        <v>2241</v>
      </c>
      <c r="AC88" s="3" t="s">
        <v>2086</v>
      </c>
    </row>
    <row r="89" spans="1:29" x14ac:dyDescent="0.3">
      <c r="A89" s="4" t="s">
        <v>1823</v>
      </c>
      <c r="B89" s="3" t="s">
        <v>272</v>
      </c>
      <c r="C89" s="2">
        <v>132229</v>
      </c>
      <c r="D89" s="2">
        <v>960.5</v>
      </c>
      <c r="F89" s="2">
        <v>0</v>
      </c>
      <c r="G89" s="2">
        <v>0</v>
      </c>
      <c r="H89" s="2">
        <v>100</v>
      </c>
      <c r="I89" s="2">
        <v>0</v>
      </c>
      <c r="J89" s="2">
        <v>0</v>
      </c>
      <c r="K89" s="2">
        <v>0</v>
      </c>
      <c r="L89" s="2">
        <v>110</v>
      </c>
      <c r="M89" s="2">
        <v>0</v>
      </c>
      <c r="N89" s="2">
        <v>0</v>
      </c>
      <c r="O89" s="2">
        <v>6</v>
      </c>
      <c r="P89" s="2">
        <v>10</v>
      </c>
      <c r="Q89" s="2">
        <v>0</v>
      </c>
      <c r="R89" s="238">
        <v>42656</v>
      </c>
      <c r="S89" s="219">
        <v>12</v>
      </c>
      <c r="T89" s="220">
        <f>SUM( tabConsumo[[#This Row],[QTD.PENDENTE]]:tabConsumo[[#This Row],[09_23]] ) / tabConsumo[[#This Row],[Div]]</f>
        <v>18.833333333333332</v>
      </c>
      <c r="U89" s="221">
        <f xml:space="preserve"> tabConsumo[[#This Row],[Média.A]] + (_xlfn.STDEV.S( tabConsumo[[#This Row],[QTD.PENDENTE]]:tabConsumo[[#This Row],[09_23]] ) * 1)</f>
        <v>59.262470740841195</v>
      </c>
      <c r="V89" s="221">
        <f xml:space="preserve"> tabConsumo[[#This Row],[Média.A]] + (_xlfn.STDEV.S( tabConsumo[[#This Row],[QTD.PENDENTE]]:tabConsumo[[#This Row],[09_23]] ) * 2)</f>
        <v>99.691608148349061</v>
      </c>
      <c r="W89" s="221">
        <f xml:space="preserve"> tabConsumo[[#This Row],[Média.A]] + (_xlfn.STDEV.S( tabConsumo[[#This Row],[QTD.PENDENTE]]:tabConsumo[[#This Row],[09_23]] ) * 3)</f>
        <v>140.12074555585693</v>
      </c>
      <c r="X89" s="5">
        <f t="shared" si="3"/>
        <v>2</v>
      </c>
      <c r="Y89">
        <v>17.833333333333332</v>
      </c>
      <c r="Z89" s="223">
        <f>SUM( tabConsumo[[#This Row],[QTD.PENDENTE]]:tabConsumo[[#This Row],[09_23]] )</f>
        <v>226</v>
      </c>
      <c r="AA89" s="223">
        <f>LARGE(tabConsumo[[#This Row],[10_22]:[09_23]],1)</f>
        <v>110</v>
      </c>
      <c r="AB89" s="146" t="s">
        <v>2241</v>
      </c>
      <c r="AC89" s="3" t="s">
        <v>2086</v>
      </c>
    </row>
    <row r="90" spans="1:29" x14ac:dyDescent="0.3">
      <c r="A90" s="4" t="s">
        <v>1760</v>
      </c>
      <c r="B90" s="3" t="s">
        <v>272</v>
      </c>
      <c r="C90" s="2">
        <v>123372</v>
      </c>
      <c r="D90" s="2">
        <v>651</v>
      </c>
      <c r="F90" s="2">
        <v>0</v>
      </c>
      <c r="G90" s="2">
        <v>0</v>
      </c>
      <c r="H90" s="2">
        <v>20</v>
      </c>
      <c r="I90" s="2">
        <v>0</v>
      </c>
      <c r="J90" s="2">
        <v>0</v>
      </c>
      <c r="K90" s="2">
        <v>0</v>
      </c>
      <c r="L90" s="2">
        <v>0</v>
      </c>
      <c r="M90" s="2">
        <v>0</v>
      </c>
      <c r="N90" s="2">
        <v>7</v>
      </c>
      <c r="O90" s="2">
        <v>0</v>
      </c>
      <c r="P90" s="2">
        <v>0</v>
      </c>
      <c r="Q90" s="2">
        <v>0</v>
      </c>
      <c r="R90" s="238">
        <v>41101</v>
      </c>
      <c r="S90" s="219">
        <v>12</v>
      </c>
      <c r="T90" s="220">
        <f>SUM( tabConsumo[[#This Row],[QTD.PENDENTE]]:tabConsumo[[#This Row],[09_23]] ) / tabConsumo[[#This Row],[Div]]</f>
        <v>2.25</v>
      </c>
      <c r="U90" s="221">
        <f xml:space="preserve"> tabConsumo[[#This Row],[Média.A]] + (_xlfn.STDEV.S( tabConsumo[[#This Row],[QTD.PENDENTE]]:tabConsumo[[#This Row],[09_23]] ) * 1)</f>
        <v>8.190997773560813</v>
      </c>
      <c r="V90" s="221">
        <f xml:space="preserve"> tabConsumo[[#This Row],[Média.A]] + (_xlfn.STDEV.S( tabConsumo[[#This Row],[QTD.PENDENTE]]:tabConsumo[[#This Row],[09_23]] ) * 2)</f>
        <v>14.131995547121628</v>
      </c>
      <c r="W90" s="221">
        <f xml:space="preserve"> tabConsumo[[#This Row],[Média.A]] + (_xlfn.STDEV.S( tabConsumo[[#This Row],[QTD.PENDENTE]]:tabConsumo[[#This Row],[09_23]] ) * 3)</f>
        <v>20.072993320682443</v>
      </c>
      <c r="X90" s="5">
        <f t="shared" si="3"/>
        <v>2</v>
      </c>
      <c r="Y90">
        <v>1.75</v>
      </c>
      <c r="Z90" s="223">
        <f>SUM( tabConsumo[[#This Row],[QTD.PENDENTE]]:tabConsumo[[#This Row],[09_23]] )</f>
        <v>27</v>
      </c>
      <c r="AA90" s="223">
        <f>LARGE(tabConsumo[[#This Row],[10_22]:[09_23]],1)</f>
        <v>20</v>
      </c>
      <c r="AB90" s="146" t="s">
        <v>2246</v>
      </c>
      <c r="AC90" s="3" t="s">
        <v>2086</v>
      </c>
    </row>
    <row r="91" spans="1:29" x14ac:dyDescent="0.3">
      <c r="A91" s="4" t="s">
        <v>2009</v>
      </c>
      <c r="B91" s="3" t="s">
        <v>272</v>
      </c>
      <c r="C91" s="2">
        <v>140049</v>
      </c>
      <c r="D91" s="2">
        <v>496</v>
      </c>
      <c r="F91" s="2">
        <v>0</v>
      </c>
      <c r="G91" s="2">
        <v>0</v>
      </c>
      <c r="H91" s="2">
        <v>0</v>
      </c>
      <c r="I91" s="2">
        <v>0</v>
      </c>
      <c r="J91" s="2">
        <v>100</v>
      </c>
      <c r="K91" s="2">
        <v>200</v>
      </c>
      <c r="L91" s="2">
        <v>0</v>
      </c>
      <c r="M91" s="2">
        <v>204</v>
      </c>
      <c r="N91" s="2">
        <v>0</v>
      </c>
      <c r="O91" s="2">
        <v>0</v>
      </c>
      <c r="P91" s="2">
        <v>0</v>
      </c>
      <c r="Q91" s="2">
        <v>0</v>
      </c>
      <c r="R91" s="238">
        <v>44096</v>
      </c>
      <c r="S91" s="219">
        <v>12</v>
      </c>
      <c r="T91" s="220">
        <f>SUM( tabConsumo[[#This Row],[QTD.PENDENTE]]:tabConsumo[[#This Row],[09_23]] ) / tabConsumo[[#This Row],[Div]]</f>
        <v>42</v>
      </c>
      <c r="U91" s="221">
        <f xml:space="preserve"> tabConsumo[[#This Row],[Média.A]] + (_xlfn.STDEV.S( tabConsumo[[#This Row],[QTD.PENDENTE]]:tabConsumo[[#This Row],[09_23]] ) * 1)</f>
        <v>122.02726808009652</v>
      </c>
      <c r="V91" s="221">
        <f xml:space="preserve"> tabConsumo[[#This Row],[Média.A]] + (_xlfn.STDEV.S( tabConsumo[[#This Row],[QTD.PENDENTE]]:tabConsumo[[#This Row],[09_23]] ) * 2)</f>
        <v>202.05453616019304</v>
      </c>
      <c r="W91" s="221">
        <f xml:space="preserve"> tabConsumo[[#This Row],[Média.A]] + (_xlfn.STDEV.S( tabConsumo[[#This Row],[QTD.PENDENTE]]:tabConsumo[[#This Row],[09_23]] ) * 3)</f>
        <v>282.08180424028956</v>
      </c>
      <c r="X91" s="5">
        <f t="shared" si="3"/>
        <v>2</v>
      </c>
      <c r="Y91">
        <v>41.833333333333336</v>
      </c>
      <c r="Z91" s="223">
        <f>SUM( tabConsumo[[#This Row],[QTD.PENDENTE]]:tabConsumo[[#This Row],[09_23]] )</f>
        <v>504</v>
      </c>
      <c r="AA91" s="223">
        <f>LARGE(tabConsumo[[#This Row],[10_22]:[09_23]],1)</f>
        <v>204</v>
      </c>
      <c r="AB91" s="146" t="s">
        <v>2244</v>
      </c>
      <c r="AC91" s="3" t="s">
        <v>2086</v>
      </c>
    </row>
    <row r="92" spans="1:29" x14ac:dyDescent="0.3">
      <c r="A92" s="4" t="s">
        <v>2008</v>
      </c>
      <c r="B92" s="3" t="s">
        <v>272</v>
      </c>
      <c r="C92" s="2">
        <v>140048</v>
      </c>
      <c r="D92" s="2">
        <v>0</v>
      </c>
      <c r="E92" s="2">
        <v>140</v>
      </c>
      <c r="F92" s="2">
        <v>600</v>
      </c>
      <c r="G92" s="2">
        <v>100</v>
      </c>
      <c r="H92" s="2">
        <v>300</v>
      </c>
      <c r="I92" s="2">
        <v>680</v>
      </c>
      <c r="J92" s="2">
        <v>400</v>
      </c>
      <c r="K92" s="2">
        <v>360</v>
      </c>
      <c r="L92" s="2">
        <v>0</v>
      </c>
      <c r="M92" s="2">
        <v>0</v>
      </c>
      <c r="N92" s="2">
        <v>0</v>
      </c>
      <c r="O92" s="2">
        <v>0</v>
      </c>
      <c r="P92" s="2">
        <v>0</v>
      </c>
      <c r="Q92" s="2">
        <v>0</v>
      </c>
      <c r="R92" s="238">
        <v>44096</v>
      </c>
      <c r="S92" s="219">
        <v>12</v>
      </c>
      <c r="T92" s="220">
        <f>SUM( tabConsumo[[#This Row],[QTD.PENDENTE]]:tabConsumo[[#This Row],[09_23]] ) / tabConsumo[[#This Row],[Div]]</f>
        <v>215</v>
      </c>
      <c r="U92" s="221">
        <f xml:space="preserve"> tabConsumo[[#This Row],[Média.A]] + (_xlfn.STDEV.S( tabConsumo[[#This Row],[QTD.PENDENTE]]:tabConsumo[[#This Row],[09_23]] ) * 1)</f>
        <v>459.87568798086625</v>
      </c>
      <c r="V92" s="221">
        <f xml:space="preserve"> tabConsumo[[#This Row],[Média.A]] + (_xlfn.STDEV.S( tabConsumo[[#This Row],[QTD.PENDENTE]]:tabConsumo[[#This Row],[09_23]] ) * 2)</f>
        <v>704.75137596173249</v>
      </c>
      <c r="W92" s="221">
        <f xml:space="preserve"> tabConsumo[[#This Row],[Média.A]] + (_xlfn.STDEV.S( tabConsumo[[#This Row],[QTD.PENDENTE]]:tabConsumo[[#This Row],[09_23]] ) * 3)</f>
        <v>949.62706394259874</v>
      </c>
      <c r="X92" s="5">
        <f t="shared" si="3"/>
        <v>2</v>
      </c>
      <c r="Y92">
        <v>215</v>
      </c>
      <c r="Z92" s="223">
        <f>SUM( tabConsumo[[#This Row],[QTD.PENDENTE]]:tabConsumo[[#This Row],[09_23]] )</f>
        <v>2580</v>
      </c>
      <c r="AA92" s="223">
        <f>LARGE(tabConsumo[[#This Row],[10_22]:[09_23]],1)</f>
        <v>680</v>
      </c>
      <c r="AB92" s="146" t="s">
        <v>2245</v>
      </c>
      <c r="AC92" s="3" t="s">
        <v>2086</v>
      </c>
    </row>
    <row r="93" spans="1:29" x14ac:dyDescent="0.3">
      <c r="A93" s="4" t="s">
        <v>2010</v>
      </c>
      <c r="B93" s="3" t="s">
        <v>272</v>
      </c>
      <c r="C93" s="2">
        <v>140050</v>
      </c>
      <c r="D93" s="2">
        <v>985</v>
      </c>
      <c r="F93" s="2">
        <v>130</v>
      </c>
      <c r="G93" s="2">
        <v>0</v>
      </c>
      <c r="H93" s="2">
        <v>200</v>
      </c>
      <c r="I93" s="2">
        <v>100</v>
      </c>
      <c r="J93" s="2">
        <v>200</v>
      </c>
      <c r="K93" s="2">
        <v>150</v>
      </c>
      <c r="L93" s="2">
        <v>105</v>
      </c>
      <c r="M93" s="2">
        <v>109</v>
      </c>
      <c r="N93" s="2">
        <v>0</v>
      </c>
      <c r="O93" s="2">
        <v>0</v>
      </c>
      <c r="P93" s="2">
        <v>0</v>
      </c>
      <c r="Q93" s="2">
        <v>0</v>
      </c>
      <c r="R93" s="238">
        <v>44096</v>
      </c>
      <c r="S93" s="219">
        <v>12</v>
      </c>
      <c r="T93" s="220">
        <f>SUM( tabConsumo[[#This Row],[QTD.PENDENTE]]:tabConsumo[[#This Row],[09_23]] ) / tabConsumo[[#This Row],[Div]]</f>
        <v>82.833333333333329</v>
      </c>
      <c r="U93" s="221">
        <f xml:space="preserve"> tabConsumo[[#This Row],[Média.A]] + (_xlfn.STDEV.S( tabConsumo[[#This Row],[QTD.PENDENTE]]:tabConsumo[[#This Row],[09_23]] ) * 1)</f>
        <v>162.58845096147547</v>
      </c>
      <c r="V93" s="221">
        <f xml:space="preserve"> tabConsumo[[#This Row],[Média.A]] + (_xlfn.STDEV.S( tabConsumo[[#This Row],[QTD.PENDENTE]]:tabConsumo[[#This Row],[09_23]] ) * 2)</f>
        <v>242.34356858961758</v>
      </c>
      <c r="W93" s="221">
        <f xml:space="preserve"> tabConsumo[[#This Row],[Média.A]] + (_xlfn.STDEV.S( tabConsumo[[#This Row],[QTD.PENDENTE]]:tabConsumo[[#This Row],[09_23]] ) * 3)</f>
        <v>322.09868621775973</v>
      </c>
      <c r="X93" s="5">
        <f t="shared" si="3"/>
        <v>2</v>
      </c>
      <c r="Y93">
        <v>82.833333333333329</v>
      </c>
      <c r="Z93" s="223">
        <f>SUM( tabConsumo[[#This Row],[QTD.PENDENTE]]:tabConsumo[[#This Row],[09_23]] )</f>
        <v>994</v>
      </c>
      <c r="AA93" s="223">
        <f>LARGE(tabConsumo[[#This Row],[10_22]:[09_23]],1)</f>
        <v>200</v>
      </c>
      <c r="AB93" s="146" t="s">
        <v>2244</v>
      </c>
      <c r="AC93" s="3" t="s">
        <v>2086</v>
      </c>
    </row>
    <row r="94" spans="1:29" x14ac:dyDescent="0.3">
      <c r="A94" s="4" t="s">
        <v>2007</v>
      </c>
      <c r="B94" s="3" t="s">
        <v>272</v>
      </c>
      <c r="C94" s="2">
        <v>140047</v>
      </c>
      <c r="D94" s="2">
        <v>29</v>
      </c>
      <c r="F94" s="2">
        <v>0</v>
      </c>
      <c r="G94" s="2">
        <v>0</v>
      </c>
      <c r="H94" s="2">
        <v>20</v>
      </c>
      <c r="I94" s="2">
        <v>0</v>
      </c>
      <c r="J94" s="2">
        <v>0</v>
      </c>
      <c r="K94" s="2">
        <v>0</v>
      </c>
      <c r="L94" s="2">
        <v>0</v>
      </c>
      <c r="M94" s="2">
        <v>0</v>
      </c>
      <c r="N94" s="2">
        <v>0</v>
      </c>
      <c r="O94" s="2">
        <v>100</v>
      </c>
      <c r="P94" s="2">
        <v>10</v>
      </c>
      <c r="Q94" s="2">
        <v>0</v>
      </c>
      <c r="R94" s="238">
        <v>44096</v>
      </c>
      <c r="S94" s="219">
        <v>12</v>
      </c>
      <c r="T94" s="220">
        <f>SUM( tabConsumo[[#This Row],[QTD.PENDENTE]]:tabConsumo[[#This Row],[09_23]] ) / tabConsumo[[#This Row],[Div]]</f>
        <v>10.833333333333334</v>
      </c>
      <c r="U94" s="221">
        <f xml:space="preserve"> tabConsumo[[#This Row],[Média.A]] + (_xlfn.STDEV.S( tabConsumo[[#This Row],[QTD.PENDENTE]]:tabConsumo[[#This Row],[09_23]] ) * 1)</f>
        <v>39.582509869630016</v>
      </c>
      <c r="V94" s="221">
        <f xml:space="preserve"> tabConsumo[[#This Row],[Média.A]] + (_xlfn.STDEV.S( tabConsumo[[#This Row],[QTD.PENDENTE]]:tabConsumo[[#This Row],[09_23]] ) * 2)</f>
        <v>68.331686405926689</v>
      </c>
      <c r="W94" s="221">
        <f xml:space="preserve"> tabConsumo[[#This Row],[Média.A]] + (_xlfn.STDEV.S( tabConsumo[[#This Row],[QTD.PENDENTE]]:tabConsumo[[#This Row],[09_23]] ) * 3)</f>
        <v>97.080862942223362</v>
      </c>
      <c r="X94" s="5">
        <f t="shared" si="3"/>
        <v>2</v>
      </c>
      <c r="Y94">
        <v>8.1666666666666661</v>
      </c>
      <c r="Z94" s="223">
        <f>SUM( tabConsumo[[#This Row],[QTD.PENDENTE]]:tabConsumo[[#This Row],[09_23]] )</f>
        <v>130</v>
      </c>
      <c r="AA94" s="223">
        <f>LARGE(tabConsumo[[#This Row],[10_22]:[09_23]],1)</f>
        <v>100</v>
      </c>
      <c r="AB94" s="146" t="s">
        <v>2241</v>
      </c>
      <c r="AC94" s="3" t="s">
        <v>2086</v>
      </c>
    </row>
    <row r="95" spans="1:29" x14ac:dyDescent="0.3">
      <c r="A95" s="4" t="s">
        <v>2021</v>
      </c>
      <c r="B95" s="3" t="s">
        <v>272</v>
      </c>
      <c r="C95" s="2">
        <v>140061</v>
      </c>
      <c r="D95" s="2">
        <v>171</v>
      </c>
      <c r="F95" s="2">
        <v>0</v>
      </c>
      <c r="G95" s="2">
        <v>0</v>
      </c>
      <c r="H95" s="2">
        <v>150</v>
      </c>
      <c r="I95" s="2">
        <v>0</v>
      </c>
      <c r="J95" s="2">
        <v>0</v>
      </c>
      <c r="K95" s="2">
        <v>0</v>
      </c>
      <c r="L95" s="2">
        <v>0</v>
      </c>
      <c r="M95" s="2">
        <v>0</v>
      </c>
      <c r="N95" s="2">
        <v>120</v>
      </c>
      <c r="O95" s="2">
        <v>0</v>
      </c>
      <c r="P95" s="2">
        <v>5</v>
      </c>
      <c r="Q95" s="2">
        <v>0</v>
      </c>
      <c r="R95" s="238">
        <v>44096</v>
      </c>
      <c r="S95" s="219">
        <v>12</v>
      </c>
      <c r="T95" s="220">
        <f>SUM( tabConsumo[[#This Row],[QTD.PENDENTE]]:tabConsumo[[#This Row],[09_23]] ) / tabConsumo[[#This Row],[Div]]</f>
        <v>22.916666666666668</v>
      </c>
      <c r="U95" s="221">
        <f xml:space="preserve"> tabConsumo[[#This Row],[Média.A]] + (_xlfn.STDEV.S( tabConsumo[[#This Row],[QTD.PENDENTE]]:tabConsumo[[#This Row],[09_23]] ) * 1)</f>
        <v>75.679357226867594</v>
      </c>
      <c r="V95" s="221">
        <f xml:space="preserve"> tabConsumo[[#This Row],[Média.A]] + (_xlfn.STDEV.S( tabConsumo[[#This Row],[QTD.PENDENTE]]:tabConsumo[[#This Row],[09_23]] ) * 2)</f>
        <v>128.4420477870685</v>
      </c>
      <c r="W95" s="221">
        <f xml:space="preserve"> tabConsumo[[#This Row],[Média.A]] + (_xlfn.STDEV.S( tabConsumo[[#This Row],[QTD.PENDENTE]]:tabConsumo[[#This Row],[09_23]] ) * 3)</f>
        <v>181.20473834726943</v>
      </c>
      <c r="X95" s="5">
        <f t="shared" si="3"/>
        <v>2</v>
      </c>
      <c r="Y95">
        <v>21.083333333333332</v>
      </c>
      <c r="Z95" s="223">
        <f>SUM( tabConsumo[[#This Row],[QTD.PENDENTE]]:tabConsumo[[#This Row],[09_23]] )</f>
        <v>275</v>
      </c>
      <c r="AA95" s="223">
        <f>LARGE(tabConsumo[[#This Row],[10_22]:[09_23]],1)</f>
        <v>150</v>
      </c>
      <c r="AB95" s="146" t="s">
        <v>2241</v>
      </c>
      <c r="AC95" s="3" t="s">
        <v>2086</v>
      </c>
    </row>
    <row r="96" spans="1:29" x14ac:dyDescent="0.3">
      <c r="A96" s="4" t="s">
        <v>1998</v>
      </c>
      <c r="B96" s="3" t="s">
        <v>260</v>
      </c>
      <c r="C96" s="2">
        <v>140028</v>
      </c>
      <c r="D96" s="2">
        <v>843</v>
      </c>
      <c r="F96" s="2">
        <v>6</v>
      </c>
      <c r="G96" s="2">
        <v>4</v>
      </c>
      <c r="H96" s="2">
        <v>3</v>
      </c>
      <c r="I96" s="2">
        <v>16</v>
      </c>
      <c r="J96" s="2">
        <v>3</v>
      </c>
      <c r="K96" s="2">
        <v>7</v>
      </c>
      <c r="L96" s="2">
        <v>10</v>
      </c>
      <c r="M96" s="2">
        <v>0</v>
      </c>
      <c r="N96" s="2">
        <v>0</v>
      </c>
      <c r="O96" s="2">
        <v>3</v>
      </c>
      <c r="P96" s="2">
        <v>0</v>
      </c>
      <c r="Q96" s="2">
        <v>6</v>
      </c>
      <c r="R96" s="238">
        <v>44096</v>
      </c>
      <c r="S96" s="219">
        <v>12</v>
      </c>
      <c r="T96" s="220">
        <f>SUM( tabConsumo[[#This Row],[QTD.PENDENTE]]:tabConsumo[[#This Row],[09_23]] ) / tabConsumo[[#This Row],[Div]]</f>
        <v>4.833333333333333</v>
      </c>
      <c r="U96" s="221">
        <f xml:space="preserve"> tabConsumo[[#This Row],[Média.A]] + (_xlfn.STDEV.S( tabConsumo[[#This Row],[QTD.PENDENTE]]:tabConsumo[[#This Row],[09_23]] ) * 1)</f>
        <v>9.5010821256184101</v>
      </c>
      <c r="V96" s="221">
        <f xml:space="preserve"> tabConsumo[[#This Row],[Média.A]] + (_xlfn.STDEV.S( tabConsumo[[#This Row],[QTD.PENDENTE]]:tabConsumo[[#This Row],[09_23]] ) * 2)</f>
        <v>14.168830917903485</v>
      </c>
      <c r="W96" s="221">
        <f xml:space="preserve"> tabConsumo[[#This Row],[Média.A]] + (_xlfn.STDEV.S( tabConsumo[[#This Row],[QTD.PENDENTE]]:tabConsumo[[#This Row],[09_23]] ) * 3)</f>
        <v>18.836579710188563</v>
      </c>
      <c r="X96" s="5">
        <f t="shared" si="3"/>
        <v>2</v>
      </c>
      <c r="Y96">
        <v>4.666666666666667</v>
      </c>
      <c r="Z96" s="223">
        <f>SUM( tabConsumo[[#This Row],[QTD.PENDENTE]]:tabConsumo[[#This Row],[09_23]] )</f>
        <v>58</v>
      </c>
      <c r="AA96" s="223">
        <f>LARGE(tabConsumo[[#This Row],[10_22]:[09_23]],1)</f>
        <v>16</v>
      </c>
      <c r="AB96" s="146" t="s">
        <v>2238</v>
      </c>
      <c r="AC96" s="3" t="s">
        <v>2086</v>
      </c>
    </row>
    <row r="97" spans="1:29" x14ac:dyDescent="0.3">
      <c r="A97" s="4" t="s">
        <v>2005</v>
      </c>
      <c r="B97" s="3" t="s">
        <v>272</v>
      </c>
      <c r="C97" s="2">
        <v>140042</v>
      </c>
      <c r="D97" s="2">
        <v>0</v>
      </c>
      <c r="E97" s="2">
        <v>54</v>
      </c>
      <c r="F97" s="2">
        <v>1600</v>
      </c>
      <c r="G97" s="2">
        <v>600</v>
      </c>
      <c r="H97" s="2">
        <v>500</v>
      </c>
      <c r="I97" s="2">
        <v>0</v>
      </c>
      <c r="J97" s="2">
        <v>0</v>
      </c>
      <c r="K97" s="2">
        <v>528</v>
      </c>
      <c r="L97" s="2">
        <v>706</v>
      </c>
      <c r="M97" s="2">
        <v>146</v>
      </c>
      <c r="N97" s="2">
        <v>0</v>
      </c>
      <c r="O97" s="2">
        <v>0</v>
      </c>
      <c r="P97" s="2">
        <v>0</v>
      </c>
      <c r="Q97" s="2">
        <v>0</v>
      </c>
      <c r="R97" s="238">
        <v>44096</v>
      </c>
      <c r="S97" s="219">
        <v>12</v>
      </c>
      <c r="T97" s="220">
        <f>SUM( tabConsumo[[#This Row],[QTD.PENDENTE]]:tabConsumo[[#This Row],[09_23]] ) / tabConsumo[[#This Row],[Div]]</f>
        <v>344.5</v>
      </c>
      <c r="U97" s="221">
        <f xml:space="preserve"> tabConsumo[[#This Row],[Média.A]] + (_xlfn.STDEV.S( tabConsumo[[#This Row],[QTD.PENDENTE]]:tabConsumo[[#This Row],[09_23]] ) * 1)</f>
        <v>815.03515632026188</v>
      </c>
      <c r="V97" s="221">
        <f xml:space="preserve"> tabConsumo[[#This Row],[Média.A]] + (_xlfn.STDEV.S( tabConsumo[[#This Row],[QTD.PENDENTE]]:tabConsumo[[#This Row],[09_23]] ) * 2)</f>
        <v>1285.5703126405238</v>
      </c>
      <c r="W97" s="221">
        <f xml:space="preserve"> tabConsumo[[#This Row],[Média.A]] + (_xlfn.STDEV.S( tabConsumo[[#This Row],[QTD.PENDENTE]]:tabConsumo[[#This Row],[09_23]] ) * 3)</f>
        <v>1756.1054689607859</v>
      </c>
      <c r="X97" s="5">
        <f t="shared" si="3"/>
        <v>2</v>
      </c>
      <c r="Y97">
        <v>318.25</v>
      </c>
      <c r="Z97" s="223">
        <f>SUM( tabConsumo[[#This Row],[QTD.PENDENTE]]:tabConsumo[[#This Row],[09_23]] )</f>
        <v>4134</v>
      </c>
      <c r="AA97" s="223">
        <f>LARGE(tabConsumo[[#This Row],[10_22]:[09_23]],1)</f>
        <v>1600</v>
      </c>
      <c r="AB97" s="146" t="s">
        <v>2244</v>
      </c>
      <c r="AC97" s="3" t="s">
        <v>2086</v>
      </c>
    </row>
    <row r="98" spans="1:29" x14ac:dyDescent="0.3">
      <c r="A98" s="4" t="s">
        <v>2006</v>
      </c>
      <c r="B98" s="3" t="s">
        <v>272</v>
      </c>
      <c r="C98" s="2">
        <v>140043</v>
      </c>
      <c r="D98" s="2">
        <v>0</v>
      </c>
      <c r="E98" s="2">
        <v>263.3</v>
      </c>
      <c r="F98" s="2">
        <v>510</v>
      </c>
      <c r="G98" s="2">
        <v>100</v>
      </c>
      <c r="H98" s="2">
        <v>69.7</v>
      </c>
      <c r="I98" s="2">
        <v>0</v>
      </c>
      <c r="J98" s="2">
        <v>0</v>
      </c>
      <c r="K98" s="2">
        <v>100</v>
      </c>
      <c r="L98" s="2">
        <v>67</v>
      </c>
      <c r="M98" s="2">
        <v>0</v>
      </c>
      <c r="N98" s="2">
        <v>0</v>
      </c>
      <c r="O98" s="2">
        <v>0</v>
      </c>
      <c r="P98" s="2">
        <v>0</v>
      </c>
      <c r="Q98" s="2">
        <v>0</v>
      </c>
      <c r="R98" s="238">
        <v>44096</v>
      </c>
      <c r="S98" s="219">
        <v>12</v>
      </c>
      <c r="T98" s="220">
        <f>SUM( tabConsumo[[#This Row],[QTD.PENDENTE]]:tabConsumo[[#This Row],[09_23]] ) / tabConsumo[[#This Row],[Div]]</f>
        <v>92.5</v>
      </c>
      <c r="U98" s="221">
        <f xml:space="preserve"> tabConsumo[[#This Row],[Média.A]] + (_xlfn.STDEV.S( tabConsumo[[#This Row],[QTD.PENDENTE]]:tabConsumo[[#This Row],[09_23]] ) * 1)</f>
        <v>240.82314298041877</v>
      </c>
      <c r="V98" s="221">
        <f xml:space="preserve"> tabConsumo[[#This Row],[Média.A]] + (_xlfn.STDEV.S( tabConsumo[[#This Row],[QTD.PENDENTE]]:tabConsumo[[#This Row],[09_23]] ) * 2)</f>
        <v>389.14628596083753</v>
      </c>
      <c r="W98" s="221">
        <f xml:space="preserve"> tabConsumo[[#This Row],[Média.A]] + (_xlfn.STDEV.S( tabConsumo[[#This Row],[QTD.PENDENTE]]:tabConsumo[[#This Row],[09_23]] ) * 3)</f>
        <v>537.4694289412563</v>
      </c>
      <c r="X98" s="5">
        <f t="shared" si="3"/>
        <v>2</v>
      </c>
      <c r="Y98">
        <v>82.416666666666671</v>
      </c>
      <c r="Z98" s="223">
        <f>SUM( tabConsumo[[#This Row],[QTD.PENDENTE]]:tabConsumo[[#This Row],[09_23]] )</f>
        <v>1110</v>
      </c>
      <c r="AA98" s="223">
        <f>LARGE(tabConsumo[[#This Row],[10_22]:[09_23]],1)</f>
        <v>510</v>
      </c>
      <c r="AB98" s="146" t="s">
        <v>2240</v>
      </c>
      <c r="AC98" s="3" t="s">
        <v>2086</v>
      </c>
    </row>
    <row r="99" spans="1:29" x14ac:dyDescent="0.3">
      <c r="A99" s="4" t="s">
        <v>2011</v>
      </c>
      <c r="B99" s="3" t="s">
        <v>272</v>
      </c>
      <c r="C99" s="2">
        <v>140051</v>
      </c>
      <c r="D99" s="2">
        <v>1428</v>
      </c>
      <c r="F99" s="2">
        <v>0</v>
      </c>
      <c r="G99" s="2">
        <v>0</v>
      </c>
      <c r="H99" s="2">
        <v>100</v>
      </c>
      <c r="I99" s="2">
        <v>0</v>
      </c>
      <c r="J99" s="2">
        <v>0</v>
      </c>
      <c r="K99" s="2">
        <v>0</v>
      </c>
      <c r="L99" s="2">
        <v>104</v>
      </c>
      <c r="M99" s="2">
        <v>0</v>
      </c>
      <c r="N99" s="2">
        <v>0</v>
      </c>
      <c r="O99" s="2">
        <v>0</v>
      </c>
      <c r="P99" s="2">
        <v>10</v>
      </c>
      <c r="Q99" s="2">
        <v>100</v>
      </c>
      <c r="R99" s="238">
        <v>44096</v>
      </c>
      <c r="S99" s="219">
        <v>12</v>
      </c>
      <c r="T99" s="220">
        <f>SUM( tabConsumo[[#This Row],[QTD.PENDENTE]]:tabConsumo[[#This Row],[09_23]] ) / tabConsumo[[#This Row],[Div]]</f>
        <v>26.166666666666668</v>
      </c>
      <c r="U99" s="221">
        <f xml:space="preserve"> tabConsumo[[#This Row],[Média.A]] + (_xlfn.STDEV.S( tabConsumo[[#This Row],[QTD.PENDENTE]]:tabConsumo[[#This Row],[09_23]] ) * 1)</f>
        <v>71.593597672470494</v>
      </c>
      <c r="V99" s="221">
        <f xml:space="preserve"> tabConsumo[[#This Row],[Média.A]] + (_xlfn.STDEV.S( tabConsumo[[#This Row],[QTD.PENDENTE]]:tabConsumo[[#This Row],[09_23]] ) * 2)</f>
        <v>117.02052867827432</v>
      </c>
      <c r="W99" s="221">
        <f xml:space="preserve"> tabConsumo[[#This Row],[Média.A]] + (_xlfn.STDEV.S( tabConsumo[[#This Row],[QTD.PENDENTE]]:tabConsumo[[#This Row],[09_23]] ) * 3)</f>
        <v>162.44745968407813</v>
      </c>
      <c r="X99" s="5">
        <f t="shared" si="3"/>
        <v>2</v>
      </c>
      <c r="Y99">
        <v>26.166666666666668</v>
      </c>
      <c r="Z99" s="223">
        <f>SUM( tabConsumo[[#This Row],[QTD.PENDENTE]]:tabConsumo[[#This Row],[09_23]] )</f>
        <v>314</v>
      </c>
      <c r="AA99" s="223">
        <f>LARGE(tabConsumo[[#This Row],[10_22]:[09_23]],1)</f>
        <v>104</v>
      </c>
      <c r="AB99" s="146" t="s">
        <v>2238</v>
      </c>
      <c r="AC99" s="3" t="s">
        <v>2086</v>
      </c>
    </row>
    <row r="100" spans="1:29" x14ac:dyDescent="0.3">
      <c r="A100" s="4" t="s">
        <v>2000</v>
      </c>
      <c r="B100" s="3" t="s">
        <v>260</v>
      </c>
      <c r="C100" s="2">
        <v>140032</v>
      </c>
      <c r="D100" s="2">
        <v>44</v>
      </c>
      <c r="E100" s="2">
        <v>3</v>
      </c>
      <c r="F100" s="2">
        <v>13</v>
      </c>
      <c r="G100" s="2">
        <v>15</v>
      </c>
      <c r="H100" s="2">
        <v>23</v>
      </c>
      <c r="I100" s="2">
        <v>39</v>
      </c>
      <c r="J100" s="2">
        <v>25</v>
      </c>
      <c r="K100" s="2">
        <v>23</v>
      </c>
      <c r="L100" s="2">
        <v>17</v>
      </c>
      <c r="M100" s="2">
        <v>16</v>
      </c>
      <c r="N100" s="2">
        <v>50</v>
      </c>
      <c r="O100" s="2">
        <v>30</v>
      </c>
      <c r="P100" s="2">
        <v>36</v>
      </c>
      <c r="Q100" s="2">
        <v>20</v>
      </c>
      <c r="R100" s="238">
        <v>44096</v>
      </c>
      <c r="S100" s="219">
        <v>12</v>
      </c>
      <c r="T100" s="220">
        <f>SUM( tabConsumo[[#This Row],[QTD.PENDENTE]]:tabConsumo[[#This Row],[09_23]] ) / tabConsumo[[#This Row],[Div]]</f>
        <v>25.833333333333332</v>
      </c>
      <c r="U100" s="221">
        <f xml:space="preserve"> tabConsumo[[#This Row],[Média.A]] + (_xlfn.STDEV.S( tabConsumo[[#This Row],[QTD.PENDENTE]]:tabConsumo[[#This Row],[09_23]] ) * 1)</f>
        <v>38.268807817285506</v>
      </c>
      <c r="V100" s="221">
        <f xml:space="preserve"> tabConsumo[[#This Row],[Média.A]] + (_xlfn.STDEV.S( tabConsumo[[#This Row],[QTD.PENDENTE]]:tabConsumo[[#This Row],[09_23]] ) * 2)</f>
        <v>50.704282301237683</v>
      </c>
      <c r="W100" s="221">
        <f xml:space="preserve"> tabConsumo[[#This Row],[Média.A]] + (_xlfn.STDEV.S( tabConsumo[[#This Row],[QTD.PENDENTE]]:tabConsumo[[#This Row],[09_23]] ) * 3)</f>
        <v>63.13975678518986</v>
      </c>
      <c r="X100" s="5">
        <f t="shared" si="3"/>
        <v>2</v>
      </c>
      <c r="Y100">
        <v>25.833333333333332</v>
      </c>
      <c r="Z100" s="223">
        <f>SUM( tabConsumo[[#This Row],[QTD.PENDENTE]]:tabConsumo[[#This Row],[09_23]] )</f>
        <v>310</v>
      </c>
      <c r="AA100" s="223">
        <f>LARGE(tabConsumo[[#This Row],[10_22]:[09_23]],1)</f>
        <v>50</v>
      </c>
      <c r="AB100" s="146" t="s">
        <v>2238</v>
      </c>
      <c r="AC100" s="3" t="s">
        <v>2086</v>
      </c>
    </row>
    <row r="101" spans="1:29" x14ac:dyDescent="0.3">
      <c r="A101" s="4" t="s">
        <v>1999</v>
      </c>
      <c r="B101" s="3" t="s">
        <v>260</v>
      </c>
      <c r="C101" s="2">
        <v>140030</v>
      </c>
      <c r="D101" s="2">
        <v>60</v>
      </c>
      <c r="F101" s="2">
        <v>6</v>
      </c>
      <c r="G101" s="2">
        <v>3</v>
      </c>
      <c r="H101" s="2">
        <v>4</v>
      </c>
      <c r="I101" s="2">
        <v>6</v>
      </c>
      <c r="J101" s="2">
        <v>3</v>
      </c>
      <c r="K101" s="2">
        <v>2</v>
      </c>
      <c r="L101" s="2">
        <v>7</v>
      </c>
      <c r="M101" s="2">
        <v>4</v>
      </c>
      <c r="N101" s="2">
        <v>14</v>
      </c>
      <c r="O101" s="2">
        <v>29</v>
      </c>
      <c r="P101" s="2">
        <v>5</v>
      </c>
      <c r="Q101" s="2">
        <v>20</v>
      </c>
      <c r="R101" s="238">
        <v>44096</v>
      </c>
      <c r="S101" s="219">
        <v>12</v>
      </c>
      <c r="T101" s="220">
        <f>SUM( tabConsumo[[#This Row],[QTD.PENDENTE]]:tabConsumo[[#This Row],[09_23]] ) / tabConsumo[[#This Row],[Div]]</f>
        <v>8.5833333333333339</v>
      </c>
      <c r="U101" s="221">
        <f xml:space="preserve"> tabConsumo[[#This Row],[Média.A]] + (_xlfn.STDEV.S( tabConsumo[[#This Row],[QTD.PENDENTE]]:tabConsumo[[#This Row],[09_23]] ) * 1)</f>
        <v>16.856601713905167</v>
      </c>
      <c r="V101" s="221">
        <f xml:space="preserve"> tabConsumo[[#This Row],[Média.A]] + (_xlfn.STDEV.S( tabConsumo[[#This Row],[QTD.PENDENTE]]:tabConsumo[[#This Row],[09_23]] ) * 2)</f>
        <v>25.129870094476999</v>
      </c>
      <c r="W101" s="221">
        <f xml:space="preserve"> tabConsumo[[#This Row],[Média.A]] + (_xlfn.STDEV.S( tabConsumo[[#This Row],[QTD.PENDENTE]]:tabConsumo[[#This Row],[09_23]] ) * 3)</f>
        <v>33.403138475048834</v>
      </c>
      <c r="X101" s="5">
        <f t="shared" si="3"/>
        <v>2</v>
      </c>
      <c r="Y101">
        <v>8.25</v>
      </c>
      <c r="Z101" s="223">
        <f>SUM( tabConsumo[[#This Row],[QTD.PENDENTE]]:tabConsumo[[#This Row],[09_23]] )</f>
        <v>103</v>
      </c>
      <c r="AA101" s="223">
        <f>LARGE(tabConsumo[[#This Row],[10_22]:[09_23]],1)</f>
        <v>29</v>
      </c>
      <c r="AB101" s="146" t="s">
        <v>2238</v>
      </c>
      <c r="AC101" s="3" t="s">
        <v>2086</v>
      </c>
    </row>
    <row r="102" spans="1:29" x14ac:dyDescent="0.3">
      <c r="A102" s="4" t="s">
        <v>2026</v>
      </c>
      <c r="B102" s="3" t="s">
        <v>272</v>
      </c>
      <c r="C102" s="2">
        <v>140242</v>
      </c>
      <c r="D102" s="2">
        <v>933</v>
      </c>
      <c r="F102" s="2">
        <v>0</v>
      </c>
      <c r="G102" s="2">
        <v>135</v>
      </c>
      <c r="H102" s="2">
        <v>100</v>
      </c>
      <c r="I102" s="2">
        <v>250</v>
      </c>
      <c r="J102" s="2">
        <v>0</v>
      </c>
      <c r="K102" s="2">
        <v>0</v>
      </c>
      <c r="L102" s="2">
        <v>0</v>
      </c>
      <c r="M102" s="2">
        <v>500</v>
      </c>
      <c r="N102" s="2">
        <v>0</v>
      </c>
      <c r="O102" s="2">
        <v>0</v>
      </c>
      <c r="P102" s="2">
        <v>0</v>
      </c>
      <c r="Q102" s="2">
        <v>0</v>
      </c>
      <c r="R102" s="238">
        <v>44132</v>
      </c>
      <c r="S102" s="219">
        <v>12</v>
      </c>
      <c r="T102" s="220">
        <f>SUM( tabConsumo[[#This Row],[QTD.PENDENTE]]:tabConsumo[[#This Row],[09_23]] ) / tabConsumo[[#This Row],[Div]]</f>
        <v>82.083333333333329</v>
      </c>
      <c r="U102" s="221">
        <f xml:space="preserve"> tabConsumo[[#This Row],[Média.A]] + (_xlfn.STDEV.S( tabConsumo[[#This Row],[QTD.PENDENTE]]:tabConsumo[[#This Row],[09_23]] ) * 1)</f>
        <v>235.78697872296163</v>
      </c>
      <c r="V102" s="221">
        <f xml:space="preserve"> tabConsumo[[#This Row],[Média.A]] + (_xlfn.STDEV.S( tabConsumo[[#This Row],[QTD.PENDENTE]]:tabConsumo[[#This Row],[09_23]] ) * 2)</f>
        <v>389.49062411258996</v>
      </c>
      <c r="W102" s="221">
        <f xml:space="preserve"> tabConsumo[[#This Row],[Média.A]] + (_xlfn.STDEV.S( tabConsumo[[#This Row],[QTD.PENDENTE]]:tabConsumo[[#This Row],[09_23]] ) * 3)</f>
        <v>543.19426950221828</v>
      </c>
      <c r="X102" s="5">
        <f t="shared" si="3"/>
        <v>2</v>
      </c>
      <c r="Y102">
        <v>72.833333333333329</v>
      </c>
      <c r="Z102" s="223">
        <f>SUM( tabConsumo[[#This Row],[QTD.PENDENTE]]:tabConsumo[[#This Row],[09_23]] )</f>
        <v>985</v>
      </c>
      <c r="AA102" s="223">
        <f>LARGE(tabConsumo[[#This Row],[10_22]:[09_23]],1)</f>
        <v>500</v>
      </c>
      <c r="AB102" s="146" t="s">
        <v>2244</v>
      </c>
      <c r="AC102" s="3" t="s">
        <v>2086</v>
      </c>
    </row>
    <row r="103" spans="1:29" x14ac:dyDescent="0.3">
      <c r="A103" s="4" t="s">
        <v>2012</v>
      </c>
      <c r="B103" s="3" t="s">
        <v>272</v>
      </c>
      <c r="C103" s="2">
        <v>140052</v>
      </c>
      <c r="D103" s="2">
        <v>0</v>
      </c>
      <c r="E103" s="2">
        <v>10</v>
      </c>
      <c r="F103" s="2">
        <v>270</v>
      </c>
      <c r="G103" s="2">
        <v>150</v>
      </c>
      <c r="H103" s="2">
        <v>300</v>
      </c>
      <c r="I103" s="2">
        <v>475</v>
      </c>
      <c r="J103" s="2">
        <v>5</v>
      </c>
      <c r="K103" s="2">
        <v>0</v>
      </c>
      <c r="L103" s="2">
        <v>0</v>
      </c>
      <c r="M103" s="2">
        <v>879</v>
      </c>
      <c r="N103" s="2">
        <v>0</v>
      </c>
      <c r="O103" s="2">
        <v>0</v>
      </c>
      <c r="P103" s="2">
        <v>0</v>
      </c>
      <c r="Q103" s="2">
        <v>0</v>
      </c>
      <c r="R103" s="238">
        <v>44096</v>
      </c>
      <c r="S103" s="219">
        <v>12</v>
      </c>
      <c r="T103" s="220">
        <f>SUM( tabConsumo[[#This Row],[QTD.PENDENTE]]:tabConsumo[[#This Row],[09_23]] ) / tabConsumo[[#This Row],[Div]]</f>
        <v>174.08333333333334</v>
      </c>
      <c r="U103" s="221">
        <f xml:space="preserve"> tabConsumo[[#This Row],[Média.A]] + (_xlfn.STDEV.S( tabConsumo[[#This Row],[QTD.PENDENTE]]:tabConsumo[[#This Row],[09_23]] ) * 1)</f>
        <v>439.93178158138585</v>
      </c>
      <c r="V103" s="221">
        <f xml:space="preserve"> tabConsumo[[#This Row],[Média.A]] + (_xlfn.STDEV.S( tabConsumo[[#This Row],[QTD.PENDENTE]]:tabConsumo[[#This Row],[09_23]] ) * 2)</f>
        <v>705.78022982943833</v>
      </c>
      <c r="W103" s="221">
        <f xml:space="preserve"> tabConsumo[[#This Row],[Média.A]] + (_xlfn.STDEV.S( tabConsumo[[#This Row],[QTD.PENDENTE]]:tabConsumo[[#This Row],[09_23]] ) * 3)</f>
        <v>971.6286780774908</v>
      </c>
      <c r="X103" s="5">
        <f t="shared" si="3"/>
        <v>2</v>
      </c>
      <c r="Y103">
        <v>159.58333333333334</v>
      </c>
      <c r="Z103" s="223">
        <f>SUM( tabConsumo[[#This Row],[QTD.PENDENTE]]:tabConsumo[[#This Row],[09_23]] )</f>
        <v>2089</v>
      </c>
      <c r="AA103" s="223">
        <f>LARGE(tabConsumo[[#This Row],[10_22]:[09_23]],1)</f>
        <v>879</v>
      </c>
      <c r="AB103" s="146" t="s">
        <v>2244</v>
      </c>
      <c r="AC103" s="3" t="s">
        <v>2086</v>
      </c>
    </row>
    <row r="104" spans="1:29" x14ac:dyDescent="0.3">
      <c r="A104" s="4" t="s">
        <v>2013</v>
      </c>
      <c r="B104" s="3" t="s">
        <v>272</v>
      </c>
      <c r="C104" s="2">
        <v>140053</v>
      </c>
      <c r="D104" s="2">
        <v>0</v>
      </c>
      <c r="E104" s="2">
        <v>64</v>
      </c>
      <c r="F104" s="2">
        <v>0</v>
      </c>
      <c r="G104" s="2">
        <v>135</v>
      </c>
      <c r="H104" s="2">
        <v>100</v>
      </c>
      <c r="I104" s="2">
        <v>356</v>
      </c>
      <c r="J104" s="2">
        <v>0</v>
      </c>
      <c r="K104" s="2">
        <v>0</v>
      </c>
      <c r="L104" s="2">
        <v>0</v>
      </c>
      <c r="M104" s="2">
        <v>236</v>
      </c>
      <c r="N104" s="2">
        <v>0</v>
      </c>
      <c r="O104" s="2">
        <v>0</v>
      </c>
      <c r="P104" s="2">
        <v>0</v>
      </c>
      <c r="Q104" s="2">
        <v>0</v>
      </c>
      <c r="R104" s="238">
        <v>44096</v>
      </c>
      <c r="S104" s="219">
        <v>12</v>
      </c>
      <c r="T104" s="220">
        <f>SUM( tabConsumo[[#This Row],[QTD.PENDENTE]]:tabConsumo[[#This Row],[09_23]] ) / tabConsumo[[#This Row],[Div]]</f>
        <v>74.25</v>
      </c>
      <c r="U104" s="221">
        <f xml:space="preserve"> tabConsumo[[#This Row],[Média.A]] + (_xlfn.STDEV.S( tabConsumo[[#This Row],[QTD.PENDENTE]]:tabConsumo[[#This Row],[09_23]] ) * 1)</f>
        <v>187.41846983193932</v>
      </c>
      <c r="V104" s="221">
        <f xml:space="preserve"> tabConsumo[[#This Row],[Média.A]] + (_xlfn.STDEV.S( tabConsumo[[#This Row],[QTD.PENDENTE]]:tabConsumo[[#This Row],[09_23]] ) * 2)</f>
        <v>300.58693966387864</v>
      </c>
      <c r="W104" s="221">
        <f xml:space="preserve"> tabConsumo[[#This Row],[Média.A]] + (_xlfn.STDEV.S( tabConsumo[[#This Row],[QTD.PENDENTE]]:tabConsumo[[#This Row],[09_23]] ) * 3)</f>
        <v>413.75540949581801</v>
      </c>
      <c r="X104" s="5">
        <f t="shared" si="3"/>
        <v>2</v>
      </c>
      <c r="Y104">
        <v>69.583333333333329</v>
      </c>
      <c r="Z104" s="223">
        <f>SUM( tabConsumo[[#This Row],[QTD.PENDENTE]]:tabConsumo[[#This Row],[09_23]] )</f>
        <v>891</v>
      </c>
      <c r="AA104" s="223">
        <f>LARGE(tabConsumo[[#This Row],[10_22]:[09_23]],1)</f>
        <v>356</v>
      </c>
      <c r="AB104" s="146" t="s">
        <v>2244</v>
      </c>
      <c r="AC104" s="3" t="s">
        <v>2086</v>
      </c>
    </row>
    <row r="105" spans="1:29" x14ac:dyDescent="0.3">
      <c r="A105" s="4" t="s">
        <v>2016</v>
      </c>
      <c r="B105" s="3" t="s">
        <v>272</v>
      </c>
      <c r="C105" s="2">
        <v>140056</v>
      </c>
      <c r="D105" s="2">
        <v>1635</v>
      </c>
      <c r="F105" s="2">
        <v>0</v>
      </c>
      <c r="G105" s="2">
        <v>0</v>
      </c>
      <c r="H105" s="2">
        <v>30</v>
      </c>
      <c r="I105" s="2">
        <v>0</v>
      </c>
      <c r="J105" s="2">
        <v>0</v>
      </c>
      <c r="K105" s="2">
        <v>0</v>
      </c>
      <c r="L105" s="2">
        <v>0</v>
      </c>
      <c r="M105" s="2">
        <v>0</v>
      </c>
      <c r="N105" s="2">
        <v>5</v>
      </c>
      <c r="O105" s="2">
        <v>0</v>
      </c>
      <c r="P105" s="2">
        <v>40</v>
      </c>
      <c r="Q105" s="2">
        <v>0</v>
      </c>
      <c r="R105" s="238">
        <v>44096</v>
      </c>
      <c r="S105" s="219">
        <v>12</v>
      </c>
      <c r="T105" s="220">
        <f>SUM( tabConsumo[[#This Row],[QTD.PENDENTE]]:tabConsumo[[#This Row],[09_23]] ) / tabConsumo[[#This Row],[Div]]</f>
        <v>6.25</v>
      </c>
      <c r="U105" s="221">
        <f xml:space="preserve"> tabConsumo[[#This Row],[Média.A]] + (_xlfn.STDEV.S( tabConsumo[[#This Row],[QTD.PENDENTE]]:tabConsumo[[#This Row],[09_23]] ) * 1)</f>
        <v>19.922301129722758</v>
      </c>
      <c r="V105" s="221">
        <f xml:space="preserve"> tabConsumo[[#This Row],[Média.A]] + (_xlfn.STDEV.S( tabConsumo[[#This Row],[QTD.PENDENTE]]:tabConsumo[[#This Row],[09_23]] ) * 2)</f>
        <v>33.594602259445516</v>
      </c>
      <c r="W105" s="221">
        <f xml:space="preserve"> tabConsumo[[#This Row],[Média.A]] + (_xlfn.STDEV.S( tabConsumo[[#This Row],[QTD.PENDENTE]]:tabConsumo[[#This Row],[09_23]] ) * 3)</f>
        <v>47.266903389168277</v>
      </c>
      <c r="X105" s="5">
        <f t="shared" si="3"/>
        <v>2</v>
      </c>
      <c r="Y105">
        <v>5.666666666666667</v>
      </c>
      <c r="Z105" s="223">
        <f>SUM( tabConsumo[[#This Row],[QTD.PENDENTE]]:tabConsumo[[#This Row],[09_23]] )</f>
        <v>75</v>
      </c>
      <c r="AA105" s="223">
        <f>LARGE(tabConsumo[[#This Row],[10_22]:[09_23]],1)</f>
        <v>40</v>
      </c>
      <c r="AB105" s="146" t="s">
        <v>2241</v>
      </c>
      <c r="AC105" s="3" t="s">
        <v>2086</v>
      </c>
    </row>
    <row r="106" spans="1:29" x14ac:dyDescent="0.3">
      <c r="A106" s="4" t="s">
        <v>2015</v>
      </c>
      <c r="B106" s="3" t="s">
        <v>272</v>
      </c>
      <c r="C106" s="2">
        <v>140055</v>
      </c>
      <c r="D106" s="2">
        <v>5710</v>
      </c>
      <c r="F106" s="2">
        <v>0</v>
      </c>
      <c r="G106" s="2">
        <v>150</v>
      </c>
      <c r="H106" s="2">
        <v>0</v>
      </c>
      <c r="I106" s="2">
        <v>16</v>
      </c>
      <c r="J106" s="2">
        <v>0</v>
      </c>
      <c r="K106" s="2">
        <v>0</v>
      </c>
      <c r="L106" s="2">
        <v>0</v>
      </c>
      <c r="M106" s="2">
        <v>0</v>
      </c>
      <c r="N106" s="2">
        <v>0</v>
      </c>
      <c r="O106" s="2">
        <v>0</v>
      </c>
      <c r="P106" s="2">
        <v>120</v>
      </c>
      <c r="Q106" s="2">
        <v>50</v>
      </c>
      <c r="R106" s="238">
        <v>44096</v>
      </c>
      <c r="S106" s="219">
        <v>12</v>
      </c>
      <c r="T106" s="220">
        <f>SUM( tabConsumo[[#This Row],[QTD.PENDENTE]]:tabConsumo[[#This Row],[09_23]] ) / tabConsumo[[#This Row],[Div]]</f>
        <v>28</v>
      </c>
      <c r="U106" s="221">
        <f xml:space="preserve"> tabConsumo[[#This Row],[Média.A]] + (_xlfn.STDEV.S( tabConsumo[[#This Row],[QTD.PENDENTE]]:tabConsumo[[#This Row],[09_23]] ) * 1)</f>
        <v>80.438708811508519</v>
      </c>
      <c r="V106" s="221">
        <f xml:space="preserve"> tabConsumo[[#This Row],[Média.A]] + (_xlfn.STDEV.S( tabConsumo[[#This Row],[QTD.PENDENTE]]:tabConsumo[[#This Row],[09_23]] ) * 2)</f>
        <v>132.87741762301704</v>
      </c>
      <c r="W106" s="221">
        <f xml:space="preserve"> tabConsumo[[#This Row],[Média.A]] + (_xlfn.STDEV.S( tabConsumo[[#This Row],[QTD.PENDENTE]]:tabConsumo[[#This Row],[09_23]] ) * 3)</f>
        <v>185.31612643452559</v>
      </c>
      <c r="X106" s="5">
        <f t="shared" si="3"/>
        <v>2</v>
      </c>
      <c r="Y106">
        <v>26.5</v>
      </c>
      <c r="Z106" s="223">
        <f>SUM( tabConsumo[[#This Row],[QTD.PENDENTE]]:tabConsumo[[#This Row],[09_23]] )</f>
        <v>336</v>
      </c>
      <c r="AA106" s="223">
        <f>LARGE(tabConsumo[[#This Row],[10_22]:[09_23]],1)</f>
        <v>150</v>
      </c>
      <c r="AB106" s="146" t="s">
        <v>2238</v>
      </c>
      <c r="AC106" s="3" t="s">
        <v>2086</v>
      </c>
    </row>
    <row r="107" spans="1:29" x14ac:dyDescent="0.3">
      <c r="A107" s="4" t="s">
        <v>2014</v>
      </c>
      <c r="B107" s="3" t="s">
        <v>272</v>
      </c>
      <c r="C107" s="2">
        <v>140054</v>
      </c>
      <c r="D107" s="2">
        <v>707</v>
      </c>
      <c r="F107" s="2">
        <v>0</v>
      </c>
      <c r="G107" s="2">
        <v>0</v>
      </c>
      <c r="H107" s="2">
        <v>30</v>
      </c>
      <c r="I107" s="2">
        <v>10</v>
      </c>
      <c r="J107" s="2">
        <v>0</v>
      </c>
      <c r="K107" s="2">
        <v>0</v>
      </c>
      <c r="L107" s="2">
        <v>0</v>
      </c>
      <c r="M107" s="2">
        <v>307</v>
      </c>
      <c r="N107" s="2">
        <v>53</v>
      </c>
      <c r="O107" s="2">
        <v>0</v>
      </c>
      <c r="P107" s="2">
        <v>40</v>
      </c>
      <c r="Q107" s="2">
        <v>200</v>
      </c>
      <c r="R107" s="238">
        <v>44096</v>
      </c>
      <c r="S107" s="219">
        <v>12</v>
      </c>
      <c r="T107" s="220">
        <f>SUM( tabConsumo[[#This Row],[QTD.PENDENTE]]:tabConsumo[[#This Row],[09_23]] ) / tabConsumo[[#This Row],[Div]]</f>
        <v>53.333333333333336</v>
      </c>
      <c r="U107" s="221">
        <f xml:space="preserve"> tabConsumo[[#This Row],[Média.A]] + (_xlfn.STDEV.S( tabConsumo[[#This Row],[QTD.PENDENTE]]:tabConsumo[[#This Row],[09_23]] ) * 1)</f>
        <v>151.27796828161172</v>
      </c>
      <c r="V107" s="221">
        <f xml:space="preserve"> tabConsumo[[#This Row],[Média.A]] + (_xlfn.STDEV.S( tabConsumo[[#This Row],[QTD.PENDENTE]]:tabConsumo[[#This Row],[09_23]] ) * 2)</f>
        <v>249.2226032298901</v>
      </c>
      <c r="W107" s="221">
        <f xml:space="preserve"> tabConsumo[[#This Row],[Média.A]] + (_xlfn.STDEV.S( tabConsumo[[#This Row],[QTD.PENDENTE]]:tabConsumo[[#This Row],[09_23]] ) * 3)</f>
        <v>347.16723817816847</v>
      </c>
      <c r="X107" s="5">
        <f t="shared" si="3"/>
        <v>2</v>
      </c>
      <c r="Y107">
        <v>48.5</v>
      </c>
      <c r="Z107" s="223">
        <f>SUM( tabConsumo[[#This Row],[QTD.PENDENTE]]:tabConsumo[[#This Row],[09_23]] )</f>
        <v>640</v>
      </c>
      <c r="AA107" s="223">
        <f>LARGE(tabConsumo[[#This Row],[10_22]:[09_23]],1)</f>
        <v>307</v>
      </c>
      <c r="AB107" s="146" t="s">
        <v>2238</v>
      </c>
      <c r="AC107" s="3" t="s">
        <v>2086</v>
      </c>
    </row>
    <row r="108" spans="1:29" x14ac:dyDescent="0.3">
      <c r="A108" s="4" t="s">
        <v>2001</v>
      </c>
      <c r="B108" s="3" t="s">
        <v>260</v>
      </c>
      <c r="C108" s="2">
        <v>140033</v>
      </c>
      <c r="D108" s="2">
        <v>235</v>
      </c>
      <c r="F108" s="2">
        <v>7</v>
      </c>
      <c r="G108" s="2">
        <v>7</v>
      </c>
      <c r="H108" s="2">
        <v>14</v>
      </c>
      <c r="I108" s="2">
        <v>19</v>
      </c>
      <c r="J108" s="2">
        <v>15</v>
      </c>
      <c r="K108" s="2">
        <v>26</v>
      </c>
      <c r="L108" s="2">
        <v>20</v>
      </c>
      <c r="M108" s="2">
        <v>40</v>
      </c>
      <c r="N108" s="2">
        <v>28</v>
      </c>
      <c r="O108" s="2">
        <v>22</v>
      </c>
      <c r="P108" s="2">
        <v>64</v>
      </c>
      <c r="Q108" s="2">
        <v>15</v>
      </c>
      <c r="R108" s="238">
        <v>44096</v>
      </c>
      <c r="S108" s="219">
        <v>12</v>
      </c>
      <c r="T108" s="220">
        <f>SUM( tabConsumo[[#This Row],[QTD.PENDENTE]]:tabConsumo[[#This Row],[09_23]] ) / tabConsumo[[#This Row],[Div]]</f>
        <v>23.083333333333332</v>
      </c>
      <c r="U108" s="221">
        <f xml:space="preserve"> tabConsumo[[#This Row],[Média.A]] + (_xlfn.STDEV.S( tabConsumo[[#This Row],[QTD.PENDENTE]]:tabConsumo[[#This Row],[09_23]] ) * 1)</f>
        <v>38.89735664599268</v>
      </c>
      <c r="V108" s="221">
        <f xml:space="preserve"> tabConsumo[[#This Row],[Média.A]] + (_xlfn.STDEV.S( tabConsumo[[#This Row],[QTD.PENDENTE]]:tabConsumo[[#This Row],[09_23]] ) * 2)</f>
        <v>54.711379958652032</v>
      </c>
      <c r="W108" s="221">
        <f xml:space="preserve"> tabConsumo[[#This Row],[Média.A]] + (_xlfn.STDEV.S( tabConsumo[[#This Row],[QTD.PENDENTE]]:tabConsumo[[#This Row],[09_23]] ) * 3)</f>
        <v>70.525403271311376</v>
      </c>
      <c r="X108" s="5">
        <f t="shared" si="3"/>
        <v>2</v>
      </c>
      <c r="Y108">
        <v>22.25</v>
      </c>
      <c r="Z108" s="223">
        <f>SUM( tabConsumo[[#This Row],[QTD.PENDENTE]]:tabConsumo[[#This Row],[09_23]] )</f>
        <v>277</v>
      </c>
      <c r="AA108" s="223">
        <f>LARGE(tabConsumo[[#This Row],[10_22]:[09_23]],1)</f>
        <v>64</v>
      </c>
      <c r="AB108" s="146" t="s">
        <v>2238</v>
      </c>
      <c r="AC108" s="3" t="s">
        <v>2086</v>
      </c>
    </row>
    <row r="109" spans="1:29" x14ac:dyDescent="0.3">
      <c r="A109" s="4" t="s">
        <v>2002</v>
      </c>
      <c r="B109" s="3" t="s">
        <v>260</v>
      </c>
      <c r="C109" s="2">
        <v>140035</v>
      </c>
      <c r="D109" s="2">
        <v>11</v>
      </c>
      <c r="F109" s="2">
        <v>3</v>
      </c>
      <c r="G109" s="2">
        <v>2</v>
      </c>
      <c r="H109" s="2">
        <v>5</v>
      </c>
      <c r="I109" s="2">
        <v>7</v>
      </c>
      <c r="J109" s="2">
        <v>7</v>
      </c>
      <c r="K109" s="2">
        <v>10</v>
      </c>
      <c r="L109" s="2">
        <v>7</v>
      </c>
      <c r="M109" s="2">
        <v>19</v>
      </c>
      <c r="N109" s="2">
        <v>4</v>
      </c>
      <c r="O109" s="2">
        <v>18</v>
      </c>
      <c r="P109" s="2">
        <v>10</v>
      </c>
      <c r="Q109" s="2">
        <v>15</v>
      </c>
      <c r="R109" s="238">
        <v>44096</v>
      </c>
      <c r="S109" s="219">
        <v>12</v>
      </c>
      <c r="T109" s="220">
        <f>SUM( tabConsumo[[#This Row],[QTD.PENDENTE]]:tabConsumo[[#This Row],[09_23]] ) / tabConsumo[[#This Row],[Div]]</f>
        <v>8.9166666666666661</v>
      </c>
      <c r="U109" s="221">
        <f xml:space="preserve"> tabConsumo[[#This Row],[Média.A]] + (_xlfn.STDEV.S( tabConsumo[[#This Row],[QTD.PENDENTE]]:tabConsumo[[#This Row],[09_23]] ) * 1)</f>
        <v>14.612890828071279</v>
      </c>
      <c r="V109" s="221">
        <f xml:space="preserve"> tabConsumo[[#This Row],[Média.A]] + (_xlfn.STDEV.S( tabConsumo[[#This Row],[QTD.PENDENTE]]:tabConsumo[[#This Row],[09_23]] ) * 2)</f>
        <v>20.309114989475894</v>
      </c>
      <c r="W109" s="221">
        <f xml:space="preserve"> tabConsumo[[#This Row],[Média.A]] + (_xlfn.STDEV.S( tabConsumo[[#This Row],[QTD.PENDENTE]]:tabConsumo[[#This Row],[09_23]] ) * 3)</f>
        <v>26.005339150880509</v>
      </c>
      <c r="X109" s="5">
        <f t="shared" si="3"/>
        <v>2</v>
      </c>
      <c r="Y109">
        <v>8.9166666666666661</v>
      </c>
      <c r="Z109" s="223">
        <f>SUM( tabConsumo[[#This Row],[QTD.PENDENTE]]:tabConsumo[[#This Row],[09_23]] )</f>
        <v>107</v>
      </c>
      <c r="AA109" s="223">
        <f>LARGE(tabConsumo[[#This Row],[10_22]:[09_23]],1)</f>
        <v>19</v>
      </c>
      <c r="AB109" s="146" t="s">
        <v>2238</v>
      </c>
      <c r="AC109" s="3" t="s">
        <v>2086</v>
      </c>
    </row>
    <row r="110" spans="1:29" x14ac:dyDescent="0.3">
      <c r="A110" s="4" t="s">
        <v>2017</v>
      </c>
      <c r="B110" s="3" t="s">
        <v>272</v>
      </c>
      <c r="C110" s="2">
        <v>140057</v>
      </c>
      <c r="D110" s="2">
        <v>474</v>
      </c>
      <c r="F110" s="2">
        <v>0</v>
      </c>
      <c r="G110" s="2">
        <v>100</v>
      </c>
      <c r="H110" s="2">
        <v>50</v>
      </c>
      <c r="I110" s="2">
        <v>490</v>
      </c>
      <c r="J110" s="2">
        <v>0</v>
      </c>
      <c r="K110" s="2">
        <v>0</v>
      </c>
      <c r="L110" s="2">
        <v>0</v>
      </c>
      <c r="M110" s="2">
        <v>1000</v>
      </c>
      <c r="N110" s="2">
        <v>120</v>
      </c>
      <c r="O110" s="2">
        <v>0</v>
      </c>
      <c r="P110" s="2">
        <v>0</v>
      </c>
      <c r="Q110" s="2">
        <v>500</v>
      </c>
      <c r="R110" s="238">
        <v>44096</v>
      </c>
      <c r="S110" s="219">
        <v>12</v>
      </c>
      <c r="T110" s="220">
        <f>SUM( tabConsumo[[#This Row],[QTD.PENDENTE]]:tabConsumo[[#This Row],[09_23]] ) / tabConsumo[[#This Row],[Div]]</f>
        <v>188.33333333333334</v>
      </c>
      <c r="U110" s="221">
        <f xml:space="preserve"> tabConsumo[[#This Row],[Média.A]] + (_xlfn.STDEV.S( tabConsumo[[#This Row],[QTD.PENDENTE]]:tabConsumo[[#This Row],[09_23]] ) * 1)</f>
        <v>503.31770042978394</v>
      </c>
      <c r="V110" s="221">
        <f xml:space="preserve"> tabConsumo[[#This Row],[Média.A]] + (_xlfn.STDEV.S( tabConsumo[[#This Row],[QTD.PENDENTE]]:tabConsumo[[#This Row],[09_23]] ) * 2)</f>
        <v>818.30206752623451</v>
      </c>
      <c r="W110" s="221">
        <f xml:space="preserve"> tabConsumo[[#This Row],[Média.A]] + (_xlfn.STDEV.S( tabConsumo[[#This Row],[QTD.PENDENTE]]:tabConsumo[[#This Row],[09_23]] ) * 3)</f>
        <v>1133.286434622685</v>
      </c>
      <c r="X110" s="5">
        <f t="shared" si="3"/>
        <v>2</v>
      </c>
      <c r="Y110">
        <v>173.16666666666666</v>
      </c>
      <c r="Z110" s="223">
        <f>SUM( tabConsumo[[#This Row],[QTD.PENDENTE]]:tabConsumo[[#This Row],[09_23]] )</f>
        <v>2260</v>
      </c>
      <c r="AA110" s="223">
        <f>LARGE(tabConsumo[[#This Row],[10_22]:[09_23]],1)</f>
        <v>1000</v>
      </c>
      <c r="AB110" s="146" t="s">
        <v>2238</v>
      </c>
      <c r="AC110" s="3" t="s">
        <v>2086</v>
      </c>
    </row>
    <row r="111" spans="1:29" x14ac:dyDescent="0.3">
      <c r="A111" s="4" t="s">
        <v>2024</v>
      </c>
      <c r="B111" s="3" t="s">
        <v>272</v>
      </c>
      <c r="C111" s="2">
        <v>140126</v>
      </c>
      <c r="D111" s="2">
        <v>891</v>
      </c>
      <c r="F111" s="2">
        <v>0</v>
      </c>
      <c r="G111" s="2">
        <v>75</v>
      </c>
      <c r="H111" s="2">
        <v>100</v>
      </c>
      <c r="I111" s="2">
        <v>0</v>
      </c>
      <c r="J111" s="2">
        <v>0</v>
      </c>
      <c r="K111" s="2">
        <v>0</v>
      </c>
      <c r="L111" s="2">
        <v>110</v>
      </c>
      <c r="M111" s="2">
        <v>0</v>
      </c>
      <c r="N111" s="2">
        <v>5</v>
      </c>
      <c r="O111" s="2">
        <v>26</v>
      </c>
      <c r="P111" s="2">
        <v>0</v>
      </c>
      <c r="Q111" s="2">
        <v>0</v>
      </c>
      <c r="R111" s="238">
        <v>44109</v>
      </c>
      <c r="S111" s="219">
        <v>12</v>
      </c>
      <c r="T111" s="220">
        <f>SUM( tabConsumo[[#This Row],[QTD.PENDENTE]]:tabConsumo[[#This Row],[09_23]] ) / tabConsumo[[#This Row],[Div]]</f>
        <v>26.333333333333332</v>
      </c>
      <c r="U111" s="221">
        <f xml:space="preserve"> tabConsumo[[#This Row],[Média.A]] + (_xlfn.STDEV.S( tabConsumo[[#This Row],[QTD.PENDENTE]]:tabConsumo[[#This Row],[09_23]] ) * 1)</f>
        <v>69.084906049398057</v>
      </c>
      <c r="V111" s="221">
        <f xml:space="preserve"> tabConsumo[[#This Row],[Média.A]] + (_xlfn.STDEV.S( tabConsumo[[#This Row],[QTD.PENDENTE]]:tabConsumo[[#This Row],[09_23]] ) * 2)</f>
        <v>111.83647876546277</v>
      </c>
      <c r="W111" s="221">
        <f xml:space="preserve"> tabConsumo[[#This Row],[Média.A]] + (_xlfn.STDEV.S( tabConsumo[[#This Row],[QTD.PENDENTE]]:tabConsumo[[#This Row],[09_23]] ) * 3)</f>
        <v>154.58805148152751</v>
      </c>
      <c r="X111" s="5">
        <f t="shared" si="3"/>
        <v>2</v>
      </c>
      <c r="Y111">
        <v>26.333333333333332</v>
      </c>
      <c r="Z111" s="223">
        <f>SUM( tabConsumo[[#This Row],[QTD.PENDENTE]]:tabConsumo[[#This Row],[09_23]] )</f>
        <v>316</v>
      </c>
      <c r="AA111" s="223">
        <f>LARGE(tabConsumo[[#This Row],[10_22]:[09_23]],1)</f>
        <v>110</v>
      </c>
      <c r="AB111" s="146" t="s">
        <v>2239</v>
      </c>
      <c r="AC111" s="3" t="s">
        <v>2086</v>
      </c>
    </row>
    <row r="112" spans="1:29" x14ac:dyDescent="0.3">
      <c r="A112" s="4" t="s">
        <v>2003</v>
      </c>
      <c r="B112" s="3" t="s">
        <v>260</v>
      </c>
      <c r="C112" s="2">
        <v>140036</v>
      </c>
      <c r="D112" s="2">
        <v>0</v>
      </c>
      <c r="E112" s="2">
        <v>21</v>
      </c>
      <c r="F112" s="2">
        <v>4</v>
      </c>
      <c r="G112" s="2">
        <v>8</v>
      </c>
      <c r="H112" s="2">
        <v>18</v>
      </c>
      <c r="I112" s="2">
        <v>23</v>
      </c>
      <c r="J112" s="2">
        <v>14</v>
      </c>
      <c r="K112" s="2">
        <v>0</v>
      </c>
      <c r="L112" s="2">
        <v>0</v>
      </c>
      <c r="M112" s="2">
        <v>0</v>
      </c>
      <c r="N112" s="2">
        <v>0</v>
      </c>
      <c r="O112" s="2">
        <v>0</v>
      </c>
      <c r="P112" s="2">
        <v>0</v>
      </c>
      <c r="Q112" s="2">
        <v>0</v>
      </c>
      <c r="R112" s="238">
        <v>44096</v>
      </c>
      <c r="S112" s="219">
        <v>12</v>
      </c>
      <c r="T112" s="220">
        <f>SUM( tabConsumo[[#This Row],[QTD.PENDENTE]]:tabConsumo[[#This Row],[09_23]] ) / tabConsumo[[#This Row],[Div]]</f>
        <v>7.333333333333333</v>
      </c>
      <c r="U112" s="221">
        <f xml:space="preserve"> tabConsumo[[#This Row],[Média.A]] + (_xlfn.STDEV.S( tabConsumo[[#This Row],[QTD.PENDENTE]]:tabConsumo[[#This Row],[09_23]] ) * 1)</f>
        <v>16.344010760270095</v>
      </c>
      <c r="V112" s="221">
        <f xml:space="preserve"> tabConsumo[[#This Row],[Média.A]] + (_xlfn.STDEV.S( tabConsumo[[#This Row],[QTD.PENDENTE]]:tabConsumo[[#This Row],[09_23]] ) * 2)</f>
        <v>25.354688187206854</v>
      </c>
      <c r="W112" s="221">
        <f xml:space="preserve"> tabConsumo[[#This Row],[Média.A]] + (_xlfn.STDEV.S( tabConsumo[[#This Row],[QTD.PENDENTE]]:tabConsumo[[#This Row],[09_23]] ) * 3)</f>
        <v>34.36536561414362</v>
      </c>
      <c r="X112" s="5">
        <f t="shared" si="3"/>
        <v>2</v>
      </c>
      <c r="Y112">
        <v>7.333333333333333</v>
      </c>
      <c r="Z112" s="223">
        <f>SUM( tabConsumo[[#This Row],[QTD.PENDENTE]]:tabConsumo[[#This Row],[09_23]] )</f>
        <v>88</v>
      </c>
      <c r="AA112" s="223">
        <f>LARGE(tabConsumo[[#This Row],[10_22]:[09_23]],1)</f>
        <v>23</v>
      </c>
      <c r="AB112" s="146" t="s">
        <v>2248</v>
      </c>
      <c r="AC112" s="3" t="s">
        <v>2086</v>
      </c>
    </row>
    <row r="113" spans="1:29" x14ac:dyDescent="0.3">
      <c r="A113" s="4" t="s">
        <v>2004</v>
      </c>
      <c r="B113" s="3" t="s">
        <v>260</v>
      </c>
      <c r="C113" s="2">
        <v>140038</v>
      </c>
      <c r="D113" s="2">
        <v>0</v>
      </c>
      <c r="F113" s="2">
        <v>1</v>
      </c>
      <c r="G113" s="2">
        <v>3</v>
      </c>
      <c r="H113" s="2">
        <v>4</v>
      </c>
      <c r="I113" s="2">
        <v>10</v>
      </c>
      <c r="J113" s="2">
        <v>4</v>
      </c>
      <c r="K113" s="2">
        <v>4</v>
      </c>
      <c r="L113" s="2">
        <v>0</v>
      </c>
      <c r="M113" s="2">
        <v>5</v>
      </c>
      <c r="N113" s="2">
        <v>2</v>
      </c>
      <c r="O113" s="2">
        <v>0</v>
      </c>
      <c r="P113" s="2">
        <v>2</v>
      </c>
      <c r="Q113" s="2">
        <v>0</v>
      </c>
      <c r="R113" s="238">
        <v>44096</v>
      </c>
      <c r="S113" s="219">
        <v>12</v>
      </c>
      <c r="T113" s="220">
        <f>SUM( tabConsumo[[#This Row],[QTD.PENDENTE]]:tabConsumo[[#This Row],[09_23]] ) / tabConsumo[[#This Row],[Div]]</f>
        <v>2.9166666666666665</v>
      </c>
      <c r="U113" s="221">
        <f xml:space="preserve"> tabConsumo[[#This Row],[Média.A]] + (_xlfn.STDEV.S( tabConsumo[[#This Row],[QTD.PENDENTE]]:tabConsumo[[#This Row],[09_23]] ) * 1)</f>
        <v>5.7597870182053299</v>
      </c>
      <c r="V113" s="221">
        <f xml:space="preserve"> tabConsumo[[#This Row],[Média.A]] + (_xlfn.STDEV.S( tabConsumo[[#This Row],[QTD.PENDENTE]]:tabConsumo[[#This Row],[09_23]] ) * 2)</f>
        <v>8.6029073697439937</v>
      </c>
      <c r="W113" s="221">
        <f xml:space="preserve"> tabConsumo[[#This Row],[Média.A]] + (_xlfn.STDEV.S( tabConsumo[[#This Row],[QTD.PENDENTE]]:tabConsumo[[#This Row],[09_23]] ) * 3)</f>
        <v>11.446027721282656</v>
      </c>
      <c r="X113" s="5">
        <f t="shared" si="3"/>
        <v>2</v>
      </c>
      <c r="Y113">
        <v>2.75</v>
      </c>
      <c r="Z113" s="223">
        <f>SUM( tabConsumo[[#This Row],[QTD.PENDENTE]]:tabConsumo[[#This Row],[09_23]] )</f>
        <v>35</v>
      </c>
      <c r="AA113" s="223">
        <f>LARGE(tabConsumo[[#This Row],[10_22]:[09_23]],1)</f>
        <v>10</v>
      </c>
      <c r="AB113" s="146" t="s">
        <v>2241</v>
      </c>
      <c r="AC113" s="3" t="s">
        <v>2086</v>
      </c>
    </row>
    <row r="114" spans="1:29" x14ac:dyDescent="0.3">
      <c r="A114" s="4" t="s">
        <v>2018</v>
      </c>
      <c r="B114" s="3" t="s">
        <v>272</v>
      </c>
      <c r="C114" s="2">
        <v>140058</v>
      </c>
      <c r="D114" s="2">
        <v>272</v>
      </c>
      <c r="F114" s="2">
        <v>0</v>
      </c>
      <c r="G114" s="2">
        <v>75</v>
      </c>
      <c r="H114" s="2">
        <v>0</v>
      </c>
      <c r="I114" s="2">
        <v>0</v>
      </c>
      <c r="J114" s="2">
        <v>0</v>
      </c>
      <c r="K114" s="2">
        <v>0</v>
      </c>
      <c r="L114" s="2">
        <v>0</v>
      </c>
      <c r="M114" s="2">
        <v>0</v>
      </c>
      <c r="N114" s="2">
        <v>3</v>
      </c>
      <c r="O114" s="2">
        <v>0</v>
      </c>
      <c r="P114" s="2">
        <v>0</v>
      </c>
      <c r="Q114" s="2">
        <v>0</v>
      </c>
      <c r="R114" s="238">
        <v>44096</v>
      </c>
      <c r="S114" s="219">
        <v>12</v>
      </c>
      <c r="T114" s="220">
        <f>SUM( tabConsumo[[#This Row],[QTD.PENDENTE]]:tabConsumo[[#This Row],[09_23]] ) / tabConsumo[[#This Row],[Div]]</f>
        <v>6.5</v>
      </c>
      <c r="U114" s="221">
        <f xml:space="preserve"> tabConsumo[[#This Row],[Média.A]] + (_xlfn.STDEV.S( tabConsumo[[#This Row],[QTD.PENDENTE]]:tabConsumo[[#This Row],[09_23]] ) * 1)</f>
        <v>28.089138683396079</v>
      </c>
      <c r="V114" s="221">
        <f xml:space="preserve"> tabConsumo[[#This Row],[Média.A]] + (_xlfn.STDEV.S( tabConsumo[[#This Row],[QTD.PENDENTE]]:tabConsumo[[#This Row],[09_23]] ) * 2)</f>
        <v>49.678277366792159</v>
      </c>
      <c r="W114" s="221">
        <f xml:space="preserve"> tabConsumo[[#This Row],[Média.A]] + (_xlfn.STDEV.S( tabConsumo[[#This Row],[QTD.PENDENTE]]:tabConsumo[[#This Row],[09_23]] ) * 3)</f>
        <v>71.267416050188245</v>
      </c>
      <c r="X114" s="5">
        <f t="shared" si="3"/>
        <v>2</v>
      </c>
      <c r="Y114">
        <v>4.333333333333333</v>
      </c>
      <c r="Z114" s="223">
        <f>SUM( tabConsumo[[#This Row],[QTD.PENDENTE]]:tabConsumo[[#This Row],[09_23]] )</f>
        <v>78</v>
      </c>
      <c r="AA114" s="223">
        <f>LARGE(tabConsumo[[#This Row],[10_22]:[09_23]],1)</f>
        <v>75</v>
      </c>
      <c r="AB114" s="146" t="s">
        <v>2246</v>
      </c>
      <c r="AC114" s="3" t="s">
        <v>2086</v>
      </c>
    </row>
    <row r="115" spans="1:29" x14ac:dyDescent="0.3">
      <c r="A115" s="4" t="s">
        <v>2019</v>
      </c>
      <c r="B115" s="3" t="s">
        <v>272</v>
      </c>
      <c r="C115" s="2">
        <v>140059</v>
      </c>
      <c r="D115" s="2">
        <v>499</v>
      </c>
      <c r="F115" s="2">
        <v>0</v>
      </c>
      <c r="G115" s="2">
        <v>0</v>
      </c>
      <c r="H115" s="2">
        <v>105</v>
      </c>
      <c r="I115" s="2">
        <v>0</v>
      </c>
      <c r="J115" s="2">
        <v>0</v>
      </c>
      <c r="K115" s="2">
        <v>0</v>
      </c>
      <c r="L115" s="2">
        <v>0</v>
      </c>
      <c r="M115" s="2">
        <v>0</v>
      </c>
      <c r="N115" s="2">
        <v>10</v>
      </c>
      <c r="O115" s="2">
        <v>20</v>
      </c>
      <c r="P115" s="2">
        <v>0</v>
      </c>
      <c r="Q115" s="2">
        <v>70</v>
      </c>
      <c r="R115" s="238">
        <v>44096</v>
      </c>
      <c r="S115" s="219">
        <v>12</v>
      </c>
      <c r="T115" s="220">
        <f>SUM( tabConsumo[[#This Row],[QTD.PENDENTE]]:tabConsumo[[#This Row],[09_23]] ) / tabConsumo[[#This Row],[Div]]</f>
        <v>17.083333333333332</v>
      </c>
      <c r="U115" s="221">
        <f xml:space="preserve"> tabConsumo[[#This Row],[Média.A]] + (_xlfn.STDEV.S( tabConsumo[[#This Row],[QTD.PENDENTE]]:tabConsumo[[#This Row],[09_23]] ) * 1)</f>
        <v>51.358843629470513</v>
      </c>
      <c r="V115" s="221">
        <f xml:space="preserve"> tabConsumo[[#This Row],[Média.A]] + (_xlfn.STDEV.S( tabConsumo[[#This Row],[QTD.PENDENTE]]:tabConsumo[[#This Row],[09_23]] ) * 2)</f>
        <v>85.634353925607698</v>
      </c>
      <c r="W115" s="221">
        <f xml:space="preserve"> tabConsumo[[#This Row],[Média.A]] + (_xlfn.STDEV.S( tabConsumo[[#This Row],[QTD.PENDENTE]]:tabConsumo[[#This Row],[09_23]] ) * 3)</f>
        <v>119.90986422174488</v>
      </c>
      <c r="X115" s="5">
        <f t="shared" si="3"/>
        <v>2</v>
      </c>
      <c r="Y115">
        <v>15.416666666666666</v>
      </c>
      <c r="Z115" s="223">
        <f>SUM( tabConsumo[[#This Row],[QTD.PENDENTE]]:tabConsumo[[#This Row],[09_23]] )</f>
        <v>205</v>
      </c>
      <c r="AA115" s="223">
        <f>LARGE(tabConsumo[[#This Row],[10_22]:[09_23]],1)</f>
        <v>105</v>
      </c>
      <c r="AB115" s="146" t="s">
        <v>2238</v>
      </c>
      <c r="AC115" s="3" t="s">
        <v>2086</v>
      </c>
    </row>
    <row r="116" spans="1:29" x14ac:dyDescent="0.3">
      <c r="A116" s="4" t="s">
        <v>2020</v>
      </c>
      <c r="B116" s="3" t="s">
        <v>272</v>
      </c>
      <c r="C116" s="2">
        <v>140060</v>
      </c>
      <c r="D116" s="2">
        <v>557</v>
      </c>
      <c r="F116" s="2">
        <v>0</v>
      </c>
      <c r="G116" s="2">
        <v>0</v>
      </c>
      <c r="H116" s="2">
        <v>0</v>
      </c>
      <c r="I116" s="2">
        <v>0</v>
      </c>
      <c r="J116" s="2">
        <v>0</v>
      </c>
      <c r="K116" s="2">
        <v>0</v>
      </c>
      <c r="L116" s="2">
        <v>400</v>
      </c>
      <c r="M116" s="2">
        <v>0</v>
      </c>
      <c r="N116" s="2">
        <v>12</v>
      </c>
      <c r="O116" s="2">
        <v>0</v>
      </c>
      <c r="P116" s="2">
        <v>0</v>
      </c>
      <c r="Q116" s="2">
        <v>0</v>
      </c>
      <c r="R116" s="238">
        <v>44096</v>
      </c>
      <c r="S116" s="219">
        <v>12</v>
      </c>
      <c r="T116" s="220">
        <f>SUM( tabConsumo[[#This Row],[QTD.PENDENTE]]:tabConsumo[[#This Row],[09_23]] ) / tabConsumo[[#This Row],[Div]]</f>
        <v>34.333333333333336</v>
      </c>
      <c r="U116" s="221">
        <f xml:space="preserve"> tabConsumo[[#This Row],[Média.A]] + (_xlfn.STDEV.S( tabConsumo[[#This Row],[QTD.PENDENTE]]:tabConsumo[[#This Row],[09_23]] ) * 1)</f>
        <v>149.54013027086677</v>
      </c>
      <c r="V116" s="221">
        <f xml:space="preserve"> tabConsumo[[#This Row],[Média.A]] + (_xlfn.STDEV.S( tabConsumo[[#This Row],[QTD.PENDENTE]]:tabConsumo[[#This Row],[09_23]] ) * 2)</f>
        <v>264.74692720840017</v>
      </c>
      <c r="W116" s="221">
        <f xml:space="preserve"> tabConsumo[[#This Row],[Média.A]] + (_xlfn.STDEV.S( tabConsumo[[#This Row],[QTD.PENDENTE]]:tabConsumo[[#This Row],[09_23]] ) * 3)</f>
        <v>379.95372414593356</v>
      </c>
      <c r="X116" s="5">
        <f t="shared" si="3"/>
        <v>2</v>
      </c>
      <c r="Y116">
        <v>23</v>
      </c>
      <c r="Z116" s="223">
        <f>SUM( tabConsumo[[#This Row],[QTD.PENDENTE]]:tabConsumo[[#This Row],[09_23]] )</f>
        <v>412</v>
      </c>
      <c r="AA116" s="223">
        <f>LARGE(tabConsumo[[#This Row],[10_22]:[09_23]],1)</f>
        <v>400</v>
      </c>
      <c r="AB116" s="146" t="s">
        <v>2246</v>
      </c>
      <c r="AC116" s="3" t="s">
        <v>2086</v>
      </c>
    </row>
    <row r="117" spans="1:29" x14ac:dyDescent="0.3">
      <c r="A117" s="4" t="s">
        <v>2025</v>
      </c>
      <c r="B117" s="3" t="s">
        <v>272</v>
      </c>
      <c r="C117" s="2">
        <v>140241</v>
      </c>
      <c r="D117" s="2">
        <v>0</v>
      </c>
      <c r="E117" s="2">
        <v>194</v>
      </c>
      <c r="F117" s="2">
        <v>0</v>
      </c>
      <c r="G117" s="2">
        <v>128</v>
      </c>
      <c r="H117" s="2">
        <v>100</v>
      </c>
      <c r="I117" s="2">
        <v>50</v>
      </c>
      <c r="J117" s="2">
        <v>0</v>
      </c>
      <c r="K117" s="2">
        <v>50</v>
      </c>
      <c r="L117" s="2">
        <v>404</v>
      </c>
      <c r="M117" s="2">
        <v>300</v>
      </c>
      <c r="N117" s="2">
        <v>420</v>
      </c>
      <c r="O117" s="2">
        <v>0</v>
      </c>
      <c r="P117" s="2">
        <v>106</v>
      </c>
      <c r="Q117" s="2">
        <v>0</v>
      </c>
      <c r="R117" s="238">
        <v>44132</v>
      </c>
      <c r="S117" s="219">
        <v>12</v>
      </c>
      <c r="T117" s="220">
        <f>SUM( tabConsumo[[#This Row],[QTD.PENDENTE]]:tabConsumo[[#This Row],[09_23]] ) / tabConsumo[[#This Row],[Div]]</f>
        <v>146</v>
      </c>
      <c r="U117" s="221">
        <f xml:space="preserve"> tabConsumo[[#This Row],[Média.A]] + (_xlfn.STDEV.S( tabConsumo[[#This Row],[QTD.PENDENTE]]:tabConsumo[[#This Row],[09_23]] ) * 1)</f>
        <v>297.03981475434102</v>
      </c>
      <c r="V117" s="221">
        <f xml:space="preserve"> tabConsumo[[#This Row],[Média.A]] + (_xlfn.STDEV.S( tabConsumo[[#This Row],[QTD.PENDENTE]]:tabConsumo[[#This Row],[09_23]] ) * 2)</f>
        <v>448.07962950868199</v>
      </c>
      <c r="W117" s="221">
        <f xml:space="preserve"> tabConsumo[[#This Row],[Média.A]] + (_xlfn.STDEV.S( tabConsumo[[#This Row],[QTD.PENDENTE]]:tabConsumo[[#This Row],[09_23]] ) * 3)</f>
        <v>599.11944426302296</v>
      </c>
      <c r="X117" s="5">
        <f t="shared" si="3"/>
        <v>2</v>
      </c>
      <c r="Y117">
        <v>146</v>
      </c>
      <c r="Z117" s="223">
        <f>SUM( tabConsumo[[#This Row],[QTD.PENDENTE]]:tabConsumo[[#This Row],[09_23]] )</f>
        <v>1752</v>
      </c>
      <c r="AA117" s="223">
        <f>LARGE(tabConsumo[[#This Row],[10_22]:[09_23]],1)</f>
        <v>420</v>
      </c>
      <c r="AB117" s="146" t="s">
        <v>2241</v>
      </c>
      <c r="AC117" s="3" t="s">
        <v>2086</v>
      </c>
    </row>
    <row r="118" spans="1:29" x14ac:dyDescent="0.3">
      <c r="A118" s="4" t="s">
        <v>2022</v>
      </c>
      <c r="B118" s="3" t="s">
        <v>272</v>
      </c>
      <c r="C118" s="2">
        <v>140063</v>
      </c>
      <c r="D118" s="2">
        <v>0</v>
      </c>
      <c r="E118" s="2">
        <v>579</v>
      </c>
      <c r="F118" s="2">
        <v>800</v>
      </c>
      <c r="G118" s="2">
        <v>575</v>
      </c>
      <c r="H118" s="2">
        <v>600</v>
      </c>
      <c r="I118" s="2">
        <v>1100</v>
      </c>
      <c r="J118" s="2">
        <v>310</v>
      </c>
      <c r="K118" s="2">
        <v>1300</v>
      </c>
      <c r="L118" s="2">
        <v>846</v>
      </c>
      <c r="M118" s="2">
        <v>770</v>
      </c>
      <c r="N118" s="2">
        <v>124</v>
      </c>
      <c r="O118" s="2">
        <v>0</v>
      </c>
      <c r="P118" s="2">
        <v>0</v>
      </c>
      <c r="Q118" s="2">
        <v>0</v>
      </c>
      <c r="R118" s="238">
        <v>44096</v>
      </c>
      <c r="S118" s="219">
        <v>12</v>
      </c>
      <c r="T118" s="220">
        <f>SUM( tabConsumo[[#This Row],[QTD.PENDENTE]]:tabConsumo[[#This Row],[09_23]] ) / tabConsumo[[#This Row],[Div]]</f>
        <v>583.66666666666663</v>
      </c>
      <c r="U118" s="221">
        <f xml:space="preserve"> tabConsumo[[#This Row],[Média.A]] + (_xlfn.STDEV.S( tabConsumo[[#This Row],[QTD.PENDENTE]]:tabConsumo[[#This Row],[09_23]] ) * 1)</f>
        <v>1013.0478403430311</v>
      </c>
      <c r="V118" s="221">
        <f xml:space="preserve"> tabConsumo[[#This Row],[Média.A]] + (_xlfn.STDEV.S( tabConsumo[[#This Row],[QTD.PENDENTE]]:tabConsumo[[#This Row],[09_23]] ) * 2)</f>
        <v>1442.4290140193957</v>
      </c>
      <c r="W118" s="221">
        <f xml:space="preserve"> tabConsumo[[#This Row],[Média.A]] + (_xlfn.STDEV.S( tabConsumo[[#This Row],[QTD.PENDENTE]]:tabConsumo[[#This Row],[09_23]] ) * 3)</f>
        <v>1871.8101876957599</v>
      </c>
      <c r="X118" s="5">
        <f t="shared" si="3"/>
        <v>2</v>
      </c>
      <c r="Y118">
        <v>583.66666666666663</v>
      </c>
      <c r="Z118" s="223">
        <f>SUM( tabConsumo[[#This Row],[QTD.PENDENTE]]:tabConsumo[[#This Row],[09_23]] )</f>
        <v>7004</v>
      </c>
      <c r="AA118" s="223">
        <f>LARGE(tabConsumo[[#This Row],[10_22]:[09_23]],1)</f>
        <v>1300</v>
      </c>
      <c r="AB118" s="146" t="s">
        <v>2246</v>
      </c>
      <c r="AC118" s="3" t="s">
        <v>2086</v>
      </c>
    </row>
    <row r="119" spans="1:29" x14ac:dyDescent="0.3">
      <c r="A119" s="4" t="s">
        <v>1931</v>
      </c>
      <c r="B119" s="3" t="s">
        <v>272</v>
      </c>
      <c r="C119" s="2">
        <v>136564</v>
      </c>
      <c r="D119" s="2">
        <v>13115</v>
      </c>
      <c r="F119" s="2">
        <v>3355</v>
      </c>
      <c r="G119" s="2">
        <v>610</v>
      </c>
      <c r="H119" s="2">
        <v>3355</v>
      </c>
      <c r="I119" s="2">
        <v>4575</v>
      </c>
      <c r="J119" s="2">
        <v>3965</v>
      </c>
      <c r="K119" s="2">
        <v>2440</v>
      </c>
      <c r="L119" s="2">
        <v>2745</v>
      </c>
      <c r="M119" s="2">
        <v>3050</v>
      </c>
      <c r="N119" s="2">
        <v>1525</v>
      </c>
      <c r="O119" s="2">
        <v>3050</v>
      </c>
      <c r="P119" s="2">
        <v>4880</v>
      </c>
      <c r="Q119" s="2">
        <v>0</v>
      </c>
      <c r="R119" s="238">
        <v>43521</v>
      </c>
      <c r="S119" s="219">
        <v>12</v>
      </c>
      <c r="T119" s="220">
        <f>SUM( tabConsumo[[#This Row],[QTD.PENDENTE]]:tabConsumo[[#This Row],[09_23]] ) / tabConsumo[[#This Row],[Div]]</f>
        <v>2795.8333333333335</v>
      </c>
      <c r="U119" s="221">
        <f xml:space="preserve"> tabConsumo[[#This Row],[Média.A]] + (_xlfn.STDEV.S( tabConsumo[[#This Row],[QTD.PENDENTE]]:tabConsumo[[#This Row],[09_23]] ) * 1)</f>
        <v>4271.990557857589</v>
      </c>
      <c r="V119" s="221">
        <f xml:space="preserve"> tabConsumo[[#This Row],[Média.A]] + (_xlfn.STDEV.S( tabConsumo[[#This Row],[QTD.PENDENTE]]:tabConsumo[[#This Row],[09_23]] ) * 2)</f>
        <v>5748.1477823818441</v>
      </c>
      <c r="W119" s="221">
        <f xml:space="preserve"> tabConsumo[[#This Row],[Média.A]] + (_xlfn.STDEV.S( tabConsumo[[#This Row],[QTD.PENDENTE]]:tabConsumo[[#This Row],[09_23]] ) * 3)</f>
        <v>7224.3050069060992</v>
      </c>
      <c r="X119" s="5">
        <f t="shared" si="3"/>
        <v>2</v>
      </c>
      <c r="Y119">
        <v>2795.8333333333335</v>
      </c>
      <c r="Z119" s="223">
        <f>SUM( tabConsumo[[#This Row],[QTD.PENDENTE]]:tabConsumo[[#This Row],[09_23]] )</f>
        <v>33550</v>
      </c>
      <c r="AA119" s="223">
        <f>LARGE(tabConsumo[[#This Row],[10_22]:[09_23]],1)</f>
        <v>4880</v>
      </c>
      <c r="AB119" s="146" t="s">
        <v>2241</v>
      </c>
      <c r="AC119" s="3" t="s">
        <v>2086</v>
      </c>
    </row>
    <row r="120" spans="1:29" x14ac:dyDescent="0.3">
      <c r="A120" s="4" t="s">
        <v>1020</v>
      </c>
      <c r="B120" s="3" t="s">
        <v>263</v>
      </c>
      <c r="C120" s="2">
        <v>13180</v>
      </c>
      <c r="D120" s="2">
        <v>298</v>
      </c>
      <c r="E120" s="2">
        <v>3</v>
      </c>
      <c r="F120" s="2">
        <v>3</v>
      </c>
      <c r="G120" s="2">
        <v>13</v>
      </c>
      <c r="H120" s="2">
        <v>4</v>
      </c>
      <c r="I120" s="2">
        <v>6</v>
      </c>
      <c r="J120" s="2">
        <v>309</v>
      </c>
      <c r="K120" s="2">
        <v>28</v>
      </c>
      <c r="L120" s="2">
        <v>44</v>
      </c>
      <c r="M120" s="2">
        <v>0</v>
      </c>
      <c r="N120" s="2">
        <v>0</v>
      </c>
      <c r="O120" s="2">
        <v>0</v>
      </c>
      <c r="P120" s="2">
        <v>0</v>
      </c>
      <c r="Q120" s="2">
        <v>0</v>
      </c>
      <c r="R120" s="238">
        <v>367</v>
      </c>
      <c r="S120" s="219">
        <f xml:space="preserve"> 12</f>
        <v>12</v>
      </c>
      <c r="T120" s="220">
        <f>SUM( tabConsumo[[#This Row],[QTD.PENDENTE]]:tabConsumo[[#This Row],[09_23]] ) / tabConsumo[[#This Row],[Div]]</f>
        <v>34.166666666666664</v>
      </c>
      <c r="U120" s="221">
        <f xml:space="preserve"> tabConsumo[[#This Row],[Média.A]] + (_xlfn.STDEV.S( tabConsumo[[#This Row],[QTD.PENDENTE]]:tabConsumo[[#This Row],[09_23]] ) * 1)</f>
        <v>118.58093815418962</v>
      </c>
      <c r="V120" s="221">
        <f xml:space="preserve"> tabConsumo[[#This Row],[Média.A]] + (_xlfn.STDEV.S( tabConsumo[[#This Row],[QTD.PENDENTE]]:tabConsumo[[#This Row],[09_23]] ) * 2)</f>
        <v>202.99520964171256</v>
      </c>
      <c r="W120" s="221">
        <f xml:space="preserve"> tabConsumo[[#This Row],[Média.A]] + (_xlfn.STDEV.S( tabConsumo[[#This Row],[QTD.PENDENTE]]:tabConsumo[[#This Row],[09_23]] ) * 3)</f>
        <v>287.40948112923553</v>
      </c>
      <c r="X120" s="5">
        <f t="shared" si="3"/>
        <v>2</v>
      </c>
      <c r="Y120">
        <v>25.25</v>
      </c>
      <c r="Z120" s="223">
        <f>SUM( tabConsumo[[#This Row],[QTD.PENDENTE]]:tabConsumo[[#This Row],[09_23]] )</f>
        <v>410</v>
      </c>
      <c r="AA120" s="223">
        <f>LARGE(tabConsumo[[#This Row],[10_22]:[09_23]],1)</f>
        <v>309</v>
      </c>
      <c r="AB120" s="146" t="s">
        <v>2240</v>
      </c>
      <c r="AC120" s="3" t="s">
        <v>2086</v>
      </c>
    </row>
    <row r="121" spans="1:29" x14ac:dyDescent="0.3">
      <c r="A121" s="4" t="s">
        <v>1142</v>
      </c>
      <c r="B121" s="3" t="s">
        <v>263</v>
      </c>
      <c r="C121" s="2">
        <v>17704</v>
      </c>
      <c r="D121" s="2">
        <v>197</v>
      </c>
      <c r="E121" s="2">
        <v>1</v>
      </c>
      <c r="F121" s="2">
        <v>6</v>
      </c>
      <c r="G121" s="2">
        <v>7</v>
      </c>
      <c r="H121" s="2">
        <v>5</v>
      </c>
      <c r="I121" s="2">
        <v>14</v>
      </c>
      <c r="J121" s="2">
        <v>11</v>
      </c>
      <c r="K121" s="2">
        <v>17</v>
      </c>
      <c r="L121" s="2">
        <v>13</v>
      </c>
      <c r="M121" s="2">
        <v>7</v>
      </c>
      <c r="N121" s="2">
        <v>3</v>
      </c>
      <c r="O121" s="2">
        <v>27</v>
      </c>
      <c r="P121" s="2">
        <v>24</v>
      </c>
      <c r="Q121" s="2">
        <v>13</v>
      </c>
      <c r="R121" s="238">
        <v>367</v>
      </c>
      <c r="S121" s="219">
        <f xml:space="preserve"> 12</f>
        <v>12</v>
      </c>
      <c r="T121" s="220">
        <f>SUM( tabConsumo[[#This Row],[QTD.PENDENTE]]:tabConsumo[[#This Row],[09_23]] ) / tabConsumo[[#This Row],[Div]]</f>
        <v>12.333333333333334</v>
      </c>
      <c r="U121" s="221">
        <f xml:space="preserve"> tabConsumo[[#This Row],[Média.A]] + (_xlfn.STDEV.S( tabConsumo[[#This Row],[QTD.PENDENTE]]:tabConsumo[[#This Row],[09_23]] ) * 1)</f>
        <v>20.149326142295198</v>
      </c>
      <c r="V121" s="221">
        <f xml:space="preserve"> tabConsumo[[#This Row],[Média.A]] + (_xlfn.STDEV.S( tabConsumo[[#This Row],[QTD.PENDENTE]]:tabConsumo[[#This Row],[09_23]] ) * 2)</f>
        <v>27.965318951257064</v>
      </c>
      <c r="W121" s="221">
        <f xml:space="preserve"> tabConsumo[[#This Row],[Média.A]] + (_xlfn.STDEV.S( tabConsumo[[#This Row],[QTD.PENDENTE]]:tabConsumo[[#This Row],[09_23]] ) * 3)</f>
        <v>35.781311760218927</v>
      </c>
      <c r="X121" s="5">
        <f t="shared" si="3"/>
        <v>2</v>
      </c>
      <c r="Y121">
        <v>12.333333333333334</v>
      </c>
      <c r="Z121" s="223">
        <f>SUM( tabConsumo[[#This Row],[QTD.PENDENTE]]:tabConsumo[[#This Row],[09_23]] )</f>
        <v>148</v>
      </c>
      <c r="AA121" s="223">
        <f>LARGE(tabConsumo[[#This Row],[10_22]:[09_23]],1)</f>
        <v>27</v>
      </c>
      <c r="AB121" s="146" t="s">
        <v>2238</v>
      </c>
      <c r="AC121" s="3" t="s">
        <v>2086</v>
      </c>
    </row>
    <row r="122" spans="1:29" x14ac:dyDescent="0.3">
      <c r="A122" s="4" t="s">
        <v>1022</v>
      </c>
      <c r="B122" s="3" t="s">
        <v>263</v>
      </c>
      <c r="C122" s="2">
        <v>13181</v>
      </c>
      <c r="D122" s="2">
        <v>258</v>
      </c>
      <c r="E122" s="2">
        <v>1</v>
      </c>
      <c r="F122" s="2">
        <v>3</v>
      </c>
      <c r="G122" s="2">
        <v>6</v>
      </c>
      <c r="H122" s="2">
        <v>7</v>
      </c>
      <c r="I122" s="2">
        <v>6</v>
      </c>
      <c r="J122" s="2">
        <v>2</v>
      </c>
      <c r="K122" s="2">
        <v>6</v>
      </c>
      <c r="L122" s="2">
        <v>12</v>
      </c>
      <c r="M122" s="2">
        <v>4</v>
      </c>
      <c r="N122" s="2">
        <v>5</v>
      </c>
      <c r="O122" s="2">
        <v>15</v>
      </c>
      <c r="P122" s="2">
        <v>3</v>
      </c>
      <c r="Q122" s="2">
        <v>4</v>
      </c>
      <c r="R122" s="238">
        <v>367</v>
      </c>
      <c r="S122" s="219">
        <f xml:space="preserve"> 12</f>
        <v>12</v>
      </c>
      <c r="T122" s="220">
        <f>SUM( tabConsumo[[#This Row],[QTD.PENDENTE]]:tabConsumo[[#This Row],[09_23]] ) / tabConsumo[[#This Row],[Div]]</f>
        <v>6.166666666666667</v>
      </c>
      <c r="U122" s="221">
        <f xml:space="preserve"> tabConsumo[[#This Row],[Média.A]] + (_xlfn.STDEV.S( tabConsumo[[#This Row],[QTD.PENDENTE]]:tabConsumo[[#This Row],[09_23]] ) * 1)</f>
        <v>10.090623330218889</v>
      </c>
      <c r="V122" s="221">
        <f xml:space="preserve"> tabConsumo[[#This Row],[Média.A]] + (_xlfn.STDEV.S( tabConsumo[[#This Row],[QTD.PENDENTE]]:tabConsumo[[#This Row],[09_23]] ) * 2)</f>
        <v>14.014579993771115</v>
      </c>
      <c r="W122" s="221">
        <f xml:space="preserve"> tabConsumo[[#This Row],[Média.A]] + (_xlfn.STDEV.S( tabConsumo[[#This Row],[QTD.PENDENTE]]:tabConsumo[[#This Row],[09_23]] ) * 3)</f>
        <v>17.938536657323336</v>
      </c>
      <c r="X122" s="5">
        <f t="shared" si="3"/>
        <v>2</v>
      </c>
      <c r="Y122">
        <v>6.083333333333333</v>
      </c>
      <c r="Z122" s="223">
        <f>SUM( tabConsumo[[#This Row],[QTD.PENDENTE]]:tabConsumo[[#This Row],[09_23]] )</f>
        <v>74</v>
      </c>
      <c r="AA122" s="223">
        <f>LARGE(tabConsumo[[#This Row],[10_22]:[09_23]],1)</f>
        <v>15</v>
      </c>
      <c r="AB122" s="146" t="s">
        <v>2238</v>
      </c>
      <c r="AC122" s="3" t="s">
        <v>2086</v>
      </c>
    </row>
    <row r="123" spans="1:29" x14ac:dyDescent="0.3">
      <c r="A123" s="4" t="s">
        <v>1965</v>
      </c>
      <c r="B123" s="3" t="s">
        <v>31</v>
      </c>
      <c r="C123" s="2">
        <v>138453</v>
      </c>
      <c r="D123" s="2">
        <v>32475</v>
      </c>
      <c r="E123" s="2">
        <v>43</v>
      </c>
      <c r="F123" s="2">
        <v>769</v>
      </c>
      <c r="G123" s="2">
        <v>723</v>
      </c>
      <c r="H123" s="2">
        <v>445</v>
      </c>
      <c r="I123" s="2">
        <v>75</v>
      </c>
      <c r="J123" s="2">
        <v>580</v>
      </c>
      <c r="K123" s="2">
        <v>1388</v>
      </c>
      <c r="L123" s="2">
        <v>848</v>
      </c>
      <c r="M123" s="2">
        <v>834</v>
      </c>
      <c r="N123" s="2">
        <v>661</v>
      </c>
      <c r="O123" s="2">
        <v>630</v>
      </c>
      <c r="P123" s="2">
        <v>781</v>
      </c>
      <c r="Q123" s="2">
        <v>590</v>
      </c>
      <c r="R123" s="238">
        <v>43720</v>
      </c>
      <c r="S123" s="219">
        <v>12</v>
      </c>
      <c r="T123" s="220">
        <f>SUM( tabConsumo[[#This Row],[QTD.PENDENTE]]:tabConsumo[[#This Row],[09_23]] ) / tabConsumo[[#This Row],[Div]]</f>
        <v>697.25</v>
      </c>
      <c r="U123" s="221">
        <f xml:space="preserve"> tabConsumo[[#This Row],[Média.A]] + (_xlfn.STDEV.S( tabConsumo[[#This Row],[QTD.PENDENTE]]:tabConsumo[[#This Row],[09_23]] ) * 1)</f>
        <v>1039.2959370858293</v>
      </c>
      <c r="V123" s="221">
        <f xml:space="preserve"> tabConsumo[[#This Row],[Média.A]] + (_xlfn.STDEV.S( tabConsumo[[#This Row],[QTD.PENDENTE]]:tabConsumo[[#This Row],[09_23]] ) * 2)</f>
        <v>1381.3418741716587</v>
      </c>
      <c r="W123" s="221">
        <f xml:space="preserve"> tabConsumo[[#This Row],[Média.A]] + (_xlfn.STDEV.S( tabConsumo[[#This Row],[QTD.PENDENTE]]:tabConsumo[[#This Row],[09_23]] ) * 3)</f>
        <v>1723.3878112574878</v>
      </c>
      <c r="X123" s="5">
        <f t="shared" si="3"/>
        <v>2</v>
      </c>
      <c r="Y123">
        <v>696.66666666666663</v>
      </c>
      <c r="Z123" s="223">
        <f>SUM( tabConsumo[[#This Row],[QTD.PENDENTE]]:tabConsumo[[#This Row],[09_23]] )</f>
        <v>8367</v>
      </c>
      <c r="AA123" s="223">
        <f>LARGE(tabConsumo[[#This Row],[10_22]:[09_23]],1)</f>
        <v>1388</v>
      </c>
      <c r="AB123" s="146" t="s">
        <v>2238</v>
      </c>
      <c r="AC123" s="3" t="s">
        <v>2086</v>
      </c>
    </row>
    <row r="124" spans="1:29" x14ac:dyDescent="0.3">
      <c r="A124" s="4" t="s">
        <v>1966</v>
      </c>
      <c r="B124" s="3" t="s">
        <v>31</v>
      </c>
      <c r="C124" s="2">
        <v>138454</v>
      </c>
      <c r="D124" s="2">
        <v>10549</v>
      </c>
      <c r="E124" s="2">
        <v>3744</v>
      </c>
      <c r="F124" s="2">
        <v>277</v>
      </c>
      <c r="G124" s="2">
        <v>244</v>
      </c>
      <c r="H124" s="2">
        <v>174</v>
      </c>
      <c r="I124" s="2">
        <v>39</v>
      </c>
      <c r="J124" s="2">
        <v>461</v>
      </c>
      <c r="K124" s="2">
        <v>4026</v>
      </c>
      <c r="L124" s="2">
        <v>5618</v>
      </c>
      <c r="M124" s="2">
        <v>433</v>
      </c>
      <c r="N124" s="2">
        <v>309</v>
      </c>
      <c r="O124" s="2">
        <v>258</v>
      </c>
      <c r="P124" s="2">
        <v>319</v>
      </c>
      <c r="Q124" s="2">
        <v>316</v>
      </c>
      <c r="R124" s="238">
        <v>43720</v>
      </c>
      <c r="S124" s="219">
        <v>12</v>
      </c>
      <c r="T124" s="220">
        <f>SUM( tabConsumo[[#This Row],[QTD.PENDENTE]]:tabConsumo[[#This Row],[09_23]] ) / tabConsumo[[#This Row],[Div]]</f>
        <v>1351.5</v>
      </c>
      <c r="U124" s="221">
        <f xml:space="preserve"> tabConsumo[[#This Row],[Média.A]] + (_xlfn.STDEV.S( tabConsumo[[#This Row],[QTD.PENDENTE]]:tabConsumo[[#This Row],[09_23]] ) * 1)</f>
        <v>3233.1502338543428</v>
      </c>
      <c r="V124" s="221">
        <f xml:space="preserve"> tabConsumo[[#This Row],[Média.A]] + (_xlfn.STDEV.S( tabConsumo[[#This Row],[QTD.PENDENTE]]:tabConsumo[[#This Row],[09_23]] ) * 2)</f>
        <v>5114.8004677086856</v>
      </c>
      <c r="W124" s="221">
        <f xml:space="preserve"> tabConsumo[[#This Row],[Média.A]] + (_xlfn.STDEV.S( tabConsumo[[#This Row],[QTD.PENDENTE]]:tabConsumo[[#This Row],[09_23]] ) * 3)</f>
        <v>6996.4507015630279</v>
      </c>
      <c r="X124" s="5">
        <f t="shared" si="3"/>
        <v>2</v>
      </c>
      <c r="Y124">
        <v>1309.5</v>
      </c>
      <c r="Z124" s="223">
        <f>SUM( tabConsumo[[#This Row],[QTD.PENDENTE]]:tabConsumo[[#This Row],[09_23]] )</f>
        <v>16218</v>
      </c>
      <c r="AA124" s="223">
        <f>LARGE(tabConsumo[[#This Row],[10_22]:[09_23]],1)</f>
        <v>5618</v>
      </c>
      <c r="AB124" s="146" t="s">
        <v>2238</v>
      </c>
      <c r="AC124" s="3" t="s">
        <v>2086</v>
      </c>
    </row>
    <row r="125" spans="1:29" x14ac:dyDescent="0.3">
      <c r="A125" s="4" t="s">
        <v>1967</v>
      </c>
      <c r="B125" s="3" t="s">
        <v>31</v>
      </c>
      <c r="C125" s="2">
        <v>138456</v>
      </c>
      <c r="D125" s="2">
        <v>5652</v>
      </c>
      <c r="E125" s="2">
        <v>34</v>
      </c>
      <c r="F125" s="2">
        <v>350</v>
      </c>
      <c r="G125" s="2">
        <v>377</v>
      </c>
      <c r="H125" s="2">
        <v>541</v>
      </c>
      <c r="I125" s="2">
        <v>34890</v>
      </c>
      <c r="J125" s="2">
        <v>816</v>
      </c>
      <c r="K125" s="2">
        <v>723</v>
      </c>
      <c r="L125" s="2">
        <v>465</v>
      </c>
      <c r="M125" s="2">
        <v>346</v>
      </c>
      <c r="N125" s="2">
        <v>426</v>
      </c>
      <c r="O125" s="2">
        <v>405</v>
      </c>
      <c r="P125" s="2">
        <v>415</v>
      </c>
      <c r="Q125" s="2">
        <v>322</v>
      </c>
      <c r="R125" s="238">
        <v>43720</v>
      </c>
      <c r="S125" s="219">
        <v>12</v>
      </c>
      <c r="T125" s="220">
        <f>SUM( tabConsumo[[#This Row],[QTD.PENDENTE]]:tabConsumo[[#This Row],[09_23]] ) / tabConsumo[[#This Row],[Div]]</f>
        <v>3342.5</v>
      </c>
      <c r="U125" s="221">
        <f xml:space="preserve"> tabConsumo[[#This Row],[Média.A]] + (_xlfn.STDEV.S( tabConsumo[[#This Row],[QTD.PENDENTE]]:tabConsumo[[#This Row],[09_23]] ) * 1)</f>
        <v>12900.488478566516</v>
      </c>
      <c r="V125" s="221">
        <f xml:space="preserve"> tabConsumo[[#This Row],[Média.A]] + (_xlfn.STDEV.S( tabConsumo[[#This Row],[QTD.PENDENTE]]:tabConsumo[[#This Row],[09_23]] ) * 2)</f>
        <v>22458.476957133033</v>
      </c>
      <c r="W125" s="221">
        <f xml:space="preserve"> tabConsumo[[#This Row],[Média.A]] + (_xlfn.STDEV.S( tabConsumo[[#This Row],[QTD.PENDENTE]]:tabConsumo[[#This Row],[09_23]] ) * 3)</f>
        <v>32016.465435699549</v>
      </c>
      <c r="X125" s="5">
        <f t="shared" si="3"/>
        <v>2</v>
      </c>
      <c r="Y125">
        <v>2306.5</v>
      </c>
      <c r="Z125" s="223">
        <f>SUM( tabConsumo[[#This Row],[QTD.PENDENTE]]:tabConsumo[[#This Row],[09_23]] )</f>
        <v>40110</v>
      </c>
      <c r="AA125" s="223">
        <f>LARGE(tabConsumo[[#This Row],[10_22]:[09_23]],1)</f>
        <v>34890</v>
      </c>
      <c r="AB125" s="146" t="s">
        <v>2238</v>
      </c>
      <c r="AC125" s="3" t="s">
        <v>2086</v>
      </c>
    </row>
    <row r="126" spans="1:29" x14ac:dyDescent="0.3">
      <c r="A126" s="4" t="s">
        <v>1969</v>
      </c>
      <c r="B126" s="3" t="s">
        <v>31</v>
      </c>
      <c r="C126" s="2">
        <v>138458</v>
      </c>
      <c r="D126" s="2">
        <v>7093</v>
      </c>
      <c r="E126" s="2">
        <v>10</v>
      </c>
      <c r="F126" s="2">
        <v>803</v>
      </c>
      <c r="G126" s="2">
        <v>651</v>
      </c>
      <c r="H126" s="2">
        <v>410</v>
      </c>
      <c r="I126" s="2">
        <v>113</v>
      </c>
      <c r="J126" s="2">
        <v>577</v>
      </c>
      <c r="K126" s="2">
        <v>954</v>
      </c>
      <c r="L126" s="2">
        <v>812</v>
      </c>
      <c r="M126" s="2">
        <v>561</v>
      </c>
      <c r="N126" s="2">
        <v>670</v>
      </c>
      <c r="O126" s="2">
        <v>558</v>
      </c>
      <c r="P126" s="2">
        <v>711</v>
      </c>
      <c r="Q126" s="2">
        <v>640</v>
      </c>
      <c r="R126" s="238">
        <v>43720</v>
      </c>
      <c r="S126" s="219">
        <v>12</v>
      </c>
      <c r="T126" s="220">
        <f>SUM( tabConsumo[[#This Row],[QTD.PENDENTE]]:tabConsumo[[#This Row],[09_23]] ) / tabConsumo[[#This Row],[Div]]</f>
        <v>622.5</v>
      </c>
      <c r="U126" s="221">
        <f xml:space="preserve"> tabConsumo[[#This Row],[Média.A]] + (_xlfn.STDEV.S( tabConsumo[[#This Row],[QTD.PENDENTE]]:tabConsumo[[#This Row],[09_23]] ) * 1)</f>
        <v>888.5978950378784</v>
      </c>
      <c r="V126" s="221">
        <f xml:space="preserve"> tabConsumo[[#This Row],[Média.A]] + (_xlfn.STDEV.S( tabConsumo[[#This Row],[QTD.PENDENTE]]:tabConsumo[[#This Row],[09_23]] ) * 2)</f>
        <v>1154.6957900757568</v>
      </c>
      <c r="W126" s="221">
        <f xml:space="preserve"> tabConsumo[[#This Row],[Média.A]] + (_xlfn.STDEV.S( tabConsumo[[#This Row],[QTD.PENDENTE]]:tabConsumo[[#This Row],[09_23]] ) * 3)</f>
        <v>1420.7936851136351</v>
      </c>
      <c r="X126" s="5">
        <f t="shared" si="3"/>
        <v>2</v>
      </c>
      <c r="Y126">
        <v>622.5</v>
      </c>
      <c r="Z126" s="223">
        <f>SUM( tabConsumo[[#This Row],[QTD.PENDENTE]]:tabConsumo[[#This Row],[09_23]] )</f>
        <v>7470</v>
      </c>
      <c r="AA126" s="223">
        <f>LARGE(tabConsumo[[#This Row],[10_22]:[09_23]],1)</f>
        <v>954</v>
      </c>
      <c r="AB126" s="146" t="s">
        <v>2238</v>
      </c>
      <c r="AC126" s="3" t="s">
        <v>2086</v>
      </c>
    </row>
    <row r="127" spans="1:29" x14ac:dyDescent="0.3">
      <c r="A127" s="4" t="s">
        <v>1968</v>
      </c>
      <c r="B127" s="3" t="s">
        <v>31</v>
      </c>
      <c r="C127" s="2">
        <v>138457</v>
      </c>
      <c r="D127" s="2">
        <v>1488</v>
      </c>
      <c r="E127" s="2">
        <v>1</v>
      </c>
      <c r="F127" s="2">
        <v>13</v>
      </c>
      <c r="G127" s="2">
        <v>22</v>
      </c>
      <c r="H127" s="2">
        <v>17</v>
      </c>
      <c r="I127" s="2">
        <v>10</v>
      </c>
      <c r="J127" s="2">
        <v>15</v>
      </c>
      <c r="K127" s="2">
        <v>37</v>
      </c>
      <c r="L127" s="2">
        <v>26</v>
      </c>
      <c r="M127" s="2">
        <v>25</v>
      </c>
      <c r="N127" s="2">
        <v>26</v>
      </c>
      <c r="O127" s="2">
        <v>56</v>
      </c>
      <c r="P127" s="2">
        <v>21</v>
      </c>
      <c r="Q127" s="2">
        <v>17</v>
      </c>
      <c r="R127" s="238">
        <v>43720</v>
      </c>
      <c r="S127" s="219">
        <v>12</v>
      </c>
      <c r="T127" s="220">
        <f>SUM( tabConsumo[[#This Row],[QTD.PENDENTE]]:tabConsumo[[#This Row],[09_23]] ) / tabConsumo[[#This Row],[Div]]</f>
        <v>23.833333333333332</v>
      </c>
      <c r="U127" s="221">
        <f xml:space="preserve"> tabConsumo[[#This Row],[Média.A]] + (_xlfn.STDEV.S( tabConsumo[[#This Row],[QTD.PENDENTE]]:tabConsumo[[#This Row],[09_23]] ) * 1)</f>
        <v>37.336419400352725</v>
      </c>
      <c r="V127" s="221">
        <f xml:space="preserve"> tabConsumo[[#This Row],[Média.A]] + (_xlfn.STDEV.S( tabConsumo[[#This Row],[QTD.PENDENTE]]:tabConsumo[[#This Row],[09_23]] ) * 2)</f>
        <v>50.839505467372121</v>
      </c>
      <c r="W127" s="221">
        <f xml:space="preserve"> tabConsumo[[#This Row],[Média.A]] + (_xlfn.STDEV.S( tabConsumo[[#This Row],[QTD.PENDENTE]]:tabConsumo[[#This Row],[09_23]] ) * 3)</f>
        <v>64.342591534391516</v>
      </c>
      <c r="X127" s="5">
        <f t="shared" si="3"/>
        <v>2</v>
      </c>
      <c r="Y127">
        <v>23.333333333333332</v>
      </c>
      <c r="Z127" s="223">
        <f>SUM( tabConsumo[[#This Row],[QTD.PENDENTE]]:tabConsumo[[#This Row],[09_23]] )</f>
        <v>286</v>
      </c>
      <c r="AA127" s="223">
        <f>LARGE(tabConsumo[[#This Row],[10_22]:[09_23]],1)</f>
        <v>56</v>
      </c>
      <c r="AB127" s="146" t="s">
        <v>2238</v>
      </c>
      <c r="AC127" s="3" t="s">
        <v>2086</v>
      </c>
    </row>
    <row r="128" spans="1:29" x14ac:dyDescent="0.3">
      <c r="A128" s="4" t="s">
        <v>918</v>
      </c>
      <c r="B128" s="3" t="s">
        <v>267</v>
      </c>
      <c r="C128" s="2">
        <v>10719</v>
      </c>
      <c r="D128" s="2">
        <v>2984</v>
      </c>
      <c r="E128" s="2">
        <v>132</v>
      </c>
      <c r="F128" s="2">
        <v>3831</v>
      </c>
      <c r="G128" s="2">
        <v>3815</v>
      </c>
      <c r="H128" s="2">
        <v>2396</v>
      </c>
      <c r="I128" s="2">
        <v>1269</v>
      </c>
      <c r="J128" s="2">
        <v>3281</v>
      </c>
      <c r="K128" s="2">
        <v>4731</v>
      </c>
      <c r="L128" s="2">
        <v>3722</v>
      </c>
      <c r="M128" s="2">
        <v>3646</v>
      </c>
      <c r="N128" s="2">
        <v>3842</v>
      </c>
      <c r="O128" s="2">
        <v>3538</v>
      </c>
      <c r="P128" s="2">
        <v>3800</v>
      </c>
      <c r="Q128" s="2">
        <v>3635</v>
      </c>
      <c r="R128" s="238">
        <v>367</v>
      </c>
      <c r="S128" s="219">
        <f xml:space="preserve"> 12</f>
        <v>12</v>
      </c>
      <c r="T128" s="220">
        <f>SUM( tabConsumo[[#This Row],[QTD.PENDENTE]]:tabConsumo[[#This Row],[09_23]] ) / tabConsumo[[#This Row],[Div]]</f>
        <v>3469.8333333333335</v>
      </c>
      <c r="U128" s="221">
        <f xml:space="preserve"> tabConsumo[[#This Row],[Média.A]] + (_xlfn.STDEV.S( tabConsumo[[#This Row],[QTD.PENDENTE]]:tabConsumo[[#This Row],[09_23]] ) * 1)</f>
        <v>4710.1837852580084</v>
      </c>
      <c r="V128" s="221">
        <f xml:space="preserve"> tabConsumo[[#This Row],[Média.A]] + (_xlfn.STDEV.S( tabConsumo[[#This Row],[QTD.PENDENTE]]:tabConsumo[[#This Row],[09_23]] ) * 2)</f>
        <v>5950.5342371826828</v>
      </c>
      <c r="W128" s="221">
        <f xml:space="preserve"> tabConsumo[[#This Row],[Média.A]] + (_xlfn.STDEV.S( tabConsumo[[#This Row],[QTD.PENDENTE]]:tabConsumo[[#This Row],[09_23]] ) * 3)</f>
        <v>7190.8846891073572</v>
      </c>
      <c r="X128" s="5">
        <f t="shared" si="3"/>
        <v>2</v>
      </c>
      <c r="Y128">
        <v>3469.8333333333335</v>
      </c>
      <c r="Z128" s="223">
        <f>SUM( tabConsumo[[#This Row],[QTD.PENDENTE]]:tabConsumo[[#This Row],[09_23]] )</f>
        <v>41638</v>
      </c>
      <c r="AA128" s="223">
        <f>LARGE(tabConsumo[[#This Row],[10_22]:[09_23]],1)</f>
        <v>4731</v>
      </c>
      <c r="AB128" s="146" t="s">
        <v>2238</v>
      </c>
      <c r="AC128" s="3" t="s">
        <v>2086</v>
      </c>
    </row>
    <row r="129" spans="1:29" x14ac:dyDescent="0.3">
      <c r="A129" s="4" t="s">
        <v>1601</v>
      </c>
      <c r="B129" s="3" t="s">
        <v>263</v>
      </c>
      <c r="C129" s="2">
        <v>103142</v>
      </c>
      <c r="D129" s="2">
        <v>5</v>
      </c>
      <c r="F129" s="2">
        <v>0</v>
      </c>
      <c r="G129" s="2">
        <v>1</v>
      </c>
      <c r="H129" s="2">
        <v>0</v>
      </c>
      <c r="I129" s="2">
        <v>0</v>
      </c>
      <c r="J129" s="2">
        <v>1</v>
      </c>
      <c r="K129" s="2">
        <v>2</v>
      </c>
      <c r="L129" s="2">
        <v>0</v>
      </c>
      <c r="M129" s="2">
        <v>0</v>
      </c>
      <c r="N129" s="2">
        <v>1</v>
      </c>
      <c r="O129" s="2">
        <v>0</v>
      </c>
      <c r="P129" s="2">
        <v>2</v>
      </c>
      <c r="Q129" s="2">
        <v>0</v>
      </c>
      <c r="R129" s="238">
        <v>39393</v>
      </c>
      <c r="S129" s="219">
        <v>12</v>
      </c>
      <c r="T129" s="220">
        <f>SUM( tabConsumo[[#This Row],[QTD.PENDENTE]]:tabConsumo[[#This Row],[09_23]] ) / tabConsumo[[#This Row],[Div]]</f>
        <v>0.58333333333333337</v>
      </c>
      <c r="U129" s="221">
        <f xml:space="preserve"> tabConsumo[[#This Row],[Média.A]] + (_xlfn.STDEV.S( tabConsumo[[#This Row],[QTD.PENDENTE]]:tabConsumo[[#This Row],[09_23]] ) * 1)</f>
        <v>1.3762947944320925</v>
      </c>
      <c r="V129" s="221">
        <f xml:space="preserve"> tabConsumo[[#This Row],[Média.A]] + (_xlfn.STDEV.S( tabConsumo[[#This Row],[QTD.PENDENTE]]:tabConsumo[[#This Row],[09_23]] ) * 2)</f>
        <v>2.1692562555308514</v>
      </c>
      <c r="W129" s="221">
        <f xml:space="preserve"> tabConsumo[[#This Row],[Média.A]] + (_xlfn.STDEV.S( tabConsumo[[#This Row],[QTD.PENDENTE]]:tabConsumo[[#This Row],[09_23]] ) * 3)</f>
        <v>2.9622177166296106</v>
      </c>
      <c r="X129" s="5">
        <f t="shared" si="3"/>
        <v>2</v>
      </c>
      <c r="Y129">
        <v>0.58333333333333337</v>
      </c>
      <c r="Z129" s="223">
        <f>SUM( tabConsumo[[#This Row],[QTD.PENDENTE]]:tabConsumo[[#This Row],[09_23]] )</f>
        <v>7</v>
      </c>
      <c r="AA129" s="223">
        <f>LARGE(tabConsumo[[#This Row],[10_22]:[09_23]],1)</f>
        <v>2</v>
      </c>
      <c r="AB129" s="146" t="s">
        <v>2241</v>
      </c>
      <c r="AC129" s="3" t="s">
        <v>2086</v>
      </c>
    </row>
    <row r="130" spans="1:29" x14ac:dyDescent="0.3">
      <c r="A130" s="4" t="s">
        <v>1134</v>
      </c>
      <c r="B130" s="3" t="s">
        <v>263</v>
      </c>
      <c r="C130" s="2">
        <v>17426</v>
      </c>
      <c r="D130" s="2">
        <v>18</v>
      </c>
      <c r="E130" s="2">
        <v>1</v>
      </c>
      <c r="F130" s="2">
        <v>0</v>
      </c>
      <c r="G130" s="2">
        <v>1</v>
      </c>
      <c r="H130" s="2">
        <v>0</v>
      </c>
      <c r="I130" s="2">
        <v>0</v>
      </c>
      <c r="J130" s="2">
        <v>1</v>
      </c>
      <c r="K130" s="2">
        <v>6</v>
      </c>
      <c r="L130" s="2">
        <v>0</v>
      </c>
      <c r="M130" s="2">
        <v>8</v>
      </c>
      <c r="N130" s="2">
        <v>1</v>
      </c>
      <c r="O130" s="2">
        <v>3</v>
      </c>
      <c r="P130" s="2">
        <v>0</v>
      </c>
      <c r="Q130" s="2">
        <v>0</v>
      </c>
      <c r="R130" s="238">
        <v>367</v>
      </c>
      <c r="S130" s="219">
        <f xml:space="preserve"> 12</f>
        <v>12</v>
      </c>
      <c r="T130" s="220">
        <f>SUM( tabConsumo[[#This Row],[QTD.PENDENTE]]:tabConsumo[[#This Row],[09_23]] ) / tabConsumo[[#This Row],[Div]]</f>
        <v>1.75</v>
      </c>
      <c r="U130" s="221">
        <f xml:space="preserve"> tabConsumo[[#This Row],[Média.A]] + (_xlfn.STDEV.S( tabConsumo[[#This Row],[QTD.PENDENTE]]:tabConsumo[[#This Row],[09_23]] ) * 1)</f>
        <v>4.3170495884855029</v>
      </c>
      <c r="V130" s="221">
        <f xml:space="preserve"> tabConsumo[[#This Row],[Média.A]] + (_xlfn.STDEV.S( tabConsumo[[#This Row],[QTD.PENDENTE]]:tabConsumo[[#This Row],[09_23]] ) * 2)</f>
        <v>6.8840991769710058</v>
      </c>
      <c r="W130" s="221">
        <f xml:space="preserve"> tabConsumo[[#This Row],[Média.A]] + (_xlfn.STDEV.S( tabConsumo[[#This Row],[QTD.PENDENTE]]:tabConsumo[[#This Row],[09_23]] ) * 3)</f>
        <v>9.4511487654565087</v>
      </c>
      <c r="X130" s="5">
        <f t="shared" si="3"/>
        <v>2</v>
      </c>
      <c r="Y130">
        <v>1.5833333333333333</v>
      </c>
      <c r="Z130" s="223">
        <f>SUM( tabConsumo[[#This Row],[QTD.PENDENTE]]:tabConsumo[[#This Row],[09_23]] )</f>
        <v>21</v>
      </c>
      <c r="AA130" s="223">
        <f>LARGE(tabConsumo[[#This Row],[10_22]:[09_23]],1)</f>
        <v>8</v>
      </c>
      <c r="AB130" s="146" t="s">
        <v>2239</v>
      </c>
      <c r="AC130" s="3" t="s">
        <v>2086</v>
      </c>
    </row>
    <row r="131" spans="1:29" x14ac:dyDescent="0.3">
      <c r="A131" s="4" t="s">
        <v>1699</v>
      </c>
      <c r="B131" s="3" t="s">
        <v>31</v>
      </c>
      <c r="C131" s="2">
        <v>113634</v>
      </c>
      <c r="D131" s="2">
        <v>63</v>
      </c>
      <c r="F131" s="2">
        <v>0</v>
      </c>
      <c r="G131" s="2">
        <v>3</v>
      </c>
      <c r="H131" s="2">
        <v>0</v>
      </c>
      <c r="I131" s="2">
        <v>0</v>
      </c>
      <c r="J131" s="2">
        <v>0</v>
      </c>
      <c r="K131" s="2">
        <v>1</v>
      </c>
      <c r="L131" s="2">
        <v>0</v>
      </c>
      <c r="M131" s="2">
        <v>0</v>
      </c>
      <c r="N131" s="2">
        <v>0</v>
      </c>
      <c r="O131" s="2">
        <v>0</v>
      </c>
      <c r="P131" s="2">
        <v>0</v>
      </c>
      <c r="Q131" s="2">
        <v>0</v>
      </c>
      <c r="R131" s="238">
        <v>40150</v>
      </c>
      <c r="S131" s="219">
        <v>12</v>
      </c>
      <c r="T131" s="220">
        <f>SUM( tabConsumo[[#This Row],[QTD.PENDENTE]]:tabConsumo[[#This Row],[09_23]] ) / tabConsumo[[#This Row],[Div]]</f>
        <v>0.33333333333333331</v>
      </c>
      <c r="U131" s="221">
        <f xml:space="preserve"> tabConsumo[[#This Row],[Média.A]] + (_xlfn.STDEV.S( tabConsumo[[#This Row],[QTD.PENDENTE]]:tabConsumo[[#This Row],[09_23]] ) * 1)</f>
        <v>1.2209586979319278</v>
      </c>
      <c r="V131" s="221">
        <f xml:space="preserve"> tabConsumo[[#This Row],[Média.A]] + (_xlfn.STDEV.S( tabConsumo[[#This Row],[QTD.PENDENTE]]:tabConsumo[[#This Row],[09_23]] ) * 2)</f>
        <v>2.1085840625305226</v>
      </c>
      <c r="W131" s="221">
        <f xml:space="preserve"> tabConsumo[[#This Row],[Média.A]] + (_xlfn.STDEV.S( tabConsumo[[#This Row],[QTD.PENDENTE]]:tabConsumo[[#This Row],[09_23]] ) * 3)</f>
        <v>2.9962094271291169</v>
      </c>
      <c r="X131" s="5">
        <f t="shared" ref="X131:X194" si="4" xml:space="preserve"> 2</f>
        <v>2</v>
      </c>
      <c r="Y131">
        <v>0.25</v>
      </c>
      <c r="Z131" s="223">
        <f>SUM( tabConsumo[[#This Row],[QTD.PENDENTE]]:tabConsumo[[#This Row],[09_23]] )</f>
        <v>4</v>
      </c>
      <c r="AA131" s="223">
        <f>LARGE(tabConsumo[[#This Row],[10_22]:[09_23]],1)</f>
        <v>3</v>
      </c>
      <c r="AB131" s="146" t="s">
        <v>2245</v>
      </c>
      <c r="AC131" s="3" t="s">
        <v>2086</v>
      </c>
    </row>
    <row r="132" spans="1:29" x14ac:dyDescent="0.3">
      <c r="A132" s="4" t="s">
        <v>984</v>
      </c>
      <c r="B132" s="3" t="s">
        <v>263</v>
      </c>
      <c r="C132" s="2">
        <v>12971</v>
      </c>
      <c r="D132" s="2">
        <v>401</v>
      </c>
      <c r="F132" s="2">
        <v>100</v>
      </c>
      <c r="G132" s="2">
        <v>0</v>
      </c>
      <c r="H132" s="2">
        <v>0</v>
      </c>
      <c r="I132" s="2">
        <v>0</v>
      </c>
      <c r="J132" s="2">
        <v>0</v>
      </c>
      <c r="K132" s="2">
        <v>0</v>
      </c>
      <c r="L132" s="2">
        <v>0</v>
      </c>
      <c r="M132" s="2">
        <v>0</v>
      </c>
      <c r="N132" s="2">
        <v>0</v>
      </c>
      <c r="O132" s="2">
        <v>0</v>
      </c>
      <c r="P132" s="2">
        <v>0</v>
      </c>
      <c r="Q132" s="2">
        <v>0</v>
      </c>
      <c r="R132" s="238">
        <v>367</v>
      </c>
      <c r="S132" s="219">
        <f xml:space="preserve"> 12</f>
        <v>12</v>
      </c>
      <c r="T132" s="220">
        <f>SUM( tabConsumo[[#This Row],[QTD.PENDENTE]]:tabConsumo[[#This Row],[09_23]] ) / tabConsumo[[#This Row],[Div]]</f>
        <v>8.3333333333333339</v>
      </c>
      <c r="U132" s="221">
        <f xml:space="preserve"> tabConsumo[[#This Row],[Média.A]] + (_xlfn.STDEV.S( tabConsumo[[#This Row],[QTD.PENDENTE]]:tabConsumo[[#This Row],[09_23]] ) * 1)</f>
        <v>37.200846792814623</v>
      </c>
      <c r="V132" s="221">
        <f xml:space="preserve"> tabConsumo[[#This Row],[Média.A]] + (_xlfn.STDEV.S( tabConsumo[[#This Row],[QTD.PENDENTE]]:tabConsumo[[#This Row],[09_23]] ) * 2)</f>
        <v>66.068360252295903</v>
      </c>
      <c r="W132" s="221">
        <f xml:space="preserve"> tabConsumo[[#This Row],[Média.A]] + (_xlfn.STDEV.S( tabConsumo[[#This Row],[QTD.PENDENTE]]:tabConsumo[[#This Row],[09_23]] ) * 3)</f>
        <v>94.935873711777191</v>
      </c>
      <c r="X132" s="5">
        <f t="shared" si="4"/>
        <v>2</v>
      </c>
      <c r="Y132">
        <v>5.5</v>
      </c>
      <c r="Z132" s="223">
        <f>SUM( tabConsumo[[#This Row],[QTD.PENDENTE]]:tabConsumo[[#This Row],[09_23]] )</f>
        <v>100</v>
      </c>
      <c r="AA132" s="223">
        <f>LARGE(tabConsumo[[#This Row],[10_22]:[09_23]],1)</f>
        <v>100</v>
      </c>
      <c r="AB132" s="146" t="s">
        <v>2242</v>
      </c>
      <c r="AC132" s="3" t="s">
        <v>2086</v>
      </c>
    </row>
    <row r="133" spans="1:29" x14ac:dyDescent="0.3">
      <c r="A133" s="4" t="s">
        <v>1048</v>
      </c>
      <c r="B133" s="3" t="s">
        <v>263</v>
      </c>
      <c r="C133" s="2">
        <v>13768</v>
      </c>
      <c r="D133" s="2">
        <v>286</v>
      </c>
      <c r="E133" s="2">
        <v>61</v>
      </c>
      <c r="F133" s="2">
        <v>605</v>
      </c>
      <c r="G133" s="2">
        <v>405</v>
      </c>
      <c r="H133" s="2">
        <v>285</v>
      </c>
      <c r="I133" s="2">
        <v>266</v>
      </c>
      <c r="J133" s="2">
        <v>411</v>
      </c>
      <c r="K133" s="2">
        <v>471</v>
      </c>
      <c r="L133" s="2">
        <v>351</v>
      </c>
      <c r="M133" s="2">
        <v>325</v>
      </c>
      <c r="N133" s="2">
        <v>287</v>
      </c>
      <c r="O133" s="2">
        <v>252</v>
      </c>
      <c r="P133" s="2">
        <v>286</v>
      </c>
      <c r="Q133" s="2">
        <v>277</v>
      </c>
      <c r="R133" s="238">
        <v>367</v>
      </c>
      <c r="S133" s="219">
        <f xml:space="preserve"> 12</f>
        <v>12</v>
      </c>
      <c r="T133" s="220">
        <f>SUM( tabConsumo[[#This Row],[QTD.PENDENTE]]:tabConsumo[[#This Row],[09_23]] ) / tabConsumo[[#This Row],[Div]]</f>
        <v>356.83333333333331</v>
      </c>
      <c r="U133" s="221">
        <f xml:space="preserve"> tabConsumo[[#This Row],[Média.A]] + (_xlfn.STDEV.S( tabConsumo[[#This Row],[QTD.PENDENTE]]:tabConsumo[[#This Row],[09_23]] ) * 1)</f>
        <v>485.71088404300144</v>
      </c>
      <c r="V133" s="221">
        <f xml:space="preserve"> tabConsumo[[#This Row],[Média.A]] + (_xlfn.STDEV.S( tabConsumo[[#This Row],[QTD.PENDENTE]]:tabConsumo[[#This Row],[09_23]] ) * 2)</f>
        <v>614.58843475266963</v>
      </c>
      <c r="W133" s="221">
        <f xml:space="preserve"> tabConsumo[[#This Row],[Média.A]] + (_xlfn.STDEV.S( tabConsumo[[#This Row],[QTD.PENDENTE]]:tabConsumo[[#This Row],[09_23]] ) * 3)</f>
        <v>743.4659854623377</v>
      </c>
      <c r="X133" s="5">
        <f t="shared" si="4"/>
        <v>2</v>
      </c>
      <c r="Y133">
        <v>356.83333333333331</v>
      </c>
      <c r="Z133" s="223">
        <f>SUM( tabConsumo[[#This Row],[QTD.PENDENTE]]:tabConsumo[[#This Row],[09_23]] )</f>
        <v>4282</v>
      </c>
      <c r="AA133" s="223">
        <f>LARGE(tabConsumo[[#This Row],[10_22]:[09_23]],1)</f>
        <v>605</v>
      </c>
      <c r="AB133" s="146" t="s">
        <v>2238</v>
      </c>
      <c r="AC133" s="3" t="s">
        <v>2086</v>
      </c>
    </row>
    <row r="134" spans="1:29" x14ac:dyDescent="0.3">
      <c r="A134" s="4" t="s">
        <v>1727</v>
      </c>
      <c r="B134" s="3" t="s">
        <v>263</v>
      </c>
      <c r="C134" s="2">
        <v>117734</v>
      </c>
      <c r="D134" s="2">
        <v>114</v>
      </c>
      <c r="F134" s="2">
        <v>0</v>
      </c>
      <c r="G134" s="2">
        <v>2</v>
      </c>
      <c r="H134" s="2">
        <v>0</v>
      </c>
      <c r="I134" s="2">
        <v>2</v>
      </c>
      <c r="J134" s="2">
        <v>0</v>
      </c>
      <c r="K134" s="2">
        <v>0</v>
      </c>
      <c r="L134" s="2">
        <v>0</v>
      </c>
      <c r="M134" s="2">
        <v>0</v>
      </c>
      <c r="N134" s="2">
        <v>0</v>
      </c>
      <c r="O134" s="2">
        <v>0</v>
      </c>
      <c r="P134" s="2">
        <v>0</v>
      </c>
      <c r="Q134" s="2">
        <v>0</v>
      </c>
      <c r="R134" s="238">
        <v>40438</v>
      </c>
      <c r="S134" s="219">
        <v>12</v>
      </c>
      <c r="T134" s="220">
        <f>SUM( tabConsumo[[#This Row],[QTD.PENDENTE]]:tabConsumo[[#This Row],[09_23]] ) / tabConsumo[[#This Row],[Div]]</f>
        <v>0.33333333333333331</v>
      </c>
      <c r="U134" s="221">
        <f xml:space="preserve"> tabConsumo[[#This Row],[Média.A]] + (_xlfn.STDEV.S( tabConsumo[[#This Row],[QTD.PENDENTE]]:tabConsumo[[#This Row],[09_23]] ) * 1)</f>
        <v>1.1118322774948564</v>
      </c>
      <c r="V134" s="221">
        <f xml:space="preserve"> tabConsumo[[#This Row],[Média.A]] + (_xlfn.STDEV.S( tabConsumo[[#This Row],[QTD.PENDENTE]]:tabConsumo[[#This Row],[09_23]] ) * 2)</f>
        <v>1.8903312216563792</v>
      </c>
      <c r="W134" s="221">
        <f xml:space="preserve"> tabConsumo[[#This Row],[Média.A]] + (_xlfn.STDEV.S( tabConsumo[[#This Row],[QTD.PENDENTE]]:tabConsumo[[#This Row],[09_23]] ) * 3)</f>
        <v>2.6688301658179023</v>
      </c>
      <c r="X134" s="5">
        <f t="shared" si="4"/>
        <v>2</v>
      </c>
      <c r="Y134">
        <v>0.16666666666666666</v>
      </c>
      <c r="Z134" s="223">
        <f>SUM( tabConsumo[[#This Row],[QTD.PENDENTE]]:tabConsumo[[#This Row],[09_23]] )</f>
        <v>4</v>
      </c>
      <c r="AA134" s="223">
        <f>LARGE(tabConsumo[[#This Row],[10_22]:[09_23]],1)</f>
        <v>2</v>
      </c>
      <c r="AB134" s="146" t="s">
        <v>2247</v>
      </c>
      <c r="AC134" s="3" t="s">
        <v>2086</v>
      </c>
    </row>
    <row r="135" spans="1:29" x14ac:dyDescent="0.3">
      <c r="A135" s="4" t="s">
        <v>1002</v>
      </c>
      <c r="B135" s="3" t="s">
        <v>263</v>
      </c>
      <c r="C135" s="2">
        <v>13092</v>
      </c>
      <c r="D135" s="2">
        <v>180</v>
      </c>
      <c r="F135" s="2">
        <v>0</v>
      </c>
      <c r="G135" s="2">
        <v>3</v>
      </c>
      <c r="H135" s="2">
        <v>5</v>
      </c>
      <c r="I135" s="2">
        <v>6</v>
      </c>
      <c r="J135" s="2">
        <v>1</v>
      </c>
      <c r="K135" s="2">
        <v>2</v>
      </c>
      <c r="L135" s="2">
        <v>0</v>
      </c>
      <c r="M135" s="2">
        <v>0</v>
      </c>
      <c r="N135" s="2">
        <v>0</v>
      </c>
      <c r="O135" s="2">
        <v>10</v>
      </c>
      <c r="P135" s="2">
        <v>0</v>
      </c>
      <c r="Q135" s="2">
        <v>20</v>
      </c>
      <c r="R135" s="238">
        <v>367</v>
      </c>
      <c r="S135" s="219">
        <f xml:space="preserve"> 12</f>
        <v>12</v>
      </c>
      <c r="T135" s="220">
        <f>SUM( tabConsumo[[#This Row],[QTD.PENDENTE]]:tabConsumo[[#This Row],[09_23]] ) / tabConsumo[[#This Row],[Div]]</f>
        <v>3.9166666666666665</v>
      </c>
      <c r="U135" s="221">
        <f xml:space="preserve"> tabConsumo[[#This Row],[Média.A]] + (_xlfn.STDEV.S( tabConsumo[[#This Row],[QTD.PENDENTE]]:tabConsumo[[#This Row],[09_23]] ) * 1)</f>
        <v>9.8780321803622311</v>
      </c>
      <c r="V135" s="221">
        <f xml:space="preserve"> tabConsumo[[#This Row],[Média.A]] + (_xlfn.STDEV.S( tabConsumo[[#This Row],[QTD.PENDENTE]]:tabConsumo[[#This Row],[09_23]] ) * 2)</f>
        <v>15.839397694057794</v>
      </c>
      <c r="W135" s="221">
        <f xml:space="preserve"> tabConsumo[[#This Row],[Média.A]] + (_xlfn.STDEV.S( tabConsumo[[#This Row],[QTD.PENDENTE]]:tabConsumo[[#This Row],[09_23]] ) * 3)</f>
        <v>21.800763207753359</v>
      </c>
      <c r="X135" s="5">
        <f t="shared" si="4"/>
        <v>2</v>
      </c>
      <c r="Y135">
        <v>3.5</v>
      </c>
      <c r="Z135" s="223">
        <f>SUM( tabConsumo[[#This Row],[QTD.PENDENTE]]:tabConsumo[[#This Row],[09_23]] )</f>
        <v>47</v>
      </c>
      <c r="AA135" s="223">
        <f>LARGE(tabConsumo[[#This Row],[10_22]:[09_23]],1)</f>
        <v>20</v>
      </c>
      <c r="AB135" s="146" t="s">
        <v>2238</v>
      </c>
      <c r="AC135" s="3" t="s">
        <v>2086</v>
      </c>
    </row>
    <row r="136" spans="1:29" x14ac:dyDescent="0.3">
      <c r="A136" s="4" t="s">
        <v>1133</v>
      </c>
      <c r="B136" s="3" t="s">
        <v>263</v>
      </c>
      <c r="C136" s="2">
        <v>17422</v>
      </c>
      <c r="D136" s="2">
        <v>57</v>
      </c>
      <c r="F136" s="2">
        <v>2</v>
      </c>
      <c r="G136" s="2">
        <v>0</v>
      </c>
      <c r="H136" s="2">
        <v>0</v>
      </c>
      <c r="I136" s="2">
        <v>0</v>
      </c>
      <c r="J136" s="2">
        <v>0</v>
      </c>
      <c r="K136" s="2">
        <v>0</v>
      </c>
      <c r="L136" s="2">
        <v>0</v>
      </c>
      <c r="M136" s="2">
        <v>0</v>
      </c>
      <c r="N136" s="2">
        <v>0</v>
      </c>
      <c r="O136" s="2">
        <v>0</v>
      </c>
      <c r="P136" s="2">
        <v>0</v>
      </c>
      <c r="Q136" s="2">
        <v>0</v>
      </c>
      <c r="R136" s="238">
        <v>367</v>
      </c>
      <c r="S136" s="219">
        <f xml:space="preserve"> 12</f>
        <v>12</v>
      </c>
      <c r="T136" s="220">
        <f>SUM( tabConsumo[[#This Row],[QTD.PENDENTE]]:tabConsumo[[#This Row],[09_23]] ) / tabConsumo[[#This Row],[Div]]</f>
        <v>0.16666666666666666</v>
      </c>
      <c r="U136" s="221">
        <f xml:space="preserve"> tabConsumo[[#This Row],[Média.A]] + (_xlfn.STDEV.S( tabConsumo[[#This Row],[QTD.PENDENTE]]:tabConsumo[[#This Row],[09_23]] ) * 1)</f>
        <v>0.74401693585629236</v>
      </c>
      <c r="V136" s="221">
        <f xml:space="preserve"> tabConsumo[[#This Row],[Média.A]] + (_xlfn.STDEV.S( tabConsumo[[#This Row],[QTD.PENDENTE]]:tabConsumo[[#This Row],[09_23]] ) * 2)</f>
        <v>1.3213672050459182</v>
      </c>
      <c r="W136" s="221">
        <f xml:space="preserve"> tabConsumo[[#This Row],[Média.A]] + (_xlfn.STDEV.S( tabConsumo[[#This Row],[QTD.PENDENTE]]:tabConsumo[[#This Row],[09_23]] ) * 3)</f>
        <v>1.8987174742355439</v>
      </c>
      <c r="X136" s="5">
        <f t="shared" si="4"/>
        <v>2</v>
      </c>
      <c r="Y136">
        <v>8.3333333333333329E-2</v>
      </c>
      <c r="Z136" s="223">
        <f>SUM( tabConsumo[[#This Row],[QTD.PENDENTE]]:tabConsumo[[#This Row],[09_23]] )</f>
        <v>2</v>
      </c>
      <c r="AA136" s="223">
        <f>LARGE(tabConsumo[[#This Row],[10_22]:[09_23]],1)</f>
        <v>2</v>
      </c>
      <c r="AB136" s="146" t="s">
        <v>2242</v>
      </c>
      <c r="AC136" s="3" t="s">
        <v>2086</v>
      </c>
    </row>
    <row r="137" spans="1:29" x14ac:dyDescent="0.3">
      <c r="A137" s="4" t="s">
        <v>962</v>
      </c>
      <c r="B137" s="3" t="s">
        <v>611</v>
      </c>
      <c r="C137" s="2">
        <v>12763</v>
      </c>
      <c r="D137" s="2">
        <v>988</v>
      </c>
      <c r="E137" s="2">
        <v>122</v>
      </c>
      <c r="F137" s="2">
        <v>145</v>
      </c>
      <c r="G137" s="2">
        <v>5</v>
      </c>
      <c r="H137" s="2">
        <v>0</v>
      </c>
      <c r="I137" s="2">
        <v>26</v>
      </c>
      <c r="J137" s="2">
        <v>111</v>
      </c>
      <c r="K137" s="2">
        <v>168</v>
      </c>
      <c r="L137" s="2">
        <v>133</v>
      </c>
      <c r="M137" s="2">
        <v>217</v>
      </c>
      <c r="N137" s="2">
        <v>60</v>
      </c>
      <c r="O137" s="2">
        <v>85</v>
      </c>
      <c r="P137" s="2">
        <v>134</v>
      </c>
      <c r="Q137" s="2">
        <v>0</v>
      </c>
      <c r="R137" s="238">
        <v>367</v>
      </c>
      <c r="S137" s="219">
        <f xml:space="preserve"> 12</f>
        <v>12</v>
      </c>
      <c r="T137" s="220">
        <f>SUM( tabConsumo[[#This Row],[QTD.PENDENTE]]:tabConsumo[[#This Row],[09_23]] ) / tabConsumo[[#This Row],[Div]]</f>
        <v>100.5</v>
      </c>
      <c r="U137" s="221">
        <f xml:space="preserve"> tabConsumo[[#This Row],[Média.A]] + (_xlfn.STDEV.S( tabConsumo[[#This Row],[QTD.PENDENTE]]:tabConsumo[[#This Row],[09_23]] ) * 1)</f>
        <v>170.52041826752375</v>
      </c>
      <c r="V137" s="221">
        <f xml:space="preserve"> tabConsumo[[#This Row],[Média.A]] + (_xlfn.STDEV.S( tabConsumo[[#This Row],[QTD.PENDENTE]]:tabConsumo[[#This Row],[09_23]] ) * 2)</f>
        <v>240.5408365350475</v>
      </c>
      <c r="W137" s="221">
        <f xml:space="preserve"> tabConsumo[[#This Row],[Média.A]] + (_xlfn.STDEV.S( tabConsumo[[#This Row],[QTD.PENDENTE]]:tabConsumo[[#This Row],[09_23]] ) * 3)</f>
        <v>310.56125480257128</v>
      </c>
      <c r="X137" s="5">
        <f t="shared" si="4"/>
        <v>2</v>
      </c>
      <c r="Y137">
        <v>100.5</v>
      </c>
      <c r="Z137" s="223">
        <f>SUM( tabConsumo[[#This Row],[QTD.PENDENTE]]:tabConsumo[[#This Row],[09_23]] )</f>
        <v>1206</v>
      </c>
      <c r="AA137" s="223">
        <f>LARGE(tabConsumo[[#This Row],[10_22]:[09_23]],1)</f>
        <v>217</v>
      </c>
      <c r="AB137" s="146" t="s">
        <v>2241</v>
      </c>
      <c r="AC137" s="3" t="s">
        <v>2086</v>
      </c>
    </row>
    <row r="138" spans="1:29" x14ac:dyDescent="0.3">
      <c r="A138" s="4" t="s">
        <v>1611</v>
      </c>
      <c r="B138" s="3" t="s">
        <v>263</v>
      </c>
      <c r="C138" s="2">
        <v>105106</v>
      </c>
      <c r="D138" s="2">
        <v>13</v>
      </c>
      <c r="F138" s="2">
        <v>0</v>
      </c>
      <c r="G138" s="2">
        <v>0</v>
      </c>
      <c r="H138" s="2">
        <v>0</v>
      </c>
      <c r="I138" s="2">
        <v>2</v>
      </c>
      <c r="J138" s="2">
        <v>0</v>
      </c>
      <c r="K138" s="2">
        <v>0</v>
      </c>
      <c r="L138" s="2">
        <v>0</v>
      </c>
      <c r="M138" s="2">
        <v>0</v>
      </c>
      <c r="N138" s="2">
        <v>0</v>
      </c>
      <c r="O138" s="2">
        <v>0</v>
      </c>
      <c r="P138" s="2">
        <v>0</v>
      </c>
      <c r="Q138" s="2">
        <v>0</v>
      </c>
      <c r="R138" s="238">
        <v>39499</v>
      </c>
      <c r="S138" s="219">
        <v>12</v>
      </c>
      <c r="T138" s="220">
        <f>SUM( tabConsumo[[#This Row],[QTD.PENDENTE]]:tabConsumo[[#This Row],[09_23]] ) / tabConsumo[[#This Row],[Div]]</f>
        <v>0.16666666666666666</v>
      </c>
      <c r="U138" s="221">
        <f xml:space="preserve"> tabConsumo[[#This Row],[Média.A]] + (_xlfn.STDEV.S( tabConsumo[[#This Row],[QTD.PENDENTE]]:tabConsumo[[#This Row],[09_23]] ) * 1)</f>
        <v>0.74401693585629236</v>
      </c>
      <c r="V138" s="221">
        <f xml:space="preserve"> tabConsumo[[#This Row],[Média.A]] + (_xlfn.STDEV.S( tabConsumo[[#This Row],[QTD.PENDENTE]]:tabConsumo[[#This Row],[09_23]] ) * 2)</f>
        <v>1.3213672050459182</v>
      </c>
      <c r="W138" s="221">
        <f xml:space="preserve"> tabConsumo[[#This Row],[Média.A]] + (_xlfn.STDEV.S( tabConsumo[[#This Row],[QTD.PENDENTE]]:tabConsumo[[#This Row],[09_23]] ) * 3)</f>
        <v>1.8987174742355439</v>
      </c>
      <c r="X138" s="5">
        <f t="shared" si="4"/>
        <v>2</v>
      </c>
      <c r="Y138">
        <v>8.3333333333333329E-2</v>
      </c>
      <c r="Z138" s="223">
        <f>SUM( tabConsumo[[#This Row],[QTD.PENDENTE]]:tabConsumo[[#This Row],[09_23]] )</f>
        <v>2</v>
      </c>
      <c r="AA138" s="223">
        <f>LARGE(tabConsumo[[#This Row],[10_22]:[09_23]],1)</f>
        <v>2</v>
      </c>
      <c r="AB138" s="146" t="s">
        <v>2247</v>
      </c>
      <c r="AC138" s="3" t="s">
        <v>2086</v>
      </c>
    </row>
    <row r="139" spans="1:29" x14ac:dyDescent="0.3">
      <c r="A139" s="4" t="s">
        <v>1613</v>
      </c>
      <c r="B139" s="3" t="s">
        <v>263</v>
      </c>
      <c r="C139" s="2">
        <v>105107</v>
      </c>
      <c r="D139" s="2">
        <v>8</v>
      </c>
      <c r="F139" s="2">
        <v>0</v>
      </c>
      <c r="G139" s="2">
        <v>0</v>
      </c>
      <c r="H139" s="2">
        <v>0</v>
      </c>
      <c r="I139" s="2">
        <v>0</v>
      </c>
      <c r="J139" s="2">
        <v>0</v>
      </c>
      <c r="K139" s="2">
        <v>2</v>
      </c>
      <c r="L139" s="2">
        <v>0</v>
      </c>
      <c r="M139" s="2">
        <v>0</v>
      </c>
      <c r="N139" s="2">
        <v>0</v>
      </c>
      <c r="O139" s="2">
        <v>0</v>
      </c>
      <c r="P139" s="2">
        <v>0</v>
      </c>
      <c r="Q139" s="2">
        <v>0</v>
      </c>
      <c r="R139" s="238">
        <v>39499</v>
      </c>
      <c r="S139" s="219">
        <v>12</v>
      </c>
      <c r="T139" s="220">
        <f>SUM( tabConsumo[[#This Row],[QTD.PENDENTE]]:tabConsumo[[#This Row],[09_23]] ) / tabConsumo[[#This Row],[Div]]</f>
        <v>0.16666666666666666</v>
      </c>
      <c r="U139" s="221">
        <f xml:space="preserve"> tabConsumo[[#This Row],[Média.A]] + (_xlfn.STDEV.S( tabConsumo[[#This Row],[QTD.PENDENTE]]:tabConsumo[[#This Row],[09_23]] ) * 1)</f>
        <v>0.74401693585629236</v>
      </c>
      <c r="V139" s="221">
        <f xml:space="preserve"> tabConsumo[[#This Row],[Média.A]] + (_xlfn.STDEV.S( tabConsumo[[#This Row],[QTD.PENDENTE]]:tabConsumo[[#This Row],[09_23]] ) * 2)</f>
        <v>1.3213672050459182</v>
      </c>
      <c r="W139" s="221">
        <f xml:space="preserve"> tabConsumo[[#This Row],[Média.A]] + (_xlfn.STDEV.S( tabConsumo[[#This Row],[QTD.PENDENTE]]:tabConsumo[[#This Row],[09_23]] ) * 3)</f>
        <v>1.8987174742355439</v>
      </c>
      <c r="X139" s="5">
        <f t="shared" si="4"/>
        <v>2</v>
      </c>
      <c r="Y139">
        <v>8.3333333333333329E-2</v>
      </c>
      <c r="Z139" s="223">
        <f>SUM( tabConsumo[[#This Row],[QTD.PENDENTE]]:tabConsumo[[#This Row],[09_23]] )</f>
        <v>2</v>
      </c>
      <c r="AA139" s="223">
        <f>LARGE(tabConsumo[[#This Row],[10_22]:[09_23]],1)</f>
        <v>2</v>
      </c>
      <c r="AB139" s="146" t="s">
        <v>2245</v>
      </c>
      <c r="AC139" s="3" t="s">
        <v>2086</v>
      </c>
    </row>
    <row r="140" spans="1:29" x14ac:dyDescent="0.3">
      <c r="A140" s="4" t="s">
        <v>1614</v>
      </c>
      <c r="B140" s="3" t="s">
        <v>263</v>
      </c>
      <c r="C140" s="2">
        <v>105108</v>
      </c>
      <c r="D140" s="2">
        <v>13</v>
      </c>
      <c r="F140" s="2">
        <v>0</v>
      </c>
      <c r="G140" s="2">
        <v>0</v>
      </c>
      <c r="H140" s="2">
        <v>0</v>
      </c>
      <c r="I140" s="2">
        <v>2</v>
      </c>
      <c r="J140" s="2">
        <v>2</v>
      </c>
      <c r="K140" s="2">
        <v>1</v>
      </c>
      <c r="L140" s="2">
        <v>0</v>
      </c>
      <c r="M140" s="2">
        <v>0</v>
      </c>
      <c r="N140" s="2">
        <v>0</v>
      </c>
      <c r="O140" s="2">
        <v>0</v>
      </c>
      <c r="P140" s="2">
        <v>0</v>
      </c>
      <c r="Q140" s="2">
        <v>0</v>
      </c>
      <c r="R140" s="238">
        <v>39499</v>
      </c>
      <c r="S140" s="219">
        <v>12</v>
      </c>
      <c r="T140" s="220">
        <f>SUM( tabConsumo[[#This Row],[QTD.PENDENTE]]:tabConsumo[[#This Row],[09_23]] ) / tabConsumo[[#This Row],[Div]]</f>
        <v>0.41666666666666669</v>
      </c>
      <c r="U140" s="221">
        <f xml:space="preserve"> tabConsumo[[#This Row],[Média.A]] + (_xlfn.STDEV.S( tabConsumo[[#This Row],[QTD.PENDENTE]]:tabConsumo[[#This Row],[09_23]] ) * 1)</f>
        <v>1.2096281277654257</v>
      </c>
      <c r="V140" s="221">
        <f xml:space="preserve"> tabConsumo[[#This Row],[Média.A]] + (_xlfn.STDEV.S( tabConsumo[[#This Row],[QTD.PENDENTE]]:tabConsumo[[#This Row],[09_23]] ) * 2)</f>
        <v>2.0025895888641849</v>
      </c>
      <c r="W140" s="221">
        <f xml:space="preserve"> tabConsumo[[#This Row],[Média.A]] + (_xlfn.STDEV.S( tabConsumo[[#This Row],[QTD.PENDENTE]]:tabConsumo[[#This Row],[09_23]] ) * 3)</f>
        <v>2.7955510499629437</v>
      </c>
      <c r="X140" s="5">
        <f t="shared" si="4"/>
        <v>2</v>
      </c>
      <c r="Y140">
        <v>0.41666666666666669</v>
      </c>
      <c r="Z140" s="223">
        <f>SUM( tabConsumo[[#This Row],[QTD.PENDENTE]]:tabConsumo[[#This Row],[09_23]] )</f>
        <v>5</v>
      </c>
      <c r="AA140" s="223">
        <f>LARGE(tabConsumo[[#This Row],[10_22]:[09_23]],1)</f>
        <v>2</v>
      </c>
      <c r="AB140" s="146" t="s">
        <v>2245</v>
      </c>
      <c r="AC140" s="3" t="s">
        <v>2086</v>
      </c>
    </row>
    <row r="141" spans="1:29" x14ac:dyDescent="0.3">
      <c r="A141" s="4" t="s">
        <v>1648</v>
      </c>
      <c r="B141" s="3" t="s">
        <v>263</v>
      </c>
      <c r="C141" s="2">
        <v>106917</v>
      </c>
      <c r="D141" s="2">
        <v>0</v>
      </c>
      <c r="E141" s="2">
        <v>1</v>
      </c>
      <c r="F141" s="2">
        <v>1</v>
      </c>
      <c r="G141" s="2">
        <v>0</v>
      </c>
      <c r="H141" s="2">
        <v>0</v>
      </c>
      <c r="I141" s="2">
        <v>0</v>
      </c>
      <c r="J141" s="2">
        <v>0</v>
      </c>
      <c r="K141" s="2">
        <v>0</v>
      </c>
      <c r="L141" s="2">
        <v>0</v>
      </c>
      <c r="M141" s="2">
        <v>0</v>
      </c>
      <c r="N141" s="2">
        <v>0</v>
      </c>
      <c r="O141" s="2">
        <v>0</v>
      </c>
      <c r="P141" s="2">
        <v>0</v>
      </c>
      <c r="Q141" s="2">
        <v>0</v>
      </c>
      <c r="R141" s="238">
        <v>39624</v>
      </c>
      <c r="S141" s="219">
        <v>12</v>
      </c>
      <c r="T141" s="220">
        <f>SUM( tabConsumo[[#This Row],[QTD.PENDENTE]]:tabConsumo[[#This Row],[09_23]] ) / tabConsumo[[#This Row],[Div]]</f>
        <v>0.16666666666666666</v>
      </c>
      <c r="U141" s="221">
        <f xml:space="preserve"> tabConsumo[[#This Row],[Média.A]] + (_xlfn.STDEV.S( tabConsumo[[#This Row],[QTD.PENDENTE]]:tabConsumo[[#This Row],[09_23]] ) * 1)</f>
        <v>0.54220047476607203</v>
      </c>
      <c r="V141" s="221">
        <f xml:space="preserve"> tabConsumo[[#This Row],[Média.A]] + (_xlfn.STDEV.S( tabConsumo[[#This Row],[QTD.PENDENTE]]:tabConsumo[[#This Row],[09_23]] ) * 2)</f>
        <v>0.91773428286547742</v>
      </c>
      <c r="W141" s="221">
        <f xml:space="preserve"> tabConsumo[[#This Row],[Média.A]] + (_xlfn.STDEV.S( tabConsumo[[#This Row],[QTD.PENDENTE]]:tabConsumo[[#This Row],[09_23]] ) * 3)</f>
        <v>1.2932680909648828</v>
      </c>
      <c r="X141" s="5">
        <f t="shared" si="4"/>
        <v>2</v>
      </c>
      <c r="Y141">
        <v>8.3333333333333329E-2</v>
      </c>
      <c r="Z141" s="223">
        <f>SUM( tabConsumo[[#This Row],[QTD.PENDENTE]]:tabConsumo[[#This Row],[09_23]] )</f>
        <v>2</v>
      </c>
      <c r="AA141" s="223">
        <f>LARGE(tabConsumo[[#This Row],[10_22]:[09_23]],1)</f>
        <v>1</v>
      </c>
      <c r="AB141" s="146" t="s">
        <v>2242</v>
      </c>
      <c r="AC141" s="3" t="s">
        <v>2086</v>
      </c>
    </row>
    <row r="142" spans="1:29" x14ac:dyDescent="0.3">
      <c r="A142" s="4" t="s">
        <v>1649</v>
      </c>
      <c r="B142" s="3" t="s">
        <v>263</v>
      </c>
      <c r="C142" s="2">
        <v>106918</v>
      </c>
      <c r="D142" s="2">
        <v>6</v>
      </c>
      <c r="F142" s="2">
        <v>0</v>
      </c>
      <c r="G142" s="2">
        <v>0</v>
      </c>
      <c r="H142" s="2">
        <v>0</v>
      </c>
      <c r="I142" s="2">
        <v>0</v>
      </c>
      <c r="J142" s="2">
        <v>0</v>
      </c>
      <c r="K142" s="2">
        <v>0</v>
      </c>
      <c r="L142" s="2">
        <v>0</v>
      </c>
      <c r="M142" s="2">
        <v>0</v>
      </c>
      <c r="N142" s="2">
        <v>0</v>
      </c>
      <c r="O142" s="2">
        <v>2</v>
      </c>
      <c r="P142" s="2">
        <v>0</v>
      </c>
      <c r="Q142" s="2">
        <v>2</v>
      </c>
      <c r="R142" s="238">
        <v>39624</v>
      </c>
      <c r="S142" s="219">
        <v>12</v>
      </c>
      <c r="T142" s="220">
        <f>SUM( tabConsumo[[#This Row],[QTD.PENDENTE]]:tabConsumo[[#This Row],[09_23]] ) / tabConsumo[[#This Row],[Div]]</f>
        <v>0.33333333333333331</v>
      </c>
      <c r="U142" s="221">
        <f xml:space="preserve"> tabConsumo[[#This Row],[Média.A]] + (_xlfn.STDEV.S( tabConsumo[[#This Row],[QTD.PENDENTE]]:tabConsumo[[#This Row],[09_23]] ) * 1)</f>
        <v>1.1118322774948564</v>
      </c>
      <c r="V142" s="221">
        <f xml:space="preserve"> tabConsumo[[#This Row],[Média.A]] + (_xlfn.STDEV.S( tabConsumo[[#This Row],[QTD.PENDENTE]]:tabConsumo[[#This Row],[09_23]] ) * 2)</f>
        <v>1.8903312216563792</v>
      </c>
      <c r="W142" s="221">
        <f xml:space="preserve"> tabConsumo[[#This Row],[Média.A]] + (_xlfn.STDEV.S( tabConsumo[[#This Row],[QTD.PENDENTE]]:tabConsumo[[#This Row],[09_23]] ) * 3)</f>
        <v>2.6688301658179023</v>
      </c>
      <c r="X142" s="5">
        <f t="shared" si="4"/>
        <v>2</v>
      </c>
      <c r="Y142">
        <v>0.16666666666666666</v>
      </c>
      <c r="Z142" s="223">
        <f>SUM( tabConsumo[[#This Row],[QTD.PENDENTE]]:tabConsumo[[#This Row],[09_23]] )</f>
        <v>4</v>
      </c>
      <c r="AA142" s="223">
        <f>LARGE(tabConsumo[[#This Row],[10_22]:[09_23]],1)</f>
        <v>2</v>
      </c>
      <c r="AB142" s="146" t="s">
        <v>2238</v>
      </c>
      <c r="AC142" s="3" t="s">
        <v>2086</v>
      </c>
    </row>
    <row r="143" spans="1:29" x14ac:dyDescent="0.3">
      <c r="A143" s="4" t="s">
        <v>1615</v>
      </c>
      <c r="B143" s="3" t="s">
        <v>263</v>
      </c>
      <c r="C143" s="2">
        <v>105110</v>
      </c>
      <c r="D143" s="2">
        <v>12</v>
      </c>
      <c r="F143" s="2">
        <v>0</v>
      </c>
      <c r="G143" s="2">
        <v>0</v>
      </c>
      <c r="H143" s="2">
        <v>0</v>
      </c>
      <c r="I143" s="2">
        <v>0</v>
      </c>
      <c r="J143" s="2">
        <v>0</v>
      </c>
      <c r="K143" s="2">
        <v>0</v>
      </c>
      <c r="L143" s="2">
        <v>0</v>
      </c>
      <c r="M143" s="2">
        <v>0</v>
      </c>
      <c r="N143" s="2">
        <v>0</v>
      </c>
      <c r="O143" s="2">
        <v>2</v>
      </c>
      <c r="P143" s="2">
        <v>0</v>
      </c>
      <c r="Q143" s="2">
        <v>0</v>
      </c>
      <c r="R143" s="238">
        <v>39499</v>
      </c>
      <c r="S143" s="219">
        <v>12</v>
      </c>
      <c r="T143" s="220">
        <f>SUM( tabConsumo[[#This Row],[QTD.PENDENTE]]:tabConsumo[[#This Row],[09_23]] ) / tabConsumo[[#This Row],[Div]]</f>
        <v>0.16666666666666666</v>
      </c>
      <c r="U143" s="221">
        <f xml:space="preserve"> tabConsumo[[#This Row],[Média.A]] + (_xlfn.STDEV.S( tabConsumo[[#This Row],[QTD.PENDENTE]]:tabConsumo[[#This Row],[09_23]] ) * 1)</f>
        <v>0.74401693585629236</v>
      </c>
      <c r="V143" s="221">
        <f xml:space="preserve"> tabConsumo[[#This Row],[Média.A]] + (_xlfn.STDEV.S( tabConsumo[[#This Row],[QTD.PENDENTE]]:tabConsumo[[#This Row],[09_23]] ) * 2)</f>
        <v>1.3213672050459182</v>
      </c>
      <c r="W143" s="221">
        <f xml:space="preserve"> tabConsumo[[#This Row],[Média.A]] + (_xlfn.STDEV.S( tabConsumo[[#This Row],[QTD.PENDENTE]]:tabConsumo[[#This Row],[09_23]] ) * 3)</f>
        <v>1.8987174742355439</v>
      </c>
      <c r="X143" s="5">
        <f t="shared" si="4"/>
        <v>2</v>
      </c>
      <c r="Y143">
        <v>8.3333333333333329E-2</v>
      </c>
      <c r="Z143" s="223">
        <f>SUM( tabConsumo[[#This Row],[QTD.PENDENTE]]:tabConsumo[[#This Row],[09_23]] )</f>
        <v>2</v>
      </c>
      <c r="AA143" s="223">
        <f>LARGE(tabConsumo[[#This Row],[10_22]:[09_23]],1)</f>
        <v>2</v>
      </c>
      <c r="AB143" s="146" t="s">
        <v>2239</v>
      </c>
      <c r="AC143" s="3" t="s">
        <v>2086</v>
      </c>
    </row>
    <row r="144" spans="1:29" x14ac:dyDescent="0.3">
      <c r="A144" s="4" t="s">
        <v>1782</v>
      </c>
      <c r="B144" s="3" t="s">
        <v>263</v>
      </c>
      <c r="C144" s="2">
        <v>127107</v>
      </c>
      <c r="D144" s="2">
        <v>14</v>
      </c>
      <c r="F144" s="2">
        <v>2</v>
      </c>
      <c r="G144" s="2">
        <v>0</v>
      </c>
      <c r="H144" s="2">
        <v>0</v>
      </c>
      <c r="I144" s="2">
        <v>0</v>
      </c>
      <c r="J144" s="2">
        <v>2</v>
      </c>
      <c r="K144" s="2">
        <v>0</v>
      </c>
      <c r="L144" s="2">
        <v>0</v>
      </c>
      <c r="M144" s="2">
        <v>0</v>
      </c>
      <c r="N144" s="2">
        <v>0</v>
      </c>
      <c r="O144" s="2">
        <v>0</v>
      </c>
      <c r="P144" s="2">
        <v>0</v>
      </c>
      <c r="Q144" s="2">
        <v>0</v>
      </c>
      <c r="R144" s="238">
        <v>41648</v>
      </c>
      <c r="S144" s="219">
        <v>12</v>
      </c>
      <c r="T144" s="220">
        <f>SUM( tabConsumo[[#This Row],[QTD.PENDENTE]]:tabConsumo[[#This Row],[09_23]] ) / tabConsumo[[#This Row],[Div]]</f>
        <v>0.33333333333333331</v>
      </c>
      <c r="U144" s="221">
        <f xml:space="preserve"> tabConsumo[[#This Row],[Média.A]] + (_xlfn.STDEV.S( tabConsumo[[#This Row],[QTD.PENDENTE]]:tabConsumo[[#This Row],[09_23]] ) * 1)</f>
        <v>1.1118322774948564</v>
      </c>
      <c r="V144" s="221">
        <f xml:space="preserve"> tabConsumo[[#This Row],[Média.A]] + (_xlfn.STDEV.S( tabConsumo[[#This Row],[QTD.PENDENTE]]:tabConsumo[[#This Row],[09_23]] ) * 2)</f>
        <v>1.8903312216563792</v>
      </c>
      <c r="W144" s="221">
        <f xml:space="preserve"> tabConsumo[[#This Row],[Média.A]] + (_xlfn.STDEV.S( tabConsumo[[#This Row],[QTD.PENDENTE]]:tabConsumo[[#This Row],[09_23]] ) * 3)</f>
        <v>2.6688301658179023</v>
      </c>
      <c r="X144" s="5">
        <f t="shared" si="4"/>
        <v>2</v>
      </c>
      <c r="Y144">
        <v>0.16666666666666666</v>
      </c>
      <c r="Z144" s="223">
        <f>SUM( tabConsumo[[#This Row],[QTD.PENDENTE]]:tabConsumo[[#This Row],[09_23]] )</f>
        <v>4</v>
      </c>
      <c r="AA144" s="223">
        <f>LARGE(tabConsumo[[#This Row],[10_22]:[09_23]],1)</f>
        <v>2</v>
      </c>
      <c r="AB144" s="146" t="s">
        <v>2248</v>
      </c>
      <c r="AC144" s="3" t="s">
        <v>2086</v>
      </c>
    </row>
    <row r="145" spans="1:29" x14ac:dyDescent="0.3">
      <c r="A145" s="4" t="s">
        <v>1908</v>
      </c>
      <c r="B145" s="3" t="s">
        <v>436</v>
      </c>
      <c r="C145" s="2">
        <v>135014</v>
      </c>
      <c r="D145" s="2">
        <v>0</v>
      </c>
      <c r="F145" s="2">
        <v>0</v>
      </c>
      <c r="G145" s="2">
        <v>0</v>
      </c>
      <c r="H145" s="2">
        <v>0</v>
      </c>
      <c r="I145" s="2">
        <v>0</v>
      </c>
      <c r="J145" s="2">
        <v>1</v>
      </c>
      <c r="K145" s="2">
        <v>1</v>
      </c>
      <c r="L145" s="2">
        <v>2</v>
      </c>
      <c r="M145" s="2">
        <v>0</v>
      </c>
      <c r="N145" s="2">
        <v>0</v>
      </c>
      <c r="O145" s="2">
        <v>0</v>
      </c>
      <c r="P145" s="2">
        <v>0</v>
      </c>
      <c r="Q145" s="2">
        <v>0</v>
      </c>
      <c r="R145" s="238">
        <v>43235</v>
      </c>
      <c r="S145" s="219">
        <v>12</v>
      </c>
      <c r="T145" s="220">
        <f>SUM( tabConsumo[[#This Row],[QTD.PENDENTE]]:tabConsumo[[#This Row],[09_23]] ) / tabConsumo[[#This Row],[Div]]</f>
        <v>0.33333333333333331</v>
      </c>
      <c r="U145" s="221">
        <f xml:space="preserve"> tabConsumo[[#This Row],[Média.A]] + (_xlfn.STDEV.S( tabConsumo[[#This Row],[QTD.PENDENTE]]:tabConsumo[[#This Row],[09_23]] ) * 1)</f>
        <v>0.98467228061226297</v>
      </c>
      <c r="V145" s="221">
        <f xml:space="preserve"> tabConsumo[[#This Row],[Média.A]] + (_xlfn.STDEV.S( tabConsumo[[#This Row],[QTD.PENDENTE]]:tabConsumo[[#This Row],[09_23]] ) * 2)</f>
        <v>1.6360112278911925</v>
      </c>
      <c r="W145" s="221">
        <f xml:space="preserve"> tabConsumo[[#This Row],[Média.A]] + (_xlfn.STDEV.S( tabConsumo[[#This Row],[QTD.PENDENTE]]:tabConsumo[[#This Row],[09_23]] ) * 3)</f>
        <v>2.2873501751701224</v>
      </c>
      <c r="X145" s="5">
        <f t="shared" si="4"/>
        <v>2</v>
      </c>
      <c r="Y145">
        <v>0.25</v>
      </c>
      <c r="Z145" s="223">
        <f>SUM( tabConsumo[[#This Row],[QTD.PENDENTE]]:tabConsumo[[#This Row],[09_23]] )</f>
        <v>4</v>
      </c>
      <c r="AA145" s="223">
        <f>LARGE(tabConsumo[[#This Row],[10_22]:[09_23]],1)</f>
        <v>2</v>
      </c>
      <c r="AB145" s="146" t="s">
        <v>2240</v>
      </c>
      <c r="AC145" s="3" t="s">
        <v>2086</v>
      </c>
    </row>
    <row r="146" spans="1:29" x14ac:dyDescent="0.3">
      <c r="A146" s="4" t="s">
        <v>1618</v>
      </c>
      <c r="B146" s="3" t="s">
        <v>263</v>
      </c>
      <c r="C146" s="2">
        <v>105114</v>
      </c>
      <c r="D146" s="2">
        <v>39</v>
      </c>
      <c r="F146" s="2">
        <v>0</v>
      </c>
      <c r="G146" s="2">
        <v>0</v>
      </c>
      <c r="H146" s="2">
        <v>0</v>
      </c>
      <c r="I146" s="2">
        <v>0</v>
      </c>
      <c r="J146" s="2">
        <v>0</v>
      </c>
      <c r="K146" s="2">
        <v>2</v>
      </c>
      <c r="L146" s="2">
        <v>0</v>
      </c>
      <c r="M146" s="2">
        <v>0</v>
      </c>
      <c r="N146" s="2">
        <v>0</v>
      </c>
      <c r="O146" s="2">
        <v>0</v>
      </c>
      <c r="P146" s="2">
        <v>0</v>
      </c>
      <c r="Q146" s="2">
        <v>0</v>
      </c>
      <c r="R146" s="238">
        <v>39499</v>
      </c>
      <c r="S146" s="219">
        <v>12</v>
      </c>
      <c r="T146" s="220">
        <f>SUM( tabConsumo[[#This Row],[QTD.PENDENTE]]:tabConsumo[[#This Row],[09_23]] ) / tabConsumo[[#This Row],[Div]]</f>
        <v>0.16666666666666666</v>
      </c>
      <c r="U146" s="221">
        <f xml:space="preserve"> tabConsumo[[#This Row],[Média.A]] + (_xlfn.STDEV.S( tabConsumo[[#This Row],[QTD.PENDENTE]]:tabConsumo[[#This Row],[09_23]] ) * 1)</f>
        <v>0.74401693585629236</v>
      </c>
      <c r="V146" s="221">
        <f xml:space="preserve"> tabConsumo[[#This Row],[Média.A]] + (_xlfn.STDEV.S( tabConsumo[[#This Row],[QTD.PENDENTE]]:tabConsumo[[#This Row],[09_23]] ) * 2)</f>
        <v>1.3213672050459182</v>
      </c>
      <c r="W146" s="221">
        <f xml:space="preserve"> tabConsumo[[#This Row],[Média.A]] + (_xlfn.STDEV.S( tabConsumo[[#This Row],[QTD.PENDENTE]]:tabConsumo[[#This Row],[09_23]] ) * 3)</f>
        <v>1.8987174742355439</v>
      </c>
      <c r="X146" s="5">
        <f t="shared" si="4"/>
        <v>2</v>
      </c>
      <c r="Y146">
        <v>8.3333333333333329E-2</v>
      </c>
      <c r="Z146" s="223">
        <f>SUM( tabConsumo[[#This Row],[QTD.PENDENTE]]:tabConsumo[[#This Row],[09_23]] )</f>
        <v>2</v>
      </c>
      <c r="AA146" s="223">
        <f>LARGE(tabConsumo[[#This Row],[10_22]:[09_23]],1)</f>
        <v>2</v>
      </c>
      <c r="AB146" s="146" t="s">
        <v>2245</v>
      </c>
      <c r="AC146" s="3" t="s">
        <v>2086</v>
      </c>
    </row>
    <row r="147" spans="1:29" x14ac:dyDescent="0.3">
      <c r="A147" s="4" t="s">
        <v>1643</v>
      </c>
      <c r="B147" s="3" t="s">
        <v>263</v>
      </c>
      <c r="C147" s="2">
        <v>106910</v>
      </c>
      <c r="D147" s="2">
        <v>7</v>
      </c>
      <c r="F147" s="2">
        <v>2</v>
      </c>
      <c r="G147" s="2">
        <v>0</v>
      </c>
      <c r="H147" s="2">
        <v>0</v>
      </c>
      <c r="I147" s="2">
        <v>0</v>
      </c>
      <c r="J147" s="2">
        <v>0</v>
      </c>
      <c r="K147" s="2">
        <v>0</v>
      </c>
      <c r="L147" s="2">
        <v>0</v>
      </c>
      <c r="M147" s="2">
        <v>0</v>
      </c>
      <c r="N147" s="2">
        <v>0</v>
      </c>
      <c r="O147" s="2">
        <v>2</v>
      </c>
      <c r="P147" s="2">
        <v>0</v>
      </c>
      <c r="Q147" s="2">
        <v>0</v>
      </c>
      <c r="R147" s="238">
        <v>39624</v>
      </c>
      <c r="S147" s="219">
        <v>12</v>
      </c>
      <c r="T147" s="220">
        <f>SUM( tabConsumo[[#This Row],[QTD.PENDENTE]]:tabConsumo[[#This Row],[09_23]] ) / tabConsumo[[#This Row],[Div]]</f>
        <v>0.33333333333333331</v>
      </c>
      <c r="U147" s="221">
        <f xml:space="preserve"> tabConsumo[[#This Row],[Média.A]] + (_xlfn.STDEV.S( tabConsumo[[#This Row],[QTD.PENDENTE]]:tabConsumo[[#This Row],[09_23]] ) * 1)</f>
        <v>1.1118322774948564</v>
      </c>
      <c r="V147" s="221">
        <f xml:space="preserve"> tabConsumo[[#This Row],[Média.A]] + (_xlfn.STDEV.S( tabConsumo[[#This Row],[QTD.PENDENTE]]:tabConsumo[[#This Row],[09_23]] ) * 2)</f>
        <v>1.8903312216563792</v>
      </c>
      <c r="W147" s="221">
        <f xml:space="preserve"> tabConsumo[[#This Row],[Média.A]] + (_xlfn.STDEV.S( tabConsumo[[#This Row],[QTD.PENDENTE]]:tabConsumo[[#This Row],[09_23]] ) * 3)</f>
        <v>2.6688301658179023</v>
      </c>
      <c r="X147" s="5">
        <f t="shared" si="4"/>
        <v>2</v>
      </c>
      <c r="Y147">
        <v>0.16666666666666666</v>
      </c>
      <c r="Z147" s="223">
        <f>SUM( tabConsumo[[#This Row],[QTD.PENDENTE]]:tabConsumo[[#This Row],[09_23]] )</f>
        <v>4</v>
      </c>
      <c r="AA147" s="223">
        <f>LARGE(tabConsumo[[#This Row],[10_22]:[09_23]],1)</f>
        <v>2</v>
      </c>
      <c r="AB147" s="146" t="s">
        <v>2239</v>
      </c>
      <c r="AC147" s="3" t="s">
        <v>2086</v>
      </c>
    </row>
    <row r="148" spans="1:29" x14ac:dyDescent="0.3">
      <c r="A148" s="4" t="s">
        <v>1620</v>
      </c>
      <c r="B148" s="3" t="s">
        <v>263</v>
      </c>
      <c r="C148" s="2">
        <v>105115</v>
      </c>
      <c r="D148" s="2">
        <v>24</v>
      </c>
      <c r="F148" s="2">
        <v>0</v>
      </c>
      <c r="G148" s="2">
        <v>0</v>
      </c>
      <c r="H148" s="2">
        <v>0</v>
      </c>
      <c r="I148" s="2">
        <v>2</v>
      </c>
      <c r="J148" s="2">
        <v>2</v>
      </c>
      <c r="K148" s="2">
        <v>0</v>
      </c>
      <c r="L148" s="2">
        <v>0</v>
      </c>
      <c r="M148" s="2">
        <v>0</v>
      </c>
      <c r="N148" s="2">
        <v>0</v>
      </c>
      <c r="O148" s="2">
        <v>0</v>
      </c>
      <c r="P148" s="2">
        <v>0</v>
      </c>
      <c r="Q148" s="2">
        <v>0</v>
      </c>
      <c r="R148" s="238">
        <v>39499</v>
      </c>
      <c r="S148" s="219">
        <v>12</v>
      </c>
      <c r="T148" s="220">
        <f>SUM( tabConsumo[[#This Row],[QTD.PENDENTE]]:tabConsumo[[#This Row],[09_23]] ) / tabConsumo[[#This Row],[Div]]</f>
        <v>0.33333333333333331</v>
      </c>
      <c r="U148" s="221">
        <f xml:space="preserve"> tabConsumo[[#This Row],[Média.A]] + (_xlfn.STDEV.S( tabConsumo[[#This Row],[QTD.PENDENTE]]:tabConsumo[[#This Row],[09_23]] ) * 1)</f>
        <v>1.1118322774948564</v>
      </c>
      <c r="V148" s="221">
        <f xml:space="preserve"> tabConsumo[[#This Row],[Média.A]] + (_xlfn.STDEV.S( tabConsumo[[#This Row],[QTD.PENDENTE]]:tabConsumo[[#This Row],[09_23]] ) * 2)</f>
        <v>1.8903312216563792</v>
      </c>
      <c r="W148" s="221">
        <f xml:space="preserve"> tabConsumo[[#This Row],[Média.A]] + (_xlfn.STDEV.S( tabConsumo[[#This Row],[QTD.PENDENTE]]:tabConsumo[[#This Row],[09_23]] ) * 3)</f>
        <v>2.6688301658179023</v>
      </c>
      <c r="X148" s="5">
        <f t="shared" si="4"/>
        <v>2</v>
      </c>
      <c r="Y148">
        <v>0.16666666666666666</v>
      </c>
      <c r="Z148" s="223">
        <f>SUM( tabConsumo[[#This Row],[QTD.PENDENTE]]:tabConsumo[[#This Row],[09_23]] )</f>
        <v>4</v>
      </c>
      <c r="AA148" s="223">
        <f>LARGE(tabConsumo[[#This Row],[10_22]:[09_23]],1)</f>
        <v>2</v>
      </c>
      <c r="AB148" s="146" t="s">
        <v>2248</v>
      </c>
      <c r="AC148" s="3" t="s">
        <v>2086</v>
      </c>
    </row>
    <row r="149" spans="1:29" x14ac:dyDescent="0.3">
      <c r="A149" s="4" t="s">
        <v>1644</v>
      </c>
      <c r="B149" s="3" t="s">
        <v>263</v>
      </c>
      <c r="C149" s="2">
        <v>106911</v>
      </c>
      <c r="D149" s="2">
        <v>6</v>
      </c>
      <c r="F149" s="2">
        <v>2</v>
      </c>
      <c r="G149" s="2">
        <v>0</v>
      </c>
      <c r="H149" s="2">
        <v>0</v>
      </c>
      <c r="I149" s="2">
        <v>0</v>
      </c>
      <c r="J149" s="2">
        <v>0</v>
      </c>
      <c r="K149" s="2">
        <v>0</v>
      </c>
      <c r="L149" s="2">
        <v>0</v>
      </c>
      <c r="M149" s="2">
        <v>0</v>
      </c>
      <c r="N149" s="2">
        <v>0</v>
      </c>
      <c r="O149" s="2">
        <v>0</v>
      </c>
      <c r="P149" s="2">
        <v>0</v>
      </c>
      <c r="Q149" s="2">
        <v>0</v>
      </c>
      <c r="R149" s="238">
        <v>39624</v>
      </c>
      <c r="S149" s="219">
        <v>12</v>
      </c>
      <c r="T149" s="220">
        <f>SUM( tabConsumo[[#This Row],[QTD.PENDENTE]]:tabConsumo[[#This Row],[09_23]] ) / tabConsumo[[#This Row],[Div]]</f>
        <v>0.16666666666666666</v>
      </c>
      <c r="U149" s="221">
        <f xml:space="preserve"> tabConsumo[[#This Row],[Média.A]] + (_xlfn.STDEV.S( tabConsumo[[#This Row],[QTD.PENDENTE]]:tabConsumo[[#This Row],[09_23]] ) * 1)</f>
        <v>0.74401693585629236</v>
      </c>
      <c r="V149" s="221">
        <f xml:space="preserve"> tabConsumo[[#This Row],[Média.A]] + (_xlfn.STDEV.S( tabConsumo[[#This Row],[QTD.PENDENTE]]:tabConsumo[[#This Row],[09_23]] ) * 2)</f>
        <v>1.3213672050459182</v>
      </c>
      <c r="W149" s="221">
        <f xml:space="preserve"> tabConsumo[[#This Row],[Média.A]] + (_xlfn.STDEV.S( tabConsumo[[#This Row],[QTD.PENDENTE]]:tabConsumo[[#This Row],[09_23]] ) * 3)</f>
        <v>1.8987174742355439</v>
      </c>
      <c r="X149" s="5">
        <f t="shared" si="4"/>
        <v>2</v>
      </c>
      <c r="Y149">
        <v>8.3333333333333329E-2</v>
      </c>
      <c r="Z149" s="223">
        <f>SUM( tabConsumo[[#This Row],[QTD.PENDENTE]]:tabConsumo[[#This Row],[09_23]] )</f>
        <v>2</v>
      </c>
      <c r="AA149" s="223">
        <f>LARGE(tabConsumo[[#This Row],[10_22]:[09_23]],1)</f>
        <v>2</v>
      </c>
      <c r="AB149" s="146" t="s">
        <v>2242</v>
      </c>
      <c r="AC149" s="3" t="s">
        <v>2086</v>
      </c>
    </row>
    <row r="150" spans="1:29" x14ac:dyDescent="0.3">
      <c r="A150" s="4" t="s">
        <v>1645</v>
      </c>
      <c r="B150" s="3" t="s">
        <v>263</v>
      </c>
      <c r="C150" s="2">
        <v>106913</v>
      </c>
      <c r="D150" s="2">
        <v>0</v>
      </c>
      <c r="E150" s="2">
        <v>1</v>
      </c>
      <c r="F150" s="2">
        <v>0</v>
      </c>
      <c r="G150" s="2">
        <v>0</v>
      </c>
      <c r="H150" s="2">
        <v>0</v>
      </c>
      <c r="I150" s="2">
        <v>0</v>
      </c>
      <c r="J150" s="2">
        <v>0</v>
      </c>
      <c r="K150" s="2">
        <v>0</v>
      </c>
      <c r="L150" s="2">
        <v>0</v>
      </c>
      <c r="M150" s="2">
        <v>0</v>
      </c>
      <c r="N150" s="2">
        <v>0</v>
      </c>
      <c r="O150" s="2">
        <v>0</v>
      </c>
      <c r="P150" s="2">
        <v>0</v>
      </c>
      <c r="Q150" s="2">
        <v>1</v>
      </c>
      <c r="R150" s="238">
        <v>39624</v>
      </c>
      <c r="S150" s="219">
        <v>12</v>
      </c>
      <c r="T150" s="220">
        <f>SUM( tabConsumo[[#This Row],[QTD.PENDENTE]]:tabConsumo[[#This Row],[09_23]] ) / tabConsumo[[#This Row],[Div]]</f>
        <v>0.16666666666666666</v>
      </c>
      <c r="U150" s="221">
        <f xml:space="preserve"> tabConsumo[[#This Row],[Média.A]] + (_xlfn.STDEV.S( tabConsumo[[#This Row],[QTD.PENDENTE]]:tabConsumo[[#This Row],[09_23]] ) * 1)</f>
        <v>0.54220047476607203</v>
      </c>
      <c r="V150" s="221">
        <f xml:space="preserve"> tabConsumo[[#This Row],[Média.A]] + (_xlfn.STDEV.S( tabConsumo[[#This Row],[QTD.PENDENTE]]:tabConsumo[[#This Row],[09_23]] ) * 2)</f>
        <v>0.91773428286547742</v>
      </c>
      <c r="W150" s="221">
        <f xml:space="preserve"> tabConsumo[[#This Row],[Média.A]] + (_xlfn.STDEV.S( tabConsumo[[#This Row],[QTD.PENDENTE]]:tabConsumo[[#This Row],[09_23]] ) * 3)</f>
        <v>1.2932680909648828</v>
      </c>
      <c r="X150" s="5">
        <f t="shared" si="4"/>
        <v>2</v>
      </c>
      <c r="Y150">
        <v>8.3333333333333329E-2</v>
      </c>
      <c r="Z150" s="223">
        <f>SUM( tabConsumo[[#This Row],[QTD.PENDENTE]]:tabConsumo[[#This Row],[09_23]] )</f>
        <v>2</v>
      </c>
      <c r="AA150" s="223">
        <f>LARGE(tabConsumo[[#This Row],[10_22]:[09_23]],1)</f>
        <v>1</v>
      </c>
      <c r="AB150" s="146" t="s">
        <v>2238</v>
      </c>
      <c r="AC150" s="3" t="s">
        <v>2086</v>
      </c>
    </row>
    <row r="151" spans="1:29" x14ac:dyDescent="0.3">
      <c r="A151" s="4" t="s">
        <v>1621</v>
      </c>
      <c r="B151" s="3" t="s">
        <v>263</v>
      </c>
      <c r="C151" s="2">
        <v>105118</v>
      </c>
      <c r="D151" s="2">
        <v>0</v>
      </c>
      <c r="F151" s="2">
        <v>0</v>
      </c>
      <c r="G151" s="2">
        <v>0</v>
      </c>
      <c r="H151" s="2">
        <v>0</v>
      </c>
      <c r="I151" s="2">
        <v>0</v>
      </c>
      <c r="J151" s="2">
        <v>4</v>
      </c>
      <c r="K151" s="2">
        <v>0</v>
      </c>
      <c r="L151" s="2">
        <v>0</v>
      </c>
      <c r="M151" s="2">
        <v>0</v>
      </c>
      <c r="N151" s="2">
        <v>0</v>
      </c>
      <c r="O151" s="2">
        <v>2</v>
      </c>
      <c r="P151" s="2">
        <v>0</v>
      </c>
      <c r="Q151" s="2">
        <v>0</v>
      </c>
      <c r="R151" s="238">
        <v>39499</v>
      </c>
      <c r="S151" s="219">
        <v>12</v>
      </c>
      <c r="T151" s="220">
        <f>SUM( tabConsumo[[#This Row],[QTD.PENDENTE]]:tabConsumo[[#This Row],[09_23]] ) / tabConsumo[[#This Row],[Div]]</f>
        <v>0.5</v>
      </c>
      <c r="U151" s="221">
        <f xml:space="preserve"> tabConsumo[[#This Row],[Média.A]] + (_xlfn.STDEV.S( tabConsumo[[#This Row],[QTD.PENDENTE]]:tabConsumo[[#This Row],[09_23]] ) * 1)</f>
        <v>1.743163121016122</v>
      </c>
      <c r="V151" s="221">
        <f xml:space="preserve"> tabConsumo[[#This Row],[Média.A]] + (_xlfn.STDEV.S( tabConsumo[[#This Row],[QTD.PENDENTE]]:tabConsumo[[#This Row],[09_23]] ) * 2)</f>
        <v>2.9863262420322441</v>
      </c>
      <c r="W151" s="221">
        <f xml:space="preserve"> tabConsumo[[#This Row],[Média.A]] + (_xlfn.STDEV.S( tabConsumo[[#This Row],[QTD.PENDENTE]]:tabConsumo[[#This Row],[09_23]] ) * 3)</f>
        <v>4.2294893630483656</v>
      </c>
      <c r="X151" s="5">
        <f t="shared" si="4"/>
        <v>2</v>
      </c>
      <c r="Y151">
        <v>0.33333333333333331</v>
      </c>
      <c r="Z151" s="223">
        <f>SUM( tabConsumo[[#This Row],[QTD.PENDENTE]]:tabConsumo[[#This Row],[09_23]] )</f>
        <v>6</v>
      </c>
      <c r="AA151" s="223">
        <f>LARGE(tabConsumo[[#This Row],[10_22]:[09_23]],1)</f>
        <v>4</v>
      </c>
      <c r="AB151" s="146" t="s">
        <v>2239</v>
      </c>
      <c r="AC151" s="3" t="s">
        <v>2086</v>
      </c>
    </row>
    <row r="152" spans="1:29" x14ac:dyDescent="0.3">
      <c r="A152" s="4" t="s">
        <v>1970</v>
      </c>
      <c r="B152" s="3" t="s">
        <v>31</v>
      </c>
      <c r="C152" s="2">
        <v>138459</v>
      </c>
      <c r="D152" s="2">
        <v>36881</v>
      </c>
      <c r="E152" s="2">
        <v>1147</v>
      </c>
      <c r="F152" s="2">
        <v>1370</v>
      </c>
      <c r="G152" s="2">
        <v>0</v>
      </c>
      <c r="H152" s="2">
        <v>0</v>
      </c>
      <c r="I152" s="2">
        <v>911</v>
      </c>
      <c r="J152" s="2">
        <v>2222</v>
      </c>
      <c r="K152" s="2">
        <v>11167</v>
      </c>
      <c r="L152" s="2">
        <v>2310</v>
      </c>
      <c r="M152" s="2">
        <v>2384</v>
      </c>
      <c r="N152" s="2">
        <v>2343</v>
      </c>
      <c r="O152" s="2">
        <v>2109</v>
      </c>
      <c r="P152" s="2">
        <v>3040</v>
      </c>
      <c r="Q152" s="2">
        <v>2269</v>
      </c>
      <c r="R152" s="238">
        <v>43720</v>
      </c>
      <c r="S152" s="219">
        <v>12</v>
      </c>
      <c r="T152" s="220">
        <f>SUM( tabConsumo[[#This Row],[QTD.PENDENTE]]:tabConsumo[[#This Row],[09_23]] ) / tabConsumo[[#This Row],[Div]]</f>
        <v>2606</v>
      </c>
      <c r="U152" s="221">
        <f xml:space="preserve"> tabConsumo[[#This Row],[Média.A]] + (_xlfn.STDEV.S( tabConsumo[[#This Row],[QTD.PENDENTE]]:tabConsumo[[#This Row],[09_23]] ) * 1)</f>
        <v>5401.57166531238</v>
      </c>
      <c r="V152" s="221">
        <f xml:space="preserve"> tabConsumo[[#This Row],[Média.A]] + (_xlfn.STDEV.S( tabConsumo[[#This Row],[QTD.PENDENTE]]:tabConsumo[[#This Row],[09_23]] ) * 2)</f>
        <v>8197.14333062476</v>
      </c>
      <c r="W152" s="221">
        <f xml:space="preserve"> tabConsumo[[#This Row],[Média.A]] + (_xlfn.STDEV.S( tabConsumo[[#This Row],[QTD.PENDENTE]]:tabConsumo[[#This Row],[09_23]] ) * 3)</f>
        <v>10992.714995937142</v>
      </c>
      <c r="X152" s="5">
        <f t="shared" si="4"/>
        <v>2</v>
      </c>
      <c r="Y152">
        <v>2358.5</v>
      </c>
      <c r="Z152" s="223">
        <f>SUM( tabConsumo[[#This Row],[QTD.PENDENTE]]:tabConsumo[[#This Row],[09_23]] )</f>
        <v>31272</v>
      </c>
      <c r="AA152" s="223">
        <f>LARGE(tabConsumo[[#This Row],[10_22]:[09_23]],1)</f>
        <v>11167</v>
      </c>
      <c r="AB152" s="146" t="s">
        <v>2238</v>
      </c>
      <c r="AC152" s="3" t="s">
        <v>2086</v>
      </c>
    </row>
    <row r="153" spans="1:29" x14ac:dyDescent="0.3">
      <c r="A153" s="4" t="s">
        <v>1971</v>
      </c>
      <c r="B153" s="3" t="s">
        <v>31</v>
      </c>
      <c r="C153" s="2">
        <v>138460</v>
      </c>
      <c r="D153" s="2">
        <v>1856</v>
      </c>
      <c r="E153" s="2">
        <v>15</v>
      </c>
      <c r="F153" s="2">
        <v>481</v>
      </c>
      <c r="G153" s="2">
        <v>372</v>
      </c>
      <c r="H153" s="2">
        <v>545</v>
      </c>
      <c r="I153" s="2">
        <v>149</v>
      </c>
      <c r="J153" s="2">
        <v>575</v>
      </c>
      <c r="K153" s="2">
        <v>4977</v>
      </c>
      <c r="L153" s="2">
        <v>585</v>
      </c>
      <c r="M153" s="2">
        <v>744</v>
      </c>
      <c r="N153" s="2">
        <v>668</v>
      </c>
      <c r="O153" s="2">
        <v>423</v>
      </c>
      <c r="P153" s="2">
        <v>628</v>
      </c>
      <c r="Q153" s="2">
        <v>610</v>
      </c>
      <c r="R153" s="238">
        <v>43720</v>
      </c>
      <c r="S153" s="219">
        <v>12</v>
      </c>
      <c r="T153" s="220">
        <f>SUM( tabConsumo[[#This Row],[QTD.PENDENTE]]:tabConsumo[[#This Row],[09_23]] ) / tabConsumo[[#This Row],[Div]]</f>
        <v>897.66666666666663</v>
      </c>
      <c r="U153" s="221">
        <f xml:space="preserve"> tabConsumo[[#This Row],[Média.A]] + (_xlfn.STDEV.S( tabConsumo[[#This Row],[QTD.PENDENTE]]:tabConsumo[[#This Row],[09_23]] ) * 1)</f>
        <v>2160.9924057683929</v>
      </c>
      <c r="V153" s="221">
        <f xml:space="preserve"> tabConsumo[[#This Row],[Média.A]] + (_xlfn.STDEV.S( tabConsumo[[#This Row],[QTD.PENDENTE]]:tabConsumo[[#This Row],[09_23]] ) * 2)</f>
        <v>3424.3181448701189</v>
      </c>
      <c r="W153" s="221">
        <f xml:space="preserve"> tabConsumo[[#This Row],[Média.A]] + (_xlfn.STDEV.S( tabConsumo[[#This Row],[QTD.PENDENTE]]:tabConsumo[[#This Row],[09_23]] ) * 3)</f>
        <v>4687.6438839718458</v>
      </c>
      <c r="X153" s="5">
        <f t="shared" si="4"/>
        <v>2</v>
      </c>
      <c r="Y153">
        <v>768.25</v>
      </c>
      <c r="Z153" s="223">
        <f>SUM( tabConsumo[[#This Row],[QTD.PENDENTE]]:tabConsumo[[#This Row],[09_23]] )</f>
        <v>10772</v>
      </c>
      <c r="AA153" s="223">
        <f>LARGE(tabConsumo[[#This Row],[10_22]:[09_23]],1)</f>
        <v>4977</v>
      </c>
      <c r="AB153" s="146" t="s">
        <v>2238</v>
      </c>
      <c r="AC153" s="3" t="s">
        <v>2086</v>
      </c>
    </row>
    <row r="154" spans="1:29" x14ac:dyDescent="0.3">
      <c r="A154" s="4" t="s">
        <v>1840</v>
      </c>
      <c r="B154" s="3" t="s">
        <v>847</v>
      </c>
      <c r="C154" s="2">
        <v>132646</v>
      </c>
      <c r="D154" s="2">
        <v>5681</v>
      </c>
      <c r="E154" s="2">
        <v>303</v>
      </c>
      <c r="F154" s="2">
        <v>688</v>
      </c>
      <c r="G154" s="2">
        <v>706</v>
      </c>
      <c r="H154" s="2">
        <v>808</v>
      </c>
      <c r="I154" s="2">
        <v>353</v>
      </c>
      <c r="J154" s="2">
        <v>1130</v>
      </c>
      <c r="K154" s="2">
        <v>5390</v>
      </c>
      <c r="L154" s="2">
        <v>470</v>
      </c>
      <c r="M154" s="2">
        <v>457</v>
      </c>
      <c r="N154" s="2">
        <v>716</v>
      </c>
      <c r="O154" s="2">
        <v>674</v>
      </c>
      <c r="P154" s="2">
        <v>834</v>
      </c>
      <c r="Q154" s="2">
        <v>809</v>
      </c>
      <c r="R154" s="238">
        <v>42860</v>
      </c>
      <c r="S154" s="219">
        <v>12</v>
      </c>
      <c r="T154" s="220">
        <f>SUM( tabConsumo[[#This Row],[QTD.PENDENTE]]:tabConsumo[[#This Row],[09_23]] ) / tabConsumo[[#This Row],[Div]]</f>
        <v>1111.5</v>
      </c>
      <c r="U154" s="221">
        <f xml:space="preserve"> tabConsumo[[#This Row],[Média.A]] + (_xlfn.STDEV.S( tabConsumo[[#This Row],[QTD.PENDENTE]]:tabConsumo[[#This Row],[09_23]] ) * 1)</f>
        <v>2441.6626466965108</v>
      </c>
      <c r="V154" s="221">
        <f xml:space="preserve"> tabConsumo[[#This Row],[Média.A]] + (_xlfn.STDEV.S( tabConsumo[[#This Row],[QTD.PENDENTE]]:tabConsumo[[#This Row],[09_23]] ) * 2)</f>
        <v>3771.8252933930216</v>
      </c>
      <c r="W154" s="221">
        <f xml:space="preserve"> tabConsumo[[#This Row],[Média.A]] + (_xlfn.STDEV.S( tabConsumo[[#This Row],[QTD.PENDENTE]]:tabConsumo[[#This Row],[09_23]] ) * 3)</f>
        <v>5101.9879400895325</v>
      </c>
      <c r="X154" s="5">
        <f t="shared" si="4"/>
        <v>2</v>
      </c>
      <c r="Y154">
        <v>976.58333333333337</v>
      </c>
      <c r="Z154" s="223">
        <f>SUM( tabConsumo[[#This Row],[QTD.PENDENTE]]:tabConsumo[[#This Row],[09_23]] )</f>
        <v>13338</v>
      </c>
      <c r="AA154" s="223">
        <f>LARGE(tabConsumo[[#This Row],[10_22]:[09_23]],1)</f>
        <v>5390</v>
      </c>
      <c r="AB154" s="146" t="s">
        <v>2238</v>
      </c>
      <c r="AC154" s="3" t="s">
        <v>2086</v>
      </c>
    </row>
    <row r="155" spans="1:29" x14ac:dyDescent="0.3">
      <c r="A155" s="4" t="s">
        <v>1841</v>
      </c>
      <c r="B155" s="3" t="s">
        <v>31</v>
      </c>
      <c r="C155" s="2">
        <v>132647</v>
      </c>
      <c r="D155" s="2">
        <v>0</v>
      </c>
      <c r="E155" s="2">
        <v>279</v>
      </c>
      <c r="F155" s="2">
        <v>744</v>
      </c>
      <c r="G155" s="2">
        <v>919</v>
      </c>
      <c r="H155" s="2">
        <v>592</v>
      </c>
      <c r="I155" s="2">
        <v>340</v>
      </c>
      <c r="J155" s="2">
        <v>626</v>
      </c>
      <c r="K155" s="2">
        <v>7646</v>
      </c>
      <c r="L155" s="2">
        <v>511</v>
      </c>
      <c r="M155" s="2">
        <v>609</v>
      </c>
      <c r="N155" s="2">
        <v>670</v>
      </c>
      <c r="O155" s="2">
        <v>644</v>
      </c>
      <c r="P155" s="2">
        <v>840</v>
      </c>
      <c r="Q155" s="2">
        <v>198</v>
      </c>
      <c r="R155" s="238">
        <v>42860</v>
      </c>
      <c r="S155" s="219">
        <v>12</v>
      </c>
      <c r="T155" s="220">
        <f>SUM( tabConsumo[[#This Row],[QTD.PENDENTE]]:tabConsumo[[#This Row],[09_23]] ) / tabConsumo[[#This Row],[Div]]</f>
        <v>1218.1666666666667</v>
      </c>
      <c r="U155" s="221">
        <f xml:space="preserve"> tabConsumo[[#This Row],[Média.A]] + (_xlfn.STDEV.S( tabConsumo[[#This Row],[QTD.PENDENTE]]:tabConsumo[[#This Row],[09_23]] ) * 1)</f>
        <v>3188.7473177855454</v>
      </c>
      <c r="V155" s="221">
        <f xml:space="preserve"> tabConsumo[[#This Row],[Média.A]] + (_xlfn.STDEV.S( tabConsumo[[#This Row],[QTD.PENDENTE]]:tabConsumo[[#This Row],[09_23]] ) * 2)</f>
        <v>5159.3279689044239</v>
      </c>
      <c r="W155" s="221">
        <f xml:space="preserve"> tabConsumo[[#This Row],[Média.A]] + (_xlfn.STDEV.S( tabConsumo[[#This Row],[QTD.PENDENTE]]:tabConsumo[[#This Row],[09_23]] ) * 3)</f>
        <v>7129.9086200233023</v>
      </c>
      <c r="X155" s="5">
        <f t="shared" si="4"/>
        <v>2</v>
      </c>
      <c r="Y155">
        <v>1010.9166666666666</v>
      </c>
      <c r="Z155" s="223">
        <f>SUM( tabConsumo[[#This Row],[QTD.PENDENTE]]:tabConsumo[[#This Row],[09_23]] )</f>
        <v>14618</v>
      </c>
      <c r="AA155" s="223">
        <f>LARGE(tabConsumo[[#This Row],[10_22]:[09_23]],1)</f>
        <v>7646</v>
      </c>
      <c r="AB155" s="146" t="s">
        <v>2238</v>
      </c>
      <c r="AC155" s="3" t="s">
        <v>2086</v>
      </c>
    </row>
    <row r="156" spans="1:29" x14ac:dyDescent="0.3">
      <c r="A156" s="4" t="s">
        <v>1972</v>
      </c>
      <c r="B156" s="3" t="s">
        <v>1973</v>
      </c>
      <c r="C156" s="2">
        <v>138461</v>
      </c>
      <c r="D156" s="2">
        <v>4977</v>
      </c>
      <c r="E156" s="2">
        <v>1182</v>
      </c>
      <c r="F156" s="2">
        <v>798</v>
      </c>
      <c r="G156" s="2">
        <v>902</v>
      </c>
      <c r="H156" s="2">
        <v>669</v>
      </c>
      <c r="I156" s="2">
        <v>303</v>
      </c>
      <c r="J156" s="2">
        <v>799</v>
      </c>
      <c r="K156" s="2">
        <v>6228</v>
      </c>
      <c r="L156" s="2">
        <v>0</v>
      </c>
      <c r="M156" s="2">
        <v>0</v>
      </c>
      <c r="N156" s="2">
        <v>491</v>
      </c>
      <c r="O156" s="2">
        <v>919</v>
      </c>
      <c r="P156" s="2">
        <v>1055</v>
      </c>
      <c r="Q156" s="2">
        <v>999</v>
      </c>
      <c r="R156" s="238">
        <v>43720</v>
      </c>
      <c r="S156" s="219">
        <v>12</v>
      </c>
      <c r="T156" s="220">
        <f>SUM( tabConsumo[[#This Row],[QTD.PENDENTE]]:tabConsumo[[#This Row],[09_23]] ) / tabConsumo[[#This Row],[Div]]</f>
        <v>1195.4166666666667</v>
      </c>
      <c r="U156" s="221">
        <f xml:space="preserve"> tabConsumo[[#This Row],[Média.A]] + (_xlfn.STDEV.S( tabConsumo[[#This Row],[QTD.PENDENTE]]:tabConsumo[[#This Row],[09_23]] ) * 1)</f>
        <v>2781.3128179212508</v>
      </c>
      <c r="V156" s="221">
        <f xml:space="preserve"> tabConsumo[[#This Row],[Média.A]] + (_xlfn.STDEV.S( tabConsumo[[#This Row],[QTD.PENDENTE]]:tabConsumo[[#This Row],[09_23]] ) * 2)</f>
        <v>4367.2089691758347</v>
      </c>
      <c r="W156" s="221">
        <f xml:space="preserve"> tabConsumo[[#This Row],[Média.A]] + (_xlfn.STDEV.S( tabConsumo[[#This Row],[QTD.PENDENTE]]:tabConsumo[[#This Row],[09_23]] ) * 3)</f>
        <v>5953.1051204304194</v>
      </c>
      <c r="X156" s="5">
        <f t="shared" si="4"/>
        <v>2</v>
      </c>
      <c r="Y156">
        <v>1040.3333333333333</v>
      </c>
      <c r="Z156" s="223">
        <f>SUM( tabConsumo[[#This Row],[QTD.PENDENTE]]:tabConsumo[[#This Row],[09_23]] )</f>
        <v>14345</v>
      </c>
      <c r="AA156" s="223">
        <f>LARGE(tabConsumo[[#This Row],[10_22]:[09_23]],1)</f>
        <v>6228</v>
      </c>
      <c r="AB156" s="146" t="s">
        <v>2238</v>
      </c>
      <c r="AC156" s="3" t="s">
        <v>2086</v>
      </c>
    </row>
    <row r="157" spans="1:29" x14ac:dyDescent="0.3">
      <c r="A157" s="4" t="s">
        <v>1842</v>
      </c>
      <c r="B157" s="3" t="s">
        <v>31</v>
      </c>
      <c r="C157" s="2">
        <v>132649</v>
      </c>
      <c r="D157" s="2">
        <v>0</v>
      </c>
      <c r="E157" s="2">
        <v>837</v>
      </c>
      <c r="F157" s="2">
        <v>129</v>
      </c>
      <c r="G157" s="2">
        <v>0</v>
      </c>
      <c r="H157" s="2">
        <v>0</v>
      </c>
      <c r="I157" s="2">
        <v>166</v>
      </c>
      <c r="J157" s="2">
        <v>548</v>
      </c>
      <c r="K157" s="2">
        <v>7130</v>
      </c>
      <c r="L157" s="2">
        <v>220</v>
      </c>
      <c r="M157" s="2">
        <v>0</v>
      </c>
      <c r="N157" s="2">
        <v>24</v>
      </c>
      <c r="O157" s="2">
        <v>0</v>
      </c>
      <c r="P157" s="2">
        <v>0</v>
      </c>
      <c r="Q157" s="2">
        <v>0</v>
      </c>
      <c r="R157" s="238">
        <v>42860</v>
      </c>
      <c r="S157" s="219">
        <v>12</v>
      </c>
      <c r="T157" s="220">
        <f>SUM( tabConsumo[[#This Row],[QTD.PENDENTE]]:tabConsumo[[#This Row],[09_23]] ) / tabConsumo[[#This Row],[Div]]</f>
        <v>754.5</v>
      </c>
      <c r="U157" s="221">
        <f xml:space="preserve"> tabConsumo[[#This Row],[Média.A]] + (_xlfn.STDEV.S( tabConsumo[[#This Row],[QTD.PENDENTE]]:tabConsumo[[#This Row],[09_23]] ) * 1)</f>
        <v>2704.3970748642359</v>
      </c>
      <c r="V157" s="221">
        <f xml:space="preserve"> tabConsumo[[#This Row],[Média.A]] + (_xlfn.STDEV.S( tabConsumo[[#This Row],[QTD.PENDENTE]]:tabConsumo[[#This Row],[09_23]] ) * 2)</f>
        <v>4654.2941497284719</v>
      </c>
      <c r="W157" s="221">
        <f xml:space="preserve"> tabConsumo[[#This Row],[Média.A]] + (_xlfn.STDEV.S( tabConsumo[[#This Row],[QTD.PENDENTE]]:tabConsumo[[#This Row],[09_23]] ) * 3)</f>
        <v>6604.1912245927069</v>
      </c>
      <c r="X157" s="5">
        <f t="shared" si="4"/>
        <v>2</v>
      </c>
      <c r="Y157">
        <v>548.16666666666663</v>
      </c>
      <c r="Z157" s="223">
        <f>SUM( tabConsumo[[#This Row],[QTD.PENDENTE]]:tabConsumo[[#This Row],[09_23]] )</f>
        <v>9054</v>
      </c>
      <c r="AA157" s="223">
        <f>LARGE(tabConsumo[[#This Row],[10_22]:[09_23]],1)</f>
        <v>7130</v>
      </c>
      <c r="AB157" s="146" t="s">
        <v>2246</v>
      </c>
      <c r="AC157" s="3" t="s">
        <v>2086</v>
      </c>
    </row>
    <row r="158" spans="1:29" x14ac:dyDescent="0.3">
      <c r="A158" s="4" t="s">
        <v>908</v>
      </c>
      <c r="B158" s="3" t="s">
        <v>263</v>
      </c>
      <c r="C158" s="2">
        <v>10392</v>
      </c>
      <c r="D158" s="2">
        <v>0</v>
      </c>
      <c r="E158" s="2">
        <v>1379</v>
      </c>
      <c r="F158" s="2">
        <v>297</v>
      </c>
      <c r="G158" s="2">
        <v>37</v>
      </c>
      <c r="H158" s="2">
        <v>0</v>
      </c>
      <c r="I158" s="2">
        <v>415</v>
      </c>
      <c r="J158" s="2">
        <v>441</v>
      </c>
      <c r="K158" s="2">
        <v>4461</v>
      </c>
      <c r="L158" s="2">
        <v>644</v>
      </c>
      <c r="M158" s="2">
        <v>80</v>
      </c>
      <c r="N158" s="2">
        <v>15</v>
      </c>
      <c r="O158" s="2">
        <v>0</v>
      </c>
      <c r="P158" s="2">
        <v>0</v>
      </c>
      <c r="Q158" s="2">
        <v>0</v>
      </c>
      <c r="R158" s="238">
        <v>367</v>
      </c>
      <c r="S158" s="219">
        <f t="shared" ref="S158:S166" si="5" xml:space="preserve"> 12</f>
        <v>12</v>
      </c>
      <c r="T158" s="220">
        <f>SUM( tabConsumo[[#This Row],[QTD.PENDENTE]]:tabConsumo[[#This Row],[09_23]] ) / tabConsumo[[#This Row],[Div]]</f>
        <v>647.41666666666663</v>
      </c>
      <c r="U158" s="221">
        <f xml:space="preserve"> tabConsumo[[#This Row],[Média.A]] + (_xlfn.STDEV.S( tabConsumo[[#This Row],[QTD.PENDENTE]]:tabConsumo[[#This Row],[09_23]] ) * 1)</f>
        <v>1873.4173829838537</v>
      </c>
      <c r="V158" s="221">
        <f xml:space="preserve"> tabConsumo[[#This Row],[Média.A]] + (_xlfn.STDEV.S( tabConsumo[[#This Row],[QTD.PENDENTE]]:tabConsumo[[#This Row],[09_23]] ) * 2)</f>
        <v>3099.4180993010409</v>
      </c>
      <c r="W158" s="221">
        <f xml:space="preserve"> tabConsumo[[#This Row],[Média.A]] + (_xlfn.STDEV.S( tabConsumo[[#This Row],[QTD.PENDENTE]]:tabConsumo[[#This Row],[09_23]] ) * 3)</f>
        <v>4325.4188156182281</v>
      </c>
      <c r="X158" s="5">
        <f t="shared" si="4"/>
        <v>2</v>
      </c>
      <c r="Y158">
        <v>533.91666666666663</v>
      </c>
      <c r="Z158" s="223">
        <f>SUM( tabConsumo[[#This Row],[QTD.PENDENTE]]:tabConsumo[[#This Row],[09_23]] )</f>
        <v>7769</v>
      </c>
      <c r="AA158" s="223">
        <f>LARGE(tabConsumo[[#This Row],[10_22]:[09_23]],1)</f>
        <v>4461</v>
      </c>
      <c r="AB158" s="146" t="s">
        <v>2246</v>
      </c>
      <c r="AC158" s="3" t="s">
        <v>2086</v>
      </c>
    </row>
    <row r="159" spans="1:29" x14ac:dyDescent="0.3">
      <c r="A159" s="4" t="s">
        <v>935</v>
      </c>
      <c r="B159" s="3" t="s">
        <v>263</v>
      </c>
      <c r="C159" s="2">
        <v>11418</v>
      </c>
      <c r="D159" s="2">
        <v>1452</v>
      </c>
      <c r="E159" s="2">
        <v>230</v>
      </c>
      <c r="F159" s="2">
        <v>258</v>
      </c>
      <c r="G159" s="2">
        <v>0</v>
      </c>
      <c r="H159" s="2">
        <v>0</v>
      </c>
      <c r="I159" s="2">
        <v>216</v>
      </c>
      <c r="J159" s="2">
        <v>384</v>
      </c>
      <c r="K159" s="2">
        <v>5441</v>
      </c>
      <c r="L159" s="2">
        <v>334</v>
      </c>
      <c r="M159" s="2">
        <v>479</v>
      </c>
      <c r="N159" s="2">
        <v>373</v>
      </c>
      <c r="O159" s="2">
        <v>344</v>
      </c>
      <c r="P159" s="2">
        <v>400</v>
      </c>
      <c r="Q159" s="2">
        <v>349</v>
      </c>
      <c r="R159" s="238">
        <v>367</v>
      </c>
      <c r="S159" s="219">
        <f t="shared" si="5"/>
        <v>12</v>
      </c>
      <c r="T159" s="220">
        <f>SUM( tabConsumo[[#This Row],[QTD.PENDENTE]]:tabConsumo[[#This Row],[09_23]] ) / tabConsumo[[#This Row],[Div]]</f>
        <v>734</v>
      </c>
      <c r="U159" s="221">
        <f xml:space="preserve"> tabConsumo[[#This Row],[Média.A]] + (_xlfn.STDEV.S( tabConsumo[[#This Row],[QTD.PENDENTE]]:tabConsumo[[#This Row],[09_23]] ) * 1)</f>
        <v>2172.4760811002161</v>
      </c>
      <c r="V159" s="221">
        <f xml:space="preserve"> tabConsumo[[#This Row],[Média.A]] + (_xlfn.STDEV.S( tabConsumo[[#This Row],[QTD.PENDENTE]]:tabConsumo[[#This Row],[09_23]] ) * 2)</f>
        <v>3610.9521622004327</v>
      </c>
      <c r="W159" s="221">
        <f xml:space="preserve"> tabConsumo[[#This Row],[Média.A]] + (_xlfn.STDEV.S( tabConsumo[[#This Row],[QTD.PENDENTE]]:tabConsumo[[#This Row],[09_23]] ) * 3)</f>
        <v>5049.4282433006492</v>
      </c>
      <c r="X159" s="5">
        <f t="shared" si="4"/>
        <v>2</v>
      </c>
      <c r="Y159">
        <v>581.41666666666663</v>
      </c>
      <c r="Z159" s="223">
        <f>SUM( tabConsumo[[#This Row],[QTD.PENDENTE]]:tabConsumo[[#This Row],[09_23]] )</f>
        <v>8808</v>
      </c>
      <c r="AA159" s="223">
        <f>LARGE(tabConsumo[[#This Row],[10_22]:[09_23]],1)</f>
        <v>5441</v>
      </c>
      <c r="AB159" s="146" t="s">
        <v>2238</v>
      </c>
      <c r="AC159" s="3" t="s">
        <v>2086</v>
      </c>
    </row>
    <row r="160" spans="1:29" x14ac:dyDescent="0.3">
      <c r="A160" s="4" t="s">
        <v>938</v>
      </c>
      <c r="B160" s="3" t="s">
        <v>263</v>
      </c>
      <c r="C160" s="2">
        <v>11509</v>
      </c>
      <c r="D160" s="2">
        <v>2936</v>
      </c>
      <c r="F160" s="2">
        <v>352</v>
      </c>
      <c r="G160" s="2">
        <v>334</v>
      </c>
      <c r="H160" s="2">
        <v>210</v>
      </c>
      <c r="I160" s="2">
        <v>255</v>
      </c>
      <c r="J160" s="2">
        <v>331</v>
      </c>
      <c r="K160" s="2">
        <v>5318</v>
      </c>
      <c r="L160" s="2">
        <v>274</v>
      </c>
      <c r="M160" s="2">
        <v>352</v>
      </c>
      <c r="N160" s="2">
        <v>338</v>
      </c>
      <c r="O160" s="2">
        <v>291</v>
      </c>
      <c r="P160" s="2">
        <v>326</v>
      </c>
      <c r="Q160" s="2">
        <v>321</v>
      </c>
      <c r="R160" s="238">
        <v>367</v>
      </c>
      <c r="S160" s="219">
        <f t="shared" si="5"/>
        <v>12</v>
      </c>
      <c r="T160" s="220">
        <f>SUM( tabConsumo[[#This Row],[QTD.PENDENTE]]:tabConsumo[[#This Row],[09_23]] ) / tabConsumo[[#This Row],[Div]]</f>
        <v>725.16666666666663</v>
      </c>
      <c r="U160" s="221">
        <f xml:space="preserve"> tabConsumo[[#This Row],[Média.A]] + (_xlfn.STDEV.S( tabConsumo[[#This Row],[QTD.PENDENTE]]:tabConsumo[[#This Row],[09_23]] ) * 1)</f>
        <v>2172.1727188832824</v>
      </c>
      <c r="V160" s="221">
        <f xml:space="preserve"> tabConsumo[[#This Row],[Média.A]] + (_xlfn.STDEV.S( tabConsumo[[#This Row],[QTD.PENDENTE]]:tabConsumo[[#This Row],[09_23]] ) * 2)</f>
        <v>3619.1787710998979</v>
      </c>
      <c r="W160" s="221">
        <f xml:space="preserve"> tabConsumo[[#This Row],[Média.A]] + (_xlfn.STDEV.S( tabConsumo[[#This Row],[QTD.PENDENTE]]:tabConsumo[[#This Row],[09_23]] ) * 3)</f>
        <v>5066.1848233165138</v>
      </c>
      <c r="X160" s="5">
        <f t="shared" si="4"/>
        <v>2</v>
      </c>
      <c r="Y160">
        <v>583.58333333333337</v>
      </c>
      <c r="Z160" s="223">
        <f>SUM( tabConsumo[[#This Row],[QTD.PENDENTE]]:tabConsumo[[#This Row],[09_23]] )</f>
        <v>8702</v>
      </c>
      <c r="AA160" s="223">
        <f>LARGE(tabConsumo[[#This Row],[10_22]:[09_23]],1)</f>
        <v>5318</v>
      </c>
      <c r="AB160" s="146" t="s">
        <v>2238</v>
      </c>
      <c r="AC160" s="3" t="s">
        <v>2086</v>
      </c>
    </row>
    <row r="161" spans="1:29" x14ac:dyDescent="0.3">
      <c r="A161" s="4" t="s">
        <v>1401</v>
      </c>
      <c r="B161" s="3" t="s">
        <v>263</v>
      </c>
      <c r="C161" s="2">
        <v>70967</v>
      </c>
      <c r="D161" s="2">
        <v>39</v>
      </c>
      <c r="F161" s="2">
        <v>0</v>
      </c>
      <c r="G161" s="2">
        <v>0</v>
      </c>
      <c r="H161" s="2">
        <v>0</v>
      </c>
      <c r="I161" s="2">
        <v>0</v>
      </c>
      <c r="J161" s="2">
        <v>21</v>
      </c>
      <c r="K161" s="2">
        <v>7</v>
      </c>
      <c r="L161" s="2">
        <v>35</v>
      </c>
      <c r="M161" s="2">
        <v>0</v>
      </c>
      <c r="N161" s="2">
        <v>0</v>
      </c>
      <c r="O161" s="2">
        <v>0</v>
      </c>
      <c r="P161" s="2">
        <v>0</v>
      </c>
      <c r="Q161" s="2">
        <v>0</v>
      </c>
      <c r="R161" s="238">
        <v>367</v>
      </c>
      <c r="S161" s="219">
        <f t="shared" si="5"/>
        <v>12</v>
      </c>
      <c r="T161" s="220">
        <f>SUM( tabConsumo[[#This Row],[QTD.PENDENTE]]:tabConsumo[[#This Row],[09_23]] ) / tabConsumo[[#This Row],[Div]]</f>
        <v>5.25</v>
      </c>
      <c r="U161" s="221">
        <f xml:space="preserve"> tabConsumo[[#This Row],[Média.A]] + (_xlfn.STDEV.S( tabConsumo[[#This Row],[QTD.PENDENTE]]:tabConsumo[[#This Row],[09_23]] ) * 1)</f>
        <v>16.467883449693581</v>
      </c>
      <c r="V161" s="221">
        <f xml:space="preserve"> tabConsumo[[#This Row],[Média.A]] + (_xlfn.STDEV.S( tabConsumo[[#This Row],[QTD.PENDENTE]]:tabConsumo[[#This Row],[09_23]] ) * 2)</f>
        <v>27.685766899387158</v>
      </c>
      <c r="W161" s="221">
        <f xml:space="preserve"> tabConsumo[[#This Row],[Média.A]] + (_xlfn.STDEV.S( tabConsumo[[#This Row],[QTD.PENDENTE]]:tabConsumo[[#This Row],[09_23]] ) * 3)</f>
        <v>38.903650349080735</v>
      </c>
      <c r="X161" s="5">
        <f t="shared" si="4"/>
        <v>2</v>
      </c>
      <c r="Y161">
        <v>4.583333333333333</v>
      </c>
      <c r="Z161" s="223">
        <f>SUM( tabConsumo[[#This Row],[QTD.PENDENTE]]:tabConsumo[[#This Row],[09_23]] )</f>
        <v>63</v>
      </c>
      <c r="AA161" s="223">
        <f>LARGE(tabConsumo[[#This Row],[10_22]:[09_23]],1)</f>
        <v>35</v>
      </c>
      <c r="AB161" s="146" t="s">
        <v>2240</v>
      </c>
      <c r="AC161" s="3" t="s">
        <v>2086</v>
      </c>
    </row>
    <row r="162" spans="1:29" x14ac:dyDescent="0.3">
      <c r="A162" s="4" t="s">
        <v>1201</v>
      </c>
      <c r="B162" s="3" t="s">
        <v>263</v>
      </c>
      <c r="C162" s="2">
        <v>24500</v>
      </c>
      <c r="D162" s="2">
        <v>0</v>
      </c>
      <c r="E162" s="2">
        <v>39</v>
      </c>
      <c r="F162" s="2">
        <v>3</v>
      </c>
      <c r="G162" s="2">
        <v>0</v>
      </c>
      <c r="H162" s="2">
        <v>0</v>
      </c>
      <c r="I162" s="2">
        <v>0</v>
      </c>
      <c r="J162" s="2">
        <v>60</v>
      </c>
      <c r="K162" s="2">
        <v>54</v>
      </c>
      <c r="L162" s="2">
        <v>74</v>
      </c>
      <c r="M162" s="2">
        <v>55</v>
      </c>
      <c r="N162" s="2">
        <v>0</v>
      </c>
      <c r="O162" s="2">
        <v>50</v>
      </c>
      <c r="P162" s="2">
        <v>0</v>
      </c>
      <c r="Q162" s="2">
        <v>806</v>
      </c>
      <c r="R162" s="238">
        <v>367</v>
      </c>
      <c r="S162" s="219">
        <f t="shared" si="5"/>
        <v>12</v>
      </c>
      <c r="T162" s="220">
        <f>SUM( tabConsumo[[#This Row],[QTD.PENDENTE]]:tabConsumo[[#This Row],[09_23]] ) / tabConsumo[[#This Row],[Div]]</f>
        <v>95.083333333333329</v>
      </c>
      <c r="U162" s="221">
        <f xml:space="preserve"> tabConsumo[[#This Row],[Média.A]] + (_xlfn.STDEV.S( tabConsumo[[#This Row],[QTD.PENDENTE]]:tabConsumo[[#This Row],[09_23]] ) * 1)</f>
        <v>312.7486551181604</v>
      </c>
      <c r="V162" s="221">
        <f xml:space="preserve"> tabConsumo[[#This Row],[Média.A]] + (_xlfn.STDEV.S( tabConsumo[[#This Row],[QTD.PENDENTE]]:tabConsumo[[#This Row],[09_23]] ) * 2)</f>
        <v>530.41397690298743</v>
      </c>
      <c r="W162" s="221">
        <f xml:space="preserve"> tabConsumo[[#This Row],[Média.A]] + (_xlfn.STDEV.S( tabConsumo[[#This Row],[QTD.PENDENTE]]:tabConsumo[[#This Row],[09_23]] ) * 3)</f>
        <v>748.07929868781457</v>
      </c>
      <c r="X162" s="5">
        <f t="shared" si="4"/>
        <v>2</v>
      </c>
      <c r="Y162">
        <v>72.083333333333329</v>
      </c>
      <c r="Z162" s="223">
        <f>SUM( tabConsumo[[#This Row],[QTD.PENDENTE]]:tabConsumo[[#This Row],[09_23]] )</f>
        <v>1141</v>
      </c>
      <c r="AA162" s="223">
        <f>LARGE(tabConsumo[[#This Row],[10_22]:[09_23]],1)</f>
        <v>806</v>
      </c>
      <c r="AB162" s="146" t="s">
        <v>2238</v>
      </c>
      <c r="AC162" s="3" t="s">
        <v>2086</v>
      </c>
    </row>
    <row r="163" spans="1:29" x14ac:dyDescent="0.3">
      <c r="A163" s="4" t="s">
        <v>1377</v>
      </c>
      <c r="B163" s="3" t="s">
        <v>345</v>
      </c>
      <c r="C163" s="2">
        <v>64607</v>
      </c>
      <c r="D163" s="2">
        <v>1236</v>
      </c>
      <c r="E163" s="2">
        <v>4</v>
      </c>
      <c r="F163" s="2">
        <v>0</v>
      </c>
      <c r="G163" s="2">
        <v>190</v>
      </c>
      <c r="H163" s="2">
        <v>0</v>
      </c>
      <c r="I163" s="2">
        <v>0</v>
      </c>
      <c r="J163" s="2">
        <v>0</v>
      </c>
      <c r="K163" s="2">
        <v>20</v>
      </c>
      <c r="L163" s="2">
        <v>150</v>
      </c>
      <c r="M163" s="2">
        <v>0</v>
      </c>
      <c r="N163" s="2">
        <v>0</v>
      </c>
      <c r="O163" s="2">
        <v>150</v>
      </c>
      <c r="P163" s="2">
        <v>0</v>
      </c>
      <c r="Q163" s="2">
        <v>0</v>
      </c>
      <c r="R163" s="238">
        <v>367</v>
      </c>
      <c r="S163" s="219">
        <f t="shared" si="5"/>
        <v>12</v>
      </c>
      <c r="T163" s="220">
        <f>SUM( tabConsumo[[#This Row],[QTD.PENDENTE]]:tabConsumo[[#This Row],[09_23]] ) / tabConsumo[[#This Row],[Div]]</f>
        <v>42.833333333333336</v>
      </c>
      <c r="U163" s="221">
        <f xml:space="preserve"> tabConsumo[[#This Row],[Média.A]] + (_xlfn.STDEV.S( tabConsumo[[#This Row],[QTD.PENDENTE]]:tabConsumo[[#This Row],[09_23]] ) * 1)</f>
        <v>114.24366800161434</v>
      </c>
      <c r="V163" s="221">
        <f xml:space="preserve"> tabConsumo[[#This Row],[Média.A]] + (_xlfn.STDEV.S( tabConsumo[[#This Row],[QTD.PENDENTE]]:tabConsumo[[#This Row],[09_23]] ) * 2)</f>
        <v>185.65400266989536</v>
      </c>
      <c r="W163" s="221">
        <f xml:space="preserve"> tabConsumo[[#This Row],[Média.A]] + (_xlfn.STDEV.S( tabConsumo[[#This Row],[QTD.PENDENTE]]:tabConsumo[[#This Row],[09_23]] ) * 3)</f>
        <v>257.06433733817636</v>
      </c>
      <c r="X163" s="5">
        <f t="shared" si="4"/>
        <v>2</v>
      </c>
      <c r="Y163">
        <v>42.416666666666664</v>
      </c>
      <c r="Z163" s="223">
        <f>SUM( tabConsumo[[#This Row],[QTD.PENDENTE]]:tabConsumo[[#This Row],[09_23]] )</f>
        <v>514</v>
      </c>
      <c r="AA163" s="223">
        <f>LARGE(tabConsumo[[#This Row],[10_22]:[09_23]],1)</f>
        <v>190</v>
      </c>
      <c r="AB163" s="146" t="s">
        <v>2239</v>
      </c>
      <c r="AC163" s="3" t="s">
        <v>2086</v>
      </c>
    </row>
    <row r="164" spans="1:29" x14ac:dyDescent="0.3">
      <c r="A164" s="4" t="s">
        <v>1378</v>
      </c>
      <c r="B164" s="3" t="s">
        <v>345</v>
      </c>
      <c r="C164" s="2">
        <v>64609</v>
      </c>
      <c r="D164" s="2">
        <v>435</v>
      </c>
      <c r="F164" s="2">
        <v>16</v>
      </c>
      <c r="G164" s="2">
        <v>55</v>
      </c>
      <c r="H164" s="2">
        <v>20</v>
      </c>
      <c r="I164" s="2">
        <v>45</v>
      </c>
      <c r="J164" s="2">
        <v>0</v>
      </c>
      <c r="K164" s="2">
        <v>50</v>
      </c>
      <c r="L164" s="2">
        <v>0</v>
      </c>
      <c r="M164" s="2">
        <v>0</v>
      </c>
      <c r="N164" s="2">
        <v>100</v>
      </c>
      <c r="O164" s="2">
        <v>0</v>
      </c>
      <c r="P164" s="2">
        <v>0</v>
      </c>
      <c r="Q164" s="2">
        <v>0</v>
      </c>
      <c r="R164" s="238">
        <v>367</v>
      </c>
      <c r="S164" s="219">
        <f t="shared" si="5"/>
        <v>12</v>
      </c>
      <c r="T164" s="220">
        <f>SUM( tabConsumo[[#This Row],[QTD.PENDENTE]]:tabConsumo[[#This Row],[09_23]] ) / tabConsumo[[#This Row],[Div]]</f>
        <v>23.833333333333332</v>
      </c>
      <c r="U164" s="221">
        <f xml:space="preserve"> tabConsumo[[#This Row],[Média.A]] + (_xlfn.STDEV.S( tabConsumo[[#This Row],[QTD.PENDENTE]]:tabConsumo[[#This Row],[09_23]] ) * 1)</f>
        <v>56.011342010444508</v>
      </c>
      <c r="V164" s="221">
        <f xml:space="preserve"> tabConsumo[[#This Row],[Média.A]] + (_xlfn.STDEV.S( tabConsumo[[#This Row],[QTD.PENDENTE]]:tabConsumo[[#This Row],[09_23]] ) * 2)</f>
        <v>88.189350687555688</v>
      </c>
      <c r="W164" s="221">
        <f xml:space="preserve"> tabConsumo[[#This Row],[Média.A]] + (_xlfn.STDEV.S( tabConsumo[[#This Row],[QTD.PENDENTE]]:tabConsumo[[#This Row],[09_23]] ) * 3)</f>
        <v>120.36735936466687</v>
      </c>
      <c r="X164" s="5">
        <f t="shared" si="4"/>
        <v>2</v>
      </c>
      <c r="Y164">
        <v>22.833333333333332</v>
      </c>
      <c r="Z164" s="223">
        <f>SUM( tabConsumo[[#This Row],[QTD.PENDENTE]]:tabConsumo[[#This Row],[09_23]] )</f>
        <v>286</v>
      </c>
      <c r="AA164" s="223">
        <f>LARGE(tabConsumo[[#This Row],[10_22]:[09_23]],1)</f>
        <v>100</v>
      </c>
      <c r="AB164" s="146" t="s">
        <v>2246</v>
      </c>
      <c r="AC164" s="3" t="s">
        <v>2086</v>
      </c>
    </row>
    <row r="165" spans="1:29" x14ac:dyDescent="0.3">
      <c r="A165" s="4" t="s">
        <v>1340</v>
      </c>
      <c r="B165" s="3" t="s">
        <v>345</v>
      </c>
      <c r="C165" s="2">
        <v>59018</v>
      </c>
      <c r="D165" s="2">
        <v>732</v>
      </c>
      <c r="F165" s="2">
        <v>10</v>
      </c>
      <c r="G165" s="2">
        <v>5</v>
      </c>
      <c r="H165" s="2">
        <v>4</v>
      </c>
      <c r="I165" s="2">
        <v>2</v>
      </c>
      <c r="J165" s="2">
        <v>7</v>
      </c>
      <c r="K165" s="2">
        <v>0</v>
      </c>
      <c r="L165" s="2">
        <v>0</v>
      </c>
      <c r="M165" s="2">
        <v>40</v>
      </c>
      <c r="N165" s="2">
        <v>100</v>
      </c>
      <c r="O165" s="2">
        <v>0</v>
      </c>
      <c r="P165" s="2">
        <v>0</v>
      </c>
      <c r="Q165" s="2">
        <v>0</v>
      </c>
      <c r="R165" s="238">
        <v>367</v>
      </c>
      <c r="S165" s="219">
        <f t="shared" si="5"/>
        <v>12</v>
      </c>
      <c r="T165" s="220">
        <f>SUM( tabConsumo[[#This Row],[QTD.PENDENTE]]:tabConsumo[[#This Row],[09_23]] ) / tabConsumo[[#This Row],[Div]]</f>
        <v>14</v>
      </c>
      <c r="U165" s="221">
        <f xml:space="preserve"> tabConsumo[[#This Row],[Média.A]] + (_xlfn.STDEV.S( tabConsumo[[#This Row],[QTD.PENDENTE]]:tabConsumo[[#This Row],[09_23]] ) * 1)</f>
        <v>43.297843544596191</v>
      </c>
      <c r="V165" s="221">
        <f xml:space="preserve"> tabConsumo[[#This Row],[Média.A]] + (_xlfn.STDEV.S( tabConsumo[[#This Row],[QTD.PENDENTE]]:tabConsumo[[#This Row],[09_23]] ) * 2)</f>
        <v>72.595687089192381</v>
      </c>
      <c r="W165" s="221">
        <f xml:space="preserve"> tabConsumo[[#This Row],[Média.A]] + (_xlfn.STDEV.S( tabConsumo[[#This Row],[QTD.PENDENTE]]:tabConsumo[[#This Row],[09_23]] ) * 3)</f>
        <v>101.89353063378856</v>
      </c>
      <c r="X165" s="5">
        <f t="shared" si="4"/>
        <v>2</v>
      </c>
      <c r="Y165">
        <v>11.666666666666666</v>
      </c>
      <c r="Z165" s="223">
        <f>SUM( tabConsumo[[#This Row],[QTD.PENDENTE]]:tabConsumo[[#This Row],[09_23]] )</f>
        <v>168</v>
      </c>
      <c r="AA165" s="223">
        <f>LARGE(tabConsumo[[#This Row],[10_22]:[09_23]],1)</f>
        <v>100</v>
      </c>
      <c r="AB165" s="146" t="s">
        <v>2246</v>
      </c>
      <c r="AC165" s="3" t="s">
        <v>2086</v>
      </c>
    </row>
    <row r="166" spans="1:29" x14ac:dyDescent="0.3">
      <c r="A166" s="4" t="s">
        <v>1355</v>
      </c>
      <c r="B166" s="3" t="s">
        <v>345</v>
      </c>
      <c r="C166" s="2">
        <v>61046</v>
      </c>
      <c r="D166" s="2">
        <v>496</v>
      </c>
      <c r="F166" s="2">
        <v>4</v>
      </c>
      <c r="G166" s="2">
        <v>3</v>
      </c>
      <c r="H166" s="2">
        <v>1</v>
      </c>
      <c r="I166" s="2">
        <v>0</v>
      </c>
      <c r="J166" s="2">
        <v>1</v>
      </c>
      <c r="K166" s="2">
        <v>4</v>
      </c>
      <c r="L166" s="2">
        <v>0</v>
      </c>
      <c r="M166" s="2">
        <v>0</v>
      </c>
      <c r="N166" s="2">
        <v>0</v>
      </c>
      <c r="O166" s="2">
        <v>0</v>
      </c>
      <c r="P166" s="2">
        <v>0</v>
      </c>
      <c r="Q166" s="2">
        <v>0</v>
      </c>
      <c r="R166" s="238">
        <v>367</v>
      </c>
      <c r="S166" s="219">
        <f t="shared" si="5"/>
        <v>12</v>
      </c>
      <c r="T166" s="220">
        <f>SUM( tabConsumo[[#This Row],[QTD.PENDENTE]]:tabConsumo[[#This Row],[09_23]] ) / tabConsumo[[#This Row],[Div]]</f>
        <v>1.0833333333333333</v>
      </c>
      <c r="U166" s="221">
        <f xml:space="preserve"> tabConsumo[[#This Row],[Média.A]] + (_xlfn.STDEV.S( tabConsumo[[#This Row],[QTD.PENDENTE]]:tabConsumo[[#This Row],[09_23]] ) * 1)</f>
        <v>2.7046870513072609</v>
      </c>
      <c r="V166" s="221">
        <f xml:space="preserve"> tabConsumo[[#This Row],[Média.A]] + (_xlfn.STDEV.S( tabConsumo[[#This Row],[QTD.PENDENTE]]:tabConsumo[[#This Row],[09_23]] ) * 2)</f>
        <v>4.3260407692811889</v>
      </c>
      <c r="W166" s="221">
        <f xml:space="preserve"> tabConsumo[[#This Row],[Média.A]] + (_xlfn.STDEV.S( tabConsumo[[#This Row],[QTD.PENDENTE]]:tabConsumo[[#This Row],[09_23]] ) * 3)</f>
        <v>5.9473944872551163</v>
      </c>
      <c r="X166" s="5">
        <f t="shared" si="4"/>
        <v>2</v>
      </c>
      <c r="Y166">
        <v>1.0833333333333333</v>
      </c>
      <c r="Z166" s="223">
        <f>SUM( tabConsumo[[#This Row],[QTD.PENDENTE]]:tabConsumo[[#This Row],[09_23]] )</f>
        <v>13</v>
      </c>
      <c r="AA166" s="223">
        <f>LARGE(tabConsumo[[#This Row],[10_22]:[09_23]],1)</f>
        <v>4</v>
      </c>
      <c r="AB166" s="146" t="s">
        <v>2245</v>
      </c>
      <c r="AC166" s="3" t="s">
        <v>2086</v>
      </c>
    </row>
    <row r="167" spans="1:29" x14ac:dyDescent="0.3">
      <c r="A167" s="4" t="s">
        <v>1723</v>
      </c>
      <c r="B167" s="3" t="s">
        <v>31</v>
      </c>
      <c r="C167" s="2">
        <v>116466</v>
      </c>
      <c r="D167" s="2">
        <v>2339</v>
      </c>
      <c r="F167" s="2">
        <v>1050</v>
      </c>
      <c r="G167" s="2">
        <v>200</v>
      </c>
      <c r="H167" s="2">
        <v>200</v>
      </c>
      <c r="I167" s="2">
        <v>650</v>
      </c>
      <c r="J167" s="2">
        <v>100</v>
      </c>
      <c r="K167" s="2">
        <v>250</v>
      </c>
      <c r="L167" s="2">
        <v>500</v>
      </c>
      <c r="M167" s="2">
        <v>0</v>
      </c>
      <c r="N167" s="2">
        <v>3000</v>
      </c>
      <c r="O167" s="2">
        <v>1056</v>
      </c>
      <c r="P167" s="2">
        <v>1000</v>
      </c>
      <c r="Q167" s="2">
        <v>0</v>
      </c>
      <c r="R167" s="238">
        <v>40382</v>
      </c>
      <c r="S167" s="219">
        <v>12</v>
      </c>
      <c r="T167" s="220">
        <f>SUM( tabConsumo[[#This Row],[QTD.PENDENTE]]:tabConsumo[[#This Row],[09_23]] ) / tabConsumo[[#This Row],[Div]]</f>
        <v>667.16666666666663</v>
      </c>
      <c r="U167" s="221">
        <f xml:space="preserve"> tabConsumo[[#This Row],[Média.A]] + (_xlfn.STDEV.S( tabConsumo[[#This Row],[QTD.PENDENTE]]:tabConsumo[[#This Row],[09_23]] ) * 1)</f>
        <v>1503.8972992570789</v>
      </c>
      <c r="V167" s="221">
        <f xml:space="preserve"> tabConsumo[[#This Row],[Média.A]] + (_xlfn.STDEV.S( tabConsumo[[#This Row],[QTD.PENDENTE]]:tabConsumo[[#This Row],[09_23]] ) * 2)</f>
        <v>2340.6279318474913</v>
      </c>
      <c r="W167" s="221">
        <f xml:space="preserve"> tabConsumo[[#This Row],[Média.A]] + (_xlfn.STDEV.S( tabConsumo[[#This Row],[QTD.PENDENTE]]:tabConsumo[[#This Row],[09_23]] ) * 3)</f>
        <v>3177.3585644379032</v>
      </c>
      <c r="X167" s="5">
        <f t="shared" si="4"/>
        <v>2</v>
      </c>
      <c r="Y167">
        <v>612.16666666666663</v>
      </c>
      <c r="Z167" s="223">
        <f>SUM( tabConsumo[[#This Row],[QTD.PENDENTE]]:tabConsumo[[#This Row],[09_23]] )</f>
        <v>8006</v>
      </c>
      <c r="AA167" s="223">
        <f>LARGE(tabConsumo[[#This Row],[10_22]:[09_23]],1)</f>
        <v>3000</v>
      </c>
      <c r="AB167" s="146" t="s">
        <v>2241</v>
      </c>
      <c r="AC167" s="3" t="s">
        <v>2086</v>
      </c>
    </row>
    <row r="168" spans="1:29" x14ac:dyDescent="0.3">
      <c r="A168" s="4" t="s">
        <v>1790</v>
      </c>
      <c r="B168" s="3" t="s">
        <v>31</v>
      </c>
      <c r="C168" s="2">
        <v>128229</v>
      </c>
      <c r="D168" s="2">
        <v>108</v>
      </c>
      <c r="F168" s="2">
        <v>2</v>
      </c>
      <c r="G168" s="2">
        <v>3</v>
      </c>
      <c r="H168" s="2">
        <v>2</v>
      </c>
      <c r="I168" s="2">
        <v>2</v>
      </c>
      <c r="J168" s="2">
        <v>4</v>
      </c>
      <c r="K168" s="2">
        <v>1</v>
      </c>
      <c r="L168" s="2">
        <v>5</v>
      </c>
      <c r="M168" s="2">
        <v>0</v>
      </c>
      <c r="N168" s="2">
        <v>0</v>
      </c>
      <c r="O168" s="2">
        <v>0</v>
      </c>
      <c r="P168" s="2">
        <v>0</v>
      </c>
      <c r="Q168" s="2">
        <v>0</v>
      </c>
      <c r="R168" s="238">
        <v>41814</v>
      </c>
      <c r="S168" s="219">
        <v>12</v>
      </c>
      <c r="T168" s="220">
        <f>SUM( tabConsumo[[#This Row],[QTD.PENDENTE]]:tabConsumo[[#This Row],[09_23]] ) / tabConsumo[[#This Row],[Div]]</f>
        <v>1.5833333333333333</v>
      </c>
      <c r="U168" s="221">
        <f xml:space="preserve"> tabConsumo[[#This Row],[Média.A]] + (_xlfn.STDEV.S( tabConsumo[[#This Row],[QTD.PENDENTE]]:tabConsumo[[#This Row],[09_23]] ) * 1)</f>
        <v>3.3131958256789655</v>
      </c>
      <c r="V168" s="221">
        <f xml:space="preserve"> tabConsumo[[#This Row],[Média.A]] + (_xlfn.STDEV.S( tabConsumo[[#This Row],[QTD.PENDENTE]]:tabConsumo[[#This Row],[09_23]] ) * 2)</f>
        <v>5.043058318024598</v>
      </c>
      <c r="W168" s="221">
        <f xml:space="preserve"> tabConsumo[[#This Row],[Média.A]] + (_xlfn.STDEV.S( tabConsumo[[#This Row],[QTD.PENDENTE]]:tabConsumo[[#This Row],[09_23]] ) * 3)</f>
        <v>6.7729208103702296</v>
      </c>
      <c r="X168" s="5">
        <f t="shared" si="4"/>
        <v>2</v>
      </c>
      <c r="Y168">
        <v>1.5833333333333333</v>
      </c>
      <c r="Z168" s="223">
        <f>SUM( tabConsumo[[#This Row],[QTD.PENDENTE]]:tabConsumo[[#This Row],[09_23]] )</f>
        <v>19</v>
      </c>
      <c r="AA168" s="223">
        <f>LARGE(tabConsumo[[#This Row],[10_22]:[09_23]],1)</f>
        <v>5</v>
      </c>
      <c r="AB168" s="146" t="s">
        <v>2240</v>
      </c>
      <c r="AC168" s="3" t="s">
        <v>2086</v>
      </c>
    </row>
    <row r="169" spans="1:29" x14ac:dyDescent="0.3">
      <c r="A169" s="4" t="s">
        <v>1426</v>
      </c>
      <c r="B169" s="3" t="s">
        <v>263</v>
      </c>
      <c r="C169" s="2">
        <v>77110</v>
      </c>
      <c r="D169" s="2">
        <v>228</v>
      </c>
      <c r="F169" s="2">
        <v>0</v>
      </c>
      <c r="G169" s="2">
        <v>0</v>
      </c>
      <c r="H169" s="2">
        <v>0</v>
      </c>
      <c r="I169" s="2">
        <v>0</v>
      </c>
      <c r="J169" s="2">
        <v>6</v>
      </c>
      <c r="K169" s="2">
        <v>4</v>
      </c>
      <c r="L169" s="2">
        <v>12</v>
      </c>
      <c r="M169" s="2">
        <v>0</v>
      </c>
      <c r="N169" s="2">
        <v>0</v>
      </c>
      <c r="O169" s="2">
        <v>0</v>
      </c>
      <c r="P169" s="2">
        <v>0</v>
      </c>
      <c r="Q169" s="2">
        <v>0</v>
      </c>
      <c r="R169" s="238">
        <v>38028</v>
      </c>
      <c r="S169" s="219">
        <v>12</v>
      </c>
      <c r="T169" s="220">
        <f>SUM( tabConsumo[[#This Row],[QTD.PENDENTE]]:tabConsumo[[#This Row],[09_23]] ) / tabConsumo[[#This Row],[Div]]</f>
        <v>1.8333333333333333</v>
      </c>
      <c r="U169" s="221">
        <f xml:space="preserve"> tabConsumo[[#This Row],[Média.A]] + (_xlfn.STDEV.S( tabConsumo[[#This Row],[QTD.PENDENTE]]:tabConsumo[[#This Row],[09_23]] ) * 1)</f>
        <v>5.5951832973158355</v>
      </c>
      <c r="V169" s="221">
        <f xml:space="preserve"> tabConsumo[[#This Row],[Média.A]] + (_xlfn.STDEV.S( tabConsumo[[#This Row],[QTD.PENDENTE]]:tabConsumo[[#This Row],[09_23]] ) * 2)</f>
        <v>9.3570332612983371</v>
      </c>
      <c r="W169" s="221">
        <f xml:space="preserve"> tabConsumo[[#This Row],[Média.A]] + (_xlfn.STDEV.S( tabConsumo[[#This Row],[QTD.PENDENTE]]:tabConsumo[[#This Row],[09_23]] ) * 3)</f>
        <v>13.11888322528084</v>
      </c>
      <c r="X169" s="5">
        <f t="shared" si="4"/>
        <v>2</v>
      </c>
      <c r="Y169">
        <v>1.5833333333333333</v>
      </c>
      <c r="Z169" s="223">
        <f>SUM( tabConsumo[[#This Row],[QTD.PENDENTE]]:tabConsumo[[#This Row],[09_23]] )</f>
        <v>22</v>
      </c>
      <c r="AA169" s="223">
        <f>LARGE(tabConsumo[[#This Row],[10_22]:[09_23]],1)</f>
        <v>12</v>
      </c>
      <c r="AB169" s="146" t="s">
        <v>2240</v>
      </c>
      <c r="AC169" s="3" t="s">
        <v>2086</v>
      </c>
    </row>
    <row r="170" spans="1:29" x14ac:dyDescent="0.3">
      <c r="A170" s="4" t="s">
        <v>1425</v>
      </c>
      <c r="B170" s="3" t="s">
        <v>263</v>
      </c>
      <c r="C170" s="2">
        <v>77109</v>
      </c>
      <c r="D170" s="2">
        <v>181</v>
      </c>
      <c r="F170" s="2">
        <v>10</v>
      </c>
      <c r="G170" s="2">
        <v>5</v>
      </c>
      <c r="H170" s="2">
        <v>5</v>
      </c>
      <c r="I170" s="2">
        <v>5</v>
      </c>
      <c r="J170" s="2">
        <v>16</v>
      </c>
      <c r="K170" s="2">
        <v>22</v>
      </c>
      <c r="L170" s="2">
        <v>14</v>
      </c>
      <c r="M170" s="2">
        <v>0</v>
      </c>
      <c r="N170" s="2">
        <v>0</v>
      </c>
      <c r="O170" s="2">
        <v>50</v>
      </c>
      <c r="P170" s="2">
        <v>0</v>
      </c>
      <c r="Q170" s="2">
        <v>0</v>
      </c>
      <c r="R170" s="238">
        <v>38028</v>
      </c>
      <c r="S170" s="219">
        <v>12</v>
      </c>
      <c r="T170" s="220">
        <f>SUM( tabConsumo[[#This Row],[QTD.PENDENTE]]:tabConsumo[[#This Row],[09_23]] ) / tabConsumo[[#This Row],[Div]]</f>
        <v>10.583333333333334</v>
      </c>
      <c r="U170" s="221">
        <f xml:space="preserve"> tabConsumo[[#This Row],[Média.A]] + (_xlfn.STDEV.S( tabConsumo[[#This Row],[QTD.PENDENTE]]:tabConsumo[[#This Row],[09_23]] ) * 1)</f>
        <v>24.938936188432571</v>
      </c>
      <c r="V170" s="221">
        <f xml:space="preserve"> tabConsumo[[#This Row],[Média.A]] + (_xlfn.STDEV.S( tabConsumo[[#This Row],[QTD.PENDENTE]]:tabConsumo[[#This Row],[09_23]] ) * 2)</f>
        <v>39.294539043531806</v>
      </c>
      <c r="W170" s="221">
        <f xml:space="preserve"> tabConsumo[[#This Row],[Média.A]] + (_xlfn.STDEV.S( tabConsumo[[#This Row],[QTD.PENDENTE]]:tabConsumo[[#This Row],[09_23]] ) * 3)</f>
        <v>53.650141898631048</v>
      </c>
      <c r="X170" s="5">
        <f t="shared" si="4"/>
        <v>2</v>
      </c>
      <c r="Y170">
        <v>9.6666666666666661</v>
      </c>
      <c r="Z170" s="223">
        <f>SUM( tabConsumo[[#This Row],[QTD.PENDENTE]]:tabConsumo[[#This Row],[09_23]] )</f>
        <v>127</v>
      </c>
      <c r="AA170" s="223">
        <f>LARGE(tabConsumo[[#This Row],[10_22]:[09_23]],1)</f>
        <v>50</v>
      </c>
      <c r="AB170" s="146" t="s">
        <v>2239</v>
      </c>
      <c r="AC170" s="3" t="s">
        <v>2086</v>
      </c>
    </row>
    <row r="171" spans="1:29" x14ac:dyDescent="0.3">
      <c r="A171" s="4" t="s">
        <v>1949</v>
      </c>
      <c r="B171" s="3" t="s">
        <v>263</v>
      </c>
      <c r="C171" s="2">
        <v>136880</v>
      </c>
      <c r="D171" s="2">
        <v>0</v>
      </c>
      <c r="E171" s="2">
        <v>8</v>
      </c>
      <c r="F171" s="2">
        <v>0</v>
      </c>
      <c r="G171" s="2">
        <v>10</v>
      </c>
      <c r="H171" s="2">
        <v>7</v>
      </c>
      <c r="I171" s="2">
        <v>0</v>
      </c>
      <c r="J171" s="2">
        <v>1</v>
      </c>
      <c r="K171" s="2">
        <v>0</v>
      </c>
      <c r="L171" s="2">
        <v>0</v>
      </c>
      <c r="M171" s="2">
        <v>0</v>
      </c>
      <c r="N171" s="2">
        <v>0</v>
      </c>
      <c r="O171" s="2">
        <v>0</v>
      </c>
      <c r="P171" s="2">
        <v>0</v>
      </c>
      <c r="Q171" s="2">
        <v>17</v>
      </c>
      <c r="R171" s="238">
        <v>43580</v>
      </c>
      <c r="S171" s="219">
        <v>12</v>
      </c>
      <c r="T171" s="220">
        <f>SUM( tabConsumo[[#This Row],[QTD.PENDENTE]]:tabConsumo[[#This Row],[09_23]] ) / tabConsumo[[#This Row],[Div]]</f>
        <v>3.5833333333333335</v>
      </c>
      <c r="U171" s="221">
        <f xml:space="preserve"> tabConsumo[[#This Row],[Média.A]] + (_xlfn.STDEV.S( tabConsumo[[#This Row],[QTD.PENDENTE]]:tabConsumo[[#This Row],[09_23]] ) * 1)</f>
        <v>9.0664075225179523</v>
      </c>
      <c r="V171" s="221">
        <f xml:space="preserve"> tabConsumo[[#This Row],[Média.A]] + (_xlfn.STDEV.S( tabConsumo[[#This Row],[QTD.PENDENTE]]:tabConsumo[[#This Row],[09_23]] ) * 2)</f>
        <v>14.549481711702573</v>
      </c>
      <c r="W171" s="221">
        <f xml:space="preserve"> tabConsumo[[#This Row],[Média.A]] + (_xlfn.STDEV.S( tabConsumo[[#This Row],[QTD.PENDENTE]]:tabConsumo[[#This Row],[09_23]] ) * 3)</f>
        <v>20.032555900887189</v>
      </c>
      <c r="X171" s="5">
        <f t="shared" si="4"/>
        <v>2</v>
      </c>
      <c r="Y171">
        <v>3.3333333333333335</v>
      </c>
      <c r="Z171" s="223">
        <f>SUM( tabConsumo[[#This Row],[QTD.PENDENTE]]:tabConsumo[[#This Row],[09_23]] )</f>
        <v>43</v>
      </c>
      <c r="AA171" s="223">
        <f>LARGE(tabConsumo[[#This Row],[10_22]:[09_23]],1)</f>
        <v>17</v>
      </c>
      <c r="AB171" s="146" t="s">
        <v>2238</v>
      </c>
      <c r="AC171" s="3" t="s">
        <v>2086</v>
      </c>
    </row>
    <row r="172" spans="1:29" x14ac:dyDescent="0.3">
      <c r="A172" s="4" t="s">
        <v>1461</v>
      </c>
      <c r="B172" s="3" t="s">
        <v>263</v>
      </c>
      <c r="C172" s="2">
        <v>79688</v>
      </c>
      <c r="D172" s="2">
        <v>17746</v>
      </c>
      <c r="E172" s="2">
        <v>41</v>
      </c>
      <c r="F172" s="2">
        <v>1082</v>
      </c>
      <c r="G172" s="2">
        <v>1360</v>
      </c>
      <c r="H172" s="2">
        <v>978</v>
      </c>
      <c r="I172" s="2">
        <v>464</v>
      </c>
      <c r="J172" s="2">
        <v>1203</v>
      </c>
      <c r="K172" s="2">
        <v>2043</v>
      </c>
      <c r="L172" s="2">
        <v>1168</v>
      </c>
      <c r="M172" s="2">
        <v>1425</v>
      </c>
      <c r="N172" s="2">
        <v>1170</v>
      </c>
      <c r="O172" s="2">
        <v>1243</v>
      </c>
      <c r="P172" s="2">
        <v>1233</v>
      </c>
      <c r="Q172" s="2">
        <v>1115</v>
      </c>
      <c r="R172" s="238">
        <v>38138</v>
      </c>
      <c r="S172" s="219">
        <v>12</v>
      </c>
      <c r="T172" s="220">
        <f>SUM( tabConsumo[[#This Row],[QTD.PENDENTE]]:tabConsumo[[#This Row],[09_23]] ) / tabConsumo[[#This Row],[Div]]</f>
        <v>1210.4166666666667</v>
      </c>
      <c r="U172" s="221">
        <f xml:space="preserve"> tabConsumo[[#This Row],[Média.A]] + (_xlfn.STDEV.S( tabConsumo[[#This Row],[QTD.PENDENTE]]:tabConsumo[[#This Row],[09_23]] ) * 1)</f>
        <v>1681.0776176379904</v>
      </c>
      <c r="V172" s="221">
        <f xml:space="preserve"> tabConsumo[[#This Row],[Média.A]] + (_xlfn.STDEV.S( tabConsumo[[#This Row],[QTD.PENDENTE]]:tabConsumo[[#This Row],[09_23]] ) * 2)</f>
        <v>2151.7385686093144</v>
      </c>
      <c r="W172" s="221">
        <f xml:space="preserve"> tabConsumo[[#This Row],[Média.A]] + (_xlfn.STDEV.S( tabConsumo[[#This Row],[QTD.PENDENTE]]:tabConsumo[[#This Row],[09_23]] ) * 3)</f>
        <v>2622.3995195806383</v>
      </c>
      <c r="X172" s="5">
        <f t="shared" si="4"/>
        <v>2</v>
      </c>
      <c r="Y172">
        <v>1210.4166666666667</v>
      </c>
      <c r="Z172" s="223">
        <f>SUM( tabConsumo[[#This Row],[QTD.PENDENTE]]:tabConsumo[[#This Row],[09_23]] )</f>
        <v>14525</v>
      </c>
      <c r="AA172" s="223">
        <f>LARGE(tabConsumo[[#This Row],[10_22]:[09_23]],1)</f>
        <v>2043</v>
      </c>
      <c r="AB172" s="146" t="s">
        <v>2238</v>
      </c>
      <c r="AC172" s="3" t="s">
        <v>2086</v>
      </c>
    </row>
    <row r="173" spans="1:29" x14ac:dyDescent="0.3">
      <c r="A173" s="4" t="s">
        <v>1460</v>
      </c>
      <c r="B173" s="3" t="s">
        <v>263</v>
      </c>
      <c r="C173" s="2">
        <v>79687</v>
      </c>
      <c r="D173" s="2">
        <v>11991</v>
      </c>
      <c r="E173" s="2">
        <v>41</v>
      </c>
      <c r="F173" s="2">
        <v>2111</v>
      </c>
      <c r="G173" s="2">
        <v>1447</v>
      </c>
      <c r="H173" s="2">
        <v>1105</v>
      </c>
      <c r="I173" s="2">
        <v>640</v>
      </c>
      <c r="J173" s="2">
        <v>1461</v>
      </c>
      <c r="K173" s="2">
        <v>2077</v>
      </c>
      <c r="L173" s="2">
        <v>1193</v>
      </c>
      <c r="M173" s="2">
        <v>1466</v>
      </c>
      <c r="N173" s="2">
        <v>1163</v>
      </c>
      <c r="O173" s="2">
        <v>1273</v>
      </c>
      <c r="P173" s="2">
        <v>1236</v>
      </c>
      <c r="Q173" s="2">
        <v>1117</v>
      </c>
      <c r="R173" s="238">
        <v>38138</v>
      </c>
      <c r="S173" s="219">
        <v>12</v>
      </c>
      <c r="T173" s="220">
        <f>SUM( tabConsumo[[#This Row],[QTD.PENDENTE]]:tabConsumo[[#This Row],[09_23]] ) / tabConsumo[[#This Row],[Div]]</f>
        <v>1360.8333333333333</v>
      </c>
      <c r="U173" s="221">
        <f xml:space="preserve"> tabConsumo[[#This Row],[Média.A]] + (_xlfn.STDEV.S( tabConsumo[[#This Row],[QTD.PENDENTE]]:tabConsumo[[#This Row],[09_23]] ) * 1)</f>
        <v>1896.1511277560865</v>
      </c>
      <c r="V173" s="221">
        <f xml:space="preserve"> tabConsumo[[#This Row],[Média.A]] + (_xlfn.STDEV.S( tabConsumo[[#This Row],[QTD.PENDENTE]]:tabConsumo[[#This Row],[09_23]] ) * 2)</f>
        <v>2431.4689221788394</v>
      </c>
      <c r="W173" s="221">
        <f xml:space="preserve"> tabConsumo[[#This Row],[Média.A]] + (_xlfn.STDEV.S( tabConsumo[[#This Row],[QTD.PENDENTE]]:tabConsumo[[#This Row],[09_23]] ) * 3)</f>
        <v>2966.7867166015931</v>
      </c>
      <c r="X173" s="5">
        <f t="shared" si="4"/>
        <v>2</v>
      </c>
      <c r="Y173">
        <v>1360.8333333333333</v>
      </c>
      <c r="Z173" s="223">
        <f>SUM( tabConsumo[[#This Row],[QTD.PENDENTE]]:tabConsumo[[#This Row],[09_23]] )</f>
        <v>16330</v>
      </c>
      <c r="AA173" s="223">
        <f>LARGE(tabConsumo[[#This Row],[10_22]:[09_23]],1)</f>
        <v>2111</v>
      </c>
      <c r="AB173" s="146" t="s">
        <v>2238</v>
      </c>
      <c r="AC173" s="3" t="s">
        <v>2086</v>
      </c>
    </row>
    <row r="174" spans="1:29" x14ac:dyDescent="0.3">
      <c r="A174" s="4" t="s">
        <v>1946</v>
      </c>
      <c r="B174" s="3" t="s">
        <v>263</v>
      </c>
      <c r="C174" s="2">
        <v>136860</v>
      </c>
      <c r="D174" s="2">
        <v>9</v>
      </c>
      <c r="F174" s="2">
        <v>0</v>
      </c>
      <c r="G174" s="2">
        <v>0</v>
      </c>
      <c r="H174" s="2">
        <v>1</v>
      </c>
      <c r="I174" s="2">
        <v>1</v>
      </c>
      <c r="J174" s="2">
        <v>0</v>
      </c>
      <c r="K174" s="2">
        <v>0</v>
      </c>
      <c r="L174" s="2">
        <v>0</v>
      </c>
      <c r="M174" s="2">
        <v>0</v>
      </c>
      <c r="N174" s="2">
        <v>0</v>
      </c>
      <c r="O174" s="2">
        <v>0</v>
      </c>
      <c r="P174" s="2">
        <v>0</v>
      </c>
      <c r="Q174" s="2">
        <v>0</v>
      </c>
      <c r="R174" s="238">
        <v>43578</v>
      </c>
      <c r="S174" s="219">
        <v>12</v>
      </c>
      <c r="T174" s="220">
        <f>SUM( tabConsumo[[#This Row],[QTD.PENDENTE]]:tabConsumo[[#This Row],[09_23]] ) / tabConsumo[[#This Row],[Div]]</f>
        <v>0.16666666666666666</v>
      </c>
      <c r="U174" s="221">
        <f xml:space="preserve"> tabConsumo[[#This Row],[Média.A]] + (_xlfn.STDEV.S( tabConsumo[[#This Row],[QTD.PENDENTE]]:tabConsumo[[#This Row],[09_23]] ) * 1)</f>
        <v>0.55591613874742818</v>
      </c>
      <c r="V174" s="221">
        <f xml:space="preserve"> tabConsumo[[#This Row],[Média.A]] + (_xlfn.STDEV.S( tabConsumo[[#This Row],[QTD.PENDENTE]]:tabConsumo[[#This Row],[09_23]] ) * 2)</f>
        <v>0.94516561082818962</v>
      </c>
      <c r="W174" s="221">
        <f xml:space="preserve"> tabConsumo[[#This Row],[Média.A]] + (_xlfn.STDEV.S( tabConsumo[[#This Row],[QTD.PENDENTE]]:tabConsumo[[#This Row],[09_23]] ) * 3)</f>
        <v>1.3344150829089512</v>
      </c>
      <c r="X174" s="5">
        <f t="shared" si="4"/>
        <v>2</v>
      </c>
      <c r="Y174">
        <v>0</v>
      </c>
      <c r="Z174" s="223">
        <f>SUM( tabConsumo[[#This Row],[QTD.PENDENTE]]:tabConsumo[[#This Row],[09_23]] )</f>
        <v>2</v>
      </c>
      <c r="AA174" s="223">
        <f>LARGE(tabConsumo[[#This Row],[10_22]:[09_23]],1)</f>
        <v>1</v>
      </c>
      <c r="AB174" s="146" t="s">
        <v>2247</v>
      </c>
      <c r="AC174" s="3" t="s">
        <v>2086</v>
      </c>
    </row>
    <row r="175" spans="1:29" x14ac:dyDescent="0.3">
      <c r="A175" s="4" t="s">
        <v>1193</v>
      </c>
      <c r="B175" s="3" t="s">
        <v>263</v>
      </c>
      <c r="C175" s="2">
        <v>24219</v>
      </c>
      <c r="D175" s="2">
        <v>387</v>
      </c>
      <c r="E175" s="2">
        <v>1</v>
      </c>
      <c r="F175" s="2">
        <v>17</v>
      </c>
      <c r="G175" s="2">
        <v>25</v>
      </c>
      <c r="H175" s="2">
        <v>9</v>
      </c>
      <c r="I175" s="2">
        <v>23</v>
      </c>
      <c r="J175" s="2">
        <v>32</v>
      </c>
      <c r="K175" s="2">
        <v>43</v>
      </c>
      <c r="L175" s="2">
        <v>24</v>
      </c>
      <c r="M175" s="2">
        <v>30</v>
      </c>
      <c r="N175" s="2">
        <v>25</v>
      </c>
      <c r="O175" s="2">
        <v>30</v>
      </c>
      <c r="P175" s="2">
        <v>35</v>
      </c>
      <c r="Q175" s="2">
        <v>37</v>
      </c>
      <c r="R175" s="238">
        <v>367</v>
      </c>
      <c r="S175" s="219">
        <f t="shared" ref="S175:S180" si="6" xml:space="preserve"> 12</f>
        <v>12</v>
      </c>
      <c r="T175" s="220">
        <f>SUM( tabConsumo[[#This Row],[QTD.PENDENTE]]:tabConsumo[[#This Row],[09_23]] ) / tabConsumo[[#This Row],[Div]]</f>
        <v>27.583333333333332</v>
      </c>
      <c r="U175" s="221">
        <f xml:space="preserve"> tabConsumo[[#This Row],[Média.A]] + (_xlfn.STDEV.S( tabConsumo[[#This Row],[QTD.PENDENTE]]:tabConsumo[[#This Row],[09_23]] ) * 1)</f>
        <v>39.004186954490443</v>
      </c>
      <c r="V175" s="221">
        <f xml:space="preserve"> tabConsumo[[#This Row],[Média.A]] + (_xlfn.STDEV.S( tabConsumo[[#This Row],[QTD.PENDENTE]]:tabConsumo[[#This Row],[09_23]] ) * 2)</f>
        <v>50.42504057564755</v>
      </c>
      <c r="W175" s="221">
        <f xml:space="preserve"> tabConsumo[[#This Row],[Média.A]] + (_xlfn.STDEV.S( tabConsumo[[#This Row],[QTD.PENDENTE]]:tabConsumo[[#This Row],[09_23]] ) * 3)</f>
        <v>61.845894196804664</v>
      </c>
      <c r="X175" s="5">
        <f t="shared" si="4"/>
        <v>2</v>
      </c>
      <c r="Y175">
        <v>27.583333333333332</v>
      </c>
      <c r="Z175" s="223">
        <f>SUM( tabConsumo[[#This Row],[QTD.PENDENTE]]:tabConsumo[[#This Row],[09_23]] )</f>
        <v>331</v>
      </c>
      <c r="AA175" s="223">
        <f>LARGE(tabConsumo[[#This Row],[10_22]:[09_23]],1)</f>
        <v>43</v>
      </c>
      <c r="AB175" s="146" t="s">
        <v>2238</v>
      </c>
      <c r="AC175" s="3" t="s">
        <v>2086</v>
      </c>
    </row>
    <row r="176" spans="1:29" x14ac:dyDescent="0.3">
      <c r="A176" s="4" t="s">
        <v>948</v>
      </c>
      <c r="B176" s="3" t="s">
        <v>380</v>
      </c>
      <c r="C176" s="2">
        <v>12635</v>
      </c>
      <c r="D176" s="2">
        <v>0</v>
      </c>
      <c r="E176" s="2">
        <v>80</v>
      </c>
      <c r="F176" s="2">
        <v>1696</v>
      </c>
      <c r="G176" s="2">
        <v>1586</v>
      </c>
      <c r="H176" s="2">
        <v>970</v>
      </c>
      <c r="I176" s="2">
        <v>480</v>
      </c>
      <c r="J176" s="2">
        <v>1140</v>
      </c>
      <c r="K176" s="2">
        <v>2100</v>
      </c>
      <c r="L176" s="2">
        <v>1313</v>
      </c>
      <c r="M176" s="2">
        <v>1720</v>
      </c>
      <c r="N176" s="2">
        <v>2431</v>
      </c>
      <c r="O176" s="2">
        <v>1430</v>
      </c>
      <c r="P176" s="2">
        <v>1651</v>
      </c>
      <c r="Q176" s="2">
        <v>1605</v>
      </c>
      <c r="R176" s="238">
        <v>367</v>
      </c>
      <c r="S176" s="219">
        <f t="shared" si="6"/>
        <v>12</v>
      </c>
      <c r="T176" s="220">
        <f>SUM( tabConsumo[[#This Row],[QTD.PENDENTE]]:tabConsumo[[#This Row],[09_23]] ) / tabConsumo[[#This Row],[Div]]</f>
        <v>1516.8333333333333</v>
      </c>
      <c r="U176" s="221">
        <f xml:space="preserve"> tabConsumo[[#This Row],[Média.A]] + (_xlfn.STDEV.S( tabConsumo[[#This Row],[QTD.PENDENTE]]:tabConsumo[[#This Row],[09_23]] ) * 1)</f>
        <v>2144.8173891492229</v>
      </c>
      <c r="V176" s="221">
        <f xml:space="preserve"> tabConsumo[[#This Row],[Média.A]] + (_xlfn.STDEV.S( tabConsumo[[#This Row],[QTD.PENDENTE]]:tabConsumo[[#This Row],[09_23]] ) * 2)</f>
        <v>2772.8014449651128</v>
      </c>
      <c r="W176" s="221">
        <f xml:space="preserve"> tabConsumo[[#This Row],[Média.A]] + (_xlfn.STDEV.S( tabConsumo[[#This Row],[QTD.PENDENTE]]:tabConsumo[[#This Row],[09_23]] ) * 3)</f>
        <v>3400.7855007810022</v>
      </c>
      <c r="X176" s="5">
        <f t="shared" si="4"/>
        <v>2</v>
      </c>
      <c r="Y176">
        <v>1516.8333333333333</v>
      </c>
      <c r="Z176" s="223">
        <f>SUM( tabConsumo[[#This Row],[QTD.PENDENTE]]:tabConsumo[[#This Row],[09_23]] )</f>
        <v>18202</v>
      </c>
      <c r="AA176" s="223">
        <f>LARGE(tabConsumo[[#This Row],[10_22]:[09_23]],1)</f>
        <v>2431</v>
      </c>
      <c r="AB176" s="146" t="s">
        <v>2238</v>
      </c>
      <c r="AC176" s="3" t="s">
        <v>2086</v>
      </c>
    </row>
    <row r="177" spans="1:29" x14ac:dyDescent="0.3">
      <c r="A177" s="4" t="s">
        <v>1181</v>
      </c>
      <c r="B177" s="3" t="s">
        <v>380</v>
      </c>
      <c r="C177" s="2">
        <v>23687</v>
      </c>
      <c r="D177" s="2">
        <v>6914</v>
      </c>
      <c r="E177" s="2">
        <v>70</v>
      </c>
      <c r="F177" s="2">
        <v>3767</v>
      </c>
      <c r="G177" s="2">
        <v>1656</v>
      </c>
      <c r="H177" s="2">
        <v>910</v>
      </c>
      <c r="I177" s="2">
        <v>491</v>
      </c>
      <c r="J177" s="2">
        <v>1170</v>
      </c>
      <c r="K177" s="2">
        <v>2210</v>
      </c>
      <c r="L177" s="2">
        <v>1415</v>
      </c>
      <c r="M177" s="2">
        <v>1815</v>
      </c>
      <c r="N177" s="2">
        <v>2593</v>
      </c>
      <c r="O177" s="2">
        <v>1544</v>
      </c>
      <c r="P177" s="2">
        <v>1881</v>
      </c>
      <c r="Q177" s="2">
        <v>1825</v>
      </c>
      <c r="R177" s="238">
        <v>367</v>
      </c>
      <c r="S177" s="219">
        <f t="shared" si="6"/>
        <v>12</v>
      </c>
      <c r="T177" s="220">
        <f>SUM( tabConsumo[[#This Row],[QTD.PENDENTE]]:tabConsumo[[#This Row],[09_23]] ) / tabConsumo[[#This Row],[Div]]</f>
        <v>1778.9166666666667</v>
      </c>
      <c r="U177" s="221">
        <f xml:space="preserve"> tabConsumo[[#This Row],[Média.A]] + (_xlfn.STDEV.S( tabConsumo[[#This Row],[QTD.PENDENTE]]:tabConsumo[[#This Row],[09_23]] ) * 1)</f>
        <v>2713.4000766797835</v>
      </c>
      <c r="V177" s="221">
        <f xml:space="preserve"> tabConsumo[[#This Row],[Média.A]] + (_xlfn.STDEV.S( tabConsumo[[#This Row],[QTD.PENDENTE]]:tabConsumo[[#This Row],[09_23]] ) * 2)</f>
        <v>3647.883486692901</v>
      </c>
      <c r="W177" s="221">
        <f xml:space="preserve"> tabConsumo[[#This Row],[Média.A]] + (_xlfn.STDEV.S( tabConsumo[[#This Row],[QTD.PENDENTE]]:tabConsumo[[#This Row],[09_23]] ) * 3)</f>
        <v>4582.3668967060175</v>
      </c>
      <c r="X177" s="5">
        <f t="shared" si="4"/>
        <v>2</v>
      </c>
      <c r="Y177">
        <v>1768.9166666666667</v>
      </c>
      <c r="Z177" s="223">
        <f>SUM( tabConsumo[[#This Row],[QTD.PENDENTE]]:tabConsumo[[#This Row],[09_23]] )</f>
        <v>21347</v>
      </c>
      <c r="AA177" s="223">
        <f>LARGE(tabConsumo[[#This Row],[10_22]:[09_23]],1)</f>
        <v>3767</v>
      </c>
      <c r="AB177" s="146" t="s">
        <v>2238</v>
      </c>
      <c r="AC177" s="3" t="s">
        <v>2086</v>
      </c>
    </row>
    <row r="178" spans="1:29" x14ac:dyDescent="0.3">
      <c r="A178" s="4" t="s">
        <v>946</v>
      </c>
      <c r="B178" s="3" t="s">
        <v>380</v>
      </c>
      <c r="C178" s="2">
        <v>12623</v>
      </c>
      <c r="D178" s="2">
        <v>28247</v>
      </c>
      <c r="E178" s="2">
        <v>857</v>
      </c>
      <c r="F178" s="2">
        <v>0</v>
      </c>
      <c r="G178" s="2">
        <v>0</v>
      </c>
      <c r="H178" s="2">
        <v>0</v>
      </c>
      <c r="I178" s="2">
        <v>0</v>
      </c>
      <c r="J178" s="2">
        <v>720</v>
      </c>
      <c r="K178" s="2">
        <v>6115</v>
      </c>
      <c r="L178" s="2">
        <v>3319</v>
      </c>
      <c r="M178" s="2">
        <v>3625</v>
      </c>
      <c r="N178" s="2">
        <v>4632</v>
      </c>
      <c r="O178" s="2">
        <v>3238</v>
      </c>
      <c r="P178" s="2">
        <v>23574</v>
      </c>
      <c r="Q178" s="2">
        <v>3835</v>
      </c>
      <c r="R178" s="238">
        <v>367</v>
      </c>
      <c r="S178" s="219">
        <f t="shared" si="6"/>
        <v>12</v>
      </c>
      <c r="T178" s="220">
        <f>SUM( tabConsumo[[#This Row],[QTD.PENDENTE]]:tabConsumo[[#This Row],[09_23]] ) / tabConsumo[[#This Row],[Div]]</f>
        <v>4159.583333333333</v>
      </c>
      <c r="U178" s="221">
        <f xml:space="preserve"> tabConsumo[[#This Row],[Média.A]] + (_xlfn.STDEV.S( tabConsumo[[#This Row],[QTD.PENDENTE]]:tabConsumo[[#This Row],[09_23]] ) * 1)</f>
        <v>10441.361392907198</v>
      </c>
      <c r="V178" s="221">
        <f xml:space="preserve"> tabConsumo[[#This Row],[Média.A]] + (_xlfn.STDEV.S( tabConsumo[[#This Row],[QTD.PENDENTE]]:tabConsumo[[#This Row],[09_23]] ) * 2)</f>
        <v>16723.139452481064</v>
      </c>
      <c r="W178" s="221">
        <f xml:space="preserve"> tabConsumo[[#This Row],[Média.A]] + (_xlfn.STDEV.S( tabConsumo[[#This Row],[QTD.PENDENTE]]:tabConsumo[[#This Row],[09_23]] ) * 3)</f>
        <v>23004.917512054926</v>
      </c>
      <c r="X178" s="5">
        <f t="shared" si="4"/>
        <v>2</v>
      </c>
      <c r="Y178">
        <v>3588.6666666666665</v>
      </c>
      <c r="Z178" s="223">
        <f>SUM( tabConsumo[[#This Row],[QTD.PENDENTE]]:tabConsumo[[#This Row],[09_23]] )</f>
        <v>49915</v>
      </c>
      <c r="AA178" s="223">
        <f>LARGE(tabConsumo[[#This Row],[10_22]:[09_23]],1)</f>
        <v>23574</v>
      </c>
      <c r="AB178" s="146" t="s">
        <v>2238</v>
      </c>
      <c r="AC178" s="3" t="s">
        <v>2086</v>
      </c>
    </row>
    <row r="179" spans="1:29" x14ac:dyDescent="0.3">
      <c r="A179" s="4" t="s">
        <v>1182</v>
      </c>
      <c r="B179" s="3" t="s">
        <v>380</v>
      </c>
      <c r="C179" s="2">
        <v>23692</v>
      </c>
      <c r="D179" s="2">
        <v>10454</v>
      </c>
      <c r="E179" s="2">
        <v>40</v>
      </c>
      <c r="F179" s="2">
        <v>1196</v>
      </c>
      <c r="G179" s="2">
        <v>1291</v>
      </c>
      <c r="H179" s="2">
        <v>700</v>
      </c>
      <c r="I179" s="2">
        <v>365</v>
      </c>
      <c r="J179" s="2">
        <v>1080</v>
      </c>
      <c r="K179" s="2">
        <v>1885</v>
      </c>
      <c r="L179" s="2">
        <v>1155</v>
      </c>
      <c r="M179" s="2">
        <v>1536</v>
      </c>
      <c r="N179" s="2">
        <v>2340</v>
      </c>
      <c r="O179" s="2">
        <v>1231</v>
      </c>
      <c r="P179" s="2">
        <v>1351</v>
      </c>
      <c r="Q179" s="2">
        <v>1370</v>
      </c>
      <c r="R179" s="238">
        <v>367</v>
      </c>
      <c r="S179" s="219">
        <f t="shared" si="6"/>
        <v>12</v>
      </c>
      <c r="T179" s="220">
        <f>SUM( tabConsumo[[#This Row],[QTD.PENDENTE]]:tabConsumo[[#This Row],[09_23]] ) / tabConsumo[[#This Row],[Div]]</f>
        <v>1295</v>
      </c>
      <c r="U179" s="221">
        <f xml:space="preserve"> tabConsumo[[#This Row],[Média.A]] + (_xlfn.STDEV.S( tabConsumo[[#This Row],[QTD.PENDENTE]]:tabConsumo[[#This Row],[09_23]] ) * 1)</f>
        <v>1890.2347629943356</v>
      </c>
      <c r="V179" s="221">
        <f xml:space="preserve"> tabConsumo[[#This Row],[Média.A]] + (_xlfn.STDEV.S( tabConsumo[[#This Row],[QTD.PENDENTE]]:tabConsumo[[#This Row],[09_23]] ) * 2)</f>
        <v>2485.4695259886712</v>
      </c>
      <c r="W179" s="221">
        <f xml:space="preserve"> tabConsumo[[#This Row],[Média.A]] + (_xlfn.STDEV.S( tabConsumo[[#This Row],[QTD.PENDENTE]]:tabConsumo[[#This Row],[09_23]] ) * 3)</f>
        <v>3080.7042889830072</v>
      </c>
      <c r="X179" s="5">
        <f t="shared" si="4"/>
        <v>2</v>
      </c>
      <c r="Y179">
        <v>1295</v>
      </c>
      <c r="Z179" s="223">
        <f>SUM( tabConsumo[[#This Row],[QTD.PENDENTE]]:tabConsumo[[#This Row],[09_23]] )</f>
        <v>15540</v>
      </c>
      <c r="AA179" s="223">
        <f>LARGE(tabConsumo[[#This Row],[10_22]:[09_23]],1)</f>
        <v>2340</v>
      </c>
      <c r="AB179" s="146" t="s">
        <v>2238</v>
      </c>
      <c r="AC179" s="3" t="s">
        <v>2086</v>
      </c>
    </row>
    <row r="180" spans="1:29" x14ac:dyDescent="0.3">
      <c r="A180" s="4" t="s">
        <v>1291</v>
      </c>
      <c r="B180" s="3" t="s">
        <v>380</v>
      </c>
      <c r="C180" s="2">
        <v>47447</v>
      </c>
      <c r="D180" s="2">
        <v>10923</v>
      </c>
      <c r="E180" s="2">
        <v>80</v>
      </c>
      <c r="F180" s="2">
        <v>1381</v>
      </c>
      <c r="G180" s="2">
        <v>1521</v>
      </c>
      <c r="H180" s="2">
        <v>945</v>
      </c>
      <c r="I180" s="2">
        <v>460</v>
      </c>
      <c r="J180" s="2">
        <v>1130</v>
      </c>
      <c r="K180" s="2">
        <v>2125</v>
      </c>
      <c r="L180" s="2">
        <v>1382</v>
      </c>
      <c r="M180" s="2">
        <v>1705</v>
      </c>
      <c r="N180" s="2">
        <v>2463</v>
      </c>
      <c r="O180" s="2">
        <v>1355</v>
      </c>
      <c r="P180" s="2">
        <v>1590</v>
      </c>
      <c r="Q180" s="2">
        <v>1670</v>
      </c>
      <c r="R180" s="238">
        <v>367</v>
      </c>
      <c r="S180" s="219">
        <f t="shared" si="6"/>
        <v>12</v>
      </c>
      <c r="T180" s="220">
        <f>SUM( tabConsumo[[#This Row],[QTD.PENDENTE]]:tabConsumo[[#This Row],[09_23]] ) / tabConsumo[[#This Row],[Div]]</f>
        <v>1483.9166666666667</v>
      </c>
      <c r="U180" s="221">
        <f xml:space="preserve"> tabConsumo[[#This Row],[Média.A]] + (_xlfn.STDEV.S( tabConsumo[[#This Row],[QTD.PENDENTE]]:tabConsumo[[#This Row],[09_23]] ) * 1)</f>
        <v>2114.3275318763003</v>
      </c>
      <c r="V180" s="221">
        <f xml:space="preserve"> tabConsumo[[#This Row],[Média.A]] + (_xlfn.STDEV.S( tabConsumo[[#This Row],[QTD.PENDENTE]]:tabConsumo[[#This Row],[09_23]] ) * 2)</f>
        <v>2744.7383970859341</v>
      </c>
      <c r="W180" s="221">
        <f xml:space="preserve"> tabConsumo[[#This Row],[Média.A]] + (_xlfn.STDEV.S( tabConsumo[[#This Row],[QTD.PENDENTE]]:tabConsumo[[#This Row],[09_23]] ) * 3)</f>
        <v>3375.1492622955675</v>
      </c>
      <c r="X180" s="5">
        <f t="shared" si="4"/>
        <v>2</v>
      </c>
      <c r="Y180">
        <v>1483.9166666666667</v>
      </c>
      <c r="Z180" s="223">
        <f>SUM( tabConsumo[[#This Row],[QTD.PENDENTE]]:tabConsumo[[#This Row],[09_23]] )</f>
        <v>17807</v>
      </c>
      <c r="AA180" s="223">
        <f>LARGE(tabConsumo[[#This Row],[10_22]:[09_23]],1)</f>
        <v>2463</v>
      </c>
      <c r="AB180" s="146" t="s">
        <v>2238</v>
      </c>
      <c r="AC180" s="3" t="s">
        <v>2086</v>
      </c>
    </row>
    <row r="181" spans="1:29" x14ac:dyDescent="0.3">
      <c r="A181" s="4" t="s">
        <v>1863</v>
      </c>
      <c r="B181" s="3" t="s">
        <v>380</v>
      </c>
      <c r="C181" s="2">
        <v>133843</v>
      </c>
      <c r="D181" s="2">
        <v>0</v>
      </c>
      <c r="E181" s="2">
        <v>20</v>
      </c>
      <c r="F181" s="2">
        <v>1694</v>
      </c>
      <c r="G181" s="2">
        <v>1665</v>
      </c>
      <c r="H181" s="2">
        <v>1167</v>
      </c>
      <c r="I181" s="2">
        <v>655</v>
      </c>
      <c r="J181" s="2">
        <v>1260</v>
      </c>
      <c r="K181" s="2">
        <v>2310</v>
      </c>
      <c r="L181" s="2">
        <v>1267</v>
      </c>
      <c r="M181" s="2">
        <v>1770</v>
      </c>
      <c r="N181" s="2">
        <v>1703</v>
      </c>
      <c r="O181" s="2">
        <v>1498</v>
      </c>
      <c r="P181" s="2">
        <v>1797</v>
      </c>
      <c r="Q181" s="2">
        <v>1711</v>
      </c>
      <c r="R181" s="238">
        <v>43074</v>
      </c>
      <c r="S181" s="219">
        <v>12</v>
      </c>
      <c r="T181" s="220">
        <f>SUM( tabConsumo[[#This Row],[QTD.PENDENTE]]:tabConsumo[[#This Row],[09_23]] ) / tabConsumo[[#This Row],[Div]]</f>
        <v>1543.0833333333333</v>
      </c>
      <c r="U181" s="221">
        <f xml:space="preserve"> tabConsumo[[#This Row],[Média.A]] + (_xlfn.STDEV.S( tabConsumo[[#This Row],[QTD.PENDENTE]]:tabConsumo[[#This Row],[09_23]] ) * 1)</f>
        <v>2121.9239185352722</v>
      </c>
      <c r="V181" s="221">
        <f xml:space="preserve"> tabConsumo[[#This Row],[Média.A]] + (_xlfn.STDEV.S( tabConsumo[[#This Row],[QTD.PENDENTE]]:tabConsumo[[#This Row],[09_23]] ) * 2)</f>
        <v>2700.7645037372108</v>
      </c>
      <c r="W181" s="221">
        <f xml:space="preserve"> tabConsumo[[#This Row],[Média.A]] + (_xlfn.STDEV.S( tabConsumo[[#This Row],[QTD.PENDENTE]]:tabConsumo[[#This Row],[09_23]] ) * 3)</f>
        <v>3279.6050889391499</v>
      </c>
      <c r="X181" s="5">
        <f t="shared" si="4"/>
        <v>2</v>
      </c>
      <c r="Y181">
        <v>1543.0833333333333</v>
      </c>
      <c r="Z181" s="223">
        <f>SUM( tabConsumo[[#This Row],[QTD.PENDENTE]]:tabConsumo[[#This Row],[09_23]] )</f>
        <v>18517</v>
      </c>
      <c r="AA181" s="223">
        <f>LARGE(tabConsumo[[#This Row],[10_22]:[09_23]],1)</f>
        <v>2310</v>
      </c>
      <c r="AB181" s="146" t="s">
        <v>2238</v>
      </c>
      <c r="AC181" s="3" t="s">
        <v>2086</v>
      </c>
    </row>
    <row r="182" spans="1:29" x14ac:dyDescent="0.3">
      <c r="A182" s="4" t="s">
        <v>1864</v>
      </c>
      <c r="B182" s="3" t="s">
        <v>380</v>
      </c>
      <c r="C182" s="2">
        <v>133844</v>
      </c>
      <c r="D182" s="2">
        <v>0</v>
      </c>
      <c r="E182" s="2">
        <v>965</v>
      </c>
      <c r="F182" s="2">
        <v>1846</v>
      </c>
      <c r="G182" s="2">
        <v>1785</v>
      </c>
      <c r="H182" s="2">
        <v>1195</v>
      </c>
      <c r="I182" s="2">
        <v>700</v>
      </c>
      <c r="J182" s="2">
        <v>1290</v>
      </c>
      <c r="K182" s="2">
        <v>2515</v>
      </c>
      <c r="L182" s="2">
        <v>1322</v>
      </c>
      <c r="M182" s="2">
        <v>1775</v>
      </c>
      <c r="N182" s="2">
        <v>1853</v>
      </c>
      <c r="O182" s="2">
        <v>1583</v>
      </c>
      <c r="P182" s="2">
        <v>2032</v>
      </c>
      <c r="Q182" s="2">
        <v>245</v>
      </c>
      <c r="R182" s="238">
        <v>43074</v>
      </c>
      <c r="S182" s="219">
        <v>12</v>
      </c>
      <c r="T182" s="220">
        <f>SUM( tabConsumo[[#This Row],[QTD.PENDENTE]]:tabConsumo[[#This Row],[09_23]] ) / tabConsumo[[#This Row],[Div]]</f>
        <v>1592.1666666666667</v>
      </c>
      <c r="U182" s="221">
        <f xml:space="preserve"> tabConsumo[[#This Row],[Média.A]] + (_xlfn.STDEV.S( tabConsumo[[#This Row],[QTD.PENDENTE]]:tabConsumo[[#This Row],[09_23]] ) * 1)</f>
        <v>2196.27970584275</v>
      </c>
      <c r="V182" s="221">
        <f xml:space="preserve"> tabConsumo[[#This Row],[Média.A]] + (_xlfn.STDEV.S( tabConsumo[[#This Row],[QTD.PENDENTE]]:tabConsumo[[#This Row],[09_23]] ) * 2)</f>
        <v>2800.3927450188335</v>
      </c>
      <c r="W182" s="221">
        <f xml:space="preserve"> tabConsumo[[#This Row],[Média.A]] + (_xlfn.STDEV.S( tabConsumo[[#This Row],[QTD.PENDENTE]]:tabConsumo[[#This Row],[09_23]] ) * 3)</f>
        <v>3404.5057841949165</v>
      </c>
      <c r="X182" s="5">
        <f t="shared" si="4"/>
        <v>2</v>
      </c>
      <c r="Y182">
        <v>1592.1666666666667</v>
      </c>
      <c r="Z182" s="223">
        <f>SUM( tabConsumo[[#This Row],[QTD.PENDENTE]]:tabConsumo[[#This Row],[09_23]] )</f>
        <v>19106</v>
      </c>
      <c r="AA182" s="223">
        <f>LARGE(tabConsumo[[#This Row],[10_22]:[09_23]],1)</f>
        <v>2515</v>
      </c>
      <c r="AB182" s="146" t="s">
        <v>2238</v>
      </c>
      <c r="AC182" s="3" t="s">
        <v>2086</v>
      </c>
    </row>
    <row r="183" spans="1:29" x14ac:dyDescent="0.3">
      <c r="A183" s="4" t="s">
        <v>1865</v>
      </c>
      <c r="B183" s="3" t="s">
        <v>380</v>
      </c>
      <c r="C183" s="2">
        <v>133845</v>
      </c>
      <c r="D183" s="2">
        <v>1245</v>
      </c>
      <c r="E183" s="2">
        <v>15</v>
      </c>
      <c r="F183" s="2">
        <v>1464</v>
      </c>
      <c r="G183" s="2">
        <v>1560</v>
      </c>
      <c r="H183" s="2">
        <v>1051</v>
      </c>
      <c r="I183" s="2">
        <v>620</v>
      </c>
      <c r="J183" s="2">
        <v>1185</v>
      </c>
      <c r="K183" s="2">
        <v>2325</v>
      </c>
      <c r="L183" s="2">
        <v>1242</v>
      </c>
      <c r="M183" s="2">
        <v>1700</v>
      </c>
      <c r="N183" s="2">
        <v>1663</v>
      </c>
      <c r="O183" s="2">
        <v>1385</v>
      </c>
      <c r="P183" s="2">
        <v>1656</v>
      </c>
      <c r="Q183" s="2">
        <v>1696</v>
      </c>
      <c r="R183" s="238">
        <v>43074</v>
      </c>
      <c r="S183" s="219">
        <v>12</v>
      </c>
      <c r="T183" s="220">
        <f>SUM( tabConsumo[[#This Row],[QTD.PENDENTE]]:tabConsumo[[#This Row],[09_23]] ) / tabConsumo[[#This Row],[Div]]</f>
        <v>1463.5</v>
      </c>
      <c r="U183" s="221">
        <f xml:space="preserve"> tabConsumo[[#This Row],[Média.A]] + (_xlfn.STDEV.S( tabConsumo[[#This Row],[QTD.PENDENTE]]:tabConsumo[[#This Row],[09_23]] ) * 1)</f>
        <v>2032.576073054453</v>
      </c>
      <c r="V183" s="221">
        <f xml:space="preserve"> tabConsumo[[#This Row],[Média.A]] + (_xlfn.STDEV.S( tabConsumo[[#This Row],[QTD.PENDENTE]]:tabConsumo[[#This Row],[09_23]] ) * 2)</f>
        <v>2601.652146108906</v>
      </c>
      <c r="W183" s="221">
        <f xml:space="preserve"> tabConsumo[[#This Row],[Média.A]] + (_xlfn.STDEV.S( tabConsumo[[#This Row],[QTD.PENDENTE]]:tabConsumo[[#This Row],[09_23]] ) * 3)</f>
        <v>3170.7282191633585</v>
      </c>
      <c r="X183" s="5">
        <f t="shared" si="4"/>
        <v>2</v>
      </c>
      <c r="Y183">
        <v>1463.5</v>
      </c>
      <c r="Z183" s="223">
        <f>SUM( tabConsumo[[#This Row],[QTD.PENDENTE]]:tabConsumo[[#This Row],[09_23]] )</f>
        <v>17562</v>
      </c>
      <c r="AA183" s="223">
        <f>LARGE(tabConsumo[[#This Row],[10_22]:[09_23]],1)</f>
        <v>2325</v>
      </c>
      <c r="AB183" s="146" t="s">
        <v>2238</v>
      </c>
      <c r="AC183" s="3" t="s">
        <v>2086</v>
      </c>
    </row>
    <row r="184" spans="1:29" x14ac:dyDescent="0.3">
      <c r="A184" s="4" t="s">
        <v>1866</v>
      </c>
      <c r="B184" s="3" t="s">
        <v>380</v>
      </c>
      <c r="C184" s="2">
        <v>133846</v>
      </c>
      <c r="D184" s="2">
        <v>0</v>
      </c>
      <c r="E184" s="2">
        <v>545</v>
      </c>
      <c r="F184" s="2">
        <v>1305</v>
      </c>
      <c r="G184" s="2">
        <v>1305</v>
      </c>
      <c r="H184" s="2">
        <v>1072</v>
      </c>
      <c r="I184" s="2">
        <v>575</v>
      </c>
      <c r="J184" s="2">
        <v>1155</v>
      </c>
      <c r="K184" s="2">
        <v>2025</v>
      </c>
      <c r="L184" s="2">
        <v>1132</v>
      </c>
      <c r="M184" s="2">
        <v>1370</v>
      </c>
      <c r="N184" s="2">
        <v>1493</v>
      </c>
      <c r="O184" s="2">
        <v>1301</v>
      </c>
      <c r="P184" s="2">
        <v>496</v>
      </c>
      <c r="Q184" s="2">
        <v>0</v>
      </c>
      <c r="R184" s="238">
        <v>43074</v>
      </c>
      <c r="S184" s="219">
        <v>12</v>
      </c>
      <c r="T184" s="220">
        <f>SUM( tabConsumo[[#This Row],[QTD.PENDENTE]]:tabConsumo[[#This Row],[09_23]] ) / tabConsumo[[#This Row],[Div]]</f>
        <v>1147.8333333333333</v>
      </c>
      <c r="U184" s="221">
        <f xml:space="preserve"> tabConsumo[[#This Row],[Média.A]] + (_xlfn.STDEV.S( tabConsumo[[#This Row],[QTD.PENDENTE]]:tabConsumo[[#This Row],[09_23]] ) * 1)</f>
        <v>1676.1515164049579</v>
      </c>
      <c r="V184" s="221">
        <f xml:space="preserve"> tabConsumo[[#This Row],[Média.A]] + (_xlfn.STDEV.S( tabConsumo[[#This Row],[QTD.PENDENTE]]:tabConsumo[[#This Row],[09_23]] ) * 2)</f>
        <v>2204.4696994765823</v>
      </c>
      <c r="W184" s="221">
        <f xml:space="preserve"> tabConsumo[[#This Row],[Média.A]] + (_xlfn.STDEV.S( tabConsumo[[#This Row],[QTD.PENDENTE]]:tabConsumo[[#This Row],[09_23]] ) * 3)</f>
        <v>2732.7878825482067</v>
      </c>
      <c r="X184" s="5">
        <f t="shared" si="4"/>
        <v>2</v>
      </c>
      <c r="Y184">
        <v>1147.8333333333333</v>
      </c>
      <c r="Z184" s="223">
        <f>SUM( tabConsumo[[#This Row],[QTD.PENDENTE]]:tabConsumo[[#This Row],[09_23]] )</f>
        <v>13774</v>
      </c>
      <c r="AA184" s="223">
        <f>LARGE(tabConsumo[[#This Row],[10_22]:[09_23]],1)</f>
        <v>2025</v>
      </c>
      <c r="AB184" s="146" t="s">
        <v>2241</v>
      </c>
      <c r="AC184" s="3" t="s">
        <v>2086</v>
      </c>
    </row>
    <row r="185" spans="1:29" x14ac:dyDescent="0.3">
      <c r="A185" s="4" t="s">
        <v>1867</v>
      </c>
      <c r="B185" s="3" t="s">
        <v>380</v>
      </c>
      <c r="C185" s="2">
        <v>133847</v>
      </c>
      <c r="D185" s="2">
        <v>0</v>
      </c>
      <c r="E185" s="2">
        <v>1365</v>
      </c>
      <c r="F185" s="2">
        <v>2006</v>
      </c>
      <c r="G185" s="2">
        <v>1867</v>
      </c>
      <c r="H185" s="2">
        <v>90</v>
      </c>
      <c r="I185" s="2">
        <v>554</v>
      </c>
      <c r="J185" s="2">
        <v>450</v>
      </c>
      <c r="K185" s="2">
        <v>2700</v>
      </c>
      <c r="L185" s="2">
        <v>1575</v>
      </c>
      <c r="M185" s="2">
        <v>1985</v>
      </c>
      <c r="N185" s="2">
        <v>1937</v>
      </c>
      <c r="O185" s="2">
        <v>1388</v>
      </c>
      <c r="P185" s="2">
        <v>255</v>
      </c>
      <c r="Q185" s="2">
        <v>0</v>
      </c>
      <c r="R185" s="238">
        <v>43074</v>
      </c>
      <c r="S185" s="219">
        <v>12</v>
      </c>
      <c r="T185" s="220">
        <f>SUM( tabConsumo[[#This Row],[QTD.PENDENTE]]:tabConsumo[[#This Row],[09_23]] ) / tabConsumo[[#This Row],[Div]]</f>
        <v>1347.6666666666667</v>
      </c>
      <c r="U185" s="221">
        <f xml:space="preserve"> tabConsumo[[#This Row],[Média.A]] + (_xlfn.STDEV.S( tabConsumo[[#This Row],[QTD.PENDENTE]]:tabConsumo[[#This Row],[09_23]] ) * 1)</f>
        <v>2224.54018472196</v>
      </c>
      <c r="V185" s="221">
        <f xml:space="preserve"> tabConsumo[[#This Row],[Média.A]] + (_xlfn.STDEV.S( tabConsumo[[#This Row],[QTD.PENDENTE]]:tabConsumo[[#This Row],[09_23]] ) * 2)</f>
        <v>3101.4137027772531</v>
      </c>
      <c r="W185" s="221">
        <f xml:space="preserve"> tabConsumo[[#This Row],[Média.A]] + (_xlfn.STDEV.S( tabConsumo[[#This Row],[QTD.PENDENTE]]:tabConsumo[[#This Row],[09_23]] ) * 3)</f>
        <v>3978.2872208325462</v>
      </c>
      <c r="X185" s="5">
        <f t="shared" si="4"/>
        <v>2</v>
      </c>
      <c r="Y185">
        <v>1347.6666666666667</v>
      </c>
      <c r="Z185" s="223">
        <f>SUM( tabConsumo[[#This Row],[QTD.PENDENTE]]:tabConsumo[[#This Row],[09_23]] )</f>
        <v>16172</v>
      </c>
      <c r="AA185" s="223">
        <f>LARGE(tabConsumo[[#This Row],[10_22]:[09_23]],1)</f>
        <v>2700</v>
      </c>
      <c r="AB185" s="146" t="s">
        <v>2241</v>
      </c>
      <c r="AC185" s="3" t="s">
        <v>2086</v>
      </c>
    </row>
    <row r="186" spans="1:29" x14ac:dyDescent="0.3">
      <c r="A186" s="4" t="s">
        <v>1868</v>
      </c>
      <c r="B186" s="3" t="s">
        <v>380</v>
      </c>
      <c r="C186" s="2">
        <v>133848</v>
      </c>
      <c r="D186" s="2">
        <v>0</v>
      </c>
      <c r="E186" s="2">
        <v>965</v>
      </c>
      <c r="F186" s="2">
        <v>1441</v>
      </c>
      <c r="G186" s="2">
        <v>1490</v>
      </c>
      <c r="H186" s="2">
        <v>1020</v>
      </c>
      <c r="I186" s="2">
        <v>560</v>
      </c>
      <c r="J186" s="2">
        <v>1215</v>
      </c>
      <c r="K186" s="2">
        <v>2020</v>
      </c>
      <c r="L186" s="2">
        <v>1237</v>
      </c>
      <c r="M186" s="2">
        <v>1486</v>
      </c>
      <c r="N186" s="2">
        <v>1505</v>
      </c>
      <c r="O186" s="2">
        <v>195</v>
      </c>
      <c r="P186" s="2">
        <v>0</v>
      </c>
      <c r="Q186" s="2">
        <v>0</v>
      </c>
      <c r="R186" s="238">
        <v>43074</v>
      </c>
      <c r="S186" s="219">
        <v>12</v>
      </c>
      <c r="T186" s="220">
        <f>SUM( tabConsumo[[#This Row],[QTD.PENDENTE]]:tabConsumo[[#This Row],[09_23]] ) / tabConsumo[[#This Row],[Div]]</f>
        <v>1094.5</v>
      </c>
      <c r="U186" s="221">
        <f xml:space="preserve"> tabConsumo[[#This Row],[Média.A]] + (_xlfn.STDEV.S( tabConsumo[[#This Row],[QTD.PENDENTE]]:tabConsumo[[#This Row],[09_23]] ) * 1)</f>
        <v>1734.1916424621299</v>
      </c>
      <c r="V186" s="221">
        <f xml:space="preserve"> tabConsumo[[#This Row],[Média.A]] + (_xlfn.STDEV.S( tabConsumo[[#This Row],[QTD.PENDENTE]]:tabConsumo[[#This Row],[09_23]] ) * 2)</f>
        <v>2373.8832849242599</v>
      </c>
      <c r="W186" s="221">
        <f xml:space="preserve"> tabConsumo[[#This Row],[Média.A]] + (_xlfn.STDEV.S( tabConsumo[[#This Row],[QTD.PENDENTE]]:tabConsumo[[#This Row],[09_23]] ) * 3)</f>
        <v>3013.5749273863898</v>
      </c>
      <c r="X186" s="5">
        <f t="shared" si="4"/>
        <v>2</v>
      </c>
      <c r="Y186">
        <v>1094.5</v>
      </c>
      <c r="Z186" s="223">
        <f>SUM( tabConsumo[[#This Row],[QTD.PENDENTE]]:tabConsumo[[#This Row],[09_23]] )</f>
        <v>13134</v>
      </c>
      <c r="AA186" s="223">
        <f>LARGE(tabConsumo[[#This Row],[10_22]:[09_23]],1)</f>
        <v>2020</v>
      </c>
      <c r="AB186" s="146" t="s">
        <v>2239</v>
      </c>
      <c r="AC186" s="3" t="s">
        <v>2086</v>
      </c>
    </row>
    <row r="187" spans="1:29" x14ac:dyDescent="0.3">
      <c r="A187" s="4" t="s">
        <v>1869</v>
      </c>
      <c r="B187" s="3" t="s">
        <v>380</v>
      </c>
      <c r="C187" s="2">
        <v>133849</v>
      </c>
      <c r="D187" s="2">
        <v>750</v>
      </c>
      <c r="E187" s="2">
        <v>35</v>
      </c>
      <c r="F187" s="2">
        <v>1611</v>
      </c>
      <c r="G187" s="2">
        <v>1755</v>
      </c>
      <c r="H187" s="2">
        <v>1120</v>
      </c>
      <c r="I187" s="2">
        <v>690</v>
      </c>
      <c r="J187" s="2">
        <v>1231</v>
      </c>
      <c r="K187" s="2">
        <v>2320</v>
      </c>
      <c r="L187" s="2">
        <v>1293</v>
      </c>
      <c r="M187" s="2">
        <v>1631</v>
      </c>
      <c r="N187" s="2">
        <v>1720</v>
      </c>
      <c r="O187" s="2">
        <v>1438</v>
      </c>
      <c r="P187" s="2">
        <v>1692</v>
      </c>
      <c r="Q187" s="2">
        <v>1663</v>
      </c>
      <c r="R187" s="238">
        <v>43074</v>
      </c>
      <c r="S187" s="219">
        <v>12</v>
      </c>
      <c r="T187" s="220">
        <f>SUM( tabConsumo[[#This Row],[QTD.PENDENTE]]:tabConsumo[[#This Row],[09_23]] ) / tabConsumo[[#This Row],[Div]]</f>
        <v>1516.5833333333333</v>
      </c>
      <c r="U187" s="221">
        <f xml:space="preserve"> tabConsumo[[#This Row],[Média.A]] + (_xlfn.STDEV.S( tabConsumo[[#This Row],[QTD.PENDENTE]]:tabConsumo[[#This Row],[09_23]] ) * 1)</f>
        <v>2080.373995065514</v>
      </c>
      <c r="V187" s="221">
        <f xml:space="preserve"> tabConsumo[[#This Row],[Média.A]] + (_xlfn.STDEV.S( tabConsumo[[#This Row],[QTD.PENDENTE]]:tabConsumo[[#This Row],[09_23]] ) * 2)</f>
        <v>2644.164656797695</v>
      </c>
      <c r="W187" s="221">
        <f xml:space="preserve"> tabConsumo[[#This Row],[Média.A]] + (_xlfn.STDEV.S( tabConsumo[[#This Row],[QTD.PENDENTE]]:tabConsumo[[#This Row],[09_23]] ) * 3)</f>
        <v>3207.9553185298755</v>
      </c>
      <c r="X187" s="5">
        <f t="shared" si="4"/>
        <v>2</v>
      </c>
      <c r="Y187">
        <v>1516.5833333333333</v>
      </c>
      <c r="Z187" s="223">
        <f>SUM( tabConsumo[[#This Row],[QTD.PENDENTE]]:tabConsumo[[#This Row],[09_23]] )</f>
        <v>18199</v>
      </c>
      <c r="AA187" s="223">
        <f>LARGE(tabConsumo[[#This Row],[10_22]:[09_23]],1)</f>
        <v>2320</v>
      </c>
      <c r="AB187" s="146" t="s">
        <v>2238</v>
      </c>
      <c r="AC187" s="3" t="s">
        <v>2086</v>
      </c>
    </row>
    <row r="188" spans="1:29" x14ac:dyDescent="0.3">
      <c r="A188" s="4" t="s">
        <v>1870</v>
      </c>
      <c r="B188" s="3" t="s">
        <v>380</v>
      </c>
      <c r="C188" s="2">
        <v>133850</v>
      </c>
      <c r="D188" s="2">
        <v>0</v>
      </c>
      <c r="E188" s="2">
        <v>843</v>
      </c>
      <c r="F188" s="2">
        <v>1621</v>
      </c>
      <c r="G188" s="2">
        <v>1740</v>
      </c>
      <c r="H188" s="2">
        <v>1110</v>
      </c>
      <c r="I188" s="2">
        <v>630</v>
      </c>
      <c r="J188" s="2">
        <v>1215</v>
      </c>
      <c r="K188" s="2">
        <v>2255</v>
      </c>
      <c r="L188" s="2">
        <v>1240</v>
      </c>
      <c r="M188" s="2">
        <v>1800</v>
      </c>
      <c r="N188" s="2">
        <v>1670</v>
      </c>
      <c r="O188" s="2">
        <v>1515</v>
      </c>
      <c r="P188" s="2">
        <v>238</v>
      </c>
      <c r="Q188" s="2">
        <v>0</v>
      </c>
      <c r="R188" s="238">
        <v>43074</v>
      </c>
      <c r="S188" s="219">
        <v>12</v>
      </c>
      <c r="T188" s="220">
        <f>SUM( tabConsumo[[#This Row],[QTD.PENDENTE]]:tabConsumo[[#This Row],[09_23]] ) / tabConsumo[[#This Row],[Div]]</f>
        <v>1323.0833333333333</v>
      </c>
      <c r="U188" s="221">
        <f xml:space="preserve"> tabConsumo[[#This Row],[Média.A]] + (_xlfn.STDEV.S( tabConsumo[[#This Row],[QTD.PENDENTE]]:tabConsumo[[#This Row],[09_23]] ) * 1)</f>
        <v>1973.967780914134</v>
      </c>
      <c r="V188" s="221">
        <f xml:space="preserve"> tabConsumo[[#This Row],[Média.A]] + (_xlfn.STDEV.S( tabConsumo[[#This Row],[QTD.PENDENTE]]:tabConsumo[[#This Row],[09_23]] ) * 2)</f>
        <v>2624.8522284949345</v>
      </c>
      <c r="W188" s="221">
        <f xml:space="preserve"> tabConsumo[[#This Row],[Média.A]] + (_xlfn.STDEV.S( tabConsumo[[#This Row],[QTD.PENDENTE]]:tabConsumo[[#This Row],[09_23]] ) * 3)</f>
        <v>3275.736676075735</v>
      </c>
      <c r="X188" s="5">
        <f t="shared" si="4"/>
        <v>2</v>
      </c>
      <c r="Y188">
        <v>1323.0833333333333</v>
      </c>
      <c r="Z188" s="223">
        <f>SUM( tabConsumo[[#This Row],[QTD.PENDENTE]]:tabConsumo[[#This Row],[09_23]] )</f>
        <v>15877</v>
      </c>
      <c r="AA188" s="223">
        <f>LARGE(tabConsumo[[#This Row],[10_22]:[09_23]],1)</f>
        <v>2255</v>
      </c>
      <c r="AB188" s="146" t="s">
        <v>2241</v>
      </c>
      <c r="AC188" s="3" t="s">
        <v>2086</v>
      </c>
    </row>
    <row r="189" spans="1:29" x14ac:dyDescent="0.3">
      <c r="A189" s="4" t="s">
        <v>1049</v>
      </c>
      <c r="B189" s="3" t="s">
        <v>263</v>
      </c>
      <c r="C189" s="2">
        <v>13991</v>
      </c>
      <c r="D189" s="2">
        <v>0</v>
      </c>
      <c r="E189" s="2">
        <v>52</v>
      </c>
      <c r="F189" s="2">
        <v>58</v>
      </c>
      <c r="G189" s="2">
        <v>37</v>
      </c>
      <c r="H189" s="2">
        <v>0</v>
      </c>
      <c r="I189" s="2">
        <v>69</v>
      </c>
      <c r="J189" s="2">
        <v>62</v>
      </c>
      <c r="K189" s="2">
        <v>20</v>
      </c>
      <c r="L189" s="2">
        <v>0</v>
      </c>
      <c r="M189" s="2">
        <v>0</v>
      </c>
      <c r="N189" s="2">
        <v>0</v>
      </c>
      <c r="O189" s="2">
        <v>0</v>
      </c>
      <c r="P189" s="2">
        <v>0</v>
      </c>
      <c r="Q189" s="2">
        <v>0</v>
      </c>
      <c r="R189" s="238">
        <v>367</v>
      </c>
      <c r="S189" s="219">
        <f xml:space="preserve"> 12</f>
        <v>12</v>
      </c>
      <c r="T189" s="220">
        <f>SUM( tabConsumo[[#This Row],[QTD.PENDENTE]]:tabConsumo[[#This Row],[09_23]] ) / tabConsumo[[#This Row],[Div]]</f>
        <v>24.833333333333332</v>
      </c>
      <c r="U189" s="221">
        <f xml:space="preserve"> tabConsumo[[#This Row],[Média.A]] + (_xlfn.STDEV.S( tabConsumo[[#This Row],[QTD.PENDENTE]]:tabConsumo[[#This Row],[09_23]] ) * 1)</f>
        <v>53.133691218177411</v>
      </c>
      <c r="V189" s="221">
        <f xml:space="preserve"> tabConsumo[[#This Row],[Média.A]] + (_xlfn.STDEV.S( tabConsumo[[#This Row],[QTD.PENDENTE]]:tabConsumo[[#This Row],[09_23]] ) * 2)</f>
        <v>81.434049103021493</v>
      </c>
      <c r="W189" s="221">
        <f xml:space="preserve"> tabConsumo[[#This Row],[Média.A]] + (_xlfn.STDEV.S( tabConsumo[[#This Row],[QTD.PENDENTE]]:tabConsumo[[#This Row],[09_23]] ) * 3)</f>
        <v>109.73440698786557</v>
      </c>
      <c r="X189" s="5">
        <f t="shared" si="4"/>
        <v>2</v>
      </c>
      <c r="Y189">
        <v>24.833333333333332</v>
      </c>
      <c r="Z189" s="223">
        <f>SUM( tabConsumo[[#This Row],[QTD.PENDENTE]]:tabConsumo[[#This Row],[09_23]] )</f>
        <v>298</v>
      </c>
      <c r="AA189" s="223">
        <f>LARGE(tabConsumo[[#This Row],[10_22]:[09_23]],1)</f>
        <v>69</v>
      </c>
      <c r="AB189" s="146" t="s">
        <v>2245</v>
      </c>
      <c r="AC189" s="3" t="s">
        <v>2086</v>
      </c>
    </row>
    <row r="190" spans="1:29" x14ac:dyDescent="0.3">
      <c r="A190" s="4" t="s">
        <v>1784</v>
      </c>
      <c r="B190" s="3" t="s">
        <v>269</v>
      </c>
      <c r="C190" s="2">
        <v>127664</v>
      </c>
      <c r="D190" s="2">
        <v>3053</v>
      </c>
      <c r="E190" s="2">
        <v>23</v>
      </c>
      <c r="F190" s="2">
        <v>512</v>
      </c>
      <c r="G190" s="2">
        <v>548</v>
      </c>
      <c r="H190" s="2">
        <v>314</v>
      </c>
      <c r="I190" s="2">
        <v>170</v>
      </c>
      <c r="J190" s="2">
        <v>505</v>
      </c>
      <c r="K190" s="2">
        <v>563</v>
      </c>
      <c r="L190" s="2">
        <v>456</v>
      </c>
      <c r="M190" s="2">
        <v>494</v>
      </c>
      <c r="N190" s="2">
        <v>589</v>
      </c>
      <c r="O190" s="2">
        <v>542</v>
      </c>
      <c r="P190" s="2">
        <v>588</v>
      </c>
      <c r="Q190" s="2">
        <v>522</v>
      </c>
      <c r="R190" s="238">
        <v>41733</v>
      </c>
      <c r="S190" s="219">
        <v>12</v>
      </c>
      <c r="T190" s="220">
        <f>SUM( tabConsumo[[#This Row],[QTD.PENDENTE]]:tabConsumo[[#This Row],[09_23]] ) / tabConsumo[[#This Row],[Div]]</f>
        <v>485.5</v>
      </c>
      <c r="U190" s="221">
        <f xml:space="preserve"> tabConsumo[[#This Row],[Média.A]] + (_xlfn.STDEV.S( tabConsumo[[#This Row],[QTD.PENDENTE]]:tabConsumo[[#This Row],[09_23]] ) * 1)</f>
        <v>659.28331630407172</v>
      </c>
      <c r="V190" s="221">
        <f xml:space="preserve"> tabConsumo[[#This Row],[Média.A]] + (_xlfn.STDEV.S( tabConsumo[[#This Row],[QTD.PENDENTE]]:tabConsumo[[#This Row],[09_23]] ) * 2)</f>
        <v>833.06663260814344</v>
      </c>
      <c r="W190" s="221">
        <f xml:space="preserve"> tabConsumo[[#This Row],[Média.A]] + (_xlfn.STDEV.S( tabConsumo[[#This Row],[QTD.PENDENTE]]:tabConsumo[[#This Row],[09_23]] ) * 3)</f>
        <v>1006.8499489122152</v>
      </c>
      <c r="X190" s="5">
        <f t="shared" si="4"/>
        <v>2</v>
      </c>
      <c r="Y190">
        <v>485.5</v>
      </c>
      <c r="Z190" s="223">
        <f>SUM( tabConsumo[[#This Row],[QTD.PENDENTE]]:tabConsumo[[#This Row],[09_23]] )</f>
        <v>5826</v>
      </c>
      <c r="AA190" s="223">
        <f>LARGE(tabConsumo[[#This Row],[10_22]:[09_23]],1)</f>
        <v>589</v>
      </c>
      <c r="AB190" s="146" t="s">
        <v>2238</v>
      </c>
      <c r="AC190" s="3" t="s">
        <v>2086</v>
      </c>
    </row>
    <row r="191" spans="1:29" x14ac:dyDescent="0.3">
      <c r="A191" s="4" t="s">
        <v>1379</v>
      </c>
      <c r="B191" s="3" t="s">
        <v>263</v>
      </c>
      <c r="C191" s="2">
        <v>64610</v>
      </c>
      <c r="D191" s="2">
        <v>806</v>
      </c>
      <c r="E191" s="2">
        <v>12</v>
      </c>
      <c r="F191" s="2">
        <v>85</v>
      </c>
      <c r="G191" s="2">
        <v>39</v>
      </c>
      <c r="H191" s="2">
        <v>39</v>
      </c>
      <c r="I191" s="2">
        <v>0</v>
      </c>
      <c r="J191" s="2">
        <v>0</v>
      </c>
      <c r="K191" s="2">
        <v>0</v>
      </c>
      <c r="L191" s="2">
        <v>0</v>
      </c>
      <c r="M191" s="2">
        <v>0</v>
      </c>
      <c r="N191" s="2">
        <v>0</v>
      </c>
      <c r="O191" s="2">
        <v>0</v>
      </c>
      <c r="P191" s="2">
        <v>0</v>
      </c>
      <c r="Q191" s="2">
        <v>194</v>
      </c>
      <c r="R191" s="238">
        <v>367</v>
      </c>
      <c r="S191" s="219">
        <f xml:space="preserve"> 12</f>
        <v>12</v>
      </c>
      <c r="T191" s="220">
        <f>SUM( tabConsumo[[#This Row],[QTD.PENDENTE]]:tabConsumo[[#This Row],[09_23]] ) / tabConsumo[[#This Row],[Div]]</f>
        <v>30.75</v>
      </c>
      <c r="U191" s="221">
        <f xml:space="preserve"> tabConsumo[[#This Row],[Média.A]] + (_xlfn.STDEV.S( tabConsumo[[#This Row],[QTD.PENDENTE]]:tabConsumo[[#This Row],[09_23]] ) * 1)</f>
        <v>86.70614124999814</v>
      </c>
      <c r="V191" s="221">
        <f xml:space="preserve"> tabConsumo[[#This Row],[Média.A]] + (_xlfn.STDEV.S( tabConsumo[[#This Row],[QTD.PENDENTE]]:tabConsumo[[#This Row],[09_23]] ) * 2)</f>
        <v>142.66228249999628</v>
      </c>
      <c r="W191" s="221">
        <f xml:space="preserve"> tabConsumo[[#This Row],[Média.A]] + (_xlfn.STDEV.S( tabConsumo[[#This Row],[QTD.PENDENTE]]:tabConsumo[[#This Row],[09_23]] ) * 3)</f>
        <v>198.61842374999441</v>
      </c>
      <c r="X191" s="5">
        <f t="shared" si="4"/>
        <v>2</v>
      </c>
      <c r="Y191">
        <v>26.416666666666668</v>
      </c>
      <c r="Z191" s="223">
        <f>SUM( tabConsumo[[#This Row],[QTD.PENDENTE]]:tabConsumo[[#This Row],[09_23]] )</f>
        <v>369</v>
      </c>
      <c r="AA191" s="223">
        <f>LARGE(tabConsumo[[#This Row],[10_22]:[09_23]],1)</f>
        <v>194</v>
      </c>
      <c r="AB191" s="146" t="s">
        <v>2238</v>
      </c>
      <c r="AC191" s="3" t="s">
        <v>2086</v>
      </c>
    </row>
    <row r="192" spans="1:29" x14ac:dyDescent="0.3">
      <c r="A192" s="4" t="s">
        <v>1162</v>
      </c>
      <c r="B192" s="3" t="s">
        <v>263</v>
      </c>
      <c r="C192" s="2">
        <v>20135</v>
      </c>
      <c r="D192" s="2">
        <v>140</v>
      </c>
      <c r="E192" s="2">
        <v>5</v>
      </c>
      <c r="F192" s="2">
        <v>49</v>
      </c>
      <c r="G192" s="2">
        <v>22</v>
      </c>
      <c r="H192" s="2">
        <v>14</v>
      </c>
      <c r="I192" s="2">
        <v>20</v>
      </c>
      <c r="J192" s="2">
        <v>51</v>
      </c>
      <c r="K192" s="2">
        <v>48</v>
      </c>
      <c r="L192" s="2">
        <v>0</v>
      </c>
      <c r="M192" s="2">
        <v>0</v>
      </c>
      <c r="N192" s="2">
        <v>0</v>
      </c>
      <c r="O192" s="2">
        <v>0</v>
      </c>
      <c r="P192" s="2">
        <v>0</v>
      </c>
      <c r="Q192" s="2">
        <v>160</v>
      </c>
      <c r="R192" s="238">
        <v>367</v>
      </c>
      <c r="S192" s="219">
        <f xml:space="preserve"> 12</f>
        <v>12</v>
      </c>
      <c r="T192" s="220">
        <f>SUM( tabConsumo[[#This Row],[QTD.PENDENTE]]:tabConsumo[[#This Row],[09_23]] ) / tabConsumo[[#This Row],[Div]]</f>
        <v>30.75</v>
      </c>
      <c r="U192" s="221">
        <f xml:space="preserve"> tabConsumo[[#This Row],[Média.A]] + (_xlfn.STDEV.S( tabConsumo[[#This Row],[QTD.PENDENTE]]:tabConsumo[[#This Row],[09_23]] ) * 1)</f>
        <v>75.037956341685913</v>
      </c>
      <c r="V192" s="221">
        <f xml:space="preserve"> tabConsumo[[#This Row],[Média.A]] + (_xlfn.STDEV.S( tabConsumo[[#This Row],[QTD.PENDENTE]]:tabConsumo[[#This Row],[09_23]] ) * 2)</f>
        <v>119.32591268337181</v>
      </c>
      <c r="W192" s="221">
        <f xml:space="preserve"> tabConsumo[[#This Row],[Média.A]] + (_xlfn.STDEV.S( tabConsumo[[#This Row],[QTD.PENDENTE]]:tabConsumo[[#This Row],[09_23]] ) * 3)</f>
        <v>163.61386902505771</v>
      </c>
      <c r="X192" s="5">
        <f t="shared" si="4"/>
        <v>2</v>
      </c>
      <c r="Y192">
        <v>27.333333333333332</v>
      </c>
      <c r="Z192" s="223">
        <f>SUM( tabConsumo[[#This Row],[QTD.PENDENTE]]:tabConsumo[[#This Row],[09_23]] )</f>
        <v>369</v>
      </c>
      <c r="AA192" s="223">
        <f>LARGE(tabConsumo[[#This Row],[10_22]:[09_23]],1)</f>
        <v>160</v>
      </c>
      <c r="AB192" s="146" t="s">
        <v>2238</v>
      </c>
      <c r="AC192" s="3" t="s">
        <v>2086</v>
      </c>
    </row>
    <row r="193" spans="1:29" x14ac:dyDescent="0.3">
      <c r="A193" s="4" t="s">
        <v>1668</v>
      </c>
      <c r="B193" s="3" t="s">
        <v>263</v>
      </c>
      <c r="C193" s="2">
        <v>109944</v>
      </c>
      <c r="D193" s="2">
        <v>110</v>
      </c>
      <c r="F193" s="2">
        <v>30</v>
      </c>
      <c r="G193" s="2">
        <v>30</v>
      </c>
      <c r="H193" s="2">
        <v>30</v>
      </c>
      <c r="I193" s="2">
        <v>200</v>
      </c>
      <c r="J193" s="2">
        <v>0</v>
      </c>
      <c r="K193" s="2">
        <v>0</v>
      </c>
      <c r="L193" s="2">
        <v>0</v>
      </c>
      <c r="M193" s="2">
        <v>70</v>
      </c>
      <c r="N193" s="2">
        <v>0</v>
      </c>
      <c r="O193" s="2">
        <v>0</v>
      </c>
      <c r="P193" s="2">
        <v>0</v>
      </c>
      <c r="Q193" s="2">
        <v>80</v>
      </c>
      <c r="R193" s="238">
        <v>39875</v>
      </c>
      <c r="S193" s="219">
        <v>12</v>
      </c>
      <c r="T193" s="220">
        <f>SUM( tabConsumo[[#This Row],[QTD.PENDENTE]]:tabConsumo[[#This Row],[09_23]] ) / tabConsumo[[#This Row],[Div]]</f>
        <v>36.666666666666664</v>
      </c>
      <c r="U193" s="221">
        <f xml:space="preserve"> tabConsumo[[#This Row],[Média.A]] + (_xlfn.STDEV.S( tabConsumo[[#This Row],[QTD.PENDENTE]]:tabConsumo[[#This Row],[09_23]] ) * 1)</f>
        <v>95.338842716513682</v>
      </c>
      <c r="V193" s="221">
        <f xml:space="preserve"> tabConsumo[[#This Row],[Média.A]] + (_xlfn.STDEV.S( tabConsumo[[#This Row],[QTD.PENDENTE]]:tabConsumo[[#This Row],[09_23]] ) * 2)</f>
        <v>154.01101876636071</v>
      </c>
      <c r="W193" s="221">
        <f xml:space="preserve"> tabConsumo[[#This Row],[Média.A]] + (_xlfn.STDEV.S( tabConsumo[[#This Row],[QTD.PENDENTE]]:tabConsumo[[#This Row],[09_23]] ) * 3)</f>
        <v>212.6831948162077</v>
      </c>
      <c r="X193" s="5">
        <f t="shared" si="4"/>
        <v>2</v>
      </c>
      <c r="Y193">
        <v>32.833333333333336</v>
      </c>
      <c r="Z193" s="223">
        <f>SUM( tabConsumo[[#This Row],[QTD.PENDENTE]]:tabConsumo[[#This Row],[09_23]] )</f>
        <v>440</v>
      </c>
      <c r="AA193" s="223">
        <f>LARGE(tabConsumo[[#This Row],[10_22]:[09_23]],1)</f>
        <v>200</v>
      </c>
      <c r="AB193" s="146" t="s">
        <v>2238</v>
      </c>
      <c r="AC193" s="3" t="s">
        <v>2086</v>
      </c>
    </row>
    <row r="194" spans="1:29" x14ac:dyDescent="0.3">
      <c r="A194" s="4" t="s">
        <v>1209</v>
      </c>
      <c r="B194" s="3" t="s">
        <v>263</v>
      </c>
      <c r="C194" s="2">
        <v>26215</v>
      </c>
      <c r="D194" s="2">
        <v>20</v>
      </c>
      <c r="F194" s="2">
        <v>38</v>
      </c>
      <c r="G194" s="2">
        <v>15</v>
      </c>
      <c r="H194" s="2">
        <v>0</v>
      </c>
      <c r="I194" s="2">
        <v>1</v>
      </c>
      <c r="J194" s="2">
        <v>0</v>
      </c>
      <c r="K194" s="2">
        <v>0</v>
      </c>
      <c r="L194" s="2">
        <v>10</v>
      </c>
      <c r="M194" s="2">
        <v>29</v>
      </c>
      <c r="N194" s="2">
        <v>0</v>
      </c>
      <c r="O194" s="2">
        <v>0</v>
      </c>
      <c r="P194" s="2">
        <v>6</v>
      </c>
      <c r="Q194" s="2">
        <v>0</v>
      </c>
      <c r="R194" s="238">
        <v>367</v>
      </c>
      <c r="S194" s="219">
        <f xml:space="preserve"> 12</f>
        <v>12</v>
      </c>
      <c r="T194" s="220">
        <f>SUM( tabConsumo[[#This Row],[QTD.PENDENTE]]:tabConsumo[[#This Row],[09_23]] ) / tabConsumo[[#This Row],[Div]]</f>
        <v>8.25</v>
      </c>
      <c r="U194" s="221">
        <f xml:space="preserve"> tabConsumo[[#This Row],[Média.A]] + (_xlfn.STDEV.S( tabConsumo[[#This Row],[QTD.PENDENTE]]:tabConsumo[[#This Row],[09_23]] ) * 1)</f>
        <v>21.149083829340888</v>
      </c>
      <c r="V194" s="221">
        <f xml:space="preserve"> tabConsumo[[#This Row],[Média.A]] + (_xlfn.STDEV.S( tabConsumo[[#This Row],[QTD.PENDENTE]]:tabConsumo[[#This Row],[09_23]] ) * 2)</f>
        <v>34.048167658681777</v>
      </c>
      <c r="W194" s="221">
        <f xml:space="preserve"> tabConsumo[[#This Row],[Média.A]] + (_xlfn.STDEV.S( tabConsumo[[#This Row],[QTD.PENDENTE]]:tabConsumo[[#This Row],[09_23]] ) * 3)</f>
        <v>46.947251488022673</v>
      </c>
      <c r="X194" s="5">
        <f t="shared" si="4"/>
        <v>2</v>
      </c>
      <c r="Y194">
        <v>7.916666666666667</v>
      </c>
      <c r="Z194" s="223">
        <f>SUM( tabConsumo[[#This Row],[QTD.PENDENTE]]:tabConsumo[[#This Row],[09_23]] )</f>
        <v>99</v>
      </c>
      <c r="AA194" s="223">
        <f>LARGE(tabConsumo[[#This Row],[10_22]:[09_23]],1)</f>
        <v>38</v>
      </c>
      <c r="AB194" s="146" t="s">
        <v>2241</v>
      </c>
      <c r="AC194" s="3" t="s">
        <v>2086</v>
      </c>
    </row>
    <row r="195" spans="1:29" x14ac:dyDescent="0.3">
      <c r="A195" s="4" t="s">
        <v>1422</v>
      </c>
      <c r="B195" s="3" t="s">
        <v>263</v>
      </c>
      <c r="C195" s="2">
        <v>76583</v>
      </c>
      <c r="D195" s="2">
        <v>190</v>
      </c>
      <c r="F195" s="2">
        <v>0</v>
      </c>
      <c r="G195" s="2">
        <v>10</v>
      </c>
      <c r="H195" s="2">
        <v>4</v>
      </c>
      <c r="I195" s="2">
        <v>37</v>
      </c>
      <c r="J195" s="2">
        <v>0</v>
      </c>
      <c r="K195" s="2">
        <v>0</v>
      </c>
      <c r="L195" s="2">
        <v>5</v>
      </c>
      <c r="M195" s="2">
        <v>13</v>
      </c>
      <c r="N195" s="2">
        <v>0</v>
      </c>
      <c r="O195" s="2">
        <v>0</v>
      </c>
      <c r="P195" s="2">
        <v>15</v>
      </c>
      <c r="Q195" s="2">
        <v>0</v>
      </c>
      <c r="R195" s="238">
        <v>37995</v>
      </c>
      <c r="S195" s="219">
        <v>12</v>
      </c>
      <c r="T195" s="220">
        <f>SUM( tabConsumo[[#This Row],[QTD.PENDENTE]]:tabConsumo[[#This Row],[09_23]] ) / tabConsumo[[#This Row],[Div]]</f>
        <v>7</v>
      </c>
      <c r="U195" s="221">
        <f xml:space="preserve"> tabConsumo[[#This Row],[Média.A]] + (_xlfn.STDEV.S( tabConsumo[[#This Row],[QTD.PENDENTE]]:tabConsumo[[#This Row],[09_23]] ) * 1)</f>
        <v>17.937840903778206</v>
      </c>
      <c r="V195" s="221">
        <f xml:space="preserve"> tabConsumo[[#This Row],[Média.A]] + (_xlfn.STDEV.S( tabConsumo[[#This Row],[QTD.PENDENTE]]:tabConsumo[[#This Row],[09_23]] ) * 2)</f>
        <v>28.875681807556411</v>
      </c>
      <c r="W195" s="221">
        <f xml:space="preserve"> tabConsumo[[#This Row],[Média.A]] + (_xlfn.STDEV.S( tabConsumo[[#This Row],[QTD.PENDENTE]]:tabConsumo[[#This Row],[09_23]] ) * 3)</f>
        <v>39.813522711334613</v>
      </c>
      <c r="X195" s="5">
        <f t="shared" ref="X195:X258" si="7" xml:space="preserve"> 2</f>
        <v>2</v>
      </c>
      <c r="Y195">
        <v>6.25</v>
      </c>
      <c r="Z195" s="223">
        <f>SUM( tabConsumo[[#This Row],[QTD.PENDENTE]]:tabConsumo[[#This Row],[09_23]] )</f>
        <v>84</v>
      </c>
      <c r="AA195" s="223">
        <f>LARGE(tabConsumo[[#This Row],[10_22]:[09_23]],1)</f>
        <v>37</v>
      </c>
      <c r="AB195" s="146" t="s">
        <v>2241</v>
      </c>
      <c r="AC195" s="3" t="s">
        <v>2086</v>
      </c>
    </row>
    <row r="196" spans="1:29" x14ac:dyDescent="0.3">
      <c r="A196" s="4" t="s">
        <v>1114</v>
      </c>
      <c r="B196" s="3" t="s">
        <v>263</v>
      </c>
      <c r="C196" s="2">
        <v>16363</v>
      </c>
      <c r="D196" s="2">
        <v>39</v>
      </c>
      <c r="F196" s="2">
        <v>41</v>
      </c>
      <c r="G196" s="2">
        <v>46</v>
      </c>
      <c r="H196" s="2">
        <v>0</v>
      </c>
      <c r="I196" s="2">
        <v>13</v>
      </c>
      <c r="J196" s="2">
        <v>20</v>
      </c>
      <c r="K196" s="2">
        <v>99</v>
      </c>
      <c r="L196" s="2">
        <v>94</v>
      </c>
      <c r="M196" s="2">
        <v>12</v>
      </c>
      <c r="N196" s="2">
        <v>80</v>
      </c>
      <c r="O196" s="2">
        <v>0</v>
      </c>
      <c r="P196" s="2">
        <v>73</v>
      </c>
      <c r="Q196" s="2">
        <v>23</v>
      </c>
      <c r="R196" s="238">
        <v>367</v>
      </c>
      <c r="S196" s="219">
        <f xml:space="preserve"> 12</f>
        <v>12</v>
      </c>
      <c r="T196" s="220">
        <f>SUM( tabConsumo[[#This Row],[QTD.PENDENTE]]:tabConsumo[[#This Row],[09_23]] ) / tabConsumo[[#This Row],[Div]]</f>
        <v>41.75</v>
      </c>
      <c r="U196" s="221">
        <f xml:space="preserve"> tabConsumo[[#This Row],[Média.A]] + (_xlfn.STDEV.S( tabConsumo[[#This Row],[QTD.PENDENTE]]:tabConsumo[[#This Row],[09_23]] ) * 1)</f>
        <v>78.042060238620195</v>
      </c>
      <c r="V196" s="221">
        <f xml:space="preserve"> tabConsumo[[#This Row],[Média.A]] + (_xlfn.STDEV.S( tabConsumo[[#This Row],[QTD.PENDENTE]]:tabConsumo[[#This Row],[09_23]] ) * 2)</f>
        <v>114.33412047724038</v>
      </c>
      <c r="W196" s="221">
        <f xml:space="preserve"> tabConsumo[[#This Row],[Média.A]] + (_xlfn.STDEV.S( tabConsumo[[#This Row],[QTD.PENDENTE]]:tabConsumo[[#This Row],[09_23]] ) * 3)</f>
        <v>150.62618071586056</v>
      </c>
      <c r="X196" s="5">
        <f t="shared" si="7"/>
        <v>2</v>
      </c>
      <c r="Y196">
        <v>41.75</v>
      </c>
      <c r="Z196" s="223">
        <f>SUM( tabConsumo[[#This Row],[QTD.PENDENTE]]:tabConsumo[[#This Row],[09_23]] )</f>
        <v>501</v>
      </c>
      <c r="AA196" s="223">
        <f>LARGE(tabConsumo[[#This Row],[10_22]:[09_23]],1)</f>
        <v>99</v>
      </c>
      <c r="AB196" s="146" t="s">
        <v>2238</v>
      </c>
      <c r="AC196" s="3" t="s">
        <v>2086</v>
      </c>
    </row>
    <row r="197" spans="1:29" x14ac:dyDescent="0.3">
      <c r="A197" s="4" t="s">
        <v>1116</v>
      </c>
      <c r="B197" s="3" t="s">
        <v>263</v>
      </c>
      <c r="C197" s="2">
        <v>16365</v>
      </c>
      <c r="D197" s="2">
        <v>509</v>
      </c>
      <c r="F197" s="2">
        <v>18</v>
      </c>
      <c r="G197" s="2">
        <v>30</v>
      </c>
      <c r="H197" s="2">
        <v>20</v>
      </c>
      <c r="I197" s="2">
        <v>0</v>
      </c>
      <c r="J197" s="2">
        <v>14</v>
      </c>
      <c r="K197" s="2">
        <v>9</v>
      </c>
      <c r="L197" s="2">
        <v>0</v>
      </c>
      <c r="M197" s="2">
        <v>0</v>
      </c>
      <c r="N197" s="2">
        <v>0</v>
      </c>
      <c r="O197" s="2">
        <v>0</v>
      </c>
      <c r="P197" s="2">
        <v>0</v>
      </c>
      <c r="Q197" s="2">
        <v>0</v>
      </c>
      <c r="R197" s="238">
        <v>367</v>
      </c>
      <c r="S197" s="219">
        <f xml:space="preserve"> 12</f>
        <v>12</v>
      </c>
      <c r="T197" s="220">
        <f>SUM( tabConsumo[[#This Row],[QTD.PENDENTE]]:tabConsumo[[#This Row],[09_23]] ) / tabConsumo[[#This Row],[Div]]</f>
        <v>7.583333333333333</v>
      </c>
      <c r="U197" s="221">
        <f xml:space="preserve"> tabConsumo[[#This Row],[Média.A]] + (_xlfn.STDEV.S( tabConsumo[[#This Row],[QTD.PENDENTE]]:tabConsumo[[#This Row],[09_23]] ) * 1)</f>
        <v>18.075393823691428</v>
      </c>
      <c r="V197" s="221">
        <f xml:space="preserve"> tabConsumo[[#This Row],[Média.A]] + (_xlfn.STDEV.S( tabConsumo[[#This Row],[QTD.PENDENTE]]:tabConsumo[[#This Row],[09_23]] ) * 2)</f>
        <v>28.56745431404952</v>
      </c>
      <c r="W197" s="221">
        <f xml:space="preserve"> tabConsumo[[#This Row],[Média.A]] + (_xlfn.STDEV.S( tabConsumo[[#This Row],[QTD.PENDENTE]]:tabConsumo[[#This Row],[09_23]] ) * 3)</f>
        <v>39.05951480440762</v>
      </c>
      <c r="X197" s="5">
        <f t="shared" si="7"/>
        <v>2</v>
      </c>
      <c r="Y197">
        <v>7.416666666666667</v>
      </c>
      <c r="Z197" s="223">
        <f>SUM( tabConsumo[[#This Row],[QTD.PENDENTE]]:tabConsumo[[#This Row],[09_23]] )</f>
        <v>91</v>
      </c>
      <c r="AA197" s="223">
        <f>LARGE(tabConsumo[[#This Row],[10_22]:[09_23]],1)</f>
        <v>30</v>
      </c>
      <c r="AB197" s="146" t="s">
        <v>2245</v>
      </c>
      <c r="AC197" s="3" t="s">
        <v>2086</v>
      </c>
    </row>
    <row r="198" spans="1:29" x14ac:dyDescent="0.3">
      <c r="A198" s="4" t="s">
        <v>1743</v>
      </c>
      <c r="B198" s="3" t="s">
        <v>727</v>
      </c>
      <c r="C198" s="2">
        <v>119621</v>
      </c>
      <c r="D198" s="2">
        <v>100</v>
      </c>
      <c r="F198" s="2">
        <v>20</v>
      </c>
      <c r="G198" s="2">
        <v>50</v>
      </c>
      <c r="H198" s="2">
        <v>25</v>
      </c>
      <c r="I198" s="2">
        <v>40</v>
      </c>
      <c r="J198" s="2">
        <v>0</v>
      </c>
      <c r="K198" s="2">
        <v>42</v>
      </c>
      <c r="L198" s="2">
        <v>42</v>
      </c>
      <c r="M198" s="2">
        <v>123</v>
      </c>
      <c r="N198" s="2">
        <v>0</v>
      </c>
      <c r="O198" s="2">
        <v>30</v>
      </c>
      <c r="P198" s="2">
        <v>198</v>
      </c>
      <c r="Q198" s="2">
        <v>0</v>
      </c>
      <c r="R198" s="238">
        <v>40641</v>
      </c>
      <c r="S198" s="219">
        <v>12</v>
      </c>
      <c r="T198" s="220">
        <f>SUM( tabConsumo[[#This Row],[QTD.PENDENTE]]:tabConsumo[[#This Row],[09_23]] ) / tabConsumo[[#This Row],[Div]]</f>
        <v>47.5</v>
      </c>
      <c r="U198" s="221">
        <f xml:space="preserve"> tabConsumo[[#This Row],[Média.A]] + (_xlfn.STDEV.S( tabConsumo[[#This Row],[QTD.PENDENTE]]:tabConsumo[[#This Row],[09_23]] ) * 1)</f>
        <v>105.34854834353706</v>
      </c>
      <c r="V198" s="221">
        <f xml:space="preserve"> tabConsumo[[#This Row],[Média.A]] + (_xlfn.STDEV.S( tabConsumo[[#This Row],[QTD.PENDENTE]]:tabConsumo[[#This Row],[09_23]] ) * 2)</f>
        <v>163.19709668707412</v>
      </c>
      <c r="W198" s="221">
        <f xml:space="preserve"> tabConsumo[[#This Row],[Média.A]] + (_xlfn.STDEV.S( tabConsumo[[#This Row],[QTD.PENDENTE]]:tabConsumo[[#This Row],[09_23]] ) * 3)</f>
        <v>221.04564503061121</v>
      </c>
      <c r="X198" s="5">
        <f t="shared" si="7"/>
        <v>2</v>
      </c>
      <c r="Y198">
        <v>44.583333333333336</v>
      </c>
      <c r="Z198" s="223">
        <f>SUM( tabConsumo[[#This Row],[QTD.PENDENTE]]:tabConsumo[[#This Row],[09_23]] )</f>
        <v>570</v>
      </c>
      <c r="AA198" s="223">
        <f>LARGE(tabConsumo[[#This Row],[10_22]:[09_23]],1)</f>
        <v>198</v>
      </c>
      <c r="AB198" s="146" t="s">
        <v>2241</v>
      </c>
      <c r="AC198" s="3" t="s">
        <v>2086</v>
      </c>
    </row>
    <row r="199" spans="1:29" x14ac:dyDescent="0.3">
      <c r="A199" s="4" t="s">
        <v>1740</v>
      </c>
      <c r="B199" s="3" t="s">
        <v>727</v>
      </c>
      <c r="C199" s="2">
        <v>119554</v>
      </c>
      <c r="D199" s="2">
        <v>146</v>
      </c>
      <c r="F199" s="2">
        <v>42</v>
      </c>
      <c r="G199" s="2">
        <v>0</v>
      </c>
      <c r="H199" s="2">
        <v>0</v>
      </c>
      <c r="I199" s="2">
        <v>0</v>
      </c>
      <c r="J199" s="2">
        <v>0</v>
      </c>
      <c r="K199" s="2">
        <v>0</v>
      </c>
      <c r="L199" s="2">
        <v>0</v>
      </c>
      <c r="M199" s="2">
        <v>42</v>
      </c>
      <c r="N199" s="2">
        <v>0</v>
      </c>
      <c r="O199" s="2">
        <v>42</v>
      </c>
      <c r="P199" s="2">
        <v>0</v>
      </c>
      <c r="Q199" s="2">
        <v>42</v>
      </c>
      <c r="R199" s="238">
        <v>40632</v>
      </c>
      <c r="S199" s="219">
        <v>12</v>
      </c>
      <c r="T199" s="220">
        <f>SUM( tabConsumo[[#This Row],[QTD.PENDENTE]]:tabConsumo[[#This Row],[09_23]] ) / tabConsumo[[#This Row],[Div]]</f>
        <v>14</v>
      </c>
      <c r="U199" s="221">
        <f xml:space="preserve"> tabConsumo[[#This Row],[Média.A]] + (_xlfn.STDEV.S( tabConsumo[[#This Row],[QTD.PENDENTE]]:tabConsumo[[#This Row],[09_23]] ) * 1)</f>
        <v>34.679370484527894</v>
      </c>
      <c r="V199" s="221">
        <f xml:space="preserve"> tabConsumo[[#This Row],[Média.A]] + (_xlfn.STDEV.S( tabConsumo[[#This Row],[QTD.PENDENTE]]:tabConsumo[[#This Row],[09_23]] ) * 2)</f>
        <v>55.358740969055795</v>
      </c>
      <c r="W199" s="221">
        <f xml:space="preserve"> tabConsumo[[#This Row],[Média.A]] + (_xlfn.STDEV.S( tabConsumo[[#This Row],[QTD.PENDENTE]]:tabConsumo[[#This Row],[09_23]] ) * 3)</f>
        <v>76.038111453583696</v>
      </c>
      <c r="X199" s="5">
        <f t="shared" si="7"/>
        <v>2</v>
      </c>
      <c r="Y199">
        <v>14</v>
      </c>
      <c r="Z199" s="223">
        <f>SUM( tabConsumo[[#This Row],[QTD.PENDENTE]]:tabConsumo[[#This Row],[09_23]] )</f>
        <v>168</v>
      </c>
      <c r="AA199" s="223">
        <f>LARGE(tabConsumo[[#This Row],[10_22]:[09_23]],1)</f>
        <v>42</v>
      </c>
      <c r="AB199" s="146" t="s">
        <v>2238</v>
      </c>
      <c r="AC199" s="3" t="s">
        <v>2086</v>
      </c>
    </row>
    <row r="200" spans="1:29" x14ac:dyDescent="0.3">
      <c r="A200" s="4" t="s">
        <v>1417</v>
      </c>
      <c r="B200" s="3" t="s">
        <v>727</v>
      </c>
      <c r="C200" s="2">
        <v>75334</v>
      </c>
      <c r="D200" s="2">
        <v>383</v>
      </c>
      <c r="F200" s="2">
        <v>42</v>
      </c>
      <c r="G200" s="2">
        <v>42</v>
      </c>
      <c r="H200" s="2">
        <v>0</v>
      </c>
      <c r="I200" s="2">
        <v>42</v>
      </c>
      <c r="J200" s="2">
        <v>0</v>
      </c>
      <c r="K200" s="2">
        <v>42</v>
      </c>
      <c r="L200" s="2">
        <v>0</v>
      </c>
      <c r="M200" s="2">
        <v>126</v>
      </c>
      <c r="N200" s="2">
        <v>42</v>
      </c>
      <c r="O200" s="2">
        <v>0</v>
      </c>
      <c r="P200" s="2">
        <v>42</v>
      </c>
      <c r="Q200" s="2">
        <v>42</v>
      </c>
      <c r="R200" s="238">
        <v>37879</v>
      </c>
      <c r="S200" s="219">
        <v>12</v>
      </c>
      <c r="T200" s="220">
        <f>SUM( tabConsumo[[#This Row],[QTD.PENDENTE]]:tabConsumo[[#This Row],[09_23]] ) / tabConsumo[[#This Row],[Div]]</f>
        <v>35</v>
      </c>
      <c r="U200" s="221">
        <f xml:space="preserve"> tabConsumo[[#This Row],[Média.A]] + (_xlfn.STDEV.S( tabConsumo[[#This Row],[QTD.PENDENTE]]:tabConsumo[[#This Row],[09_23]] ) * 1)</f>
        <v>70.063578617342316</v>
      </c>
      <c r="V200" s="221">
        <f xml:space="preserve"> tabConsumo[[#This Row],[Média.A]] + (_xlfn.STDEV.S( tabConsumo[[#This Row],[QTD.PENDENTE]]:tabConsumo[[#This Row],[09_23]] ) * 2)</f>
        <v>105.12715723468463</v>
      </c>
      <c r="W200" s="221">
        <f xml:space="preserve"> tabConsumo[[#This Row],[Média.A]] + (_xlfn.STDEV.S( tabConsumo[[#This Row],[QTD.PENDENTE]]:tabConsumo[[#This Row],[09_23]] ) * 3)</f>
        <v>140.19073585202693</v>
      </c>
      <c r="X200" s="5">
        <f t="shared" si="7"/>
        <v>2</v>
      </c>
      <c r="Y200">
        <v>33.25</v>
      </c>
      <c r="Z200" s="223">
        <f>SUM( tabConsumo[[#This Row],[QTD.PENDENTE]]:tabConsumo[[#This Row],[09_23]] )</f>
        <v>420</v>
      </c>
      <c r="AA200" s="223">
        <f>LARGE(tabConsumo[[#This Row],[10_22]:[09_23]],1)</f>
        <v>126</v>
      </c>
      <c r="AB200" s="146" t="s">
        <v>2238</v>
      </c>
      <c r="AC200" s="3" t="s">
        <v>2086</v>
      </c>
    </row>
    <row r="201" spans="1:29" x14ac:dyDescent="0.3">
      <c r="A201" s="4" t="s">
        <v>726</v>
      </c>
      <c r="B201" s="3" t="s">
        <v>727</v>
      </c>
      <c r="C201" s="2">
        <v>116771</v>
      </c>
      <c r="D201" s="2">
        <v>28</v>
      </c>
      <c r="F201" s="2">
        <v>0</v>
      </c>
      <c r="G201" s="2">
        <v>0</v>
      </c>
      <c r="H201" s="2">
        <v>2</v>
      </c>
      <c r="I201" s="2">
        <v>0</v>
      </c>
      <c r="J201" s="2">
        <v>0</v>
      </c>
      <c r="K201" s="2">
        <v>0</v>
      </c>
      <c r="L201" s="2">
        <v>0</v>
      </c>
      <c r="M201" s="2">
        <v>4</v>
      </c>
      <c r="N201" s="2">
        <v>0</v>
      </c>
      <c r="O201" s="2">
        <v>5</v>
      </c>
      <c r="P201" s="2">
        <v>0</v>
      </c>
      <c r="Q201" s="2">
        <v>0</v>
      </c>
      <c r="R201" s="238">
        <v>40396</v>
      </c>
      <c r="S201" s="219">
        <v>12</v>
      </c>
      <c r="T201" s="220">
        <f>SUM( tabConsumo[[#This Row],[QTD.PENDENTE]]:tabConsumo[[#This Row],[09_23]] ) / tabConsumo[[#This Row],[Div]]</f>
        <v>0.91666666666666663</v>
      </c>
      <c r="U201" s="221">
        <f xml:space="preserve"> tabConsumo[[#This Row],[Média.A]] + (_xlfn.STDEV.S( tabConsumo[[#This Row],[QTD.PENDENTE]]:tabConsumo[[#This Row],[09_23]] ) * 1)</f>
        <v>2.6983070412210894</v>
      </c>
      <c r="V201" s="221">
        <f xml:space="preserve"> tabConsumo[[#This Row],[Média.A]] + (_xlfn.STDEV.S( tabConsumo[[#This Row],[QTD.PENDENTE]]:tabConsumo[[#This Row],[09_23]] ) * 2)</f>
        <v>4.4799474157755119</v>
      </c>
      <c r="W201" s="221">
        <f xml:space="preserve"> tabConsumo[[#This Row],[Média.A]] + (_xlfn.STDEV.S( tabConsumo[[#This Row],[QTD.PENDENTE]]:tabConsumo[[#This Row],[09_23]] ) * 3)</f>
        <v>6.2615877903299353</v>
      </c>
      <c r="X201" s="5">
        <f t="shared" si="7"/>
        <v>2</v>
      </c>
      <c r="Y201">
        <v>0.83333333333333337</v>
      </c>
      <c r="Z201" s="223">
        <f>SUM( tabConsumo[[#This Row],[QTD.PENDENTE]]:tabConsumo[[#This Row],[09_23]] )</f>
        <v>11</v>
      </c>
      <c r="AA201" s="223">
        <f>LARGE(tabConsumo[[#This Row],[10_22]:[09_23]],1)</f>
        <v>5</v>
      </c>
      <c r="AB201" s="146" t="s">
        <v>2239</v>
      </c>
      <c r="AC201" s="3" t="s">
        <v>2086</v>
      </c>
    </row>
    <row r="202" spans="1:29" x14ac:dyDescent="0.3">
      <c r="A202" s="4" t="s">
        <v>1720</v>
      </c>
      <c r="B202" s="3" t="s">
        <v>31</v>
      </c>
      <c r="C202" s="2">
        <v>115807</v>
      </c>
      <c r="D202" s="2">
        <v>0</v>
      </c>
      <c r="F202" s="2">
        <v>40</v>
      </c>
      <c r="G202" s="2">
        <v>40</v>
      </c>
      <c r="H202" s="2">
        <v>0</v>
      </c>
      <c r="I202" s="2">
        <v>40</v>
      </c>
      <c r="J202" s="2">
        <v>40</v>
      </c>
      <c r="K202" s="2">
        <v>40</v>
      </c>
      <c r="L202" s="2">
        <v>40</v>
      </c>
      <c r="M202" s="2">
        <v>40</v>
      </c>
      <c r="N202" s="2">
        <v>0</v>
      </c>
      <c r="O202" s="2">
        <v>122</v>
      </c>
      <c r="P202" s="2">
        <v>0</v>
      </c>
      <c r="Q202" s="2">
        <v>0</v>
      </c>
      <c r="R202" s="238">
        <v>40352</v>
      </c>
      <c r="S202" s="219">
        <v>12</v>
      </c>
      <c r="T202" s="220">
        <f>SUM( tabConsumo[[#This Row],[QTD.PENDENTE]]:tabConsumo[[#This Row],[09_23]] ) / tabConsumo[[#This Row],[Div]]</f>
        <v>33.5</v>
      </c>
      <c r="U202" s="221">
        <f xml:space="preserve"> tabConsumo[[#This Row],[Média.A]] + (_xlfn.STDEV.S( tabConsumo[[#This Row],[QTD.PENDENTE]]:tabConsumo[[#This Row],[09_23]] ) * 1)</f>
        <v>67.367388443752191</v>
      </c>
      <c r="V202" s="221">
        <f xml:space="preserve"> tabConsumo[[#This Row],[Média.A]] + (_xlfn.STDEV.S( tabConsumo[[#This Row],[QTD.PENDENTE]]:tabConsumo[[#This Row],[09_23]] ) * 2)</f>
        <v>101.2347768875044</v>
      </c>
      <c r="W202" s="221">
        <f xml:space="preserve"> tabConsumo[[#This Row],[Média.A]] + (_xlfn.STDEV.S( tabConsumo[[#This Row],[QTD.PENDENTE]]:tabConsumo[[#This Row],[09_23]] ) * 3)</f>
        <v>135.1021653312566</v>
      </c>
      <c r="X202" s="5">
        <f t="shared" si="7"/>
        <v>2</v>
      </c>
      <c r="Y202">
        <v>31.75</v>
      </c>
      <c r="Z202" s="223">
        <f>SUM( tabConsumo[[#This Row],[QTD.PENDENTE]]:tabConsumo[[#This Row],[09_23]] )</f>
        <v>402</v>
      </c>
      <c r="AA202" s="223">
        <f>LARGE(tabConsumo[[#This Row],[10_22]:[09_23]],1)</f>
        <v>122</v>
      </c>
      <c r="AB202" s="146" t="s">
        <v>2239</v>
      </c>
      <c r="AC202" s="3" t="s">
        <v>2086</v>
      </c>
    </row>
    <row r="203" spans="1:29" x14ac:dyDescent="0.3">
      <c r="A203" s="4" t="s">
        <v>1416</v>
      </c>
      <c r="B203" s="3" t="s">
        <v>263</v>
      </c>
      <c r="C203" s="2">
        <v>75324</v>
      </c>
      <c r="D203" s="2">
        <v>127</v>
      </c>
      <c r="F203" s="2">
        <v>73</v>
      </c>
      <c r="G203" s="2">
        <v>0</v>
      </c>
      <c r="H203" s="2">
        <v>0</v>
      </c>
      <c r="I203" s="2">
        <v>193</v>
      </c>
      <c r="J203" s="2">
        <v>0</v>
      </c>
      <c r="K203" s="2">
        <v>0</v>
      </c>
      <c r="L203" s="2">
        <v>0</v>
      </c>
      <c r="M203" s="2">
        <v>73</v>
      </c>
      <c r="N203" s="2">
        <v>0</v>
      </c>
      <c r="O203" s="2">
        <v>0</v>
      </c>
      <c r="P203" s="2">
        <v>0</v>
      </c>
      <c r="Q203" s="2">
        <v>80</v>
      </c>
      <c r="R203" s="238">
        <v>37879</v>
      </c>
      <c r="S203" s="219">
        <v>12</v>
      </c>
      <c r="T203" s="220">
        <f>SUM( tabConsumo[[#This Row],[QTD.PENDENTE]]:tabConsumo[[#This Row],[09_23]] ) / tabConsumo[[#This Row],[Div]]</f>
        <v>34.916666666666664</v>
      </c>
      <c r="U203" s="221">
        <f xml:space="preserve"> tabConsumo[[#This Row],[Média.A]] + (_xlfn.STDEV.S( tabConsumo[[#This Row],[QTD.PENDENTE]]:tabConsumo[[#This Row],[09_23]] ) * 1)</f>
        <v>94.974908600995917</v>
      </c>
      <c r="V203" s="221">
        <f xml:space="preserve"> tabConsumo[[#This Row],[Média.A]] + (_xlfn.STDEV.S( tabConsumo[[#This Row],[QTD.PENDENTE]]:tabConsumo[[#This Row],[09_23]] ) * 2)</f>
        <v>155.03315053532515</v>
      </c>
      <c r="W203" s="221">
        <f xml:space="preserve"> tabConsumo[[#This Row],[Média.A]] + (_xlfn.STDEV.S( tabConsumo[[#This Row],[QTD.PENDENTE]]:tabConsumo[[#This Row],[09_23]] ) * 3)</f>
        <v>215.09139246965438</v>
      </c>
      <c r="X203" s="5">
        <f t="shared" si="7"/>
        <v>2</v>
      </c>
      <c r="Y203">
        <v>31.75</v>
      </c>
      <c r="Z203" s="223">
        <f>SUM( tabConsumo[[#This Row],[QTD.PENDENTE]]:tabConsumo[[#This Row],[09_23]] )</f>
        <v>419</v>
      </c>
      <c r="AA203" s="223">
        <f>LARGE(tabConsumo[[#This Row],[10_22]:[09_23]],1)</f>
        <v>193</v>
      </c>
      <c r="AB203" s="146" t="s">
        <v>2238</v>
      </c>
      <c r="AC203" s="3" t="s">
        <v>2086</v>
      </c>
    </row>
    <row r="204" spans="1:29" x14ac:dyDescent="0.3">
      <c r="A204" s="4" t="s">
        <v>1772</v>
      </c>
      <c r="B204" s="3" t="s">
        <v>727</v>
      </c>
      <c r="C204" s="2">
        <v>126044</v>
      </c>
      <c r="D204" s="2">
        <v>160</v>
      </c>
      <c r="F204" s="2">
        <v>0</v>
      </c>
      <c r="G204" s="2">
        <v>0</v>
      </c>
      <c r="H204" s="2">
        <v>8</v>
      </c>
      <c r="I204" s="2">
        <v>4</v>
      </c>
      <c r="J204" s="2">
        <v>0</v>
      </c>
      <c r="K204" s="2">
        <v>0</v>
      </c>
      <c r="L204" s="2">
        <v>0</v>
      </c>
      <c r="M204" s="2">
        <v>0</v>
      </c>
      <c r="N204" s="2">
        <v>10</v>
      </c>
      <c r="O204" s="2">
        <v>0</v>
      </c>
      <c r="P204" s="2">
        <v>17</v>
      </c>
      <c r="Q204" s="2">
        <v>0</v>
      </c>
      <c r="R204" s="238">
        <v>41508</v>
      </c>
      <c r="S204" s="219">
        <v>12</v>
      </c>
      <c r="T204" s="220">
        <f>SUM( tabConsumo[[#This Row],[QTD.PENDENTE]]:tabConsumo[[#This Row],[09_23]] ) / tabConsumo[[#This Row],[Div]]</f>
        <v>3.25</v>
      </c>
      <c r="U204" s="221">
        <f xml:space="preserve"> tabConsumo[[#This Row],[Média.A]] + (_xlfn.STDEV.S( tabConsumo[[#This Row],[QTD.PENDENTE]]:tabConsumo[[#This Row],[09_23]] ) * 1)</f>
        <v>8.8279598746886272</v>
      </c>
      <c r="V204" s="221">
        <f xml:space="preserve"> tabConsumo[[#This Row],[Média.A]] + (_xlfn.STDEV.S( tabConsumo[[#This Row],[QTD.PENDENTE]]:tabConsumo[[#This Row],[09_23]] ) * 2)</f>
        <v>14.405919749377254</v>
      </c>
      <c r="W204" s="221">
        <f xml:space="preserve"> tabConsumo[[#This Row],[Média.A]] + (_xlfn.STDEV.S( tabConsumo[[#This Row],[QTD.PENDENTE]]:tabConsumo[[#This Row],[09_23]] ) * 3)</f>
        <v>19.983879624065882</v>
      </c>
      <c r="X204" s="5">
        <f t="shared" si="7"/>
        <v>2</v>
      </c>
      <c r="Y204">
        <v>3</v>
      </c>
      <c r="Z204" s="223">
        <f>SUM( tabConsumo[[#This Row],[QTD.PENDENTE]]:tabConsumo[[#This Row],[09_23]] )</f>
        <v>39</v>
      </c>
      <c r="AA204" s="223">
        <f>LARGE(tabConsumo[[#This Row],[10_22]:[09_23]],1)</f>
        <v>17</v>
      </c>
      <c r="AB204" s="146" t="s">
        <v>2241</v>
      </c>
      <c r="AC204" s="3" t="s">
        <v>2086</v>
      </c>
    </row>
    <row r="205" spans="1:29" x14ac:dyDescent="0.3">
      <c r="A205" s="4" t="s">
        <v>1656</v>
      </c>
      <c r="B205" s="3" t="s">
        <v>31</v>
      </c>
      <c r="C205" s="2">
        <v>107889</v>
      </c>
      <c r="D205" s="2">
        <v>0</v>
      </c>
      <c r="E205" s="2">
        <v>19</v>
      </c>
      <c r="F205" s="2">
        <v>9</v>
      </c>
      <c r="G205" s="2">
        <v>57</v>
      </c>
      <c r="H205" s="2">
        <v>4</v>
      </c>
      <c r="I205" s="2">
        <v>19</v>
      </c>
      <c r="J205" s="2">
        <v>14</v>
      </c>
      <c r="K205" s="2">
        <v>46</v>
      </c>
      <c r="L205" s="2">
        <v>20</v>
      </c>
      <c r="M205" s="2">
        <v>0</v>
      </c>
      <c r="N205" s="2">
        <v>35</v>
      </c>
      <c r="O205" s="2">
        <v>4</v>
      </c>
      <c r="P205" s="2">
        <v>0</v>
      </c>
      <c r="Q205" s="2">
        <v>0</v>
      </c>
      <c r="R205" s="238">
        <v>39709</v>
      </c>
      <c r="S205" s="219">
        <v>12</v>
      </c>
      <c r="T205" s="220">
        <f>SUM( tabConsumo[[#This Row],[QTD.PENDENTE]]:tabConsumo[[#This Row],[09_23]] ) / tabConsumo[[#This Row],[Div]]</f>
        <v>18.916666666666668</v>
      </c>
      <c r="U205" s="221">
        <f xml:space="preserve"> tabConsumo[[#This Row],[Média.A]] + (_xlfn.STDEV.S( tabConsumo[[#This Row],[QTD.PENDENTE]]:tabConsumo[[#This Row],[09_23]] ) * 1)</f>
        <v>37.304232141806764</v>
      </c>
      <c r="V205" s="221">
        <f xml:space="preserve"> tabConsumo[[#This Row],[Média.A]] + (_xlfn.STDEV.S( tabConsumo[[#This Row],[QTD.PENDENTE]]:tabConsumo[[#This Row],[09_23]] ) * 2)</f>
        <v>55.691797616946857</v>
      </c>
      <c r="W205" s="221">
        <f xml:space="preserve"> tabConsumo[[#This Row],[Média.A]] + (_xlfn.STDEV.S( tabConsumo[[#This Row],[QTD.PENDENTE]]:tabConsumo[[#This Row],[09_23]] ) * 3)</f>
        <v>74.079363092086965</v>
      </c>
      <c r="X205" s="5">
        <f t="shared" si="7"/>
        <v>2</v>
      </c>
      <c r="Y205">
        <v>18.75</v>
      </c>
      <c r="Z205" s="223">
        <f>SUM( tabConsumo[[#This Row],[QTD.PENDENTE]]:tabConsumo[[#This Row],[09_23]] )</f>
        <v>227</v>
      </c>
      <c r="AA205" s="223">
        <f>LARGE(tabConsumo[[#This Row],[10_22]:[09_23]],1)</f>
        <v>57</v>
      </c>
      <c r="AB205" s="146" t="s">
        <v>2239</v>
      </c>
      <c r="AC205" s="3" t="s">
        <v>2086</v>
      </c>
    </row>
    <row r="206" spans="1:29" x14ac:dyDescent="0.3">
      <c r="A206" s="4" t="s">
        <v>1640</v>
      </c>
      <c r="B206" s="3" t="s">
        <v>263</v>
      </c>
      <c r="C206" s="2">
        <v>106546</v>
      </c>
      <c r="D206" s="2">
        <v>931</v>
      </c>
      <c r="F206" s="2">
        <v>95</v>
      </c>
      <c r="G206" s="2">
        <v>0</v>
      </c>
      <c r="H206" s="2">
        <v>20</v>
      </c>
      <c r="I206" s="2">
        <v>150</v>
      </c>
      <c r="J206" s="2">
        <v>32</v>
      </c>
      <c r="K206" s="2">
        <v>441</v>
      </c>
      <c r="L206" s="2">
        <v>0</v>
      </c>
      <c r="M206" s="2">
        <v>600</v>
      </c>
      <c r="N206" s="2">
        <v>0</v>
      </c>
      <c r="O206" s="2">
        <v>0</v>
      </c>
      <c r="P206" s="2">
        <v>0</v>
      </c>
      <c r="Q206" s="2">
        <v>500</v>
      </c>
      <c r="R206" s="238">
        <v>39589</v>
      </c>
      <c r="S206" s="219">
        <v>12</v>
      </c>
      <c r="T206" s="220">
        <f>SUM( tabConsumo[[#This Row],[QTD.PENDENTE]]:tabConsumo[[#This Row],[09_23]] ) / tabConsumo[[#This Row],[Div]]</f>
        <v>153.16666666666666</v>
      </c>
      <c r="U206" s="221">
        <f xml:space="preserve"> tabConsumo[[#This Row],[Média.A]] + (_xlfn.STDEV.S( tabConsumo[[#This Row],[QTD.PENDENTE]]:tabConsumo[[#This Row],[09_23]] ) * 1)</f>
        <v>377.97156524372713</v>
      </c>
      <c r="V206" s="221">
        <f xml:space="preserve"> tabConsumo[[#This Row],[Média.A]] + (_xlfn.STDEV.S( tabConsumo[[#This Row],[QTD.PENDENTE]]:tabConsumo[[#This Row],[09_23]] ) * 2)</f>
        <v>602.77646382078751</v>
      </c>
      <c r="W206" s="221">
        <f xml:space="preserve"> tabConsumo[[#This Row],[Média.A]] + (_xlfn.STDEV.S( tabConsumo[[#This Row],[QTD.PENDENTE]]:tabConsumo[[#This Row],[09_23]] ) * 3)</f>
        <v>827.58136239784801</v>
      </c>
      <c r="X206" s="5">
        <f t="shared" si="7"/>
        <v>2</v>
      </c>
      <c r="Y206">
        <v>153.16666666666666</v>
      </c>
      <c r="Z206" s="223">
        <f>SUM( tabConsumo[[#This Row],[QTD.PENDENTE]]:tabConsumo[[#This Row],[09_23]] )</f>
        <v>1838</v>
      </c>
      <c r="AA206" s="223">
        <f>LARGE(tabConsumo[[#This Row],[10_22]:[09_23]],1)</f>
        <v>600</v>
      </c>
      <c r="AB206" s="146" t="s">
        <v>2238</v>
      </c>
      <c r="AC206" s="3" t="s">
        <v>2086</v>
      </c>
    </row>
    <row r="207" spans="1:29" x14ac:dyDescent="0.3">
      <c r="A207" s="4" t="s">
        <v>1639</v>
      </c>
      <c r="B207" s="3" t="s">
        <v>263</v>
      </c>
      <c r="C207" s="2">
        <v>106544</v>
      </c>
      <c r="D207" s="2">
        <v>2000</v>
      </c>
      <c r="E207" s="2">
        <v>397</v>
      </c>
      <c r="F207" s="2">
        <v>80</v>
      </c>
      <c r="G207" s="2">
        <v>106</v>
      </c>
      <c r="H207" s="2">
        <v>500</v>
      </c>
      <c r="I207" s="2">
        <v>666</v>
      </c>
      <c r="J207" s="2">
        <v>45</v>
      </c>
      <c r="K207" s="2">
        <v>450</v>
      </c>
      <c r="L207" s="2">
        <v>0</v>
      </c>
      <c r="M207" s="2">
        <v>203</v>
      </c>
      <c r="N207" s="2">
        <v>0</v>
      </c>
      <c r="O207" s="2">
        <v>0</v>
      </c>
      <c r="P207" s="2">
        <v>0</v>
      </c>
      <c r="Q207" s="2">
        <v>0</v>
      </c>
      <c r="R207" s="238">
        <v>39589</v>
      </c>
      <c r="S207" s="219">
        <v>12</v>
      </c>
      <c r="T207" s="220">
        <f>SUM( tabConsumo[[#This Row],[QTD.PENDENTE]]:tabConsumo[[#This Row],[09_23]] ) / tabConsumo[[#This Row],[Div]]</f>
        <v>203.91666666666666</v>
      </c>
      <c r="U207" s="221">
        <f xml:space="preserve"> tabConsumo[[#This Row],[Média.A]] + (_xlfn.STDEV.S( tabConsumo[[#This Row],[QTD.PENDENTE]]:tabConsumo[[#This Row],[09_23]] ) * 1)</f>
        <v>437.35729218207615</v>
      </c>
      <c r="V207" s="221">
        <f xml:space="preserve"> tabConsumo[[#This Row],[Média.A]] + (_xlfn.STDEV.S( tabConsumo[[#This Row],[QTD.PENDENTE]]:tabConsumo[[#This Row],[09_23]] ) * 2)</f>
        <v>670.79791769748567</v>
      </c>
      <c r="W207" s="221">
        <f xml:space="preserve"> tabConsumo[[#This Row],[Média.A]] + (_xlfn.STDEV.S( tabConsumo[[#This Row],[QTD.PENDENTE]]:tabConsumo[[#This Row],[09_23]] ) * 3)</f>
        <v>904.23854321289514</v>
      </c>
      <c r="X207" s="5">
        <f t="shared" si="7"/>
        <v>2</v>
      </c>
      <c r="Y207">
        <v>203.91666666666666</v>
      </c>
      <c r="Z207" s="223">
        <f>SUM( tabConsumo[[#This Row],[QTD.PENDENTE]]:tabConsumo[[#This Row],[09_23]] )</f>
        <v>2447</v>
      </c>
      <c r="AA207" s="223">
        <f>LARGE(tabConsumo[[#This Row],[10_22]:[09_23]],1)</f>
        <v>666</v>
      </c>
      <c r="AB207" s="146" t="s">
        <v>2244</v>
      </c>
      <c r="AC207" s="3" t="s">
        <v>2086</v>
      </c>
    </row>
    <row r="208" spans="1:29" x14ac:dyDescent="0.3">
      <c r="A208" s="4" t="s">
        <v>1299</v>
      </c>
      <c r="B208" s="3" t="s">
        <v>263</v>
      </c>
      <c r="C208" s="2">
        <v>50797</v>
      </c>
      <c r="D208" s="2">
        <v>108</v>
      </c>
      <c r="F208" s="2">
        <v>7</v>
      </c>
      <c r="G208" s="2">
        <v>10</v>
      </c>
      <c r="H208" s="2">
        <v>3</v>
      </c>
      <c r="I208" s="2">
        <v>0</v>
      </c>
      <c r="J208" s="2">
        <v>61</v>
      </c>
      <c r="K208" s="2">
        <v>13</v>
      </c>
      <c r="L208" s="2">
        <v>35</v>
      </c>
      <c r="M208" s="2">
        <v>18</v>
      </c>
      <c r="N208" s="2">
        <v>43</v>
      </c>
      <c r="O208" s="2">
        <v>0</v>
      </c>
      <c r="P208" s="2">
        <v>20</v>
      </c>
      <c r="Q208" s="2">
        <v>0</v>
      </c>
      <c r="R208" s="238">
        <v>367</v>
      </c>
      <c r="S208" s="219">
        <f xml:space="preserve"> 12</f>
        <v>12</v>
      </c>
      <c r="T208" s="220">
        <f>SUM( tabConsumo[[#This Row],[QTD.PENDENTE]]:tabConsumo[[#This Row],[09_23]] ) / tabConsumo[[#This Row],[Div]]</f>
        <v>17.5</v>
      </c>
      <c r="U208" s="221">
        <f xml:space="preserve"> tabConsumo[[#This Row],[Média.A]] + (_xlfn.STDEV.S( tabConsumo[[#This Row],[QTD.PENDENTE]]:tabConsumo[[#This Row],[09_23]] ) * 1)</f>
        <v>36.972591460353144</v>
      </c>
      <c r="V208" s="221">
        <f xml:space="preserve"> tabConsumo[[#This Row],[Média.A]] + (_xlfn.STDEV.S( tabConsumo[[#This Row],[QTD.PENDENTE]]:tabConsumo[[#This Row],[09_23]] ) * 2)</f>
        <v>56.445182920706287</v>
      </c>
      <c r="W208" s="221">
        <f xml:space="preserve"> tabConsumo[[#This Row],[Média.A]] + (_xlfn.STDEV.S( tabConsumo[[#This Row],[QTD.PENDENTE]]:tabConsumo[[#This Row],[09_23]] ) * 3)</f>
        <v>75.917774381059431</v>
      </c>
      <c r="X208" s="5">
        <f t="shared" si="7"/>
        <v>2</v>
      </c>
      <c r="Y208">
        <v>17.083333333333332</v>
      </c>
      <c r="Z208" s="223">
        <f>SUM( tabConsumo[[#This Row],[QTD.PENDENTE]]:tabConsumo[[#This Row],[09_23]] )</f>
        <v>210</v>
      </c>
      <c r="AA208" s="223">
        <f>LARGE(tabConsumo[[#This Row],[10_22]:[09_23]],1)</f>
        <v>61</v>
      </c>
      <c r="AB208" s="146" t="s">
        <v>2241</v>
      </c>
      <c r="AC208" s="3" t="s">
        <v>2086</v>
      </c>
    </row>
    <row r="209" spans="1:29" x14ac:dyDescent="0.3">
      <c r="A209" s="4" t="s">
        <v>1574</v>
      </c>
      <c r="B209" s="3" t="s">
        <v>611</v>
      </c>
      <c r="C209" s="2">
        <v>100362</v>
      </c>
      <c r="D209" s="2">
        <v>2665</v>
      </c>
      <c r="E209" s="2">
        <v>137</v>
      </c>
      <c r="F209" s="2">
        <v>744</v>
      </c>
      <c r="G209" s="2">
        <v>259</v>
      </c>
      <c r="H209" s="2">
        <v>1091</v>
      </c>
      <c r="I209" s="2">
        <v>337</v>
      </c>
      <c r="J209" s="2">
        <v>0</v>
      </c>
      <c r="K209" s="2">
        <v>0</v>
      </c>
      <c r="L209" s="2">
        <v>0</v>
      </c>
      <c r="M209" s="2">
        <v>0</v>
      </c>
      <c r="N209" s="2">
        <v>0</v>
      </c>
      <c r="O209" s="2">
        <v>0</v>
      </c>
      <c r="P209" s="2">
        <v>645</v>
      </c>
      <c r="Q209" s="2">
        <v>585</v>
      </c>
      <c r="R209" s="238">
        <v>39258</v>
      </c>
      <c r="S209" s="219">
        <v>12</v>
      </c>
      <c r="T209" s="220">
        <f>SUM( tabConsumo[[#This Row],[QTD.PENDENTE]]:tabConsumo[[#This Row],[09_23]] ) / tabConsumo[[#This Row],[Div]]</f>
        <v>316.5</v>
      </c>
      <c r="U209" s="221">
        <f xml:space="preserve"> tabConsumo[[#This Row],[Média.A]] + (_xlfn.STDEV.S( tabConsumo[[#This Row],[QTD.PENDENTE]]:tabConsumo[[#This Row],[09_23]] ) * 1)</f>
        <v>680.72128030311603</v>
      </c>
      <c r="V209" s="221">
        <f xml:space="preserve"> tabConsumo[[#This Row],[Média.A]] + (_xlfn.STDEV.S( tabConsumo[[#This Row],[QTD.PENDENTE]]:tabConsumo[[#This Row],[09_23]] ) * 2)</f>
        <v>1044.9425606062321</v>
      </c>
      <c r="W209" s="221">
        <f xml:space="preserve"> tabConsumo[[#This Row],[Média.A]] + (_xlfn.STDEV.S( tabConsumo[[#This Row],[QTD.PENDENTE]]:tabConsumo[[#This Row],[09_23]] ) * 3)</f>
        <v>1409.163840909348</v>
      </c>
      <c r="X209" s="5">
        <f t="shared" si="7"/>
        <v>2</v>
      </c>
      <c r="Y209">
        <v>312.58333333333331</v>
      </c>
      <c r="Z209" s="223">
        <f>SUM( tabConsumo[[#This Row],[QTD.PENDENTE]]:tabConsumo[[#This Row],[09_23]] )</f>
        <v>3798</v>
      </c>
      <c r="AA209" s="223">
        <f>LARGE(tabConsumo[[#This Row],[10_22]:[09_23]],1)</f>
        <v>1091</v>
      </c>
      <c r="AB209" s="146" t="s">
        <v>2238</v>
      </c>
      <c r="AC209" s="3" t="s">
        <v>2086</v>
      </c>
    </row>
    <row r="210" spans="1:29" x14ac:dyDescent="0.3">
      <c r="A210" s="4" t="s">
        <v>1064</v>
      </c>
      <c r="B210" s="3" t="s">
        <v>611</v>
      </c>
      <c r="C210" s="2">
        <v>14662</v>
      </c>
      <c r="D210" s="2">
        <v>267</v>
      </c>
      <c r="E210" s="2">
        <v>146</v>
      </c>
      <c r="F210" s="2">
        <v>471</v>
      </c>
      <c r="G210" s="2">
        <v>485</v>
      </c>
      <c r="H210" s="2">
        <v>379</v>
      </c>
      <c r="I210" s="2">
        <v>374</v>
      </c>
      <c r="J210" s="2">
        <v>602</v>
      </c>
      <c r="K210" s="2">
        <v>500</v>
      </c>
      <c r="L210" s="2">
        <v>653</v>
      </c>
      <c r="M210" s="2">
        <v>539</v>
      </c>
      <c r="N210" s="2">
        <v>455</v>
      </c>
      <c r="O210" s="2">
        <v>386</v>
      </c>
      <c r="P210" s="2">
        <v>550</v>
      </c>
      <c r="Q210" s="2">
        <v>85</v>
      </c>
      <c r="R210" s="238">
        <v>367</v>
      </c>
      <c r="S210" s="219">
        <f xml:space="preserve"> 12</f>
        <v>12</v>
      </c>
      <c r="T210" s="220">
        <f>SUM( tabConsumo[[#This Row],[QTD.PENDENTE]]:tabConsumo[[#This Row],[09_23]] ) / tabConsumo[[#This Row],[Div]]</f>
        <v>468.75</v>
      </c>
      <c r="U210" s="221">
        <f xml:space="preserve"> tabConsumo[[#This Row],[Média.A]] + (_xlfn.STDEV.S( tabConsumo[[#This Row],[QTD.PENDENTE]]:tabConsumo[[#This Row],[09_23]] ) * 1)</f>
        <v>632.83452324710811</v>
      </c>
      <c r="V210" s="221">
        <f xml:space="preserve"> tabConsumo[[#This Row],[Média.A]] + (_xlfn.STDEV.S( tabConsumo[[#This Row],[QTD.PENDENTE]]:tabConsumo[[#This Row],[09_23]] ) * 2)</f>
        <v>796.91904649421622</v>
      </c>
      <c r="W210" s="221">
        <f xml:space="preserve"> tabConsumo[[#This Row],[Média.A]] + (_xlfn.STDEV.S( tabConsumo[[#This Row],[QTD.PENDENTE]]:tabConsumo[[#This Row],[09_23]] ) * 3)</f>
        <v>961.00356974132421</v>
      </c>
      <c r="X210" s="5">
        <f t="shared" si="7"/>
        <v>2</v>
      </c>
      <c r="Y210">
        <v>468.75</v>
      </c>
      <c r="Z210" s="223">
        <f>SUM( tabConsumo[[#This Row],[QTD.PENDENTE]]:tabConsumo[[#This Row],[09_23]] )</f>
        <v>5625</v>
      </c>
      <c r="AA210" s="223">
        <f>LARGE(tabConsumo[[#This Row],[10_22]:[09_23]],1)</f>
        <v>653</v>
      </c>
      <c r="AB210" s="146" t="s">
        <v>2238</v>
      </c>
      <c r="AC210" s="3" t="s">
        <v>2086</v>
      </c>
    </row>
    <row r="211" spans="1:29" x14ac:dyDescent="0.3">
      <c r="A211" s="4" t="s">
        <v>932</v>
      </c>
      <c r="B211" s="3" t="s">
        <v>269</v>
      </c>
      <c r="C211" s="2">
        <v>11109</v>
      </c>
      <c r="D211" s="2">
        <v>0</v>
      </c>
      <c r="E211" s="2">
        <v>490</v>
      </c>
      <c r="F211" s="2">
        <v>313</v>
      </c>
      <c r="G211" s="2">
        <v>362</v>
      </c>
      <c r="H211" s="2">
        <v>92</v>
      </c>
      <c r="I211" s="2">
        <v>49</v>
      </c>
      <c r="J211" s="2">
        <v>0</v>
      </c>
      <c r="K211" s="2">
        <v>22</v>
      </c>
      <c r="L211" s="2">
        <v>363</v>
      </c>
      <c r="M211" s="2">
        <v>462</v>
      </c>
      <c r="N211" s="2">
        <v>407</v>
      </c>
      <c r="O211" s="2">
        <v>357</v>
      </c>
      <c r="P211" s="2">
        <v>372</v>
      </c>
      <c r="Q211" s="2">
        <v>43</v>
      </c>
      <c r="R211" s="238">
        <v>367</v>
      </c>
      <c r="S211" s="219">
        <f xml:space="preserve"> 12</f>
        <v>12</v>
      </c>
      <c r="T211" s="220">
        <f>SUM( tabConsumo[[#This Row],[QTD.PENDENTE]]:tabConsumo[[#This Row],[09_23]] ) / tabConsumo[[#This Row],[Div]]</f>
        <v>277.66666666666669</v>
      </c>
      <c r="U211" s="221">
        <f xml:space="preserve"> tabConsumo[[#This Row],[Média.A]] + (_xlfn.STDEV.S( tabConsumo[[#This Row],[QTD.PENDENTE]]:tabConsumo[[#This Row],[09_23]] ) * 1)</f>
        <v>461.37585016755781</v>
      </c>
      <c r="V211" s="221">
        <f xml:space="preserve"> tabConsumo[[#This Row],[Média.A]] + (_xlfn.STDEV.S( tabConsumo[[#This Row],[QTD.PENDENTE]]:tabConsumo[[#This Row],[09_23]] ) * 2)</f>
        <v>645.085033668449</v>
      </c>
      <c r="W211" s="221">
        <f xml:space="preserve"> tabConsumo[[#This Row],[Média.A]] + (_xlfn.STDEV.S( tabConsumo[[#This Row],[QTD.PENDENTE]]:tabConsumo[[#This Row],[09_23]] ) * 3)</f>
        <v>828.79421716934007</v>
      </c>
      <c r="X211" s="5">
        <f t="shared" si="7"/>
        <v>2</v>
      </c>
      <c r="Y211">
        <v>277.66666666666669</v>
      </c>
      <c r="Z211" s="223">
        <f>SUM( tabConsumo[[#This Row],[QTD.PENDENTE]]:tabConsumo[[#This Row],[09_23]] )</f>
        <v>3332</v>
      </c>
      <c r="AA211" s="223">
        <f>LARGE(tabConsumo[[#This Row],[10_22]:[09_23]],1)</f>
        <v>462</v>
      </c>
      <c r="AB211" s="146" t="s">
        <v>2238</v>
      </c>
      <c r="AC211" s="3" t="s">
        <v>2086</v>
      </c>
    </row>
    <row r="212" spans="1:29" x14ac:dyDescent="0.3">
      <c r="A212" s="4" t="s">
        <v>1803</v>
      </c>
      <c r="B212" s="3" t="s">
        <v>269</v>
      </c>
      <c r="C212" s="2">
        <v>130024</v>
      </c>
      <c r="D212" s="2">
        <v>467</v>
      </c>
      <c r="E212" s="2">
        <v>15</v>
      </c>
      <c r="F212" s="2">
        <v>336</v>
      </c>
      <c r="G212" s="2">
        <v>343</v>
      </c>
      <c r="H212" s="2">
        <v>214</v>
      </c>
      <c r="I212" s="2">
        <v>105</v>
      </c>
      <c r="J212" s="2">
        <v>388</v>
      </c>
      <c r="K212" s="2">
        <v>469</v>
      </c>
      <c r="L212" s="2">
        <v>336</v>
      </c>
      <c r="M212" s="2">
        <v>379</v>
      </c>
      <c r="N212" s="2">
        <v>356</v>
      </c>
      <c r="O212" s="2">
        <v>346</v>
      </c>
      <c r="P212" s="2">
        <v>391</v>
      </c>
      <c r="Q212" s="2">
        <v>349</v>
      </c>
      <c r="R212" s="238">
        <v>42065</v>
      </c>
      <c r="S212" s="219">
        <v>12</v>
      </c>
      <c r="T212" s="220">
        <f>SUM( tabConsumo[[#This Row],[QTD.PENDENTE]]:tabConsumo[[#This Row],[09_23]] ) / tabConsumo[[#This Row],[Div]]</f>
        <v>335.58333333333331</v>
      </c>
      <c r="U212" s="221">
        <f xml:space="preserve"> tabConsumo[[#This Row],[Média.A]] + (_xlfn.STDEV.S( tabConsumo[[#This Row],[QTD.PENDENTE]]:tabConsumo[[#This Row],[09_23]] ) * 1)</f>
        <v>460.8584664378684</v>
      </c>
      <c r="V212" s="221">
        <f xml:space="preserve"> tabConsumo[[#This Row],[Média.A]] + (_xlfn.STDEV.S( tabConsumo[[#This Row],[QTD.PENDENTE]]:tabConsumo[[#This Row],[09_23]] ) * 2)</f>
        <v>586.13359954240343</v>
      </c>
      <c r="W212" s="221">
        <f xml:space="preserve"> tabConsumo[[#This Row],[Média.A]] + (_xlfn.STDEV.S( tabConsumo[[#This Row],[QTD.PENDENTE]]:tabConsumo[[#This Row],[09_23]] ) * 3)</f>
        <v>711.40873264693846</v>
      </c>
      <c r="X212" s="5">
        <f t="shared" si="7"/>
        <v>2</v>
      </c>
      <c r="Y212">
        <v>335.58333333333331</v>
      </c>
      <c r="Z212" s="223">
        <f>SUM( tabConsumo[[#This Row],[QTD.PENDENTE]]:tabConsumo[[#This Row],[09_23]] )</f>
        <v>4027</v>
      </c>
      <c r="AA212" s="223">
        <f>LARGE(tabConsumo[[#This Row],[10_22]:[09_23]],1)</f>
        <v>469</v>
      </c>
      <c r="AB212" s="146" t="s">
        <v>2238</v>
      </c>
      <c r="AC212" s="3" t="s">
        <v>2086</v>
      </c>
    </row>
    <row r="213" spans="1:29" x14ac:dyDescent="0.3">
      <c r="A213" s="4" t="s">
        <v>1843</v>
      </c>
      <c r="B213" s="3" t="s">
        <v>31</v>
      </c>
      <c r="C213" s="2">
        <v>132650</v>
      </c>
      <c r="D213" s="2">
        <v>0</v>
      </c>
      <c r="E213" s="2">
        <v>356</v>
      </c>
      <c r="F213" s="2">
        <v>124</v>
      </c>
      <c r="G213" s="2">
        <v>133</v>
      </c>
      <c r="H213" s="2">
        <v>87</v>
      </c>
      <c r="I213" s="2">
        <v>186</v>
      </c>
      <c r="J213" s="2">
        <v>150</v>
      </c>
      <c r="K213" s="2">
        <v>543</v>
      </c>
      <c r="L213" s="2">
        <v>45</v>
      </c>
      <c r="M213" s="2">
        <v>0</v>
      </c>
      <c r="N213" s="2">
        <v>73</v>
      </c>
      <c r="O213" s="2">
        <v>0</v>
      </c>
      <c r="P213" s="2">
        <v>0</v>
      </c>
      <c r="Q213" s="2">
        <v>0</v>
      </c>
      <c r="R213" s="238">
        <v>42860</v>
      </c>
      <c r="S213" s="219">
        <v>12</v>
      </c>
      <c r="T213" s="220">
        <f>SUM( tabConsumo[[#This Row],[QTD.PENDENTE]]:tabConsumo[[#This Row],[09_23]] ) / tabConsumo[[#This Row],[Div]]</f>
        <v>141.41666666666666</v>
      </c>
      <c r="U213" s="221">
        <f xml:space="preserve"> tabConsumo[[#This Row],[Média.A]] + (_xlfn.STDEV.S( tabConsumo[[#This Row],[QTD.PENDENTE]]:tabConsumo[[#This Row],[09_23]] ) * 1)</f>
        <v>300.88067273314311</v>
      </c>
      <c r="V213" s="221">
        <f xml:space="preserve"> tabConsumo[[#This Row],[Média.A]] + (_xlfn.STDEV.S( tabConsumo[[#This Row],[QTD.PENDENTE]]:tabConsumo[[#This Row],[09_23]] ) * 2)</f>
        <v>460.34467879961949</v>
      </c>
      <c r="W213" s="221">
        <f xml:space="preserve"> tabConsumo[[#This Row],[Média.A]] + (_xlfn.STDEV.S( tabConsumo[[#This Row],[QTD.PENDENTE]]:tabConsumo[[#This Row],[09_23]] ) * 3)</f>
        <v>619.80868486609597</v>
      </c>
      <c r="X213" s="5">
        <f t="shared" si="7"/>
        <v>2</v>
      </c>
      <c r="Y213">
        <v>134.5</v>
      </c>
      <c r="Z213" s="223">
        <f>SUM( tabConsumo[[#This Row],[QTD.PENDENTE]]:tabConsumo[[#This Row],[09_23]] )</f>
        <v>1697</v>
      </c>
      <c r="AA213" s="223">
        <f>LARGE(tabConsumo[[#This Row],[10_22]:[09_23]],1)</f>
        <v>543</v>
      </c>
      <c r="AB213" s="146" t="s">
        <v>2246</v>
      </c>
      <c r="AC213" s="3" t="s">
        <v>2086</v>
      </c>
    </row>
    <row r="214" spans="1:29" x14ac:dyDescent="0.3">
      <c r="A214" s="4" t="s">
        <v>1925</v>
      </c>
      <c r="B214" s="3" t="s">
        <v>31</v>
      </c>
      <c r="C214" s="2">
        <v>136408</v>
      </c>
      <c r="D214" s="2">
        <v>0</v>
      </c>
      <c r="E214" s="2">
        <v>1047</v>
      </c>
      <c r="F214" s="2">
        <v>1066</v>
      </c>
      <c r="G214" s="2">
        <v>1217</v>
      </c>
      <c r="H214" s="2">
        <v>753</v>
      </c>
      <c r="I214" s="2">
        <v>438</v>
      </c>
      <c r="J214" s="2">
        <v>636</v>
      </c>
      <c r="K214" s="2">
        <v>20690</v>
      </c>
      <c r="L214" s="2">
        <v>253</v>
      </c>
      <c r="M214" s="2">
        <v>0</v>
      </c>
      <c r="N214" s="2">
        <v>0</v>
      </c>
      <c r="O214" s="2">
        <v>504</v>
      </c>
      <c r="P214" s="2">
        <v>0</v>
      </c>
      <c r="Q214" s="2">
        <v>0</v>
      </c>
      <c r="R214" s="238">
        <v>43500</v>
      </c>
      <c r="S214" s="219">
        <v>12</v>
      </c>
      <c r="T214" s="220">
        <f>SUM( tabConsumo[[#This Row],[QTD.PENDENTE]]:tabConsumo[[#This Row],[09_23]] ) / tabConsumo[[#This Row],[Div]]</f>
        <v>2217</v>
      </c>
      <c r="U214" s="221">
        <f xml:space="preserve"> tabConsumo[[#This Row],[Média.A]] + (_xlfn.STDEV.S( tabConsumo[[#This Row],[QTD.PENDENTE]]:tabConsumo[[#This Row],[09_23]] ) * 1)</f>
        <v>7835.6227941163752</v>
      </c>
      <c r="V214" s="221">
        <f xml:space="preserve"> tabConsumo[[#This Row],[Média.A]] + (_xlfn.STDEV.S( tabConsumo[[#This Row],[QTD.PENDENTE]]:tabConsumo[[#This Row],[09_23]] ) * 2)</f>
        <v>13454.24558823275</v>
      </c>
      <c r="W214" s="221">
        <f xml:space="preserve"> tabConsumo[[#This Row],[Média.A]] + (_xlfn.STDEV.S( tabConsumo[[#This Row],[QTD.PENDENTE]]:tabConsumo[[#This Row],[09_23]] ) * 3)</f>
        <v>19072.868382349126</v>
      </c>
      <c r="X214" s="5">
        <f t="shared" si="7"/>
        <v>2</v>
      </c>
      <c r="Y214">
        <v>1614</v>
      </c>
      <c r="Z214" s="223">
        <f>SUM( tabConsumo[[#This Row],[QTD.PENDENTE]]:tabConsumo[[#This Row],[09_23]] )</f>
        <v>26604</v>
      </c>
      <c r="AA214" s="223">
        <f>LARGE(tabConsumo[[#This Row],[10_22]:[09_23]],1)</f>
        <v>20690</v>
      </c>
      <c r="AB214" s="146" t="s">
        <v>2239</v>
      </c>
      <c r="AC214" s="3" t="s">
        <v>2086</v>
      </c>
    </row>
    <row r="215" spans="1:29" x14ac:dyDescent="0.3">
      <c r="A215" s="4" t="s">
        <v>1366</v>
      </c>
      <c r="B215" s="3" t="s">
        <v>301</v>
      </c>
      <c r="C215" s="2">
        <v>63839</v>
      </c>
      <c r="D215" s="2">
        <v>100</v>
      </c>
      <c r="F215" s="2">
        <v>27</v>
      </c>
      <c r="G215" s="2">
        <v>12</v>
      </c>
      <c r="H215" s="2">
        <v>16</v>
      </c>
      <c r="I215" s="2">
        <v>84</v>
      </c>
      <c r="J215" s="2">
        <v>2</v>
      </c>
      <c r="K215" s="2">
        <v>2</v>
      </c>
      <c r="L215" s="2">
        <v>21</v>
      </c>
      <c r="M215" s="2">
        <v>65</v>
      </c>
      <c r="N215" s="2">
        <v>0</v>
      </c>
      <c r="O215" s="2">
        <v>0</v>
      </c>
      <c r="P215" s="2">
        <v>0</v>
      </c>
      <c r="Q215" s="2">
        <v>0</v>
      </c>
      <c r="R215" s="238">
        <v>367</v>
      </c>
      <c r="S215" s="219">
        <f xml:space="preserve"> 12</f>
        <v>12</v>
      </c>
      <c r="T215" s="220">
        <f>SUM( tabConsumo[[#This Row],[QTD.PENDENTE]]:tabConsumo[[#This Row],[09_23]] ) / tabConsumo[[#This Row],[Div]]</f>
        <v>19.083333333333332</v>
      </c>
      <c r="U215" s="221">
        <f xml:space="preserve"> tabConsumo[[#This Row],[Média.A]] + (_xlfn.STDEV.S( tabConsumo[[#This Row],[QTD.PENDENTE]]:tabConsumo[[#This Row],[09_23]] ) * 1)</f>
        <v>46.863176690877609</v>
      </c>
      <c r="V215" s="221">
        <f xml:space="preserve"> tabConsumo[[#This Row],[Média.A]] + (_xlfn.STDEV.S( tabConsumo[[#This Row],[QTD.PENDENTE]]:tabConsumo[[#This Row],[09_23]] ) * 2)</f>
        <v>74.643020048421889</v>
      </c>
      <c r="W215" s="221">
        <f xml:space="preserve"> tabConsumo[[#This Row],[Média.A]] + (_xlfn.STDEV.S( tabConsumo[[#This Row],[QTD.PENDENTE]]:tabConsumo[[#This Row],[09_23]] ) * 3)</f>
        <v>102.42286340596617</v>
      </c>
      <c r="X215" s="5">
        <f t="shared" si="7"/>
        <v>2</v>
      </c>
      <c r="Y215">
        <v>18.25</v>
      </c>
      <c r="Z215" s="223">
        <f>SUM( tabConsumo[[#This Row],[QTD.PENDENTE]]:tabConsumo[[#This Row],[09_23]] )</f>
        <v>229</v>
      </c>
      <c r="AA215" s="223">
        <f>LARGE(tabConsumo[[#This Row],[10_22]:[09_23]],1)</f>
        <v>84</v>
      </c>
      <c r="AB215" s="146" t="s">
        <v>2244</v>
      </c>
      <c r="AC215" s="3" t="s">
        <v>2086</v>
      </c>
    </row>
    <row r="216" spans="1:29" x14ac:dyDescent="0.3">
      <c r="A216" s="4" t="s">
        <v>1023</v>
      </c>
      <c r="B216" s="3" t="s">
        <v>335</v>
      </c>
      <c r="C216" s="2">
        <v>13186</v>
      </c>
      <c r="D216" s="2">
        <v>66</v>
      </c>
      <c r="E216" s="2">
        <v>21</v>
      </c>
      <c r="F216" s="2">
        <v>0</v>
      </c>
      <c r="G216" s="2">
        <v>10</v>
      </c>
      <c r="H216" s="2">
        <v>22</v>
      </c>
      <c r="I216" s="2">
        <v>10</v>
      </c>
      <c r="J216" s="2">
        <v>0</v>
      </c>
      <c r="K216" s="2">
        <v>0</v>
      </c>
      <c r="L216" s="2">
        <v>0</v>
      </c>
      <c r="M216" s="2">
        <v>0</v>
      </c>
      <c r="N216" s="2">
        <v>0</v>
      </c>
      <c r="O216" s="2">
        <v>0</v>
      </c>
      <c r="P216" s="2">
        <v>0</v>
      </c>
      <c r="Q216" s="2">
        <v>0</v>
      </c>
      <c r="R216" s="238">
        <v>367</v>
      </c>
      <c r="S216" s="219">
        <f xml:space="preserve"> 12</f>
        <v>12</v>
      </c>
      <c r="T216" s="220">
        <f>SUM( tabConsumo[[#This Row],[QTD.PENDENTE]]:tabConsumo[[#This Row],[09_23]] ) / tabConsumo[[#This Row],[Div]]</f>
        <v>5.25</v>
      </c>
      <c r="U216" s="221">
        <f xml:space="preserve"> tabConsumo[[#This Row],[Média.A]] + (_xlfn.STDEV.S( tabConsumo[[#This Row],[QTD.PENDENTE]]:tabConsumo[[#This Row],[09_23]] ) * 1)</f>
        <v>13.514846780654334</v>
      </c>
      <c r="V216" s="221">
        <f xml:space="preserve"> tabConsumo[[#This Row],[Média.A]] + (_xlfn.STDEV.S( tabConsumo[[#This Row],[QTD.PENDENTE]]:tabConsumo[[#This Row],[09_23]] ) * 2)</f>
        <v>21.779693561308669</v>
      </c>
      <c r="W216" s="221">
        <f xml:space="preserve"> tabConsumo[[#This Row],[Média.A]] + (_xlfn.STDEV.S( tabConsumo[[#This Row],[QTD.PENDENTE]]:tabConsumo[[#This Row],[09_23]] ) * 3)</f>
        <v>30.044540341963003</v>
      </c>
      <c r="X216" s="5">
        <f t="shared" si="7"/>
        <v>2</v>
      </c>
      <c r="Y216">
        <v>5.166666666666667</v>
      </c>
      <c r="Z216" s="223">
        <f>SUM( tabConsumo[[#This Row],[QTD.PENDENTE]]:tabConsumo[[#This Row],[09_23]] )</f>
        <v>63</v>
      </c>
      <c r="AA216" s="223">
        <f>LARGE(tabConsumo[[#This Row],[10_22]:[09_23]],1)</f>
        <v>22</v>
      </c>
      <c r="AB216" s="146" t="s">
        <v>2247</v>
      </c>
      <c r="AC216" s="3" t="s">
        <v>2086</v>
      </c>
    </row>
    <row r="217" spans="1:29" x14ac:dyDescent="0.3">
      <c r="A217" s="4" t="s">
        <v>992</v>
      </c>
      <c r="B217" s="3" t="s">
        <v>290</v>
      </c>
      <c r="C217" s="2">
        <v>13063</v>
      </c>
      <c r="D217" s="2">
        <v>1243</v>
      </c>
      <c r="F217" s="2">
        <v>42</v>
      </c>
      <c r="G217" s="2">
        <v>72</v>
      </c>
      <c r="H217" s="2">
        <v>80</v>
      </c>
      <c r="I217" s="2">
        <v>51</v>
      </c>
      <c r="J217" s="2">
        <v>27</v>
      </c>
      <c r="K217" s="2">
        <v>79</v>
      </c>
      <c r="L217" s="2">
        <v>53</v>
      </c>
      <c r="M217" s="2">
        <v>80</v>
      </c>
      <c r="N217" s="2">
        <v>0</v>
      </c>
      <c r="O217" s="2">
        <v>33</v>
      </c>
      <c r="P217" s="2">
        <v>80</v>
      </c>
      <c r="Q217" s="2">
        <v>30</v>
      </c>
      <c r="R217" s="238">
        <v>367</v>
      </c>
      <c r="S217" s="219">
        <f xml:space="preserve"> 12</f>
        <v>12</v>
      </c>
      <c r="T217" s="220">
        <f>SUM( tabConsumo[[#This Row],[QTD.PENDENTE]]:tabConsumo[[#This Row],[09_23]] ) / tabConsumo[[#This Row],[Div]]</f>
        <v>52.25</v>
      </c>
      <c r="U217" s="221">
        <f xml:space="preserve"> tabConsumo[[#This Row],[Média.A]] + (_xlfn.STDEV.S( tabConsumo[[#This Row],[QTD.PENDENTE]]:tabConsumo[[#This Row],[09_23]] ) * 1)</f>
        <v>78.803975905005942</v>
      </c>
      <c r="V217" s="221">
        <f xml:space="preserve"> tabConsumo[[#This Row],[Média.A]] + (_xlfn.STDEV.S( tabConsumo[[#This Row],[QTD.PENDENTE]]:tabConsumo[[#This Row],[09_23]] ) * 2)</f>
        <v>105.35795181001188</v>
      </c>
      <c r="W217" s="221">
        <f xml:space="preserve"> tabConsumo[[#This Row],[Média.A]] + (_xlfn.STDEV.S( tabConsumo[[#This Row],[QTD.PENDENTE]]:tabConsumo[[#This Row],[09_23]] ) * 3)</f>
        <v>131.91192771501784</v>
      </c>
      <c r="X217" s="5">
        <f t="shared" si="7"/>
        <v>2</v>
      </c>
      <c r="Y217">
        <v>52.25</v>
      </c>
      <c r="Z217" s="223">
        <f>SUM( tabConsumo[[#This Row],[QTD.PENDENTE]]:tabConsumo[[#This Row],[09_23]] )</f>
        <v>627</v>
      </c>
      <c r="AA217" s="223">
        <f>LARGE(tabConsumo[[#This Row],[10_22]:[09_23]],1)</f>
        <v>80</v>
      </c>
      <c r="AB217" s="146" t="s">
        <v>2238</v>
      </c>
      <c r="AC217" s="3" t="s">
        <v>2086</v>
      </c>
    </row>
    <row r="218" spans="1:29" x14ac:dyDescent="0.3">
      <c r="A218" s="4" t="s">
        <v>268</v>
      </c>
      <c r="B218" s="3" t="s">
        <v>269</v>
      </c>
      <c r="C218" s="2">
        <v>11287</v>
      </c>
      <c r="D218" s="2">
        <v>0</v>
      </c>
      <c r="E218" s="2">
        <v>1</v>
      </c>
      <c r="F218" s="2">
        <v>0</v>
      </c>
      <c r="G218" s="2">
        <v>0</v>
      </c>
      <c r="H218" s="2">
        <v>0</v>
      </c>
      <c r="I218" s="2">
        <v>0</v>
      </c>
      <c r="J218" s="2">
        <v>0</v>
      </c>
      <c r="K218" s="2">
        <v>0</v>
      </c>
      <c r="L218" s="2">
        <v>0</v>
      </c>
      <c r="M218" s="2">
        <v>0</v>
      </c>
      <c r="N218" s="2">
        <v>0</v>
      </c>
      <c r="O218" s="2">
        <v>0</v>
      </c>
      <c r="P218" s="2">
        <v>0</v>
      </c>
      <c r="Q218" s="2">
        <v>0</v>
      </c>
      <c r="R218" s="238">
        <v>367</v>
      </c>
      <c r="S218" s="219">
        <f xml:space="preserve"> 12</f>
        <v>12</v>
      </c>
      <c r="T218" s="220">
        <f>SUM( tabConsumo[[#This Row],[QTD.PENDENTE]]:tabConsumo[[#This Row],[09_23]] ) / tabConsumo[[#This Row],[Div]]</f>
        <v>8.3333333333333329E-2</v>
      </c>
      <c r="U218" s="221">
        <f xml:space="preserve"> tabConsumo[[#This Row],[Média.A]] + (_xlfn.STDEV.S( tabConsumo[[#This Row],[QTD.PENDENTE]]:tabConsumo[[#This Row],[09_23]] ) * 1)</f>
        <v>0.36068343144594789</v>
      </c>
      <c r="V218" s="221">
        <f xml:space="preserve"> tabConsumo[[#This Row],[Média.A]] + (_xlfn.STDEV.S( tabConsumo[[#This Row],[QTD.PENDENTE]]:tabConsumo[[#This Row],[09_23]] ) * 2)</f>
        <v>0.63803352955856252</v>
      </c>
      <c r="W218" s="221">
        <f xml:space="preserve"> tabConsumo[[#This Row],[Média.A]] + (_xlfn.STDEV.S( tabConsumo[[#This Row],[QTD.PENDENTE]]:tabConsumo[[#This Row],[09_23]] ) * 3)</f>
        <v>0.91538362767117709</v>
      </c>
      <c r="X218" s="5">
        <f t="shared" si="7"/>
        <v>2</v>
      </c>
      <c r="Y218">
        <v>8.3333333333333329E-2</v>
      </c>
      <c r="Z218" s="223">
        <f>SUM( tabConsumo[[#This Row],[QTD.PENDENTE]]:tabConsumo[[#This Row],[09_23]] )</f>
        <v>1</v>
      </c>
      <c r="AA218" s="223">
        <f>LARGE(tabConsumo[[#This Row],[10_22]:[09_23]],1)</f>
        <v>0</v>
      </c>
      <c r="AB218" s="146" t="s">
        <v>2238</v>
      </c>
      <c r="AC218" s="3" t="s">
        <v>2086</v>
      </c>
    </row>
    <row r="219" spans="1:29" x14ac:dyDescent="0.3">
      <c r="A219" s="4" t="s">
        <v>1638</v>
      </c>
      <c r="B219" s="3" t="s">
        <v>263</v>
      </c>
      <c r="C219" s="2">
        <v>106414</v>
      </c>
      <c r="D219" s="2">
        <v>1912</v>
      </c>
      <c r="F219" s="2">
        <v>356</v>
      </c>
      <c r="G219" s="2">
        <v>220</v>
      </c>
      <c r="H219" s="2">
        <v>550</v>
      </c>
      <c r="I219" s="2">
        <v>618</v>
      </c>
      <c r="J219" s="2">
        <v>280</v>
      </c>
      <c r="K219" s="2">
        <v>393</v>
      </c>
      <c r="L219" s="2">
        <v>280</v>
      </c>
      <c r="M219" s="2">
        <v>190</v>
      </c>
      <c r="N219" s="2">
        <v>520</v>
      </c>
      <c r="O219" s="2">
        <v>220</v>
      </c>
      <c r="P219" s="2">
        <v>500</v>
      </c>
      <c r="Q219" s="2">
        <v>400</v>
      </c>
      <c r="R219" s="238">
        <v>39581</v>
      </c>
      <c r="S219" s="219">
        <v>12</v>
      </c>
      <c r="T219" s="220">
        <f>SUM( tabConsumo[[#This Row],[QTD.PENDENTE]]:tabConsumo[[#This Row],[09_23]] ) / tabConsumo[[#This Row],[Div]]</f>
        <v>377.25</v>
      </c>
      <c r="U219" s="221">
        <f xml:space="preserve"> tabConsumo[[#This Row],[Média.A]] + (_xlfn.STDEV.S( tabConsumo[[#This Row],[QTD.PENDENTE]]:tabConsumo[[#This Row],[09_23]] ) * 1)</f>
        <v>521.18756537913487</v>
      </c>
      <c r="V219" s="221">
        <f xml:space="preserve"> tabConsumo[[#This Row],[Média.A]] + (_xlfn.STDEV.S( tabConsumo[[#This Row],[QTD.PENDENTE]]:tabConsumo[[#This Row],[09_23]] ) * 2)</f>
        <v>665.12513075826973</v>
      </c>
      <c r="W219" s="221">
        <f xml:space="preserve"> tabConsumo[[#This Row],[Média.A]] + (_xlfn.STDEV.S( tabConsumo[[#This Row],[QTD.PENDENTE]]:tabConsumo[[#This Row],[09_23]] ) * 3)</f>
        <v>809.0626961374046</v>
      </c>
      <c r="X219" s="5">
        <f t="shared" si="7"/>
        <v>2</v>
      </c>
      <c r="Y219">
        <v>377.25</v>
      </c>
      <c r="Z219" s="223">
        <f>SUM( tabConsumo[[#This Row],[QTD.PENDENTE]]:tabConsumo[[#This Row],[09_23]] )</f>
        <v>4527</v>
      </c>
      <c r="AA219" s="223">
        <f>LARGE(tabConsumo[[#This Row],[10_22]:[09_23]],1)</f>
        <v>618</v>
      </c>
      <c r="AB219" s="146" t="s">
        <v>2238</v>
      </c>
      <c r="AC219" s="3" t="s">
        <v>2086</v>
      </c>
    </row>
    <row r="220" spans="1:29" x14ac:dyDescent="0.3">
      <c r="A220" s="4" t="s">
        <v>1637</v>
      </c>
      <c r="B220" s="3" t="s">
        <v>263</v>
      </c>
      <c r="C220" s="2">
        <v>106408</v>
      </c>
      <c r="D220" s="2">
        <v>54</v>
      </c>
      <c r="F220" s="2">
        <v>0</v>
      </c>
      <c r="G220" s="2">
        <v>6</v>
      </c>
      <c r="H220" s="2">
        <v>10</v>
      </c>
      <c r="I220" s="2">
        <v>59</v>
      </c>
      <c r="J220" s="2">
        <v>26</v>
      </c>
      <c r="K220" s="2">
        <v>0</v>
      </c>
      <c r="L220" s="2">
        <v>0</v>
      </c>
      <c r="M220" s="2">
        <v>0</v>
      </c>
      <c r="N220" s="2">
        <v>6</v>
      </c>
      <c r="O220" s="2">
        <v>4</v>
      </c>
      <c r="P220" s="2">
        <v>0</v>
      </c>
      <c r="Q220" s="2">
        <v>0</v>
      </c>
      <c r="R220" s="238">
        <v>39581</v>
      </c>
      <c r="S220" s="219">
        <v>12</v>
      </c>
      <c r="T220" s="220">
        <f>SUM( tabConsumo[[#This Row],[QTD.PENDENTE]]:tabConsumo[[#This Row],[09_23]] ) / tabConsumo[[#This Row],[Div]]</f>
        <v>9.25</v>
      </c>
      <c r="U220" s="221">
        <f xml:space="preserve"> tabConsumo[[#This Row],[Média.A]] + (_xlfn.STDEV.S( tabConsumo[[#This Row],[QTD.PENDENTE]]:tabConsumo[[#This Row],[09_23]] ) * 1)</f>
        <v>26.618335870459521</v>
      </c>
      <c r="V220" s="221">
        <f xml:space="preserve"> tabConsumo[[#This Row],[Média.A]] + (_xlfn.STDEV.S( tabConsumo[[#This Row],[QTD.PENDENTE]]:tabConsumo[[#This Row],[09_23]] ) * 2)</f>
        <v>43.986671740919043</v>
      </c>
      <c r="W220" s="221">
        <f xml:space="preserve"> tabConsumo[[#This Row],[Média.A]] + (_xlfn.STDEV.S( tabConsumo[[#This Row],[QTD.PENDENTE]]:tabConsumo[[#This Row],[09_23]] ) * 3)</f>
        <v>61.355007611378568</v>
      </c>
      <c r="X220" s="5">
        <f t="shared" si="7"/>
        <v>2</v>
      </c>
      <c r="Y220">
        <v>7.916666666666667</v>
      </c>
      <c r="Z220" s="223">
        <f>SUM( tabConsumo[[#This Row],[QTD.PENDENTE]]:tabConsumo[[#This Row],[09_23]] )</f>
        <v>111</v>
      </c>
      <c r="AA220" s="223">
        <f>LARGE(tabConsumo[[#This Row],[10_22]:[09_23]],1)</f>
        <v>59</v>
      </c>
      <c r="AB220" s="146" t="s">
        <v>2239</v>
      </c>
      <c r="AC220" s="3" t="s">
        <v>2086</v>
      </c>
    </row>
    <row r="221" spans="1:29" x14ac:dyDescent="0.3">
      <c r="A221" s="4" t="s">
        <v>1797</v>
      </c>
      <c r="B221" s="3" t="s">
        <v>31</v>
      </c>
      <c r="C221" s="2">
        <v>128819</v>
      </c>
      <c r="D221" s="2">
        <v>251</v>
      </c>
      <c r="F221" s="2">
        <v>0</v>
      </c>
      <c r="G221" s="2">
        <v>6</v>
      </c>
      <c r="H221" s="2">
        <v>20</v>
      </c>
      <c r="I221" s="2">
        <v>110</v>
      </c>
      <c r="J221" s="2">
        <v>36</v>
      </c>
      <c r="K221" s="2">
        <v>0</v>
      </c>
      <c r="L221" s="2">
        <v>0</v>
      </c>
      <c r="M221" s="2">
        <v>0</v>
      </c>
      <c r="N221" s="2">
        <v>10</v>
      </c>
      <c r="O221" s="2">
        <v>10</v>
      </c>
      <c r="P221" s="2">
        <v>0</v>
      </c>
      <c r="Q221" s="2">
        <v>0</v>
      </c>
      <c r="R221" s="238">
        <v>41926</v>
      </c>
      <c r="S221" s="219">
        <v>12</v>
      </c>
      <c r="T221" s="220">
        <f>SUM( tabConsumo[[#This Row],[QTD.PENDENTE]]:tabConsumo[[#This Row],[09_23]] ) / tabConsumo[[#This Row],[Div]]</f>
        <v>16</v>
      </c>
      <c r="U221" s="221">
        <f xml:space="preserve"> tabConsumo[[#This Row],[Média.A]] + (_xlfn.STDEV.S( tabConsumo[[#This Row],[QTD.PENDENTE]]:tabConsumo[[#This Row],[09_23]] ) * 1)</f>
        <v>47.565228279922778</v>
      </c>
      <c r="V221" s="221">
        <f xml:space="preserve"> tabConsumo[[#This Row],[Média.A]] + (_xlfn.STDEV.S( tabConsumo[[#This Row],[QTD.PENDENTE]]:tabConsumo[[#This Row],[09_23]] ) * 2)</f>
        <v>79.130456559845555</v>
      </c>
      <c r="W221" s="221">
        <f xml:space="preserve"> tabConsumo[[#This Row],[Média.A]] + (_xlfn.STDEV.S( tabConsumo[[#This Row],[QTD.PENDENTE]]:tabConsumo[[#This Row],[09_23]] ) * 3)</f>
        <v>110.69568483976832</v>
      </c>
      <c r="X221" s="5">
        <f t="shared" si="7"/>
        <v>2</v>
      </c>
      <c r="Y221">
        <v>13.416666666666666</v>
      </c>
      <c r="Z221" s="223">
        <f>SUM( tabConsumo[[#This Row],[QTD.PENDENTE]]:tabConsumo[[#This Row],[09_23]] )</f>
        <v>192</v>
      </c>
      <c r="AA221" s="223">
        <f>LARGE(tabConsumo[[#This Row],[10_22]:[09_23]],1)</f>
        <v>110</v>
      </c>
      <c r="AB221" s="146" t="s">
        <v>2239</v>
      </c>
      <c r="AC221" s="3" t="s">
        <v>2086</v>
      </c>
    </row>
    <row r="222" spans="1:29" x14ac:dyDescent="0.3">
      <c r="A222" s="4" t="s">
        <v>1796</v>
      </c>
      <c r="B222" s="3" t="s">
        <v>31</v>
      </c>
      <c r="C222" s="2">
        <v>128818</v>
      </c>
      <c r="D222" s="2">
        <v>1795</v>
      </c>
      <c r="F222" s="2">
        <v>590</v>
      </c>
      <c r="G222" s="2">
        <v>300</v>
      </c>
      <c r="H222" s="2">
        <v>940</v>
      </c>
      <c r="I222" s="2">
        <v>835</v>
      </c>
      <c r="J222" s="2">
        <v>420</v>
      </c>
      <c r="K222" s="2">
        <v>482</v>
      </c>
      <c r="L222" s="2">
        <v>500</v>
      </c>
      <c r="M222" s="2">
        <v>140</v>
      </c>
      <c r="N222" s="2">
        <v>800</v>
      </c>
      <c r="O222" s="2">
        <v>0</v>
      </c>
      <c r="P222" s="2">
        <v>560</v>
      </c>
      <c r="Q222" s="2">
        <v>900</v>
      </c>
      <c r="R222" s="238">
        <v>41926</v>
      </c>
      <c r="S222" s="219">
        <v>12</v>
      </c>
      <c r="T222" s="220">
        <f>SUM( tabConsumo[[#This Row],[QTD.PENDENTE]]:tabConsumo[[#This Row],[09_23]] ) / tabConsumo[[#This Row],[Div]]</f>
        <v>538.91666666666663</v>
      </c>
      <c r="U222" s="221">
        <f xml:space="preserve"> tabConsumo[[#This Row],[Média.A]] + (_xlfn.STDEV.S( tabConsumo[[#This Row],[QTD.PENDENTE]]:tabConsumo[[#This Row],[09_23]] ) * 1)</f>
        <v>836.7382906246487</v>
      </c>
      <c r="V222" s="221">
        <f xml:space="preserve"> tabConsumo[[#This Row],[Média.A]] + (_xlfn.STDEV.S( tabConsumo[[#This Row],[QTD.PENDENTE]]:tabConsumo[[#This Row],[09_23]] ) * 2)</f>
        <v>1134.5599145826309</v>
      </c>
      <c r="W222" s="221">
        <f xml:space="preserve"> tabConsumo[[#This Row],[Média.A]] + (_xlfn.STDEV.S( tabConsumo[[#This Row],[QTD.PENDENTE]]:tabConsumo[[#This Row],[09_23]] ) * 3)</f>
        <v>1432.3815385406128</v>
      </c>
      <c r="X222" s="5">
        <f t="shared" si="7"/>
        <v>2</v>
      </c>
      <c r="Y222">
        <v>538.91666666666663</v>
      </c>
      <c r="Z222" s="223">
        <f>SUM( tabConsumo[[#This Row],[QTD.PENDENTE]]:tabConsumo[[#This Row],[09_23]] )</f>
        <v>6467</v>
      </c>
      <c r="AA222" s="223">
        <f>LARGE(tabConsumo[[#This Row],[10_22]:[09_23]],1)</f>
        <v>940</v>
      </c>
      <c r="AB222" s="146" t="s">
        <v>2238</v>
      </c>
      <c r="AC222" s="3" t="s">
        <v>2086</v>
      </c>
    </row>
    <row r="223" spans="1:29" x14ac:dyDescent="0.3">
      <c r="A223" s="4" t="s">
        <v>1629</v>
      </c>
      <c r="B223" s="3" t="s">
        <v>263</v>
      </c>
      <c r="C223" s="2">
        <v>106038</v>
      </c>
      <c r="D223" s="2">
        <v>0</v>
      </c>
      <c r="E223" s="2">
        <v>20</v>
      </c>
      <c r="F223" s="2">
        <v>0</v>
      </c>
      <c r="G223" s="2">
        <v>0</v>
      </c>
      <c r="H223" s="2">
        <v>80</v>
      </c>
      <c r="I223" s="2">
        <v>0</v>
      </c>
      <c r="J223" s="2">
        <v>0</v>
      </c>
      <c r="K223" s="2">
        <v>0</v>
      </c>
      <c r="L223" s="2">
        <v>0</v>
      </c>
      <c r="M223" s="2">
        <v>0</v>
      </c>
      <c r="N223" s="2">
        <v>0</v>
      </c>
      <c r="O223" s="2">
        <v>0</v>
      </c>
      <c r="P223" s="2">
        <v>0</v>
      </c>
      <c r="Q223" s="2">
        <v>0</v>
      </c>
      <c r="R223" s="238">
        <v>39554</v>
      </c>
      <c r="S223" s="219">
        <v>12</v>
      </c>
      <c r="T223" s="220">
        <f>SUM( tabConsumo[[#This Row],[QTD.PENDENTE]]:tabConsumo[[#This Row],[09_23]] ) / tabConsumo[[#This Row],[Div]]</f>
        <v>8.3333333333333339</v>
      </c>
      <c r="U223" s="221">
        <f xml:space="preserve"> tabConsumo[[#This Row],[Média.A]] + (_xlfn.STDEV.S( tabConsumo[[#This Row],[QTD.PENDENTE]]:tabConsumo[[#This Row],[09_23]] ) * 1)</f>
        <v>30.751274866045534</v>
      </c>
      <c r="V223" s="221">
        <f xml:space="preserve"> tabConsumo[[#This Row],[Média.A]] + (_xlfn.STDEV.S( tabConsumo[[#This Row],[QTD.PENDENTE]]:tabConsumo[[#This Row],[09_23]] ) * 2)</f>
        <v>53.169216398757733</v>
      </c>
      <c r="W223" s="221">
        <f xml:space="preserve"> tabConsumo[[#This Row],[Média.A]] + (_xlfn.STDEV.S( tabConsumo[[#This Row],[QTD.PENDENTE]]:tabConsumo[[#This Row],[09_23]] ) * 3)</f>
        <v>75.587157931469918</v>
      </c>
      <c r="X223" s="5">
        <f t="shared" si="7"/>
        <v>2</v>
      </c>
      <c r="Y223">
        <v>6.083333333333333</v>
      </c>
      <c r="Z223" s="223">
        <f>SUM( tabConsumo[[#This Row],[QTD.PENDENTE]]:tabConsumo[[#This Row],[09_23]] )</f>
        <v>100</v>
      </c>
      <c r="AA223" s="223">
        <f>LARGE(tabConsumo[[#This Row],[10_22]:[09_23]],1)</f>
        <v>80</v>
      </c>
      <c r="AB223" s="146" t="s">
        <v>2249</v>
      </c>
      <c r="AC223" s="3" t="s">
        <v>2086</v>
      </c>
    </row>
    <row r="224" spans="1:29" x14ac:dyDescent="0.3">
      <c r="A224" s="4" t="s">
        <v>1769</v>
      </c>
      <c r="B224" s="3" t="s">
        <v>31</v>
      </c>
      <c r="C224" s="2">
        <v>125269</v>
      </c>
      <c r="D224" s="2">
        <v>2965</v>
      </c>
      <c r="F224" s="2">
        <v>0</v>
      </c>
      <c r="G224" s="2">
        <v>30</v>
      </c>
      <c r="H224" s="2">
        <v>120</v>
      </c>
      <c r="I224" s="2">
        <v>15</v>
      </c>
      <c r="J224" s="2">
        <v>0</v>
      </c>
      <c r="K224" s="2">
        <v>0</v>
      </c>
      <c r="L224" s="2">
        <v>0</v>
      </c>
      <c r="M224" s="2">
        <v>0</v>
      </c>
      <c r="N224" s="2">
        <v>0</v>
      </c>
      <c r="O224" s="2">
        <v>0</v>
      </c>
      <c r="P224" s="2">
        <v>0</v>
      </c>
      <c r="Q224" s="2">
        <v>0</v>
      </c>
      <c r="R224" s="238">
        <v>41368</v>
      </c>
      <c r="S224" s="219">
        <v>12</v>
      </c>
      <c r="T224" s="220">
        <f>SUM( tabConsumo[[#This Row],[QTD.PENDENTE]]:tabConsumo[[#This Row],[09_23]] ) / tabConsumo[[#This Row],[Div]]</f>
        <v>13.75</v>
      </c>
      <c r="U224" s="221">
        <f xml:space="preserve"> tabConsumo[[#This Row],[Média.A]] + (_xlfn.STDEV.S( tabConsumo[[#This Row],[QTD.PENDENTE]]:tabConsumo[[#This Row],[09_23]] ) * 1)</f>
        <v>48.464746670019593</v>
      </c>
      <c r="V224" s="221">
        <f xml:space="preserve"> tabConsumo[[#This Row],[Média.A]] + (_xlfn.STDEV.S( tabConsumo[[#This Row],[QTD.PENDENTE]]:tabConsumo[[#This Row],[09_23]] ) * 2)</f>
        <v>83.179493340039187</v>
      </c>
      <c r="W224" s="221">
        <f xml:space="preserve"> tabConsumo[[#This Row],[Média.A]] + (_xlfn.STDEV.S( tabConsumo[[#This Row],[QTD.PENDENTE]]:tabConsumo[[#This Row],[09_23]] ) * 3)</f>
        <v>117.89424001005878</v>
      </c>
      <c r="X224" s="5">
        <f t="shared" si="7"/>
        <v>2</v>
      </c>
      <c r="Y224">
        <v>10.666666666666666</v>
      </c>
      <c r="Z224" s="223">
        <f>SUM( tabConsumo[[#This Row],[QTD.PENDENTE]]:tabConsumo[[#This Row],[09_23]] )</f>
        <v>165</v>
      </c>
      <c r="AA224" s="223">
        <f>LARGE(tabConsumo[[#This Row],[10_22]:[09_23]],1)</f>
        <v>120</v>
      </c>
      <c r="AB224" s="146" t="s">
        <v>2247</v>
      </c>
      <c r="AC224" s="3" t="s">
        <v>2086</v>
      </c>
    </row>
    <row r="225" spans="1:29" x14ac:dyDescent="0.3">
      <c r="A225" s="4" t="s">
        <v>1087</v>
      </c>
      <c r="B225" s="3" t="s">
        <v>263</v>
      </c>
      <c r="C225" s="2">
        <v>15267</v>
      </c>
      <c r="D225" s="2">
        <v>23</v>
      </c>
      <c r="F225" s="2">
        <v>0</v>
      </c>
      <c r="G225" s="2">
        <v>0</v>
      </c>
      <c r="H225" s="2">
        <v>0</v>
      </c>
      <c r="I225" s="2">
        <v>0</v>
      </c>
      <c r="J225" s="2">
        <v>0</v>
      </c>
      <c r="K225" s="2">
        <v>0</v>
      </c>
      <c r="L225" s="2">
        <v>0</v>
      </c>
      <c r="M225" s="2">
        <v>0</v>
      </c>
      <c r="N225" s="2">
        <v>30</v>
      </c>
      <c r="O225" s="2">
        <v>0</v>
      </c>
      <c r="P225" s="2">
        <v>0</v>
      </c>
      <c r="Q225" s="2">
        <v>0</v>
      </c>
      <c r="R225" s="238">
        <v>367</v>
      </c>
      <c r="S225" s="219">
        <f xml:space="preserve"> 12</f>
        <v>12</v>
      </c>
      <c r="T225" s="220">
        <f>SUM( tabConsumo[[#This Row],[QTD.PENDENTE]]:tabConsumo[[#This Row],[09_23]] ) / tabConsumo[[#This Row],[Div]]</f>
        <v>2.5</v>
      </c>
      <c r="U225" s="221">
        <f xml:space="preserve"> tabConsumo[[#This Row],[Média.A]] + (_xlfn.STDEV.S( tabConsumo[[#This Row],[QTD.PENDENTE]]:tabConsumo[[#This Row],[09_23]] ) * 1)</f>
        <v>11.160254037844387</v>
      </c>
      <c r="V225" s="221">
        <f xml:space="preserve"> tabConsumo[[#This Row],[Média.A]] + (_xlfn.STDEV.S( tabConsumo[[#This Row],[QTD.PENDENTE]]:tabConsumo[[#This Row],[09_23]] ) * 2)</f>
        <v>19.820508075688775</v>
      </c>
      <c r="W225" s="221">
        <f xml:space="preserve"> tabConsumo[[#This Row],[Média.A]] + (_xlfn.STDEV.S( tabConsumo[[#This Row],[QTD.PENDENTE]]:tabConsumo[[#This Row],[09_23]] ) * 3)</f>
        <v>28.48076211353316</v>
      </c>
      <c r="X225" s="5">
        <f t="shared" si="7"/>
        <v>2</v>
      </c>
      <c r="Y225">
        <v>1.5833333333333333</v>
      </c>
      <c r="Z225" s="223">
        <f>SUM( tabConsumo[[#This Row],[QTD.PENDENTE]]:tabConsumo[[#This Row],[09_23]] )</f>
        <v>30</v>
      </c>
      <c r="AA225" s="223">
        <f>LARGE(tabConsumo[[#This Row],[10_22]:[09_23]],1)</f>
        <v>30</v>
      </c>
      <c r="AB225" s="146" t="s">
        <v>2246</v>
      </c>
      <c r="AC225" s="3" t="s">
        <v>2086</v>
      </c>
    </row>
    <row r="226" spans="1:29" x14ac:dyDescent="0.3">
      <c r="A226" s="4" t="s">
        <v>1427</v>
      </c>
      <c r="B226" s="3" t="s">
        <v>263</v>
      </c>
      <c r="C226" s="2">
        <v>77493</v>
      </c>
      <c r="D226" s="2">
        <v>131</v>
      </c>
      <c r="F226" s="2">
        <v>0</v>
      </c>
      <c r="G226" s="2">
        <v>0</v>
      </c>
      <c r="H226" s="2">
        <v>0</v>
      </c>
      <c r="I226" s="2">
        <v>0</v>
      </c>
      <c r="J226" s="2">
        <v>0</v>
      </c>
      <c r="K226" s="2">
        <v>0</v>
      </c>
      <c r="L226" s="2">
        <v>0</v>
      </c>
      <c r="M226" s="2">
        <v>0</v>
      </c>
      <c r="N226" s="2">
        <v>20</v>
      </c>
      <c r="O226" s="2">
        <v>0</v>
      </c>
      <c r="P226" s="2">
        <v>0</v>
      </c>
      <c r="Q226" s="2">
        <v>0</v>
      </c>
      <c r="R226" s="238">
        <v>38054</v>
      </c>
      <c r="S226" s="219">
        <v>12</v>
      </c>
      <c r="T226" s="220">
        <f>SUM( tabConsumo[[#This Row],[QTD.PENDENTE]]:tabConsumo[[#This Row],[09_23]] ) / tabConsumo[[#This Row],[Div]]</f>
        <v>1.6666666666666667</v>
      </c>
      <c r="U226" s="221">
        <f xml:space="preserve"> tabConsumo[[#This Row],[Média.A]] + (_xlfn.STDEV.S( tabConsumo[[#This Row],[QTD.PENDENTE]]:tabConsumo[[#This Row],[09_23]] ) * 1)</f>
        <v>7.4401693585629252</v>
      </c>
      <c r="V226" s="221">
        <f xml:space="preserve"> tabConsumo[[#This Row],[Média.A]] + (_xlfn.STDEV.S( tabConsumo[[#This Row],[QTD.PENDENTE]]:tabConsumo[[#This Row],[09_23]] ) * 2)</f>
        <v>13.213672050459182</v>
      </c>
      <c r="W226" s="221">
        <f xml:space="preserve"> tabConsumo[[#This Row],[Média.A]] + (_xlfn.STDEV.S( tabConsumo[[#This Row],[QTD.PENDENTE]]:tabConsumo[[#This Row],[09_23]] ) * 3)</f>
        <v>18.987174742355442</v>
      </c>
      <c r="X226" s="5">
        <f t="shared" si="7"/>
        <v>2</v>
      </c>
      <c r="Y226">
        <v>1.0833333333333333</v>
      </c>
      <c r="Z226" s="223">
        <f>SUM( tabConsumo[[#This Row],[QTD.PENDENTE]]:tabConsumo[[#This Row],[09_23]] )</f>
        <v>20</v>
      </c>
      <c r="AA226" s="223">
        <f>LARGE(tabConsumo[[#This Row],[10_22]:[09_23]],1)</f>
        <v>20</v>
      </c>
      <c r="AB226" s="146" t="s">
        <v>2246</v>
      </c>
      <c r="AC226" s="3" t="s">
        <v>2086</v>
      </c>
    </row>
    <row r="227" spans="1:29" x14ac:dyDescent="0.3">
      <c r="A227" s="4" t="s">
        <v>1090</v>
      </c>
      <c r="B227" s="3" t="s">
        <v>263</v>
      </c>
      <c r="C227" s="2">
        <v>15272</v>
      </c>
      <c r="D227" s="2">
        <v>100</v>
      </c>
      <c r="F227" s="2">
        <v>0</v>
      </c>
      <c r="G227" s="2">
        <v>10</v>
      </c>
      <c r="H227" s="2">
        <v>0</v>
      </c>
      <c r="I227" s="2">
        <v>0</v>
      </c>
      <c r="J227" s="2">
        <v>0</v>
      </c>
      <c r="K227" s="2">
        <v>0</v>
      </c>
      <c r="L227" s="2">
        <v>0</v>
      </c>
      <c r="M227" s="2">
        <v>0</v>
      </c>
      <c r="N227" s="2">
        <v>20</v>
      </c>
      <c r="O227" s="2">
        <v>0</v>
      </c>
      <c r="P227" s="2">
        <v>0</v>
      </c>
      <c r="Q227" s="2">
        <v>0</v>
      </c>
      <c r="R227" s="238">
        <v>367</v>
      </c>
      <c r="S227" s="219">
        <f t="shared" ref="S227:S233" si="8" xml:space="preserve"> 12</f>
        <v>12</v>
      </c>
      <c r="T227" s="220">
        <f>SUM( tabConsumo[[#This Row],[QTD.PENDENTE]]:tabConsumo[[#This Row],[09_23]] ) / tabConsumo[[#This Row],[Div]]</f>
        <v>2.5</v>
      </c>
      <c r="U227" s="221">
        <f xml:space="preserve"> tabConsumo[[#This Row],[Média.A]] + (_xlfn.STDEV.S( tabConsumo[[#This Row],[QTD.PENDENTE]]:tabConsumo[[#This Row],[09_23]] ) * 1)</f>
        <v>8.7158156050806106</v>
      </c>
      <c r="V227" s="221">
        <f xml:space="preserve"> tabConsumo[[#This Row],[Média.A]] + (_xlfn.STDEV.S( tabConsumo[[#This Row],[QTD.PENDENTE]]:tabConsumo[[#This Row],[09_23]] ) * 2)</f>
        <v>14.931631210161221</v>
      </c>
      <c r="W227" s="221">
        <f xml:space="preserve"> tabConsumo[[#This Row],[Média.A]] + (_xlfn.STDEV.S( tabConsumo[[#This Row],[QTD.PENDENTE]]:tabConsumo[[#This Row],[09_23]] ) * 3)</f>
        <v>21.147446815241832</v>
      </c>
      <c r="X227" s="5">
        <f t="shared" si="7"/>
        <v>2</v>
      </c>
      <c r="Y227">
        <v>2</v>
      </c>
      <c r="Z227" s="223">
        <f>SUM( tabConsumo[[#This Row],[QTD.PENDENTE]]:tabConsumo[[#This Row],[09_23]] )</f>
        <v>30</v>
      </c>
      <c r="AA227" s="223">
        <f>LARGE(tabConsumo[[#This Row],[10_22]:[09_23]],1)</f>
        <v>20</v>
      </c>
      <c r="AB227" s="146" t="s">
        <v>2246</v>
      </c>
      <c r="AC227" s="3" t="s">
        <v>2086</v>
      </c>
    </row>
    <row r="228" spans="1:29" x14ac:dyDescent="0.3">
      <c r="A228" s="4" t="s">
        <v>1094</v>
      </c>
      <c r="B228" s="3" t="s">
        <v>263</v>
      </c>
      <c r="C228" s="2">
        <v>15465</v>
      </c>
      <c r="D228" s="2">
        <v>135</v>
      </c>
      <c r="F228" s="2">
        <v>0</v>
      </c>
      <c r="G228" s="2">
        <v>0</v>
      </c>
      <c r="H228" s="2">
        <v>0</v>
      </c>
      <c r="I228" s="2">
        <v>0</v>
      </c>
      <c r="J228" s="2">
        <v>0</v>
      </c>
      <c r="K228" s="2">
        <v>10</v>
      </c>
      <c r="L228" s="2">
        <v>0</v>
      </c>
      <c r="M228" s="2">
        <v>0</v>
      </c>
      <c r="N228" s="2">
        <v>20</v>
      </c>
      <c r="O228" s="2">
        <v>0</v>
      </c>
      <c r="P228" s="2">
        <v>0</v>
      </c>
      <c r="Q228" s="2">
        <v>0</v>
      </c>
      <c r="R228" s="238">
        <v>367</v>
      </c>
      <c r="S228" s="219">
        <f t="shared" si="8"/>
        <v>12</v>
      </c>
      <c r="T228" s="220">
        <f>SUM( tabConsumo[[#This Row],[QTD.PENDENTE]]:tabConsumo[[#This Row],[09_23]] ) / tabConsumo[[#This Row],[Div]]</f>
        <v>2.5</v>
      </c>
      <c r="U228" s="221">
        <f xml:space="preserve"> tabConsumo[[#This Row],[Média.A]] + (_xlfn.STDEV.S( tabConsumo[[#This Row],[QTD.PENDENTE]]:tabConsumo[[#This Row],[09_23]] ) * 1)</f>
        <v>8.7158156050806106</v>
      </c>
      <c r="V228" s="221">
        <f xml:space="preserve"> tabConsumo[[#This Row],[Média.A]] + (_xlfn.STDEV.S( tabConsumo[[#This Row],[QTD.PENDENTE]]:tabConsumo[[#This Row],[09_23]] ) * 2)</f>
        <v>14.931631210161221</v>
      </c>
      <c r="W228" s="221">
        <f xml:space="preserve"> tabConsumo[[#This Row],[Média.A]] + (_xlfn.STDEV.S( tabConsumo[[#This Row],[QTD.PENDENTE]]:tabConsumo[[#This Row],[09_23]] ) * 3)</f>
        <v>21.147446815241832</v>
      </c>
      <c r="X228" s="5">
        <f t="shared" si="7"/>
        <v>2</v>
      </c>
      <c r="Y228">
        <v>2</v>
      </c>
      <c r="Z228" s="223">
        <f>SUM( tabConsumo[[#This Row],[QTD.PENDENTE]]:tabConsumo[[#This Row],[09_23]] )</f>
        <v>30</v>
      </c>
      <c r="AA228" s="223">
        <f>LARGE(tabConsumo[[#This Row],[10_22]:[09_23]],1)</f>
        <v>20</v>
      </c>
      <c r="AB228" s="146" t="s">
        <v>2246</v>
      </c>
      <c r="AC228" s="3" t="s">
        <v>2086</v>
      </c>
    </row>
    <row r="229" spans="1:29" x14ac:dyDescent="0.3">
      <c r="A229" s="4" t="s">
        <v>1095</v>
      </c>
      <c r="B229" s="3" t="s">
        <v>263</v>
      </c>
      <c r="C229" s="2">
        <v>15466</v>
      </c>
      <c r="D229" s="2">
        <v>192</v>
      </c>
      <c r="F229" s="2">
        <v>4</v>
      </c>
      <c r="G229" s="2">
        <v>0</v>
      </c>
      <c r="H229" s="2">
        <v>0</v>
      </c>
      <c r="I229" s="2">
        <v>0</v>
      </c>
      <c r="J229" s="2">
        <v>0</v>
      </c>
      <c r="K229" s="2">
        <v>0</v>
      </c>
      <c r="L229" s="2">
        <v>0</v>
      </c>
      <c r="M229" s="2">
        <v>15</v>
      </c>
      <c r="N229" s="2">
        <v>20</v>
      </c>
      <c r="O229" s="2">
        <v>0</v>
      </c>
      <c r="P229" s="2">
        <v>0</v>
      </c>
      <c r="Q229" s="2">
        <v>0</v>
      </c>
      <c r="R229" s="238">
        <v>367</v>
      </c>
      <c r="S229" s="219">
        <f t="shared" si="8"/>
        <v>12</v>
      </c>
      <c r="T229" s="220">
        <f>SUM( tabConsumo[[#This Row],[QTD.PENDENTE]]:tabConsumo[[#This Row],[09_23]] ) / tabConsumo[[#This Row],[Div]]</f>
        <v>3.25</v>
      </c>
      <c r="U229" s="221">
        <f xml:space="preserve"> tabConsumo[[#This Row],[Média.A]] + (_xlfn.STDEV.S( tabConsumo[[#This Row],[QTD.PENDENTE]]:tabConsumo[[#This Row],[09_23]] ) * 1)</f>
        <v>10.087397165588673</v>
      </c>
      <c r="V229" s="221">
        <f xml:space="preserve"> tabConsumo[[#This Row],[Média.A]] + (_xlfn.STDEV.S( tabConsumo[[#This Row],[QTD.PENDENTE]]:tabConsumo[[#This Row],[09_23]] ) * 2)</f>
        <v>16.924794331177345</v>
      </c>
      <c r="W229" s="221">
        <f xml:space="preserve"> tabConsumo[[#This Row],[Média.A]] + (_xlfn.STDEV.S( tabConsumo[[#This Row],[QTD.PENDENTE]]:tabConsumo[[#This Row],[09_23]] ) * 3)</f>
        <v>23.762191496766015</v>
      </c>
      <c r="X229" s="5">
        <f t="shared" si="7"/>
        <v>2</v>
      </c>
      <c r="Y229">
        <v>2.9166666666666665</v>
      </c>
      <c r="Z229" s="223">
        <f>SUM( tabConsumo[[#This Row],[QTD.PENDENTE]]:tabConsumo[[#This Row],[09_23]] )</f>
        <v>39</v>
      </c>
      <c r="AA229" s="223">
        <f>LARGE(tabConsumo[[#This Row],[10_22]:[09_23]],1)</f>
        <v>20</v>
      </c>
      <c r="AB229" s="146" t="s">
        <v>2246</v>
      </c>
      <c r="AC229" s="3" t="s">
        <v>2086</v>
      </c>
    </row>
    <row r="230" spans="1:29" x14ac:dyDescent="0.3">
      <c r="A230" s="4" t="s">
        <v>1097</v>
      </c>
      <c r="B230" s="3" t="s">
        <v>263</v>
      </c>
      <c r="C230" s="2">
        <v>15469</v>
      </c>
      <c r="D230" s="2">
        <v>75</v>
      </c>
      <c r="F230" s="2">
        <v>0</v>
      </c>
      <c r="G230" s="2">
        <v>0</v>
      </c>
      <c r="H230" s="2">
        <v>0</v>
      </c>
      <c r="I230" s="2">
        <v>3</v>
      </c>
      <c r="J230" s="2">
        <v>0</v>
      </c>
      <c r="K230" s="2">
        <v>0</v>
      </c>
      <c r="L230" s="2">
        <v>0</v>
      </c>
      <c r="M230" s="2">
        <v>15</v>
      </c>
      <c r="N230" s="2">
        <v>26</v>
      </c>
      <c r="O230" s="2">
        <v>0</v>
      </c>
      <c r="P230" s="2">
        <v>0</v>
      </c>
      <c r="Q230" s="2">
        <v>0</v>
      </c>
      <c r="R230" s="238">
        <v>367</v>
      </c>
      <c r="S230" s="219">
        <f t="shared" si="8"/>
        <v>12</v>
      </c>
      <c r="T230" s="220">
        <f>SUM( tabConsumo[[#This Row],[QTD.PENDENTE]]:tabConsumo[[#This Row],[09_23]] ) / tabConsumo[[#This Row],[Div]]</f>
        <v>3.6666666666666665</v>
      </c>
      <c r="U230" s="221">
        <f xml:space="preserve"> tabConsumo[[#This Row],[Média.A]] + (_xlfn.STDEV.S( tabConsumo[[#This Row],[QTD.PENDENTE]]:tabConsumo[[#This Row],[09_23]] ) * 1)</f>
        <v>11.916551881662452</v>
      </c>
      <c r="V230" s="221">
        <f xml:space="preserve"> tabConsumo[[#This Row],[Média.A]] + (_xlfn.STDEV.S( tabConsumo[[#This Row],[QTD.PENDENTE]]:tabConsumo[[#This Row],[09_23]] ) * 2)</f>
        <v>20.166437096658239</v>
      </c>
      <c r="W230" s="221">
        <f xml:space="preserve"> tabConsumo[[#This Row],[Média.A]] + (_xlfn.STDEV.S( tabConsumo[[#This Row],[QTD.PENDENTE]]:tabConsumo[[#This Row],[09_23]] ) * 3)</f>
        <v>28.416322311654024</v>
      </c>
      <c r="X230" s="5">
        <f t="shared" si="7"/>
        <v>2</v>
      </c>
      <c r="Y230">
        <v>3.1666666666666665</v>
      </c>
      <c r="Z230" s="223">
        <f>SUM( tabConsumo[[#This Row],[QTD.PENDENTE]]:tabConsumo[[#This Row],[09_23]] )</f>
        <v>44</v>
      </c>
      <c r="AA230" s="223">
        <f>LARGE(tabConsumo[[#This Row],[10_22]:[09_23]],1)</f>
        <v>26</v>
      </c>
      <c r="AB230" s="146" t="s">
        <v>2246</v>
      </c>
      <c r="AC230" s="3" t="s">
        <v>2086</v>
      </c>
    </row>
    <row r="231" spans="1:29" x14ac:dyDescent="0.3">
      <c r="A231" s="4" t="s">
        <v>1098</v>
      </c>
      <c r="B231" s="3" t="s">
        <v>263</v>
      </c>
      <c r="C231" s="2">
        <v>15473</v>
      </c>
      <c r="D231" s="2">
        <v>74</v>
      </c>
      <c r="F231" s="2">
        <v>0</v>
      </c>
      <c r="G231" s="2">
        <v>0</v>
      </c>
      <c r="H231" s="2">
        <v>0</v>
      </c>
      <c r="I231" s="2">
        <v>0</v>
      </c>
      <c r="J231" s="2">
        <v>0</v>
      </c>
      <c r="K231" s="2">
        <v>0</v>
      </c>
      <c r="L231" s="2">
        <v>0</v>
      </c>
      <c r="M231" s="2">
        <v>0</v>
      </c>
      <c r="N231" s="2">
        <v>24</v>
      </c>
      <c r="O231" s="2">
        <v>0</v>
      </c>
      <c r="P231" s="2">
        <v>0</v>
      </c>
      <c r="Q231" s="2">
        <v>0</v>
      </c>
      <c r="R231" s="238">
        <v>367</v>
      </c>
      <c r="S231" s="219">
        <f t="shared" si="8"/>
        <v>12</v>
      </c>
      <c r="T231" s="220">
        <f>SUM( tabConsumo[[#This Row],[QTD.PENDENTE]]:tabConsumo[[#This Row],[09_23]] ) / tabConsumo[[#This Row],[Div]]</f>
        <v>2</v>
      </c>
      <c r="U231" s="221">
        <f xml:space="preserve"> tabConsumo[[#This Row],[Média.A]] + (_xlfn.STDEV.S( tabConsumo[[#This Row],[QTD.PENDENTE]]:tabConsumo[[#This Row],[09_23]] ) * 1)</f>
        <v>8.9282032302755088</v>
      </c>
      <c r="V231" s="221">
        <f xml:space="preserve"> tabConsumo[[#This Row],[Média.A]] + (_xlfn.STDEV.S( tabConsumo[[#This Row],[QTD.PENDENTE]]:tabConsumo[[#This Row],[09_23]] ) * 2)</f>
        <v>15.856406460551018</v>
      </c>
      <c r="W231" s="221">
        <f xml:space="preserve"> tabConsumo[[#This Row],[Média.A]] + (_xlfn.STDEV.S( tabConsumo[[#This Row],[QTD.PENDENTE]]:tabConsumo[[#This Row],[09_23]] ) * 3)</f>
        <v>22.784609690826528</v>
      </c>
      <c r="X231" s="5">
        <f t="shared" si="7"/>
        <v>2</v>
      </c>
      <c r="Y231">
        <v>1.25</v>
      </c>
      <c r="Z231" s="223">
        <f>SUM( tabConsumo[[#This Row],[QTD.PENDENTE]]:tabConsumo[[#This Row],[09_23]] )</f>
        <v>24</v>
      </c>
      <c r="AA231" s="223">
        <f>LARGE(tabConsumo[[#This Row],[10_22]:[09_23]],1)</f>
        <v>24</v>
      </c>
      <c r="AB231" s="146" t="s">
        <v>2246</v>
      </c>
      <c r="AC231" s="3" t="s">
        <v>2086</v>
      </c>
    </row>
    <row r="232" spans="1:29" x14ac:dyDescent="0.3">
      <c r="A232" s="4" t="s">
        <v>1096</v>
      </c>
      <c r="B232" s="3" t="s">
        <v>263</v>
      </c>
      <c r="C232" s="2">
        <v>15467</v>
      </c>
      <c r="D232" s="2">
        <v>37</v>
      </c>
      <c r="F232" s="2">
        <v>0</v>
      </c>
      <c r="G232" s="2">
        <v>0</v>
      </c>
      <c r="H232" s="2">
        <v>0</v>
      </c>
      <c r="I232" s="2">
        <v>3</v>
      </c>
      <c r="J232" s="2">
        <v>0</v>
      </c>
      <c r="K232" s="2">
        <v>0</v>
      </c>
      <c r="L232" s="2">
        <v>0</v>
      </c>
      <c r="M232" s="2">
        <v>0</v>
      </c>
      <c r="N232" s="2">
        <v>23</v>
      </c>
      <c r="O232" s="2">
        <v>0</v>
      </c>
      <c r="P232" s="2">
        <v>0</v>
      </c>
      <c r="Q232" s="2">
        <v>0</v>
      </c>
      <c r="R232" s="238">
        <v>367</v>
      </c>
      <c r="S232" s="219">
        <f t="shared" si="8"/>
        <v>12</v>
      </c>
      <c r="T232" s="220">
        <f>SUM( tabConsumo[[#This Row],[QTD.PENDENTE]]:tabConsumo[[#This Row],[09_23]] ) / tabConsumo[[#This Row],[Div]]</f>
        <v>2.1666666666666665</v>
      </c>
      <c r="U232" s="221">
        <f xml:space="preserve"> tabConsumo[[#This Row],[Média.A]] + (_xlfn.STDEV.S( tabConsumo[[#This Row],[QTD.PENDENTE]]:tabConsumo[[#This Row],[09_23]] ) * 1)</f>
        <v>8.7839076920396124</v>
      </c>
      <c r="V232" s="221">
        <f xml:space="preserve"> tabConsumo[[#This Row],[Média.A]] + (_xlfn.STDEV.S( tabConsumo[[#This Row],[QTD.PENDENTE]]:tabConsumo[[#This Row],[09_23]] ) * 2)</f>
        <v>15.401148717412557</v>
      </c>
      <c r="W232" s="221">
        <f xml:space="preserve"> tabConsumo[[#This Row],[Média.A]] + (_xlfn.STDEV.S( tabConsumo[[#This Row],[QTD.PENDENTE]]:tabConsumo[[#This Row],[09_23]] ) * 3)</f>
        <v>22.018389742785505</v>
      </c>
      <c r="X232" s="5">
        <f t="shared" si="7"/>
        <v>2</v>
      </c>
      <c r="Y232">
        <v>1.5</v>
      </c>
      <c r="Z232" s="223">
        <f>SUM( tabConsumo[[#This Row],[QTD.PENDENTE]]:tabConsumo[[#This Row],[09_23]] )</f>
        <v>26</v>
      </c>
      <c r="AA232" s="223">
        <f>LARGE(tabConsumo[[#This Row],[10_22]:[09_23]],1)</f>
        <v>23</v>
      </c>
      <c r="AB232" s="146" t="s">
        <v>2246</v>
      </c>
      <c r="AC232" s="3" t="s">
        <v>2086</v>
      </c>
    </row>
    <row r="233" spans="1:29" x14ac:dyDescent="0.3">
      <c r="A233" s="4" t="s">
        <v>1099</v>
      </c>
      <c r="B233" s="3" t="s">
        <v>263</v>
      </c>
      <c r="C233" s="2">
        <v>15475</v>
      </c>
      <c r="D233" s="2">
        <v>132</v>
      </c>
      <c r="F233" s="2">
        <v>0</v>
      </c>
      <c r="G233" s="2">
        <v>0</v>
      </c>
      <c r="H233" s="2">
        <v>0</v>
      </c>
      <c r="I233" s="2">
        <v>0</v>
      </c>
      <c r="J233" s="2">
        <v>0</v>
      </c>
      <c r="K233" s="2">
        <v>0</v>
      </c>
      <c r="L233" s="2">
        <v>0</v>
      </c>
      <c r="M233" s="2">
        <v>0</v>
      </c>
      <c r="N233" s="2">
        <v>20</v>
      </c>
      <c r="O233" s="2">
        <v>10</v>
      </c>
      <c r="P233" s="2">
        <v>0</v>
      </c>
      <c r="Q233" s="2">
        <v>0</v>
      </c>
      <c r="R233" s="238">
        <v>367</v>
      </c>
      <c r="S233" s="219">
        <f t="shared" si="8"/>
        <v>12</v>
      </c>
      <c r="T233" s="220">
        <f>SUM( tabConsumo[[#This Row],[QTD.PENDENTE]]:tabConsumo[[#This Row],[09_23]] ) / tabConsumo[[#This Row],[Div]]</f>
        <v>2.5</v>
      </c>
      <c r="U233" s="221">
        <f xml:space="preserve"> tabConsumo[[#This Row],[Média.A]] + (_xlfn.STDEV.S( tabConsumo[[#This Row],[QTD.PENDENTE]]:tabConsumo[[#This Row],[09_23]] ) * 1)</f>
        <v>8.7158156050806106</v>
      </c>
      <c r="V233" s="221">
        <f xml:space="preserve"> tabConsumo[[#This Row],[Média.A]] + (_xlfn.STDEV.S( tabConsumo[[#This Row],[QTD.PENDENTE]]:tabConsumo[[#This Row],[09_23]] ) * 2)</f>
        <v>14.931631210161221</v>
      </c>
      <c r="W233" s="221">
        <f xml:space="preserve"> tabConsumo[[#This Row],[Média.A]] + (_xlfn.STDEV.S( tabConsumo[[#This Row],[QTD.PENDENTE]]:tabConsumo[[#This Row],[09_23]] ) * 3)</f>
        <v>21.147446815241832</v>
      </c>
      <c r="X233" s="5">
        <f t="shared" si="7"/>
        <v>2</v>
      </c>
      <c r="Y233">
        <v>2</v>
      </c>
      <c r="Z233" s="223">
        <f>SUM( tabConsumo[[#This Row],[QTD.PENDENTE]]:tabConsumo[[#This Row],[09_23]] )</f>
        <v>30</v>
      </c>
      <c r="AA233" s="223">
        <f>LARGE(tabConsumo[[#This Row],[10_22]:[09_23]],1)</f>
        <v>20</v>
      </c>
      <c r="AB233" s="146" t="s">
        <v>2239</v>
      </c>
      <c r="AC233" s="3" t="s">
        <v>2086</v>
      </c>
    </row>
    <row r="234" spans="1:29" x14ac:dyDescent="0.3">
      <c r="A234" s="4" t="s">
        <v>1465</v>
      </c>
      <c r="B234" s="3" t="s">
        <v>847</v>
      </c>
      <c r="C234" s="2">
        <v>80385</v>
      </c>
      <c r="D234" s="2">
        <v>20</v>
      </c>
      <c r="F234" s="2">
        <v>5</v>
      </c>
      <c r="G234" s="2">
        <v>0</v>
      </c>
      <c r="H234" s="2">
        <v>0</v>
      </c>
      <c r="I234" s="2">
        <v>0</v>
      </c>
      <c r="J234" s="2">
        <v>0</v>
      </c>
      <c r="K234" s="2">
        <v>15</v>
      </c>
      <c r="L234" s="2">
        <v>0</v>
      </c>
      <c r="M234" s="2">
        <v>10</v>
      </c>
      <c r="N234" s="2">
        <v>0</v>
      </c>
      <c r="O234" s="2">
        <v>0</v>
      </c>
      <c r="P234" s="2">
        <v>30</v>
      </c>
      <c r="Q234" s="2">
        <v>0</v>
      </c>
      <c r="R234" s="238">
        <v>38169</v>
      </c>
      <c r="S234" s="219">
        <v>12</v>
      </c>
      <c r="T234" s="220">
        <f>SUM( tabConsumo[[#This Row],[QTD.PENDENTE]]:tabConsumo[[#This Row],[09_23]] ) / tabConsumo[[#This Row],[Div]]</f>
        <v>5</v>
      </c>
      <c r="U234" s="221">
        <f xml:space="preserve"> tabConsumo[[#This Row],[Média.A]] + (_xlfn.STDEV.S( tabConsumo[[#This Row],[QTD.PENDENTE]]:tabConsumo[[#This Row],[09_23]] ) * 1)</f>
        <v>14.293203772845851</v>
      </c>
      <c r="V234" s="221">
        <f xml:space="preserve"> tabConsumo[[#This Row],[Média.A]] + (_xlfn.STDEV.S( tabConsumo[[#This Row],[QTD.PENDENTE]]:tabConsumo[[#This Row],[09_23]] ) * 2)</f>
        <v>23.586407545691703</v>
      </c>
      <c r="W234" s="221">
        <f xml:space="preserve"> tabConsumo[[#This Row],[Média.A]] + (_xlfn.STDEV.S( tabConsumo[[#This Row],[QTD.PENDENTE]]:tabConsumo[[#This Row],[09_23]] ) * 3)</f>
        <v>32.879611318537556</v>
      </c>
      <c r="X234" s="5">
        <f t="shared" si="7"/>
        <v>2</v>
      </c>
      <c r="Y234">
        <v>4.416666666666667</v>
      </c>
      <c r="Z234" s="223">
        <f>SUM( tabConsumo[[#This Row],[QTD.PENDENTE]]:tabConsumo[[#This Row],[09_23]] )</f>
        <v>60</v>
      </c>
      <c r="AA234" s="223">
        <f>LARGE(tabConsumo[[#This Row],[10_22]:[09_23]],1)</f>
        <v>30</v>
      </c>
      <c r="AB234" s="146" t="s">
        <v>2241</v>
      </c>
      <c r="AC234" s="3" t="s">
        <v>2086</v>
      </c>
    </row>
    <row r="235" spans="1:29" x14ac:dyDescent="0.3">
      <c r="A235" s="4" t="s">
        <v>2039</v>
      </c>
      <c r="B235" s="3" t="s">
        <v>847</v>
      </c>
      <c r="C235" s="2">
        <v>141430</v>
      </c>
      <c r="D235" s="2">
        <v>70</v>
      </c>
      <c r="F235" s="2">
        <v>2</v>
      </c>
      <c r="G235" s="2">
        <v>2</v>
      </c>
      <c r="H235" s="2">
        <v>3</v>
      </c>
      <c r="I235" s="2">
        <v>0</v>
      </c>
      <c r="J235" s="2">
        <v>10</v>
      </c>
      <c r="K235" s="2">
        <v>8</v>
      </c>
      <c r="L235" s="2">
        <v>31</v>
      </c>
      <c r="M235" s="2">
        <v>0</v>
      </c>
      <c r="N235" s="2">
        <v>32</v>
      </c>
      <c r="O235" s="2">
        <v>0</v>
      </c>
      <c r="P235" s="2">
        <v>12</v>
      </c>
      <c r="Q235" s="2">
        <v>8</v>
      </c>
      <c r="R235" s="238">
        <v>44362</v>
      </c>
      <c r="S235" s="219">
        <v>12</v>
      </c>
      <c r="T235" s="220">
        <f>SUM( tabConsumo[[#This Row],[QTD.PENDENTE]]:tabConsumo[[#This Row],[09_23]] ) / tabConsumo[[#This Row],[Div]]</f>
        <v>9</v>
      </c>
      <c r="U235" s="221">
        <f xml:space="preserve"> tabConsumo[[#This Row],[Média.A]] + (_xlfn.STDEV.S( tabConsumo[[#This Row],[QTD.PENDENTE]]:tabConsumo[[#This Row],[09_23]] ) * 1)</f>
        <v>20.289576850110258</v>
      </c>
      <c r="V235" s="221">
        <f xml:space="preserve"> tabConsumo[[#This Row],[Média.A]] + (_xlfn.STDEV.S( tabConsumo[[#This Row],[QTD.PENDENTE]]:tabConsumo[[#This Row],[09_23]] ) * 2)</f>
        <v>31.579153700220516</v>
      </c>
      <c r="W235" s="221">
        <f xml:space="preserve"> tabConsumo[[#This Row],[Média.A]] + (_xlfn.STDEV.S( tabConsumo[[#This Row],[QTD.PENDENTE]]:tabConsumo[[#This Row],[09_23]] ) * 3)</f>
        <v>42.868730550330774</v>
      </c>
      <c r="X235" s="5">
        <f t="shared" si="7"/>
        <v>2</v>
      </c>
      <c r="Y235">
        <v>8.9166666666666661</v>
      </c>
      <c r="Z235" s="223">
        <f>SUM( tabConsumo[[#This Row],[QTD.PENDENTE]]:tabConsumo[[#This Row],[09_23]] )</f>
        <v>108</v>
      </c>
      <c r="AA235" s="223">
        <f>LARGE(tabConsumo[[#This Row],[10_22]:[09_23]],1)</f>
        <v>32</v>
      </c>
      <c r="AB235" s="146" t="s">
        <v>2238</v>
      </c>
      <c r="AC235" s="3" t="s">
        <v>2086</v>
      </c>
    </row>
    <row r="236" spans="1:29" x14ac:dyDescent="0.3">
      <c r="A236" s="4" t="s">
        <v>1179</v>
      </c>
      <c r="B236" s="3" t="s">
        <v>847</v>
      </c>
      <c r="C236" s="2">
        <v>23676</v>
      </c>
      <c r="D236" s="2">
        <v>1931</v>
      </c>
      <c r="F236" s="2">
        <v>170</v>
      </c>
      <c r="G236" s="2">
        <v>370</v>
      </c>
      <c r="H236" s="2">
        <v>24</v>
      </c>
      <c r="I236" s="2">
        <v>75</v>
      </c>
      <c r="J236" s="2">
        <v>160</v>
      </c>
      <c r="K236" s="2">
        <v>420</v>
      </c>
      <c r="L236" s="2">
        <v>172</v>
      </c>
      <c r="M236" s="2">
        <v>250</v>
      </c>
      <c r="N236" s="2">
        <v>150</v>
      </c>
      <c r="O236" s="2">
        <v>1820</v>
      </c>
      <c r="P236" s="2">
        <v>200</v>
      </c>
      <c r="Q236" s="2">
        <v>0</v>
      </c>
      <c r="R236" s="238">
        <v>367</v>
      </c>
      <c r="S236" s="219">
        <f xml:space="preserve"> 12</f>
        <v>12</v>
      </c>
      <c r="T236" s="220">
        <f>SUM( tabConsumo[[#This Row],[QTD.PENDENTE]]:tabConsumo[[#This Row],[09_23]] ) / tabConsumo[[#This Row],[Div]]</f>
        <v>317.58333333333331</v>
      </c>
      <c r="U236" s="221">
        <f xml:space="preserve"> tabConsumo[[#This Row],[Média.A]] + (_xlfn.STDEV.S( tabConsumo[[#This Row],[QTD.PENDENTE]]:tabConsumo[[#This Row],[09_23]] ) * 1)</f>
        <v>806.61530074601194</v>
      </c>
      <c r="V236" s="221">
        <f xml:space="preserve"> tabConsumo[[#This Row],[Média.A]] + (_xlfn.STDEV.S( tabConsumo[[#This Row],[QTD.PENDENTE]]:tabConsumo[[#This Row],[09_23]] ) * 2)</f>
        <v>1295.6472681586906</v>
      </c>
      <c r="W236" s="221">
        <f xml:space="preserve"> tabConsumo[[#This Row],[Média.A]] + (_xlfn.STDEV.S( tabConsumo[[#This Row],[QTD.PENDENTE]]:tabConsumo[[#This Row],[09_23]] ) * 3)</f>
        <v>1784.6792355713692</v>
      </c>
      <c r="X236" s="5">
        <f t="shared" si="7"/>
        <v>2</v>
      </c>
      <c r="Y236">
        <v>273.83333333333331</v>
      </c>
      <c r="Z236" s="223">
        <f>SUM( tabConsumo[[#This Row],[QTD.PENDENTE]]:tabConsumo[[#This Row],[09_23]] )</f>
        <v>3811</v>
      </c>
      <c r="AA236" s="223">
        <f>LARGE(tabConsumo[[#This Row],[10_22]:[09_23]],1)</f>
        <v>1820</v>
      </c>
      <c r="AB236" s="146" t="s">
        <v>2241</v>
      </c>
      <c r="AC236" s="3" t="s">
        <v>2086</v>
      </c>
    </row>
    <row r="237" spans="1:29" x14ac:dyDescent="0.3">
      <c r="A237" s="4" t="s">
        <v>2047</v>
      </c>
      <c r="B237" s="3" t="s">
        <v>263</v>
      </c>
      <c r="C237" s="2">
        <v>142982</v>
      </c>
      <c r="D237" s="2">
        <v>0</v>
      </c>
      <c r="E237" s="2">
        <v>16</v>
      </c>
      <c r="F237" s="2">
        <v>6</v>
      </c>
      <c r="G237" s="2">
        <v>16</v>
      </c>
      <c r="H237" s="2">
        <v>6</v>
      </c>
      <c r="I237" s="2">
        <v>14</v>
      </c>
      <c r="J237" s="2">
        <v>4</v>
      </c>
      <c r="K237" s="2">
        <v>16</v>
      </c>
      <c r="L237" s="2">
        <v>5</v>
      </c>
      <c r="M237" s="2">
        <v>0</v>
      </c>
      <c r="N237" s="2">
        <v>0</v>
      </c>
      <c r="O237" s="2">
        <v>4</v>
      </c>
      <c r="P237" s="2">
        <v>0</v>
      </c>
      <c r="Q237" s="2">
        <v>0</v>
      </c>
      <c r="R237" s="238">
        <v>44428</v>
      </c>
      <c r="S237" s="219">
        <v>12</v>
      </c>
      <c r="T237" s="220">
        <f>SUM( tabConsumo[[#This Row],[QTD.PENDENTE]]:tabConsumo[[#This Row],[09_23]] ) / tabConsumo[[#This Row],[Div]]</f>
        <v>7.25</v>
      </c>
      <c r="U237" s="221">
        <f xml:space="preserve"> tabConsumo[[#This Row],[Média.A]] + (_xlfn.STDEV.S( tabConsumo[[#This Row],[QTD.PENDENTE]]:tabConsumo[[#This Row],[09_23]] ) * 1)</f>
        <v>13.774116994973539</v>
      </c>
      <c r="V237" s="221">
        <f xml:space="preserve"> tabConsumo[[#This Row],[Média.A]] + (_xlfn.STDEV.S( tabConsumo[[#This Row],[QTD.PENDENTE]]:tabConsumo[[#This Row],[09_23]] ) * 2)</f>
        <v>20.298233989947079</v>
      </c>
      <c r="W237" s="221">
        <f xml:space="preserve"> tabConsumo[[#This Row],[Média.A]] + (_xlfn.STDEV.S( tabConsumo[[#This Row],[QTD.PENDENTE]]:tabConsumo[[#This Row],[09_23]] ) * 3)</f>
        <v>26.822350984920618</v>
      </c>
      <c r="X237" s="5">
        <f t="shared" si="7"/>
        <v>2</v>
      </c>
      <c r="Y237">
        <v>7.25</v>
      </c>
      <c r="Z237" s="223">
        <f>SUM( tabConsumo[[#This Row],[QTD.PENDENTE]]:tabConsumo[[#This Row],[09_23]] )</f>
        <v>87</v>
      </c>
      <c r="AA237" s="223">
        <f>LARGE(tabConsumo[[#This Row],[10_22]:[09_23]],1)</f>
        <v>16</v>
      </c>
      <c r="AB237" s="146" t="s">
        <v>2239</v>
      </c>
      <c r="AC237" s="3" t="s">
        <v>2086</v>
      </c>
    </row>
    <row r="238" spans="1:29" x14ac:dyDescent="0.3">
      <c r="A238" s="4" t="s">
        <v>1654</v>
      </c>
      <c r="B238" s="3" t="s">
        <v>263</v>
      </c>
      <c r="C238" s="2">
        <v>107790</v>
      </c>
      <c r="D238" s="2">
        <v>141</v>
      </c>
      <c r="F238" s="2">
        <v>11</v>
      </c>
      <c r="G238" s="2">
        <v>5</v>
      </c>
      <c r="H238" s="2">
        <v>8</v>
      </c>
      <c r="I238" s="2">
        <v>16</v>
      </c>
      <c r="J238" s="2">
        <v>29</v>
      </c>
      <c r="K238" s="2">
        <v>38</v>
      </c>
      <c r="L238" s="2">
        <v>31</v>
      </c>
      <c r="M238" s="2">
        <v>0</v>
      </c>
      <c r="N238" s="2">
        <v>0</v>
      </c>
      <c r="O238" s="2">
        <v>0</v>
      </c>
      <c r="P238" s="2">
        <v>0</v>
      </c>
      <c r="Q238" s="2">
        <v>0</v>
      </c>
      <c r="R238" s="238">
        <v>39700</v>
      </c>
      <c r="S238" s="219">
        <v>12</v>
      </c>
      <c r="T238" s="220">
        <f>SUM( tabConsumo[[#This Row],[QTD.PENDENTE]]:tabConsumo[[#This Row],[09_23]] ) / tabConsumo[[#This Row],[Div]]</f>
        <v>11.5</v>
      </c>
      <c r="U238" s="221">
        <f xml:space="preserve"> tabConsumo[[#This Row],[Média.A]] + (_xlfn.STDEV.S( tabConsumo[[#This Row],[QTD.PENDENTE]]:tabConsumo[[#This Row],[09_23]] ) * 1)</f>
        <v>25.398986228564233</v>
      </c>
      <c r="V238" s="221">
        <f xml:space="preserve"> tabConsumo[[#This Row],[Média.A]] + (_xlfn.STDEV.S( tabConsumo[[#This Row],[QTD.PENDENTE]]:tabConsumo[[#This Row],[09_23]] ) * 2)</f>
        <v>39.297972457128466</v>
      </c>
      <c r="W238" s="221">
        <f xml:space="preserve"> tabConsumo[[#This Row],[Média.A]] + (_xlfn.STDEV.S( tabConsumo[[#This Row],[QTD.PENDENTE]]:tabConsumo[[#This Row],[09_23]] ) * 3)</f>
        <v>53.196958685692699</v>
      </c>
      <c r="X238" s="5">
        <f t="shared" si="7"/>
        <v>2</v>
      </c>
      <c r="Y238">
        <v>11.5</v>
      </c>
      <c r="Z238" s="223">
        <f>SUM( tabConsumo[[#This Row],[QTD.PENDENTE]]:tabConsumo[[#This Row],[09_23]] )</f>
        <v>138</v>
      </c>
      <c r="AA238" s="223">
        <f>LARGE(tabConsumo[[#This Row],[10_22]:[09_23]],1)</f>
        <v>38</v>
      </c>
      <c r="AB238" s="146" t="s">
        <v>2240</v>
      </c>
      <c r="AC238" s="3" t="s">
        <v>2086</v>
      </c>
    </row>
    <row r="239" spans="1:29" x14ac:dyDescent="0.3">
      <c r="A239" s="4" t="s">
        <v>954</v>
      </c>
      <c r="B239" s="3" t="s">
        <v>267</v>
      </c>
      <c r="C239" s="2">
        <v>12654</v>
      </c>
      <c r="D239" s="2">
        <v>62460</v>
      </c>
      <c r="E239" s="2">
        <v>239</v>
      </c>
      <c r="F239" s="2">
        <v>6790</v>
      </c>
      <c r="G239" s="2">
        <v>7714</v>
      </c>
      <c r="H239" s="2">
        <v>5656</v>
      </c>
      <c r="I239" s="2">
        <v>5749</v>
      </c>
      <c r="J239" s="2">
        <v>6917</v>
      </c>
      <c r="K239" s="2">
        <v>13289</v>
      </c>
      <c r="L239" s="2">
        <v>8771</v>
      </c>
      <c r="M239" s="2">
        <v>10798</v>
      </c>
      <c r="N239" s="2">
        <v>9680</v>
      </c>
      <c r="O239" s="2">
        <v>7426</v>
      </c>
      <c r="P239" s="2">
        <v>8801</v>
      </c>
      <c r="Q239" s="2">
        <v>8482</v>
      </c>
      <c r="R239" s="238">
        <v>367</v>
      </c>
      <c r="S239" s="219">
        <f xml:space="preserve"> 12</f>
        <v>12</v>
      </c>
      <c r="T239" s="220">
        <f>SUM( tabConsumo[[#This Row],[QTD.PENDENTE]]:tabConsumo[[#This Row],[09_23]] ) / tabConsumo[[#This Row],[Div]]</f>
        <v>8359.3333333333339</v>
      </c>
      <c r="U239" s="221">
        <f xml:space="preserve"> tabConsumo[[#This Row],[Média.A]] + (_xlfn.STDEV.S( tabConsumo[[#This Row],[QTD.PENDENTE]]:tabConsumo[[#This Row],[09_23]] ) * 1)</f>
        <v>11426.492072422203</v>
      </c>
      <c r="V239" s="221">
        <f xml:space="preserve"> tabConsumo[[#This Row],[Média.A]] + (_xlfn.STDEV.S( tabConsumo[[#This Row],[QTD.PENDENTE]]:tabConsumo[[#This Row],[09_23]] ) * 2)</f>
        <v>14493.650811511074</v>
      </c>
      <c r="W239" s="221">
        <f xml:space="preserve"> tabConsumo[[#This Row],[Média.A]] + (_xlfn.STDEV.S( tabConsumo[[#This Row],[QTD.PENDENTE]]:tabConsumo[[#This Row],[09_23]] ) * 3)</f>
        <v>17560.809550599944</v>
      </c>
      <c r="X239" s="5">
        <f t="shared" si="7"/>
        <v>2</v>
      </c>
      <c r="Y239">
        <v>8359.3333333333339</v>
      </c>
      <c r="Z239" s="223">
        <f>SUM( tabConsumo[[#This Row],[QTD.PENDENTE]]:tabConsumo[[#This Row],[09_23]] )</f>
        <v>100312</v>
      </c>
      <c r="AA239" s="223">
        <f>LARGE(tabConsumo[[#This Row],[10_22]:[09_23]],1)</f>
        <v>13289</v>
      </c>
      <c r="AB239" s="146" t="s">
        <v>2238</v>
      </c>
      <c r="AC239" s="3" t="s">
        <v>2086</v>
      </c>
    </row>
    <row r="240" spans="1:29" x14ac:dyDescent="0.3">
      <c r="A240" s="4" t="s">
        <v>949</v>
      </c>
      <c r="B240" s="3" t="s">
        <v>267</v>
      </c>
      <c r="C240" s="2">
        <v>12652</v>
      </c>
      <c r="D240" s="2">
        <v>2640</v>
      </c>
      <c r="E240" s="2">
        <v>84</v>
      </c>
      <c r="F240" s="2">
        <v>99</v>
      </c>
      <c r="G240" s="2">
        <v>790</v>
      </c>
      <c r="H240" s="2">
        <v>412</v>
      </c>
      <c r="I240" s="2">
        <v>116</v>
      </c>
      <c r="J240" s="2">
        <v>416</v>
      </c>
      <c r="K240" s="2">
        <v>1847</v>
      </c>
      <c r="L240" s="2">
        <v>1372</v>
      </c>
      <c r="M240" s="2">
        <v>1137</v>
      </c>
      <c r="N240" s="2">
        <v>1198</v>
      </c>
      <c r="O240" s="2">
        <v>756</v>
      </c>
      <c r="P240" s="2">
        <v>696</v>
      </c>
      <c r="Q240" s="2">
        <v>859</v>
      </c>
      <c r="R240" s="238">
        <v>367</v>
      </c>
      <c r="S240" s="219">
        <f xml:space="preserve"> 12</f>
        <v>12</v>
      </c>
      <c r="T240" s="220">
        <f>SUM( tabConsumo[[#This Row],[QTD.PENDENTE]]:tabConsumo[[#This Row],[09_23]] ) / tabConsumo[[#This Row],[Div]]</f>
        <v>815.16666666666663</v>
      </c>
      <c r="U240" s="221">
        <f xml:space="preserve"> tabConsumo[[#This Row],[Média.A]] + (_xlfn.STDEV.S( tabConsumo[[#This Row],[QTD.PENDENTE]]:tabConsumo[[#This Row],[09_23]] ) * 1)</f>
        <v>1351.5304448658499</v>
      </c>
      <c r="V240" s="221">
        <f xml:space="preserve"> tabConsumo[[#This Row],[Média.A]] + (_xlfn.STDEV.S( tabConsumo[[#This Row],[QTD.PENDENTE]]:tabConsumo[[#This Row],[09_23]] ) * 2)</f>
        <v>1887.8942230650332</v>
      </c>
      <c r="W240" s="221">
        <f xml:space="preserve"> tabConsumo[[#This Row],[Média.A]] + (_xlfn.STDEV.S( tabConsumo[[#This Row],[QTD.PENDENTE]]:tabConsumo[[#This Row],[09_23]] ) * 3)</f>
        <v>2424.2580012642161</v>
      </c>
      <c r="X240" s="5">
        <f t="shared" si="7"/>
        <v>2</v>
      </c>
      <c r="Y240">
        <v>815.16666666666663</v>
      </c>
      <c r="Z240" s="223">
        <f>SUM( tabConsumo[[#This Row],[QTD.PENDENTE]]:tabConsumo[[#This Row],[09_23]] )</f>
        <v>9782</v>
      </c>
      <c r="AA240" s="223">
        <f>LARGE(tabConsumo[[#This Row],[10_22]:[09_23]],1)</f>
        <v>1847</v>
      </c>
      <c r="AB240" s="146" t="s">
        <v>2238</v>
      </c>
      <c r="AC240" s="3" t="s">
        <v>2086</v>
      </c>
    </row>
    <row r="241" spans="1:29" x14ac:dyDescent="0.3">
      <c r="A241" s="4" t="s">
        <v>1475</v>
      </c>
      <c r="B241" s="3" t="s">
        <v>335</v>
      </c>
      <c r="C241" s="2">
        <v>81371</v>
      </c>
      <c r="D241" s="2">
        <v>0</v>
      </c>
      <c r="E241" s="2">
        <v>180</v>
      </c>
      <c r="F241" s="2">
        <v>191</v>
      </c>
      <c r="G241" s="2">
        <v>253</v>
      </c>
      <c r="H241" s="2">
        <v>137</v>
      </c>
      <c r="I241" s="2">
        <v>122</v>
      </c>
      <c r="J241" s="2">
        <v>128</v>
      </c>
      <c r="K241" s="2">
        <v>1704</v>
      </c>
      <c r="L241" s="2">
        <v>181</v>
      </c>
      <c r="M241" s="2">
        <v>255</v>
      </c>
      <c r="N241" s="2">
        <v>223</v>
      </c>
      <c r="O241" s="2">
        <v>193</v>
      </c>
      <c r="P241" s="2">
        <v>176</v>
      </c>
      <c r="Q241" s="2">
        <v>0</v>
      </c>
      <c r="R241" s="238">
        <v>38217</v>
      </c>
      <c r="S241" s="219">
        <v>12</v>
      </c>
      <c r="T241" s="220">
        <f>SUM( tabConsumo[[#This Row],[QTD.PENDENTE]]:tabConsumo[[#This Row],[09_23]] ) / tabConsumo[[#This Row],[Div]]</f>
        <v>311.91666666666669</v>
      </c>
      <c r="U241" s="221">
        <f xml:space="preserve"> tabConsumo[[#This Row],[Média.A]] + (_xlfn.STDEV.S( tabConsumo[[#This Row],[QTD.PENDENTE]]:tabConsumo[[#This Row],[09_23]] ) * 1)</f>
        <v>742.47704987643624</v>
      </c>
      <c r="V241" s="221">
        <f xml:space="preserve"> tabConsumo[[#This Row],[Média.A]] + (_xlfn.STDEV.S( tabConsumo[[#This Row],[QTD.PENDENTE]]:tabConsumo[[#This Row],[09_23]] ) * 2)</f>
        <v>1173.0374330862057</v>
      </c>
      <c r="W241" s="221">
        <f xml:space="preserve"> tabConsumo[[#This Row],[Média.A]] + (_xlfn.STDEV.S( tabConsumo[[#This Row],[QTD.PENDENTE]]:tabConsumo[[#This Row],[09_23]] ) * 3)</f>
        <v>1603.5978162959755</v>
      </c>
      <c r="X241" s="5">
        <f t="shared" si="7"/>
        <v>2</v>
      </c>
      <c r="Y241">
        <v>267.66666666666669</v>
      </c>
      <c r="Z241" s="223">
        <f>SUM( tabConsumo[[#This Row],[QTD.PENDENTE]]:tabConsumo[[#This Row],[09_23]] )</f>
        <v>3743</v>
      </c>
      <c r="AA241" s="223">
        <f>LARGE(tabConsumo[[#This Row],[10_22]:[09_23]],1)</f>
        <v>1704</v>
      </c>
      <c r="AB241" s="146" t="s">
        <v>2241</v>
      </c>
      <c r="AC241" s="3" t="s">
        <v>2086</v>
      </c>
    </row>
    <row r="242" spans="1:29" x14ac:dyDescent="0.3">
      <c r="A242" s="4" t="s">
        <v>1834</v>
      </c>
      <c r="B242" s="3" t="s">
        <v>335</v>
      </c>
      <c r="C242" s="2">
        <v>132400</v>
      </c>
      <c r="D242" s="2">
        <v>0</v>
      </c>
      <c r="E242" s="2">
        <v>179</v>
      </c>
      <c r="F242" s="2">
        <v>197</v>
      </c>
      <c r="G242" s="2">
        <v>255</v>
      </c>
      <c r="H242" s="2">
        <v>140</v>
      </c>
      <c r="I242" s="2">
        <v>125</v>
      </c>
      <c r="J242" s="2">
        <v>130</v>
      </c>
      <c r="K242" s="2">
        <v>1701</v>
      </c>
      <c r="L242" s="2">
        <v>184</v>
      </c>
      <c r="M242" s="2">
        <v>255</v>
      </c>
      <c r="N242" s="2">
        <v>223</v>
      </c>
      <c r="O242" s="2">
        <v>191</v>
      </c>
      <c r="P242" s="2">
        <v>188</v>
      </c>
      <c r="Q242" s="2">
        <v>0</v>
      </c>
      <c r="R242" s="238">
        <v>42765</v>
      </c>
      <c r="S242" s="219">
        <v>12</v>
      </c>
      <c r="T242" s="220">
        <f>SUM( tabConsumo[[#This Row],[QTD.PENDENTE]]:tabConsumo[[#This Row],[09_23]] ) / tabConsumo[[#This Row],[Div]]</f>
        <v>314</v>
      </c>
      <c r="U242" s="221">
        <f xml:space="preserve"> tabConsumo[[#This Row],[Média.A]] + (_xlfn.STDEV.S( tabConsumo[[#This Row],[QTD.PENDENTE]]:tabConsumo[[#This Row],[09_23]] ) * 1)</f>
        <v>743.11689280696896</v>
      </c>
      <c r="V242" s="221">
        <f xml:space="preserve"> tabConsumo[[#This Row],[Média.A]] + (_xlfn.STDEV.S( tabConsumo[[#This Row],[QTD.PENDENTE]]:tabConsumo[[#This Row],[09_23]] ) * 2)</f>
        <v>1172.2337856139379</v>
      </c>
      <c r="W242" s="221">
        <f xml:space="preserve"> tabConsumo[[#This Row],[Média.A]] + (_xlfn.STDEV.S( tabConsumo[[#This Row],[QTD.PENDENTE]]:tabConsumo[[#This Row],[09_23]] ) * 3)</f>
        <v>1601.3506784209067</v>
      </c>
      <c r="X242" s="5">
        <f t="shared" si="7"/>
        <v>2</v>
      </c>
      <c r="Y242">
        <v>269.91666666666669</v>
      </c>
      <c r="Z242" s="223">
        <f>SUM( tabConsumo[[#This Row],[QTD.PENDENTE]]:tabConsumo[[#This Row],[09_23]] )</f>
        <v>3768</v>
      </c>
      <c r="AA242" s="223">
        <f>LARGE(tabConsumo[[#This Row],[10_22]:[09_23]],1)</f>
        <v>1701</v>
      </c>
      <c r="AB242" s="146" t="s">
        <v>2241</v>
      </c>
      <c r="AC242" s="3" t="s">
        <v>2086</v>
      </c>
    </row>
    <row r="243" spans="1:29" x14ac:dyDescent="0.3">
      <c r="A243" s="4" t="s">
        <v>1473</v>
      </c>
      <c r="B243" s="3" t="s">
        <v>335</v>
      </c>
      <c r="C243" s="2">
        <v>81370</v>
      </c>
      <c r="D243" s="2">
        <v>0</v>
      </c>
      <c r="E243" s="2">
        <v>183</v>
      </c>
      <c r="F243" s="2">
        <v>195</v>
      </c>
      <c r="G243" s="2">
        <v>253</v>
      </c>
      <c r="H243" s="2">
        <v>137</v>
      </c>
      <c r="I243" s="2">
        <v>125</v>
      </c>
      <c r="J243" s="2">
        <v>126</v>
      </c>
      <c r="K243" s="2">
        <v>1694</v>
      </c>
      <c r="L243" s="2">
        <v>180</v>
      </c>
      <c r="M243" s="2">
        <v>255</v>
      </c>
      <c r="N243" s="2">
        <v>223</v>
      </c>
      <c r="O243" s="2">
        <v>191</v>
      </c>
      <c r="P243" s="2">
        <v>245</v>
      </c>
      <c r="Q243" s="2">
        <v>80</v>
      </c>
      <c r="R243" s="238">
        <v>38217</v>
      </c>
      <c r="S243" s="219">
        <v>12</v>
      </c>
      <c r="T243" s="220">
        <f>SUM( tabConsumo[[#This Row],[QTD.PENDENTE]]:tabConsumo[[#This Row],[09_23]] ) / tabConsumo[[#This Row],[Div]]</f>
        <v>323.91666666666669</v>
      </c>
      <c r="U243" s="221">
        <f xml:space="preserve"> tabConsumo[[#This Row],[Média.A]] + (_xlfn.STDEV.S( tabConsumo[[#This Row],[QTD.PENDENTE]]:tabConsumo[[#This Row],[09_23]] ) * 1)</f>
        <v>746.53509188418298</v>
      </c>
      <c r="V243" s="221">
        <f xml:space="preserve"> tabConsumo[[#This Row],[Média.A]] + (_xlfn.STDEV.S( tabConsumo[[#This Row],[QTD.PENDENTE]]:tabConsumo[[#This Row],[09_23]] ) * 2)</f>
        <v>1169.1535171016992</v>
      </c>
      <c r="W243" s="221">
        <f xml:space="preserve"> tabConsumo[[#This Row],[Média.A]] + (_xlfn.STDEV.S( tabConsumo[[#This Row],[QTD.PENDENTE]]:tabConsumo[[#This Row],[09_23]] ) * 3)</f>
        <v>1591.7719423192154</v>
      </c>
      <c r="X243" s="5">
        <f t="shared" si="7"/>
        <v>2</v>
      </c>
      <c r="Y243">
        <v>280.16666666666669</v>
      </c>
      <c r="Z243" s="223">
        <f>SUM( tabConsumo[[#This Row],[QTD.PENDENTE]]:tabConsumo[[#This Row],[09_23]] )</f>
        <v>3887</v>
      </c>
      <c r="AA243" s="223">
        <f>LARGE(tabConsumo[[#This Row],[10_22]:[09_23]],1)</f>
        <v>1694</v>
      </c>
      <c r="AB243" s="146" t="s">
        <v>2238</v>
      </c>
      <c r="AC243" s="3" t="s">
        <v>2086</v>
      </c>
    </row>
    <row r="244" spans="1:29" x14ac:dyDescent="0.3">
      <c r="A244" s="4" t="s">
        <v>1441</v>
      </c>
      <c r="B244" s="3" t="s">
        <v>436</v>
      </c>
      <c r="C244" s="2">
        <v>78055</v>
      </c>
      <c r="D244" s="2">
        <v>0</v>
      </c>
      <c r="F244" s="2">
        <v>0</v>
      </c>
      <c r="G244" s="2">
        <v>0</v>
      </c>
      <c r="H244" s="2">
        <v>13</v>
      </c>
      <c r="I244" s="2">
        <v>6</v>
      </c>
      <c r="J244" s="2">
        <v>4</v>
      </c>
      <c r="K244" s="2">
        <v>20</v>
      </c>
      <c r="L244" s="2">
        <v>218</v>
      </c>
      <c r="M244" s="2">
        <v>0</v>
      </c>
      <c r="N244" s="2">
        <v>0</v>
      </c>
      <c r="O244" s="2">
        <v>0</v>
      </c>
      <c r="P244" s="2">
        <v>0</v>
      </c>
      <c r="Q244" s="2">
        <v>0</v>
      </c>
      <c r="R244" s="238">
        <v>38072</v>
      </c>
      <c r="S244" s="219">
        <v>12</v>
      </c>
      <c r="T244" s="220">
        <f>SUM( tabConsumo[[#This Row],[QTD.PENDENTE]]:tabConsumo[[#This Row],[09_23]] ) / tabConsumo[[#This Row],[Div]]</f>
        <v>21.75</v>
      </c>
      <c r="U244" s="221">
        <f xml:space="preserve"> tabConsumo[[#This Row],[Média.A]] + (_xlfn.STDEV.S( tabConsumo[[#This Row],[QTD.PENDENTE]]:tabConsumo[[#This Row],[09_23]] ) * 1)</f>
        <v>83.884933813435424</v>
      </c>
      <c r="V244" s="221">
        <f xml:space="preserve"> tabConsumo[[#This Row],[Média.A]] + (_xlfn.STDEV.S( tabConsumo[[#This Row],[QTD.PENDENTE]]:tabConsumo[[#This Row],[09_23]] ) * 2)</f>
        <v>146.01986762687085</v>
      </c>
      <c r="W244" s="221">
        <f xml:space="preserve"> tabConsumo[[#This Row],[Média.A]] + (_xlfn.STDEV.S( tabConsumo[[#This Row],[QTD.PENDENTE]]:tabConsumo[[#This Row],[09_23]] ) * 3)</f>
        <v>208.15480144030624</v>
      </c>
      <c r="X244" s="5">
        <f t="shared" si="7"/>
        <v>2</v>
      </c>
      <c r="Y244">
        <v>15.75</v>
      </c>
      <c r="Z244" s="223">
        <f>SUM( tabConsumo[[#This Row],[QTD.PENDENTE]]:tabConsumo[[#This Row],[09_23]] )</f>
        <v>261</v>
      </c>
      <c r="AA244" s="223">
        <f>LARGE(tabConsumo[[#This Row],[10_22]:[09_23]],1)</f>
        <v>218</v>
      </c>
      <c r="AB244" s="146" t="s">
        <v>2240</v>
      </c>
      <c r="AC244" s="3" t="s">
        <v>2086</v>
      </c>
    </row>
    <row r="245" spans="1:29" x14ac:dyDescent="0.3">
      <c r="A245" s="4" t="s">
        <v>1902</v>
      </c>
      <c r="B245" s="3" t="s">
        <v>436</v>
      </c>
      <c r="C245" s="2">
        <v>134569</v>
      </c>
      <c r="D245" s="2">
        <v>100</v>
      </c>
      <c r="F245" s="2">
        <v>31</v>
      </c>
      <c r="G245" s="2">
        <v>10</v>
      </c>
      <c r="H245" s="2">
        <v>0</v>
      </c>
      <c r="I245" s="2">
        <v>32</v>
      </c>
      <c r="J245" s="2">
        <v>0</v>
      </c>
      <c r="K245" s="2">
        <v>20</v>
      </c>
      <c r="L245" s="2">
        <v>100</v>
      </c>
      <c r="M245" s="2">
        <v>86</v>
      </c>
      <c r="N245" s="2">
        <v>0</v>
      </c>
      <c r="O245" s="2">
        <v>0</v>
      </c>
      <c r="P245" s="2">
        <v>0</v>
      </c>
      <c r="Q245" s="2">
        <v>0</v>
      </c>
      <c r="R245" s="238">
        <v>43174</v>
      </c>
      <c r="S245" s="219">
        <v>12</v>
      </c>
      <c r="T245" s="220">
        <f>SUM( tabConsumo[[#This Row],[QTD.PENDENTE]]:tabConsumo[[#This Row],[09_23]] ) / tabConsumo[[#This Row],[Div]]</f>
        <v>23.25</v>
      </c>
      <c r="U245" s="221">
        <f xml:space="preserve"> tabConsumo[[#This Row],[Média.A]] + (_xlfn.STDEV.S( tabConsumo[[#This Row],[QTD.PENDENTE]]:tabConsumo[[#This Row],[09_23]] ) * 1)</f>
        <v>58.144972286979836</v>
      </c>
      <c r="V245" s="221">
        <f xml:space="preserve"> tabConsumo[[#This Row],[Média.A]] + (_xlfn.STDEV.S( tabConsumo[[#This Row],[QTD.PENDENTE]]:tabConsumo[[#This Row],[09_23]] ) * 2)</f>
        <v>93.039944573959673</v>
      </c>
      <c r="W245" s="221">
        <f xml:space="preserve"> tabConsumo[[#This Row],[Média.A]] + (_xlfn.STDEV.S( tabConsumo[[#This Row],[QTD.PENDENTE]]:tabConsumo[[#This Row],[09_23]] ) * 3)</f>
        <v>127.93491686093951</v>
      </c>
      <c r="X245" s="5">
        <f t="shared" si="7"/>
        <v>2</v>
      </c>
      <c r="Y245">
        <v>22.666666666666668</v>
      </c>
      <c r="Z245" s="223">
        <f>SUM( tabConsumo[[#This Row],[QTD.PENDENTE]]:tabConsumo[[#This Row],[09_23]] )</f>
        <v>279</v>
      </c>
      <c r="AA245" s="223">
        <f>LARGE(tabConsumo[[#This Row],[10_22]:[09_23]],1)</f>
        <v>100</v>
      </c>
      <c r="AB245" s="146" t="s">
        <v>2244</v>
      </c>
      <c r="AC245" s="3" t="s">
        <v>2086</v>
      </c>
    </row>
    <row r="246" spans="1:29" x14ac:dyDescent="0.3">
      <c r="A246" s="4" t="s">
        <v>936</v>
      </c>
      <c r="B246" s="3" t="s">
        <v>335</v>
      </c>
      <c r="C246" s="2">
        <v>11448</v>
      </c>
      <c r="D246" s="2">
        <v>504</v>
      </c>
      <c r="E246" s="2">
        <v>76</v>
      </c>
      <c r="F246" s="2">
        <v>63</v>
      </c>
      <c r="G246" s="2">
        <v>67</v>
      </c>
      <c r="H246" s="2">
        <v>51</v>
      </c>
      <c r="I246" s="2">
        <v>0</v>
      </c>
      <c r="J246" s="2">
        <v>0</v>
      </c>
      <c r="K246" s="2">
        <v>0</v>
      </c>
      <c r="L246" s="2">
        <v>71</v>
      </c>
      <c r="M246" s="2">
        <v>94</v>
      </c>
      <c r="N246" s="2">
        <v>82</v>
      </c>
      <c r="O246" s="2">
        <v>73</v>
      </c>
      <c r="P246" s="2">
        <v>65</v>
      </c>
      <c r="Q246" s="2">
        <v>65</v>
      </c>
      <c r="R246" s="238">
        <v>367</v>
      </c>
      <c r="S246" s="219">
        <f xml:space="preserve"> 12</f>
        <v>12</v>
      </c>
      <c r="T246" s="220">
        <f>SUM( tabConsumo[[#This Row],[QTD.PENDENTE]]:tabConsumo[[#This Row],[09_23]] ) / tabConsumo[[#This Row],[Div]]</f>
        <v>58.916666666666664</v>
      </c>
      <c r="U246" s="221">
        <f xml:space="preserve"> tabConsumo[[#This Row],[Média.A]] + (_xlfn.STDEV.S( tabConsumo[[#This Row],[QTD.PENDENTE]]:tabConsumo[[#This Row],[09_23]] ) * 1)</f>
        <v>91.531945452174696</v>
      </c>
      <c r="V246" s="221">
        <f xml:space="preserve"> tabConsumo[[#This Row],[Média.A]] + (_xlfn.STDEV.S( tabConsumo[[#This Row],[QTD.PENDENTE]]:tabConsumo[[#This Row],[09_23]] ) * 2)</f>
        <v>124.14722423768274</v>
      </c>
      <c r="W246" s="221">
        <f xml:space="preserve"> tabConsumo[[#This Row],[Média.A]] + (_xlfn.STDEV.S( tabConsumo[[#This Row],[QTD.PENDENTE]]:tabConsumo[[#This Row],[09_23]] ) * 3)</f>
        <v>156.76250302319076</v>
      </c>
      <c r="X246" s="5">
        <f t="shared" si="7"/>
        <v>2</v>
      </c>
      <c r="Y246">
        <v>58.916666666666664</v>
      </c>
      <c r="Z246" s="223">
        <f>SUM( tabConsumo[[#This Row],[QTD.PENDENTE]]:tabConsumo[[#This Row],[09_23]] )</f>
        <v>707</v>
      </c>
      <c r="AA246" s="223">
        <f>LARGE(tabConsumo[[#This Row],[10_22]:[09_23]],1)</f>
        <v>94</v>
      </c>
      <c r="AB246" s="146" t="s">
        <v>2238</v>
      </c>
      <c r="AC246" s="3" t="s">
        <v>2086</v>
      </c>
    </row>
    <row r="247" spans="1:29" x14ac:dyDescent="0.3">
      <c r="A247" s="4" t="s">
        <v>1913</v>
      </c>
      <c r="B247" s="3" t="s">
        <v>263</v>
      </c>
      <c r="C247" s="2">
        <v>135301</v>
      </c>
      <c r="D247" s="2">
        <v>345</v>
      </c>
      <c r="F247" s="2">
        <v>19</v>
      </c>
      <c r="G247" s="2">
        <v>6</v>
      </c>
      <c r="H247" s="2">
        <v>14</v>
      </c>
      <c r="I247" s="2">
        <v>22</v>
      </c>
      <c r="J247" s="2">
        <v>20</v>
      </c>
      <c r="K247" s="2">
        <v>32</v>
      </c>
      <c r="L247" s="2">
        <v>10</v>
      </c>
      <c r="M247" s="2">
        <v>40</v>
      </c>
      <c r="N247" s="2">
        <v>0</v>
      </c>
      <c r="O247" s="2">
        <v>0</v>
      </c>
      <c r="P247" s="2">
        <v>0</v>
      </c>
      <c r="Q247" s="2">
        <v>20</v>
      </c>
      <c r="R247" s="238">
        <v>43277</v>
      </c>
      <c r="S247" s="219">
        <v>12</v>
      </c>
      <c r="T247" s="220">
        <f>SUM( tabConsumo[[#This Row],[QTD.PENDENTE]]:tabConsumo[[#This Row],[09_23]] ) / tabConsumo[[#This Row],[Div]]</f>
        <v>15.25</v>
      </c>
      <c r="U247" s="221">
        <f xml:space="preserve"> tabConsumo[[#This Row],[Média.A]] + (_xlfn.STDEV.S( tabConsumo[[#This Row],[QTD.PENDENTE]]:tabConsumo[[#This Row],[09_23]] ) * 1)</f>
        <v>28.078413067023597</v>
      </c>
      <c r="V247" s="221">
        <f xml:space="preserve"> tabConsumo[[#This Row],[Média.A]] + (_xlfn.STDEV.S( tabConsumo[[#This Row],[QTD.PENDENTE]]:tabConsumo[[#This Row],[09_23]] ) * 2)</f>
        <v>40.906826134047193</v>
      </c>
      <c r="W247" s="221">
        <f xml:space="preserve"> tabConsumo[[#This Row],[Média.A]] + (_xlfn.STDEV.S( tabConsumo[[#This Row],[QTD.PENDENTE]]:tabConsumo[[#This Row],[09_23]] ) * 3)</f>
        <v>53.735239201070797</v>
      </c>
      <c r="X247" s="5">
        <f t="shared" si="7"/>
        <v>2</v>
      </c>
      <c r="Y247">
        <v>15.25</v>
      </c>
      <c r="Z247" s="223">
        <f>SUM( tabConsumo[[#This Row],[QTD.PENDENTE]]:tabConsumo[[#This Row],[09_23]] )</f>
        <v>183</v>
      </c>
      <c r="AA247" s="223">
        <f>LARGE(tabConsumo[[#This Row],[10_22]:[09_23]],1)</f>
        <v>40</v>
      </c>
      <c r="AB247" s="146" t="s">
        <v>2238</v>
      </c>
      <c r="AC247" s="3" t="s">
        <v>2086</v>
      </c>
    </row>
    <row r="248" spans="1:29" x14ac:dyDescent="0.3">
      <c r="A248" s="4" t="s">
        <v>1205</v>
      </c>
      <c r="B248" s="3" t="s">
        <v>263</v>
      </c>
      <c r="C248" s="2">
        <v>25523</v>
      </c>
      <c r="D248" s="2">
        <v>692</v>
      </c>
      <c r="F248" s="2">
        <v>33</v>
      </c>
      <c r="G248" s="2">
        <v>17</v>
      </c>
      <c r="H248" s="2">
        <v>24</v>
      </c>
      <c r="I248" s="2">
        <v>31</v>
      </c>
      <c r="J248" s="2">
        <v>15</v>
      </c>
      <c r="K248" s="2">
        <v>71</v>
      </c>
      <c r="L248" s="2">
        <v>30</v>
      </c>
      <c r="M248" s="2">
        <v>0</v>
      </c>
      <c r="N248" s="2">
        <v>0</v>
      </c>
      <c r="O248" s="2">
        <v>0</v>
      </c>
      <c r="P248" s="2">
        <v>0</v>
      </c>
      <c r="Q248" s="2">
        <v>50</v>
      </c>
      <c r="R248" s="238">
        <v>367</v>
      </c>
      <c r="S248" s="219">
        <f xml:space="preserve"> 12</f>
        <v>12</v>
      </c>
      <c r="T248" s="220">
        <f>SUM( tabConsumo[[#This Row],[QTD.PENDENTE]]:tabConsumo[[#This Row],[09_23]] ) / tabConsumo[[#This Row],[Div]]</f>
        <v>22.583333333333332</v>
      </c>
      <c r="U248" s="221">
        <f xml:space="preserve"> tabConsumo[[#This Row],[Média.A]] + (_xlfn.STDEV.S( tabConsumo[[#This Row],[QTD.PENDENTE]]:tabConsumo[[#This Row],[09_23]] ) * 1)</f>
        <v>44.864423290895317</v>
      </c>
      <c r="V248" s="221">
        <f xml:space="preserve"> tabConsumo[[#This Row],[Média.A]] + (_xlfn.STDEV.S( tabConsumo[[#This Row],[QTD.PENDENTE]]:tabConsumo[[#This Row],[09_23]] ) * 2)</f>
        <v>67.145513248457306</v>
      </c>
      <c r="W248" s="221">
        <f xml:space="preserve"> tabConsumo[[#This Row],[Média.A]] + (_xlfn.STDEV.S( tabConsumo[[#This Row],[QTD.PENDENTE]]:tabConsumo[[#This Row],[09_23]] ) * 3)</f>
        <v>89.426603206019294</v>
      </c>
      <c r="X248" s="5">
        <f t="shared" si="7"/>
        <v>2</v>
      </c>
      <c r="Y248">
        <v>22.25</v>
      </c>
      <c r="Z248" s="223">
        <f>SUM( tabConsumo[[#This Row],[QTD.PENDENTE]]:tabConsumo[[#This Row],[09_23]] )</f>
        <v>271</v>
      </c>
      <c r="AA248" s="223">
        <f>LARGE(tabConsumo[[#This Row],[10_22]:[09_23]],1)</f>
        <v>71</v>
      </c>
      <c r="AB248" s="146" t="s">
        <v>2238</v>
      </c>
      <c r="AC248" s="3" t="s">
        <v>2086</v>
      </c>
    </row>
    <row r="249" spans="1:29" x14ac:dyDescent="0.3">
      <c r="A249" s="4" t="s">
        <v>1911</v>
      </c>
      <c r="B249" s="3" t="s">
        <v>263</v>
      </c>
      <c r="C249" s="2">
        <v>135299</v>
      </c>
      <c r="D249" s="2">
        <v>45</v>
      </c>
      <c r="F249" s="2">
        <v>14</v>
      </c>
      <c r="G249" s="2">
        <v>4</v>
      </c>
      <c r="H249" s="2">
        <v>0</v>
      </c>
      <c r="I249" s="2">
        <v>0</v>
      </c>
      <c r="J249" s="2">
        <v>5</v>
      </c>
      <c r="K249" s="2">
        <v>4</v>
      </c>
      <c r="L249" s="2">
        <v>20</v>
      </c>
      <c r="M249" s="2">
        <v>0</v>
      </c>
      <c r="N249" s="2">
        <v>0</v>
      </c>
      <c r="O249" s="2">
        <v>0</v>
      </c>
      <c r="P249" s="2">
        <v>0</v>
      </c>
      <c r="Q249" s="2">
        <v>0</v>
      </c>
      <c r="R249" s="238">
        <v>43277</v>
      </c>
      <c r="S249" s="219">
        <v>12</v>
      </c>
      <c r="T249" s="220">
        <f>SUM( tabConsumo[[#This Row],[QTD.PENDENTE]]:tabConsumo[[#This Row],[09_23]] ) / tabConsumo[[#This Row],[Div]]</f>
        <v>3.9166666666666665</v>
      </c>
      <c r="U249" s="221">
        <f xml:space="preserve"> tabConsumo[[#This Row],[Média.A]] + (_xlfn.STDEV.S( tabConsumo[[#This Row],[QTD.PENDENTE]]:tabConsumo[[#This Row],[09_23]] ) * 1)</f>
        <v>10.445739179572913</v>
      </c>
      <c r="V249" s="221">
        <f xml:space="preserve"> tabConsumo[[#This Row],[Média.A]] + (_xlfn.STDEV.S( tabConsumo[[#This Row],[QTD.PENDENTE]]:tabConsumo[[#This Row],[09_23]] ) * 2)</f>
        <v>16.974811692479157</v>
      </c>
      <c r="W249" s="221">
        <f xml:space="preserve"> tabConsumo[[#This Row],[Média.A]] + (_xlfn.STDEV.S( tabConsumo[[#This Row],[QTD.PENDENTE]]:tabConsumo[[#This Row],[09_23]] ) * 3)</f>
        <v>23.503884205385404</v>
      </c>
      <c r="X249" s="5">
        <f t="shared" si="7"/>
        <v>2</v>
      </c>
      <c r="Y249">
        <v>3.5833333333333335</v>
      </c>
      <c r="Z249" s="223">
        <f>SUM( tabConsumo[[#This Row],[QTD.PENDENTE]]:tabConsumo[[#This Row],[09_23]] )</f>
        <v>47</v>
      </c>
      <c r="AA249" s="223">
        <f>LARGE(tabConsumo[[#This Row],[10_22]:[09_23]],1)</f>
        <v>20</v>
      </c>
      <c r="AB249" s="146" t="s">
        <v>2240</v>
      </c>
      <c r="AC249" s="3" t="s">
        <v>2086</v>
      </c>
    </row>
    <row r="250" spans="1:29" x14ac:dyDescent="0.3">
      <c r="A250" s="4" t="s">
        <v>1912</v>
      </c>
      <c r="B250" s="3" t="s">
        <v>263</v>
      </c>
      <c r="C250" s="2">
        <v>135300</v>
      </c>
      <c r="D250" s="2">
        <v>323</v>
      </c>
      <c r="F250" s="2">
        <v>14</v>
      </c>
      <c r="G250" s="2">
        <v>14</v>
      </c>
      <c r="H250" s="2">
        <v>18</v>
      </c>
      <c r="I250" s="2">
        <v>11</v>
      </c>
      <c r="J250" s="2">
        <v>9</v>
      </c>
      <c r="K250" s="2">
        <v>4</v>
      </c>
      <c r="L250" s="2">
        <v>15</v>
      </c>
      <c r="M250" s="2">
        <v>0</v>
      </c>
      <c r="N250" s="2">
        <v>0</v>
      </c>
      <c r="O250" s="2">
        <v>0</v>
      </c>
      <c r="P250" s="2">
        <v>0</v>
      </c>
      <c r="Q250" s="2">
        <v>10</v>
      </c>
      <c r="R250" s="238">
        <v>43277</v>
      </c>
      <c r="S250" s="219">
        <v>12</v>
      </c>
      <c r="T250" s="220">
        <f>SUM( tabConsumo[[#This Row],[QTD.PENDENTE]]:tabConsumo[[#This Row],[09_23]] ) / tabConsumo[[#This Row],[Div]]</f>
        <v>7.916666666666667</v>
      </c>
      <c r="U250" s="221">
        <f xml:space="preserve"> tabConsumo[[#This Row],[Média.A]] + (_xlfn.STDEV.S( tabConsumo[[#This Row],[QTD.PENDENTE]]:tabConsumo[[#This Row],[09_23]] ) * 1)</f>
        <v>14.705137284805435</v>
      </c>
      <c r="V250" s="221">
        <f xml:space="preserve"> tabConsumo[[#This Row],[Média.A]] + (_xlfn.STDEV.S( tabConsumo[[#This Row],[QTD.PENDENTE]]:tabConsumo[[#This Row],[09_23]] ) * 2)</f>
        <v>21.493607902944202</v>
      </c>
      <c r="W250" s="221">
        <f xml:space="preserve"> tabConsumo[[#This Row],[Média.A]] + (_xlfn.STDEV.S( tabConsumo[[#This Row],[QTD.PENDENTE]]:tabConsumo[[#This Row],[09_23]] ) * 3)</f>
        <v>28.282078521082969</v>
      </c>
      <c r="X250" s="5">
        <f t="shared" si="7"/>
        <v>2</v>
      </c>
      <c r="Y250">
        <v>7.916666666666667</v>
      </c>
      <c r="Z250" s="223">
        <f>SUM( tabConsumo[[#This Row],[QTD.PENDENTE]]:tabConsumo[[#This Row],[09_23]] )</f>
        <v>95</v>
      </c>
      <c r="AA250" s="223">
        <f>LARGE(tabConsumo[[#This Row],[10_22]:[09_23]],1)</f>
        <v>18</v>
      </c>
      <c r="AB250" s="146" t="s">
        <v>2238</v>
      </c>
      <c r="AC250" s="3" t="s">
        <v>2086</v>
      </c>
    </row>
    <row r="251" spans="1:29" x14ac:dyDescent="0.3">
      <c r="A251" s="4" t="s">
        <v>1322</v>
      </c>
      <c r="B251" s="3" t="s">
        <v>263</v>
      </c>
      <c r="C251" s="2">
        <v>54586</v>
      </c>
      <c r="D251" s="2">
        <v>10</v>
      </c>
      <c r="E251" s="2">
        <v>1</v>
      </c>
      <c r="F251" s="2">
        <v>4</v>
      </c>
      <c r="G251" s="2">
        <v>10</v>
      </c>
      <c r="H251" s="2">
        <v>3</v>
      </c>
      <c r="I251" s="2">
        <v>25</v>
      </c>
      <c r="J251" s="2">
        <v>5</v>
      </c>
      <c r="K251" s="2">
        <v>5</v>
      </c>
      <c r="L251" s="2">
        <v>6</v>
      </c>
      <c r="M251" s="2">
        <v>0</v>
      </c>
      <c r="N251" s="2">
        <v>0</v>
      </c>
      <c r="O251" s="2">
        <v>0</v>
      </c>
      <c r="P251" s="2">
        <v>11</v>
      </c>
      <c r="Q251" s="2">
        <v>0</v>
      </c>
      <c r="R251" s="238">
        <v>367</v>
      </c>
      <c r="S251" s="219">
        <f xml:space="preserve"> 12</f>
        <v>12</v>
      </c>
      <c r="T251" s="220">
        <f>SUM( tabConsumo[[#This Row],[QTD.PENDENTE]]:tabConsumo[[#This Row],[09_23]] ) / tabConsumo[[#This Row],[Div]]</f>
        <v>5.833333333333333</v>
      </c>
      <c r="U251" s="221">
        <f xml:space="preserve"> tabConsumo[[#This Row],[Média.A]] + (_xlfn.STDEV.S( tabConsumo[[#This Row],[QTD.PENDENTE]]:tabConsumo[[#This Row],[09_23]] ) * 1)</f>
        <v>12.792002525289288</v>
      </c>
      <c r="V251" s="221">
        <f xml:space="preserve"> tabConsumo[[#This Row],[Média.A]] + (_xlfn.STDEV.S( tabConsumo[[#This Row],[QTD.PENDENTE]]:tabConsumo[[#This Row],[09_23]] ) * 2)</f>
        <v>19.75067171724524</v>
      </c>
      <c r="W251" s="221">
        <f xml:space="preserve"> tabConsumo[[#This Row],[Média.A]] + (_xlfn.STDEV.S( tabConsumo[[#This Row],[QTD.PENDENTE]]:tabConsumo[[#This Row],[09_23]] ) * 3)</f>
        <v>26.709340909201192</v>
      </c>
      <c r="X251" s="5">
        <f t="shared" si="7"/>
        <v>2</v>
      </c>
      <c r="Y251">
        <v>5.333333333333333</v>
      </c>
      <c r="Z251" s="223">
        <f>SUM( tabConsumo[[#This Row],[QTD.PENDENTE]]:tabConsumo[[#This Row],[09_23]] )</f>
        <v>70</v>
      </c>
      <c r="AA251" s="223">
        <f>LARGE(tabConsumo[[#This Row],[10_22]:[09_23]],1)</f>
        <v>25</v>
      </c>
      <c r="AB251" s="146" t="s">
        <v>2241</v>
      </c>
      <c r="AC251" s="3" t="s">
        <v>2086</v>
      </c>
    </row>
    <row r="252" spans="1:29" x14ac:dyDescent="0.3">
      <c r="A252" s="4" t="s">
        <v>1361</v>
      </c>
      <c r="B252" s="3" t="s">
        <v>263</v>
      </c>
      <c r="C252" s="2">
        <v>63277</v>
      </c>
      <c r="D252" s="2">
        <v>308</v>
      </c>
      <c r="F252" s="2">
        <v>14</v>
      </c>
      <c r="G252" s="2">
        <v>9</v>
      </c>
      <c r="H252" s="2">
        <v>21</v>
      </c>
      <c r="I252" s="2">
        <v>2</v>
      </c>
      <c r="J252" s="2">
        <v>0</v>
      </c>
      <c r="K252" s="2">
        <v>0</v>
      </c>
      <c r="L252" s="2">
        <v>20</v>
      </c>
      <c r="M252" s="2">
        <v>10</v>
      </c>
      <c r="N252" s="2">
        <v>0</v>
      </c>
      <c r="O252" s="2">
        <v>20</v>
      </c>
      <c r="P252" s="2">
        <v>0</v>
      </c>
      <c r="Q252" s="2">
        <v>0</v>
      </c>
      <c r="R252" s="238">
        <v>367</v>
      </c>
      <c r="S252" s="219">
        <f xml:space="preserve"> 12</f>
        <v>12</v>
      </c>
      <c r="T252" s="220">
        <f>SUM( tabConsumo[[#This Row],[QTD.PENDENTE]]:tabConsumo[[#This Row],[09_23]] ) / tabConsumo[[#This Row],[Div]]</f>
        <v>8</v>
      </c>
      <c r="U252" s="221">
        <f xml:space="preserve"> tabConsumo[[#This Row],[Média.A]] + (_xlfn.STDEV.S( tabConsumo[[#This Row],[QTD.PENDENTE]]:tabConsumo[[#This Row],[09_23]] ) * 1)</f>
        <v>16.811149961064313</v>
      </c>
      <c r="V252" s="221">
        <f xml:space="preserve"> tabConsumo[[#This Row],[Média.A]] + (_xlfn.STDEV.S( tabConsumo[[#This Row],[QTD.PENDENTE]]:tabConsumo[[#This Row],[09_23]] ) * 2)</f>
        <v>25.622299922128626</v>
      </c>
      <c r="W252" s="221">
        <f xml:space="preserve"> tabConsumo[[#This Row],[Média.A]] + (_xlfn.STDEV.S( tabConsumo[[#This Row],[QTD.PENDENTE]]:tabConsumo[[#This Row],[09_23]] ) * 3)</f>
        <v>34.433449883192935</v>
      </c>
      <c r="X252" s="5">
        <f t="shared" si="7"/>
        <v>2</v>
      </c>
      <c r="Y252">
        <v>8</v>
      </c>
      <c r="Z252" s="223">
        <f>SUM( tabConsumo[[#This Row],[QTD.PENDENTE]]:tabConsumo[[#This Row],[09_23]] )</f>
        <v>96</v>
      </c>
      <c r="AA252" s="223">
        <f>LARGE(tabConsumo[[#This Row],[10_22]:[09_23]],1)</f>
        <v>21</v>
      </c>
      <c r="AB252" s="146" t="s">
        <v>2239</v>
      </c>
      <c r="AC252" s="3" t="s">
        <v>2086</v>
      </c>
    </row>
    <row r="253" spans="1:29" x14ac:dyDescent="0.3">
      <c r="A253" s="4" t="s">
        <v>1914</v>
      </c>
      <c r="B253" s="3" t="s">
        <v>263</v>
      </c>
      <c r="C253" s="2">
        <v>135302</v>
      </c>
      <c r="D253" s="2">
        <v>593</v>
      </c>
      <c r="F253" s="2">
        <v>8</v>
      </c>
      <c r="G253" s="2">
        <v>30</v>
      </c>
      <c r="H253" s="2">
        <v>19</v>
      </c>
      <c r="I253" s="2">
        <v>14</v>
      </c>
      <c r="J253" s="2">
        <v>47</v>
      </c>
      <c r="K253" s="2">
        <v>13</v>
      </c>
      <c r="L253" s="2">
        <v>80</v>
      </c>
      <c r="M253" s="2">
        <v>2</v>
      </c>
      <c r="N253" s="2">
        <v>0</v>
      </c>
      <c r="O253" s="2">
        <v>0</v>
      </c>
      <c r="P253" s="2">
        <v>0</v>
      </c>
      <c r="Q253" s="2">
        <v>0</v>
      </c>
      <c r="R253" s="238">
        <v>43277</v>
      </c>
      <c r="S253" s="219">
        <v>12</v>
      </c>
      <c r="T253" s="220">
        <f>SUM( tabConsumo[[#This Row],[QTD.PENDENTE]]:tabConsumo[[#This Row],[09_23]] ) / tabConsumo[[#This Row],[Div]]</f>
        <v>17.75</v>
      </c>
      <c r="U253" s="221">
        <f xml:space="preserve"> tabConsumo[[#This Row],[Média.A]] + (_xlfn.STDEV.S( tabConsumo[[#This Row],[QTD.PENDENTE]]:tabConsumo[[#This Row],[09_23]] ) * 1)</f>
        <v>42.100191337683938</v>
      </c>
      <c r="V253" s="221">
        <f xml:space="preserve"> tabConsumo[[#This Row],[Média.A]] + (_xlfn.STDEV.S( tabConsumo[[#This Row],[QTD.PENDENTE]]:tabConsumo[[#This Row],[09_23]] ) * 2)</f>
        <v>66.450382675367877</v>
      </c>
      <c r="W253" s="221">
        <f xml:space="preserve"> tabConsumo[[#This Row],[Média.A]] + (_xlfn.STDEV.S( tabConsumo[[#This Row],[QTD.PENDENTE]]:tabConsumo[[#This Row],[09_23]] ) * 3)</f>
        <v>90.800574013051829</v>
      </c>
      <c r="X253" s="5">
        <f t="shared" si="7"/>
        <v>2</v>
      </c>
      <c r="Y253">
        <v>16.583333333333332</v>
      </c>
      <c r="Z253" s="223">
        <f>SUM( tabConsumo[[#This Row],[QTD.PENDENTE]]:tabConsumo[[#This Row],[09_23]] )</f>
        <v>213</v>
      </c>
      <c r="AA253" s="223">
        <f>LARGE(tabConsumo[[#This Row],[10_22]:[09_23]],1)</f>
        <v>80</v>
      </c>
      <c r="AB253" s="146" t="s">
        <v>2244</v>
      </c>
      <c r="AC253" s="3" t="s">
        <v>2086</v>
      </c>
    </row>
    <row r="254" spans="1:29" x14ac:dyDescent="0.3">
      <c r="A254" s="4" t="s">
        <v>1323</v>
      </c>
      <c r="B254" s="3" t="s">
        <v>263</v>
      </c>
      <c r="C254" s="2">
        <v>54587</v>
      </c>
      <c r="D254" s="2">
        <v>27</v>
      </c>
      <c r="F254" s="2">
        <v>36</v>
      </c>
      <c r="G254" s="2">
        <v>8</v>
      </c>
      <c r="H254" s="2">
        <v>1</v>
      </c>
      <c r="I254" s="2">
        <v>6</v>
      </c>
      <c r="J254" s="2">
        <v>0</v>
      </c>
      <c r="K254" s="2">
        <v>10</v>
      </c>
      <c r="L254" s="2">
        <v>0</v>
      </c>
      <c r="M254" s="2">
        <v>10</v>
      </c>
      <c r="N254" s="2">
        <v>0</v>
      </c>
      <c r="O254" s="2">
        <v>0</v>
      </c>
      <c r="P254" s="2">
        <v>0</v>
      </c>
      <c r="Q254" s="2">
        <v>0</v>
      </c>
      <c r="R254" s="238">
        <v>367</v>
      </c>
      <c r="S254" s="219">
        <f t="shared" ref="S254:S262" si="9" xml:space="preserve"> 12</f>
        <v>12</v>
      </c>
      <c r="T254" s="220">
        <f>SUM( tabConsumo[[#This Row],[QTD.PENDENTE]]:tabConsumo[[#This Row],[09_23]] ) / tabConsumo[[#This Row],[Div]]</f>
        <v>5.916666666666667</v>
      </c>
      <c r="U254" s="221">
        <f xml:space="preserve"> tabConsumo[[#This Row],[Média.A]] + (_xlfn.STDEV.S( tabConsumo[[#This Row],[QTD.PENDENTE]]:tabConsumo[[#This Row],[09_23]] ) * 1)</f>
        <v>16.260380904909344</v>
      </c>
      <c r="V254" s="221">
        <f xml:space="preserve"> tabConsumo[[#This Row],[Média.A]] + (_xlfn.STDEV.S( tabConsumo[[#This Row],[QTD.PENDENTE]]:tabConsumo[[#This Row],[09_23]] ) * 2)</f>
        <v>26.604095143152019</v>
      </c>
      <c r="W254" s="221">
        <f xml:space="preserve"> tabConsumo[[#This Row],[Média.A]] + (_xlfn.STDEV.S( tabConsumo[[#This Row],[QTD.PENDENTE]]:tabConsumo[[#This Row],[09_23]] ) * 3)</f>
        <v>36.947809381394691</v>
      </c>
      <c r="X254" s="5">
        <f t="shared" si="7"/>
        <v>2</v>
      </c>
      <c r="Y254">
        <v>5.083333333333333</v>
      </c>
      <c r="Z254" s="223">
        <f>SUM( tabConsumo[[#This Row],[QTD.PENDENTE]]:tabConsumo[[#This Row],[09_23]] )</f>
        <v>71</v>
      </c>
      <c r="AA254" s="223">
        <f>LARGE(tabConsumo[[#This Row],[10_22]:[09_23]],1)</f>
        <v>36</v>
      </c>
      <c r="AB254" s="146" t="s">
        <v>2244</v>
      </c>
      <c r="AC254" s="3" t="s">
        <v>2086</v>
      </c>
    </row>
    <row r="255" spans="1:29" x14ac:dyDescent="0.3">
      <c r="A255" s="4" t="s">
        <v>975</v>
      </c>
      <c r="B255" s="3" t="s">
        <v>263</v>
      </c>
      <c r="C255" s="2">
        <v>12881</v>
      </c>
      <c r="D255" s="2">
        <v>466</v>
      </c>
      <c r="F255" s="2">
        <v>4</v>
      </c>
      <c r="G255" s="2">
        <v>15</v>
      </c>
      <c r="H255" s="2">
        <v>15</v>
      </c>
      <c r="I255" s="2">
        <v>10</v>
      </c>
      <c r="J255" s="2">
        <v>4</v>
      </c>
      <c r="K255" s="2">
        <v>3</v>
      </c>
      <c r="L255" s="2">
        <v>29</v>
      </c>
      <c r="M255" s="2">
        <v>8</v>
      </c>
      <c r="N255" s="2">
        <v>0</v>
      </c>
      <c r="O255" s="2">
        <v>32</v>
      </c>
      <c r="P255" s="2">
        <v>15</v>
      </c>
      <c r="Q255" s="2">
        <v>20</v>
      </c>
      <c r="R255" s="238">
        <v>367</v>
      </c>
      <c r="S255" s="219">
        <f t="shared" si="9"/>
        <v>12</v>
      </c>
      <c r="T255" s="220">
        <f>SUM( tabConsumo[[#This Row],[QTD.PENDENTE]]:tabConsumo[[#This Row],[09_23]] ) / tabConsumo[[#This Row],[Div]]</f>
        <v>12.916666666666666</v>
      </c>
      <c r="U255" s="221">
        <f xml:space="preserve"> tabConsumo[[#This Row],[Média.A]] + (_xlfn.STDEV.S( tabConsumo[[#This Row],[QTD.PENDENTE]]:tabConsumo[[#This Row],[09_23]] ) * 1)</f>
        <v>23.109875933208542</v>
      </c>
      <c r="V255" s="221">
        <f xml:space="preserve"> tabConsumo[[#This Row],[Média.A]] + (_xlfn.STDEV.S( tabConsumo[[#This Row],[QTD.PENDENTE]]:tabConsumo[[#This Row],[09_23]] ) * 2)</f>
        <v>33.30308519975042</v>
      </c>
      <c r="W255" s="221">
        <f xml:space="preserve"> tabConsumo[[#This Row],[Média.A]] + (_xlfn.STDEV.S( tabConsumo[[#This Row],[QTD.PENDENTE]]:tabConsumo[[#This Row],[09_23]] ) * 3)</f>
        <v>43.496294466292291</v>
      </c>
      <c r="X255" s="5">
        <f t="shared" si="7"/>
        <v>2</v>
      </c>
      <c r="Y255">
        <v>12.916666666666666</v>
      </c>
      <c r="Z255" s="223">
        <f>SUM( tabConsumo[[#This Row],[QTD.PENDENTE]]:tabConsumo[[#This Row],[09_23]] )</f>
        <v>155</v>
      </c>
      <c r="AA255" s="223">
        <f>LARGE(tabConsumo[[#This Row],[10_22]:[09_23]],1)</f>
        <v>32</v>
      </c>
      <c r="AB255" s="146" t="s">
        <v>2238</v>
      </c>
      <c r="AC255" s="3" t="s">
        <v>2086</v>
      </c>
    </row>
    <row r="256" spans="1:29" x14ac:dyDescent="0.3">
      <c r="A256" s="4" t="s">
        <v>976</v>
      </c>
      <c r="B256" s="3" t="s">
        <v>263</v>
      </c>
      <c r="C256" s="2">
        <v>12884</v>
      </c>
      <c r="D256" s="2">
        <v>88</v>
      </c>
      <c r="F256" s="2">
        <v>17</v>
      </c>
      <c r="G256" s="2">
        <v>7</v>
      </c>
      <c r="H256" s="2">
        <v>12</v>
      </c>
      <c r="I256" s="2">
        <v>13</v>
      </c>
      <c r="J256" s="2">
        <v>14</v>
      </c>
      <c r="K256" s="2">
        <v>56</v>
      </c>
      <c r="L256" s="2">
        <v>26</v>
      </c>
      <c r="M256" s="2">
        <v>40</v>
      </c>
      <c r="N256" s="2">
        <v>0</v>
      </c>
      <c r="O256" s="2">
        <v>20</v>
      </c>
      <c r="P256" s="2">
        <v>0</v>
      </c>
      <c r="Q256" s="2">
        <v>20</v>
      </c>
      <c r="R256" s="238">
        <v>367</v>
      </c>
      <c r="S256" s="219">
        <f t="shared" si="9"/>
        <v>12</v>
      </c>
      <c r="T256" s="220">
        <f>SUM( tabConsumo[[#This Row],[QTD.PENDENTE]]:tabConsumo[[#This Row],[09_23]] ) / tabConsumo[[#This Row],[Div]]</f>
        <v>18.75</v>
      </c>
      <c r="U256" s="221">
        <f xml:space="preserve"> tabConsumo[[#This Row],[Média.A]] + (_xlfn.STDEV.S( tabConsumo[[#This Row],[QTD.PENDENTE]]:tabConsumo[[#This Row],[09_23]] ) * 1)</f>
        <v>34.818744364590074</v>
      </c>
      <c r="V256" s="221">
        <f xml:space="preserve"> tabConsumo[[#This Row],[Média.A]] + (_xlfn.STDEV.S( tabConsumo[[#This Row],[QTD.PENDENTE]]:tabConsumo[[#This Row],[09_23]] ) * 2)</f>
        <v>50.887488729180156</v>
      </c>
      <c r="W256" s="221">
        <f xml:space="preserve"> tabConsumo[[#This Row],[Média.A]] + (_xlfn.STDEV.S( tabConsumo[[#This Row],[QTD.PENDENTE]]:tabConsumo[[#This Row],[09_23]] ) * 3)</f>
        <v>66.956233093770237</v>
      </c>
      <c r="X256" s="5">
        <f t="shared" si="7"/>
        <v>2</v>
      </c>
      <c r="Y256">
        <v>18.25</v>
      </c>
      <c r="Z256" s="223">
        <f>SUM( tabConsumo[[#This Row],[QTD.PENDENTE]]:tabConsumo[[#This Row],[09_23]] )</f>
        <v>225</v>
      </c>
      <c r="AA256" s="223">
        <f>LARGE(tabConsumo[[#This Row],[10_22]:[09_23]],1)</f>
        <v>56</v>
      </c>
      <c r="AB256" s="146" t="s">
        <v>2238</v>
      </c>
      <c r="AC256" s="3" t="s">
        <v>2086</v>
      </c>
    </row>
    <row r="257" spans="1:29" x14ac:dyDescent="0.3">
      <c r="A257" s="4" t="s">
        <v>1270</v>
      </c>
      <c r="B257" s="3" t="s">
        <v>263</v>
      </c>
      <c r="C257" s="2">
        <v>38534</v>
      </c>
      <c r="D257" s="2">
        <v>102</v>
      </c>
      <c r="F257" s="2">
        <v>0</v>
      </c>
      <c r="G257" s="2">
        <v>0</v>
      </c>
      <c r="H257" s="2">
        <v>0</v>
      </c>
      <c r="I257" s="2">
        <v>0</v>
      </c>
      <c r="J257" s="2">
        <v>0</v>
      </c>
      <c r="K257" s="2">
        <v>0</v>
      </c>
      <c r="L257" s="2">
        <v>6</v>
      </c>
      <c r="M257" s="2">
        <v>0</v>
      </c>
      <c r="N257" s="2">
        <v>0</v>
      </c>
      <c r="O257" s="2">
        <v>0</v>
      </c>
      <c r="P257" s="2">
        <v>0</v>
      </c>
      <c r="Q257" s="2">
        <v>0</v>
      </c>
      <c r="R257" s="238">
        <v>367</v>
      </c>
      <c r="S257" s="219">
        <f t="shared" si="9"/>
        <v>12</v>
      </c>
      <c r="T257" s="220">
        <f>SUM( tabConsumo[[#This Row],[QTD.PENDENTE]]:tabConsumo[[#This Row],[09_23]] ) / tabConsumo[[#This Row],[Div]]</f>
        <v>0.5</v>
      </c>
      <c r="U257" s="221">
        <f xml:space="preserve"> tabConsumo[[#This Row],[Média.A]] + (_xlfn.STDEV.S( tabConsumo[[#This Row],[QTD.PENDENTE]]:tabConsumo[[#This Row],[09_23]] ) * 1)</f>
        <v>2.2320508075688772</v>
      </c>
      <c r="V257" s="221">
        <f xml:space="preserve"> tabConsumo[[#This Row],[Média.A]] + (_xlfn.STDEV.S( tabConsumo[[#This Row],[QTD.PENDENTE]]:tabConsumo[[#This Row],[09_23]] ) * 2)</f>
        <v>3.9641016151377544</v>
      </c>
      <c r="W257" s="221">
        <f xml:space="preserve"> tabConsumo[[#This Row],[Média.A]] + (_xlfn.STDEV.S( tabConsumo[[#This Row],[QTD.PENDENTE]]:tabConsumo[[#This Row],[09_23]] ) * 3)</f>
        <v>5.696152422706632</v>
      </c>
      <c r="X257" s="5">
        <f t="shared" si="7"/>
        <v>2</v>
      </c>
      <c r="Y257">
        <v>0.25</v>
      </c>
      <c r="Z257" s="223">
        <f>SUM( tabConsumo[[#This Row],[QTD.PENDENTE]]:tabConsumo[[#This Row],[09_23]] )</f>
        <v>6</v>
      </c>
      <c r="AA257" s="223">
        <f>LARGE(tabConsumo[[#This Row],[10_22]:[09_23]],1)</f>
        <v>6</v>
      </c>
      <c r="AB257" s="146" t="s">
        <v>2240</v>
      </c>
      <c r="AC257" s="3" t="s">
        <v>2086</v>
      </c>
    </row>
    <row r="258" spans="1:29" x14ac:dyDescent="0.3">
      <c r="A258" s="4" t="s">
        <v>978</v>
      </c>
      <c r="B258" s="3" t="s">
        <v>263</v>
      </c>
      <c r="C258" s="2">
        <v>12891</v>
      </c>
      <c r="D258" s="2">
        <v>154</v>
      </c>
      <c r="F258" s="2">
        <v>0</v>
      </c>
      <c r="G258" s="2">
        <v>9</v>
      </c>
      <c r="H258" s="2">
        <v>5</v>
      </c>
      <c r="I258" s="2">
        <v>15</v>
      </c>
      <c r="J258" s="2">
        <v>5</v>
      </c>
      <c r="K258" s="2">
        <v>8</v>
      </c>
      <c r="L258" s="2">
        <v>10</v>
      </c>
      <c r="M258" s="2">
        <v>15</v>
      </c>
      <c r="N258" s="2">
        <v>0</v>
      </c>
      <c r="O258" s="2">
        <v>0</v>
      </c>
      <c r="P258" s="2">
        <v>0</v>
      </c>
      <c r="Q258" s="2">
        <v>0</v>
      </c>
      <c r="R258" s="238">
        <v>367</v>
      </c>
      <c r="S258" s="219">
        <f t="shared" si="9"/>
        <v>12</v>
      </c>
      <c r="T258" s="220">
        <f>SUM( tabConsumo[[#This Row],[QTD.PENDENTE]]:tabConsumo[[#This Row],[09_23]] ) / tabConsumo[[#This Row],[Div]]</f>
        <v>5.583333333333333</v>
      </c>
      <c r="U258" s="221">
        <f xml:space="preserve"> tabConsumo[[#This Row],[Média.A]] + (_xlfn.STDEV.S( tabConsumo[[#This Row],[QTD.PENDENTE]]:tabConsumo[[#This Row],[09_23]] ) * 1)</f>
        <v>11.390199697362814</v>
      </c>
      <c r="V258" s="221">
        <f xml:space="preserve"> tabConsumo[[#This Row],[Média.A]] + (_xlfn.STDEV.S( tabConsumo[[#This Row],[QTD.PENDENTE]]:tabConsumo[[#This Row],[09_23]] ) * 2)</f>
        <v>17.197066061392295</v>
      </c>
      <c r="W258" s="221">
        <f xml:space="preserve"> tabConsumo[[#This Row],[Média.A]] + (_xlfn.STDEV.S( tabConsumo[[#This Row],[QTD.PENDENTE]]:tabConsumo[[#This Row],[09_23]] ) * 3)</f>
        <v>23.003932425421777</v>
      </c>
      <c r="X258" s="5">
        <f t="shared" si="7"/>
        <v>2</v>
      </c>
      <c r="Y258">
        <v>5.583333333333333</v>
      </c>
      <c r="Z258" s="223">
        <f>SUM( tabConsumo[[#This Row],[QTD.PENDENTE]]:tabConsumo[[#This Row],[09_23]] )</f>
        <v>67</v>
      </c>
      <c r="AA258" s="223">
        <f>LARGE(tabConsumo[[#This Row],[10_22]:[09_23]],1)</f>
        <v>15</v>
      </c>
      <c r="AB258" s="146" t="s">
        <v>2244</v>
      </c>
      <c r="AC258" s="3" t="s">
        <v>2086</v>
      </c>
    </row>
    <row r="259" spans="1:29" x14ac:dyDescent="0.3">
      <c r="A259" s="4" t="s">
        <v>979</v>
      </c>
      <c r="B259" s="3" t="s">
        <v>263</v>
      </c>
      <c r="C259" s="2">
        <v>12894</v>
      </c>
      <c r="D259" s="2">
        <v>3801</v>
      </c>
      <c r="F259" s="2">
        <v>209</v>
      </c>
      <c r="G259" s="2">
        <v>130</v>
      </c>
      <c r="H259" s="2">
        <v>147</v>
      </c>
      <c r="I259" s="2">
        <v>141</v>
      </c>
      <c r="J259" s="2">
        <v>99</v>
      </c>
      <c r="K259" s="2">
        <v>295</v>
      </c>
      <c r="L259" s="2">
        <v>65</v>
      </c>
      <c r="M259" s="2">
        <v>130</v>
      </c>
      <c r="N259" s="2">
        <v>40</v>
      </c>
      <c r="O259" s="2">
        <v>55</v>
      </c>
      <c r="P259" s="2">
        <v>262</v>
      </c>
      <c r="Q259" s="2">
        <v>0</v>
      </c>
      <c r="R259" s="238">
        <v>367</v>
      </c>
      <c r="S259" s="219">
        <f t="shared" si="9"/>
        <v>12</v>
      </c>
      <c r="T259" s="220">
        <f>SUM( tabConsumo[[#This Row],[QTD.PENDENTE]]:tabConsumo[[#This Row],[09_23]] ) / tabConsumo[[#This Row],[Div]]</f>
        <v>131.08333333333334</v>
      </c>
      <c r="U259" s="221">
        <f xml:space="preserve"> tabConsumo[[#This Row],[Média.A]] + (_xlfn.STDEV.S( tabConsumo[[#This Row],[QTD.PENDENTE]]:tabConsumo[[#This Row],[09_23]] ) * 1)</f>
        <v>220.06592441244001</v>
      </c>
      <c r="V259" s="221">
        <f xml:space="preserve"> tabConsumo[[#This Row],[Média.A]] + (_xlfn.STDEV.S( tabConsumo[[#This Row],[QTD.PENDENTE]]:tabConsumo[[#This Row],[09_23]] ) * 2)</f>
        <v>309.04851549154671</v>
      </c>
      <c r="W259" s="221">
        <f xml:space="preserve"> tabConsumo[[#This Row],[Média.A]] + (_xlfn.STDEV.S( tabConsumo[[#This Row],[QTD.PENDENTE]]:tabConsumo[[#This Row],[09_23]] ) * 3)</f>
        <v>398.03110657065338</v>
      </c>
      <c r="X259" s="5">
        <f t="shared" ref="X259:X322" si="10" xml:space="preserve"> 2</f>
        <v>2</v>
      </c>
      <c r="Y259">
        <v>131.08333333333334</v>
      </c>
      <c r="Z259" s="223">
        <f>SUM( tabConsumo[[#This Row],[QTD.PENDENTE]]:tabConsumo[[#This Row],[09_23]] )</f>
        <v>1573</v>
      </c>
      <c r="AA259" s="223">
        <f>LARGE(tabConsumo[[#This Row],[10_22]:[09_23]],1)</f>
        <v>295</v>
      </c>
      <c r="AB259" s="146" t="s">
        <v>2241</v>
      </c>
      <c r="AC259" s="3" t="s">
        <v>2086</v>
      </c>
    </row>
    <row r="260" spans="1:29" x14ac:dyDescent="0.3">
      <c r="A260" s="4" t="s">
        <v>977</v>
      </c>
      <c r="B260" s="3" t="s">
        <v>263</v>
      </c>
      <c r="C260" s="2">
        <v>12886</v>
      </c>
      <c r="D260" s="2">
        <v>405</v>
      </c>
      <c r="F260" s="2">
        <v>14</v>
      </c>
      <c r="G260" s="2">
        <v>20</v>
      </c>
      <c r="H260" s="2">
        <v>21</v>
      </c>
      <c r="I260" s="2">
        <v>13</v>
      </c>
      <c r="J260" s="2">
        <v>13</v>
      </c>
      <c r="K260" s="2">
        <v>0</v>
      </c>
      <c r="L260" s="2">
        <v>24</v>
      </c>
      <c r="M260" s="2">
        <v>0</v>
      </c>
      <c r="N260" s="2">
        <v>0</v>
      </c>
      <c r="O260" s="2">
        <v>20</v>
      </c>
      <c r="P260" s="2">
        <v>0</v>
      </c>
      <c r="Q260" s="2">
        <v>20</v>
      </c>
      <c r="R260" s="238">
        <v>367</v>
      </c>
      <c r="S260" s="219">
        <f t="shared" si="9"/>
        <v>12</v>
      </c>
      <c r="T260" s="220">
        <f>SUM( tabConsumo[[#This Row],[QTD.PENDENTE]]:tabConsumo[[#This Row],[09_23]] ) / tabConsumo[[#This Row],[Div]]</f>
        <v>12.083333333333334</v>
      </c>
      <c r="U260" s="221">
        <f xml:space="preserve"> tabConsumo[[#This Row],[Média.A]] + (_xlfn.STDEV.S( tabConsumo[[#This Row],[QTD.PENDENTE]]:tabConsumo[[#This Row],[09_23]] ) * 1)</f>
        <v>21.612793237263148</v>
      </c>
      <c r="V260" s="221">
        <f xml:space="preserve"> tabConsumo[[#This Row],[Média.A]] + (_xlfn.STDEV.S( tabConsumo[[#This Row],[QTD.PENDENTE]]:tabConsumo[[#This Row],[09_23]] ) * 2)</f>
        <v>31.142253141192967</v>
      </c>
      <c r="W260" s="221">
        <f xml:space="preserve"> tabConsumo[[#This Row],[Média.A]] + (_xlfn.STDEV.S( tabConsumo[[#This Row],[QTD.PENDENTE]]:tabConsumo[[#This Row],[09_23]] ) * 3)</f>
        <v>40.671713045122779</v>
      </c>
      <c r="X260" s="5">
        <f t="shared" si="10"/>
        <v>2</v>
      </c>
      <c r="Y260">
        <v>12.083333333333334</v>
      </c>
      <c r="Z260" s="223">
        <f>SUM( tabConsumo[[#This Row],[QTD.PENDENTE]]:tabConsumo[[#This Row],[09_23]] )</f>
        <v>145</v>
      </c>
      <c r="AA260" s="223">
        <f>LARGE(tabConsumo[[#This Row],[10_22]:[09_23]],1)</f>
        <v>24</v>
      </c>
      <c r="AB260" s="146" t="s">
        <v>2238</v>
      </c>
      <c r="AC260" s="3" t="s">
        <v>2086</v>
      </c>
    </row>
    <row r="261" spans="1:29" x14ac:dyDescent="0.3">
      <c r="A261" s="4" t="s">
        <v>1397</v>
      </c>
      <c r="B261" s="3" t="s">
        <v>263</v>
      </c>
      <c r="C261" s="2">
        <v>67376</v>
      </c>
      <c r="D261" s="2">
        <v>178</v>
      </c>
      <c r="F261" s="2">
        <v>13</v>
      </c>
      <c r="G261" s="2">
        <v>10</v>
      </c>
      <c r="H261" s="2">
        <v>0</v>
      </c>
      <c r="I261" s="2">
        <v>15</v>
      </c>
      <c r="J261" s="2">
        <v>0</v>
      </c>
      <c r="K261" s="2">
        <v>20</v>
      </c>
      <c r="L261" s="2">
        <v>0</v>
      </c>
      <c r="M261" s="2">
        <v>0</v>
      </c>
      <c r="N261" s="2">
        <v>0</v>
      </c>
      <c r="O261" s="2">
        <v>0</v>
      </c>
      <c r="P261" s="2">
        <v>15</v>
      </c>
      <c r="Q261" s="2">
        <v>10</v>
      </c>
      <c r="R261" s="238">
        <v>367</v>
      </c>
      <c r="S261" s="219">
        <f t="shared" si="9"/>
        <v>12</v>
      </c>
      <c r="T261" s="220">
        <f>SUM( tabConsumo[[#This Row],[QTD.PENDENTE]]:tabConsumo[[#This Row],[09_23]] ) / tabConsumo[[#This Row],[Div]]</f>
        <v>6.916666666666667</v>
      </c>
      <c r="U261" s="221">
        <f xml:space="preserve"> tabConsumo[[#This Row],[Média.A]] + (_xlfn.STDEV.S( tabConsumo[[#This Row],[QTD.PENDENTE]]:tabConsumo[[#This Row],[09_23]] ) * 1)</f>
        <v>14.573610435481211</v>
      </c>
      <c r="V261" s="221">
        <f xml:space="preserve"> tabConsumo[[#This Row],[Média.A]] + (_xlfn.STDEV.S( tabConsumo[[#This Row],[QTD.PENDENTE]]:tabConsumo[[#This Row],[09_23]] ) * 2)</f>
        <v>22.230554204295757</v>
      </c>
      <c r="W261" s="221">
        <f xml:space="preserve"> tabConsumo[[#This Row],[Média.A]] + (_xlfn.STDEV.S( tabConsumo[[#This Row],[QTD.PENDENTE]]:tabConsumo[[#This Row],[09_23]] ) * 3)</f>
        <v>29.887497973110303</v>
      </c>
      <c r="X261" s="5">
        <f t="shared" si="10"/>
        <v>2</v>
      </c>
      <c r="Y261">
        <v>6.916666666666667</v>
      </c>
      <c r="Z261" s="223">
        <f>SUM( tabConsumo[[#This Row],[QTD.PENDENTE]]:tabConsumo[[#This Row],[09_23]] )</f>
        <v>83</v>
      </c>
      <c r="AA261" s="223">
        <f>LARGE(tabConsumo[[#This Row],[10_22]:[09_23]],1)</f>
        <v>20</v>
      </c>
      <c r="AB261" s="146" t="s">
        <v>2238</v>
      </c>
      <c r="AC261" s="3" t="s">
        <v>2086</v>
      </c>
    </row>
    <row r="262" spans="1:29" x14ac:dyDescent="0.3">
      <c r="A262" s="4" t="s">
        <v>1396</v>
      </c>
      <c r="B262" s="3" t="s">
        <v>263</v>
      </c>
      <c r="C262" s="2">
        <v>67375</v>
      </c>
      <c r="D262" s="2">
        <v>103</v>
      </c>
      <c r="F262" s="2">
        <v>8</v>
      </c>
      <c r="G262" s="2">
        <v>1</v>
      </c>
      <c r="H262" s="2">
        <v>0</v>
      </c>
      <c r="I262" s="2">
        <v>3</v>
      </c>
      <c r="J262" s="2">
        <v>7</v>
      </c>
      <c r="K262" s="2">
        <v>30</v>
      </c>
      <c r="L262" s="2">
        <v>0</v>
      </c>
      <c r="M262" s="2">
        <v>0</v>
      </c>
      <c r="N262" s="2">
        <v>17</v>
      </c>
      <c r="O262" s="2">
        <v>13</v>
      </c>
      <c r="P262" s="2">
        <v>0</v>
      </c>
      <c r="Q262" s="2">
        <v>10</v>
      </c>
      <c r="R262" s="238">
        <v>367</v>
      </c>
      <c r="S262" s="219">
        <f t="shared" si="9"/>
        <v>12</v>
      </c>
      <c r="T262" s="220">
        <f>SUM( tabConsumo[[#This Row],[QTD.PENDENTE]]:tabConsumo[[#This Row],[09_23]] ) / tabConsumo[[#This Row],[Div]]</f>
        <v>7.416666666666667</v>
      </c>
      <c r="U262" s="221">
        <f xml:space="preserve"> tabConsumo[[#This Row],[Média.A]] + (_xlfn.STDEV.S( tabConsumo[[#This Row],[QTD.PENDENTE]]:tabConsumo[[#This Row],[09_23]] ) * 1)</f>
        <v>16.566513494329794</v>
      </c>
      <c r="V262" s="221">
        <f xml:space="preserve"> tabConsumo[[#This Row],[Média.A]] + (_xlfn.STDEV.S( tabConsumo[[#This Row],[QTD.PENDENTE]]:tabConsumo[[#This Row],[09_23]] ) * 2)</f>
        <v>25.716360321992919</v>
      </c>
      <c r="W262" s="221">
        <f xml:space="preserve"> tabConsumo[[#This Row],[Média.A]] + (_xlfn.STDEV.S( tabConsumo[[#This Row],[QTD.PENDENTE]]:tabConsumo[[#This Row],[09_23]] ) * 3)</f>
        <v>34.866207149656042</v>
      </c>
      <c r="X262" s="5">
        <f t="shared" si="10"/>
        <v>2</v>
      </c>
      <c r="Y262">
        <v>7</v>
      </c>
      <c r="Z262" s="223">
        <f>SUM( tabConsumo[[#This Row],[QTD.PENDENTE]]:tabConsumo[[#This Row],[09_23]] )</f>
        <v>89</v>
      </c>
      <c r="AA262" s="223">
        <f>LARGE(tabConsumo[[#This Row],[10_22]:[09_23]],1)</f>
        <v>30</v>
      </c>
      <c r="AB262" s="146" t="s">
        <v>2238</v>
      </c>
      <c r="AC262" s="3" t="s">
        <v>2086</v>
      </c>
    </row>
    <row r="263" spans="1:29" x14ac:dyDescent="0.3">
      <c r="A263" s="4" t="s">
        <v>717</v>
      </c>
      <c r="B263" s="3" t="s">
        <v>263</v>
      </c>
      <c r="C263" s="2">
        <v>115135</v>
      </c>
      <c r="D263" s="2">
        <v>177</v>
      </c>
      <c r="F263" s="2">
        <v>0</v>
      </c>
      <c r="G263" s="2">
        <v>0</v>
      </c>
      <c r="H263" s="2">
        <v>0</v>
      </c>
      <c r="I263" s="2">
        <v>0</v>
      </c>
      <c r="J263" s="2">
        <v>0</v>
      </c>
      <c r="K263" s="2">
        <v>0</v>
      </c>
      <c r="L263" s="2">
        <v>0</v>
      </c>
      <c r="M263" s="2">
        <v>3</v>
      </c>
      <c r="N263" s="2">
        <v>0</v>
      </c>
      <c r="O263" s="2">
        <v>0</v>
      </c>
      <c r="P263" s="2">
        <v>0</v>
      </c>
      <c r="Q263" s="2">
        <v>0</v>
      </c>
      <c r="R263" s="238">
        <v>40303</v>
      </c>
      <c r="S263" s="219">
        <v>12</v>
      </c>
      <c r="T263" s="220">
        <f>SUM( tabConsumo[[#This Row],[QTD.PENDENTE]]:tabConsumo[[#This Row],[09_23]] ) / tabConsumo[[#This Row],[Div]]</f>
        <v>0.25</v>
      </c>
      <c r="U263" s="221">
        <f xml:space="preserve"> tabConsumo[[#This Row],[Média.A]] + (_xlfn.STDEV.S( tabConsumo[[#This Row],[QTD.PENDENTE]]:tabConsumo[[#This Row],[09_23]] ) * 1)</f>
        <v>1.1160254037844386</v>
      </c>
      <c r="V263" s="221">
        <f xml:space="preserve"> tabConsumo[[#This Row],[Média.A]] + (_xlfn.STDEV.S( tabConsumo[[#This Row],[QTD.PENDENTE]]:tabConsumo[[#This Row],[09_23]] ) * 2)</f>
        <v>1.9820508075688772</v>
      </c>
      <c r="W263" s="221">
        <f xml:space="preserve"> tabConsumo[[#This Row],[Média.A]] + (_xlfn.STDEV.S( tabConsumo[[#This Row],[QTD.PENDENTE]]:tabConsumo[[#This Row],[09_23]] ) * 3)</f>
        <v>2.848076211353316</v>
      </c>
      <c r="X263" s="5">
        <f t="shared" si="10"/>
        <v>2</v>
      </c>
      <c r="Y263">
        <v>8.3333333333333329E-2</v>
      </c>
      <c r="Z263" s="223">
        <f>SUM( tabConsumo[[#This Row],[QTD.PENDENTE]]:tabConsumo[[#This Row],[09_23]] )</f>
        <v>3</v>
      </c>
      <c r="AA263" s="223">
        <f>LARGE(tabConsumo[[#This Row],[10_22]:[09_23]],1)</f>
        <v>3</v>
      </c>
      <c r="AB263" s="146" t="s">
        <v>2244</v>
      </c>
      <c r="AC263" s="3" t="s">
        <v>2086</v>
      </c>
    </row>
    <row r="264" spans="1:29" x14ac:dyDescent="0.3">
      <c r="A264" s="4" t="s">
        <v>1074</v>
      </c>
      <c r="B264" s="3" t="s">
        <v>263</v>
      </c>
      <c r="C264" s="2">
        <v>14784</v>
      </c>
      <c r="D264" s="2">
        <v>50</v>
      </c>
      <c r="E264" s="2">
        <v>52</v>
      </c>
      <c r="F264" s="2">
        <v>10</v>
      </c>
      <c r="G264" s="2">
        <v>0</v>
      </c>
      <c r="H264" s="2">
        <v>52</v>
      </c>
      <c r="I264" s="2">
        <v>61</v>
      </c>
      <c r="J264" s="2">
        <v>10</v>
      </c>
      <c r="K264" s="2">
        <v>42</v>
      </c>
      <c r="L264" s="2">
        <v>38</v>
      </c>
      <c r="M264" s="2">
        <v>0</v>
      </c>
      <c r="N264" s="2">
        <v>0</v>
      </c>
      <c r="O264" s="2">
        <v>0</v>
      </c>
      <c r="P264" s="2">
        <v>0</v>
      </c>
      <c r="Q264" s="2">
        <v>0</v>
      </c>
      <c r="R264" s="238">
        <v>367</v>
      </c>
      <c r="S264" s="219">
        <f xml:space="preserve"> 12</f>
        <v>12</v>
      </c>
      <c r="T264" s="220">
        <f>SUM( tabConsumo[[#This Row],[QTD.PENDENTE]]:tabConsumo[[#This Row],[09_23]] ) / tabConsumo[[#This Row],[Div]]</f>
        <v>22.083333333333332</v>
      </c>
      <c r="U264" s="221">
        <f xml:space="preserve"> tabConsumo[[#This Row],[Média.A]] + (_xlfn.STDEV.S( tabConsumo[[#This Row],[QTD.PENDENTE]]:tabConsumo[[#This Row],[09_23]] ) * 1)</f>
        <v>46.467544282013705</v>
      </c>
      <c r="V264" s="221">
        <f xml:space="preserve"> tabConsumo[[#This Row],[Média.A]] + (_xlfn.STDEV.S( tabConsumo[[#This Row],[QTD.PENDENTE]]:tabConsumo[[#This Row],[09_23]] ) * 2)</f>
        <v>70.851755230694067</v>
      </c>
      <c r="W264" s="221">
        <f xml:space="preserve"> tabConsumo[[#This Row],[Média.A]] + (_xlfn.STDEV.S( tabConsumo[[#This Row],[QTD.PENDENTE]]:tabConsumo[[#This Row],[09_23]] ) * 3)</f>
        <v>95.235966179374444</v>
      </c>
      <c r="X264" s="5">
        <f t="shared" si="10"/>
        <v>2</v>
      </c>
      <c r="Y264">
        <v>22.083333333333332</v>
      </c>
      <c r="Z264" s="223">
        <f>SUM( tabConsumo[[#This Row],[QTD.PENDENTE]]:tabConsumo[[#This Row],[09_23]] )</f>
        <v>265</v>
      </c>
      <c r="AA264" s="223">
        <f>LARGE(tabConsumo[[#This Row],[10_22]:[09_23]],1)</f>
        <v>61</v>
      </c>
      <c r="AB264" s="146" t="s">
        <v>2240</v>
      </c>
      <c r="AC264" s="3" t="s">
        <v>2086</v>
      </c>
    </row>
    <row r="265" spans="1:29" x14ac:dyDescent="0.3">
      <c r="A265" s="4" t="s">
        <v>2214</v>
      </c>
      <c r="B265" s="3" t="s">
        <v>301</v>
      </c>
      <c r="C265" s="2">
        <v>119407</v>
      </c>
      <c r="D265" s="2">
        <v>0</v>
      </c>
      <c r="E265" s="2">
        <v>4</v>
      </c>
      <c r="F265" s="2">
        <v>30</v>
      </c>
      <c r="G265" s="2">
        <v>15</v>
      </c>
      <c r="H265" s="2">
        <v>0</v>
      </c>
      <c r="I265" s="2">
        <v>0</v>
      </c>
      <c r="J265" s="2">
        <v>0</v>
      </c>
      <c r="K265" s="2">
        <v>0</v>
      </c>
      <c r="L265" s="2">
        <v>0</v>
      </c>
      <c r="M265" s="2">
        <v>0</v>
      </c>
      <c r="N265" s="2">
        <v>0</v>
      </c>
      <c r="O265" s="2">
        <v>0</v>
      </c>
      <c r="P265" s="2">
        <v>0</v>
      </c>
      <c r="Q265" s="2">
        <v>0</v>
      </c>
      <c r="R265" s="238">
        <v>367</v>
      </c>
      <c r="S265" s="219">
        <f xml:space="preserve"> 12</f>
        <v>12</v>
      </c>
      <c r="T265" s="220">
        <f>SUM( tabConsumo[[#This Row],[QTD.PENDENTE]]:tabConsumo[[#This Row],[09_23]] ) / tabConsumo[[#This Row],[Div]]</f>
        <v>4.083333333333333</v>
      </c>
      <c r="U265" s="221">
        <f xml:space="preserve"> tabConsumo[[#This Row],[Média.A]] + (_xlfn.STDEV.S( tabConsumo[[#This Row],[QTD.PENDENTE]]:tabConsumo[[#This Row],[09_23]] ) * 1)</f>
        <v>13.010388149581953</v>
      </c>
      <c r="V265" s="221">
        <f xml:space="preserve"> tabConsumo[[#This Row],[Média.A]] + (_xlfn.STDEV.S( tabConsumo[[#This Row],[QTD.PENDENTE]]:tabConsumo[[#This Row],[09_23]] ) * 2)</f>
        <v>21.937442965830574</v>
      </c>
      <c r="W265" s="221">
        <f xml:space="preserve"> tabConsumo[[#This Row],[Média.A]] + (_xlfn.STDEV.S( tabConsumo[[#This Row],[QTD.PENDENTE]]:tabConsumo[[#This Row],[09_23]] ) * 3)</f>
        <v>30.864497782079194</v>
      </c>
      <c r="X265" s="5">
        <f t="shared" si="10"/>
        <v>2</v>
      </c>
      <c r="Y265">
        <v>3.3333333333333335</v>
      </c>
      <c r="Z265" s="223">
        <f>SUM( tabConsumo[[#This Row],[QTD.PENDENTE]]:tabConsumo[[#This Row],[09_23]] )</f>
        <v>49</v>
      </c>
      <c r="AA265" s="223">
        <f>LARGE(tabConsumo[[#This Row],[10_22]:[09_23]],1)</f>
        <v>30</v>
      </c>
      <c r="AB265" s="146" t="s">
        <v>2243</v>
      </c>
      <c r="AC265" s="3" t="s">
        <v>2086</v>
      </c>
    </row>
    <row r="266" spans="1:29" x14ac:dyDescent="0.3">
      <c r="A266" s="4" t="s">
        <v>1599</v>
      </c>
      <c r="B266" s="3" t="s">
        <v>335</v>
      </c>
      <c r="C266" s="2">
        <v>102922</v>
      </c>
      <c r="D266" s="2">
        <v>826</v>
      </c>
      <c r="E266" s="2">
        <v>3100</v>
      </c>
      <c r="F266" s="2">
        <v>2270</v>
      </c>
      <c r="G266" s="2">
        <v>2090</v>
      </c>
      <c r="H266" s="2">
        <v>1330</v>
      </c>
      <c r="I266" s="2">
        <v>879</v>
      </c>
      <c r="J266" s="2">
        <v>1494</v>
      </c>
      <c r="K266" s="2">
        <v>2538</v>
      </c>
      <c r="L266" s="2">
        <v>125</v>
      </c>
      <c r="M266" s="2">
        <v>72</v>
      </c>
      <c r="N266" s="2">
        <v>2574</v>
      </c>
      <c r="O266" s="2">
        <v>2476</v>
      </c>
      <c r="P266" s="2">
        <v>1057</v>
      </c>
      <c r="Q266" s="2">
        <v>1124</v>
      </c>
      <c r="R266" s="238">
        <v>39379</v>
      </c>
      <c r="S266" s="219">
        <v>12</v>
      </c>
      <c r="T266" s="220">
        <f>SUM( tabConsumo[[#This Row],[QTD.PENDENTE]]:tabConsumo[[#This Row],[09_23]] ) / tabConsumo[[#This Row],[Div]]</f>
        <v>1760.75</v>
      </c>
      <c r="U266" s="221">
        <f xml:space="preserve"> tabConsumo[[#This Row],[Média.A]] + (_xlfn.STDEV.S( tabConsumo[[#This Row],[QTD.PENDENTE]]:tabConsumo[[#This Row],[09_23]] ) * 1)</f>
        <v>2725.2179348925483</v>
      </c>
      <c r="V266" s="221">
        <f xml:space="preserve"> tabConsumo[[#This Row],[Média.A]] + (_xlfn.STDEV.S( tabConsumo[[#This Row],[QTD.PENDENTE]]:tabConsumo[[#This Row],[09_23]] ) * 2)</f>
        <v>3689.6858697850971</v>
      </c>
      <c r="W266" s="221">
        <f xml:space="preserve"> tabConsumo[[#This Row],[Média.A]] + (_xlfn.STDEV.S( tabConsumo[[#This Row],[QTD.PENDENTE]]:tabConsumo[[#This Row],[09_23]] ) * 3)</f>
        <v>4654.1538046776459</v>
      </c>
      <c r="X266" s="5">
        <f t="shared" si="10"/>
        <v>2</v>
      </c>
      <c r="Y266">
        <v>1760.75</v>
      </c>
      <c r="Z266" s="223">
        <f>SUM( tabConsumo[[#This Row],[QTD.PENDENTE]]:tabConsumo[[#This Row],[09_23]] )</f>
        <v>21129</v>
      </c>
      <c r="AA266" s="223">
        <f>LARGE(tabConsumo[[#This Row],[10_22]:[09_23]],1)</f>
        <v>2574</v>
      </c>
      <c r="AB266" s="146" t="s">
        <v>2238</v>
      </c>
      <c r="AC266" s="3" t="s">
        <v>2086</v>
      </c>
    </row>
    <row r="267" spans="1:29" x14ac:dyDescent="0.3">
      <c r="A267" s="4" t="s">
        <v>1303</v>
      </c>
      <c r="B267" s="3" t="s">
        <v>263</v>
      </c>
      <c r="C267" s="2">
        <v>52129</v>
      </c>
      <c r="D267" s="2">
        <v>455</v>
      </c>
      <c r="F267" s="2">
        <v>25</v>
      </c>
      <c r="G267" s="2">
        <v>0</v>
      </c>
      <c r="H267" s="2">
        <v>0</v>
      </c>
      <c r="I267" s="2">
        <v>20</v>
      </c>
      <c r="J267" s="2">
        <v>50</v>
      </c>
      <c r="K267" s="2">
        <v>100</v>
      </c>
      <c r="L267" s="2">
        <v>0</v>
      </c>
      <c r="M267" s="2">
        <v>20</v>
      </c>
      <c r="N267" s="2">
        <v>0</v>
      </c>
      <c r="O267" s="2">
        <v>0</v>
      </c>
      <c r="P267" s="2">
        <v>0</v>
      </c>
      <c r="Q267" s="2">
        <v>0</v>
      </c>
      <c r="R267" s="238">
        <v>367</v>
      </c>
      <c r="S267" s="219">
        <f xml:space="preserve"> 12</f>
        <v>12</v>
      </c>
      <c r="T267" s="220">
        <f>SUM( tabConsumo[[#This Row],[QTD.PENDENTE]]:tabConsumo[[#This Row],[09_23]] ) / tabConsumo[[#This Row],[Div]]</f>
        <v>17.916666666666668</v>
      </c>
      <c r="U267" s="221">
        <f xml:space="preserve"> tabConsumo[[#This Row],[Média.A]] + (_xlfn.STDEV.S( tabConsumo[[#This Row],[QTD.PENDENTE]]:tabConsumo[[#This Row],[09_23]] ) * 1)</f>
        <v>48.177527476790644</v>
      </c>
      <c r="V267" s="221">
        <f xml:space="preserve"> tabConsumo[[#This Row],[Média.A]] + (_xlfn.STDEV.S( tabConsumo[[#This Row],[QTD.PENDENTE]]:tabConsumo[[#This Row],[09_23]] ) * 2)</f>
        <v>78.438388286914616</v>
      </c>
      <c r="W267" s="221">
        <f xml:space="preserve"> tabConsumo[[#This Row],[Média.A]] + (_xlfn.STDEV.S( tabConsumo[[#This Row],[QTD.PENDENTE]]:tabConsumo[[#This Row],[09_23]] ) * 3)</f>
        <v>108.69924909703859</v>
      </c>
      <c r="X267" s="5">
        <f t="shared" si="10"/>
        <v>2</v>
      </c>
      <c r="Y267">
        <v>16.083333333333332</v>
      </c>
      <c r="Z267" s="223">
        <f>SUM( tabConsumo[[#This Row],[QTD.PENDENTE]]:tabConsumo[[#This Row],[09_23]] )</f>
        <v>215</v>
      </c>
      <c r="AA267" s="223">
        <f>LARGE(tabConsumo[[#This Row],[10_22]:[09_23]],1)</f>
        <v>100</v>
      </c>
      <c r="AB267" s="146" t="s">
        <v>2244</v>
      </c>
      <c r="AC267" s="3" t="s">
        <v>2086</v>
      </c>
    </row>
    <row r="268" spans="1:29" x14ac:dyDescent="0.3">
      <c r="A268" s="4" t="s">
        <v>1979</v>
      </c>
      <c r="B268" s="3" t="s">
        <v>263</v>
      </c>
      <c r="C268" s="2">
        <v>138475</v>
      </c>
      <c r="D268" s="2">
        <v>155</v>
      </c>
      <c r="F268" s="2">
        <v>0</v>
      </c>
      <c r="G268" s="2">
        <v>0</v>
      </c>
      <c r="H268" s="2">
        <v>5</v>
      </c>
      <c r="I268" s="2">
        <v>6</v>
      </c>
      <c r="J268" s="2">
        <v>0</v>
      </c>
      <c r="K268" s="2">
        <v>10</v>
      </c>
      <c r="L268" s="2">
        <v>0</v>
      </c>
      <c r="M268" s="2">
        <v>0</v>
      </c>
      <c r="N268" s="2">
        <v>0</v>
      </c>
      <c r="O268" s="2">
        <v>0</v>
      </c>
      <c r="P268" s="2">
        <v>0</v>
      </c>
      <c r="Q268" s="2">
        <v>0</v>
      </c>
      <c r="R268" s="238">
        <v>43721</v>
      </c>
      <c r="S268" s="219">
        <v>12</v>
      </c>
      <c r="T268" s="220">
        <f>SUM( tabConsumo[[#This Row],[QTD.PENDENTE]]:tabConsumo[[#This Row],[09_23]] ) / tabConsumo[[#This Row],[Div]]</f>
        <v>1.75</v>
      </c>
      <c r="U268" s="221">
        <f xml:space="preserve"> tabConsumo[[#This Row],[Média.A]] + (_xlfn.STDEV.S( tabConsumo[[#This Row],[QTD.PENDENTE]]:tabConsumo[[#This Row],[09_23]] ) * 1)</f>
        <v>5.1108710992024893</v>
      </c>
      <c r="V268" s="221">
        <f xml:space="preserve"> tabConsumo[[#This Row],[Média.A]] + (_xlfn.STDEV.S( tabConsumo[[#This Row],[QTD.PENDENTE]]:tabConsumo[[#This Row],[09_23]] ) * 2)</f>
        <v>8.4717421984049786</v>
      </c>
      <c r="W268" s="221">
        <f xml:space="preserve"> tabConsumo[[#This Row],[Média.A]] + (_xlfn.STDEV.S( tabConsumo[[#This Row],[QTD.PENDENTE]]:tabConsumo[[#This Row],[09_23]] ) * 3)</f>
        <v>11.832613297607466</v>
      </c>
      <c r="X268" s="5">
        <f t="shared" si="10"/>
        <v>2</v>
      </c>
      <c r="Y268">
        <v>1.5833333333333333</v>
      </c>
      <c r="Z268" s="223">
        <f>SUM( tabConsumo[[#This Row],[QTD.PENDENTE]]:tabConsumo[[#This Row],[09_23]] )</f>
        <v>21</v>
      </c>
      <c r="AA268" s="223">
        <f>LARGE(tabConsumo[[#This Row],[10_22]:[09_23]],1)</f>
        <v>10</v>
      </c>
      <c r="AB268" s="146" t="s">
        <v>2245</v>
      </c>
      <c r="AC268" s="3" t="s">
        <v>2086</v>
      </c>
    </row>
    <row r="269" spans="1:29" x14ac:dyDescent="0.3">
      <c r="A269" s="4" t="s">
        <v>1751</v>
      </c>
      <c r="B269" s="3" t="s">
        <v>31</v>
      </c>
      <c r="C269" s="2">
        <v>122304</v>
      </c>
      <c r="D269" s="2">
        <v>3000</v>
      </c>
      <c r="E269" s="2">
        <v>205</v>
      </c>
      <c r="F269" s="2">
        <v>194</v>
      </c>
      <c r="G269" s="2">
        <v>371</v>
      </c>
      <c r="H269" s="2">
        <v>130</v>
      </c>
      <c r="I269" s="2">
        <v>320</v>
      </c>
      <c r="J269" s="2">
        <v>351</v>
      </c>
      <c r="K269" s="2">
        <v>619</v>
      </c>
      <c r="L269" s="2">
        <v>0</v>
      </c>
      <c r="M269" s="2">
        <v>0</v>
      </c>
      <c r="N269" s="2">
        <v>0</v>
      </c>
      <c r="O269" s="2">
        <v>65</v>
      </c>
      <c r="P269" s="2">
        <v>0</v>
      </c>
      <c r="Q269" s="2">
        <v>0</v>
      </c>
      <c r="R269" s="238">
        <v>40946</v>
      </c>
      <c r="S269" s="219">
        <v>12</v>
      </c>
      <c r="T269" s="220">
        <f>SUM( tabConsumo[[#This Row],[QTD.PENDENTE]]:tabConsumo[[#This Row],[09_23]] ) / tabConsumo[[#This Row],[Div]]</f>
        <v>187.91666666666666</v>
      </c>
      <c r="U269" s="221">
        <f xml:space="preserve"> tabConsumo[[#This Row],[Média.A]] + (_xlfn.STDEV.S( tabConsumo[[#This Row],[QTD.PENDENTE]]:tabConsumo[[#This Row],[09_23]] ) * 1)</f>
        <v>382.85965636049798</v>
      </c>
      <c r="V269" s="221">
        <f xml:space="preserve"> tabConsumo[[#This Row],[Média.A]] + (_xlfn.STDEV.S( tabConsumo[[#This Row],[QTD.PENDENTE]]:tabConsumo[[#This Row],[09_23]] ) * 2)</f>
        <v>577.80264605432933</v>
      </c>
      <c r="W269" s="221">
        <f xml:space="preserve"> tabConsumo[[#This Row],[Média.A]] + (_xlfn.STDEV.S( tabConsumo[[#This Row],[QTD.PENDENTE]]:tabConsumo[[#This Row],[09_23]] ) * 3)</f>
        <v>772.74563574816057</v>
      </c>
      <c r="X269" s="5">
        <f t="shared" si="10"/>
        <v>2</v>
      </c>
      <c r="Y269">
        <v>184.41666666666666</v>
      </c>
      <c r="Z269" s="223">
        <f>SUM( tabConsumo[[#This Row],[QTD.PENDENTE]]:tabConsumo[[#This Row],[09_23]] )</f>
        <v>2255</v>
      </c>
      <c r="AA269" s="223">
        <f>LARGE(tabConsumo[[#This Row],[10_22]:[09_23]],1)</f>
        <v>619</v>
      </c>
      <c r="AB269" s="146" t="s">
        <v>2239</v>
      </c>
      <c r="AC269" s="3" t="s">
        <v>2086</v>
      </c>
    </row>
    <row r="270" spans="1:29" x14ac:dyDescent="0.3">
      <c r="A270" s="4" t="s">
        <v>1752</v>
      </c>
      <c r="B270" s="3" t="s">
        <v>31</v>
      </c>
      <c r="C270" s="2">
        <v>122305</v>
      </c>
      <c r="D270" s="2">
        <v>426</v>
      </c>
      <c r="F270" s="2">
        <v>0</v>
      </c>
      <c r="G270" s="2">
        <v>50</v>
      </c>
      <c r="H270" s="2">
        <v>25</v>
      </c>
      <c r="I270" s="2">
        <v>4</v>
      </c>
      <c r="J270" s="2">
        <v>0</v>
      </c>
      <c r="K270" s="2">
        <v>254</v>
      </c>
      <c r="L270" s="2">
        <v>20</v>
      </c>
      <c r="M270" s="2">
        <v>400</v>
      </c>
      <c r="N270" s="2">
        <v>0</v>
      </c>
      <c r="O270" s="2">
        <v>0</v>
      </c>
      <c r="P270" s="2">
        <v>150</v>
      </c>
      <c r="Q270" s="2">
        <v>0</v>
      </c>
      <c r="R270" s="238">
        <v>40946</v>
      </c>
      <c r="S270" s="219">
        <v>12</v>
      </c>
      <c r="T270" s="220">
        <f>SUM( tabConsumo[[#This Row],[QTD.PENDENTE]]:tabConsumo[[#This Row],[09_23]] ) / tabConsumo[[#This Row],[Div]]</f>
        <v>75.25</v>
      </c>
      <c r="U270" s="221">
        <f xml:space="preserve"> tabConsumo[[#This Row],[Média.A]] + (_xlfn.STDEV.S( tabConsumo[[#This Row],[QTD.PENDENTE]]:tabConsumo[[#This Row],[09_23]] ) * 1)</f>
        <v>204.09319222146812</v>
      </c>
      <c r="V270" s="221">
        <f xml:space="preserve"> tabConsumo[[#This Row],[Média.A]] + (_xlfn.STDEV.S( tabConsumo[[#This Row],[QTD.PENDENTE]]:tabConsumo[[#This Row],[09_23]] ) * 2)</f>
        <v>332.93638444293623</v>
      </c>
      <c r="W270" s="221">
        <f xml:space="preserve"> tabConsumo[[#This Row],[Média.A]] + (_xlfn.STDEV.S( tabConsumo[[#This Row],[QTD.PENDENTE]]:tabConsumo[[#This Row],[09_23]] ) * 3)</f>
        <v>461.77957666440432</v>
      </c>
      <c r="X270" s="5">
        <f t="shared" si="10"/>
        <v>2</v>
      </c>
      <c r="Y270">
        <v>69.583333333333329</v>
      </c>
      <c r="Z270" s="223">
        <f>SUM( tabConsumo[[#This Row],[QTD.PENDENTE]]:tabConsumo[[#This Row],[09_23]] )</f>
        <v>903</v>
      </c>
      <c r="AA270" s="223">
        <f>LARGE(tabConsumo[[#This Row],[10_22]:[09_23]],1)</f>
        <v>400</v>
      </c>
      <c r="AB270" s="146" t="s">
        <v>2241</v>
      </c>
      <c r="AC270" s="3" t="s">
        <v>2086</v>
      </c>
    </row>
    <row r="271" spans="1:29" x14ac:dyDescent="0.3">
      <c r="A271" s="4" t="s">
        <v>1476</v>
      </c>
      <c r="B271" s="3" t="s">
        <v>263</v>
      </c>
      <c r="C271" s="2">
        <v>81455</v>
      </c>
      <c r="D271" s="2">
        <v>81</v>
      </c>
      <c r="E271" s="2">
        <v>68</v>
      </c>
      <c r="F271" s="2">
        <v>20</v>
      </c>
      <c r="G271" s="2">
        <v>130</v>
      </c>
      <c r="H271" s="2">
        <v>30</v>
      </c>
      <c r="I271" s="2">
        <v>0</v>
      </c>
      <c r="J271" s="2">
        <v>0</v>
      </c>
      <c r="K271" s="2">
        <v>270</v>
      </c>
      <c r="L271" s="2">
        <v>0</v>
      </c>
      <c r="M271" s="2">
        <v>132</v>
      </c>
      <c r="N271" s="2">
        <v>0</v>
      </c>
      <c r="O271" s="2">
        <v>0</v>
      </c>
      <c r="P271" s="2">
        <v>0</v>
      </c>
      <c r="Q271" s="2">
        <v>0</v>
      </c>
      <c r="R271" s="238">
        <v>38223</v>
      </c>
      <c r="S271" s="219">
        <v>12</v>
      </c>
      <c r="T271" s="220">
        <f>SUM( tabConsumo[[#This Row],[QTD.PENDENTE]]:tabConsumo[[#This Row],[09_23]] ) / tabConsumo[[#This Row],[Div]]</f>
        <v>54.166666666666664</v>
      </c>
      <c r="U271" s="221">
        <f xml:space="preserve"> tabConsumo[[#This Row],[Média.A]] + (_xlfn.STDEV.S( tabConsumo[[#This Row],[QTD.PENDENTE]]:tabConsumo[[#This Row],[09_23]] ) * 1)</f>
        <v>136.14633894380296</v>
      </c>
      <c r="V271" s="221">
        <f xml:space="preserve"> tabConsumo[[#This Row],[Média.A]] + (_xlfn.STDEV.S( tabConsumo[[#This Row],[QTD.PENDENTE]]:tabConsumo[[#This Row],[09_23]] ) * 2)</f>
        <v>218.12601122093923</v>
      </c>
      <c r="W271" s="221">
        <f xml:space="preserve"> tabConsumo[[#This Row],[Média.A]] + (_xlfn.STDEV.S( tabConsumo[[#This Row],[QTD.PENDENTE]]:tabConsumo[[#This Row],[09_23]] ) * 3)</f>
        <v>300.10568349807556</v>
      </c>
      <c r="X271" s="5">
        <f t="shared" si="10"/>
        <v>2</v>
      </c>
      <c r="Y271">
        <v>49.833333333333336</v>
      </c>
      <c r="Z271" s="223">
        <f>SUM( tabConsumo[[#This Row],[QTD.PENDENTE]]:tabConsumo[[#This Row],[09_23]] )</f>
        <v>650</v>
      </c>
      <c r="AA271" s="223">
        <f>LARGE(tabConsumo[[#This Row],[10_22]:[09_23]],1)</f>
        <v>270</v>
      </c>
      <c r="AB271" s="146" t="s">
        <v>2244</v>
      </c>
      <c r="AC271" s="3" t="s">
        <v>2086</v>
      </c>
    </row>
    <row r="272" spans="1:29" x14ac:dyDescent="0.3">
      <c r="A272" s="4" t="s">
        <v>1466</v>
      </c>
      <c r="B272" s="3" t="s">
        <v>263</v>
      </c>
      <c r="C272" s="2">
        <v>80387</v>
      </c>
      <c r="D272" s="2">
        <v>130</v>
      </c>
      <c r="F272" s="2">
        <v>30</v>
      </c>
      <c r="G272" s="2">
        <v>50</v>
      </c>
      <c r="H272" s="2">
        <v>50</v>
      </c>
      <c r="I272" s="2">
        <v>50</v>
      </c>
      <c r="J272" s="2">
        <v>50</v>
      </c>
      <c r="K272" s="2">
        <v>310</v>
      </c>
      <c r="L272" s="2">
        <v>0</v>
      </c>
      <c r="M272" s="2">
        <v>200</v>
      </c>
      <c r="N272" s="2">
        <v>0</v>
      </c>
      <c r="O272" s="2">
        <v>0</v>
      </c>
      <c r="P272" s="2">
        <v>0</v>
      </c>
      <c r="Q272" s="2">
        <v>0</v>
      </c>
      <c r="R272" s="238">
        <v>38169</v>
      </c>
      <c r="S272" s="219">
        <v>12</v>
      </c>
      <c r="T272" s="220">
        <f>SUM( tabConsumo[[#This Row],[QTD.PENDENTE]]:tabConsumo[[#This Row],[09_23]] ) / tabConsumo[[#This Row],[Div]]</f>
        <v>61.666666666666664</v>
      </c>
      <c r="U272" s="221">
        <f xml:space="preserve"> tabConsumo[[#This Row],[Média.A]] + (_xlfn.STDEV.S( tabConsumo[[#This Row],[QTD.PENDENTE]]:tabConsumo[[#This Row],[09_23]] ) * 1)</f>
        <v>157.6622473730279</v>
      </c>
      <c r="V272" s="221">
        <f xml:space="preserve"> tabConsumo[[#This Row],[Média.A]] + (_xlfn.STDEV.S( tabConsumo[[#This Row],[QTD.PENDENTE]]:tabConsumo[[#This Row],[09_23]] ) * 2)</f>
        <v>253.65782807938913</v>
      </c>
      <c r="W272" s="221">
        <f xml:space="preserve"> tabConsumo[[#This Row],[Média.A]] + (_xlfn.STDEV.S( tabConsumo[[#This Row],[QTD.PENDENTE]]:tabConsumo[[#This Row],[09_23]] ) * 3)</f>
        <v>349.6534087857504</v>
      </c>
      <c r="X272" s="5">
        <f t="shared" si="10"/>
        <v>2</v>
      </c>
      <c r="Y272">
        <v>56.916666666666664</v>
      </c>
      <c r="Z272" s="223">
        <f>SUM( tabConsumo[[#This Row],[QTD.PENDENTE]]:tabConsumo[[#This Row],[09_23]] )</f>
        <v>740</v>
      </c>
      <c r="AA272" s="223">
        <f>LARGE(tabConsumo[[#This Row],[10_22]:[09_23]],1)</f>
        <v>310</v>
      </c>
      <c r="AB272" s="146" t="s">
        <v>2244</v>
      </c>
      <c r="AC272" s="3" t="s">
        <v>2086</v>
      </c>
    </row>
    <row r="273" spans="1:29" x14ac:dyDescent="0.3">
      <c r="A273" s="4" t="s">
        <v>566</v>
      </c>
      <c r="B273" s="3" t="s">
        <v>263</v>
      </c>
      <c r="C273" s="2">
        <v>85798</v>
      </c>
      <c r="D273" s="2">
        <v>264</v>
      </c>
      <c r="F273" s="2">
        <v>0</v>
      </c>
      <c r="G273" s="2">
        <v>0</v>
      </c>
      <c r="H273" s="2">
        <v>0</v>
      </c>
      <c r="I273" s="2">
        <v>0</v>
      </c>
      <c r="J273" s="2">
        <v>0</v>
      </c>
      <c r="K273" s="2">
        <v>0</v>
      </c>
      <c r="L273" s="2">
        <v>2</v>
      </c>
      <c r="M273" s="2">
        <v>0</v>
      </c>
      <c r="N273" s="2">
        <v>0</v>
      </c>
      <c r="O273" s="2">
        <v>0</v>
      </c>
      <c r="P273" s="2">
        <v>0</v>
      </c>
      <c r="Q273" s="2">
        <v>0</v>
      </c>
      <c r="R273" s="238">
        <v>38502</v>
      </c>
      <c r="S273" s="219">
        <v>12</v>
      </c>
      <c r="T273" s="220">
        <f>SUM( tabConsumo[[#This Row],[QTD.PENDENTE]]:tabConsumo[[#This Row],[09_23]] ) / tabConsumo[[#This Row],[Div]]</f>
        <v>0.16666666666666666</v>
      </c>
      <c r="U273" s="221">
        <f xml:space="preserve"> tabConsumo[[#This Row],[Média.A]] + (_xlfn.STDEV.S( tabConsumo[[#This Row],[QTD.PENDENTE]]:tabConsumo[[#This Row],[09_23]] ) * 1)</f>
        <v>0.74401693585629236</v>
      </c>
      <c r="V273" s="221">
        <f xml:space="preserve"> tabConsumo[[#This Row],[Média.A]] + (_xlfn.STDEV.S( tabConsumo[[#This Row],[QTD.PENDENTE]]:tabConsumo[[#This Row],[09_23]] ) * 2)</f>
        <v>1.3213672050459182</v>
      </c>
      <c r="W273" s="221">
        <f xml:space="preserve"> tabConsumo[[#This Row],[Média.A]] + (_xlfn.STDEV.S( tabConsumo[[#This Row],[QTD.PENDENTE]]:tabConsumo[[#This Row],[09_23]] ) * 3)</f>
        <v>1.8987174742355439</v>
      </c>
      <c r="X273" s="5">
        <f t="shared" si="10"/>
        <v>2</v>
      </c>
      <c r="Y273">
        <v>8.3333333333333329E-2</v>
      </c>
      <c r="Z273" s="223">
        <f>SUM( tabConsumo[[#This Row],[QTD.PENDENTE]]:tabConsumo[[#This Row],[09_23]] )</f>
        <v>2</v>
      </c>
      <c r="AA273" s="223">
        <f>LARGE(tabConsumo[[#This Row],[10_22]:[09_23]],1)</f>
        <v>2</v>
      </c>
      <c r="AB273" s="146" t="s">
        <v>2240</v>
      </c>
      <c r="AC273" s="3" t="s">
        <v>2086</v>
      </c>
    </row>
    <row r="274" spans="1:29" x14ac:dyDescent="0.3">
      <c r="A274" s="4" t="s">
        <v>1990</v>
      </c>
      <c r="B274" s="3" t="s">
        <v>31</v>
      </c>
      <c r="C274" s="2">
        <v>139545</v>
      </c>
      <c r="D274" s="2">
        <v>264</v>
      </c>
      <c r="F274" s="2">
        <v>0</v>
      </c>
      <c r="G274" s="2">
        <v>0</v>
      </c>
      <c r="H274" s="2">
        <v>0</v>
      </c>
      <c r="I274" s="2">
        <v>25</v>
      </c>
      <c r="J274" s="2">
        <v>0</v>
      </c>
      <c r="K274" s="2">
        <v>50</v>
      </c>
      <c r="L274" s="2">
        <v>4</v>
      </c>
      <c r="M274" s="2">
        <v>0</v>
      </c>
      <c r="N274" s="2">
        <v>0</v>
      </c>
      <c r="O274" s="2">
        <v>0</v>
      </c>
      <c r="P274" s="2">
        <v>0</v>
      </c>
      <c r="Q274" s="2">
        <v>0</v>
      </c>
      <c r="R274" s="238">
        <v>43983</v>
      </c>
      <c r="S274" s="219">
        <v>12</v>
      </c>
      <c r="T274" s="220">
        <f>SUM( tabConsumo[[#This Row],[QTD.PENDENTE]]:tabConsumo[[#This Row],[09_23]] ) / tabConsumo[[#This Row],[Div]]</f>
        <v>6.583333333333333</v>
      </c>
      <c r="U274" s="221">
        <f xml:space="preserve"> tabConsumo[[#This Row],[Média.A]] + (_xlfn.STDEV.S( tabConsumo[[#This Row],[QTD.PENDENTE]]:tabConsumo[[#This Row],[09_23]] ) * 1)</f>
        <v>22.019173171681992</v>
      </c>
      <c r="V274" s="221">
        <f xml:space="preserve"> tabConsumo[[#This Row],[Média.A]] + (_xlfn.STDEV.S( tabConsumo[[#This Row],[QTD.PENDENTE]]:tabConsumo[[#This Row],[09_23]] ) * 2)</f>
        <v>37.455013010030648</v>
      </c>
      <c r="W274" s="221">
        <f xml:space="preserve"> tabConsumo[[#This Row],[Média.A]] + (_xlfn.STDEV.S( tabConsumo[[#This Row],[QTD.PENDENTE]]:tabConsumo[[#This Row],[09_23]] ) * 3)</f>
        <v>52.890852848379311</v>
      </c>
      <c r="X274" s="5">
        <f t="shared" si="10"/>
        <v>2</v>
      </c>
      <c r="Y274">
        <v>5.5</v>
      </c>
      <c r="Z274" s="223">
        <f>SUM( tabConsumo[[#This Row],[QTD.PENDENTE]]:tabConsumo[[#This Row],[09_23]] )</f>
        <v>79</v>
      </c>
      <c r="AA274" s="223">
        <f>LARGE(tabConsumo[[#This Row],[10_22]:[09_23]],1)</f>
        <v>50</v>
      </c>
      <c r="AB274" s="146" t="s">
        <v>2240</v>
      </c>
      <c r="AC274" s="3" t="s">
        <v>2086</v>
      </c>
    </row>
    <row r="275" spans="1:29" x14ac:dyDescent="0.3">
      <c r="A275" s="4" t="s">
        <v>1137</v>
      </c>
      <c r="B275" s="3" t="s">
        <v>263</v>
      </c>
      <c r="C275" s="2">
        <v>17562</v>
      </c>
      <c r="D275" s="2">
        <v>443</v>
      </c>
      <c r="F275" s="2">
        <v>0</v>
      </c>
      <c r="G275" s="2">
        <v>30</v>
      </c>
      <c r="H275" s="2">
        <v>0</v>
      </c>
      <c r="I275" s="2">
        <v>0</v>
      </c>
      <c r="J275" s="2">
        <v>0</v>
      </c>
      <c r="K275" s="2">
        <v>10</v>
      </c>
      <c r="L275" s="2">
        <v>0</v>
      </c>
      <c r="M275" s="2">
        <v>0</v>
      </c>
      <c r="N275" s="2">
        <v>0</v>
      </c>
      <c r="O275" s="2">
        <v>0</v>
      </c>
      <c r="P275" s="2">
        <v>0</v>
      </c>
      <c r="Q275" s="2">
        <v>0</v>
      </c>
      <c r="R275" s="238">
        <v>367</v>
      </c>
      <c r="S275" s="219">
        <f xml:space="preserve"> 12</f>
        <v>12</v>
      </c>
      <c r="T275" s="220">
        <f>SUM( tabConsumo[[#This Row],[QTD.PENDENTE]]:tabConsumo[[#This Row],[09_23]] ) / tabConsumo[[#This Row],[Div]]</f>
        <v>3.3333333333333335</v>
      </c>
      <c r="U275" s="221">
        <f xml:space="preserve"> tabConsumo[[#This Row],[Média.A]] + (_xlfn.STDEV.S( tabConsumo[[#This Row],[QTD.PENDENTE]]:tabConsumo[[#This Row],[09_23]] ) * 1)</f>
        <v>12.20958697931928</v>
      </c>
      <c r="V275" s="221">
        <f xml:space="preserve"> tabConsumo[[#This Row],[Média.A]] + (_xlfn.STDEV.S( tabConsumo[[#This Row],[QTD.PENDENTE]]:tabConsumo[[#This Row],[09_23]] ) * 2)</f>
        <v>21.085840625305224</v>
      </c>
      <c r="W275" s="221">
        <f xml:space="preserve"> tabConsumo[[#This Row],[Média.A]] + (_xlfn.STDEV.S( tabConsumo[[#This Row],[QTD.PENDENTE]]:tabConsumo[[#This Row],[09_23]] ) * 3)</f>
        <v>29.962094271291168</v>
      </c>
      <c r="X275" s="5">
        <f t="shared" si="10"/>
        <v>2</v>
      </c>
      <c r="Y275">
        <v>2.5833333333333335</v>
      </c>
      <c r="Z275" s="223">
        <f>SUM( tabConsumo[[#This Row],[QTD.PENDENTE]]:tabConsumo[[#This Row],[09_23]] )</f>
        <v>40</v>
      </c>
      <c r="AA275" s="223">
        <f>LARGE(tabConsumo[[#This Row],[10_22]:[09_23]],1)</f>
        <v>30</v>
      </c>
      <c r="AB275" s="146" t="s">
        <v>2245</v>
      </c>
      <c r="AC275" s="3" t="s">
        <v>2086</v>
      </c>
    </row>
    <row r="276" spans="1:29" x14ac:dyDescent="0.3">
      <c r="A276" s="4" t="s">
        <v>1275</v>
      </c>
      <c r="B276" s="3" t="s">
        <v>263</v>
      </c>
      <c r="C276" s="2">
        <v>40251</v>
      </c>
      <c r="D276" s="2">
        <v>0</v>
      </c>
      <c r="E276" s="2">
        <v>110</v>
      </c>
      <c r="F276" s="2">
        <v>20</v>
      </c>
      <c r="G276" s="2">
        <v>30</v>
      </c>
      <c r="H276" s="2">
        <v>50</v>
      </c>
      <c r="I276" s="2">
        <v>37</v>
      </c>
      <c r="J276" s="2">
        <v>32</v>
      </c>
      <c r="K276" s="2">
        <v>78</v>
      </c>
      <c r="L276" s="2">
        <v>191</v>
      </c>
      <c r="M276" s="2">
        <v>0</v>
      </c>
      <c r="N276" s="2">
        <v>0</v>
      </c>
      <c r="O276" s="2">
        <v>0</v>
      </c>
      <c r="P276" s="2">
        <v>0</v>
      </c>
      <c r="Q276" s="2">
        <v>0</v>
      </c>
      <c r="R276" s="238">
        <v>367</v>
      </c>
      <c r="S276" s="219">
        <f xml:space="preserve"> 12</f>
        <v>12</v>
      </c>
      <c r="T276" s="220">
        <f>SUM( tabConsumo[[#This Row],[QTD.PENDENTE]]:tabConsumo[[#This Row],[09_23]] ) / tabConsumo[[#This Row],[Div]]</f>
        <v>45.666666666666664</v>
      </c>
      <c r="U276" s="221">
        <f xml:space="preserve"> tabConsumo[[#This Row],[Média.A]] + (_xlfn.STDEV.S( tabConsumo[[#This Row],[QTD.PENDENTE]]:tabConsumo[[#This Row],[09_23]] ) * 1)</f>
        <v>101.76010976810554</v>
      </c>
      <c r="V276" s="221">
        <f xml:space="preserve"> tabConsumo[[#This Row],[Média.A]] + (_xlfn.STDEV.S( tabConsumo[[#This Row],[QTD.PENDENTE]]:tabConsumo[[#This Row],[09_23]] ) * 2)</f>
        <v>157.85355286954439</v>
      </c>
      <c r="W276" s="221">
        <f xml:space="preserve"> tabConsumo[[#This Row],[Média.A]] + (_xlfn.STDEV.S( tabConsumo[[#This Row],[QTD.PENDENTE]]:tabConsumo[[#This Row],[09_23]] ) * 3)</f>
        <v>213.94699597098324</v>
      </c>
      <c r="X276" s="5">
        <f t="shared" si="10"/>
        <v>2</v>
      </c>
      <c r="Y276">
        <v>42.833333333333336</v>
      </c>
      <c r="Z276" s="223">
        <f>SUM( tabConsumo[[#This Row],[QTD.PENDENTE]]:tabConsumo[[#This Row],[09_23]] )</f>
        <v>548</v>
      </c>
      <c r="AA276" s="223">
        <f>LARGE(tabConsumo[[#This Row],[10_22]:[09_23]],1)</f>
        <v>191</v>
      </c>
      <c r="AB276" s="146" t="s">
        <v>2240</v>
      </c>
      <c r="AC276" s="3" t="s">
        <v>2086</v>
      </c>
    </row>
    <row r="277" spans="1:29" x14ac:dyDescent="0.3">
      <c r="A277" s="4" t="s">
        <v>575</v>
      </c>
      <c r="B277" s="3" t="s">
        <v>263</v>
      </c>
      <c r="C277" s="2">
        <v>88718</v>
      </c>
      <c r="D277" s="2">
        <v>96</v>
      </c>
      <c r="F277" s="2">
        <v>0</v>
      </c>
      <c r="G277" s="2">
        <v>0</v>
      </c>
      <c r="H277" s="2">
        <v>6</v>
      </c>
      <c r="I277" s="2">
        <v>0</v>
      </c>
      <c r="J277" s="2">
        <v>0</v>
      </c>
      <c r="K277" s="2">
        <v>2</v>
      </c>
      <c r="L277" s="2">
        <v>0</v>
      </c>
      <c r="M277" s="2">
        <v>4</v>
      </c>
      <c r="N277" s="2">
        <v>0</v>
      </c>
      <c r="O277" s="2">
        <v>0</v>
      </c>
      <c r="P277" s="2">
        <v>0</v>
      </c>
      <c r="Q277" s="2">
        <v>0</v>
      </c>
      <c r="R277" s="238">
        <v>38656</v>
      </c>
      <c r="S277" s="219">
        <v>12</v>
      </c>
      <c r="T277" s="220">
        <f>SUM( tabConsumo[[#This Row],[QTD.PENDENTE]]:tabConsumo[[#This Row],[09_23]] ) / tabConsumo[[#This Row],[Div]]</f>
        <v>1</v>
      </c>
      <c r="U277" s="221">
        <f xml:space="preserve"> tabConsumo[[#This Row],[Média.A]] + (_xlfn.STDEV.S( tabConsumo[[#This Row],[QTD.PENDENTE]]:tabConsumo[[#This Row],[09_23]] ) * 1)</f>
        <v>3</v>
      </c>
      <c r="V277" s="221">
        <f xml:space="preserve"> tabConsumo[[#This Row],[Média.A]] + (_xlfn.STDEV.S( tabConsumo[[#This Row],[QTD.PENDENTE]]:tabConsumo[[#This Row],[09_23]] ) * 2)</f>
        <v>5</v>
      </c>
      <c r="W277" s="221">
        <f xml:space="preserve"> tabConsumo[[#This Row],[Média.A]] + (_xlfn.STDEV.S( tabConsumo[[#This Row],[QTD.PENDENTE]]:tabConsumo[[#This Row],[09_23]] ) * 3)</f>
        <v>7</v>
      </c>
      <c r="X277" s="5">
        <f t="shared" si="10"/>
        <v>2</v>
      </c>
      <c r="Y277">
        <v>0.91666666666666663</v>
      </c>
      <c r="Z277" s="223">
        <f>SUM( tabConsumo[[#This Row],[QTD.PENDENTE]]:tabConsumo[[#This Row],[09_23]] )</f>
        <v>12</v>
      </c>
      <c r="AA277" s="223">
        <f>LARGE(tabConsumo[[#This Row],[10_22]:[09_23]],1)</f>
        <v>6</v>
      </c>
      <c r="AB277" s="146" t="s">
        <v>2244</v>
      </c>
      <c r="AC277" s="3" t="s">
        <v>2086</v>
      </c>
    </row>
    <row r="278" spans="1:29" x14ac:dyDescent="0.3">
      <c r="A278" s="4" t="s">
        <v>1673</v>
      </c>
      <c r="B278" s="3" t="s">
        <v>263</v>
      </c>
      <c r="C278" s="2">
        <v>110771</v>
      </c>
      <c r="D278" s="2">
        <v>30</v>
      </c>
      <c r="F278" s="2">
        <v>10</v>
      </c>
      <c r="G278" s="2">
        <v>0</v>
      </c>
      <c r="H278" s="2">
        <v>27</v>
      </c>
      <c r="I278" s="2">
        <v>4</v>
      </c>
      <c r="J278" s="2">
        <v>3</v>
      </c>
      <c r="K278" s="2">
        <v>0</v>
      </c>
      <c r="L278" s="2">
        <v>15</v>
      </c>
      <c r="M278" s="2">
        <v>0</v>
      </c>
      <c r="N278" s="2">
        <v>0</v>
      </c>
      <c r="O278" s="2">
        <v>0</v>
      </c>
      <c r="P278" s="2">
        <v>15</v>
      </c>
      <c r="Q278" s="2">
        <v>22</v>
      </c>
      <c r="R278" s="238">
        <v>39933</v>
      </c>
      <c r="S278" s="219">
        <v>12</v>
      </c>
      <c r="T278" s="220">
        <f>SUM( tabConsumo[[#This Row],[QTD.PENDENTE]]:tabConsumo[[#This Row],[09_23]] ) / tabConsumo[[#This Row],[Div]]</f>
        <v>8</v>
      </c>
      <c r="U278" s="221">
        <f xml:space="preserve"> tabConsumo[[#This Row],[Média.A]] + (_xlfn.STDEV.S( tabConsumo[[#This Row],[QTD.PENDENTE]]:tabConsumo[[#This Row],[09_23]] ) * 1)</f>
        <v>17.629500128629353</v>
      </c>
      <c r="V278" s="221">
        <f xml:space="preserve"> tabConsumo[[#This Row],[Média.A]] + (_xlfn.STDEV.S( tabConsumo[[#This Row],[QTD.PENDENTE]]:tabConsumo[[#This Row],[09_23]] ) * 2)</f>
        <v>27.259000257258705</v>
      </c>
      <c r="W278" s="221">
        <f xml:space="preserve"> tabConsumo[[#This Row],[Média.A]] + (_xlfn.STDEV.S( tabConsumo[[#This Row],[QTD.PENDENTE]]:tabConsumo[[#This Row],[09_23]] ) * 3)</f>
        <v>36.888500385888058</v>
      </c>
      <c r="X278" s="5">
        <f t="shared" si="10"/>
        <v>2</v>
      </c>
      <c r="Y278">
        <v>8</v>
      </c>
      <c r="Z278" s="223">
        <f>SUM( tabConsumo[[#This Row],[QTD.PENDENTE]]:tabConsumo[[#This Row],[09_23]] )</f>
        <v>96</v>
      </c>
      <c r="AA278" s="223">
        <f>LARGE(tabConsumo[[#This Row],[10_22]:[09_23]],1)</f>
        <v>27</v>
      </c>
      <c r="AB278" s="146" t="s">
        <v>2238</v>
      </c>
      <c r="AC278" s="3" t="s">
        <v>2086</v>
      </c>
    </row>
    <row r="279" spans="1:29" x14ac:dyDescent="0.3">
      <c r="A279" s="4" t="s">
        <v>1503</v>
      </c>
      <c r="B279" s="3" t="s">
        <v>263</v>
      </c>
      <c r="C279" s="2">
        <v>88726</v>
      </c>
      <c r="D279" s="2">
        <v>130</v>
      </c>
      <c r="F279" s="2">
        <v>2</v>
      </c>
      <c r="G279" s="2">
        <v>4</v>
      </c>
      <c r="H279" s="2">
        <v>2</v>
      </c>
      <c r="I279" s="2">
        <v>4</v>
      </c>
      <c r="J279" s="2">
        <v>1</v>
      </c>
      <c r="K279" s="2">
        <v>0</v>
      </c>
      <c r="L279" s="2">
        <v>12</v>
      </c>
      <c r="M279" s="2">
        <v>4</v>
      </c>
      <c r="N279" s="2">
        <v>0</v>
      </c>
      <c r="O279" s="2">
        <v>0</v>
      </c>
      <c r="P279" s="2">
        <v>0</v>
      </c>
      <c r="Q279" s="2">
        <v>20</v>
      </c>
      <c r="R279" s="238">
        <v>38656</v>
      </c>
      <c r="S279" s="219">
        <v>12</v>
      </c>
      <c r="T279" s="220">
        <f>SUM( tabConsumo[[#This Row],[QTD.PENDENTE]]:tabConsumo[[#This Row],[09_23]] ) / tabConsumo[[#This Row],[Div]]</f>
        <v>4.083333333333333</v>
      </c>
      <c r="U279" s="221">
        <f xml:space="preserve"> tabConsumo[[#This Row],[Média.A]] + (_xlfn.STDEV.S( tabConsumo[[#This Row],[QTD.PENDENTE]]:tabConsumo[[#This Row],[09_23]] ) * 1)</f>
        <v>10.120465905752933</v>
      </c>
      <c r="V279" s="221">
        <f xml:space="preserve"> tabConsumo[[#This Row],[Média.A]] + (_xlfn.STDEV.S( tabConsumo[[#This Row],[QTD.PENDENTE]]:tabConsumo[[#This Row],[09_23]] ) * 2)</f>
        <v>16.157598478172535</v>
      </c>
      <c r="W279" s="221">
        <f xml:space="preserve"> tabConsumo[[#This Row],[Média.A]] + (_xlfn.STDEV.S( tabConsumo[[#This Row],[QTD.PENDENTE]]:tabConsumo[[#This Row],[09_23]] ) * 3)</f>
        <v>22.194731050592132</v>
      </c>
      <c r="X279" s="5">
        <f t="shared" si="10"/>
        <v>2</v>
      </c>
      <c r="Y279">
        <v>3.75</v>
      </c>
      <c r="Z279" s="223">
        <f>SUM( tabConsumo[[#This Row],[QTD.PENDENTE]]:tabConsumo[[#This Row],[09_23]] )</f>
        <v>49</v>
      </c>
      <c r="AA279" s="223">
        <f>LARGE(tabConsumo[[#This Row],[10_22]:[09_23]],1)</f>
        <v>20</v>
      </c>
      <c r="AB279" s="146" t="s">
        <v>2238</v>
      </c>
      <c r="AC279" s="3" t="s">
        <v>2086</v>
      </c>
    </row>
    <row r="280" spans="1:29" x14ac:dyDescent="0.3">
      <c r="A280" s="4" t="s">
        <v>1504</v>
      </c>
      <c r="B280" s="3" t="s">
        <v>263</v>
      </c>
      <c r="C280" s="2">
        <v>88727</v>
      </c>
      <c r="D280" s="2">
        <v>218</v>
      </c>
      <c r="F280" s="2">
        <v>18</v>
      </c>
      <c r="G280" s="2">
        <v>2</v>
      </c>
      <c r="H280" s="2">
        <v>32</v>
      </c>
      <c r="I280" s="2">
        <v>51</v>
      </c>
      <c r="J280" s="2">
        <v>14</v>
      </c>
      <c r="K280" s="2">
        <v>8</v>
      </c>
      <c r="L280" s="2">
        <v>20</v>
      </c>
      <c r="M280" s="2">
        <v>0</v>
      </c>
      <c r="N280" s="2">
        <v>10</v>
      </c>
      <c r="O280" s="2">
        <v>0</v>
      </c>
      <c r="P280" s="2">
        <v>0</v>
      </c>
      <c r="Q280" s="2">
        <v>30</v>
      </c>
      <c r="R280" s="238">
        <v>38656</v>
      </c>
      <c r="S280" s="219">
        <v>12</v>
      </c>
      <c r="T280" s="220">
        <f>SUM( tabConsumo[[#This Row],[QTD.PENDENTE]]:tabConsumo[[#This Row],[09_23]] ) / tabConsumo[[#This Row],[Div]]</f>
        <v>15.416666666666666</v>
      </c>
      <c r="U280" s="221">
        <f xml:space="preserve"> tabConsumo[[#This Row],[Média.A]] + (_xlfn.STDEV.S( tabConsumo[[#This Row],[QTD.PENDENTE]]:tabConsumo[[#This Row],[09_23]] ) * 1)</f>
        <v>31.259407093828383</v>
      </c>
      <c r="V280" s="221">
        <f xml:space="preserve"> tabConsumo[[#This Row],[Média.A]] + (_xlfn.STDEV.S( tabConsumo[[#This Row],[QTD.PENDENTE]]:tabConsumo[[#This Row],[09_23]] ) * 2)</f>
        <v>47.102147520990101</v>
      </c>
      <c r="W280" s="221">
        <f xml:space="preserve"> tabConsumo[[#This Row],[Média.A]] + (_xlfn.STDEV.S( tabConsumo[[#This Row],[QTD.PENDENTE]]:tabConsumo[[#This Row],[09_23]] ) * 3)</f>
        <v>62.944887948151816</v>
      </c>
      <c r="X280" s="5">
        <f t="shared" si="10"/>
        <v>2</v>
      </c>
      <c r="Y280">
        <v>15.083333333333334</v>
      </c>
      <c r="Z280" s="223">
        <f>SUM( tabConsumo[[#This Row],[QTD.PENDENTE]]:tabConsumo[[#This Row],[09_23]] )</f>
        <v>185</v>
      </c>
      <c r="AA280" s="223">
        <f>LARGE(tabConsumo[[#This Row],[10_22]:[09_23]],1)</f>
        <v>51</v>
      </c>
      <c r="AB280" s="146" t="s">
        <v>2238</v>
      </c>
      <c r="AC280" s="3" t="s">
        <v>2086</v>
      </c>
    </row>
    <row r="281" spans="1:29" x14ac:dyDescent="0.3">
      <c r="A281" s="4" t="s">
        <v>1505</v>
      </c>
      <c r="B281" s="3" t="s">
        <v>263</v>
      </c>
      <c r="C281" s="2">
        <v>88728</v>
      </c>
      <c r="D281" s="2">
        <v>186</v>
      </c>
      <c r="F281" s="2">
        <v>14</v>
      </c>
      <c r="G281" s="2">
        <v>5</v>
      </c>
      <c r="H281" s="2">
        <v>11</v>
      </c>
      <c r="I281" s="2">
        <v>5</v>
      </c>
      <c r="J281" s="2">
        <v>11</v>
      </c>
      <c r="K281" s="2">
        <v>7</v>
      </c>
      <c r="L281" s="2">
        <v>24</v>
      </c>
      <c r="M281" s="2">
        <v>0</v>
      </c>
      <c r="N281" s="2">
        <v>0</v>
      </c>
      <c r="O281" s="2">
        <v>20</v>
      </c>
      <c r="P281" s="2">
        <v>0</v>
      </c>
      <c r="Q281" s="2">
        <v>0</v>
      </c>
      <c r="R281" s="238">
        <v>38656</v>
      </c>
      <c r="S281" s="219">
        <v>12</v>
      </c>
      <c r="T281" s="220">
        <f>SUM( tabConsumo[[#This Row],[QTD.PENDENTE]]:tabConsumo[[#This Row],[09_23]] ) / tabConsumo[[#This Row],[Div]]</f>
        <v>8.0833333333333339</v>
      </c>
      <c r="U281" s="221">
        <f xml:space="preserve"> tabConsumo[[#This Row],[Média.A]] + (_xlfn.STDEV.S( tabConsumo[[#This Row],[QTD.PENDENTE]]:tabConsumo[[#This Row],[09_23]] ) * 1)</f>
        <v>16.223674328350157</v>
      </c>
      <c r="V281" s="221">
        <f xml:space="preserve"> tabConsumo[[#This Row],[Média.A]] + (_xlfn.STDEV.S( tabConsumo[[#This Row],[QTD.PENDENTE]]:tabConsumo[[#This Row],[09_23]] ) * 2)</f>
        <v>24.364015323366985</v>
      </c>
      <c r="W281" s="221">
        <f xml:space="preserve"> tabConsumo[[#This Row],[Média.A]] + (_xlfn.STDEV.S( tabConsumo[[#This Row],[QTD.PENDENTE]]:tabConsumo[[#This Row],[09_23]] ) * 3)</f>
        <v>32.504356318383806</v>
      </c>
      <c r="X281" s="5">
        <f t="shared" si="10"/>
        <v>2</v>
      </c>
      <c r="Y281">
        <v>8.0833333333333339</v>
      </c>
      <c r="Z281" s="223">
        <f>SUM( tabConsumo[[#This Row],[QTD.PENDENTE]]:tabConsumo[[#This Row],[09_23]] )</f>
        <v>97</v>
      </c>
      <c r="AA281" s="223">
        <f>LARGE(tabConsumo[[#This Row],[10_22]:[09_23]],1)</f>
        <v>24</v>
      </c>
      <c r="AB281" s="146" t="s">
        <v>2239</v>
      </c>
      <c r="AC281" s="3" t="s">
        <v>2086</v>
      </c>
    </row>
    <row r="282" spans="1:29" x14ac:dyDescent="0.3">
      <c r="A282" s="4" t="s">
        <v>1506</v>
      </c>
      <c r="B282" s="3" t="s">
        <v>263</v>
      </c>
      <c r="C282" s="2">
        <v>88729</v>
      </c>
      <c r="D282" s="2">
        <v>17</v>
      </c>
      <c r="F282" s="2">
        <v>5</v>
      </c>
      <c r="G282" s="2">
        <v>2</v>
      </c>
      <c r="H282" s="2">
        <v>6</v>
      </c>
      <c r="I282" s="2">
        <v>0</v>
      </c>
      <c r="J282" s="2">
        <v>3</v>
      </c>
      <c r="K282" s="2">
        <v>3</v>
      </c>
      <c r="L282" s="2">
        <v>10</v>
      </c>
      <c r="M282" s="2">
        <v>0</v>
      </c>
      <c r="N282" s="2">
        <v>20</v>
      </c>
      <c r="O282" s="2">
        <v>0</v>
      </c>
      <c r="P282" s="2">
        <v>0</v>
      </c>
      <c r="Q282" s="2">
        <v>0</v>
      </c>
      <c r="R282" s="238">
        <v>38656</v>
      </c>
      <c r="S282" s="219">
        <v>12</v>
      </c>
      <c r="T282" s="220">
        <f>SUM( tabConsumo[[#This Row],[QTD.PENDENTE]]:tabConsumo[[#This Row],[09_23]] ) / tabConsumo[[#This Row],[Div]]</f>
        <v>4.083333333333333</v>
      </c>
      <c r="U282" s="221">
        <f xml:space="preserve"> tabConsumo[[#This Row],[Média.A]] + (_xlfn.STDEV.S( tabConsumo[[#This Row],[QTD.PENDENTE]]:tabConsumo[[#This Row],[09_23]] ) * 1)</f>
        <v>9.9833846941780884</v>
      </c>
      <c r="V282" s="221">
        <f xml:space="preserve"> tabConsumo[[#This Row],[Média.A]] + (_xlfn.STDEV.S( tabConsumo[[#This Row],[QTD.PENDENTE]]:tabConsumo[[#This Row],[09_23]] ) * 2)</f>
        <v>15.883436055022845</v>
      </c>
      <c r="W282" s="221">
        <f xml:space="preserve"> tabConsumo[[#This Row],[Média.A]] + (_xlfn.STDEV.S( tabConsumo[[#This Row],[QTD.PENDENTE]]:tabConsumo[[#This Row],[09_23]] ) * 3)</f>
        <v>21.783487415867601</v>
      </c>
      <c r="X282" s="5">
        <f t="shared" si="10"/>
        <v>2</v>
      </c>
      <c r="Y282">
        <v>3.6666666666666665</v>
      </c>
      <c r="Z282" s="223">
        <f>SUM( tabConsumo[[#This Row],[QTD.PENDENTE]]:tabConsumo[[#This Row],[09_23]] )</f>
        <v>49</v>
      </c>
      <c r="AA282" s="223">
        <f>LARGE(tabConsumo[[#This Row],[10_22]:[09_23]],1)</f>
        <v>20</v>
      </c>
      <c r="AB282" s="146" t="s">
        <v>2246</v>
      </c>
      <c r="AC282" s="3" t="s">
        <v>2086</v>
      </c>
    </row>
    <row r="283" spans="1:29" x14ac:dyDescent="0.3">
      <c r="A283" s="4" t="s">
        <v>1507</v>
      </c>
      <c r="B283" s="3" t="s">
        <v>263</v>
      </c>
      <c r="C283" s="2">
        <v>88730</v>
      </c>
      <c r="D283" s="2">
        <v>18</v>
      </c>
      <c r="F283" s="2">
        <v>6</v>
      </c>
      <c r="G283" s="2">
        <v>2</v>
      </c>
      <c r="H283" s="2">
        <v>4</v>
      </c>
      <c r="I283" s="2">
        <v>0</v>
      </c>
      <c r="J283" s="2">
        <v>1</v>
      </c>
      <c r="K283" s="2">
        <v>2</v>
      </c>
      <c r="L283" s="2">
        <v>0</v>
      </c>
      <c r="M283" s="2">
        <v>0</v>
      </c>
      <c r="N283" s="2">
        <v>0</v>
      </c>
      <c r="O283" s="2">
        <v>0</v>
      </c>
      <c r="P283" s="2">
        <v>15</v>
      </c>
      <c r="Q283" s="2">
        <v>0</v>
      </c>
      <c r="R283" s="238">
        <v>38656</v>
      </c>
      <c r="S283" s="219">
        <v>12</v>
      </c>
      <c r="T283" s="220">
        <f>SUM( tabConsumo[[#This Row],[QTD.PENDENTE]]:tabConsumo[[#This Row],[09_23]] ) / tabConsumo[[#This Row],[Div]]</f>
        <v>2.5</v>
      </c>
      <c r="U283" s="221">
        <f xml:space="preserve"> tabConsumo[[#This Row],[Média.A]] + (_xlfn.STDEV.S( tabConsumo[[#This Row],[QTD.PENDENTE]]:tabConsumo[[#This Row],[09_23]] ) * 1)</f>
        <v>6.8797052619803294</v>
      </c>
      <c r="V283" s="221">
        <f xml:space="preserve"> tabConsumo[[#This Row],[Média.A]] + (_xlfn.STDEV.S( tabConsumo[[#This Row],[QTD.PENDENTE]]:tabConsumo[[#This Row],[09_23]] ) * 2)</f>
        <v>11.259410523960659</v>
      </c>
      <c r="W283" s="221">
        <f xml:space="preserve"> tabConsumo[[#This Row],[Média.A]] + (_xlfn.STDEV.S( tabConsumo[[#This Row],[QTD.PENDENTE]]:tabConsumo[[#This Row],[09_23]] ) * 3)</f>
        <v>15.639115785940987</v>
      </c>
      <c r="X283" s="5">
        <f t="shared" si="10"/>
        <v>2</v>
      </c>
      <c r="Y283">
        <v>2.1666666666666665</v>
      </c>
      <c r="Z283" s="223">
        <f>SUM( tabConsumo[[#This Row],[QTD.PENDENTE]]:tabConsumo[[#This Row],[09_23]] )</f>
        <v>30</v>
      </c>
      <c r="AA283" s="223">
        <f>LARGE(tabConsumo[[#This Row],[10_22]:[09_23]],1)</f>
        <v>15</v>
      </c>
      <c r="AB283" s="146" t="s">
        <v>2241</v>
      </c>
      <c r="AC283" s="3" t="s">
        <v>2086</v>
      </c>
    </row>
    <row r="284" spans="1:29" x14ac:dyDescent="0.3">
      <c r="A284" s="4" t="s">
        <v>1513</v>
      </c>
      <c r="B284" s="3" t="s">
        <v>263</v>
      </c>
      <c r="C284" s="2">
        <v>88740</v>
      </c>
      <c r="D284" s="2">
        <v>74</v>
      </c>
      <c r="F284" s="2">
        <v>5</v>
      </c>
      <c r="G284" s="2">
        <v>0</v>
      </c>
      <c r="H284" s="2">
        <v>3</v>
      </c>
      <c r="I284" s="2">
        <v>0</v>
      </c>
      <c r="J284" s="2">
        <v>1</v>
      </c>
      <c r="K284" s="2">
        <v>2</v>
      </c>
      <c r="L284" s="2">
        <v>63</v>
      </c>
      <c r="M284" s="2">
        <v>0</v>
      </c>
      <c r="N284" s="2">
        <v>0</v>
      </c>
      <c r="O284" s="2">
        <v>0</v>
      </c>
      <c r="P284" s="2">
        <v>10</v>
      </c>
      <c r="Q284" s="2">
        <v>0</v>
      </c>
      <c r="R284" s="238">
        <v>38656</v>
      </c>
      <c r="S284" s="219">
        <v>12</v>
      </c>
      <c r="T284" s="220">
        <f>SUM( tabConsumo[[#This Row],[QTD.PENDENTE]]:tabConsumo[[#This Row],[09_23]] ) / tabConsumo[[#This Row],[Div]]</f>
        <v>7</v>
      </c>
      <c r="U284" s="221">
        <f xml:space="preserve"> tabConsumo[[#This Row],[Média.A]] + (_xlfn.STDEV.S( tabConsumo[[#This Row],[QTD.PENDENTE]]:tabConsumo[[#This Row],[09_23]] ) * 1)</f>
        <v>24.888543819998318</v>
      </c>
      <c r="V284" s="221">
        <f xml:space="preserve"> tabConsumo[[#This Row],[Média.A]] + (_xlfn.STDEV.S( tabConsumo[[#This Row],[QTD.PENDENTE]]:tabConsumo[[#This Row],[09_23]] ) * 2)</f>
        <v>42.777087639996637</v>
      </c>
      <c r="W284" s="221">
        <f xml:space="preserve"> tabConsumo[[#This Row],[Média.A]] + (_xlfn.STDEV.S( tabConsumo[[#This Row],[QTD.PENDENTE]]:tabConsumo[[#This Row],[09_23]] ) * 3)</f>
        <v>60.665631459994955</v>
      </c>
      <c r="X284" s="5">
        <f t="shared" si="10"/>
        <v>2</v>
      </c>
      <c r="Y284">
        <v>5.25</v>
      </c>
      <c r="Z284" s="223">
        <f>SUM( tabConsumo[[#This Row],[QTD.PENDENTE]]:tabConsumo[[#This Row],[09_23]] )</f>
        <v>84</v>
      </c>
      <c r="AA284" s="223">
        <f>LARGE(tabConsumo[[#This Row],[10_22]:[09_23]],1)</f>
        <v>63</v>
      </c>
      <c r="AB284" s="146" t="s">
        <v>2241</v>
      </c>
      <c r="AC284" s="3" t="s">
        <v>2086</v>
      </c>
    </row>
    <row r="285" spans="1:29" x14ac:dyDescent="0.3">
      <c r="A285" s="4" t="s">
        <v>1508</v>
      </c>
      <c r="B285" s="3" t="s">
        <v>263</v>
      </c>
      <c r="C285" s="2">
        <v>88731</v>
      </c>
      <c r="D285" s="2">
        <v>40</v>
      </c>
      <c r="F285" s="2">
        <v>0</v>
      </c>
      <c r="G285" s="2">
        <v>0</v>
      </c>
      <c r="H285" s="2">
        <v>0</v>
      </c>
      <c r="I285" s="2">
        <v>0</v>
      </c>
      <c r="J285" s="2">
        <v>1</v>
      </c>
      <c r="K285" s="2">
        <v>0</v>
      </c>
      <c r="L285" s="2">
        <v>0</v>
      </c>
      <c r="M285" s="2">
        <v>0</v>
      </c>
      <c r="N285" s="2">
        <v>0</v>
      </c>
      <c r="O285" s="2">
        <v>0</v>
      </c>
      <c r="P285" s="2">
        <v>0</v>
      </c>
      <c r="Q285" s="2">
        <v>0</v>
      </c>
      <c r="R285" s="238">
        <v>38656</v>
      </c>
      <c r="S285" s="219">
        <v>12</v>
      </c>
      <c r="T285" s="220">
        <f>SUM( tabConsumo[[#This Row],[QTD.PENDENTE]]:tabConsumo[[#This Row],[09_23]] ) / tabConsumo[[#This Row],[Div]]</f>
        <v>8.3333333333333329E-2</v>
      </c>
      <c r="U285" s="221">
        <f xml:space="preserve"> tabConsumo[[#This Row],[Média.A]] + (_xlfn.STDEV.S( tabConsumo[[#This Row],[QTD.PENDENTE]]:tabConsumo[[#This Row],[09_23]] ) * 1)</f>
        <v>0.37200846792814618</v>
      </c>
      <c r="V285" s="221">
        <f xml:space="preserve"> tabConsumo[[#This Row],[Média.A]] + (_xlfn.STDEV.S( tabConsumo[[#This Row],[QTD.PENDENTE]]:tabConsumo[[#This Row],[09_23]] ) * 2)</f>
        <v>0.6606836025229591</v>
      </c>
      <c r="W285" s="221">
        <f xml:space="preserve"> tabConsumo[[#This Row],[Média.A]] + (_xlfn.STDEV.S( tabConsumo[[#This Row],[QTD.PENDENTE]]:tabConsumo[[#This Row],[09_23]] ) * 3)</f>
        <v>0.94935873711777197</v>
      </c>
      <c r="X285" s="5">
        <f t="shared" si="10"/>
        <v>2</v>
      </c>
      <c r="Y285">
        <v>0</v>
      </c>
      <c r="Z285" s="223">
        <f>SUM( tabConsumo[[#This Row],[QTD.PENDENTE]]:tabConsumo[[#This Row],[09_23]] )</f>
        <v>1</v>
      </c>
      <c r="AA285" s="223">
        <f>LARGE(tabConsumo[[#This Row],[10_22]:[09_23]],1)</f>
        <v>1</v>
      </c>
      <c r="AB285" s="146" t="s">
        <v>2248</v>
      </c>
      <c r="AC285" s="3" t="s">
        <v>2086</v>
      </c>
    </row>
    <row r="286" spans="1:29" x14ac:dyDescent="0.3">
      <c r="A286" s="4" t="s">
        <v>1516</v>
      </c>
      <c r="B286" s="3" t="s">
        <v>263</v>
      </c>
      <c r="C286" s="2">
        <v>88746</v>
      </c>
      <c r="D286" s="2">
        <v>42</v>
      </c>
      <c r="F286" s="2">
        <v>0</v>
      </c>
      <c r="G286" s="2">
        <v>0</v>
      </c>
      <c r="H286" s="2">
        <v>0</v>
      </c>
      <c r="I286" s="2">
        <v>2</v>
      </c>
      <c r="J286" s="2">
        <v>1</v>
      </c>
      <c r="K286" s="2">
        <v>1</v>
      </c>
      <c r="L286" s="2">
        <v>5</v>
      </c>
      <c r="M286" s="2">
        <v>0</v>
      </c>
      <c r="N286" s="2">
        <v>0</v>
      </c>
      <c r="O286" s="2">
        <v>0</v>
      </c>
      <c r="P286" s="2">
        <v>0</v>
      </c>
      <c r="Q286" s="2">
        <v>0</v>
      </c>
      <c r="R286" s="238">
        <v>38656</v>
      </c>
      <c r="S286" s="219">
        <v>12</v>
      </c>
      <c r="T286" s="220">
        <f>SUM( tabConsumo[[#This Row],[QTD.PENDENTE]]:tabConsumo[[#This Row],[09_23]] ) / tabConsumo[[#This Row],[Div]]</f>
        <v>0.75</v>
      </c>
      <c r="U286" s="221">
        <f xml:space="preserve"> tabConsumo[[#This Row],[Média.A]] + (_xlfn.STDEV.S( tabConsumo[[#This Row],[QTD.PENDENTE]]:tabConsumo[[#This Row],[09_23]] ) * 1)</f>
        <v>2.2347711791873706</v>
      </c>
      <c r="V286" s="221">
        <f xml:space="preserve"> tabConsumo[[#This Row],[Média.A]] + (_xlfn.STDEV.S( tabConsumo[[#This Row],[QTD.PENDENTE]]:tabConsumo[[#This Row],[09_23]] ) * 2)</f>
        <v>3.7195423583747411</v>
      </c>
      <c r="W286" s="221">
        <f xml:space="preserve"> tabConsumo[[#This Row],[Média.A]] + (_xlfn.STDEV.S( tabConsumo[[#This Row],[QTD.PENDENTE]]:tabConsumo[[#This Row],[09_23]] ) * 3)</f>
        <v>5.2043135375621112</v>
      </c>
      <c r="X286" s="5">
        <f t="shared" si="10"/>
        <v>2</v>
      </c>
      <c r="Y286">
        <v>0.58333333333333337</v>
      </c>
      <c r="Z286" s="223">
        <f>SUM( tabConsumo[[#This Row],[QTD.PENDENTE]]:tabConsumo[[#This Row],[09_23]] )</f>
        <v>9</v>
      </c>
      <c r="AA286" s="223">
        <f>LARGE(tabConsumo[[#This Row],[10_22]:[09_23]],1)</f>
        <v>5</v>
      </c>
      <c r="AB286" s="146" t="s">
        <v>2240</v>
      </c>
      <c r="AC286" s="3" t="s">
        <v>2086</v>
      </c>
    </row>
    <row r="287" spans="1:29" x14ac:dyDescent="0.3">
      <c r="A287" s="4" t="s">
        <v>1517</v>
      </c>
      <c r="B287" s="3" t="s">
        <v>263</v>
      </c>
      <c r="C287" s="2">
        <v>88747</v>
      </c>
      <c r="D287" s="2">
        <v>5</v>
      </c>
      <c r="F287" s="2">
        <v>0</v>
      </c>
      <c r="G287" s="2">
        <v>0</v>
      </c>
      <c r="H287" s="2">
        <v>0</v>
      </c>
      <c r="I287" s="2">
        <v>0</v>
      </c>
      <c r="J287" s="2">
        <v>1</v>
      </c>
      <c r="K287" s="2">
        <v>1</v>
      </c>
      <c r="L287" s="2">
        <v>3</v>
      </c>
      <c r="M287" s="2">
        <v>0</v>
      </c>
      <c r="N287" s="2">
        <v>0</v>
      </c>
      <c r="O287" s="2">
        <v>0</v>
      </c>
      <c r="P287" s="2">
        <v>0</v>
      </c>
      <c r="Q287" s="2">
        <v>0</v>
      </c>
      <c r="R287" s="238">
        <v>38656</v>
      </c>
      <c r="S287" s="219">
        <v>12</v>
      </c>
      <c r="T287" s="220">
        <f>SUM( tabConsumo[[#This Row],[QTD.PENDENTE]]:tabConsumo[[#This Row],[09_23]] ) / tabConsumo[[#This Row],[Div]]</f>
        <v>0.41666666666666669</v>
      </c>
      <c r="U287" s="221">
        <f xml:space="preserve"> tabConsumo[[#This Row],[Média.A]] + (_xlfn.STDEV.S( tabConsumo[[#This Row],[QTD.PENDENTE]]:tabConsumo[[#This Row],[09_23]] ) * 1)</f>
        <v>1.3170033040451867</v>
      </c>
      <c r="V287" s="221">
        <f xml:space="preserve"> tabConsumo[[#This Row],[Média.A]] + (_xlfn.STDEV.S( tabConsumo[[#This Row],[QTD.PENDENTE]]:tabConsumo[[#This Row],[09_23]] ) * 2)</f>
        <v>2.2173399414237065</v>
      </c>
      <c r="W287" s="221">
        <f xml:space="preserve"> tabConsumo[[#This Row],[Média.A]] + (_xlfn.STDEV.S( tabConsumo[[#This Row],[QTD.PENDENTE]]:tabConsumo[[#This Row],[09_23]] ) * 3)</f>
        <v>3.1176765788022265</v>
      </c>
      <c r="X287" s="5">
        <f t="shared" si="10"/>
        <v>2</v>
      </c>
      <c r="Y287">
        <v>0.33333333333333331</v>
      </c>
      <c r="Z287" s="223">
        <f>SUM( tabConsumo[[#This Row],[QTD.PENDENTE]]:tabConsumo[[#This Row],[09_23]] )</f>
        <v>5</v>
      </c>
      <c r="AA287" s="223">
        <f>LARGE(tabConsumo[[#This Row],[10_22]:[09_23]],1)</f>
        <v>3</v>
      </c>
      <c r="AB287" s="146" t="s">
        <v>2240</v>
      </c>
      <c r="AC287" s="3" t="s">
        <v>2086</v>
      </c>
    </row>
    <row r="288" spans="1:29" x14ac:dyDescent="0.3">
      <c r="A288" s="4" t="s">
        <v>1509</v>
      </c>
      <c r="B288" s="3" t="s">
        <v>263</v>
      </c>
      <c r="C288" s="2">
        <v>88732</v>
      </c>
      <c r="D288" s="2">
        <v>24</v>
      </c>
      <c r="F288" s="2">
        <v>7</v>
      </c>
      <c r="G288" s="2">
        <v>0</v>
      </c>
      <c r="H288" s="2">
        <v>7</v>
      </c>
      <c r="I288" s="2">
        <v>6</v>
      </c>
      <c r="J288" s="2">
        <v>2</v>
      </c>
      <c r="K288" s="2">
        <v>0</v>
      </c>
      <c r="L288" s="2">
        <v>10</v>
      </c>
      <c r="M288" s="2">
        <v>0</v>
      </c>
      <c r="N288" s="2">
        <v>0</v>
      </c>
      <c r="O288" s="2">
        <v>0</v>
      </c>
      <c r="P288" s="2">
        <v>0</v>
      </c>
      <c r="Q288" s="2">
        <v>0</v>
      </c>
      <c r="R288" s="238">
        <v>38656</v>
      </c>
      <c r="S288" s="219">
        <v>12</v>
      </c>
      <c r="T288" s="220">
        <f>SUM( tabConsumo[[#This Row],[QTD.PENDENTE]]:tabConsumo[[#This Row],[09_23]] ) / tabConsumo[[#This Row],[Div]]</f>
        <v>2.6666666666666665</v>
      </c>
      <c r="U288" s="221">
        <f xml:space="preserve"> tabConsumo[[#This Row],[Média.A]] + (_xlfn.STDEV.S( tabConsumo[[#This Row],[QTD.PENDENTE]]:tabConsumo[[#This Row],[09_23]] ) * 1)</f>
        <v>6.3920911899643649</v>
      </c>
      <c r="V288" s="221">
        <f xml:space="preserve"> tabConsumo[[#This Row],[Média.A]] + (_xlfn.STDEV.S( tabConsumo[[#This Row],[QTD.PENDENTE]]:tabConsumo[[#This Row],[09_23]] ) * 2)</f>
        <v>10.117515713262062</v>
      </c>
      <c r="W288" s="221">
        <f xml:space="preserve"> tabConsumo[[#This Row],[Média.A]] + (_xlfn.STDEV.S( tabConsumo[[#This Row],[QTD.PENDENTE]]:tabConsumo[[#This Row],[09_23]] ) * 3)</f>
        <v>13.842940236559761</v>
      </c>
      <c r="X288" s="5">
        <f t="shared" si="10"/>
        <v>2</v>
      </c>
      <c r="Y288">
        <v>2.6666666666666665</v>
      </c>
      <c r="Z288" s="223">
        <f>SUM( tabConsumo[[#This Row],[QTD.PENDENTE]]:tabConsumo[[#This Row],[09_23]] )</f>
        <v>32</v>
      </c>
      <c r="AA288" s="223">
        <f>LARGE(tabConsumo[[#This Row],[10_22]:[09_23]],1)</f>
        <v>10</v>
      </c>
      <c r="AB288" s="146" t="s">
        <v>2240</v>
      </c>
      <c r="AC288" s="3" t="s">
        <v>2086</v>
      </c>
    </row>
    <row r="289" spans="1:29" x14ac:dyDescent="0.3">
      <c r="A289" s="4" t="s">
        <v>1510</v>
      </c>
      <c r="B289" s="3" t="s">
        <v>263</v>
      </c>
      <c r="C289" s="2">
        <v>88733</v>
      </c>
      <c r="D289" s="2">
        <v>0</v>
      </c>
      <c r="E289" s="2">
        <v>2</v>
      </c>
      <c r="F289" s="2">
        <v>3</v>
      </c>
      <c r="G289" s="2">
        <v>0</v>
      </c>
      <c r="H289" s="2">
        <v>5</v>
      </c>
      <c r="I289" s="2">
        <v>20</v>
      </c>
      <c r="J289" s="2">
        <v>7</v>
      </c>
      <c r="K289" s="2">
        <v>12</v>
      </c>
      <c r="L289" s="2">
        <v>9</v>
      </c>
      <c r="M289" s="2">
        <v>0</v>
      </c>
      <c r="N289" s="2">
        <v>0</v>
      </c>
      <c r="O289" s="2">
        <v>0</v>
      </c>
      <c r="P289" s="2">
        <v>0</v>
      </c>
      <c r="Q289" s="2">
        <v>0</v>
      </c>
      <c r="R289" s="238">
        <v>38656</v>
      </c>
      <c r="S289" s="219">
        <v>12</v>
      </c>
      <c r="T289" s="220">
        <f>SUM( tabConsumo[[#This Row],[QTD.PENDENTE]]:tabConsumo[[#This Row],[09_23]] ) / tabConsumo[[#This Row],[Div]]</f>
        <v>4.833333333333333</v>
      </c>
      <c r="U289" s="221">
        <f xml:space="preserve"> tabConsumo[[#This Row],[Média.A]] + (_xlfn.STDEV.S( tabConsumo[[#This Row],[QTD.PENDENTE]]:tabConsumo[[#This Row],[09_23]] ) * 1)</f>
        <v>10.979000975602215</v>
      </c>
      <c r="V289" s="221">
        <f xml:space="preserve"> tabConsumo[[#This Row],[Média.A]] + (_xlfn.STDEV.S( tabConsumo[[#This Row],[QTD.PENDENTE]]:tabConsumo[[#This Row],[09_23]] ) * 2)</f>
        <v>17.124668617871098</v>
      </c>
      <c r="W289" s="221">
        <f xml:space="preserve"> tabConsumo[[#This Row],[Média.A]] + (_xlfn.STDEV.S( tabConsumo[[#This Row],[QTD.PENDENTE]]:tabConsumo[[#This Row],[09_23]] ) * 3)</f>
        <v>23.270336260139981</v>
      </c>
      <c r="X289" s="5">
        <f t="shared" si="10"/>
        <v>2</v>
      </c>
      <c r="Y289">
        <v>4.583333333333333</v>
      </c>
      <c r="Z289" s="223">
        <f>SUM( tabConsumo[[#This Row],[QTD.PENDENTE]]:tabConsumo[[#This Row],[09_23]] )</f>
        <v>58</v>
      </c>
      <c r="AA289" s="223">
        <f>LARGE(tabConsumo[[#This Row],[10_22]:[09_23]],1)</f>
        <v>20</v>
      </c>
      <c r="AB289" s="146" t="s">
        <v>2240</v>
      </c>
      <c r="AC289" s="3" t="s">
        <v>2086</v>
      </c>
    </row>
    <row r="290" spans="1:29" x14ac:dyDescent="0.3">
      <c r="A290" s="4" t="s">
        <v>1511</v>
      </c>
      <c r="B290" s="3" t="s">
        <v>263</v>
      </c>
      <c r="C290" s="2">
        <v>88734</v>
      </c>
      <c r="D290" s="2">
        <v>44</v>
      </c>
      <c r="F290" s="2">
        <v>3</v>
      </c>
      <c r="G290" s="2">
        <v>1</v>
      </c>
      <c r="H290" s="2">
        <v>0</v>
      </c>
      <c r="I290" s="2">
        <v>1</v>
      </c>
      <c r="J290" s="2">
        <v>3</v>
      </c>
      <c r="K290" s="2">
        <v>0</v>
      </c>
      <c r="L290" s="2">
        <v>0</v>
      </c>
      <c r="M290" s="2">
        <v>0</v>
      </c>
      <c r="N290" s="2">
        <v>0</v>
      </c>
      <c r="O290" s="2">
        <v>0</v>
      </c>
      <c r="P290" s="2">
        <v>0</v>
      </c>
      <c r="Q290" s="2">
        <v>0</v>
      </c>
      <c r="R290" s="238">
        <v>38656</v>
      </c>
      <c r="S290" s="219">
        <v>12</v>
      </c>
      <c r="T290" s="220">
        <f>SUM( tabConsumo[[#This Row],[QTD.PENDENTE]]:tabConsumo[[#This Row],[09_23]] ) / tabConsumo[[#This Row],[Div]]</f>
        <v>0.66666666666666663</v>
      </c>
      <c r="U290" s="221">
        <f xml:space="preserve"> tabConsumo[[#This Row],[Média.A]] + (_xlfn.STDEV.S( tabConsumo[[#This Row],[QTD.PENDENTE]]:tabConsumo[[#This Row],[09_23]] ) * 1)</f>
        <v>1.8213672050459184</v>
      </c>
      <c r="V290" s="221">
        <f xml:space="preserve"> tabConsumo[[#This Row],[Média.A]] + (_xlfn.STDEV.S( tabConsumo[[#This Row],[QTD.PENDENTE]]:tabConsumo[[#This Row],[09_23]] ) * 2)</f>
        <v>2.9760677434251699</v>
      </c>
      <c r="W290" s="221">
        <f xml:space="preserve"> tabConsumo[[#This Row],[Média.A]] + (_xlfn.STDEV.S( tabConsumo[[#This Row],[QTD.PENDENTE]]:tabConsumo[[#This Row],[09_23]] ) * 3)</f>
        <v>4.1307682818044222</v>
      </c>
      <c r="X290" s="5">
        <f t="shared" si="10"/>
        <v>2</v>
      </c>
      <c r="Y290">
        <v>0.5</v>
      </c>
      <c r="Z290" s="223">
        <f>SUM( tabConsumo[[#This Row],[QTD.PENDENTE]]:tabConsumo[[#This Row],[09_23]] )</f>
        <v>8</v>
      </c>
      <c r="AA290" s="223">
        <f>LARGE(tabConsumo[[#This Row],[10_22]:[09_23]],1)</f>
        <v>3</v>
      </c>
      <c r="AB290" s="146" t="s">
        <v>2248</v>
      </c>
      <c r="AC290" s="3" t="s">
        <v>2086</v>
      </c>
    </row>
    <row r="291" spans="1:29" x14ac:dyDescent="0.3">
      <c r="A291" s="4" t="s">
        <v>1512</v>
      </c>
      <c r="B291" s="3" t="s">
        <v>263</v>
      </c>
      <c r="C291" s="2">
        <v>88735</v>
      </c>
      <c r="D291" s="2">
        <v>91</v>
      </c>
      <c r="F291" s="2">
        <v>3</v>
      </c>
      <c r="G291" s="2">
        <v>1</v>
      </c>
      <c r="H291" s="2">
        <v>3</v>
      </c>
      <c r="I291" s="2">
        <v>5</v>
      </c>
      <c r="J291" s="2">
        <v>1</v>
      </c>
      <c r="K291" s="2">
        <v>0</v>
      </c>
      <c r="L291" s="2">
        <v>5</v>
      </c>
      <c r="M291" s="2">
        <v>0</v>
      </c>
      <c r="N291" s="2">
        <v>5</v>
      </c>
      <c r="O291" s="2">
        <v>0</v>
      </c>
      <c r="P291" s="2">
        <v>0</v>
      </c>
      <c r="Q291" s="2">
        <v>0</v>
      </c>
      <c r="R291" s="238">
        <v>38656</v>
      </c>
      <c r="S291" s="219">
        <v>12</v>
      </c>
      <c r="T291" s="220">
        <f>SUM( tabConsumo[[#This Row],[QTD.PENDENTE]]:tabConsumo[[#This Row],[09_23]] ) / tabConsumo[[#This Row],[Div]]</f>
        <v>1.9166666666666667</v>
      </c>
      <c r="U291" s="221">
        <f xml:space="preserve"> tabConsumo[[#This Row],[Média.A]] + (_xlfn.STDEV.S( tabConsumo[[#This Row],[QTD.PENDENTE]]:tabConsumo[[#This Row],[09_23]] ) * 1)</f>
        <v>4.0681284671148825</v>
      </c>
      <c r="V291" s="221">
        <f xml:space="preserve"> tabConsumo[[#This Row],[Média.A]] + (_xlfn.STDEV.S( tabConsumo[[#This Row],[QTD.PENDENTE]]:tabConsumo[[#This Row],[09_23]] ) * 2)</f>
        <v>6.219590267563099</v>
      </c>
      <c r="W291" s="221">
        <f xml:space="preserve"> tabConsumo[[#This Row],[Média.A]] + (_xlfn.STDEV.S( tabConsumo[[#This Row],[QTD.PENDENTE]]:tabConsumo[[#This Row],[09_23]] ) * 3)</f>
        <v>8.3710520680113145</v>
      </c>
      <c r="X291" s="5">
        <f t="shared" si="10"/>
        <v>2</v>
      </c>
      <c r="Y291">
        <v>1.9166666666666667</v>
      </c>
      <c r="Z291" s="223">
        <f>SUM( tabConsumo[[#This Row],[QTD.PENDENTE]]:tabConsumo[[#This Row],[09_23]] )</f>
        <v>23</v>
      </c>
      <c r="AA291" s="223">
        <f>LARGE(tabConsumo[[#This Row],[10_22]:[09_23]],1)</f>
        <v>5</v>
      </c>
      <c r="AB291" s="146" t="s">
        <v>2246</v>
      </c>
      <c r="AC291" s="3" t="s">
        <v>2086</v>
      </c>
    </row>
    <row r="292" spans="1:29" x14ac:dyDescent="0.3">
      <c r="A292" s="4" t="s">
        <v>1514</v>
      </c>
      <c r="B292" s="3" t="s">
        <v>263</v>
      </c>
      <c r="C292" s="2">
        <v>88744</v>
      </c>
      <c r="D292" s="2">
        <v>30</v>
      </c>
      <c r="F292" s="2">
        <v>4</v>
      </c>
      <c r="G292" s="2">
        <v>1</v>
      </c>
      <c r="H292" s="2">
        <v>3</v>
      </c>
      <c r="I292" s="2">
        <v>1</v>
      </c>
      <c r="J292" s="2">
        <v>3</v>
      </c>
      <c r="K292" s="2">
        <v>1</v>
      </c>
      <c r="L292" s="2">
        <v>5</v>
      </c>
      <c r="M292" s="2">
        <v>0</v>
      </c>
      <c r="N292" s="2">
        <v>0</v>
      </c>
      <c r="O292" s="2">
        <v>0</v>
      </c>
      <c r="P292" s="2">
        <v>0</v>
      </c>
      <c r="Q292" s="2">
        <v>1</v>
      </c>
      <c r="R292" s="238">
        <v>38656</v>
      </c>
      <c r="S292" s="219">
        <v>12</v>
      </c>
      <c r="T292" s="220">
        <f>SUM( tabConsumo[[#This Row],[QTD.PENDENTE]]:tabConsumo[[#This Row],[09_23]] ) / tabConsumo[[#This Row],[Div]]</f>
        <v>1.5833333333333333</v>
      </c>
      <c r="U292" s="221">
        <f xml:space="preserve"> tabConsumo[[#This Row],[Média.A]] + (_xlfn.STDEV.S( tabConsumo[[#This Row],[QTD.PENDENTE]]:tabConsumo[[#This Row],[09_23]] ) * 1)</f>
        <v>3.3131958256789655</v>
      </c>
      <c r="V292" s="221">
        <f xml:space="preserve"> tabConsumo[[#This Row],[Média.A]] + (_xlfn.STDEV.S( tabConsumo[[#This Row],[QTD.PENDENTE]]:tabConsumo[[#This Row],[09_23]] ) * 2)</f>
        <v>5.043058318024598</v>
      </c>
      <c r="W292" s="221">
        <f xml:space="preserve"> tabConsumo[[#This Row],[Média.A]] + (_xlfn.STDEV.S( tabConsumo[[#This Row],[QTD.PENDENTE]]:tabConsumo[[#This Row],[09_23]] ) * 3)</f>
        <v>6.7729208103702296</v>
      </c>
      <c r="X292" s="5">
        <f t="shared" si="10"/>
        <v>2</v>
      </c>
      <c r="Y292">
        <v>1.5833333333333333</v>
      </c>
      <c r="Z292" s="223">
        <f>SUM( tabConsumo[[#This Row],[QTD.PENDENTE]]:tabConsumo[[#This Row],[09_23]] )</f>
        <v>19</v>
      </c>
      <c r="AA292" s="223">
        <f>LARGE(tabConsumo[[#This Row],[10_22]:[09_23]],1)</f>
        <v>5</v>
      </c>
      <c r="AB292" s="146" t="s">
        <v>2238</v>
      </c>
      <c r="AC292" s="3" t="s">
        <v>2086</v>
      </c>
    </row>
    <row r="293" spans="1:29" x14ac:dyDescent="0.3">
      <c r="A293" s="4" t="s">
        <v>1515</v>
      </c>
      <c r="B293" s="3" t="s">
        <v>263</v>
      </c>
      <c r="C293" s="2">
        <v>88745</v>
      </c>
      <c r="D293" s="2">
        <v>17</v>
      </c>
      <c r="F293" s="2">
        <v>1</v>
      </c>
      <c r="G293" s="2">
        <v>0</v>
      </c>
      <c r="H293" s="2">
        <v>1</v>
      </c>
      <c r="I293" s="2">
        <v>4</v>
      </c>
      <c r="J293" s="2">
        <v>1</v>
      </c>
      <c r="K293" s="2">
        <v>0</v>
      </c>
      <c r="L293" s="2">
        <v>5</v>
      </c>
      <c r="M293" s="2">
        <v>0</v>
      </c>
      <c r="N293" s="2">
        <v>0</v>
      </c>
      <c r="O293" s="2">
        <v>0</v>
      </c>
      <c r="P293" s="2">
        <v>0</v>
      </c>
      <c r="Q293" s="2">
        <v>0</v>
      </c>
      <c r="R293" s="238">
        <v>38656</v>
      </c>
      <c r="S293" s="219">
        <v>12</v>
      </c>
      <c r="T293" s="220">
        <f>SUM( tabConsumo[[#This Row],[QTD.PENDENTE]]:tabConsumo[[#This Row],[09_23]] ) / tabConsumo[[#This Row],[Div]]</f>
        <v>1</v>
      </c>
      <c r="U293" s="221">
        <f xml:space="preserve"> tabConsumo[[#This Row],[Média.A]] + (_xlfn.STDEV.S( tabConsumo[[#This Row],[QTD.PENDENTE]]:tabConsumo[[#This Row],[09_23]] ) * 1)</f>
        <v>2.7056057308448835</v>
      </c>
      <c r="V293" s="221">
        <f xml:space="preserve"> tabConsumo[[#This Row],[Média.A]] + (_xlfn.STDEV.S( tabConsumo[[#This Row],[QTD.PENDENTE]]:tabConsumo[[#This Row],[09_23]] ) * 2)</f>
        <v>4.4112114616897671</v>
      </c>
      <c r="W293" s="221">
        <f xml:space="preserve"> tabConsumo[[#This Row],[Média.A]] + (_xlfn.STDEV.S( tabConsumo[[#This Row],[QTD.PENDENTE]]:tabConsumo[[#This Row],[09_23]] ) * 3)</f>
        <v>6.1168171925346506</v>
      </c>
      <c r="X293" s="5">
        <f t="shared" si="10"/>
        <v>2</v>
      </c>
      <c r="Y293">
        <v>0.91666666666666663</v>
      </c>
      <c r="Z293" s="223">
        <f>SUM( tabConsumo[[#This Row],[QTD.PENDENTE]]:tabConsumo[[#This Row],[09_23]] )</f>
        <v>12</v>
      </c>
      <c r="AA293" s="223">
        <f>LARGE(tabConsumo[[#This Row],[10_22]:[09_23]],1)</f>
        <v>5</v>
      </c>
      <c r="AB293" s="146" t="s">
        <v>2240</v>
      </c>
      <c r="AC293" s="3" t="s">
        <v>2086</v>
      </c>
    </row>
    <row r="294" spans="1:29" x14ac:dyDescent="0.3">
      <c r="A294" s="4" t="s">
        <v>1595</v>
      </c>
      <c r="B294" s="3" t="s">
        <v>263</v>
      </c>
      <c r="C294" s="2">
        <v>102820</v>
      </c>
      <c r="D294" s="2">
        <v>0</v>
      </c>
      <c r="F294" s="2">
        <v>0</v>
      </c>
      <c r="G294" s="2">
        <v>0</v>
      </c>
      <c r="H294" s="2">
        <v>2</v>
      </c>
      <c r="I294" s="2">
        <v>3</v>
      </c>
      <c r="J294" s="2">
        <v>0</v>
      </c>
      <c r="K294" s="2">
        <v>0</v>
      </c>
      <c r="L294" s="2">
        <v>0</v>
      </c>
      <c r="M294" s="2">
        <v>0</v>
      </c>
      <c r="N294" s="2">
        <v>0</v>
      </c>
      <c r="O294" s="2">
        <v>0</v>
      </c>
      <c r="P294" s="2">
        <v>0</v>
      </c>
      <c r="Q294" s="2">
        <v>0</v>
      </c>
      <c r="R294" s="238">
        <v>39374</v>
      </c>
      <c r="S294" s="219">
        <v>12</v>
      </c>
      <c r="T294" s="220">
        <f>SUM( tabConsumo[[#This Row],[QTD.PENDENTE]]:tabConsumo[[#This Row],[09_23]] ) / tabConsumo[[#This Row],[Div]]</f>
        <v>0.41666666666666669</v>
      </c>
      <c r="U294" s="221">
        <f xml:space="preserve"> tabConsumo[[#This Row],[Média.A]] + (_xlfn.STDEV.S( tabConsumo[[#This Row],[QTD.PENDENTE]]:tabConsumo[[#This Row],[09_23]] ) * 1)</f>
        <v>1.4128715865622885</v>
      </c>
      <c r="V294" s="221">
        <f xml:space="preserve"> tabConsumo[[#This Row],[Média.A]] + (_xlfn.STDEV.S( tabConsumo[[#This Row],[QTD.PENDENTE]]:tabConsumo[[#This Row],[09_23]] ) * 2)</f>
        <v>2.4090765064579105</v>
      </c>
      <c r="W294" s="221">
        <f xml:space="preserve"> tabConsumo[[#This Row],[Média.A]] + (_xlfn.STDEV.S( tabConsumo[[#This Row],[QTD.PENDENTE]]:tabConsumo[[#This Row],[09_23]] ) * 3)</f>
        <v>3.405281426353532</v>
      </c>
      <c r="X294" s="5">
        <f t="shared" si="10"/>
        <v>2</v>
      </c>
      <c r="Y294">
        <v>0.33333333333333331</v>
      </c>
      <c r="Z294" s="223">
        <f>SUM( tabConsumo[[#This Row],[QTD.PENDENTE]]:tabConsumo[[#This Row],[09_23]] )</f>
        <v>5</v>
      </c>
      <c r="AA294" s="223">
        <f>LARGE(tabConsumo[[#This Row],[10_22]:[09_23]],1)</f>
        <v>3</v>
      </c>
      <c r="AB294" s="146" t="s">
        <v>2247</v>
      </c>
      <c r="AC294" s="3" t="s">
        <v>2086</v>
      </c>
    </row>
    <row r="295" spans="1:29" x14ac:dyDescent="0.3">
      <c r="A295" s="4" t="s">
        <v>1594</v>
      </c>
      <c r="B295" s="3" t="s">
        <v>263</v>
      </c>
      <c r="C295" s="2">
        <v>102819</v>
      </c>
      <c r="D295" s="2">
        <v>2</v>
      </c>
      <c r="F295" s="2">
        <v>0</v>
      </c>
      <c r="G295" s="2">
        <v>0</v>
      </c>
      <c r="H295" s="2">
        <v>0</v>
      </c>
      <c r="I295" s="2">
        <v>4</v>
      </c>
      <c r="J295" s="2">
        <v>0</v>
      </c>
      <c r="K295" s="2">
        <v>0</v>
      </c>
      <c r="L295" s="2">
        <v>0</v>
      </c>
      <c r="M295" s="2">
        <v>0</v>
      </c>
      <c r="N295" s="2">
        <v>2</v>
      </c>
      <c r="O295" s="2">
        <v>3</v>
      </c>
      <c r="P295" s="2">
        <v>0</v>
      </c>
      <c r="Q295" s="2">
        <v>0</v>
      </c>
      <c r="R295" s="238">
        <v>39374</v>
      </c>
      <c r="S295" s="219">
        <v>12</v>
      </c>
      <c r="T295" s="220">
        <f>SUM( tabConsumo[[#This Row],[QTD.PENDENTE]]:tabConsumo[[#This Row],[09_23]] ) / tabConsumo[[#This Row],[Div]]</f>
        <v>0.75</v>
      </c>
      <c r="U295" s="221">
        <f xml:space="preserve"> tabConsumo[[#This Row],[Média.A]] + (_xlfn.STDEV.S( tabConsumo[[#This Row],[QTD.PENDENTE]]:tabConsumo[[#This Row],[09_23]] ) * 1)</f>
        <v>2.17222616792382</v>
      </c>
      <c r="V295" s="221">
        <f xml:space="preserve"> tabConsumo[[#This Row],[Média.A]] + (_xlfn.STDEV.S( tabConsumo[[#This Row],[QTD.PENDENTE]]:tabConsumo[[#This Row],[09_23]] ) * 2)</f>
        <v>3.5944523358476395</v>
      </c>
      <c r="W295" s="221">
        <f xml:space="preserve"> tabConsumo[[#This Row],[Média.A]] + (_xlfn.STDEV.S( tabConsumo[[#This Row],[QTD.PENDENTE]]:tabConsumo[[#This Row],[09_23]] ) * 3)</f>
        <v>5.016678503771459</v>
      </c>
      <c r="X295" s="5">
        <f t="shared" si="10"/>
        <v>2</v>
      </c>
      <c r="Y295">
        <v>0.66666666666666663</v>
      </c>
      <c r="Z295" s="223">
        <f>SUM( tabConsumo[[#This Row],[QTD.PENDENTE]]:tabConsumo[[#This Row],[09_23]] )</f>
        <v>9</v>
      </c>
      <c r="AA295" s="223">
        <f>LARGE(tabConsumo[[#This Row],[10_22]:[09_23]],1)</f>
        <v>4</v>
      </c>
      <c r="AB295" s="146" t="s">
        <v>2239</v>
      </c>
      <c r="AC295" s="3" t="s">
        <v>2086</v>
      </c>
    </row>
    <row r="296" spans="1:29" x14ac:dyDescent="0.3">
      <c r="A296" s="4" t="s">
        <v>1674</v>
      </c>
      <c r="B296" s="3" t="s">
        <v>263</v>
      </c>
      <c r="C296" s="2">
        <v>110888</v>
      </c>
      <c r="D296" s="2">
        <v>0</v>
      </c>
      <c r="F296" s="2">
        <v>0</v>
      </c>
      <c r="G296" s="2">
        <v>0</v>
      </c>
      <c r="H296" s="2">
        <v>0</v>
      </c>
      <c r="I296" s="2">
        <v>2</v>
      </c>
      <c r="J296" s="2">
        <v>0</v>
      </c>
      <c r="K296" s="2">
        <v>0</v>
      </c>
      <c r="L296" s="2">
        <v>1</v>
      </c>
      <c r="M296" s="2">
        <v>0</v>
      </c>
      <c r="N296" s="2">
        <v>0</v>
      </c>
      <c r="O296" s="2">
        <v>0</v>
      </c>
      <c r="P296" s="2">
        <v>0</v>
      </c>
      <c r="Q296" s="2">
        <v>0</v>
      </c>
      <c r="R296" s="238">
        <v>39944</v>
      </c>
      <c r="S296" s="219">
        <v>12</v>
      </c>
      <c r="T296" s="220">
        <f>SUM( tabConsumo[[#This Row],[QTD.PENDENTE]]:tabConsumo[[#This Row],[09_23]] ) / tabConsumo[[#This Row],[Div]]</f>
        <v>0.25</v>
      </c>
      <c r="U296" s="221">
        <f xml:space="preserve"> tabConsumo[[#This Row],[Média.A]] + (_xlfn.STDEV.S( tabConsumo[[#This Row],[QTD.PENDENTE]]:tabConsumo[[#This Row],[09_23]] ) * 1)</f>
        <v>0.87158156050806102</v>
      </c>
      <c r="V296" s="221">
        <f xml:space="preserve"> tabConsumo[[#This Row],[Média.A]] + (_xlfn.STDEV.S( tabConsumo[[#This Row],[QTD.PENDENTE]]:tabConsumo[[#This Row],[09_23]] ) * 2)</f>
        <v>1.493163121016122</v>
      </c>
      <c r="W296" s="221">
        <f xml:space="preserve"> tabConsumo[[#This Row],[Média.A]] + (_xlfn.STDEV.S( tabConsumo[[#This Row],[QTD.PENDENTE]]:tabConsumo[[#This Row],[09_23]] ) * 3)</f>
        <v>2.1147446815241828</v>
      </c>
      <c r="X296" s="5">
        <f t="shared" si="10"/>
        <v>2</v>
      </c>
      <c r="Y296">
        <v>0.16666666666666666</v>
      </c>
      <c r="Z296" s="223">
        <f>SUM( tabConsumo[[#This Row],[QTD.PENDENTE]]:tabConsumo[[#This Row],[09_23]] )</f>
        <v>3</v>
      </c>
      <c r="AA296" s="223">
        <f>LARGE(tabConsumo[[#This Row],[10_22]:[09_23]],1)</f>
        <v>2</v>
      </c>
      <c r="AB296" s="146" t="s">
        <v>2240</v>
      </c>
      <c r="AC296" s="3" t="s">
        <v>2086</v>
      </c>
    </row>
    <row r="297" spans="1:29" x14ac:dyDescent="0.3">
      <c r="A297" s="4" t="s">
        <v>1801</v>
      </c>
      <c r="B297" s="3" t="s">
        <v>263</v>
      </c>
      <c r="C297" s="2">
        <v>129962</v>
      </c>
      <c r="D297" s="2">
        <v>7</v>
      </c>
      <c r="F297" s="2">
        <v>0</v>
      </c>
      <c r="G297" s="2">
        <v>0</v>
      </c>
      <c r="H297" s="2">
        <v>1</v>
      </c>
      <c r="I297" s="2">
        <v>2</v>
      </c>
      <c r="J297" s="2">
        <v>0</v>
      </c>
      <c r="K297" s="2">
        <v>0</v>
      </c>
      <c r="L297" s="2">
        <v>0</v>
      </c>
      <c r="M297" s="2">
        <v>0</v>
      </c>
      <c r="N297" s="2">
        <v>0</v>
      </c>
      <c r="O297" s="2">
        <v>0</v>
      </c>
      <c r="P297" s="2">
        <v>0</v>
      </c>
      <c r="Q297" s="2">
        <v>0</v>
      </c>
      <c r="R297" s="238">
        <v>42046</v>
      </c>
      <c r="S297" s="219">
        <v>12</v>
      </c>
      <c r="T297" s="220">
        <f>SUM( tabConsumo[[#This Row],[QTD.PENDENTE]]:tabConsumo[[#This Row],[09_23]] ) / tabConsumo[[#This Row],[Div]]</f>
        <v>0.25</v>
      </c>
      <c r="U297" s="221">
        <f xml:space="preserve"> tabConsumo[[#This Row],[Média.A]] + (_xlfn.STDEV.S( tabConsumo[[#This Row],[QTD.PENDENTE]]:tabConsumo[[#This Row],[09_23]] ) * 1)</f>
        <v>0.87158156050806102</v>
      </c>
      <c r="V297" s="221">
        <f xml:space="preserve"> tabConsumo[[#This Row],[Média.A]] + (_xlfn.STDEV.S( tabConsumo[[#This Row],[QTD.PENDENTE]]:tabConsumo[[#This Row],[09_23]] ) * 2)</f>
        <v>1.493163121016122</v>
      </c>
      <c r="W297" s="221">
        <f xml:space="preserve"> tabConsumo[[#This Row],[Média.A]] + (_xlfn.STDEV.S( tabConsumo[[#This Row],[QTD.PENDENTE]]:tabConsumo[[#This Row],[09_23]] ) * 3)</f>
        <v>2.1147446815241828</v>
      </c>
      <c r="X297" s="5">
        <f t="shared" si="10"/>
        <v>2</v>
      </c>
      <c r="Y297">
        <v>0.16666666666666666</v>
      </c>
      <c r="Z297" s="223">
        <f>SUM( tabConsumo[[#This Row],[QTD.PENDENTE]]:tabConsumo[[#This Row],[09_23]] )</f>
        <v>3</v>
      </c>
      <c r="AA297" s="223">
        <f>LARGE(tabConsumo[[#This Row],[10_22]:[09_23]],1)</f>
        <v>2</v>
      </c>
      <c r="AB297" s="146" t="s">
        <v>2247</v>
      </c>
      <c r="AC297" s="3" t="s">
        <v>2086</v>
      </c>
    </row>
    <row r="298" spans="1:29" x14ac:dyDescent="0.3">
      <c r="A298" s="4" t="s">
        <v>1800</v>
      </c>
      <c r="B298" s="3" t="s">
        <v>263</v>
      </c>
      <c r="C298" s="2">
        <v>129961</v>
      </c>
      <c r="D298" s="2">
        <v>4</v>
      </c>
      <c r="F298" s="2">
        <v>0</v>
      </c>
      <c r="G298" s="2">
        <v>0</v>
      </c>
      <c r="H298" s="2">
        <v>0</v>
      </c>
      <c r="I298" s="2">
        <v>0</v>
      </c>
      <c r="J298" s="2">
        <v>0</v>
      </c>
      <c r="K298" s="2">
        <v>0</v>
      </c>
      <c r="L298" s="2">
        <v>0</v>
      </c>
      <c r="M298" s="2">
        <v>0</v>
      </c>
      <c r="N298" s="2">
        <v>0</v>
      </c>
      <c r="O298" s="2">
        <v>0</v>
      </c>
      <c r="P298" s="2">
        <v>1</v>
      </c>
      <c r="Q298" s="2">
        <v>0</v>
      </c>
      <c r="R298" s="238">
        <v>42046</v>
      </c>
      <c r="S298" s="219">
        <v>12</v>
      </c>
      <c r="T298" s="220">
        <f>SUM( tabConsumo[[#This Row],[QTD.PENDENTE]]:tabConsumo[[#This Row],[09_23]] ) / tabConsumo[[#This Row],[Div]]</f>
        <v>8.3333333333333329E-2</v>
      </c>
      <c r="U298" s="221">
        <f xml:space="preserve"> tabConsumo[[#This Row],[Média.A]] + (_xlfn.STDEV.S( tabConsumo[[#This Row],[QTD.PENDENTE]]:tabConsumo[[#This Row],[09_23]] ) * 1)</f>
        <v>0.37200846792814618</v>
      </c>
      <c r="V298" s="221">
        <f xml:space="preserve"> tabConsumo[[#This Row],[Média.A]] + (_xlfn.STDEV.S( tabConsumo[[#This Row],[QTD.PENDENTE]]:tabConsumo[[#This Row],[09_23]] ) * 2)</f>
        <v>0.6606836025229591</v>
      </c>
      <c r="W298" s="221">
        <f xml:space="preserve"> tabConsumo[[#This Row],[Média.A]] + (_xlfn.STDEV.S( tabConsumo[[#This Row],[QTD.PENDENTE]]:tabConsumo[[#This Row],[09_23]] ) * 3)</f>
        <v>0.94935873711777197</v>
      </c>
      <c r="X298" s="5">
        <f t="shared" si="10"/>
        <v>2</v>
      </c>
      <c r="Y298">
        <v>0</v>
      </c>
      <c r="Z298" s="223">
        <f>SUM( tabConsumo[[#This Row],[QTD.PENDENTE]]:tabConsumo[[#This Row],[09_23]] )</f>
        <v>1</v>
      </c>
      <c r="AA298" s="223">
        <f>LARGE(tabConsumo[[#This Row],[10_22]:[09_23]],1)</f>
        <v>1</v>
      </c>
      <c r="AB298" s="146" t="s">
        <v>2241</v>
      </c>
      <c r="AC298" s="3" t="s">
        <v>2086</v>
      </c>
    </row>
    <row r="299" spans="1:29" x14ac:dyDescent="0.3">
      <c r="A299" s="4" t="s">
        <v>1580</v>
      </c>
      <c r="B299" s="3" t="s">
        <v>263</v>
      </c>
      <c r="C299" s="2">
        <v>101891</v>
      </c>
      <c r="D299" s="2">
        <v>23</v>
      </c>
      <c r="F299" s="2">
        <v>0</v>
      </c>
      <c r="G299" s="2">
        <v>0</v>
      </c>
      <c r="H299" s="2">
        <v>16</v>
      </c>
      <c r="I299" s="2">
        <v>0</v>
      </c>
      <c r="J299" s="2">
        <v>0</v>
      </c>
      <c r="K299" s="2">
        <v>0</v>
      </c>
      <c r="L299" s="2">
        <v>10</v>
      </c>
      <c r="M299" s="2">
        <v>0</v>
      </c>
      <c r="N299" s="2">
        <v>0</v>
      </c>
      <c r="O299" s="2">
        <v>0</v>
      </c>
      <c r="P299" s="2">
        <v>0</v>
      </c>
      <c r="Q299" s="2">
        <v>6</v>
      </c>
      <c r="R299" s="238">
        <v>39330</v>
      </c>
      <c r="S299" s="219">
        <v>12</v>
      </c>
      <c r="T299" s="220">
        <f>SUM( tabConsumo[[#This Row],[QTD.PENDENTE]]:tabConsumo[[#This Row],[09_23]] ) / tabConsumo[[#This Row],[Div]]</f>
        <v>2.6666666666666665</v>
      </c>
      <c r="U299" s="221">
        <f xml:space="preserve"> tabConsumo[[#This Row],[Média.A]] + (_xlfn.STDEV.S( tabConsumo[[#This Row],[QTD.PENDENTE]]:tabConsumo[[#This Row],[09_23]] ) * 1)</f>
        <v>7.9467033974847272</v>
      </c>
      <c r="V299" s="221">
        <f xml:space="preserve"> tabConsumo[[#This Row],[Média.A]] + (_xlfn.STDEV.S( tabConsumo[[#This Row],[QTD.PENDENTE]]:tabConsumo[[#This Row],[09_23]] ) * 2)</f>
        <v>13.226740128302788</v>
      </c>
      <c r="W299" s="221">
        <f xml:space="preserve"> tabConsumo[[#This Row],[Média.A]] + (_xlfn.STDEV.S( tabConsumo[[#This Row],[QTD.PENDENTE]]:tabConsumo[[#This Row],[09_23]] ) * 3)</f>
        <v>18.506776859120851</v>
      </c>
      <c r="X299" s="5">
        <f t="shared" si="10"/>
        <v>2</v>
      </c>
      <c r="Y299">
        <v>2.4166666666666665</v>
      </c>
      <c r="Z299" s="223">
        <f>SUM( tabConsumo[[#This Row],[QTD.PENDENTE]]:tabConsumo[[#This Row],[09_23]] )</f>
        <v>32</v>
      </c>
      <c r="AA299" s="223">
        <f>LARGE(tabConsumo[[#This Row],[10_22]:[09_23]],1)</f>
        <v>16</v>
      </c>
      <c r="AB299" s="146" t="s">
        <v>2238</v>
      </c>
      <c r="AC299" s="3" t="s">
        <v>2086</v>
      </c>
    </row>
    <row r="300" spans="1:29" x14ac:dyDescent="0.3">
      <c r="A300" s="4" t="s">
        <v>1027</v>
      </c>
      <c r="B300" s="3" t="s">
        <v>263</v>
      </c>
      <c r="C300" s="2">
        <v>13197</v>
      </c>
      <c r="D300" s="2">
        <v>269</v>
      </c>
      <c r="F300" s="2">
        <v>0</v>
      </c>
      <c r="G300" s="2">
        <v>0</v>
      </c>
      <c r="H300" s="2">
        <v>0</v>
      </c>
      <c r="I300" s="2">
        <v>0</v>
      </c>
      <c r="J300" s="2">
        <v>0</v>
      </c>
      <c r="K300" s="2">
        <v>55</v>
      </c>
      <c r="L300" s="2">
        <v>48</v>
      </c>
      <c r="M300" s="2">
        <v>0</v>
      </c>
      <c r="N300" s="2">
        <v>0</v>
      </c>
      <c r="O300" s="2">
        <v>0</v>
      </c>
      <c r="P300" s="2">
        <v>0</v>
      </c>
      <c r="Q300" s="2">
        <v>0</v>
      </c>
      <c r="R300" s="238">
        <v>367</v>
      </c>
      <c r="S300" s="219">
        <f xml:space="preserve"> 12</f>
        <v>12</v>
      </c>
      <c r="T300" s="220">
        <f>SUM( tabConsumo[[#This Row],[QTD.PENDENTE]]:tabConsumo[[#This Row],[09_23]] ) / tabConsumo[[#This Row],[Div]]</f>
        <v>8.5833333333333339</v>
      </c>
      <c r="U300" s="221">
        <f xml:space="preserve"> tabConsumo[[#This Row],[Média.A]] + (_xlfn.STDEV.S( tabConsumo[[#This Row],[QTD.PENDENTE]]:tabConsumo[[#This Row],[09_23]] ) * 1)</f>
        <v>28.685157462832962</v>
      </c>
      <c r="V300" s="221">
        <f xml:space="preserve"> tabConsumo[[#This Row],[Média.A]] + (_xlfn.STDEV.S( tabConsumo[[#This Row],[QTD.PENDENTE]]:tabConsumo[[#This Row],[09_23]] ) * 2)</f>
        <v>48.786981592332587</v>
      </c>
      <c r="W300" s="221">
        <f xml:space="preserve"> tabConsumo[[#This Row],[Média.A]] + (_xlfn.STDEV.S( tabConsumo[[#This Row],[QTD.PENDENTE]]:tabConsumo[[#This Row],[09_23]] ) * 3)</f>
        <v>68.888805721832213</v>
      </c>
      <c r="X300" s="5">
        <f t="shared" si="10"/>
        <v>2</v>
      </c>
      <c r="Y300">
        <v>8</v>
      </c>
      <c r="Z300" s="223">
        <f>SUM( tabConsumo[[#This Row],[QTD.PENDENTE]]:tabConsumo[[#This Row],[09_23]] )</f>
        <v>103</v>
      </c>
      <c r="AA300" s="223">
        <f>LARGE(tabConsumo[[#This Row],[10_22]:[09_23]],1)</f>
        <v>55</v>
      </c>
      <c r="AB300" s="146" t="s">
        <v>2240</v>
      </c>
      <c r="AC300" s="3" t="s">
        <v>2086</v>
      </c>
    </row>
    <row r="301" spans="1:29" x14ac:dyDescent="0.3">
      <c r="A301" s="4" t="s">
        <v>1029</v>
      </c>
      <c r="B301" s="3" t="s">
        <v>263</v>
      </c>
      <c r="C301" s="2">
        <v>13199</v>
      </c>
      <c r="D301" s="2">
        <v>30</v>
      </c>
      <c r="E301" s="2">
        <v>1</v>
      </c>
      <c r="F301" s="2">
        <v>0</v>
      </c>
      <c r="G301" s="2">
        <v>0</v>
      </c>
      <c r="H301" s="2">
        <v>0</v>
      </c>
      <c r="I301" s="2">
        <v>0</v>
      </c>
      <c r="J301" s="2">
        <v>50</v>
      </c>
      <c r="K301" s="2">
        <v>0</v>
      </c>
      <c r="L301" s="2">
        <v>0</v>
      </c>
      <c r="M301" s="2">
        <v>70</v>
      </c>
      <c r="N301" s="2">
        <v>0</v>
      </c>
      <c r="O301" s="2">
        <v>0</v>
      </c>
      <c r="P301" s="2">
        <v>0</v>
      </c>
      <c r="Q301" s="2">
        <v>47</v>
      </c>
      <c r="R301" s="238">
        <v>367</v>
      </c>
      <c r="S301" s="219">
        <f xml:space="preserve"> 12</f>
        <v>12</v>
      </c>
      <c r="T301" s="220">
        <f>SUM( tabConsumo[[#This Row],[QTD.PENDENTE]]:tabConsumo[[#This Row],[09_23]] ) / tabConsumo[[#This Row],[Div]]</f>
        <v>14</v>
      </c>
      <c r="U301" s="221">
        <f xml:space="preserve"> tabConsumo[[#This Row],[Média.A]] + (_xlfn.STDEV.S( tabConsumo[[#This Row],[QTD.PENDENTE]]:tabConsumo[[#This Row],[09_23]] ) * 1)</f>
        <v>38.897997036112287</v>
      </c>
      <c r="V301" s="221">
        <f xml:space="preserve"> tabConsumo[[#This Row],[Média.A]] + (_xlfn.STDEV.S( tabConsumo[[#This Row],[QTD.PENDENTE]]:tabConsumo[[#This Row],[09_23]] ) * 2)</f>
        <v>63.79599407222458</v>
      </c>
      <c r="W301" s="221">
        <f xml:space="preserve"> tabConsumo[[#This Row],[Média.A]] + (_xlfn.STDEV.S( tabConsumo[[#This Row],[QTD.PENDENTE]]:tabConsumo[[#This Row],[09_23]] ) * 3)</f>
        <v>88.693991108336874</v>
      </c>
      <c r="X301" s="5">
        <f t="shared" si="10"/>
        <v>2</v>
      </c>
      <c r="Y301">
        <v>13.416666666666666</v>
      </c>
      <c r="Z301" s="223">
        <f>SUM( tabConsumo[[#This Row],[QTD.PENDENTE]]:tabConsumo[[#This Row],[09_23]] )</f>
        <v>168</v>
      </c>
      <c r="AA301" s="223">
        <f>LARGE(tabConsumo[[#This Row],[10_22]:[09_23]],1)</f>
        <v>70</v>
      </c>
      <c r="AB301" s="146" t="s">
        <v>2238</v>
      </c>
      <c r="AC301" s="3" t="s">
        <v>2086</v>
      </c>
    </row>
    <row r="302" spans="1:29" x14ac:dyDescent="0.3">
      <c r="A302" s="4" t="s">
        <v>1926</v>
      </c>
      <c r="B302" s="3" t="s">
        <v>263</v>
      </c>
      <c r="C302" s="2">
        <v>136553</v>
      </c>
      <c r="D302" s="2">
        <v>1500</v>
      </c>
      <c r="E302" s="2">
        <v>200</v>
      </c>
      <c r="F302" s="2">
        <v>440</v>
      </c>
      <c r="G302" s="2">
        <v>100</v>
      </c>
      <c r="H302" s="2">
        <v>90</v>
      </c>
      <c r="I302" s="2">
        <v>320</v>
      </c>
      <c r="J302" s="2">
        <v>105</v>
      </c>
      <c r="K302" s="2">
        <v>504</v>
      </c>
      <c r="L302" s="2">
        <v>330</v>
      </c>
      <c r="M302" s="2">
        <v>48</v>
      </c>
      <c r="N302" s="2">
        <v>0</v>
      </c>
      <c r="O302" s="2">
        <v>0</v>
      </c>
      <c r="P302" s="2">
        <v>0</v>
      </c>
      <c r="Q302" s="2">
        <v>0</v>
      </c>
      <c r="R302" s="238">
        <v>43518</v>
      </c>
      <c r="S302" s="219">
        <v>12</v>
      </c>
      <c r="T302" s="220">
        <f>SUM( tabConsumo[[#This Row],[QTD.PENDENTE]]:tabConsumo[[#This Row],[09_23]] ) / tabConsumo[[#This Row],[Div]]</f>
        <v>178.08333333333334</v>
      </c>
      <c r="U302" s="221">
        <f xml:space="preserve"> tabConsumo[[#This Row],[Média.A]] + (_xlfn.STDEV.S( tabConsumo[[#This Row],[QTD.PENDENTE]]:tabConsumo[[#This Row],[09_23]] ) * 1)</f>
        <v>355.81324943336159</v>
      </c>
      <c r="V302" s="221">
        <f xml:space="preserve"> tabConsumo[[#This Row],[Média.A]] + (_xlfn.STDEV.S( tabConsumo[[#This Row],[QTD.PENDENTE]]:tabConsumo[[#This Row],[09_23]] ) * 2)</f>
        <v>533.54316553338981</v>
      </c>
      <c r="W302" s="221">
        <f xml:space="preserve"> tabConsumo[[#This Row],[Média.A]] + (_xlfn.STDEV.S( tabConsumo[[#This Row],[QTD.PENDENTE]]:tabConsumo[[#This Row],[09_23]] ) * 3)</f>
        <v>711.27308163341809</v>
      </c>
      <c r="X302" s="5">
        <f t="shared" si="10"/>
        <v>2</v>
      </c>
      <c r="Y302">
        <v>178.08333333333334</v>
      </c>
      <c r="Z302" s="223">
        <f>SUM( tabConsumo[[#This Row],[QTD.PENDENTE]]:tabConsumo[[#This Row],[09_23]] )</f>
        <v>2137</v>
      </c>
      <c r="AA302" s="223">
        <f>LARGE(tabConsumo[[#This Row],[10_22]:[09_23]],1)</f>
        <v>504</v>
      </c>
      <c r="AB302" s="146" t="s">
        <v>2244</v>
      </c>
      <c r="AC302" s="3" t="s">
        <v>2086</v>
      </c>
    </row>
    <row r="303" spans="1:29" x14ac:dyDescent="0.3">
      <c r="A303" s="4" t="s">
        <v>1930</v>
      </c>
      <c r="B303" s="3" t="s">
        <v>263</v>
      </c>
      <c r="C303" s="2">
        <v>136556</v>
      </c>
      <c r="D303" s="2">
        <v>0</v>
      </c>
      <c r="E303" s="2">
        <v>97</v>
      </c>
      <c r="F303" s="2">
        <v>105</v>
      </c>
      <c r="G303" s="2">
        <v>48</v>
      </c>
      <c r="H303" s="2">
        <v>12</v>
      </c>
      <c r="I303" s="2">
        <v>139</v>
      </c>
      <c r="J303" s="2">
        <v>112</v>
      </c>
      <c r="K303" s="2">
        <v>134</v>
      </c>
      <c r="L303" s="2">
        <v>144</v>
      </c>
      <c r="M303" s="2">
        <v>0</v>
      </c>
      <c r="N303" s="2">
        <v>0</v>
      </c>
      <c r="O303" s="2">
        <v>0</v>
      </c>
      <c r="P303" s="2">
        <v>0</v>
      </c>
      <c r="Q303" s="2">
        <v>0</v>
      </c>
      <c r="R303" s="238">
        <v>43518</v>
      </c>
      <c r="S303" s="219">
        <v>12</v>
      </c>
      <c r="T303" s="220">
        <f>SUM( tabConsumo[[#This Row],[QTD.PENDENTE]]:tabConsumo[[#This Row],[09_23]] ) / tabConsumo[[#This Row],[Div]]</f>
        <v>65.916666666666671</v>
      </c>
      <c r="U303" s="221">
        <f xml:space="preserve"> tabConsumo[[#This Row],[Média.A]] + (_xlfn.STDEV.S( tabConsumo[[#This Row],[QTD.PENDENTE]]:tabConsumo[[#This Row],[09_23]] ) * 1)</f>
        <v>127.36426785912732</v>
      </c>
      <c r="V303" s="221">
        <f xml:space="preserve"> tabConsumo[[#This Row],[Média.A]] + (_xlfn.STDEV.S( tabConsumo[[#This Row],[QTD.PENDENTE]]:tabConsumo[[#This Row],[09_23]] ) * 2)</f>
        <v>188.81186905158796</v>
      </c>
      <c r="W303" s="221">
        <f xml:space="preserve"> tabConsumo[[#This Row],[Média.A]] + (_xlfn.STDEV.S( tabConsumo[[#This Row],[QTD.PENDENTE]]:tabConsumo[[#This Row],[09_23]] ) * 3)</f>
        <v>250.25947024404866</v>
      </c>
      <c r="X303" s="5">
        <f t="shared" si="10"/>
        <v>2</v>
      </c>
      <c r="Y303">
        <v>65.916666666666671</v>
      </c>
      <c r="Z303" s="223">
        <f>SUM( tabConsumo[[#This Row],[QTD.PENDENTE]]:tabConsumo[[#This Row],[09_23]] )</f>
        <v>791</v>
      </c>
      <c r="AA303" s="223">
        <f>LARGE(tabConsumo[[#This Row],[10_22]:[09_23]],1)</f>
        <v>144</v>
      </c>
      <c r="AB303" s="146" t="s">
        <v>2240</v>
      </c>
      <c r="AC303" s="3" t="s">
        <v>2086</v>
      </c>
    </row>
    <row r="304" spans="1:29" x14ac:dyDescent="0.3">
      <c r="A304" s="4" t="s">
        <v>1124</v>
      </c>
      <c r="B304" s="3" t="s">
        <v>267</v>
      </c>
      <c r="C304" s="2">
        <v>17132</v>
      </c>
      <c r="D304" s="2">
        <v>1439</v>
      </c>
      <c r="F304" s="2">
        <v>30</v>
      </c>
      <c r="G304" s="2">
        <v>56</v>
      </c>
      <c r="H304" s="2">
        <v>35</v>
      </c>
      <c r="I304" s="2">
        <v>27</v>
      </c>
      <c r="J304" s="2">
        <v>35</v>
      </c>
      <c r="K304" s="2">
        <v>519</v>
      </c>
      <c r="L304" s="2">
        <v>46</v>
      </c>
      <c r="M304" s="2">
        <v>42</v>
      </c>
      <c r="N304" s="2">
        <v>65</v>
      </c>
      <c r="O304" s="2">
        <v>45</v>
      </c>
      <c r="P304" s="2">
        <v>50</v>
      </c>
      <c r="Q304" s="2">
        <v>63</v>
      </c>
      <c r="R304" s="238">
        <v>367</v>
      </c>
      <c r="S304" s="219">
        <f xml:space="preserve"> 12</f>
        <v>12</v>
      </c>
      <c r="T304" s="220">
        <f>SUM( tabConsumo[[#This Row],[QTD.PENDENTE]]:tabConsumo[[#This Row],[09_23]] ) / tabConsumo[[#This Row],[Div]]</f>
        <v>84.416666666666671</v>
      </c>
      <c r="U304" s="221">
        <f xml:space="preserve"> tabConsumo[[#This Row],[Média.A]] + (_xlfn.STDEV.S( tabConsumo[[#This Row],[QTD.PENDENTE]]:tabConsumo[[#This Row],[09_23]] ) * 1)</f>
        <v>221.81486589618771</v>
      </c>
      <c r="V304" s="221">
        <f xml:space="preserve"> tabConsumo[[#This Row],[Média.A]] + (_xlfn.STDEV.S( tabConsumo[[#This Row],[QTD.PENDENTE]]:tabConsumo[[#This Row],[09_23]] ) * 2)</f>
        <v>359.21306512570874</v>
      </c>
      <c r="W304" s="221">
        <f xml:space="preserve"> tabConsumo[[#This Row],[Média.A]] + (_xlfn.STDEV.S( tabConsumo[[#This Row],[QTD.PENDENTE]]:tabConsumo[[#This Row],[09_23]] ) * 3)</f>
        <v>496.61126435522976</v>
      </c>
      <c r="X304" s="5">
        <f t="shared" si="10"/>
        <v>2</v>
      </c>
      <c r="Y304">
        <v>71.083333333333329</v>
      </c>
      <c r="Z304" s="223">
        <f>SUM( tabConsumo[[#This Row],[QTD.PENDENTE]]:tabConsumo[[#This Row],[09_23]] )</f>
        <v>1013</v>
      </c>
      <c r="AA304" s="223">
        <f>LARGE(tabConsumo[[#This Row],[10_22]:[09_23]],1)</f>
        <v>519</v>
      </c>
      <c r="AB304" s="146" t="s">
        <v>2238</v>
      </c>
      <c r="AC304" s="3" t="s">
        <v>2086</v>
      </c>
    </row>
    <row r="305" spans="1:29" x14ac:dyDescent="0.3">
      <c r="A305" s="4" t="s">
        <v>1663</v>
      </c>
      <c r="B305" s="3" t="s">
        <v>31</v>
      </c>
      <c r="C305" s="2">
        <v>108711</v>
      </c>
      <c r="D305" s="2">
        <v>108</v>
      </c>
      <c r="F305" s="2">
        <v>0</v>
      </c>
      <c r="G305" s="2">
        <v>1</v>
      </c>
      <c r="H305" s="2">
        <v>0</v>
      </c>
      <c r="I305" s="2">
        <v>0</v>
      </c>
      <c r="J305" s="2">
        <v>0</v>
      </c>
      <c r="K305" s="2">
        <v>0</v>
      </c>
      <c r="L305" s="2">
        <v>0</v>
      </c>
      <c r="M305" s="2">
        <v>0</v>
      </c>
      <c r="N305" s="2">
        <v>0</v>
      </c>
      <c r="O305" s="2">
        <v>0</v>
      </c>
      <c r="P305" s="2">
        <v>0</v>
      </c>
      <c r="Q305" s="2">
        <v>0</v>
      </c>
      <c r="R305" s="238">
        <v>39762</v>
      </c>
      <c r="S305" s="219">
        <v>12</v>
      </c>
      <c r="T305" s="220">
        <f>SUM( tabConsumo[[#This Row],[QTD.PENDENTE]]:tabConsumo[[#This Row],[09_23]] ) / tabConsumo[[#This Row],[Div]]</f>
        <v>8.3333333333333329E-2</v>
      </c>
      <c r="U305" s="221">
        <f xml:space="preserve"> tabConsumo[[#This Row],[Média.A]] + (_xlfn.STDEV.S( tabConsumo[[#This Row],[QTD.PENDENTE]]:tabConsumo[[#This Row],[09_23]] ) * 1)</f>
        <v>0.37200846792814618</v>
      </c>
      <c r="V305" s="221">
        <f xml:space="preserve"> tabConsumo[[#This Row],[Média.A]] + (_xlfn.STDEV.S( tabConsumo[[#This Row],[QTD.PENDENTE]]:tabConsumo[[#This Row],[09_23]] ) * 2)</f>
        <v>0.6606836025229591</v>
      </c>
      <c r="W305" s="221">
        <f xml:space="preserve"> tabConsumo[[#This Row],[Média.A]] + (_xlfn.STDEV.S( tabConsumo[[#This Row],[QTD.PENDENTE]]:tabConsumo[[#This Row],[09_23]] ) * 3)</f>
        <v>0.94935873711777197</v>
      </c>
      <c r="X305" s="5">
        <f t="shared" si="10"/>
        <v>2</v>
      </c>
      <c r="Y305">
        <v>0</v>
      </c>
      <c r="Z305" s="223">
        <f>SUM( tabConsumo[[#This Row],[QTD.PENDENTE]]:tabConsumo[[#This Row],[09_23]] )</f>
        <v>1</v>
      </c>
      <c r="AA305" s="223">
        <f>LARGE(tabConsumo[[#This Row],[10_22]:[09_23]],1)</f>
        <v>1</v>
      </c>
      <c r="AB305" s="146" t="s">
        <v>2243</v>
      </c>
      <c r="AC305" s="3" t="s">
        <v>2086</v>
      </c>
    </row>
    <row r="306" spans="1:29" x14ac:dyDescent="0.3">
      <c r="A306" s="4" t="s">
        <v>1591</v>
      </c>
      <c r="B306" s="3" t="s">
        <v>263</v>
      </c>
      <c r="C306" s="2">
        <v>102723</v>
      </c>
      <c r="D306" s="2">
        <v>245</v>
      </c>
      <c r="F306" s="2">
        <v>27</v>
      </c>
      <c r="G306" s="2">
        <v>29</v>
      </c>
      <c r="H306" s="2">
        <v>0</v>
      </c>
      <c r="I306" s="2">
        <v>0</v>
      </c>
      <c r="J306" s="2">
        <v>15</v>
      </c>
      <c r="K306" s="2">
        <v>0</v>
      </c>
      <c r="L306" s="2">
        <v>0</v>
      </c>
      <c r="M306" s="2">
        <v>0</v>
      </c>
      <c r="N306" s="2">
        <v>20</v>
      </c>
      <c r="O306" s="2">
        <v>20</v>
      </c>
      <c r="P306" s="2">
        <v>0</v>
      </c>
      <c r="Q306" s="2">
        <v>0</v>
      </c>
      <c r="R306" s="238">
        <v>39371</v>
      </c>
      <c r="S306" s="219">
        <v>12</v>
      </c>
      <c r="T306" s="220">
        <f>SUM( tabConsumo[[#This Row],[QTD.PENDENTE]]:tabConsumo[[#This Row],[09_23]] ) / tabConsumo[[#This Row],[Div]]</f>
        <v>9.25</v>
      </c>
      <c r="U306" s="221">
        <f xml:space="preserve"> tabConsumo[[#This Row],[Média.A]] + (_xlfn.STDEV.S( tabConsumo[[#This Row],[QTD.PENDENTE]]:tabConsumo[[#This Row],[09_23]] ) * 1)</f>
        <v>21.190191866891496</v>
      </c>
      <c r="V306" s="221">
        <f xml:space="preserve"> tabConsumo[[#This Row],[Média.A]] + (_xlfn.STDEV.S( tabConsumo[[#This Row],[QTD.PENDENTE]]:tabConsumo[[#This Row],[09_23]] ) * 2)</f>
        <v>33.130383733782992</v>
      </c>
      <c r="W306" s="221">
        <f xml:space="preserve"> tabConsumo[[#This Row],[Média.A]] + (_xlfn.STDEV.S( tabConsumo[[#This Row],[QTD.PENDENTE]]:tabConsumo[[#This Row],[09_23]] ) * 3)</f>
        <v>45.070575600674488</v>
      </c>
      <c r="X306" s="5">
        <f t="shared" si="10"/>
        <v>2</v>
      </c>
      <c r="Y306">
        <v>9.25</v>
      </c>
      <c r="Z306" s="223">
        <f>SUM( tabConsumo[[#This Row],[QTD.PENDENTE]]:tabConsumo[[#This Row],[09_23]] )</f>
        <v>111</v>
      </c>
      <c r="AA306" s="223">
        <f>LARGE(tabConsumo[[#This Row],[10_22]:[09_23]],1)</f>
        <v>29</v>
      </c>
      <c r="AB306" s="146" t="s">
        <v>2239</v>
      </c>
      <c r="AC306" s="3" t="s">
        <v>2086</v>
      </c>
    </row>
    <row r="307" spans="1:29" x14ac:dyDescent="0.3">
      <c r="A307" s="4" t="s">
        <v>1588</v>
      </c>
      <c r="B307" s="3" t="s">
        <v>263</v>
      </c>
      <c r="C307" s="2">
        <v>102690</v>
      </c>
      <c r="D307" s="2">
        <v>412</v>
      </c>
      <c r="E307" s="2">
        <v>7</v>
      </c>
      <c r="F307" s="2">
        <v>0</v>
      </c>
      <c r="G307" s="2">
        <v>8</v>
      </c>
      <c r="H307" s="2">
        <v>20</v>
      </c>
      <c r="I307" s="2">
        <v>26</v>
      </c>
      <c r="J307" s="2">
        <v>12</v>
      </c>
      <c r="K307" s="2">
        <v>0</v>
      </c>
      <c r="L307" s="2">
        <v>10</v>
      </c>
      <c r="M307" s="2">
        <v>0</v>
      </c>
      <c r="N307" s="2">
        <v>0</v>
      </c>
      <c r="O307" s="2">
        <v>0</v>
      </c>
      <c r="P307" s="2">
        <v>0</v>
      </c>
      <c r="Q307" s="2">
        <v>0</v>
      </c>
      <c r="R307" s="238">
        <v>39371</v>
      </c>
      <c r="S307" s="219">
        <v>12</v>
      </c>
      <c r="T307" s="220">
        <f>SUM( tabConsumo[[#This Row],[QTD.PENDENTE]]:tabConsumo[[#This Row],[09_23]] ) / tabConsumo[[#This Row],[Div]]</f>
        <v>6.916666666666667</v>
      </c>
      <c r="U307" s="221">
        <f xml:space="preserve"> tabConsumo[[#This Row],[Média.A]] + (_xlfn.STDEV.S( tabConsumo[[#This Row],[QTD.PENDENTE]]:tabConsumo[[#This Row],[09_23]] ) * 1)</f>
        <v>15.591711926284063</v>
      </c>
      <c r="V307" s="221">
        <f xml:space="preserve"> tabConsumo[[#This Row],[Média.A]] + (_xlfn.STDEV.S( tabConsumo[[#This Row],[QTD.PENDENTE]]:tabConsumo[[#This Row],[09_23]] ) * 2)</f>
        <v>24.266757185901461</v>
      </c>
      <c r="W307" s="221">
        <f xml:space="preserve"> tabConsumo[[#This Row],[Média.A]] + (_xlfn.STDEV.S( tabConsumo[[#This Row],[QTD.PENDENTE]]:tabConsumo[[#This Row],[09_23]] ) * 3)</f>
        <v>32.941802445518853</v>
      </c>
      <c r="X307" s="5">
        <f t="shared" si="10"/>
        <v>2</v>
      </c>
      <c r="Y307">
        <v>6.75</v>
      </c>
      <c r="Z307" s="223">
        <f>SUM( tabConsumo[[#This Row],[QTD.PENDENTE]]:tabConsumo[[#This Row],[09_23]] )</f>
        <v>83</v>
      </c>
      <c r="AA307" s="223">
        <f>LARGE(tabConsumo[[#This Row],[10_22]:[09_23]],1)</f>
        <v>26</v>
      </c>
      <c r="AB307" s="146" t="s">
        <v>2240</v>
      </c>
      <c r="AC307" s="3" t="s">
        <v>2086</v>
      </c>
    </row>
    <row r="308" spans="1:29" x14ac:dyDescent="0.3">
      <c r="A308" s="4" t="s">
        <v>1854</v>
      </c>
      <c r="B308" s="3" t="s">
        <v>320</v>
      </c>
      <c r="C308" s="2">
        <v>133371</v>
      </c>
      <c r="D308" s="2">
        <v>220</v>
      </c>
      <c r="F308" s="2">
        <v>20</v>
      </c>
      <c r="G308" s="2">
        <v>60</v>
      </c>
      <c r="H308" s="2">
        <v>0</v>
      </c>
      <c r="I308" s="2">
        <v>60</v>
      </c>
      <c r="J308" s="2">
        <v>40</v>
      </c>
      <c r="K308" s="2">
        <v>40</v>
      </c>
      <c r="L308" s="2">
        <v>0</v>
      </c>
      <c r="M308" s="2">
        <v>200</v>
      </c>
      <c r="N308" s="2">
        <v>0</v>
      </c>
      <c r="O308" s="2">
        <v>0</v>
      </c>
      <c r="P308" s="2">
        <v>0</v>
      </c>
      <c r="Q308" s="2">
        <v>0</v>
      </c>
      <c r="R308" s="238">
        <v>42983</v>
      </c>
      <c r="S308" s="219">
        <v>12</v>
      </c>
      <c r="T308" s="220">
        <f>SUM( tabConsumo[[#This Row],[QTD.PENDENTE]]:tabConsumo[[#This Row],[09_23]] ) / tabConsumo[[#This Row],[Div]]</f>
        <v>35</v>
      </c>
      <c r="U308" s="221">
        <f xml:space="preserve"> tabConsumo[[#This Row],[Média.A]] + (_xlfn.STDEV.S( tabConsumo[[#This Row],[QTD.PENDENTE]]:tabConsumo[[#This Row],[09_23]] ) * 1)</f>
        <v>92.287155469775087</v>
      </c>
      <c r="V308" s="221">
        <f xml:space="preserve"> tabConsumo[[#This Row],[Média.A]] + (_xlfn.STDEV.S( tabConsumo[[#This Row],[QTD.PENDENTE]]:tabConsumo[[#This Row],[09_23]] ) * 2)</f>
        <v>149.57431093955017</v>
      </c>
      <c r="W308" s="221">
        <f xml:space="preserve"> tabConsumo[[#This Row],[Média.A]] + (_xlfn.STDEV.S( tabConsumo[[#This Row],[QTD.PENDENTE]]:tabConsumo[[#This Row],[09_23]] ) * 3)</f>
        <v>206.86146640932526</v>
      </c>
      <c r="X308" s="5">
        <f t="shared" si="10"/>
        <v>2</v>
      </c>
      <c r="Y308">
        <v>30.75</v>
      </c>
      <c r="Z308" s="223">
        <f>SUM( tabConsumo[[#This Row],[QTD.PENDENTE]]:tabConsumo[[#This Row],[09_23]] )</f>
        <v>420</v>
      </c>
      <c r="AA308" s="223">
        <f>LARGE(tabConsumo[[#This Row],[10_22]:[09_23]],1)</f>
        <v>200</v>
      </c>
      <c r="AB308" s="146" t="s">
        <v>2244</v>
      </c>
      <c r="AC308" s="3" t="s">
        <v>2086</v>
      </c>
    </row>
    <row r="309" spans="1:29" x14ac:dyDescent="0.3">
      <c r="A309" s="4" t="s">
        <v>1802</v>
      </c>
      <c r="B309" s="3" t="s">
        <v>272</v>
      </c>
      <c r="C309" s="2">
        <v>129991</v>
      </c>
      <c r="D309" s="2">
        <v>324</v>
      </c>
      <c r="F309" s="2">
        <v>50</v>
      </c>
      <c r="G309" s="2">
        <v>26</v>
      </c>
      <c r="H309" s="2">
        <v>0</v>
      </c>
      <c r="I309" s="2">
        <v>0</v>
      </c>
      <c r="J309" s="2">
        <v>0</v>
      </c>
      <c r="K309" s="2">
        <v>0</v>
      </c>
      <c r="L309" s="2">
        <v>0</v>
      </c>
      <c r="M309" s="2">
        <v>0</v>
      </c>
      <c r="N309" s="2">
        <v>0</v>
      </c>
      <c r="O309" s="2">
        <v>2</v>
      </c>
      <c r="P309" s="2">
        <v>50</v>
      </c>
      <c r="Q309" s="2">
        <v>0</v>
      </c>
      <c r="R309" s="238">
        <v>42055</v>
      </c>
      <c r="S309" s="219">
        <v>12</v>
      </c>
      <c r="T309" s="220">
        <f>SUM( tabConsumo[[#This Row],[QTD.PENDENTE]]:tabConsumo[[#This Row],[09_23]] ) / tabConsumo[[#This Row],[Div]]</f>
        <v>10.666666666666666</v>
      </c>
      <c r="U309" s="221">
        <f xml:space="preserve"> tabConsumo[[#This Row],[Média.A]] + (_xlfn.STDEV.S( tabConsumo[[#This Row],[QTD.PENDENTE]]:tabConsumo[[#This Row],[09_23]] ) * 1)</f>
        <v>30.471777730289212</v>
      </c>
      <c r="V309" s="221">
        <f xml:space="preserve"> tabConsumo[[#This Row],[Média.A]] + (_xlfn.STDEV.S( tabConsumo[[#This Row],[QTD.PENDENTE]]:tabConsumo[[#This Row],[09_23]] ) * 2)</f>
        <v>50.276888793911759</v>
      </c>
      <c r="W309" s="221">
        <f xml:space="preserve"> tabConsumo[[#This Row],[Média.A]] + (_xlfn.STDEV.S( tabConsumo[[#This Row],[QTD.PENDENTE]]:tabConsumo[[#This Row],[09_23]] ) * 3)</f>
        <v>70.081999857534313</v>
      </c>
      <c r="X309" s="5">
        <f t="shared" si="10"/>
        <v>2</v>
      </c>
      <c r="Y309">
        <v>10.666666666666666</v>
      </c>
      <c r="Z309" s="223">
        <f>SUM( tabConsumo[[#This Row],[QTD.PENDENTE]]:tabConsumo[[#This Row],[09_23]] )</f>
        <v>128</v>
      </c>
      <c r="AA309" s="223">
        <f>LARGE(tabConsumo[[#This Row],[10_22]:[09_23]],1)</f>
        <v>50</v>
      </c>
      <c r="AB309" s="146" t="s">
        <v>2241</v>
      </c>
      <c r="AC309" s="3" t="s">
        <v>2086</v>
      </c>
    </row>
    <row r="310" spans="1:29" x14ac:dyDescent="0.3">
      <c r="A310" s="4" t="s">
        <v>1746</v>
      </c>
      <c r="B310" s="3" t="s">
        <v>272</v>
      </c>
      <c r="C310" s="2">
        <v>120995</v>
      </c>
      <c r="D310" s="2">
        <v>80</v>
      </c>
      <c r="F310" s="2">
        <v>0</v>
      </c>
      <c r="G310" s="2">
        <v>30</v>
      </c>
      <c r="H310" s="2">
        <v>0</v>
      </c>
      <c r="I310" s="2">
        <v>40</v>
      </c>
      <c r="J310" s="2">
        <v>0</v>
      </c>
      <c r="K310" s="2">
        <v>20</v>
      </c>
      <c r="L310" s="2">
        <v>0</v>
      </c>
      <c r="M310" s="2">
        <v>0</v>
      </c>
      <c r="N310" s="2">
        <v>50</v>
      </c>
      <c r="O310" s="2">
        <v>0</v>
      </c>
      <c r="P310" s="2">
        <v>0</v>
      </c>
      <c r="Q310" s="2">
        <v>0</v>
      </c>
      <c r="R310" s="238">
        <v>40794</v>
      </c>
      <c r="S310" s="219">
        <v>12</v>
      </c>
      <c r="T310" s="220">
        <f>SUM( tabConsumo[[#This Row],[QTD.PENDENTE]]:tabConsumo[[#This Row],[09_23]] ) / tabConsumo[[#This Row],[Div]]</f>
        <v>11.666666666666666</v>
      </c>
      <c r="U310" s="221">
        <f xml:space="preserve"> tabConsumo[[#This Row],[Média.A]] + (_xlfn.STDEV.S( tabConsumo[[#This Row],[QTD.PENDENTE]]:tabConsumo[[#This Row],[09_23]] ) * 1)</f>
        <v>30.17137532214791</v>
      </c>
      <c r="V310" s="221">
        <f xml:space="preserve"> tabConsumo[[#This Row],[Média.A]] + (_xlfn.STDEV.S( tabConsumo[[#This Row],[QTD.PENDENTE]]:tabConsumo[[#This Row],[09_23]] ) * 2)</f>
        <v>48.676083977629148</v>
      </c>
      <c r="W310" s="221">
        <f xml:space="preserve"> tabConsumo[[#This Row],[Média.A]] + (_xlfn.STDEV.S( tabConsumo[[#This Row],[QTD.PENDENTE]]:tabConsumo[[#This Row],[09_23]] ) * 3)</f>
        <v>67.1807926331104</v>
      </c>
      <c r="X310" s="5">
        <f t="shared" si="10"/>
        <v>2</v>
      </c>
      <c r="Y310">
        <v>11.5</v>
      </c>
      <c r="Z310" s="223">
        <f>SUM( tabConsumo[[#This Row],[QTD.PENDENTE]]:tabConsumo[[#This Row],[09_23]] )</f>
        <v>140</v>
      </c>
      <c r="AA310" s="223">
        <f>LARGE(tabConsumo[[#This Row],[10_22]:[09_23]],1)</f>
        <v>50</v>
      </c>
      <c r="AB310" s="146" t="s">
        <v>2246</v>
      </c>
      <c r="AC310" s="3" t="s">
        <v>2086</v>
      </c>
    </row>
    <row r="311" spans="1:29" x14ac:dyDescent="0.3">
      <c r="A311" s="4" t="s">
        <v>1572</v>
      </c>
      <c r="B311" s="3" t="s">
        <v>263</v>
      </c>
      <c r="C311" s="2">
        <v>99787</v>
      </c>
      <c r="D311" s="2">
        <v>16</v>
      </c>
      <c r="F311" s="2">
        <v>0</v>
      </c>
      <c r="G311" s="2">
        <v>2</v>
      </c>
      <c r="H311" s="2">
        <v>5</v>
      </c>
      <c r="I311" s="2">
        <v>35</v>
      </c>
      <c r="J311" s="2">
        <v>12</v>
      </c>
      <c r="K311" s="2">
        <v>0</v>
      </c>
      <c r="L311" s="2">
        <v>0</v>
      </c>
      <c r="M311" s="2">
        <v>4</v>
      </c>
      <c r="N311" s="2">
        <v>4</v>
      </c>
      <c r="O311" s="2">
        <v>2</v>
      </c>
      <c r="P311" s="2">
        <v>0</v>
      </c>
      <c r="Q311" s="2">
        <v>0</v>
      </c>
      <c r="R311" s="238">
        <v>39227</v>
      </c>
      <c r="S311" s="219">
        <v>12</v>
      </c>
      <c r="T311" s="220">
        <f>SUM( tabConsumo[[#This Row],[QTD.PENDENTE]]:tabConsumo[[#This Row],[09_23]] ) / tabConsumo[[#This Row],[Div]]</f>
        <v>5.333333333333333</v>
      </c>
      <c r="U311" s="221">
        <f xml:space="preserve"> tabConsumo[[#This Row],[Média.A]] + (_xlfn.STDEV.S( tabConsumo[[#This Row],[QTD.PENDENTE]]:tabConsumo[[#This Row],[09_23]] ) * 1)</f>
        <v>15.299944258484036</v>
      </c>
      <c r="V311" s="221">
        <f xml:space="preserve"> tabConsumo[[#This Row],[Média.A]] + (_xlfn.STDEV.S( tabConsumo[[#This Row],[QTD.PENDENTE]]:tabConsumo[[#This Row],[09_23]] ) * 2)</f>
        <v>25.266555183634736</v>
      </c>
      <c r="W311" s="221">
        <f xml:space="preserve"> tabConsumo[[#This Row],[Média.A]] + (_xlfn.STDEV.S( tabConsumo[[#This Row],[QTD.PENDENTE]]:tabConsumo[[#This Row],[09_23]] ) * 3)</f>
        <v>35.23316610878544</v>
      </c>
      <c r="X311" s="5">
        <f t="shared" si="10"/>
        <v>2</v>
      </c>
      <c r="Y311">
        <v>4.5</v>
      </c>
      <c r="Z311" s="223">
        <f>SUM( tabConsumo[[#This Row],[QTD.PENDENTE]]:tabConsumo[[#This Row],[09_23]] )</f>
        <v>64</v>
      </c>
      <c r="AA311" s="223">
        <f>LARGE(tabConsumo[[#This Row],[10_22]:[09_23]],1)</f>
        <v>35</v>
      </c>
      <c r="AB311" s="146" t="s">
        <v>2239</v>
      </c>
      <c r="AC311" s="3" t="s">
        <v>2086</v>
      </c>
    </row>
    <row r="312" spans="1:29" x14ac:dyDescent="0.3">
      <c r="A312" s="4" t="s">
        <v>1353</v>
      </c>
      <c r="B312" s="3" t="s">
        <v>345</v>
      </c>
      <c r="C312" s="2">
        <v>60889</v>
      </c>
      <c r="D312" s="2">
        <v>408</v>
      </c>
      <c r="F312" s="2">
        <v>156</v>
      </c>
      <c r="G312" s="2">
        <v>107</v>
      </c>
      <c r="H312" s="2">
        <v>158</v>
      </c>
      <c r="I312" s="2">
        <v>320</v>
      </c>
      <c r="J312" s="2">
        <v>130</v>
      </c>
      <c r="K312" s="2">
        <v>161</v>
      </c>
      <c r="L312" s="2">
        <v>163</v>
      </c>
      <c r="M312" s="2">
        <v>40</v>
      </c>
      <c r="N312" s="2">
        <v>190</v>
      </c>
      <c r="O312" s="2">
        <v>190</v>
      </c>
      <c r="P312" s="2">
        <v>200</v>
      </c>
      <c r="Q312" s="2">
        <v>130</v>
      </c>
      <c r="R312" s="238">
        <v>367</v>
      </c>
      <c r="S312" s="219">
        <f xml:space="preserve"> 12</f>
        <v>12</v>
      </c>
      <c r="T312" s="220">
        <f>SUM( tabConsumo[[#This Row],[QTD.PENDENTE]]:tabConsumo[[#This Row],[09_23]] ) / tabConsumo[[#This Row],[Div]]</f>
        <v>162.08333333333334</v>
      </c>
      <c r="U312" s="221">
        <f xml:space="preserve"> tabConsumo[[#This Row],[Média.A]] + (_xlfn.STDEV.S( tabConsumo[[#This Row],[QTD.PENDENTE]]:tabConsumo[[#This Row],[09_23]] ) * 1)</f>
        <v>228.1321559549136</v>
      </c>
      <c r="V312" s="221">
        <f xml:space="preserve"> tabConsumo[[#This Row],[Média.A]] + (_xlfn.STDEV.S( tabConsumo[[#This Row],[QTD.PENDENTE]]:tabConsumo[[#This Row],[09_23]] ) * 2)</f>
        <v>294.18097857649389</v>
      </c>
      <c r="W312" s="221">
        <f xml:space="preserve"> tabConsumo[[#This Row],[Média.A]] + (_xlfn.STDEV.S( tabConsumo[[#This Row],[QTD.PENDENTE]]:tabConsumo[[#This Row],[09_23]] ) * 3)</f>
        <v>360.22980119807414</v>
      </c>
      <c r="X312" s="5">
        <f t="shared" si="10"/>
        <v>2</v>
      </c>
      <c r="Y312">
        <v>159.91666666666666</v>
      </c>
      <c r="Z312" s="223">
        <f>SUM( tabConsumo[[#This Row],[QTD.PENDENTE]]:tabConsumo[[#This Row],[09_23]] )</f>
        <v>1945</v>
      </c>
      <c r="AA312" s="223">
        <f>LARGE(tabConsumo[[#This Row],[10_22]:[09_23]],1)</f>
        <v>320</v>
      </c>
      <c r="AB312" s="146" t="s">
        <v>2238</v>
      </c>
      <c r="AC312" s="3" t="s">
        <v>2086</v>
      </c>
    </row>
    <row r="313" spans="1:29" x14ac:dyDescent="0.3">
      <c r="A313" s="4" t="s">
        <v>1077</v>
      </c>
      <c r="B313" s="3" t="s">
        <v>272</v>
      </c>
      <c r="C313" s="2">
        <v>14885</v>
      </c>
      <c r="D313" s="2">
        <v>0</v>
      </c>
      <c r="E313" s="2">
        <v>35</v>
      </c>
      <c r="F313" s="2">
        <v>0</v>
      </c>
      <c r="G313" s="2">
        <v>0</v>
      </c>
      <c r="H313" s="2">
        <v>0</v>
      </c>
      <c r="I313" s="2">
        <v>35</v>
      </c>
      <c r="J313" s="2">
        <v>0</v>
      </c>
      <c r="K313" s="2">
        <v>0</v>
      </c>
      <c r="L313" s="2">
        <v>165</v>
      </c>
      <c r="M313" s="2">
        <v>0</v>
      </c>
      <c r="N313" s="2">
        <v>0</v>
      </c>
      <c r="O313" s="2">
        <v>0</v>
      </c>
      <c r="P313" s="2">
        <v>0</v>
      </c>
      <c r="Q313" s="2">
        <v>0</v>
      </c>
      <c r="R313" s="238">
        <v>367</v>
      </c>
      <c r="S313" s="219">
        <f xml:space="preserve"> 12</f>
        <v>12</v>
      </c>
      <c r="T313" s="220">
        <f>SUM( tabConsumo[[#This Row],[QTD.PENDENTE]]:tabConsumo[[#This Row],[09_23]] ) / tabConsumo[[#This Row],[Div]]</f>
        <v>19.583333333333332</v>
      </c>
      <c r="U313" s="221">
        <f xml:space="preserve"> tabConsumo[[#This Row],[Média.A]] + (_xlfn.STDEV.S( tabConsumo[[#This Row],[QTD.PENDENTE]]:tabConsumo[[#This Row],[09_23]] ) * 1)</f>
        <v>65.614955685910218</v>
      </c>
      <c r="V313" s="221">
        <f xml:space="preserve"> tabConsumo[[#This Row],[Média.A]] + (_xlfn.STDEV.S( tabConsumo[[#This Row],[QTD.PENDENTE]]:tabConsumo[[#This Row],[09_23]] ) * 2)</f>
        <v>111.64657803848711</v>
      </c>
      <c r="W313" s="221">
        <f xml:space="preserve"> tabConsumo[[#This Row],[Média.A]] + (_xlfn.STDEV.S( tabConsumo[[#This Row],[QTD.PENDENTE]]:tabConsumo[[#This Row],[09_23]] ) * 3)</f>
        <v>157.678200391064</v>
      </c>
      <c r="X313" s="5">
        <f t="shared" si="10"/>
        <v>2</v>
      </c>
      <c r="Y313">
        <v>15.083333333333334</v>
      </c>
      <c r="Z313" s="223">
        <f>SUM( tabConsumo[[#This Row],[QTD.PENDENTE]]:tabConsumo[[#This Row],[09_23]] )</f>
        <v>235</v>
      </c>
      <c r="AA313" s="223">
        <f>LARGE(tabConsumo[[#This Row],[10_22]:[09_23]],1)</f>
        <v>165</v>
      </c>
      <c r="AB313" s="146" t="s">
        <v>2240</v>
      </c>
      <c r="AC313" s="3" t="s">
        <v>2086</v>
      </c>
    </row>
    <row r="314" spans="1:29" x14ac:dyDescent="0.3">
      <c r="A314" s="4" t="s">
        <v>1078</v>
      </c>
      <c r="B314" s="3" t="s">
        <v>272</v>
      </c>
      <c r="C314" s="2">
        <v>14887</v>
      </c>
      <c r="D314" s="2">
        <v>0</v>
      </c>
      <c r="E314" s="2">
        <v>160</v>
      </c>
      <c r="F314" s="2">
        <v>0</v>
      </c>
      <c r="G314" s="2">
        <v>0</v>
      </c>
      <c r="H314" s="2">
        <v>100</v>
      </c>
      <c r="I314" s="2">
        <v>0</v>
      </c>
      <c r="J314" s="2">
        <v>0</v>
      </c>
      <c r="K314" s="2">
        <v>0</v>
      </c>
      <c r="L314" s="2">
        <v>100</v>
      </c>
      <c r="M314" s="2">
        <v>0</v>
      </c>
      <c r="N314" s="2">
        <v>0</v>
      </c>
      <c r="O314" s="2">
        <v>0</v>
      </c>
      <c r="P314" s="2">
        <v>0</v>
      </c>
      <c r="Q314" s="2">
        <v>0</v>
      </c>
      <c r="R314" s="238">
        <v>367</v>
      </c>
      <c r="S314" s="219">
        <f xml:space="preserve"> 12</f>
        <v>12</v>
      </c>
      <c r="T314" s="220">
        <f>SUM( tabConsumo[[#This Row],[QTD.PENDENTE]]:tabConsumo[[#This Row],[09_23]] ) / tabConsumo[[#This Row],[Div]]</f>
        <v>30</v>
      </c>
      <c r="U314" s="221">
        <f xml:space="preserve"> tabConsumo[[#This Row],[Média.A]] + (_xlfn.STDEV.S( tabConsumo[[#This Row],[QTD.PENDENTE]]:tabConsumo[[#This Row],[09_23]] ) * 1)</f>
        <v>84.490648456691815</v>
      </c>
      <c r="V314" s="221">
        <f xml:space="preserve"> tabConsumo[[#This Row],[Média.A]] + (_xlfn.STDEV.S( tabConsumo[[#This Row],[QTD.PENDENTE]]:tabConsumo[[#This Row],[09_23]] ) * 2)</f>
        <v>138.98129691338363</v>
      </c>
      <c r="W314" s="221">
        <f xml:space="preserve"> tabConsumo[[#This Row],[Média.A]] + (_xlfn.STDEV.S( tabConsumo[[#This Row],[QTD.PENDENTE]]:tabConsumo[[#This Row],[09_23]] ) * 3)</f>
        <v>193.47194537007542</v>
      </c>
      <c r="X314" s="5">
        <f t="shared" si="10"/>
        <v>2</v>
      </c>
      <c r="Y314">
        <v>30</v>
      </c>
      <c r="Z314" s="223">
        <f>SUM( tabConsumo[[#This Row],[QTD.PENDENTE]]:tabConsumo[[#This Row],[09_23]] )</f>
        <v>360</v>
      </c>
      <c r="AA314" s="223">
        <f>LARGE(tabConsumo[[#This Row],[10_22]:[09_23]],1)</f>
        <v>100</v>
      </c>
      <c r="AB314" s="146" t="s">
        <v>2240</v>
      </c>
      <c r="AC314" s="3" t="s">
        <v>2086</v>
      </c>
    </row>
    <row r="315" spans="1:29" x14ac:dyDescent="0.3">
      <c r="A315" s="4" t="s">
        <v>989</v>
      </c>
      <c r="B315" s="3" t="s">
        <v>272</v>
      </c>
      <c r="C315" s="2">
        <v>13009</v>
      </c>
      <c r="D315" s="2">
        <v>456</v>
      </c>
      <c r="F315" s="2">
        <v>20</v>
      </c>
      <c r="G315" s="2">
        <v>50</v>
      </c>
      <c r="H315" s="2">
        <v>60</v>
      </c>
      <c r="I315" s="2">
        <v>0</v>
      </c>
      <c r="J315" s="2">
        <v>0</v>
      </c>
      <c r="K315" s="2">
        <v>50</v>
      </c>
      <c r="L315" s="2">
        <v>0</v>
      </c>
      <c r="M315" s="2">
        <v>150</v>
      </c>
      <c r="N315" s="2">
        <v>0</v>
      </c>
      <c r="O315" s="2">
        <v>0</v>
      </c>
      <c r="P315" s="2">
        <v>50</v>
      </c>
      <c r="Q315" s="2">
        <v>100</v>
      </c>
      <c r="R315" s="238">
        <v>367</v>
      </c>
      <c r="S315" s="219">
        <f xml:space="preserve"> 12</f>
        <v>12</v>
      </c>
      <c r="T315" s="220">
        <f>SUM( tabConsumo[[#This Row],[QTD.PENDENTE]]:tabConsumo[[#This Row],[09_23]] ) / tabConsumo[[#This Row],[Div]]</f>
        <v>40</v>
      </c>
      <c r="U315" s="221">
        <f xml:space="preserve"> tabConsumo[[#This Row],[Média.A]] + (_xlfn.STDEV.S( tabConsumo[[#This Row],[QTD.PENDENTE]]:tabConsumo[[#This Row],[09_23]] ) * 1)</f>
        <v>87.482054026183988</v>
      </c>
      <c r="V315" s="221">
        <f xml:space="preserve"> tabConsumo[[#This Row],[Média.A]] + (_xlfn.STDEV.S( tabConsumo[[#This Row],[QTD.PENDENTE]]:tabConsumo[[#This Row],[09_23]] ) * 2)</f>
        <v>134.96410805236798</v>
      </c>
      <c r="W315" s="221">
        <f xml:space="preserve"> tabConsumo[[#This Row],[Média.A]] + (_xlfn.STDEV.S( tabConsumo[[#This Row],[QTD.PENDENTE]]:tabConsumo[[#This Row],[09_23]] ) * 3)</f>
        <v>182.44616207855194</v>
      </c>
      <c r="X315" s="5">
        <f t="shared" si="10"/>
        <v>2</v>
      </c>
      <c r="Y315">
        <v>38.666666666666664</v>
      </c>
      <c r="Z315" s="223">
        <f>SUM( tabConsumo[[#This Row],[QTD.PENDENTE]]:tabConsumo[[#This Row],[09_23]] )</f>
        <v>480</v>
      </c>
      <c r="AA315" s="223">
        <f>LARGE(tabConsumo[[#This Row],[10_22]:[09_23]],1)</f>
        <v>150</v>
      </c>
      <c r="AB315" s="146" t="s">
        <v>2238</v>
      </c>
      <c r="AC315" s="3" t="s">
        <v>2086</v>
      </c>
    </row>
    <row r="316" spans="1:29" x14ac:dyDescent="0.3">
      <c r="A316" s="4" t="s">
        <v>1672</v>
      </c>
      <c r="B316" s="3" t="s">
        <v>263</v>
      </c>
      <c r="C316" s="2">
        <v>110702</v>
      </c>
      <c r="D316" s="2">
        <v>136</v>
      </c>
      <c r="F316" s="2">
        <v>10</v>
      </c>
      <c r="G316" s="2">
        <v>3</v>
      </c>
      <c r="H316" s="2">
        <v>0</v>
      </c>
      <c r="I316" s="2">
        <v>0</v>
      </c>
      <c r="J316" s="2">
        <v>0</v>
      </c>
      <c r="K316" s="2">
        <v>0</v>
      </c>
      <c r="L316" s="2">
        <v>0</v>
      </c>
      <c r="M316" s="2">
        <v>4</v>
      </c>
      <c r="N316" s="2">
        <v>0</v>
      </c>
      <c r="O316" s="2">
        <v>0</v>
      </c>
      <c r="P316" s="2">
        <v>0</v>
      </c>
      <c r="Q316" s="2">
        <v>0</v>
      </c>
      <c r="R316" s="238">
        <v>39927</v>
      </c>
      <c r="S316" s="219">
        <v>12</v>
      </c>
      <c r="T316" s="220">
        <f>SUM( tabConsumo[[#This Row],[QTD.PENDENTE]]:tabConsumo[[#This Row],[09_23]] ) / tabConsumo[[#This Row],[Div]]</f>
        <v>1.4166666666666667</v>
      </c>
      <c r="U316" s="221">
        <f xml:space="preserve"> tabConsumo[[#This Row],[Média.A]] + (_xlfn.STDEV.S( tabConsumo[[#This Row],[QTD.PENDENTE]]:tabConsumo[[#This Row],[09_23]] ) * 1)</f>
        <v>4.4455678575678199</v>
      </c>
      <c r="V316" s="221">
        <f xml:space="preserve"> tabConsumo[[#This Row],[Média.A]] + (_xlfn.STDEV.S( tabConsumo[[#This Row],[QTD.PENDENTE]]:tabConsumo[[#This Row],[09_23]] ) * 2)</f>
        <v>7.4744690484689729</v>
      </c>
      <c r="W316" s="221">
        <f xml:space="preserve"> tabConsumo[[#This Row],[Média.A]] + (_xlfn.STDEV.S( tabConsumo[[#This Row],[QTD.PENDENTE]]:tabConsumo[[#This Row],[09_23]] ) * 3)</f>
        <v>10.503370239370126</v>
      </c>
      <c r="X316" s="5">
        <f t="shared" si="10"/>
        <v>2</v>
      </c>
      <c r="Y316">
        <v>1.1666666666666667</v>
      </c>
      <c r="Z316" s="223">
        <f>SUM( tabConsumo[[#This Row],[QTD.PENDENTE]]:tabConsumo[[#This Row],[09_23]] )</f>
        <v>17</v>
      </c>
      <c r="AA316" s="223">
        <f>LARGE(tabConsumo[[#This Row],[10_22]:[09_23]],1)</f>
        <v>10</v>
      </c>
      <c r="AB316" s="146" t="s">
        <v>2244</v>
      </c>
      <c r="AC316" s="3" t="s">
        <v>2086</v>
      </c>
    </row>
    <row r="317" spans="1:29" x14ac:dyDescent="0.3">
      <c r="A317" s="4" t="s">
        <v>1590</v>
      </c>
      <c r="B317" s="3" t="s">
        <v>263</v>
      </c>
      <c r="C317" s="2">
        <v>102694</v>
      </c>
      <c r="D317" s="2">
        <v>215</v>
      </c>
      <c r="E317" s="2">
        <v>3</v>
      </c>
      <c r="F317" s="2">
        <v>0</v>
      </c>
      <c r="G317" s="2">
        <v>0</v>
      </c>
      <c r="H317" s="2">
        <v>0</v>
      </c>
      <c r="I317" s="2">
        <v>27</v>
      </c>
      <c r="J317" s="2">
        <v>20</v>
      </c>
      <c r="K317" s="2">
        <v>0</v>
      </c>
      <c r="L317" s="2">
        <v>5</v>
      </c>
      <c r="M317" s="2">
        <v>10</v>
      </c>
      <c r="N317" s="2">
        <v>0</v>
      </c>
      <c r="O317" s="2">
        <v>0</v>
      </c>
      <c r="P317" s="2">
        <v>0</v>
      </c>
      <c r="Q317" s="2">
        <v>0</v>
      </c>
      <c r="R317" s="238">
        <v>39371</v>
      </c>
      <c r="S317" s="219">
        <v>12</v>
      </c>
      <c r="T317" s="220">
        <f>SUM( tabConsumo[[#This Row],[QTD.PENDENTE]]:tabConsumo[[#This Row],[09_23]] ) / tabConsumo[[#This Row],[Div]]</f>
        <v>5.416666666666667</v>
      </c>
      <c r="U317" s="221">
        <f xml:space="preserve"> tabConsumo[[#This Row],[Média.A]] + (_xlfn.STDEV.S( tabConsumo[[#This Row],[QTD.PENDENTE]]:tabConsumo[[#This Row],[09_23]] ) * 1)</f>
        <v>14.257858139916564</v>
      </c>
      <c r="V317" s="221">
        <f xml:space="preserve"> tabConsumo[[#This Row],[Média.A]] + (_xlfn.STDEV.S( tabConsumo[[#This Row],[QTD.PENDENTE]]:tabConsumo[[#This Row],[09_23]] ) * 2)</f>
        <v>23.099049613166461</v>
      </c>
      <c r="W317" s="221">
        <f xml:space="preserve"> tabConsumo[[#This Row],[Média.A]] + (_xlfn.STDEV.S( tabConsumo[[#This Row],[QTD.PENDENTE]]:tabConsumo[[#This Row],[09_23]] ) * 3)</f>
        <v>31.940241086416357</v>
      </c>
      <c r="X317" s="5">
        <f t="shared" si="10"/>
        <v>2</v>
      </c>
      <c r="Y317">
        <v>5.083333333333333</v>
      </c>
      <c r="Z317" s="223">
        <f>SUM( tabConsumo[[#This Row],[QTD.PENDENTE]]:tabConsumo[[#This Row],[09_23]] )</f>
        <v>65</v>
      </c>
      <c r="AA317" s="223">
        <f>LARGE(tabConsumo[[#This Row],[10_22]:[09_23]],1)</f>
        <v>27</v>
      </c>
      <c r="AB317" s="146" t="s">
        <v>2244</v>
      </c>
      <c r="AC317" s="3" t="s">
        <v>2086</v>
      </c>
    </row>
    <row r="318" spans="1:29" x14ac:dyDescent="0.3">
      <c r="A318" s="4" t="s">
        <v>1961</v>
      </c>
      <c r="B318" s="3" t="s">
        <v>263</v>
      </c>
      <c r="C318" s="2">
        <v>138055</v>
      </c>
      <c r="D318" s="2">
        <v>100</v>
      </c>
      <c r="E318" s="2">
        <v>1</v>
      </c>
      <c r="F318" s="2">
        <v>31</v>
      </c>
      <c r="G318" s="2">
        <v>24</v>
      </c>
      <c r="H318" s="2">
        <v>18</v>
      </c>
      <c r="I318" s="2">
        <v>26</v>
      </c>
      <c r="J318" s="2">
        <v>41</v>
      </c>
      <c r="K318" s="2">
        <v>95</v>
      </c>
      <c r="L318" s="2">
        <v>82</v>
      </c>
      <c r="M318" s="2">
        <v>156</v>
      </c>
      <c r="N318" s="2">
        <v>0</v>
      </c>
      <c r="O318" s="2">
        <v>0</v>
      </c>
      <c r="P318" s="2">
        <v>102</v>
      </c>
      <c r="Q318" s="2">
        <v>344</v>
      </c>
      <c r="R318" s="238">
        <v>43656</v>
      </c>
      <c r="S318" s="219">
        <v>12</v>
      </c>
      <c r="T318" s="220">
        <f>SUM( tabConsumo[[#This Row],[QTD.PENDENTE]]:tabConsumo[[#This Row],[09_23]] ) / tabConsumo[[#This Row],[Div]]</f>
        <v>76.666666666666671</v>
      </c>
      <c r="U318" s="221">
        <f xml:space="preserve"> tabConsumo[[#This Row],[Média.A]] + (_xlfn.STDEV.S( tabConsumo[[#This Row],[QTD.PENDENTE]]:tabConsumo[[#This Row],[09_23]] ) * 1)</f>
        <v>171.50701835144432</v>
      </c>
      <c r="V318" s="221">
        <f xml:space="preserve"> tabConsumo[[#This Row],[Média.A]] + (_xlfn.STDEV.S( tabConsumo[[#This Row],[QTD.PENDENTE]]:tabConsumo[[#This Row],[09_23]] ) * 2)</f>
        <v>266.34737003622195</v>
      </c>
      <c r="W318" s="221">
        <f xml:space="preserve"> tabConsumo[[#This Row],[Média.A]] + (_xlfn.STDEV.S( tabConsumo[[#This Row],[QTD.PENDENTE]]:tabConsumo[[#This Row],[09_23]] ) * 3)</f>
        <v>361.1877217209996</v>
      </c>
      <c r="X318" s="5">
        <f t="shared" si="10"/>
        <v>2</v>
      </c>
      <c r="Y318">
        <v>70.166666666666671</v>
      </c>
      <c r="Z318" s="223">
        <f>SUM( tabConsumo[[#This Row],[QTD.PENDENTE]]:tabConsumo[[#This Row],[09_23]] )</f>
        <v>920</v>
      </c>
      <c r="AA318" s="223">
        <f>LARGE(tabConsumo[[#This Row],[10_22]:[09_23]],1)</f>
        <v>344</v>
      </c>
      <c r="AB318" s="146" t="s">
        <v>2238</v>
      </c>
      <c r="AC318" s="3" t="s">
        <v>2086</v>
      </c>
    </row>
    <row r="319" spans="1:29" x14ac:dyDescent="0.3">
      <c r="A319" s="4" t="s">
        <v>274</v>
      </c>
      <c r="B319" s="3" t="s">
        <v>31</v>
      </c>
      <c r="C319" s="2">
        <v>11980</v>
      </c>
      <c r="D319" s="2">
        <v>0</v>
      </c>
      <c r="E319" s="2">
        <v>1882</v>
      </c>
      <c r="F319" s="2">
        <v>430</v>
      </c>
      <c r="G319" s="2">
        <v>725</v>
      </c>
      <c r="H319" s="2">
        <v>575</v>
      </c>
      <c r="I319" s="2">
        <v>560</v>
      </c>
      <c r="J319" s="2">
        <v>570</v>
      </c>
      <c r="K319" s="2">
        <v>2354</v>
      </c>
      <c r="L319" s="2">
        <v>0</v>
      </c>
      <c r="M319" s="2">
        <v>0</v>
      </c>
      <c r="N319" s="2">
        <v>0</v>
      </c>
      <c r="O319" s="2">
        <v>0</v>
      </c>
      <c r="P319" s="2">
        <v>0</v>
      </c>
      <c r="Q319" s="2">
        <v>0</v>
      </c>
      <c r="R319" s="238">
        <v>367</v>
      </c>
      <c r="S319" s="219">
        <f xml:space="preserve"> 12</f>
        <v>12</v>
      </c>
      <c r="T319" s="220">
        <f>SUM( tabConsumo[[#This Row],[QTD.PENDENTE]]:tabConsumo[[#This Row],[09_23]] ) / tabConsumo[[#This Row],[Div]]</f>
        <v>591.33333333333337</v>
      </c>
      <c r="U319" s="221">
        <f xml:space="preserve"> tabConsumo[[#This Row],[Média.A]] + (_xlfn.STDEV.S( tabConsumo[[#This Row],[QTD.PENDENTE]]:tabConsumo[[#This Row],[09_23]] ) * 1)</f>
        <v>1349.0473125886815</v>
      </c>
      <c r="V319" s="221">
        <f xml:space="preserve"> tabConsumo[[#This Row],[Média.A]] + (_xlfn.STDEV.S( tabConsumo[[#This Row],[QTD.PENDENTE]]:tabConsumo[[#This Row],[09_23]] ) * 2)</f>
        <v>2106.76129184403</v>
      </c>
      <c r="W319" s="221">
        <f xml:space="preserve"> tabConsumo[[#This Row],[Média.A]] + (_xlfn.STDEV.S( tabConsumo[[#This Row],[QTD.PENDENTE]]:tabConsumo[[#This Row],[09_23]] ) * 3)</f>
        <v>2864.4752710993785</v>
      </c>
      <c r="X319" s="5">
        <f t="shared" si="10"/>
        <v>2</v>
      </c>
      <c r="Y319">
        <v>570.66666666666663</v>
      </c>
      <c r="Z319" s="223">
        <f>SUM( tabConsumo[[#This Row],[QTD.PENDENTE]]:tabConsumo[[#This Row],[09_23]] )</f>
        <v>7096</v>
      </c>
      <c r="AA319" s="223">
        <f>LARGE(tabConsumo[[#This Row],[10_22]:[09_23]],1)</f>
        <v>2354</v>
      </c>
      <c r="AB319" s="146" t="s">
        <v>2245</v>
      </c>
      <c r="AC319" s="3" t="s">
        <v>2086</v>
      </c>
    </row>
    <row r="320" spans="1:29" x14ac:dyDescent="0.3">
      <c r="A320" s="4" t="s">
        <v>1177</v>
      </c>
      <c r="B320" s="3" t="s">
        <v>31</v>
      </c>
      <c r="C320" s="2">
        <v>23581</v>
      </c>
      <c r="D320" s="2">
        <v>12976</v>
      </c>
      <c r="F320" s="2">
        <v>975</v>
      </c>
      <c r="G320" s="2">
        <v>1317</v>
      </c>
      <c r="H320" s="2">
        <v>745</v>
      </c>
      <c r="I320" s="2">
        <v>630</v>
      </c>
      <c r="J320" s="2">
        <v>905</v>
      </c>
      <c r="K320" s="2">
        <v>5409</v>
      </c>
      <c r="L320" s="2">
        <v>815</v>
      </c>
      <c r="M320" s="2">
        <v>1390</v>
      </c>
      <c r="N320" s="2">
        <v>890</v>
      </c>
      <c r="O320" s="2">
        <v>885</v>
      </c>
      <c r="P320" s="2">
        <v>1076</v>
      </c>
      <c r="Q320" s="2">
        <v>1095</v>
      </c>
      <c r="R320" s="238">
        <v>367</v>
      </c>
      <c r="S320" s="219">
        <f xml:space="preserve"> 12</f>
        <v>12</v>
      </c>
      <c r="T320" s="220">
        <f>SUM( tabConsumo[[#This Row],[QTD.PENDENTE]]:tabConsumo[[#This Row],[09_23]] ) / tabConsumo[[#This Row],[Div]]</f>
        <v>1344.3333333333333</v>
      </c>
      <c r="U320" s="221">
        <f xml:space="preserve"> tabConsumo[[#This Row],[Média.A]] + (_xlfn.STDEV.S( tabConsumo[[#This Row],[QTD.PENDENTE]]:tabConsumo[[#This Row],[09_23]] ) * 1)</f>
        <v>2643.1093538677251</v>
      </c>
      <c r="V320" s="221">
        <f xml:space="preserve"> tabConsumo[[#This Row],[Média.A]] + (_xlfn.STDEV.S( tabConsumo[[#This Row],[QTD.PENDENTE]]:tabConsumo[[#This Row],[09_23]] ) * 2)</f>
        <v>3941.8853744021171</v>
      </c>
      <c r="W320" s="221">
        <f xml:space="preserve"> tabConsumo[[#This Row],[Média.A]] + (_xlfn.STDEV.S( tabConsumo[[#This Row],[QTD.PENDENTE]]:tabConsumo[[#This Row],[09_23]] ) * 3)</f>
        <v>5240.6613949365092</v>
      </c>
      <c r="X320" s="5">
        <f t="shared" si="10"/>
        <v>2</v>
      </c>
      <c r="Y320">
        <v>1222</v>
      </c>
      <c r="Z320" s="223">
        <f>SUM( tabConsumo[[#This Row],[QTD.PENDENTE]]:tabConsumo[[#This Row],[09_23]] )</f>
        <v>16132</v>
      </c>
      <c r="AA320" s="223">
        <f>LARGE(tabConsumo[[#This Row],[10_22]:[09_23]],1)</f>
        <v>5409</v>
      </c>
      <c r="AB320" s="146" t="s">
        <v>2238</v>
      </c>
      <c r="AC320" s="3" t="s">
        <v>2086</v>
      </c>
    </row>
    <row r="321" spans="1:29" x14ac:dyDescent="0.3">
      <c r="A321" s="4" t="s">
        <v>1494</v>
      </c>
      <c r="B321" s="3" t="s">
        <v>31</v>
      </c>
      <c r="C321" s="2">
        <v>84878</v>
      </c>
      <c r="D321" s="2">
        <v>50966</v>
      </c>
      <c r="E321" s="2">
        <v>1519</v>
      </c>
      <c r="F321" s="2">
        <v>2950</v>
      </c>
      <c r="G321" s="2">
        <v>409</v>
      </c>
      <c r="H321" s="2">
        <v>0</v>
      </c>
      <c r="I321" s="2">
        <v>1740</v>
      </c>
      <c r="J321" s="2">
        <v>3580</v>
      </c>
      <c r="K321" s="2">
        <v>41878</v>
      </c>
      <c r="L321" s="2">
        <v>3715</v>
      </c>
      <c r="M321" s="2">
        <v>5220</v>
      </c>
      <c r="N321" s="2">
        <v>3200</v>
      </c>
      <c r="O321" s="2">
        <v>2845</v>
      </c>
      <c r="P321" s="2">
        <v>3646</v>
      </c>
      <c r="Q321" s="2">
        <v>3165</v>
      </c>
      <c r="R321" s="238">
        <v>38448</v>
      </c>
      <c r="S321" s="219">
        <v>12</v>
      </c>
      <c r="T321" s="220">
        <f>SUM( tabConsumo[[#This Row],[QTD.PENDENTE]]:tabConsumo[[#This Row],[09_23]] ) / tabConsumo[[#This Row],[Div]]</f>
        <v>6155.583333333333</v>
      </c>
      <c r="U321" s="221">
        <f xml:space="preserve"> tabConsumo[[#This Row],[Média.A]] + (_xlfn.STDEV.S( tabConsumo[[#This Row],[QTD.PENDENTE]]:tabConsumo[[#This Row],[09_23]] ) * 1)</f>
        <v>17124.342914233526</v>
      </c>
      <c r="V321" s="221">
        <f xml:space="preserve"> tabConsumo[[#This Row],[Média.A]] + (_xlfn.STDEV.S( tabConsumo[[#This Row],[QTD.PENDENTE]]:tabConsumo[[#This Row],[09_23]] ) * 2)</f>
        <v>28093.102495133717</v>
      </c>
      <c r="W321" s="221">
        <f xml:space="preserve"> tabConsumo[[#This Row],[Média.A]] + (_xlfn.STDEV.S( tabConsumo[[#This Row],[QTD.PENDENTE]]:tabConsumo[[#This Row],[09_23]] ) * 3)</f>
        <v>39061.862076033911</v>
      </c>
      <c r="X321" s="5">
        <f t="shared" si="10"/>
        <v>2</v>
      </c>
      <c r="Y321">
        <v>5006.833333333333</v>
      </c>
      <c r="Z321" s="223">
        <f>SUM( tabConsumo[[#This Row],[QTD.PENDENTE]]:tabConsumo[[#This Row],[09_23]] )</f>
        <v>73867</v>
      </c>
      <c r="AA321" s="223">
        <f>LARGE(tabConsumo[[#This Row],[10_22]:[09_23]],1)</f>
        <v>41878</v>
      </c>
      <c r="AB321" s="146" t="s">
        <v>2238</v>
      </c>
      <c r="AC321" s="3" t="s">
        <v>2086</v>
      </c>
    </row>
    <row r="322" spans="1:29" x14ac:dyDescent="0.3">
      <c r="A322" s="4" t="s">
        <v>940</v>
      </c>
      <c r="B322" s="3" t="s">
        <v>31</v>
      </c>
      <c r="C322" s="2">
        <v>11857</v>
      </c>
      <c r="D322" s="2">
        <v>20140</v>
      </c>
      <c r="F322" s="2">
        <v>1295</v>
      </c>
      <c r="G322" s="2">
        <v>1705</v>
      </c>
      <c r="H322" s="2">
        <v>1095</v>
      </c>
      <c r="I322" s="2">
        <v>730</v>
      </c>
      <c r="J322" s="2">
        <v>1105</v>
      </c>
      <c r="K322" s="2">
        <v>3197</v>
      </c>
      <c r="L322" s="2">
        <v>2015</v>
      </c>
      <c r="M322" s="2">
        <v>2025</v>
      </c>
      <c r="N322" s="2">
        <v>1605</v>
      </c>
      <c r="O322" s="2">
        <v>1435</v>
      </c>
      <c r="P322" s="2">
        <v>1716</v>
      </c>
      <c r="Q322" s="2">
        <v>1605</v>
      </c>
      <c r="R322" s="238">
        <v>367</v>
      </c>
      <c r="S322" s="219">
        <f t="shared" ref="S322:S327" si="11" xml:space="preserve"> 12</f>
        <v>12</v>
      </c>
      <c r="T322" s="220">
        <f>SUM( tabConsumo[[#This Row],[QTD.PENDENTE]]:tabConsumo[[#This Row],[09_23]] ) / tabConsumo[[#This Row],[Div]]</f>
        <v>1627.3333333333333</v>
      </c>
      <c r="U322" s="221">
        <f xml:space="preserve"> tabConsumo[[#This Row],[Média.A]] + (_xlfn.STDEV.S( tabConsumo[[#This Row],[QTD.PENDENTE]]:tabConsumo[[#This Row],[09_23]] ) * 1)</f>
        <v>2252.2714878491997</v>
      </c>
      <c r="V322" s="221">
        <f xml:space="preserve"> tabConsumo[[#This Row],[Média.A]] + (_xlfn.STDEV.S( tabConsumo[[#This Row],[QTD.PENDENTE]]:tabConsumo[[#This Row],[09_23]] ) * 2)</f>
        <v>2877.2096423650664</v>
      </c>
      <c r="W322" s="221">
        <f xml:space="preserve"> tabConsumo[[#This Row],[Média.A]] + (_xlfn.STDEV.S( tabConsumo[[#This Row],[QTD.PENDENTE]]:tabConsumo[[#This Row],[09_23]] ) * 3)</f>
        <v>3502.1477968809331</v>
      </c>
      <c r="X322" s="5">
        <f t="shared" si="10"/>
        <v>2</v>
      </c>
      <c r="Y322">
        <v>1600.6666666666667</v>
      </c>
      <c r="Z322" s="223">
        <f>SUM( tabConsumo[[#This Row],[QTD.PENDENTE]]:tabConsumo[[#This Row],[09_23]] )</f>
        <v>19528</v>
      </c>
      <c r="AA322" s="223">
        <f>LARGE(tabConsumo[[#This Row],[10_22]:[09_23]],1)</f>
        <v>3197</v>
      </c>
      <c r="AB322" s="146" t="s">
        <v>2238</v>
      </c>
      <c r="AC322" s="3" t="s">
        <v>2086</v>
      </c>
    </row>
    <row r="323" spans="1:29" x14ac:dyDescent="0.3">
      <c r="A323" s="4" t="s">
        <v>943</v>
      </c>
      <c r="B323" s="3" t="s">
        <v>31</v>
      </c>
      <c r="C323" s="2">
        <v>12613</v>
      </c>
      <c r="D323" s="2">
        <v>93967</v>
      </c>
      <c r="E323" s="2">
        <v>2125</v>
      </c>
      <c r="F323" s="2">
        <v>0</v>
      </c>
      <c r="G323" s="2">
        <v>0</v>
      </c>
      <c r="H323" s="2">
        <v>120</v>
      </c>
      <c r="I323" s="2">
        <v>1850</v>
      </c>
      <c r="J323" s="2">
        <v>5897</v>
      </c>
      <c r="K323" s="2">
        <v>8747</v>
      </c>
      <c r="L323" s="2">
        <v>5980</v>
      </c>
      <c r="M323" s="2">
        <v>6445</v>
      </c>
      <c r="N323" s="2">
        <v>5539</v>
      </c>
      <c r="O323" s="2">
        <v>5424</v>
      </c>
      <c r="P323" s="2">
        <v>5876</v>
      </c>
      <c r="Q323" s="2">
        <v>5727</v>
      </c>
      <c r="R323" s="238">
        <v>367</v>
      </c>
      <c r="S323" s="219">
        <f t="shared" si="11"/>
        <v>12</v>
      </c>
      <c r="T323" s="220">
        <f>SUM( tabConsumo[[#This Row],[QTD.PENDENTE]]:tabConsumo[[#This Row],[09_23]] ) / tabConsumo[[#This Row],[Div]]</f>
        <v>4477.5</v>
      </c>
      <c r="U323" s="221">
        <f xml:space="preserve"> tabConsumo[[#This Row],[Média.A]] + (_xlfn.STDEV.S( tabConsumo[[#This Row],[QTD.PENDENTE]]:tabConsumo[[#This Row],[09_23]] ) * 1)</f>
        <v>7391.425572760867</v>
      </c>
      <c r="V323" s="221">
        <f xml:space="preserve"> tabConsumo[[#This Row],[Média.A]] + (_xlfn.STDEV.S( tabConsumo[[#This Row],[QTD.PENDENTE]]:tabConsumo[[#This Row],[09_23]] ) * 2)</f>
        <v>10305.351145521734</v>
      </c>
      <c r="W323" s="221">
        <f xml:space="preserve"> tabConsumo[[#This Row],[Média.A]] + (_xlfn.STDEV.S( tabConsumo[[#This Row],[QTD.PENDENTE]]:tabConsumo[[#This Row],[09_23]] ) * 3)</f>
        <v>13219.276718282599</v>
      </c>
      <c r="X323" s="5">
        <f t="shared" ref="X323:X386" si="12" xml:space="preserve"> 2</f>
        <v>2</v>
      </c>
      <c r="Y323">
        <v>4477.5</v>
      </c>
      <c r="Z323" s="223">
        <f>SUM( tabConsumo[[#This Row],[QTD.PENDENTE]]:tabConsumo[[#This Row],[09_23]] )</f>
        <v>53730</v>
      </c>
      <c r="AA323" s="223">
        <f>LARGE(tabConsumo[[#This Row],[10_22]:[09_23]],1)</f>
        <v>8747</v>
      </c>
      <c r="AB323" s="146" t="s">
        <v>2238</v>
      </c>
      <c r="AC323" s="3" t="s">
        <v>2086</v>
      </c>
    </row>
    <row r="324" spans="1:29" x14ac:dyDescent="0.3">
      <c r="A324" s="4" t="s">
        <v>944</v>
      </c>
      <c r="B324" s="3" t="s">
        <v>31</v>
      </c>
      <c r="C324" s="2">
        <v>12614</v>
      </c>
      <c r="D324" s="2">
        <v>0</v>
      </c>
      <c r="E324" s="2">
        <v>2172</v>
      </c>
      <c r="F324" s="2">
        <v>3415</v>
      </c>
      <c r="G324" s="2">
        <v>3705</v>
      </c>
      <c r="H324" s="2">
        <v>2418</v>
      </c>
      <c r="I324" s="2">
        <v>1000</v>
      </c>
      <c r="J324" s="2">
        <v>2260</v>
      </c>
      <c r="K324" s="2">
        <v>8884</v>
      </c>
      <c r="L324" s="2">
        <v>3310</v>
      </c>
      <c r="M324" s="2">
        <v>3690</v>
      </c>
      <c r="N324" s="2">
        <v>1977</v>
      </c>
      <c r="O324" s="2">
        <v>1138</v>
      </c>
      <c r="P324" s="2">
        <v>417</v>
      </c>
      <c r="Q324" s="2">
        <v>0</v>
      </c>
      <c r="R324" s="238">
        <v>367</v>
      </c>
      <c r="S324" s="219">
        <f t="shared" si="11"/>
        <v>12</v>
      </c>
      <c r="T324" s="220">
        <f>SUM( tabConsumo[[#This Row],[QTD.PENDENTE]]:tabConsumo[[#This Row],[09_23]] ) / tabConsumo[[#This Row],[Div]]</f>
        <v>2865.5</v>
      </c>
      <c r="U324" s="221">
        <f xml:space="preserve"> tabConsumo[[#This Row],[Média.A]] + (_xlfn.STDEV.S( tabConsumo[[#This Row],[QTD.PENDENTE]]:tabConsumo[[#This Row],[09_23]] ) * 1)</f>
        <v>5101.2448595318465</v>
      </c>
      <c r="V324" s="221">
        <f xml:space="preserve"> tabConsumo[[#This Row],[Média.A]] + (_xlfn.STDEV.S( tabConsumo[[#This Row],[QTD.PENDENTE]]:tabConsumo[[#This Row],[09_23]] ) * 2)</f>
        <v>7336.989719063693</v>
      </c>
      <c r="W324" s="221">
        <f xml:space="preserve"> tabConsumo[[#This Row],[Média.A]] + (_xlfn.STDEV.S( tabConsumo[[#This Row],[QTD.PENDENTE]]:tabConsumo[[#This Row],[09_23]] ) * 3)</f>
        <v>9572.7345785955404</v>
      </c>
      <c r="X324" s="5">
        <f t="shared" si="12"/>
        <v>2</v>
      </c>
      <c r="Y324">
        <v>2736.5</v>
      </c>
      <c r="Z324" s="223">
        <f>SUM( tabConsumo[[#This Row],[QTD.PENDENTE]]:tabConsumo[[#This Row],[09_23]] )</f>
        <v>34386</v>
      </c>
      <c r="AA324" s="223">
        <f>LARGE(tabConsumo[[#This Row],[10_22]:[09_23]],1)</f>
        <v>8884</v>
      </c>
      <c r="AB324" s="146" t="s">
        <v>2241</v>
      </c>
      <c r="AC324" s="3" t="s">
        <v>2086</v>
      </c>
    </row>
    <row r="325" spans="1:29" x14ac:dyDescent="0.3">
      <c r="A325" s="4" t="s">
        <v>365</v>
      </c>
      <c r="B325" s="3" t="s">
        <v>263</v>
      </c>
      <c r="C325" s="2">
        <v>16737</v>
      </c>
      <c r="D325" s="2">
        <v>0</v>
      </c>
      <c r="F325" s="2">
        <v>0</v>
      </c>
      <c r="G325" s="2">
        <v>2</v>
      </c>
      <c r="H325" s="2">
        <v>0</v>
      </c>
      <c r="I325" s="2">
        <v>0</v>
      </c>
      <c r="J325" s="2">
        <v>0</v>
      </c>
      <c r="K325" s="2">
        <v>0</v>
      </c>
      <c r="L325" s="2">
        <v>0</v>
      </c>
      <c r="M325" s="2">
        <v>0</v>
      </c>
      <c r="N325" s="2">
        <v>0</v>
      </c>
      <c r="O325" s="2">
        <v>0</v>
      </c>
      <c r="P325" s="2">
        <v>0</v>
      </c>
      <c r="Q325" s="2">
        <v>0</v>
      </c>
      <c r="R325" s="238">
        <v>367</v>
      </c>
      <c r="S325" s="219">
        <f t="shared" si="11"/>
        <v>12</v>
      </c>
      <c r="T325" s="220">
        <f>SUM( tabConsumo[[#This Row],[QTD.PENDENTE]]:tabConsumo[[#This Row],[09_23]] ) / tabConsumo[[#This Row],[Div]]</f>
        <v>0.16666666666666666</v>
      </c>
      <c r="U325" s="221">
        <f xml:space="preserve"> tabConsumo[[#This Row],[Média.A]] + (_xlfn.STDEV.S( tabConsumo[[#This Row],[QTD.PENDENTE]]:tabConsumo[[#This Row],[09_23]] ) * 1)</f>
        <v>0.74401693585629236</v>
      </c>
      <c r="V325" s="221">
        <f xml:space="preserve"> tabConsumo[[#This Row],[Média.A]] + (_xlfn.STDEV.S( tabConsumo[[#This Row],[QTD.PENDENTE]]:tabConsumo[[#This Row],[09_23]] ) * 2)</f>
        <v>1.3213672050459182</v>
      </c>
      <c r="W325" s="221">
        <f xml:space="preserve"> tabConsumo[[#This Row],[Média.A]] + (_xlfn.STDEV.S( tabConsumo[[#This Row],[QTD.PENDENTE]]:tabConsumo[[#This Row],[09_23]] ) * 3)</f>
        <v>1.8987174742355439</v>
      </c>
      <c r="X325" s="5">
        <f t="shared" si="12"/>
        <v>2</v>
      </c>
      <c r="Y325">
        <v>8.3333333333333329E-2</v>
      </c>
      <c r="Z325" s="223">
        <f>SUM( tabConsumo[[#This Row],[QTD.PENDENTE]]:tabConsumo[[#This Row],[09_23]] )</f>
        <v>2</v>
      </c>
      <c r="AA325" s="223">
        <f>LARGE(tabConsumo[[#This Row],[10_22]:[09_23]],1)</f>
        <v>2</v>
      </c>
      <c r="AB325" s="146" t="s">
        <v>2243</v>
      </c>
      <c r="AC325" s="3" t="s">
        <v>2086</v>
      </c>
    </row>
    <row r="326" spans="1:29" x14ac:dyDescent="0.3">
      <c r="A326" s="4" t="s">
        <v>364</v>
      </c>
      <c r="B326" s="3" t="s">
        <v>263</v>
      </c>
      <c r="C326" s="2">
        <v>16736</v>
      </c>
      <c r="D326" s="2">
        <v>0</v>
      </c>
      <c r="F326" s="2">
        <v>0</v>
      </c>
      <c r="G326" s="2">
        <v>1</v>
      </c>
      <c r="H326" s="2">
        <v>0</v>
      </c>
      <c r="I326" s="2">
        <v>0</v>
      </c>
      <c r="J326" s="2">
        <v>0</v>
      </c>
      <c r="K326" s="2">
        <v>0</v>
      </c>
      <c r="L326" s="2">
        <v>0</v>
      </c>
      <c r="M326" s="2">
        <v>0</v>
      </c>
      <c r="N326" s="2">
        <v>0</v>
      </c>
      <c r="O326" s="2">
        <v>0</v>
      </c>
      <c r="P326" s="2">
        <v>0</v>
      </c>
      <c r="Q326" s="2">
        <v>0</v>
      </c>
      <c r="R326" s="238">
        <v>367</v>
      </c>
      <c r="S326" s="219">
        <f t="shared" si="11"/>
        <v>12</v>
      </c>
      <c r="T326" s="220">
        <f>SUM( tabConsumo[[#This Row],[QTD.PENDENTE]]:tabConsumo[[#This Row],[09_23]] ) / tabConsumo[[#This Row],[Div]]</f>
        <v>8.3333333333333329E-2</v>
      </c>
      <c r="U326" s="221">
        <f xml:space="preserve"> tabConsumo[[#This Row],[Média.A]] + (_xlfn.STDEV.S( tabConsumo[[#This Row],[QTD.PENDENTE]]:tabConsumo[[#This Row],[09_23]] ) * 1)</f>
        <v>0.37200846792814618</v>
      </c>
      <c r="V326" s="221">
        <f xml:space="preserve"> tabConsumo[[#This Row],[Média.A]] + (_xlfn.STDEV.S( tabConsumo[[#This Row],[QTD.PENDENTE]]:tabConsumo[[#This Row],[09_23]] ) * 2)</f>
        <v>0.6606836025229591</v>
      </c>
      <c r="W326" s="221">
        <f xml:space="preserve"> tabConsumo[[#This Row],[Média.A]] + (_xlfn.STDEV.S( tabConsumo[[#This Row],[QTD.PENDENTE]]:tabConsumo[[#This Row],[09_23]] ) * 3)</f>
        <v>0.94935873711777197</v>
      </c>
      <c r="X326" s="5">
        <f t="shared" si="12"/>
        <v>2</v>
      </c>
      <c r="Y326">
        <v>0</v>
      </c>
      <c r="Z326" s="223">
        <f>SUM( tabConsumo[[#This Row],[QTD.PENDENTE]]:tabConsumo[[#This Row],[09_23]] )</f>
        <v>1</v>
      </c>
      <c r="AA326" s="223">
        <f>LARGE(tabConsumo[[#This Row],[10_22]:[09_23]],1)</f>
        <v>1</v>
      </c>
      <c r="AB326" s="146" t="s">
        <v>2243</v>
      </c>
      <c r="AC326" s="3" t="s">
        <v>2086</v>
      </c>
    </row>
    <row r="327" spans="1:29" x14ac:dyDescent="0.3">
      <c r="A327" s="4" t="s">
        <v>1406</v>
      </c>
      <c r="B327" s="3" t="s">
        <v>267</v>
      </c>
      <c r="C327" s="2">
        <v>72222</v>
      </c>
      <c r="D327" s="2">
        <v>1582</v>
      </c>
      <c r="F327" s="2">
        <v>7</v>
      </c>
      <c r="G327" s="2">
        <v>21</v>
      </c>
      <c r="H327" s="2">
        <v>12</v>
      </c>
      <c r="I327" s="2">
        <v>12</v>
      </c>
      <c r="J327" s="2">
        <v>18</v>
      </c>
      <c r="K327" s="2">
        <v>44</v>
      </c>
      <c r="L327" s="2">
        <v>27</v>
      </c>
      <c r="M327" s="2">
        <v>23</v>
      </c>
      <c r="N327" s="2">
        <v>16</v>
      </c>
      <c r="O327" s="2">
        <v>15</v>
      </c>
      <c r="P327" s="2">
        <v>21</v>
      </c>
      <c r="Q327" s="2">
        <v>14</v>
      </c>
      <c r="R327" s="238">
        <v>367</v>
      </c>
      <c r="S327" s="219">
        <f t="shared" si="11"/>
        <v>12</v>
      </c>
      <c r="T327" s="220">
        <f>SUM( tabConsumo[[#This Row],[QTD.PENDENTE]]:tabConsumo[[#This Row],[09_23]] ) / tabConsumo[[#This Row],[Div]]</f>
        <v>19.166666666666668</v>
      </c>
      <c r="U327" s="221">
        <f xml:space="preserve"> tabConsumo[[#This Row],[Média.A]] + (_xlfn.STDEV.S( tabConsumo[[#This Row],[QTD.PENDENTE]]:tabConsumo[[#This Row],[09_23]] ) * 1)</f>
        <v>28.728269169607401</v>
      </c>
      <c r="V327" s="221">
        <f xml:space="preserve"> tabConsumo[[#This Row],[Média.A]] + (_xlfn.STDEV.S( tabConsumo[[#This Row],[QTD.PENDENTE]]:tabConsumo[[#This Row],[09_23]] ) * 2)</f>
        <v>38.289871672548131</v>
      </c>
      <c r="W327" s="221">
        <f xml:space="preserve"> tabConsumo[[#This Row],[Média.A]] + (_xlfn.STDEV.S( tabConsumo[[#This Row],[QTD.PENDENTE]]:tabConsumo[[#This Row],[09_23]] ) * 3)</f>
        <v>47.85147417548886</v>
      </c>
      <c r="X327" s="5">
        <f t="shared" si="12"/>
        <v>2</v>
      </c>
      <c r="Y327">
        <v>18.666666666666668</v>
      </c>
      <c r="Z327" s="223">
        <f>SUM( tabConsumo[[#This Row],[QTD.PENDENTE]]:tabConsumo[[#This Row],[09_23]] )</f>
        <v>230</v>
      </c>
      <c r="AA327" s="223">
        <f>LARGE(tabConsumo[[#This Row],[10_22]:[09_23]],1)</f>
        <v>44</v>
      </c>
      <c r="AB327" s="146" t="s">
        <v>2238</v>
      </c>
      <c r="AC327" s="3" t="s">
        <v>2086</v>
      </c>
    </row>
    <row r="328" spans="1:29" x14ac:dyDescent="0.3">
      <c r="A328" s="4" t="s">
        <v>1836</v>
      </c>
      <c r="B328" s="3" t="s">
        <v>267</v>
      </c>
      <c r="C328" s="2">
        <v>132407</v>
      </c>
      <c r="D328" s="2">
        <v>2247</v>
      </c>
      <c r="F328" s="2">
        <v>6</v>
      </c>
      <c r="G328" s="2">
        <v>17</v>
      </c>
      <c r="H328" s="2">
        <v>4</v>
      </c>
      <c r="I328" s="2">
        <v>10</v>
      </c>
      <c r="J328" s="2">
        <v>18</v>
      </c>
      <c r="K328" s="2">
        <v>36</v>
      </c>
      <c r="L328" s="2">
        <v>22</v>
      </c>
      <c r="M328" s="2">
        <v>19</v>
      </c>
      <c r="N328" s="2">
        <v>14</v>
      </c>
      <c r="O328" s="2">
        <v>12</v>
      </c>
      <c r="P328" s="2">
        <v>21</v>
      </c>
      <c r="Q328" s="2">
        <v>14</v>
      </c>
      <c r="R328" s="238">
        <v>42773</v>
      </c>
      <c r="S328" s="219">
        <v>12</v>
      </c>
      <c r="T328" s="220">
        <f>SUM( tabConsumo[[#This Row],[QTD.PENDENTE]]:tabConsumo[[#This Row],[09_23]] ) / tabConsumo[[#This Row],[Div]]</f>
        <v>16.083333333333332</v>
      </c>
      <c r="U328" s="221">
        <f xml:space="preserve"> tabConsumo[[#This Row],[Média.A]] + (_xlfn.STDEV.S( tabConsumo[[#This Row],[QTD.PENDENTE]]:tabConsumo[[#This Row],[09_23]] ) * 1)</f>
        <v>24.498237139117808</v>
      </c>
      <c r="V328" s="221">
        <f xml:space="preserve"> tabConsumo[[#This Row],[Média.A]] + (_xlfn.STDEV.S( tabConsumo[[#This Row],[QTD.PENDENTE]]:tabConsumo[[#This Row],[09_23]] ) * 2)</f>
        <v>32.913140944902281</v>
      </c>
      <c r="W328" s="221">
        <f xml:space="preserve"> tabConsumo[[#This Row],[Média.A]] + (_xlfn.STDEV.S( tabConsumo[[#This Row],[QTD.PENDENTE]]:tabConsumo[[#This Row],[09_23]] ) * 3)</f>
        <v>41.328044750686757</v>
      </c>
      <c r="X328" s="5">
        <f t="shared" si="12"/>
        <v>2</v>
      </c>
      <c r="Y328">
        <v>15.75</v>
      </c>
      <c r="Z328" s="223">
        <f>SUM( tabConsumo[[#This Row],[QTD.PENDENTE]]:tabConsumo[[#This Row],[09_23]] )</f>
        <v>193</v>
      </c>
      <c r="AA328" s="223">
        <f>LARGE(tabConsumo[[#This Row],[10_22]:[09_23]],1)</f>
        <v>36</v>
      </c>
      <c r="AB328" s="146" t="s">
        <v>2238</v>
      </c>
      <c r="AC328" s="3" t="s">
        <v>2086</v>
      </c>
    </row>
    <row r="329" spans="1:29" x14ac:dyDescent="0.3">
      <c r="A329" s="4" t="s">
        <v>1835</v>
      </c>
      <c r="B329" s="3" t="s">
        <v>267</v>
      </c>
      <c r="C329" s="2">
        <v>132405</v>
      </c>
      <c r="D329" s="2">
        <v>2248</v>
      </c>
      <c r="F329" s="2">
        <v>7</v>
      </c>
      <c r="G329" s="2">
        <v>18</v>
      </c>
      <c r="H329" s="2">
        <v>7</v>
      </c>
      <c r="I329" s="2">
        <v>12</v>
      </c>
      <c r="J329" s="2">
        <v>15</v>
      </c>
      <c r="K329" s="2">
        <v>31</v>
      </c>
      <c r="L329" s="2">
        <v>23</v>
      </c>
      <c r="M329" s="2">
        <v>21</v>
      </c>
      <c r="N329" s="2">
        <v>16</v>
      </c>
      <c r="O329" s="2">
        <v>17</v>
      </c>
      <c r="P329" s="2">
        <v>18</v>
      </c>
      <c r="Q329" s="2">
        <v>10</v>
      </c>
      <c r="R329" s="238">
        <v>42773</v>
      </c>
      <c r="S329" s="219">
        <v>12</v>
      </c>
      <c r="T329" s="220">
        <f>SUM( tabConsumo[[#This Row],[QTD.PENDENTE]]:tabConsumo[[#This Row],[09_23]] ) / tabConsumo[[#This Row],[Div]]</f>
        <v>16.25</v>
      </c>
      <c r="U329" s="221">
        <f xml:space="preserve"> tabConsumo[[#This Row],[Média.A]] + (_xlfn.STDEV.S( tabConsumo[[#This Row],[QTD.PENDENTE]]:tabConsumo[[#This Row],[09_23]] ) * 1)</f>
        <v>23.140375369112537</v>
      </c>
      <c r="V329" s="221">
        <f xml:space="preserve"> tabConsumo[[#This Row],[Média.A]] + (_xlfn.STDEV.S( tabConsumo[[#This Row],[QTD.PENDENTE]]:tabConsumo[[#This Row],[09_23]] ) * 2)</f>
        <v>30.030750738225073</v>
      </c>
      <c r="W329" s="221">
        <f xml:space="preserve"> tabConsumo[[#This Row],[Média.A]] + (_xlfn.STDEV.S( tabConsumo[[#This Row],[QTD.PENDENTE]]:tabConsumo[[#This Row],[09_23]] ) * 3)</f>
        <v>36.921126107337614</v>
      </c>
      <c r="X329" s="5">
        <f t="shared" si="12"/>
        <v>2</v>
      </c>
      <c r="Y329">
        <v>16.166666666666668</v>
      </c>
      <c r="Z329" s="223">
        <f>SUM( tabConsumo[[#This Row],[QTD.PENDENTE]]:tabConsumo[[#This Row],[09_23]] )</f>
        <v>195</v>
      </c>
      <c r="AA329" s="223">
        <f>LARGE(tabConsumo[[#This Row],[10_22]:[09_23]],1)</f>
        <v>31</v>
      </c>
      <c r="AB329" s="146" t="s">
        <v>2238</v>
      </c>
      <c r="AC329" s="3" t="s">
        <v>2086</v>
      </c>
    </row>
    <row r="330" spans="1:29" x14ac:dyDescent="0.3">
      <c r="A330" s="4" t="s">
        <v>1061</v>
      </c>
      <c r="B330" s="3" t="s">
        <v>263</v>
      </c>
      <c r="C330" s="2">
        <v>14154</v>
      </c>
      <c r="D330" s="2">
        <v>3297</v>
      </c>
      <c r="E330" s="2">
        <v>872</v>
      </c>
      <c r="F330" s="2">
        <v>902</v>
      </c>
      <c r="G330" s="2">
        <v>839</v>
      </c>
      <c r="H330" s="2">
        <v>615</v>
      </c>
      <c r="I330" s="2">
        <v>434</v>
      </c>
      <c r="J330" s="2">
        <v>734</v>
      </c>
      <c r="K330" s="2">
        <v>3714</v>
      </c>
      <c r="L330" s="2">
        <v>177</v>
      </c>
      <c r="M330" s="2">
        <v>0</v>
      </c>
      <c r="N330" s="2">
        <v>537</v>
      </c>
      <c r="O330" s="2">
        <v>1024</v>
      </c>
      <c r="P330" s="2">
        <v>1164</v>
      </c>
      <c r="Q330" s="2">
        <v>745</v>
      </c>
      <c r="R330" s="238">
        <v>367</v>
      </c>
      <c r="S330" s="219">
        <f xml:space="preserve"> 12</f>
        <v>12</v>
      </c>
      <c r="T330" s="220">
        <f>SUM( tabConsumo[[#This Row],[QTD.PENDENTE]]:tabConsumo[[#This Row],[09_23]] ) / tabConsumo[[#This Row],[Div]]</f>
        <v>979.75</v>
      </c>
      <c r="U330" s="221">
        <f xml:space="preserve"> tabConsumo[[#This Row],[Média.A]] + (_xlfn.STDEV.S( tabConsumo[[#This Row],[QTD.PENDENTE]]:tabConsumo[[#This Row],[09_23]] ) * 1)</f>
        <v>1884.4777250146899</v>
      </c>
      <c r="V330" s="221">
        <f xml:space="preserve"> tabConsumo[[#This Row],[Média.A]] + (_xlfn.STDEV.S( tabConsumo[[#This Row],[QTD.PENDENTE]]:tabConsumo[[#This Row],[09_23]] ) * 2)</f>
        <v>2789.2054500293798</v>
      </c>
      <c r="W330" s="221">
        <f xml:space="preserve"> tabConsumo[[#This Row],[Média.A]] + (_xlfn.STDEV.S( tabConsumo[[#This Row],[QTD.PENDENTE]]:tabConsumo[[#This Row],[09_23]] ) * 3)</f>
        <v>3693.9331750440697</v>
      </c>
      <c r="X330" s="5">
        <f t="shared" si="12"/>
        <v>2</v>
      </c>
      <c r="Y330">
        <v>902.66666666666663</v>
      </c>
      <c r="Z330" s="223">
        <f>SUM( tabConsumo[[#This Row],[QTD.PENDENTE]]:tabConsumo[[#This Row],[09_23]] )</f>
        <v>11757</v>
      </c>
      <c r="AA330" s="223">
        <f>LARGE(tabConsumo[[#This Row],[10_22]:[09_23]],1)</f>
        <v>3714</v>
      </c>
      <c r="AB330" s="146" t="s">
        <v>2238</v>
      </c>
      <c r="AC330" s="3" t="s">
        <v>2086</v>
      </c>
    </row>
    <row r="331" spans="1:29" x14ac:dyDescent="0.3">
      <c r="A331" s="4" t="s">
        <v>1862</v>
      </c>
      <c r="B331" s="3" t="s">
        <v>263</v>
      </c>
      <c r="C331" s="2">
        <v>133819</v>
      </c>
      <c r="D331" s="2">
        <v>370</v>
      </c>
      <c r="E331" s="2">
        <v>22</v>
      </c>
      <c r="F331" s="2">
        <v>32</v>
      </c>
      <c r="G331" s="2">
        <v>9</v>
      </c>
      <c r="H331" s="2">
        <v>33</v>
      </c>
      <c r="I331" s="2">
        <v>19</v>
      </c>
      <c r="J331" s="2">
        <v>30</v>
      </c>
      <c r="K331" s="2">
        <v>55</v>
      </c>
      <c r="L331" s="2">
        <v>61</v>
      </c>
      <c r="M331" s="2">
        <v>20</v>
      </c>
      <c r="N331" s="2">
        <v>15</v>
      </c>
      <c r="O331" s="2">
        <v>50</v>
      </c>
      <c r="P331" s="2">
        <v>100</v>
      </c>
      <c r="Q331" s="2">
        <v>28</v>
      </c>
      <c r="R331" s="238">
        <v>43052</v>
      </c>
      <c r="S331" s="219">
        <v>12</v>
      </c>
      <c r="T331" s="220">
        <f>SUM( tabConsumo[[#This Row],[QTD.PENDENTE]]:tabConsumo[[#This Row],[09_23]] ) / tabConsumo[[#This Row],[Div]]</f>
        <v>39.5</v>
      </c>
      <c r="U331" s="221">
        <f xml:space="preserve"> tabConsumo[[#This Row],[Média.A]] + (_xlfn.STDEV.S( tabConsumo[[#This Row],[QTD.PENDENTE]]:tabConsumo[[#This Row],[09_23]] ) * 1)</f>
        <v>64.183379646418572</v>
      </c>
      <c r="V331" s="221">
        <f xml:space="preserve"> tabConsumo[[#This Row],[Média.A]] + (_xlfn.STDEV.S( tabConsumo[[#This Row],[QTD.PENDENTE]]:tabConsumo[[#This Row],[09_23]] ) * 2)</f>
        <v>88.866759292837145</v>
      </c>
      <c r="W331" s="221">
        <f xml:space="preserve"> tabConsumo[[#This Row],[Média.A]] + (_xlfn.STDEV.S( tabConsumo[[#This Row],[QTD.PENDENTE]]:tabConsumo[[#This Row],[09_23]] ) * 3)</f>
        <v>113.55013893925573</v>
      </c>
      <c r="X331" s="5">
        <f t="shared" si="12"/>
        <v>2</v>
      </c>
      <c r="Y331">
        <v>38.5</v>
      </c>
      <c r="Z331" s="223">
        <f>SUM( tabConsumo[[#This Row],[QTD.PENDENTE]]:tabConsumo[[#This Row],[09_23]] )</f>
        <v>474</v>
      </c>
      <c r="AA331" s="223">
        <f>LARGE(tabConsumo[[#This Row],[10_22]:[09_23]],1)</f>
        <v>100</v>
      </c>
      <c r="AB331" s="146" t="s">
        <v>2238</v>
      </c>
      <c r="AC331" s="3" t="s">
        <v>2086</v>
      </c>
    </row>
    <row r="332" spans="1:29" x14ac:dyDescent="0.3">
      <c r="A332" s="4" t="s">
        <v>1859</v>
      </c>
      <c r="B332" s="3" t="s">
        <v>31</v>
      </c>
      <c r="C332" s="2">
        <v>133788</v>
      </c>
      <c r="D332" s="2">
        <v>385</v>
      </c>
      <c r="F332" s="2">
        <v>35</v>
      </c>
      <c r="G332" s="2">
        <v>34</v>
      </c>
      <c r="H332" s="2">
        <v>61</v>
      </c>
      <c r="I332" s="2">
        <v>20</v>
      </c>
      <c r="J332" s="2">
        <v>718</v>
      </c>
      <c r="K332" s="2">
        <v>227</v>
      </c>
      <c r="L332" s="2">
        <v>200</v>
      </c>
      <c r="M332" s="2">
        <v>112</v>
      </c>
      <c r="N332" s="2">
        <v>123</v>
      </c>
      <c r="O332" s="2">
        <v>50</v>
      </c>
      <c r="P332" s="2">
        <v>138</v>
      </c>
      <c r="Q332" s="2">
        <v>74</v>
      </c>
      <c r="R332" s="238">
        <v>43038</v>
      </c>
      <c r="S332" s="219">
        <v>12</v>
      </c>
      <c r="T332" s="220">
        <f>SUM( tabConsumo[[#This Row],[QTD.PENDENTE]]:tabConsumo[[#This Row],[09_23]] ) / tabConsumo[[#This Row],[Div]]</f>
        <v>149.33333333333334</v>
      </c>
      <c r="U332" s="221">
        <f xml:space="preserve"> tabConsumo[[#This Row],[Média.A]] + (_xlfn.STDEV.S( tabConsumo[[#This Row],[QTD.PENDENTE]]:tabConsumo[[#This Row],[09_23]] ) * 1)</f>
        <v>340.17897935665923</v>
      </c>
      <c r="V332" s="221">
        <f xml:space="preserve"> tabConsumo[[#This Row],[Média.A]] + (_xlfn.STDEV.S( tabConsumo[[#This Row],[QTD.PENDENTE]]:tabConsumo[[#This Row],[09_23]] ) * 2)</f>
        <v>531.02462537998508</v>
      </c>
      <c r="W332" s="221">
        <f xml:space="preserve"> tabConsumo[[#This Row],[Média.A]] + (_xlfn.STDEV.S( tabConsumo[[#This Row],[QTD.PENDENTE]]:tabConsumo[[#This Row],[09_23]] ) * 3)</f>
        <v>721.87027140331099</v>
      </c>
      <c r="X332" s="5">
        <f t="shared" si="12"/>
        <v>2</v>
      </c>
      <c r="Y332">
        <v>133.75</v>
      </c>
      <c r="Z332" s="223">
        <f>SUM( tabConsumo[[#This Row],[QTD.PENDENTE]]:tabConsumo[[#This Row],[09_23]] )</f>
        <v>1792</v>
      </c>
      <c r="AA332" s="223">
        <f>LARGE(tabConsumo[[#This Row],[10_22]:[09_23]],1)</f>
        <v>718</v>
      </c>
      <c r="AB332" s="146" t="s">
        <v>2238</v>
      </c>
      <c r="AC332" s="3" t="s">
        <v>2086</v>
      </c>
    </row>
    <row r="333" spans="1:29" x14ac:dyDescent="0.3">
      <c r="A333" s="4" t="s">
        <v>1860</v>
      </c>
      <c r="B333" s="3" t="s">
        <v>31</v>
      </c>
      <c r="C333" s="2">
        <v>133790</v>
      </c>
      <c r="D333" s="2">
        <v>1493</v>
      </c>
      <c r="F333" s="2">
        <v>35</v>
      </c>
      <c r="G333" s="2">
        <v>34</v>
      </c>
      <c r="H333" s="2">
        <v>61</v>
      </c>
      <c r="I333" s="2">
        <v>20</v>
      </c>
      <c r="J333" s="2">
        <v>114</v>
      </c>
      <c r="K333" s="2">
        <v>245</v>
      </c>
      <c r="L333" s="2">
        <v>190</v>
      </c>
      <c r="M333" s="2">
        <v>115</v>
      </c>
      <c r="N333" s="2">
        <v>123</v>
      </c>
      <c r="O333" s="2">
        <v>50</v>
      </c>
      <c r="P333" s="2">
        <v>148</v>
      </c>
      <c r="Q333" s="2">
        <v>74</v>
      </c>
      <c r="R333" s="238">
        <v>43038</v>
      </c>
      <c r="S333" s="219">
        <v>12</v>
      </c>
      <c r="T333" s="220">
        <f>SUM( tabConsumo[[#This Row],[QTD.PENDENTE]]:tabConsumo[[#This Row],[09_23]] ) / tabConsumo[[#This Row],[Div]]</f>
        <v>100.75</v>
      </c>
      <c r="U333" s="221">
        <f xml:space="preserve"> tabConsumo[[#This Row],[Média.A]] + (_xlfn.STDEV.S( tabConsumo[[#This Row],[QTD.PENDENTE]]:tabConsumo[[#This Row],[09_23]] ) * 1)</f>
        <v>169.53837771812118</v>
      </c>
      <c r="V333" s="221">
        <f xml:space="preserve"> tabConsumo[[#This Row],[Média.A]] + (_xlfn.STDEV.S( tabConsumo[[#This Row],[QTD.PENDENTE]]:tabConsumo[[#This Row],[09_23]] ) * 2)</f>
        <v>238.32675543624234</v>
      </c>
      <c r="W333" s="221">
        <f xml:space="preserve"> tabConsumo[[#This Row],[Média.A]] + (_xlfn.STDEV.S( tabConsumo[[#This Row],[QTD.PENDENTE]]:tabConsumo[[#This Row],[09_23]] ) * 3)</f>
        <v>307.11513315436349</v>
      </c>
      <c r="X333" s="5">
        <f t="shared" si="12"/>
        <v>2</v>
      </c>
      <c r="Y333">
        <v>100.16666666666667</v>
      </c>
      <c r="Z333" s="223">
        <f>SUM( tabConsumo[[#This Row],[QTD.PENDENTE]]:tabConsumo[[#This Row],[09_23]] )</f>
        <v>1209</v>
      </c>
      <c r="AA333" s="223">
        <f>LARGE(tabConsumo[[#This Row],[10_22]:[09_23]],1)</f>
        <v>245</v>
      </c>
      <c r="AB333" s="146" t="s">
        <v>2238</v>
      </c>
      <c r="AC333" s="3" t="s">
        <v>2086</v>
      </c>
    </row>
    <row r="334" spans="1:29" x14ac:dyDescent="0.3">
      <c r="A334" s="4" t="s">
        <v>2215</v>
      </c>
      <c r="B334" s="3" t="s">
        <v>263</v>
      </c>
      <c r="C334" s="2">
        <v>46420</v>
      </c>
      <c r="D334" s="2">
        <v>0</v>
      </c>
      <c r="E334" s="2">
        <v>14</v>
      </c>
      <c r="F334" s="2">
        <v>134</v>
      </c>
      <c r="G334" s="2">
        <v>128</v>
      </c>
      <c r="H334" s="2">
        <v>151</v>
      </c>
      <c r="I334" s="2">
        <v>109</v>
      </c>
      <c r="J334" s="2">
        <v>168</v>
      </c>
      <c r="K334" s="2">
        <v>259</v>
      </c>
      <c r="L334" s="2">
        <v>173</v>
      </c>
      <c r="M334" s="2">
        <v>173</v>
      </c>
      <c r="N334" s="2">
        <v>159</v>
      </c>
      <c r="O334" s="2">
        <v>151</v>
      </c>
      <c r="P334" s="2">
        <v>144</v>
      </c>
      <c r="Q334" s="2">
        <v>0</v>
      </c>
      <c r="R334" s="238">
        <v>367</v>
      </c>
      <c r="S334" s="219">
        <f xml:space="preserve"> 12</f>
        <v>12</v>
      </c>
      <c r="T334" s="220">
        <f>SUM( tabConsumo[[#This Row],[QTD.PENDENTE]]:tabConsumo[[#This Row],[09_23]] ) / tabConsumo[[#This Row],[Div]]</f>
        <v>146.91666666666666</v>
      </c>
      <c r="U334" s="221">
        <f xml:space="preserve"> tabConsumo[[#This Row],[Média.A]] + (_xlfn.STDEV.S( tabConsumo[[#This Row],[QTD.PENDENTE]]:tabConsumo[[#This Row],[09_23]] ) * 1)</f>
        <v>214.06642276145635</v>
      </c>
      <c r="V334" s="221">
        <f xml:space="preserve"> tabConsumo[[#This Row],[Média.A]] + (_xlfn.STDEV.S( tabConsumo[[#This Row],[QTD.PENDENTE]]:tabConsumo[[#This Row],[09_23]] ) * 2)</f>
        <v>281.21617885624607</v>
      </c>
      <c r="W334" s="221">
        <f xml:space="preserve"> tabConsumo[[#This Row],[Média.A]] + (_xlfn.STDEV.S( tabConsumo[[#This Row],[QTD.PENDENTE]]:tabConsumo[[#This Row],[09_23]] ) * 3)</f>
        <v>348.36593495103574</v>
      </c>
      <c r="X334" s="5">
        <f t="shared" si="12"/>
        <v>2</v>
      </c>
      <c r="Y334">
        <v>146.91666666666666</v>
      </c>
      <c r="Z334" s="223">
        <f>SUM( tabConsumo[[#This Row],[QTD.PENDENTE]]:tabConsumo[[#This Row],[09_23]] )</f>
        <v>1763</v>
      </c>
      <c r="AA334" s="223">
        <f>LARGE(tabConsumo[[#This Row],[10_22]:[09_23]],1)</f>
        <v>259</v>
      </c>
      <c r="AB334" s="146" t="s">
        <v>2241</v>
      </c>
      <c r="AC334" s="3" t="s">
        <v>2086</v>
      </c>
    </row>
    <row r="335" spans="1:29" x14ac:dyDescent="0.3">
      <c r="A335" s="4" t="s">
        <v>2030</v>
      </c>
      <c r="B335" s="3" t="s">
        <v>263</v>
      </c>
      <c r="C335" s="2">
        <v>140933</v>
      </c>
      <c r="D335" s="2">
        <v>567</v>
      </c>
      <c r="F335" s="2">
        <v>0</v>
      </c>
      <c r="G335" s="2">
        <v>0</v>
      </c>
      <c r="H335" s="2">
        <v>0</v>
      </c>
      <c r="I335" s="2">
        <v>0</v>
      </c>
      <c r="J335" s="2">
        <v>0</v>
      </c>
      <c r="K335" s="2">
        <v>3</v>
      </c>
      <c r="L335" s="2">
        <v>24</v>
      </c>
      <c r="M335" s="2">
        <v>10</v>
      </c>
      <c r="N335" s="2">
        <v>29</v>
      </c>
      <c r="O335" s="2">
        <v>0</v>
      </c>
      <c r="P335" s="2">
        <v>82</v>
      </c>
      <c r="Q335" s="2">
        <v>164</v>
      </c>
      <c r="R335" s="238">
        <v>44294</v>
      </c>
      <c r="S335" s="219">
        <v>12</v>
      </c>
      <c r="T335" s="220">
        <f>SUM( tabConsumo[[#This Row],[QTD.PENDENTE]]:tabConsumo[[#This Row],[09_23]] ) / tabConsumo[[#This Row],[Div]]</f>
        <v>26</v>
      </c>
      <c r="U335" s="221">
        <f xml:space="preserve"> tabConsumo[[#This Row],[Média.A]] + (_xlfn.STDEV.S( tabConsumo[[#This Row],[QTD.PENDENTE]]:tabConsumo[[#This Row],[09_23]] ) * 1)</f>
        <v>75.574553589884829</v>
      </c>
      <c r="V335" s="221">
        <f xml:space="preserve"> tabConsumo[[#This Row],[Média.A]] + (_xlfn.STDEV.S( tabConsumo[[#This Row],[QTD.PENDENTE]]:tabConsumo[[#This Row],[09_23]] ) * 2)</f>
        <v>125.14910717976967</v>
      </c>
      <c r="W335" s="221">
        <f xml:space="preserve"> tabConsumo[[#This Row],[Média.A]] + (_xlfn.STDEV.S( tabConsumo[[#This Row],[QTD.PENDENTE]]:tabConsumo[[#This Row],[09_23]] ) * 3)</f>
        <v>174.72366076965451</v>
      </c>
      <c r="X335" s="5">
        <f t="shared" si="12"/>
        <v>2</v>
      </c>
      <c r="Y335">
        <v>22.75</v>
      </c>
      <c r="Z335" s="223">
        <f>SUM( tabConsumo[[#This Row],[QTD.PENDENTE]]:tabConsumo[[#This Row],[09_23]] )</f>
        <v>312</v>
      </c>
      <c r="AA335" s="223">
        <f>LARGE(tabConsumo[[#This Row],[10_22]:[09_23]],1)</f>
        <v>164</v>
      </c>
      <c r="AB335" s="146" t="s">
        <v>2238</v>
      </c>
      <c r="AC335" s="3" t="s">
        <v>2086</v>
      </c>
    </row>
    <row r="336" spans="1:29" x14ac:dyDescent="0.3">
      <c r="A336" s="4" t="s">
        <v>1238</v>
      </c>
      <c r="B336" s="3" t="s">
        <v>267</v>
      </c>
      <c r="C336" s="2">
        <v>29296</v>
      </c>
      <c r="D336" s="2">
        <v>288</v>
      </c>
      <c r="F336" s="2">
        <v>18</v>
      </c>
      <c r="G336" s="2">
        <v>26</v>
      </c>
      <c r="H336" s="2">
        <v>9</v>
      </c>
      <c r="I336" s="2">
        <v>27</v>
      </c>
      <c r="J336" s="2">
        <v>4</v>
      </c>
      <c r="K336" s="2">
        <v>41</v>
      </c>
      <c r="L336" s="2">
        <v>22</v>
      </c>
      <c r="M336" s="2">
        <v>27</v>
      </c>
      <c r="N336" s="2">
        <v>22</v>
      </c>
      <c r="O336" s="2">
        <v>6</v>
      </c>
      <c r="P336" s="2">
        <v>18</v>
      </c>
      <c r="Q336" s="2">
        <v>4</v>
      </c>
      <c r="R336" s="238">
        <v>367</v>
      </c>
      <c r="S336" s="219">
        <f xml:space="preserve"> 12</f>
        <v>12</v>
      </c>
      <c r="T336" s="220">
        <f>SUM( tabConsumo[[#This Row],[QTD.PENDENTE]]:tabConsumo[[#This Row],[09_23]] ) / tabConsumo[[#This Row],[Div]]</f>
        <v>18.666666666666668</v>
      </c>
      <c r="U336" s="221">
        <f xml:space="preserve"> tabConsumo[[#This Row],[Média.A]] + (_xlfn.STDEV.S( tabConsumo[[#This Row],[QTD.PENDENTE]]:tabConsumo[[#This Row],[09_23]] ) * 1)</f>
        <v>29.942814730234971</v>
      </c>
      <c r="V336" s="221">
        <f xml:space="preserve"> tabConsumo[[#This Row],[Média.A]] + (_xlfn.STDEV.S( tabConsumo[[#This Row],[QTD.PENDENTE]]:tabConsumo[[#This Row],[09_23]] ) * 2)</f>
        <v>41.218962793803271</v>
      </c>
      <c r="W336" s="221">
        <f xml:space="preserve"> tabConsumo[[#This Row],[Média.A]] + (_xlfn.STDEV.S( tabConsumo[[#This Row],[QTD.PENDENTE]]:tabConsumo[[#This Row],[09_23]] ) * 3)</f>
        <v>52.495110857371586</v>
      </c>
      <c r="X336" s="5">
        <f t="shared" si="12"/>
        <v>2</v>
      </c>
      <c r="Y336">
        <v>18.666666666666668</v>
      </c>
      <c r="Z336" s="223">
        <f>SUM( tabConsumo[[#This Row],[QTD.PENDENTE]]:tabConsumo[[#This Row],[09_23]] )</f>
        <v>224</v>
      </c>
      <c r="AA336" s="223">
        <f>LARGE(tabConsumo[[#This Row],[10_22]:[09_23]],1)</f>
        <v>41</v>
      </c>
      <c r="AB336" s="146" t="s">
        <v>2238</v>
      </c>
      <c r="AC336" s="3" t="s">
        <v>2086</v>
      </c>
    </row>
    <row r="337" spans="1:29" x14ac:dyDescent="0.3">
      <c r="A337" s="4" t="s">
        <v>1001</v>
      </c>
      <c r="B337" s="3" t="s">
        <v>380</v>
      </c>
      <c r="C337" s="2">
        <v>13091</v>
      </c>
      <c r="D337" s="2">
        <v>0</v>
      </c>
      <c r="E337" s="2">
        <v>808</v>
      </c>
      <c r="F337" s="2">
        <v>0</v>
      </c>
      <c r="G337" s="2">
        <v>37</v>
      </c>
      <c r="H337" s="2">
        <v>0</v>
      </c>
      <c r="I337" s="2">
        <v>84</v>
      </c>
      <c r="J337" s="2">
        <v>528</v>
      </c>
      <c r="K337" s="2">
        <v>915</v>
      </c>
      <c r="L337" s="2">
        <v>484</v>
      </c>
      <c r="M337" s="2">
        <v>0</v>
      </c>
      <c r="N337" s="2">
        <v>0</v>
      </c>
      <c r="O337" s="2">
        <v>0</v>
      </c>
      <c r="P337" s="2">
        <v>0</v>
      </c>
      <c r="Q337" s="2">
        <v>0</v>
      </c>
      <c r="R337" s="238">
        <v>367</v>
      </c>
      <c r="S337" s="219">
        <f xml:space="preserve"> 12</f>
        <v>12</v>
      </c>
      <c r="T337" s="220">
        <f>SUM( tabConsumo[[#This Row],[QTD.PENDENTE]]:tabConsumo[[#This Row],[09_23]] ) / tabConsumo[[#This Row],[Div]]</f>
        <v>238</v>
      </c>
      <c r="U337" s="221">
        <f xml:space="preserve"> tabConsumo[[#This Row],[Média.A]] + (_xlfn.STDEV.S( tabConsumo[[#This Row],[QTD.PENDENTE]]:tabConsumo[[#This Row],[09_23]] ) * 1)</f>
        <v>577.62145216289082</v>
      </c>
      <c r="V337" s="221">
        <f xml:space="preserve"> tabConsumo[[#This Row],[Média.A]] + (_xlfn.STDEV.S( tabConsumo[[#This Row],[QTD.PENDENTE]]:tabConsumo[[#This Row],[09_23]] ) * 2)</f>
        <v>917.24290432578175</v>
      </c>
      <c r="W337" s="221">
        <f xml:space="preserve"> tabConsumo[[#This Row],[Média.A]] + (_xlfn.STDEV.S( tabConsumo[[#This Row],[QTD.PENDENTE]]:tabConsumo[[#This Row],[09_23]] ) * 3)</f>
        <v>1256.8643564886727</v>
      </c>
      <c r="X337" s="5">
        <f t="shared" si="12"/>
        <v>2</v>
      </c>
      <c r="Y337">
        <v>238</v>
      </c>
      <c r="Z337" s="223">
        <f>SUM( tabConsumo[[#This Row],[QTD.PENDENTE]]:tabConsumo[[#This Row],[09_23]] )</f>
        <v>2856</v>
      </c>
      <c r="AA337" s="223">
        <f>LARGE(tabConsumo[[#This Row],[10_22]:[09_23]],1)</f>
        <v>915</v>
      </c>
      <c r="AB337" s="146" t="s">
        <v>2240</v>
      </c>
      <c r="AC337" s="3" t="s">
        <v>2086</v>
      </c>
    </row>
    <row r="338" spans="1:29" x14ac:dyDescent="0.3">
      <c r="A338" s="4" t="s">
        <v>930</v>
      </c>
      <c r="B338" s="3" t="s">
        <v>263</v>
      </c>
      <c r="C338" s="2">
        <v>11072</v>
      </c>
      <c r="D338" s="2">
        <v>314</v>
      </c>
      <c r="F338" s="2">
        <v>31</v>
      </c>
      <c r="G338" s="2">
        <v>41</v>
      </c>
      <c r="H338" s="2">
        <v>29</v>
      </c>
      <c r="I338" s="2">
        <v>59</v>
      </c>
      <c r="J338" s="2">
        <v>47</v>
      </c>
      <c r="K338" s="2">
        <v>73</v>
      </c>
      <c r="L338" s="2">
        <v>59</v>
      </c>
      <c r="M338" s="2">
        <v>59</v>
      </c>
      <c r="N338" s="2">
        <v>50</v>
      </c>
      <c r="O338" s="2">
        <v>52</v>
      </c>
      <c r="P338" s="2">
        <v>42</v>
      </c>
      <c r="Q338" s="2">
        <v>67</v>
      </c>
      <c r="R338" s="238">
        <v>367</v>
      </c>
      <c r="S338" s="219">
        <f xml:space="preserve"> 12</f>
        <v>12</v>
      </c>
      <c r="T338" s="220">
        <f>SUM( tabConsumo[[#This Row],[QTD.PENDENTE]]:tabConsumo[[#This Row],[09_23]] ) / tabConsumo[[#This Row],[Div]]</f>
        <v>50.75</v>
      </c>
      <c r="U338" s="221">
        <f xml:space="preserve"> tabConsumo[[#This Row],[Média.A]] + (_xlfn.STDEV.S( tabConsumo[[#This Row],[QTD.PENDENTE]]:tabConsumo[[#This Row],[09_23]] ) * 1)</f>
        <v>64.281948727498062</v>
      </c>
      <c r="V338" s="221">
        <f xml:space="preserve"> tabConsumo[[#This Row],[Média.A]] + (_xlfn.STDEV.S( tabConsumo[[#This Row],[QTD.PENDENTE]]:tabConsumo[[#This Row],[09_23]] ) * 2)</f>
        <v>77.813897454996123</v>
      </c>
      <c r="W338" s="221">
        <f xml:space="preserve"> tabConsumo[[#This Row],[Média.A]] + (_xlfn.STDEV.S( tabConsumo[[#This Row],[QTD.PENDENTE]]:tabConsumo[[#This Row],[09_23]] ) * 3)</f>
        <v>91.345846182494171</v>
      </c>
      <c r="X338" s="5">
        <f t="shared" si="12"/>
        <v>2</v>
      </c>
      <c r="Y338">
        <v>50.75</v>
      </c>
      <c r="Z338" s="223">
        <f>SUM( tabConsumo[[#This Row],[QTD.PENDENTE]]:tabConsumo[[#This Row],[09_23]] )</f>
        <v>609</v>
      </c>
      <c r="AA338" s="223">
        <f>LARGE(tabConsumo[[#This Row],[10_22]:[09_23]],1)</f>
        <v>73</v>
      </c>
      <c r="AB338" s="146" t="s">
        <v>2238</v>
      </c>
      <c r="AC338" s="3" t="s">
        <v>2086</v>
      </c>
    </row>
    <row r="339" spans="1:29" x14ac:dyDescent="0.3">
      <c r="A339" s="4" t="s">
        <v>1092</v>
      </c>
      <c r="B339" s="3" t="s">
        <v>263</v>
      </c>
      <c r="C339" s="2">
        <v>15436</v>
      </c>
      <c r="D339" s="2">
        <v>497</v>
      </c>
      <c r="E339" s="2">
        <v>103</v>
      </c>
      <c r="F339" s="2">
        <v>102</v>
      </c>
      <c r="G339" s="2">
        <v>58</v>
      </c>
      <c r="H339" s="2">
        <v>97</v>
      </c>
      <c r="I339" s="2">
        <v>126</v>
      </c>
      <c r="J339" s="2">
        <v>123</v>
      </c>
      <c r="K339" s="2">
        <v>157</v>
      </c>
      <c r="L339" s="2">
        <v>45</v>
      </c>
      <c r="M339" s="2">
        <v>0</v>
      </c>
      <c r="N339" s="2">
        <v>0</v>
      </c>
      <c r="O339" s="2">
        <v>0</v>
      </c>
      <c r="P339" s="2">
        <v>0</v>
      </c>
      <c r="Q339" s="2">
        <v>0</v>
      </c>
      <c r="R339" s="238">
        <v>367</v>
      </c>
      <c r="S339" s="219">
        <f xml:space="preserve"> 12</f>
        <v>12</v>
      </c>
      <c r="T339" s="220">
        <f>SUM( tabConsumo[[#This Row],[QTD.PENDENTE]]:tabConsumo[[#This Row],[09_23]] ) / tabConsumo[[#This Row],[Div]]</f>
        <v>67.583333333333329</v>
      </c>
      <c r="U339" s="221">
        <f xml:space="preserve"> tabConsumo[[#This Row],[Média.A]] + (_xlfn.STDEV.S( tabConsumo[[#This Row],[QTD.PENDENTE]]:tabConsumo[[#This Row],[09_23]] ) * 1)</f>
        <v>125.94362014656855</v>
      </c>
      <c r="V339" s="221">
        <f xml:space="preserve"> tabConsumo[[#This Row],[Média.A]] + (_xlfn.STDEV.S( tabConsumo[[#This Row],[QTD.PENDENTE]]:tabConsumo[[#This Row],[09_23]] ) * 2)</f>
        <v>184.30390695980378</v>
      </c>
      <c r="W339" s="221">
        <f xml:space="preserve"> tabConsumo[[#This Row],[Média.A]] + (_xlfn.STDEV.S( tabConsumo[[#This Row],[QTD.PENDENTE]]:tabConsumo[[#This Row],[09_23]] ) * 3)</f>
        <v>242.66419377303896</v>
      </c>
      <c r="X339" s="5">
        <f t="shared" si="12"/>
        <v>2</v>
      </c>
      <c r="Y339">
        <v>67.583333333333329</v>
      </c>
      <c r="Z339" s="223">
        <f>SUM( tabConsumo[[#This Row],[QTD.PENDENTE]]:tabConsumo[[#This Row],[09_23]] )</f>
        <v>811</v>
      </c>
      <c r="AA339" s="223">
        <f>LARGE(tabConsumo[[#This Row],[10_22]:[09_23]],1)</f>
        <v>157</v>
      </c>
      <c r="AB339" s="146" t="s">
        <v>2240</v>
      </c>
      <c r="AC339" s="3" t="s">
        <v>2086</v>
      </c>
    </row>
    <row r="340" spans="1:29" x14ac:dyDescent="0.3">
      <c r="A340" s="4" t="s">
        <v>1928</v>
      </c>
      <c r="B340" s="3" t="s">
        <v>263</v>
      </c>
      <c r="C340" s="2">
        <v>136554</v>
      </c>
      <c r="D340" s="2">
        <v>2000</v>
      </c>
      <c r="E340" s="2">
        <v>214</v>
      </c>
      <c r="F340" s="2">
        <v>180</v>
      </c>
      <c r="G340" s="2">
        <v>61</v>
      </c>
      <c r="H340" s="2">
        <v>88</v>
      </c>
      <c r="I340" s="2">
        <v>51</v>
      </c>
      <c r="J340" s="2">
        <v>100</v>
      </c>
      <c r="K340" s="2">
        <v>16</v>
      </c>
      <c r="L340" s="2">
        <v>0</v>
      </c>
      <c r="M340" s="2">
        <v>0</v>
      </c>
      <c r="N340" s="2">
        <v>0</v>
      </c>
      <c r="O340" s="2">
        <v>0</v>
      </c>
      <c r="P340" s="2">
        <v>0</v>
      </c>
      <c r="Q340" s="2">
        <v>0</v>
      </c>
      <c r="R340" s="238">
        <v>43518</v>
      </c>
      <c r="S340" s="219">
        <v>12</v>
      </c>
      <c r="T340" s="220">
        <f>SUM( tabConsumo[[#This Row],[QTD.PENDENTE]]:tabConsumo[[#This Row],[09_23]] ) / tabConsumo[[#This Row],[Div]]</f>
        <v>59.166666666666664</v>
      </c>
      <c r="U340" s="221">
        <f xml:space="preserve"> tabConsumo[[#This Row],[Média.A]] + (_xlfn.STDEV.S( tabConsumo[[#This Row],[QTD.PENDENTE]]:tabConsumo[[#This Row],[09_23]] ) * 1)</f>
        <v>132.04846419016638</v>
      </c>
      <c r="V340" s="221">
        <f xml:space="preserve"> tabConsumo[[#This Row],[Média.A]] + (_xlfn.STDEV.S( tabConsumo[[#This Row],[QTD.PENDENTE]]:tabConsumo[[#This Row],[09_23]] ) * 2)</f>
        <v>204.93026171366611</v>
      </c>
      <c r="W340" s="221">
        <f xml:space="preserve"> tabConsumo[[#This Row],[Média.A]] + (_xlfn.STDEV.S( tabConsumo[[#This Row],[QTD.PENDENTE]]:tabConsumo[[#This Row],[09_23]] ) * 3)</f>
        <v>277.81205923716584</v>
      </c>
      <c r="X340" s="5">
        <f t="shared" si="12"/>
        <v>2</v>
      </c>
      <c r="Y340">
        <v>59.166666666666664</v>
      </c>
      <c r="Z340" s="223">
        <f>SUM( tabConsumo[[#This Row],[QTD.PENDENTE]]:tabConsumo[[#This Row],[09_23]] )</f>
        <v>710</v>
      </c>
      <c r="AA340" s="223">
        <f>LARGE(tabConsumo[[#This Row],[10_22]:[09_23]],1)</f>
        <v>180</v>
      </c>
      <c r="AB340" s="146" t="s">
        <v>2245</v>
      </c>
      <c r="AC340" s="3" t="s">
        <v>2086</v>
      </c>
    </row>
    <row r="341" spans="1:29" x14ac:dyDescent="0.3">
      <c r="A341" s="4" t="s">
        <v>1929</v>
      </c>
      <c r="B341" s="3" t="s">
        <v>263</v>
      </c>
      <c r="C341" s="2">
        <v>136555</v>
      </c>
      <c r="D341" s="2">
        <v>750</v>
      </c>
      <c r="E341" s="2">
        <v>252</v>
      </c>
      <c r="F341" s="2">
        <v>44</v>
      </c>
      <c r="G341" s="2">
        <v>0</v>
      </c>
      <c r="H341" s="2">
        <v>0</v>
      </c>
      <c r="I341" s="2">
        <v>32</v>
      </c>
      <c r="J341" s="2">
        <v>80</v>
      </c>
      <c r="K341" s="2">
        <v>78</v>
      </c>
      <c r="L341" s="2">
        <v>310</v>
      </c>
      <c r="M341" s="2">
        <v>0</v>
      </c>
      <c r="N341" s="2">
        <v>500</v>
      </c>
      <c r="O341" s="2">
        <v>0</v>
      </c>
      <c r="P341" s="2">
        <v>0</v>
      </c>
      <c r="Q341" s="2">
        <v>0</v>
      </c>
      <c r="R341" s="238">
        <v>43518</v>
      </c>
      <c r="S341" s="219">
        <v>12</v>
      </c>
      <c r="T341" s="220">
        <f>SUM( tabConsumo[[#This Row],[QTD.PENDENTE]]:tabConsumo[[#This Row],[09_23]] ) / tabConsumo[[#This Row],[Div]]</f>
        <v>108</v>
      </c>
      <c r="U341" s="221">
        <f xml:space="preserve"> tabConsumo[[#This Row],[Média.A]] + (_xlfn.STDEV.S( tabConsumo[[#This Row],[QTD.PENDENTE]]:tabConsumo[[#This Row],[09_23]] ) * 1)</f>
        <v>265.01559615495984</v>
      </c>
      <c r="V341" s="221">
        <f xml:space="preserve"> tabConsumo[[#This Row],[Média.A]] + (_xlfn.STDEV.S( tabConsumo[[#This Row],[QTD.PENDENTE]]:tabConsumo[[#This Row],[09_23]] ) * 2)</f>
        <v>422.03119230991967</v>
      </c>
      <c r="W341" s="221">
        <f xml:space="preserve"> tabConsumo[[#This Row],[Média.A]] + (_xlfn.STDEV.S( tabConsumo[[#This Row],[QTD.PENDENTE]]:tabConsumo[[#This Row],[09_23]] ) * 3)</f>
        <v>579.04678846487946</v>
      </c>
      <c r="X341" s="5">
        <f t="shared" si="12"/>
        <v>2</v>
      </c>
      <c r="Y341">
        <v>101.5</v>
      </c>
      <c r="Z341" s="223">
        <f>SUM( tabConsumo[[#This Row],[QTD.PENDENTE]]:tabConsumo[[#This Row],[09_23]] )</f>
        <v>1296</v>
      </c>
      <c r="AA341" s="223">
        <f>LARGE(tabConsumo[[#This Row],[10_22]:[09_23]],1)</f>
        <v>500</v>
      </c>
      <c r="AB341" s="146" t="s">
        <v>2246</v>
      </c>
      <c r="AC341" s="3" t="s">
        <v>2086</v>
      </c>
    </row>
    <row r="342" spans="1:29" x14ac:dyDescent="0.3">
      <c r="A342" s="4" t="s">
        <v>1837</v>
      </c>
      <c r="B342" s="3" t="s">
        <v>31</v>
      </c>
      <c r="C342" s="2">
        <v>132465</v>
      </c>
      <c r="D342" s="2">
        <v>50</v>
      </c>
      <c r="E342" s="2">
        <v>35</v>
      </c>
      <c r="F342" s="2">
        <v>12</v>
      </c>
      <c r="G342" s="2">
        <v>0</v>
      </c>
      <c r="H342" s="2">
        <v>2</v>
      </c>
      <c r="I342" s="2">
        <v>12</v>
      </c>
      <c r="J342" s="2">
        <v>12</v>
      </c>
      <c r="K342" s="2">
        <v>60</v>
      </c>
      <c r="L342" s="2">
        <v>0</v>
      </c>
      <c r="M342" s="2">
        <v>0</v>
      </c>
      <c r="N342" s="2">
        <v>0</v>
      </c>
      <c r="O342" s="2">
        <v>0</v>
      </c>
      <c r="P342" s="2">
        <v>0</v>
      </c>
      <c r="Q342" s="2">
        <v>25</v>
      </c>
      <c r="R342" s="238">
        <v>42796</v>
      </c>
      <c r="S342" s="219">
        <v>12</v>
      </c>
      <c r="T342" s="220">
        <f>SUM( tabConsumo[[#This Row],[QTD.PENDENTE]]:tabConsumo[[#This Row],[09_23]] ) / tabConsumo[[#This Row],[Div]]</f>
        <v>13.166666666666666</v>
      </c>
      <c r="U342" s="221">
        <f xml:space="preserve"> tabConsumo[[#This Row],[Média.A]] + (_xlfn.STDEV.S( tabConsumo[[#This Row],[QTD.PENDENTE]]:tabConsumo[[#This Row],[09_23]] ) * 1)</f>
        <v>31.345620403731928</v>
      </c>
      <c r="V342" s="221">
        <f xml:space="preserve"> tabConsumo[[#This Row],[Média.A]] + (_xlfn.STDEV.S( tabConsumo[[#This Row],[QTD.PENDENTE]]:tabConsumo[[#This Row],[09_23]] ) * 2)</f>
        <v>49.524574140797185</v>
      </c>
      <c r="W342" s="221">
        <f xml:space="preserve"> tabConsumo[[#This Row],[Média.A]] + (_xlfn.STDEV.S( tabConsumo[[#This Row],[QTD.PENDENTE]]:tabConsumo[[#This Row],[09_23]] ) * 3)</f>
        <v>67.703527877862456</v>
      </c>
      <c r="X342" s="5">
        <f t="shared" si="12"/>
        <v>2</v>
      </c>
      <c r="Y342">
        <v>12.25</v>
      </c>
      <c r="Z342" s="223">
        <f>SUM( tabConsumo[[#This Row],[QTD.PENDENTE]]:tabConsumo[[#This Row],[09_23]] )</f>
        <v>158</v>
      </c>
      <c r="AA342" s="223">
        <f>LARGE(tabConsumo[[#This Row],[10_22]:[09_23]],1)</f>
        <v>60</v>
      </c>
      <c r="AB342" s="146" t="s">
        <v>2238</v>
      </c>
      <c r="AC342" s="3" t="s">
        <v>2086</v>
      </c>
    </row>
    <row r="343" spans="1:29" x14ac:dyDescent="0.3">
      <c r="A343" s="4" t="s">
        <v>1380</v>
      </c>
      <c r="B343" s="3" t="s">
        <v>345</v>
      </c>
      <c r="C343" s="2">
        <v>64625</v>
      </c>
      <c r="D343" s="2">
        <v>677</v>
      </c>
      <c r="F343" s="2">
        <v>0</v>
      </c>
      <c r="G343" s="2">
        <v>0</v>
      </c>
      <c r="H343" s="2">
        <v>0</v>
      </c>
      <c r="I343" s="2">
        <v>35</v>
      </c>
      <c r="J343" s="2">
        <v>25</v>
      </c>
      <c r="K343" s="2">
        <v>0</v>
      </c>
      <c r="L343" s="2">
        <v>0</v>
      </c>
      <c r="M343" s="2">
        <v>0</v>
      </c>
      <c r="N343" s="2">
        <v>0</v>
      </c>
      <c r="O343" s="2">
        <v>0</v>
      </c>
      <c r="P343" s="2">
        <v>0</v>
      </c>
      <c r="Q343" s="2">
        <v>0</v>
      </c>
      <c r="R343" s="238">
        <v>367</v>
      </c>
      <c r="S343" s="219">
        <f xml:space="preserve"> 12</f>
        <v>12</v>
      </c>
      <c r="T343" s="220">
        <f>SUM( tabConsumo[[#This Row],[QTD.PENDENTE]]:tabConsumo[[#This Row],[09_23]] ) / tabConsumo[[#This Row],[Div]]</f>
        <v>5</v>
      </c>
      <c r="U343" s="221">
        <f xml:space="preserve"> tabConsumo[[#This Row],[Média.A]] + (_xlfn.STDEV.S( tabConsumo[[#This Row],[QTD.PENDENTE]]:tabConsumo[[#This Row],[09_23]] ) * 1)</f>
        <v>16.870513506545997</v>
      </c>
      <c r="V343" s="221">
        <f xml:space="preserve"> tabConsumo[[#This Row],[Média.A]] + (_xlfn.STDEV.S( tabConsumo[[#This Row],[QTD.PENDENTE]]:tabConsumo[[#This Row],[09_23]] ) * 2)</f>
        <v>28.74102701309199</v>
      </c>
      <c r="W343" s="221">
        <f xml:space="preserve"> tabConsumo[[#This Row],[Média.A]] + (_xlfn.STDEV.S( tabConsumo[[#This Row],[QTD.PENDENTE]]:tabConsumo[[#This Row],[09_23]] ) * 3)</f>
        <v>40.611540519637984</v>
      </c>
      <c r="X343" s="5">
        <f t="shared" si="12"/>
        <v>2</v>
      </c>
      <c r="Y343">
        <v>4.416666666666667</v>
      </c>
      <c r="Z343" s="223">
        <f>SUM( tabConsumo[[#This Row],[QTD.PENDENTE]]:tabConsumo[[#This Row],[09_23]] )</f>
        <v>60</v>
      </c>
      <c r="AA343" s="223">
        <f>LARGE(tabConsumo[[#This Row],[10_22]:[09_23]],1)</f>
        <v>35</v>
      </c>
      <c r="AB343" s="146" t="s">
        <v>2248</v>
      </c>
      <c r="AC343" s="3" t="s">
        <v>2086</v>
      </c>
    </row>
    <row r="344" spans="1:29" x14ac:dyDescent="0.3">
      <c r="A344" s="4" t="s">
        <v>1381</v>
      </c>
      <c r="B344" s="3" t="s">
        <v>345</v>
      </c>
      <c r="C344" s="2">
        <v>64626</v>
      </c>
      <c r="D344" s="2">
        <v>2397</v>
      </c>
      <c r="F344" s="2">
        <v>0</v>
      </c>
      <c r="G344" s="2">
        <v>0</v>
      </c>
      <c r="H344" s="2">
        <v>0</v>
      </c>
      <c r="I344" s="2">
        <v>0</v>
      </c>
      <c r="J344" s="2">
        <v>0</v>
      </c>
      <c r="K344" s="2">
        <v>0</v>
      </c>
      <c r="L344" s="2">
        <v>0</v>
      </c>
      <c r="M344" s="2">
        <v>307</v>
      </c>
      <c r="N344" s="2">
        <v>0</v>
      </c>
      <c r="O344" s="2">
        <v>200</v>
      </c>
      <c r="P344" s="2">
        <v>0</v>
      </c>
      <c r="Q344" s="2">
        <v>0</v>
      </c>
      <c r="R344" s="238">
        <v>367</v>
      </c>
      <c r="S344" s="219">
        <f xml:space="preserve"> 12</f>
        <v>12</v>
      </c>
      <c r="T344" s="220">
        <f>SUM( tabConsumo[[#This Row],[QTD.PENDENTE]]:tabConsumo[[#This Row],[09_23]] ) / tabConsumo[[#This Row],[Div]]</f>
        <v>42.25</v>
      </c>
      <c r="U344" s="221">
        <f xml:space="preserve"> tabConsumo[[#This Row],[Média.A]] + (_xlfn.STDEV.S( tabConsumo[[#This Row],[QTD.PENDENTE]]:tabConsumo[[#This Row],[09_23]] ) * 1)</f>
        <v>143.52740930910326</v>
      </c>
      <c r="V344" s="221">
        <f xml:space="preserve"> tabConsumo[[#This Row],[Média.A]] + (_xlfn.STDEV.S( tabConsumo[[#This Row],[QTD.PENDENTE]]:tabConsumo[[#This Row],[09_23]] ) * 2)</f>
        <v>244.80481861820653</v>
      </c>
      <c r="W344" s="221">
        <f xml:space="preserve"> tabConsumo[[#This Row],[Média.A]] + (_xlfn.STDEV.S( tabConsumo[[#This Row],[QTD.PENDENTE]]:tabConsumo[[#This Row],[09_23]] ) * 3)</f>
        <v>346.08222792730976</v>
      </c>
      <c r="X344" s="5">
        <f t="shared" si="12"/>
        <v>2</v>
      </c>
      <c r="Y344">
        <v>37</v>
      </c>
      <c r="Z344" s="223">
        <f>SUM( tabConsumo[[#This Row],[QTD.PENDENTE]]:tabConsumo[[#This Row],[09_23]] )</f>
        <v>507</v>
      </c>
      <c r="AA344" s="223">
        <f>LARGE(tabConsumo[[#This Row],[10_22]:[09_23]],1)</f>
        <v>307</v>
      </c>
      <c r="AB344" s="146" t="s">
        <v>2239</v>
      </c>
      <c r="AC344" s="3" t="s">
        <v>2086</v>
      </c>
    </row>
    <row r="345" spans="1:29" x14ac:dyDescent="0.3">
      <c r="A345" s="4" t="s">
        <v>1224</v>
      </c>
      <c r="B345" s="3" t="s">
        <v>345</v>
      </c>
      <c r="C345" s="2">
        <v>27287</v>
      </c>
      <c r="D345" s="2">
        <v>1114</v>
      </c>
      <c r="F345" s="2">
        <v>0</v>
      </c>
      <c r="G345" s="2">
        <v>0</v>
      </c>
      <c r="H345" s="2">
        <v>10</v>
      </c>
      <c r="I345" s="2">
        <v>5</v>
      </c>
      <c r="J345" s="2">
        <v>10</v>
      </c>
      <c r="K345" s="2">
        <v>20</v>
      </c>
      <c r="L345" s="2">
        <v>0</v>
      </c>
      <c r="M345" s="2">
        <v>40</v>
      </c>
      <c r="N345" s="2">
        <v>0</v>
      </c>
      <c r="O345" s="2">
        <v>0</v>
      </c>
      <c r="P345" s="2">
        <v>0</v>
      </c>
      <c r="Q345" s="2">
        <v>0</v>
      </c>
      <c r="R345" s="238">
        <v>367</v>
      </c>
      <c r="S345" s="219">
        <f xml:space="preserve"> 12</f>
        <v>12</v>
      </c>
      <c r="T345" s="220">
        <f>SUM( tabConsumo[[#This Row],[QTD.PENDENTE]]:tabConsumo[[#This Row],[09_23]] ) / tabConsumo[[#This Row],[Div]]</f>
        <v>7.083333333333333</v>
      </c>
      <c r="U345" s="221">
        <f xml:space="preserve"> tabConsumo[[#This Row],[Média.A]] + (_xlfn.STDEV.S( tabConsumo[[#This Row],[QTD.PENDENTE]]:tabConsumo[[#This Row],[09_23]] ) * 1)</f>
        <v>19.229850479737021</v>
      </c>
      <c r="V345" s="221">
        <f xml:space="preserve"> tabConsumo[[#This Row],[Média.A]] + (_xlfn.STDEV.S( tabConsumo[[#This Row],[QTD.PENDENTE]]:tabConsumo[[#This Row],[09_23]] ) * 2)</f>
        <v>31.376367626140706</v>
      </c>
      <c r="W345" s="221">
        <f xml:space="preserve"> tabConsumo[[#This Row],[Média.A]] + (_xlfn.STDEV.S( tabConsumo[[#This Row],[QTD.PENDENTE]]:tabConsumo[[#This Row],[09_23]] ) * 3)</f>
        <v>43.522884772544394</v>
      </c>
      <c r="X345" s="5">
        <f t="shared" si="12"/>
        <v>2</v>
      </c>
      <c r="Y345">
        <v>6.333333333333333</v>
      </c>
      <c r="Z345" s="223">
        <f>SUM( tabConsumo[[#This Row],[QTD.PENDENTE]]:tabConsumo[[#This Row],[09_23]] )</f>
        <v>85</v>
      </c>
      <c r="AA345" s="223">
        <f>LARGE(tabConsumo[[#This Row],[10_22]:[09_23]],1)</f>
        <v>40</v>
      </c>
      <c r="AB345" s="146" t="s">
        <v>2244</v>
      </c>
      <c r="AC345" s="3" t="s">
        <v>2086</v>
      </c>
    </row>
    <row r="346" spans="1:29" x14ac:dyDescent="0.3">
      <c r="A346" s="4" t="s">
        <v>1392</v>
      </c>
      <c r="B346" s="3" t="s">
        <v>345</v>
      </c>
      <c r="C346" s="2">
        <v>64860</v>
      </c>
      <c r="D346" s="2">
        <v>106</v>
      </c>
      <c r="F346" s="2">
        <v>0</v>
      </c>
      <c r="G346" s="2">
        <v>0</v>
      </c>
      <c r="H346" s="2">
        <v>0</v>
      </c>
      <c r="I346" s="2">
        <v>200</v>
      </c>
      <c r="J346" s="2">
        <v>1</v>
      </c>
      <c r="K346" s="2">
        <v>0</v>
      </c>
      <c r="L346" s="2">
        <v>0</v>
      </c>
      <c r="M346" s="2">
        <v>0</v>
      </c>
      <c r="N346" s="2">
        <v>0</v>
      </c>
      <c r="O346" s="2">
        <v>0</v>
      </c>
      <c r="P346" s="2">
        <v>0</v>
      </c>
      <c r="Q346" s="2">
        <v>0</v>
      </c>
      <c r="R346" s="238">
        <v>367</v>
      </c>
      <c r="S346" s="219">
        <f xml:space="preserve"> 12</f>
        <v>12</v>
      </c>
      <c r="T346" s="220">
        <f>SUM( tabConsumo[[#This Row],[QTD.PENDENTE]]:tabConsumo[[#This Row],[09_23]] ) / tabConsumo[[#This Row],[Div]]</f>
        <v>16.75</v>
      </c>
      <c r="U346" s="221">
        <f xml:space="preserve"> tabConsumo[[#This Row],[Média.A]] + (_xlfn.STDEV.S( tabConsumo[[#This Row],[QTD.PENDENTE]]:tabConsumo[[#This Row],[09_23]] ) * 1)</f>
        <v>74.459499769417192</v>
      </c>
      <c r="V346" s="221">
        <f xml:space="preserve"> tabConsumo[[#This Row],[Média.A]] + (_xlfn.STDEV.S( tabConsumo[[#This Row],[QTD.PENDENTE]]:tabConsumo[[#This Row],[09_23]] ) * 2)</f>
        <v>132.16899953883438</v>
      </c>
      <c r="W346" s="221">
        <f xml:space="preserve"> tabConsumo[[#This Row],[Média.A]] + (_xlfn.STDEV.S( tabConsumo[[#This Row],[QTD.PENDENTE]]:tabConsumo[[#This Row],[09_23]] ) * 3)</f>
        <v>189.87849930825161</v>
      </c>
      <c r="X346" s="5">
        <f t="shared" si="12"/>
        <v>2</v>
      </c>
      <c r="Y346">
        <v>11.083333333333334</v>
      </c>
      <c r="Z346" s="223">
        <f>SUM( tabConsumo[[#This Row],[QTD.PENDENTE]]:tabConsumo[[#This Row],[09_23]] )</f>
        <v>201</v>
      </c>
      <c r="AA346" s="223">
        <f>LARGE(tabConsumo[[#This Row],[10_22]:[09_23]],1)</f>
        <v>200</v>
      </c>
      <c r="AB346" s="146" t="s">
        <v>2248</v>
      </c>
      <c r="AC346" s="3" t="s">
        <v>2086</v>
      </c>
    </row>
    <row r="347" spans="1:29" x14ac:dyDescent="0.3">
      <c r="A347" s="4" t="s">
        <v>1496</v>
      </c>
      <c r="B347" s="3" t="s">
        <v>345</v>
      </c>
      <c r="C347" s="2">
        <v>87348</v>
      </c>
      <c r="D347" s="2">
        <v>832</v>
      </c>
      <c r="F347" s="2">
        <v>0</v>
      </c>
      <c r="G347" s="2">
        <v>10</v>
      </c>
      <c r="H347" s="2">
        <v>0</v>
      </c>
      <c r="I347" s="2">
        <v>5</v>
      </c>
      <c r="J347" s="2">
        <v>0</v>
      </c>
      <c r="K347" s="2">
        <v>20</v>
      </c>
      <c r="L347" s="2">
        <v>0</v>
      </c>
      <c r="M347" s="2">
        <v>0</v>
      </c>
      <c r="N347" s="2">
        <v>0</v>
      </c>
      <c r="O347" s="2">
        <v>0</v>
      </c>
      <c r="P347" s="2">
        <v>0</v>
      </c>
      <c r="Q347" s="2">
        <v>0</v>
      </c>
      <c r="R347" s="238">
        <v>38583</v>
      </c>
      <c r="S347" s="219">
        <v>12</v>
      </c>
      <c r="T347" s="220">
        <f>SUM( tabConsumo[[#This Row],[QTD.PENDENTE]]:tabConsumo[[#This Row],[09_23]] ) / tabConsumo[[#This Row],[Div]]</f>
        <v>2.9166666666666665</v>
      </c>
      <c r="U347" s="221">
        <f xml:space="preserve"> tabConsumo[[#This Row],[Média.A]] + (_xlfn.STDEV.S( tabConsumo[[#This Row],[QTD.PENDENTE]]:tabConsumo[[#This Row],[09_23]] ) * 1)</f>
        <v>9.1172287135273944</v>
      </c>
      <c r="V347" s="221">
        <f xml:space="preserve"> tabConsumo[[#This Row],[Média.A]] + (_xlfn.STDEV.S( tabConsumo[[#This Row],[QTD.PENDENTE]]:tabConsumo[[#This Row],[09_23]] ) * 2)</f>
        <v>15.317790760388121</v>
      </c>
      <c r="W347" s="221">
        <f xml:space="preserve"> tabConsumo[[#This Row],[Média.A]] + (_xlfn.STDEV.S( tabConsumo[[#This Row],[QTD.PENDENTE]]:tabConsumo[[#This Row],[09_23]] ) * 3)</f>
        <v>21.518352807248849</v>
      </c>
      <c r="X347" s="5">
        <f t="shared" si="12"/>
        <v>2</v>
      </c>
      <c r="Y347">
        <v>2.5</v>
      </c>
      <c r="Z347" s="223">
        <f>SUM( tabConsumo[[#This Row],[QTD.PENDENTE]]:tabConsumo[[#This Row],[09_23]] )</f>
        <v>35</v>
      </c>
      <c r="AA347" s="223">
        <f>LARGE(tabConsumo[[#This Row],[10_22]:[09_23]],1)</f>
        <v>20</v>
      </c>
      <c r="AB347" s="146" t="s">
        <v>2245</v>
      </c>
      <c r="AC347" s="3" t="s">
        <v>2086</v>
      </c>
    </row>
    <row r="348" spans="1:29" x14ac:dyDescent="0.3">
      <c r="A348" s="4" t="s">
        <v>1382</v>
      </c>
      <c r="B348" s="3" t="s">
        <v>345</v>
      </c>
      <c r="C348" s="2">
        <v>64627</v>
      </c>
      <c r="D348" s="2">
        <v>2121</v>
      </c>
      <c r="F348" s="2">
        <v>0</v>
      </c>
      <c r="G348" s="2">
        <v>0</v>
      </c>
      <c r="H348" s="2">
        <v>0</v>
      </c>
      <c r="I348" s="2">
        <v>0</v>
      </c>
      <c r="J348" s="2">
        <v>0</v>
      </c>
      <c r="K348" s="2">
        <v>0</v>
      </c>
      <c r="L348" s="2">
        <v>0</v>
      </c>
      <c r="M348" s="2">
        <v>40</v>
      </c>
      <c r="N348" s="2">
        <v>0</v>
      </c>
      <c r="O348" s="2">
        <v>0</v>
      </c>
      <c r="P348" s="2">
        <v>0</v>
      </c>
      <c r="Q348" s="2">
        <v>0</v>
      </c>
      <c r="R348" s="238">
        <v>367</v>
      </c>
      <c r="S348" s="219">
        <f xml:space="preserve"> 12</f>
        <v>12</v>
      </c>
      <c r="T348" s="220">
        <f>SUM( tabConsumo[[#This Row],[QTD.PENDENTE]]:tabConsumo[[#This Row],[09_23]] ) / tabConsumo[[#This Row],[Div]]</f>
        <v>3.3333333333333335</v>
      </c>
      <c r="U348" s="221">
        <f xml:space="preserve"> tabConsumo[[#This Row],[Média.A]] + (_xlfn.STDEV.S( tabConsumo[[#This Row],[QTD.PENDENTE]]:tabConsumo[[#This Row],[09_23]] ) * 1)</f>
        <v>14.88033871712585</v>
      </c>
      <c r="V348" s="221">
        <f xml:space="preserve"> tabConsumo[[#This Row],[Média.A]] + (_xlfn.STDEV.S( tabConsumo[[#This Row],[QTD.PENDENTE]]:tabConsumo[[#This Row],[09_23]] ) * 2)</f>
        <v>26.427344100918365</v>
      </c>
      <c r="W348" s="221">
        <f xml:space="preserve"> tabConsumo[[#This Row],[Média.A]] + (_xlfn.STDEV.S( tabConsumo[[#This Row],[QTD.PENDENTE]]:tabConsumo[[#This Row],[09_23]] ) * 3)</f>
        <v>37.974349484710885</v>
      </c>
      <c r="X348" s="5">
        <f t="shared" si="12"/>
        <v>2</v>
      </c>
      <c r="Y348">
        <v>2.1666666666666665</v>
      </c>
      <c r="Z348" s="223">
        <f>SUM( tabConsumo[[#This Row],[QTD.PENDENTE]]:tabConsumo[[#This Row],[09_23]] )</f>
        <v>40</v>
      </c>
      <c r="AA348" s="223">
        <f>LARGE(tabConsumo[[#This Row],[10_22]:[09_23]],1)</f>
        <v>40</v>
      </c>
      <c r="AB348" s="146" t="s">
        <v>2244</v>
      </c>
      <c r="AC348" s="3" t="s">
        <v>2086</v>
      </c>
    </row>
    <row r="349" spans="1:29" x14ac:dyDescent="0.3">
      <c r="A349" s="4" t="s">
        <v>1351</v>
      </c>
      <c r="B349" s="3" t="s">
        <v>345</v>
      </c>
      <c r="C349" s="2">
        <v>60517</v>
      </c>
      <c r="D349" s="2">
        <v>1781</v>
      </c>
      <c r="F349" s="2">
        <v>2</v>
      </c>
      <c r="G349" s="2">
        <v>0</v>
      </c>
      <c r="H349" s="2">
        <v>0</v>
      </c>
      <c r="I349" s="2">
        <v>0</v>
      </c>
      <c r="J349" s="2">
        <v>0</v>
      </c>
      <c r="K349" s="2">
        <v>0</v>
      </c>
      <c r="L349" s="2">
        <v>0</v>
      </c>
      <c r="M349" s="2">
        <v>10</v>
      </c>
      <c r="N349" s="2">
        <v>0</v>
      </c>
      <c r="O349" s="2">
        <v>0</v>
      </c>
      <c r="P349" s="2">
        <v>0</v>
      </c>
      <c r="Q349" s="2">
        <v>0</v>
      </c>
      <c r="R349" s="238">
        <v>367</v>
      </c>
      <c r="S349" s="219">
        <f xml:space="preserve"> 12</f>
        <v>12</v>
      </c>
      <c r="T349" s="220">
        <f>SUM( tabConsumo[[#This Row],[QTD.PENDENTE]]:tabConsumo[[#This Row],[09_23]] ) / tabConsumo[[#This Row],[Div]]</f>
        <v>1</v>
      </c>
      <c r="U349" s="221">
        <f xml:space="preserve"> tabConsumo[[#This Row],[Média.A]] + (_xlfn.STDEV.S( tabConsumo[[#This Row],[QTD.PENDENTE]]:tabConsumo[[#This Row],[09_23]] ) * 1)</f>
        <v>3.8919952219248848</v>
      </c>
      <c r="V349" s="221">
        <f xml:space="preserve"> tabConsumo[[#This Row],[Média.A]] + (_xlfn.STDEV.S( tabConsumo[[#This Row],[QTD.PENDENTE]]:tabConsumo[[#This Row],[09_23]] ) * 2)</f>
        <v>6.7839904438497696</v>
      </c>
      <c r="W349" s="221">
        <f xml:space="preserve"> tabConsumo[[#This Row],[Média.A]] + (_xlfn.STDEV.S( tabConsumo[[#This Row],[QTD.PENDENTE]]:tabConsumo[[#This Row],[09_23]] ) * 3)</f>
        <v>9.6759856657746539</v>
      </c>
      <c r="X349" s="5">
        <f t="shared" si="12"/>
        <v>2</v>
      </c>
      <c r="Y349">
        <v>0.66666666666666663</v>
      </c>
      <c r="Z349" s="223">
        <f>SUM( tabConsumo[[#This Row],[QTD.PENDENTE]]:tabConsumo[[#This Row],[09_23]] )</f>
        <v>12</v>
      </c>
      <c r="AA349" s="223">
        <f>LARGE(tabConsumo[[#This Row],[10_22]:[09_23]],1)</f>
        <v>10</v>
      </c>
      <c r="AB349" s="146" t="s">
        <v>2244</v>
      </c>
      <c r="AC349" s="3" t="s">
        <v>2086</v>
      </c>
    </row>
    <row r="350" spans="1:29" x14ac:dyDescent="0.3">
      <c r="A350" s="4" t="s">
        <v>1390</v>
      </c>
      <c r="B350" s="3" t="s">
        <v>345</v>
      </c>
      <c r="C350" s="2">
        <v>64817</v>
      </c>
      <c r="D350" s="2">
        <v>86</v>
      </c>
      <c r="F350" s="2">
        <v>0</v>
      </c>
      <c r="G350" s="2">
        <v>0</v>
      </c>
      <c r="H350" s="2">
        <v>0</v>
      </c>
      <c r="I350" s="2">
        <v>2</v>
      </c>
      <c r="J350" s="2">
        <v>0</v>
      </c>
      <c r="K350" s="2">
        <v>0</v>
      </c>
      <c r="L350" s="2">
        <v>0</v>
      </c>
      <c r="M350" s="2">
        <v>0</v>
      </c>
      <c r="N350" s="2">
        <v>0</v>
      </c>
      <c r="O350" s="2">
        <v>0</v>
      </c>
      <c r="P350" s="2">
        <v>0</v>
      </c>
      <c r="Q350" s="2">
        <v>0</v>
      </c>
      <c r="R350" s="238">
        <v>367</v>
      </c>
      <c r="S350" s="219">
        <f xml:space="preserve"> 12</f>
        <v>12</v>
      </c>
      <c r="T350" s="220">
        <f>SUM( tabConsumo[[#This Row],[QTD.PENDENTE]]:tabConsumo[[#This Row],[09_23]] ) / tabConsumo[[#This Row],[Div]]</f>
        <v>0.16666666666666666</v>
      </c>
      <c r="U350" s="221">
        <f xml:space="preserve"> tabConsumo[[#This Row],[Média.A]] + (_xlfn.STDEV.S( tabConsumo[[#This Row],[QTD.PENDENTE]]:tabConsumo[[#This Row],[09_23]] ) * 1)</f>
        <v>0.74401693585629236</v>
      </c>
      <c r="V350" s="221">
        <f xml:space="preserve"> tabConsumo[[#This Row],[Média.A]] + (_xlfn.STDEV.S( tabConsumo[[#This Row],[QTD.PENDENTE]]:tabConsumo[[#This Row],[09_23]] ) * 2)</f>
        <v>1.3213672050459182</v>
      </c>
      <c r="W350" s="221">
        <f xml:space="preserve"> tabConsumo[[#This Row],[Média.A]] + (_xlfn.STDEV.S( tabConsumo[[#This Row],[QTD.PENDENTE]]:tabConsumo[[#This Row],[09_23]] ) * 3)</f>
        <v>1.8987174742355439</v>
      </c>
      <c r="X350" s="5">
        <f t="shared" si="12"/>
        <v>2</v>
      </c>
      <c r="Y350">
        <v>8.3333333333333329E-2</v>
      </c>
      <c r="Z350" s="223">
        <f>SUM( tabConsumo[[#This Row],[QTD.PENDENTE]]:tabConsumo[[#This Row],[09_23]] )</f>
        <v>2</v>
      </c>
      <c r="AA350" s="223">
        <f>LARGE(tabConsumo[[#This Row],[10_22]:[09_23]],1)</f>
        <v>2</v>
      </c>
      <c r="AB350" s="146" t="s">
        <v>2247</v>
      </c>
      <c r="AC350" s="3" t="s">
        <v>2086</v>
      </c>
    </row>
    <row r="351" spans="1:29" x14ac:dyDescent="0.3">
      <c r="A351" s="4" t="s">
        <v>1309</v>
      </c>
      <c r="B351" s="3" t="s">
        <v>345</v>
      </c>
      <c r="C351" s="2">
        <v>53813</v>
      </c>
      <c r="D351" s="2">
        <v>234</v>
      </c>
      <c r="F351" s="2">
        <v>0</v>
      </c>
      <c r="G351" s="2">
        <v>1</v>
      </c>
      <c r="H351" s="2">
        <v>4</v>
      </c>
      <c r="I351" s="2">
        <v>4</v>
      </c>
      <c r="J351" s="2">
        <v>0</v>
      </c>
      <c r="K351" s="2">
        <v>0</v>
      </c>
      <c r="L351" s="2">
        <v>0</v>
      </c>
      <c r="M351" s="2">
        <v>0</v>
      </c>
      <c r="N351" s="2">
        <v>0</v>
      </c>
      <c r="O351" s="2">
        <v>0</v>
      </c>
      <c r="P351" s="2">
        <v>0</v>
      </c>
      <c r="Q351" s="2">
        <v>0</v>
      </c>
      <c r="R351" s="238">
        <v>367</v>
      </c>
      <c r="S351" s="219">
        <f xml:space="preserve"> 12</f>
        <v>12</v>
      </c>
      <c r="T351" s="220">
        <f>SUM( tabConsumo[[#This Row],[QTD.PENDENTE]]:tabConsumo[[#This Row],[09_23]] ) / tabConsumo[[#This Row],[Div]]</f>
        <v>0.75</v>
      </c>
      <c r="U351" s="221">
        <f xml:space="preserve"> tabConsumo[[#This Row],[Média.A]] + (_xlfn.STDEV.S( tabConsumo[[#This Row],[QTD.PENDENTE]]:tabConsumo[[#This Row],[09_23]] ) * 1)</f>
        <v>2.2947859516333118</v>
      </c>
      <c r="V351" s="221">
        <f xml:space="preserve"> tabConsumo[[#This Row],[Média.A]] + (_xlfn.STDEV.S( tabConsumo[[#This Row],[QTD.PENDENTE]]:tabConsumo[[#This Row],[09_23]] ) * 2)</f>
        <v>3.8395719032666231</v>
      </c>
      <c r="W351" s="221">
        <f xml:space="preserve"> tabConsumo[[#This Row],[Média.A]] + (_xlfn.STDEV.S( tabConsumo[[#This Row],[QTD.PENDENTE]]:tabConsumo[[#This Row],[09_23]] ) * 3)</f>
        <v>5.3843578548999345</v>
      </c>
      <c r="X351" s="5">
        <f t="shared" si="12"/>
        <v>2</v>
      </c>
      <c r="Y351">
        <v>0.58333333333333337</v>
      </c>
      <c r="Z351" s="223">
        <f>SUM( tabConsumo[[#This Row],[QTD.PENDENTE]]:tabConsumo[[#This Row],[09_23]] )</f>
        <v>9</v>
      </c>
      <c r="AA351" s="223">
        <f>LARGE(tabConsumo[[#This Row],[10_22]:[09_23]],1)</f>
        <v>4</v>
      </c>
      <c r="AB351" s="146" t="s">
        <v>2247</v>
      </c>
      <c r="AC351" s="3" t="s">
        <v>2086</v>
      </c>
    </row>
    <row r="352" spans="1:29" x14ac:dyDescent="0.3">
      <c r="A352" s="4" t="s">
        <v>1310</v>
      </c>
      <c r="B352" s="3" t="s">
        <v>345</v>
      </c>
      <c r="C352" s="2">
        <v>53814</v>
      </c>
      <c r="D352" s="2">
        <v>1159</v>
      </c>
      <c r="E352" s="2">
        <v>4</v>
      </c>
      <c r="F352" s="2">
        <v>0</v>
      </c>
      <c r="G352" s="2">
        <v>32</v>
      </c>
      <c r="H352" s="2">
        <v>0</v>
      </c>
      <c r="I352" s="2">
        <v>201</v>
      </c>
      <c r="J352" s="2">
        <v>0</v>
      </c>
      <c r="K352" s="2">
        <v>0</v>
      </c>
      <c r="L352" s="2">
        <v>0</v>
      </c>
      <c r="M352" s="2">
        <v>0</v>
      </c>
      <c r="N352" s="2">
        <v>60</v>
      </c>
      <c r="O352" s="2">
        <v>0</v>
      </c>
      <c r="P352" s="2">
        <v>0</v>
      </c>
      <c r="Q352" s="2">
        <v>0</v>
      </c>
      <c r="R352" s="238">
        <v>367</v>
      </c>
      <c r="S352" s="219">
        <f xml:space="preserve"> 12</f>
        <v>12</v>
      </c>
      <c r="T352" s="220">
        <f>SUM( tabConsumo[[#This Row],[QTD.PENDENTE]]:tabConsumo[[#This Row],[09_23]] ) / tabConsumo[[#This Row],[Div]]</f>
        <v>24.75</v>
      </c>
      <c r="U352" s="221">
        <f xml:space="preserve"> tabConsumo[[#This Row],[Média.A]] + (_xlfn.STDEV.S( tabConsumo[[#This Row],[QTD.PENDENTE]]:tabConsumo[[#This Row],[09_23]] ) * 1)</f>
        <v>81.212149790584121</v>
      </c>
      <c r="V352" s="221">
        <f xml:space="preserve"> tabConsumo[[#This Row],[Média.A]] + (_xlfn.STDEV.S( tabConsumo[[#This Row],[QTD.PENDENTE]]:tabConsumo[[#This Row],[09_23]] ) * 2)</f>
        <v>137.67429958116824</v>
      </c>
      <c r="W352" s="221">
        <f xml:space="preserve"> tabConsumo[[#This Row],[Média.A]] + (_xlfn.STDEV.S( tabConsumo[[#This Row],[QTD.PENDENTE]]:tabConsumo[[#This Row],[09_23]] ) * 3)</f>
        <v>194.13644937175235</v>
      </c>
      <c r="X352" s="5">
        <f t="shared" si="12"/>
        <v>2</v>
      </c>
      <c r="Y352">
        <v>19.416666666666668</v>
      </c>
      <c r="Z352" s="223">
        <f>SUM( tabConsumo[[#This Row],[QTD.PENDENTE]]:tabConsumo[[#This Row],[09_23]] )</f>
        <v>297</v>
      </c>
      <c r="AA352" s="223">
        <f>LARGE(tabConsumo[[#This Row],[10_22]:[09_23]],1)</f>
        <v>201</v>
      </c>
      <c r="AB352" s="146" t="s">
        <v>2246</v>
      </c>
      <c r="AC352" s="3" t="s">
        <v>2086</v>
      </c>
    </row>
    <row r="353" spans="1:29" x14ac:dyDescent="0.3">
      <c r="A353" s="4" t="s">
        <v>1824</v>
      </c>
      <c r="B353" s="3" t="s">
        <v>345</v>
      </c>
      <c r="C353" s="2">
        <v>132232</v>
      </c>
      <c r="D353" s="2">
        <v>64</v>
      </c>
      <c r="F353" s="2">
        <v>0</v>
      </c>
      <c r="G353" s="2">
        <v>0</v>
      </c>
      <c r="H353" s="2">
        <v>9</v>
      </c>
      <c r="I353" s="2">
        <v>6</v>
      </c>
      <c r="J353" s="2">
        <v>0</v>
      </c>
      <c r="K353" s="2">
        <v>0</v>
      </c>
      <c r="L353" s="2">
        <v>0</v>
      </c>
      <c r="M353" s="2">
        <v>0</v>
      </c>
      <c r="N353" s="2">
        <v>0</v>
      </c>
      <c r="O353" s="2">
        <v>15</v>
      </c>
      <c r="P353" s="2">
        <v>0</v>
      </c>
      <c r="Q353" s="2">
        <v>0</v>
      </c>
      <c r="R353" s="238">
        <v>42656</v>
      </c>
      <c r="S353" s="219">
        <v>12</v>
      </c>
      <c r="T353" s="220">
        <f>SUM( tabConsumo[[#This Row],[QTD.PENDENTE]]:tabConsumo[[#This Row],[09_23]] ) / tabConsumo[[#This Row],[Div]]</f>
        <v>2.5</v>
      </c>
      <c r="U353" s="221">
        <f xml:space="preserve"> tabConsumo[[#This Row],[Média.A]] + (_xlfn.STDEV.S( tabConsumo[[#This Row],[QTD.PENDENTE]]:tabConsumo[[#This Row],[09_23]] ) * 1)</f>
        <v>7.4267359653960829</v>
      </c>
      <c r="V353" s="221">
        <f xml:space="preserve"> tabConsumo[[#This Row],[Média.A]] + (_xlfn.STDEV.S( tabConsumo[[#This Row],[QTD.PENDENTE]]:tabConsumo[[#This Row],[09_23]] ) * 2)</f>
        <v>12.353471930792166</v>
      </c>
      <c r="W353" s="221">
        <f xml:space="preserve"> tabConsumo[[#This Row],[Média.A]] + (_xlfn.STDEV.S( tabConsumo[[#This Row],[QTD.PENDENTE]]:tabConsumo[[#This Row],[09_23]] ) * 3)</f>
        <v>17.280207896188248</v>
      </c>
      <c r="X353" s="5">
        <f t="shared" si="12"/>
        <v>2</v>
      </c>
      <c r="Y353">
        <v>2.25</v>
      </c>
      <c r="Z353" s="223">
        <f>SUM( tabConsumo[[#This Row],[QTD.PENDENTE]]:tabConsumo[[#This Row],[09_23]] )</f>
        <v>30</v>
      </c>
      <c r="AA353" s="223">
        <f>LARGE(tabConsumo[[#This Row],[10_22]:[09_23]],1)</f>
        <v>15</v>
      </c>
      <c r="AB353" s="146" t="s">
        <v>2239</v>
      </c>
      <c r="AC353" s="3" t="s">
        <v>2086</v>
      </c>
    </row>
    <row r="354" spans="1:29" x14ac:dyDescent="0.3">
      <c r="A354" s="4" t="s">
        <v>1715</v>
      </c>
      <c r="B354" s="3" t="s">
        <v>393</v>
      </c>
      <c r="C354" s="2">
        <v>115282</v>
      </c>
      <c r="D354" s="2">
        <v>1080</v>
      </c>
      <c r="E354" s="2">
        <v>3</v>
      </c>
      <c r="F354" s="2">
        <v>15</v>
      </c>
      <c r="G354" s="2">
        <v>29</v>
      </c>
      <c r="H354" s="2">
        <v>6</v>
      </c>
      <c r="I354" s="2">
        <v>25</v>
      </c>
      <c r="J354" s="2">
        <v>105</v>
      </c>
      <c r="K354" s="2">
        <v>250</v>
      </c>
      <c r="L354" s="2">
        <v>26</v>
      </c>
      <c r="M354" s="2">
        <v>27</v>
      </c>
      <c r="N354" s="2">
        <v>33</v>
      </c>
      <c r="O354" s="2">
        <v>32</v>
      </c>
      <c r="P354" s="2">
        <v>15</v>
      </c>
      <c r="Q354" s="2">
        <v>28</v>
      </c>
      <c r="R354" s="238">
        <v>40312</v>
      </c>
      <c r="S354" s="219">
        <v>12</v>
      </c>
      <c r="T354" s="220">
        <f>SUM( tabConsumo[[#This Row],[QTD.PENDENTE]]:tabConsumo[[#This Row],[09_23]] ) / tabConsumo[[#This Row],[Div]]</f>
        <v>49.5</v>
      </c>
      <c r="U354" s="221">
        <f xml:space="preserve"> tabConsumo[[#This Row],[Média.A]] + (_xlfn.STDEV.S( tabConsumo[[#This Row],[QTD.PENDENTE]]:tabConsumo[[#This Row],[09_23]] ) * 1)</f>
        <v>115.73617417416837</v>
      </c>
      <c r="V354" s="221">
        <f xml:space="preserve"> tabConsumo[[#This Row],[Média.A]] + (_xlfn.STDEV.S( tabConsumo[[#This Row],[QTD.PENDENTE]]:tabConsumo[[#This Row],[09_23]] ) * 2)</f>
        <v>181.97234834833674</v>
      </c>
      <c r="W354" s="221">
        <f xml:space="preserve"> tabConsumo[[#This Row],[Média.A]] + (_xlfn.STDEV.S( tabConsumo[[#This Row],[QTD.PENDENTE]]:tabConsumo[[#This Row],[09_23]] ) * 3)</f>
        <v>248.20852252250512</v>
      </c>
      <c r="X354" s="5">
        <f t="shared" si="12"/>
        <v>2</v>
      </c>
      <c r="Y354">
        <v>43.75</v>
      </c>
      <c r="Z354" s="223">
        <f>SUM( tabConsumo[[#This Row],[QTD.PENDENTE]]:tabConsumo[[#This Row],[09_23]] )</f>
        <v>594</v>
      </c>
      <c r="AA354" s="223">
        <f>LARGE(tabConsumo[[#This Row],[10_22]:[09_23]],1)</f>
        <v>250</v>
      </c>
      <c r="AB354" s="146" t="s">
        <v>2238</v>
      </c>
      <c r="AC354" s="3" t="s">
        <v>2086</v>
      </c>
    </row>
    <row r="355" spans="1:29" x14ac:dyDescent="0.3">
      <c r="A355" s="4" t="s">
        <v>1915</v>
      </c>
      <c r="B355" s="3" t="s">
        <v>263</v>
      </c>
      <c r="C355" s="2">
        <v>135303</v>
      </c>
      <c r="D355" s="2">
        <v>106</v>
      </c>
      <c r="F355" s="2">
        <v>8</v>
      </c>
      <c r="G355" s="2">
        <v>6</v>
      </c>
      <c r="H355" s="2">
        <v>3</v>
      </c>
      <c r="I355" s="2">
        <v>3</v>
      </c>
      <c r="J355" s="2">
        <v>2</v>
      </c>
      <c r="K355" s="2">
        <v>6</v>
      </c>
      <c r="L355" s="2">
        <v>7</v>
      </c>
      <c r="M355" s="2">
        <v>1</v>
      </c>
      <c r="N355" s="2">
        <v>3</v>
      </c>
      <c r="O355" s="2">
        <v>4</v>
      </c>
      <c r="P355" s="2">
        <v>0</v>
      </c>
      <c r="Q355" s="2">
        <v>0</v>
      </c>
      <c r="R355" s="238">
        <v>43277</v>
      </c>
      <c r="S355" s="219">
        <v>12</v>
      </c>
      <c r="T355" s="220">
        <f>SUM( tabConsumo[[#This Row],[QTD.PENDENTE]]:tabConsumo[[#This Row],[09_23]] ) / tabConsumo[[#This Row],[Div]]</f>
        <v>3.5833333333333335</v>
      </c>
      <c r="U355" s="221">
        <f xml:space="preserve"> tabConsumo[[#This Row],[Média.A]] + (_xlfn.STDEV.S( tabConsumo[[#This Row],[QTD.PENDENTE]]:tabConsumo[[#This Row],[09_23]] ) * 1)</f>
        <v>6.2618109651687055</v>
      </c>
      <c r="V355" s="221">
        <f xml:space="preserve"> tabConsumo[[#This Row],[Média.A]] + (_xlfn.STDEV.S( tabConsumo[[#This Row],[QTD.PENDENTE]]:tabConsumo[[#This Row],[09_23]] ) * 2)</f>
        <v>8.9402885970040771</v>
      </c>
      <c r="W355" s="221">
        <f xml:space="preserve"> tabConsumo[[#This Row],[Média.A]] + (_xlfn.STDEV.S( tabConsumo[[#This Row],[QTD.PENDENTE]]:tabConsumo[[#This Row],[09_23]] ) * 3)</f>
        <v>11.61876622883945</v>
      </c>
      <c r="X355" s="5">
        <f t="shared" si="12"/>
        <v>2</v>
      </c>
      <c r="Y355">
        <v>3.5833333333333335</v>
      </c>
      <c r="Z355" s="223">
        <f>SUM( tabConsumo[[#This Row],[QTD.PENDENTE]]:tabConsumo[[#This Row],[09_23]] )</f>
        <v>43</v>
      </c>
      <c r="AA355" s="223">
        <f>LARGE(tabConsumo[[#This Row],[10_22]:[09_23]],1)</f>
        <v>8</v>
      </c>
      <c r="AB355" s="146" t="s">
        <v>2239</v>
      </c>
      <c r="AC355" s="3" t="s">
        <v>2086</v>
      </c>
    </row>
    <row r="356" spans="1:29" x14ac:dyDescent="0.3">
      <c r="A356" s="4" t="s">
        <v>623</v>
      </c>
      <c r="B356" s="3" t="s">
        <v>260</v>
      </c>
      <c r="C356" s="2">
        <v>100383</v>
      </c>
      <c r="D356" s="2">
        <v>74</v>
      </c>
      <c r="F356" s="2">
        <v>0</v>
      </c>
      <c r="G356" s="2">
        <v>0</v>
      </c>
      <c r="H356" s="2">
        <v>0</v>
      </c>
      <c r="I356" s="2">
        <v>0</v>
      </c>
      <c r="J356" s="2">
        <v>0</v>
      </c>
      <c r="K356" s="2">
        <v>0</v>
      </c>
      <c r="L356" s="2">
        <v>3</v>
      </c>
      <c r="M356" s="2">
        <v>0</v>
      </c>
      <c r="N356" s="2">
        <v>0</v>
      </c>
      <c r="O356" s="2">
        <v>0</v>
      </c>
      <c r="P356" s="2">
        <v>0</v>
      </c>
      <c r="Q356" s="2">
        <v>0</v>
      </c>
      <c r="R356" s="238">
        <v>39260</v>
      </c>
      <c r="S356" s="219">
        <v>12</v>
      </c>
      <c r="T356" s="220">
        <f>SUM( tabConsumo[[#This Row],[QTD.PENDENTE]]:tabConsumo[[#This Row],[09_23]] ) / tabConsumo[[#This Row],[Div]]</f>
        <v>0.25</v>
      </c>
      <c r="U356" s="221">
        <f xml:space="preserve"> tabConsumo[[#This Row],[Média.A]] + (_xlfn.STDEV.S( tabConsumo[[#This Row],[QTD.PENDENTE]]:tabConsumo[[#This Row],[09_23]] ) * 1)</f>
        <v>1.1160254037844386</v>
      </c>
      <c r="V356" s="221">
        <f xml:space="preserve"> tabConsumo[[#This Row],[Média.A]] + (_xlfn.STDEV.S( tabConsumo[[#This Row],[QTD.PENDENTE]]:tabConsumo[[#This Row],[09_23]] ) * 2)</f>
        <v>1.9820508075688772</v>
      </c>
      <c r="W356" s="221">
        <f xml:space="preserve"> tabConsumo[[#This Row],[Média.A]] + (_xlfn.STDEV.S( tabConsumo[[#This Row],[QTD.PENDENTE]]:tabConsumo[[#This Row],[09_23]] ) * 3)</f>
        <v>2.848076211353316</v>
      </c>
      <c r="X356" s="5">
        <f t="shared" si="12"/>
        <v>2</v>
      </c>
      <c r="Y356">
        <v>8.3333333333333329E-2</v>
      </c>
      <c r="Z356" s="223">
        <f>SUM( tabConsumo[[#This Row],[QTD.PENDENTE]]:tabConsumo[[#This Row],[09_23]] )</f>
        <v>3</v>
      </c>
      <c r="AA356" s="223">
        <f>LARGE(tabConsumo[[#This Row],[10_22]:[09_23]],1)</f>
        <v>3</v>
      </c>
      <c r="AB356" s="146" t="s">
        <v>2240</v>
      </c>
      <c r="AC356" s="3" t="s">
        <v>2086</v>
      </c>
    </row>
    <row r="357" spans="1:29" x14ac:dyDescent="0.3">
      <c r="A357" s="4" t="s">
        <v>1832</v>
      </c>
      <c r="B357" s="3" t="s">
        <v>260</v>
      </c>
      <c r="C357" s="2">
        <v>132394</v>
      </c>
      <c r="D357" s="2">
        <v>2790</v>
      </c>
      <c r="E357" s="2">
        <v>2</v>
      </c>
      <c r="F357" s="2">
        <v>439</v>
      </c>
      <c r="G357" s="2">
        <v>503</v>
      </c>
      <c r="H357" s="2">
        <v>303</v>
      </c>
      <c r="I357" s="2">
        <v>153</v>
      </c>
      <c r="J357" s="2">
        <v>320</v>
      </c>
      <c r="K357" s="2">
        <v>3897</v>
      </c>
      <c r="L357" s="2">
        <v>321</v>
      </c>
      <c r="M357" s="2">
        <v>430</v>
      </c>
      <c r="N357" s="2">
        <v>376</v>
      </c>
      <c r="O357" s="2">
        <v>368</v>
      </c>
      <c r="P357" s="2">
        <v>412</v>
      </c>
      <c r="Q357" s="2">
        <v>390</v>
      </c>
      <c r="R357" s="238">
        <v>42765</v>
      </c>
      <c r="S357" s="219">
        <v>12</v>
      </c>
      <c r="T357" s="220">
        <f>SUM( tabConsumo[[#This Row],[QTD.PENDENTE]]:tabConsumo[[#This Row],[09_23]] ) / tabConsumo[[#This Row],[Div]]</f>
        <v>659.5</v>
      </c>
      <c r="U357" s="221">
        <f xml:space="preserve"> tabConsumo[[#This Row],[Média.A]] + (_xlfn.STDEV.S( tabConsumo[[#This Row],[QTD.PENDENTE]]:tabConsumo[[#This Row],[09_23]] ) * 1)</f>
        <v>1656.1086789579745</v>
      </c>
      <c r="V357" s="221">
        <f xml:space="preserve"> tabConsumo[[#This Row],[Média.A]] + (_xlfn.STDEV.S( tabConsumo[[#This Row],[QTD.PENDENTE]]:tabConsumo[[#This Row],[09_23]] ) * 2)</f>
        <v>2652.7173579159489</v>
      </c>
      <c r="W357" s="221">
        <f xml:space="preserve"> tabConsumo[[#This Row],[Média.A]] + (_xlfn.STDEV.S( tabConsumo[[#This Row],[QTD.PENDENTE]]:tabConsumo[[#This Row],[09_23]] ) * 3)</f>
        <v>3649.3260368739234</v>
      </c>
      <c r="X357" s="5">
        <f t="shared" si="12"/>
        <v>2</v>
      </c>
      <c r="Y357">
        <v>555.75</v>
      </c>
      <c r="Z357" s="223">
        <f>SUM( tabConsumo[[#This Row],[QTD.PENDENTE]]:tabConsumo[[#This Row],[09_23]] )</f>
        <v>7914</v>
      </c>
      <c r="AA357" s="223">
        <f>LARGE(tabConsumo[[#This Row],[10_22]:[09_23]],1)</f>
        <v>3897</v>
      </c>
      <c r="AB357" s="146" t="s">
        <v>2238</v>
      </c>
      <c r="AC357" s="3" t="s">
        <v>2086</v>
      </c>
    </row>
    <row r="358" spans="1:29" x14ac:dyDescent="0.3">
      <c r="A358" s="4" t="s">
        <v>1833</v>
      </c>
      <c r="B358" s="3" t="s">
        <v>260</v>
      </c>
      <c r="C358" s="2">
        <v>132395</v>
      </c>
      <c r="D358" s="2">
        <v>2592</v>
      </c>
      <c r="E358" s="2">
        <v>2</v>
      </c>
      <c r="F358" s="2">
        <v>441</v>
      </c>
      <c r="G358" s="2">
        <v>499</v>
      </c>
      <c r="H358" s="2">
        <v>315</v>
      </c>
      <c r="I358" s="2">
        <v>153</v>
      </c>
      <c r="J358" s="2">
        <v>323</v>
      </c>
      <c r="K358" s="2">
        <v>3929</v>
      </c>
      <c r="L358" s="2">
        <v>331</v>
      </c>
      <c r="M358" s="2">
        <v>430</v>
      </c>
      <c r="N358" s="2">
        <v>383</v>
      </c>
      <c r="O358" s="2">
        <v>368</v>
      </c>
      <c r="P358" s="2">
        <v>426</v>
      </c>
      <c r="Q358" s="2">
        <v>403</v>
      </c>
      <c r="R358" s="238">
        <v>42765</v>
      </c>
      <c r="S358" s="219">
        <v>12</v>
      </c>
      <c r="T358" s="220">
        <f>SUM( tabConsumo[[#This Row],[QTD.PENDENTE]]:tabConsumo[[#This Row],[09_23]] ) / tabConsumo[[#This Row],[Div]]</f>
        <v>666.91666666666663</v>
      </c>
      <c r="U358" s="221">
        <f xml:space="preserve"> tabConsumo[[#This Row],[Média.A]] + (_xlfn.STDEV.S( tabConsumo[[#This Row],[QTD.PENDENTE]]:tabConsumo[[#This Row],[09_23]] ) * 1)</f>
        <v>1671.1236123425017</v>
      </c>
      <c r="V358" s="221">
        <f xml:space="preserve"> tabConsumo[[#This Row],[Média.A]] + (_xlfn.STDEV.S( tabConsumo[[#This Row],[QTD.PENDENTE]]:tabConsumo[[#This Row],[09_23]] ) * 2)</f>
        <v>2675.3305580183369</v>
      </c>
      <c r="W358" s="221">
        <f xml:space="preserve"> tabConsumo[[#This Row],[Média.A]] + (_xlfn.STDEV.S( tabConsumo[[#This Row],[QTD.PENDENTE]]:tabConsumo[[#This Row],[09_23]] ) * 3)</f>
        <v>3679.5375036941718</v>
      </c>
      <c r="X358" s="5">
        <f t="shared" si="12"/>
        <v>2</v>
      </c>
      <c r="Y358">
        <v>562.41666666666663</v>
      </c>
      <c r="Z358" s="223">
        <f>SUM( tabConsumo[[#This Row],[QTD.PENDENTE]]:tabConsumo[[#This Row],[09_23]] )</f>
        <v>8003</v>
      </c>
      <c r="AA358" s="223">
        <f>LARGE(tabConsumo[[#This Row],[10_22]:[09_23]],1)</f>
        <v>3929</v>
      </c>
      <c r="AB358" s="146" t="s">
        <v>2238</v>
      </c>
      <c r="AC358" s="3" t="s">
        <v>2086</v>
      </c>
    </row>
    <row r="359" spans="1:29" x14ac:dyDescent="0.3">
      <c r="A359" s="4" t="s">
        <v>1825</v>
      </c>
      <c r="B359" s="3" t="s">
        <v>260</v>
      </c>
      <c r="C359" s="2">
        <v>132290</v>
      </c>
      <c r="D359" s="2">
        <v>2474</v>
      </c>
      <c r="E359" s="2">
        <v>2</v>
      </c>
      <c r="F359" s="2">
        <v>441</v>
      </c>
      <c r="G359" s="2">
        <v>482</v>
      </c>
      <c r="H359" s="2">
        <v>308</v>
      </c>
      <c r="I359" s="2">
        <v>149</v>
      </c>
      <c r="J359" s="2">
        <v>323</v>
      </c>
      <c r="K359" s="2">
        <v>3921</v>
      </c>
      <c r="L359" s="2">
        <v>331</v>
      </c>
      <c r="M359" s="2">
        <v>442</v>
      </c>
      <c r="N359" s="2">
        <v>364</v>
      </c>
      <c r="O359" s="2">
        <v>379</v>
      </c>
      <c r="P359" s="2">
        <v>418</v>
      </c>
      <c r="Q359" s="2">
        <v>380</v>
      </c>
      <c r="R359" s="238">
        <v>42685</v>
      </c>
      <c r="S359" s="219">
        <v>12</v>
      </c>
      <c r="T359" s="220">
        <f>SUM( tabConsumo[[#This Row],[QTD.PENDENTE]]:tabConsumo[[#This Row],[09_23]] ) / tabConsumo[[#This Row],[Div]]</f>
        <v>661.66666666666663</v>
      </c>
      <c r="U359" s="221">
        <f xml:space="preserve"> tabConsumo[[#This Row],[Média.A]] + (_xlfn.STDEV.S( tabConsumo[[#This Row],[QTD.PENDENTE]]:tabConsumo[[#This Row],[09_23]] ) * 1)</f>
        <v>1664.7088021928994</v>
      </c>
      <c r="V359" s="221">
        <f xml:space="preserve"> tabConsumo[[#This Row],[Média.A]] + (_xlfn.STDEV.S( tabConsumo[[#This Row],[QTD.PENDENTE]]:tabConsumo[[#This Row],[09_23]] ) * 2)</f>
        <v>2667.7509377191323</v>
      </c>
      <c r="W359" s="221">
        <f xml:space="preserve"> tabConsumo[[#This Row],[Média.A]] + (_xlfn.STDEV.S( tabConsumo[[#This Row],[QTD.PENDENTE]]:tabConsumo[[#This Row],[09_23]] ) * 3)</f>
        <v>3670.7930732453651</v>
      </c>
      <c r="X359" s="5">
        <f t="shared" si="12"/>
        <v>2</v>
      </c>
      <c r="Y359">
        <v>557.16666666666663</v>
      </c>
      <c r="Z359" s="223">
        <f>SUM( tabConsumo[[#This Row],[QTD.PENDENTE]]:tabConsumo[[#This Row],[09_23]] )</f>
        <v>7940</v>
      </c>
      <c r="AA359" s="223">
        <f>LARGE(tabConsumo[[#This Row],[10_22]:[09_23]],1)</f>
        <v>3921</v>
      </c>
      <c r="AB359" s="146" t="s">
        <v>2238</v>
      </c>
      <c r="AC359" s="3" t="s">
        <v>2086</v>
      </c>
    </row>
    <row r="360" spans="1:29" x14ac:dyDescent="0.3">
      <c r="A360" s="4" t="s">
        <v>916</v>
      </c>
      <c r="B360" s="3" t="s">
        <v>260</v>
      </c>
      <c r="C360" s="2">
        <v>10547</v>
      </c>
      <c r="D360" s="2">
        <v>0</v>
      </c>
      <c r="E360" s="2">
        <v>1526</v>
      </c>
      <c r="F360" s="2">
        <v>0</v>
      </c>
      <c r="G360" s="2">
        <v>0</v>
      </c>
      <c r="H360" s="2">
        <v>4</v>
      </c>
      <c r="I360" s="2">
        <v>653</v>
      </c>
      <c r="J360" s="2">
        <v>1227</v>
      </c>
      <c r="K360" s="2">
        <v>11820</v>
      </c>
      <c r="L360" s="2">
        <v>1295</v>
      </c>
      <c r="M360" s="2">
        <v>114</v>
      </c>
      <c r="N360" s="2">
        <v>0</v>
      </c>
      <c r="O360" s="2">
        <v>0</v>
      </c>
      <c r="P360" s="2">
        <v>0</v>
      </c>
      <c r="Q360" s="2">
        <v>0</v>
      </c>
      <c r="R360" s="238">
        <v>367</v>
      </c>
      <c r="S360" s="219">
        <f xml:space="preserve"> 12</f>
        <v>12</v>
      </c>
      <c r="T360" s="220">
        <f>SUM( tabConsumo[[#This Row],[QTD.PENDENTE]]:tabConsumo[[#This Row],[09_23]] ) / tabConsumo[[#This Row],[Div]]</f>
        <v>1386.5833333333333</v>
      </c>
      <c r="U360" s="221">
        <f xml:space="preserve"> tabConsumo[[#This Row],[Média.A]] + (_xlfn.STDEV.S( tabConsumo[[#This Row],[QTD.PENDENTE]]:tabConsumo[[#This Row],[09_23]] ) * 1)</f>
        <v>4605.879463999644</v>
      </c>
      <c r="V360" s="221">
        <f xml:space="preserve"> tabConsumo[[#This Row],[Média.A]] + (_xlfn.STDEV.S( tabConsumo[[#This Row],[QTD.PENDENTE]]:tabConsumo[[#This Row],[09_23]] ) * 2)</f>
        <v>7825.1755946659541</v>
      </c>
      <c r="W360" s="221">
        <f xml:space="preserve"> tabConsumo[[#This Row],[Média.A]] + (_xlfn.STDEV.S( tabConsumo[[#This Row],[QTD.PENDENTE]]:tabConsumo[[#This Row],[09_23]] ) * 3)</f>
        <v>11044.471725332265</v>
      </c>
      <c r="X360" s="5">
        <f t="shared" si="12"/>
        <v>2</v>
      </c>
      <c r="Y360">
        <v>1053.6666666666667</v>
      </c>
      <c r="Z360" s="223">
        <f>SUM( tabConsumo[[#This Row],[QTD.PENDENTE]]:tabConsumo[[#This Row],[09_23]] )</f>
        <v>16639</v>
      </c>
      <c r="AA360" s="223">
        <f>LARGE(tabConsumo[[#This Row],[10_22]:[09_23]],1)</f>
        <v>11820</v>
      </c>
      <c r="AB360" s="146" t="s">
        <v>2244</v>
      </c>
      <c r="AC360" s="3" t="s">
        <v>2086</v>
      </c>
    </row>
    <row r="361" spans="1:29" x14ac:dyDescent="0.3">
      <c r="A361" s="4" t="s">
        <v>1820</v>
      </c>
      <c r="B361" s="3" t="s">
        <v>31</v>
      </c>
      <c r="C361" s="2">
        <v>131930</v>
      </c>
      <c r="D361" s="2">
        <v>8282</v>
      </c>
      <c r="E361" s="2">
        <v>72</v>
      </c>
      <c r="F361" s="2">
        <v>1194</v>
      </c>
      <c r="G361" s="2">
        <v>1216</v>
      </c>
      <c r="H361" s="2">
        <v>852</v>
      </c>
      <c r="I361" s="2">
        <v>413</v>
      </c>
      <c r="J361" s="2">
        <v>867</v>
      </c>
      <c r="K361" s="2">
        <v>5008</v>
      </c>
      <c r="L361" s="2">
        <v>1131</v>
      </c>
      <c r="M361" s="2">
        <v>1286</v>
      </c>
      <c r="N361" s="2">
        <v>1148</v>
      </c>
      <c r="O361" s="2">
        <v>1127</v>
      </c>
      <c r="P361" s="2">
        <v>1265</v>
      </c>
      <c r="Q361" s="2">
        <v>1198</v>
      </c>
      <c r="R361" s="238">
        <v>42590</v>
      </c>
      <c r="S361" s="219">
        <v>12</v>
      </c>
      <c r="T361" s="220">
        <f>SUM( tabConsumo[[#This Row],[QTD.PENDENTE]]:tabConsumo[[#This Row],[09_23]] ) / tabConsumo[[#This Row],[Div]]</f>
        <v>1398.0833333333333</v>
      </c>
      <c r="U361" s="221">
        <f xml:space="preserve"> tabConsumo[[#This Row],[Média.A]] + (_xlfn.STDEV.S( tabConsumo[[#This Row],[QTD.PENDENTE]]:tabConsumo[[#This Row],[09_23]] ) * 1)</f>
        <v>2572.205602334353</v>
      </c>
      <c r="V361" s="221">
        <f xml:space="preserve"> tabConsumo[[#This Row],[Média.A]] + (_xlfn.STDEV.S( tabConsumo[[#This Row],[QTD.PENDENTE]]:tabConsumo[[#This Row],[09_23]] ) * 2)</f>
        <v>3746.3278713353729</v>
      </c>
      <c r="W361" s="221">
        <f xml:space="preserve"> tabConsumo[[#This Row],[Média.A]] + (_xlfn.STDEV.S( tabConsumo[[#This Row],[QTD.PENDENTE]]:tabConsumo[[#This Row],[09_23]] ) * 3)</f>
        <v>4920.450140336392</v>
      </c>
      <c r="X361" s="5">
        <f t="shared" si="12"/>
        <v>2</v>
      </c>
      <c r="Y361">
        <v>1292.9166666666667</v>
      </c>
      <c r="Z361" s="223">
        <f>SUM( tabConsumo[[#This Row],[QTD.PENDENTE]]:tabConsumo[[#This Row],[09_23]] )</f>
        <v>16777</v>
      </c>
      <c r="AA361" s="223">
        <f>LARGE(tabConsumo[[#This Row],[10_22]:[09_23]],1)</f>
        <v>5008</v>
      </c>
      <c r="AB361" s="146" t="s">
        <v>2238</v>
      </c>
      <c r="AC361" s="3" t="s">
        <v>2086</v>
      </c>
    </row>
    <row r="362" spans="1:29" x14ac:dyDescent="0.3">
      <c r="A362" s="4" t="s">
        <v>1826</v>
      </c>
      <c r="B362" s="3" t="s">
        <v>260</v>
      </c>
      <c r="C362" s="2">
        <v>132296</v>
      </c>
      <c r="D362" s="2">
        <v>3024</v>
      </c>
      <c r="E362" s="2">
        <v>293</v>
      </c>
      <c r="F362" s="2">
        <v>0</v>
      </c>
      <c r="G362" s="2">
        <v>0</v>
      </c>
      <c r="H362" s="2">
        <v>0</v>
      </c>
      <c r="I362" s="2">
        <v>0</v>
      </c>
      <c r="J362" s="2">
        <v>0</v>
      </c>
      <c r="K362" s="2">
        <v>588</v>
      </c>
      <c r="L362" s="2">
        <v>863</v>
      </c>
      <c r="M362" s="2">
        <v>1018</v>
      </c>
      <c r="N362" s="2">
        <v>1039</v>
      </c>
      <c r="O362" s="2">
        <v>858</v>
      </c>
      <c r="P362" s="2">
        <v>1047</v>
      </c>
      <c r="Q362" s="2">
        <v>971</v>
      </c>
      <c r="R362" s="238">
        <v>42685</v>
      </c>
      <c r="S362" s="219">
        <v>12</v>
      </c>
      <c r="T362" s="220">
        <f>SUM( tabConsumo[[#This Row],[QTD.PENDENTE]]:tabConsumo[[#This Row],[09_23]] ) / tabConsumo[[#This Row],[Div]]</f>
        <v>556.41666666666663</v>
      </c>
      <c r="U362" s="221">
        <f xml:space="preserve"> tabConsumo[[#This Row],[Média.A]] + (_xlfn.STDEV.S( tabConsumo[[#This Row],[QTD.PENDENTE]]:tabConsumo[[#This Row],[09_23]] ) * 1)</f>
        <v>1025.2815260987384</v>
      </c>
      <c r="V362" s="221">
        <f xml:space="preserve"> tabConsumo[[#This Row],[Média.A]] + (_xlfn.STDEV.S( tabConsumo[[#This Row],[QTD.PENDENTE]]:tabConsumo[[#This Row],[09_23]] ) * 2)</f>
        <v>1494.1463855308102</v>
      </c>
      <c r="W362" s="221">
        <f xml:space="preserve"> tabConsumo[[#This Row],[Média.A]] + (_xlfn.STDEV.S( tabConsumo[[#This Row],[QTD.PENDENTE]]:tabConsumo[[#This Row],[09_23]] ) * 3)</f>
        <v>1963.0112449628818</v>
      </c>
      <c r="X362" s="5">
        <f t="shared" si="12"/>
        <v>2</v>
      </c>
      <c r="Y362">
        <v>556.41666666666663</v>
      </c>
      <c r="Z362" s="223">
        <f>SUM( tabConsumo[[#This Row],[QTD.PENDENTE]]:tabConsumo[[#This Row],[09_23]] )</f>
        <v>6677</v>
      </c>
      <c r="AA362" s="223">
        <f>LARGE(tabConsumo[[#This Row],[10_22]:[09_23]],1)</f>
        <v>1047</v>
      </c>
      <c r="AB362" s="146" t="s">
        <v>2238</v>
      </c>
      <c r="AC362" s="3" t="s">
        <v>2086</v>
      </c>
    </row>
    <row r="363" spans="1:29" x14ac:dyDescent="0.3">
      <c r="A363" s="4" t="s">
        <v>1827</v>
      </c>
      <c r="B363" s="3" t="s">
        <v>260</v>
      </c>
      <c r="C363" s="2">
        <v>132297</v>
      </c>
      <c r="D363" s="2">
        <v>0</v>
      </c>
      <c r="E363" s="2">
        <v>831</v>
      </c>
      <c r="F363" s="2">
        <v>1621</v>
      </c>
      <c r="G363" s="2">
        <v>1631</v>
      </c>
      <c r="H363" s="2">
        <v>1125</v>
      </c>
      <c r="I363" s="2">
        <v>677</v>
      </c>
      <c r="J363" s="2">
        <v>1240</v>
      </c>
      <c r="K363" s="2">
        <v>7873</v>
      </c>
      <c r="L363" s="2">
        <v>1451</v>
      </c>
      <c r="M363" s="2">
        <v>1639</v>
      </c>
      <c r="N363" s="2">
        <v>1557</v>
      </c>
      <c r="O363" s="2">
        <v>1543</v>
      </c>
      <c r="P363" s="2">
        <v>1906</v>
      </c>
      <c r="Q363" s="2">
        <v>1774</v>
      </c>
      <c r="R363" s="238">
        <v>42685</v>
      </c>
      <c r="S363" s="219">
        <v>12</v>
      </c>
      <c r="T363" s="220">
        <f>SUM( tabConsumo[[#This Row],[QTD.PENDENTE]]:tabConsumo[[#This Row],[09_23]] ) / tabConsumo[[#This Row],[Div]]</f>
        <v>2072.3333333333335</v>
      </c>
      <c r="U363" s="221">
        <f xml:space="preserve"> tabConsumo[[#This Row],[Média.A]] + (_xlfn.STDEV.S( tabConsumo[[#This Row],[QTD.PENDENTE]]:tabConsumo[[#This Row],[09_23]] ) * 1)</f>
        <v>3898.764437131962</v>
      </c>
      <c r="V363" s="221">
        <f xml:space="preserve"> tabConsumo[[#This Row],[Média.A]] + (_xlfn.STDEV.S( tabConsumo[[#This Row],[QTD.PENDENTE]]:tabConsumo[[#This Row],[09_23]] ) * 2)</f>
        <v>5725.1955409305901</v>
      </c>
      <c r="W363" s="221">
        <f xml:space="preserve"> tabConsumo[[#This Row],[Média.A]] + (_xlfn.STDEV.S( tabConsumo[[#This Row],[QTD.PENDENTE]]:tabConsumo[[#This Row],[09_23]] ) * 3)</f>
        <v>7551.6266447292201</v>
      </c>
      <c r="X363" s="5">
        <f t="shared" si="12"/>
        <v>2</v>
      </c>
      <c r="Y363">
        <v>1893.3333333333333</v>
      </c>
      <c r="Z363" s="223">
        <f>SUM( tabConsumo[[#This Row],[QTD.PENDENTE]]:tabConsumo[[#This Row],[09_23]] )</f>
        <v>24868</v>
      </c>
      <c r="AA363" s="223">
        <f>LARGE(tabConsumo[[#This Row],[10_22]:[09_23]],1)</f>
        <v>7873</v>
      </c>
      <c r="AB363" s="146" t="s">
        <v>2238</v>
      </c>
      <c r="AC363" s="3" t="s">
        <v>2086</v>
      </c>
    </row>
    <row r="364" spans="1:29" x14ac:dyDescent="0.3">
      <c r="A364" s="4" t="s">
        <v>1888</v>
      </c>
      <c r="B364" s="3" t="s">
        <v>260</v>
      </c>
      <c r="C364" s="2">
        <v>134556</v>
      </c>
      <c r="D364" s="2">
        <v>580</v>
      </c>
      <c r="E364" s="2">
        <v>9</v>
      </c>
      <c r="F364" s="2">
        <v>60</v>
      </c>
      <c r="G364" s="2">
        <v>10</v>
      </c>
      <c r="H364" s="2">
        <v>23</v>
      </c>
      <c r="I364" s="2">
        <v>0</v>
      </c>
      <c r="J364" s="2">
        <v>0</v>
      </c>
      <c r="K364" s="2">
        <v>0</v>
      </c>
      <c r="L364" s="2">
        <v>0</v>
      </c>
      <c r="M364" s="2">
        <v>0</v>
      </c>
      <c r="N364" s="2">
        <v>0</v>
      </c>
      <c r="O364" s="2">
        <v>0</v>
      </c>
      <c r="P364" s="2">
        <v>0</v>
      </c>
      <c r="Q364" s="2">
        <v>0</v>
      </c>
      <c r="R364" s="238">
        <v>43174</v>
      </c>
      <c r="S364" s="219">
        <v>12</v>
      </c>
      <c r="T364" s="220">
        <f>SUM( tabConsumo[[#This Row],[QTD.PENDENTE]]:tabConsumo[[#This Row],[09_23]] ) / tabConsumo[[#This Row],[Div]]</f>
        <v>8.5</v>
      </c>
      <c r="U364" s="221">
        <f xml:space="preserve"> tabConsumo[[#This Row],[Média.A]] + (_xlfn.STDEV.S( tabConsumo[[#This Row],[QTD.PENDENTE]]:tabConsumo[[#This Row],[09_23]] ) * 1)</f>
        <v>25.601881737819348</v>
      </c>
      <c r="V364" s="221">
        <f xml:space="preserve"> tabConsumo[[#This Row],[Média.A]] + (_xlfn.STDEV.S( tabConsumo[[#This Row],[QTD.PENDENTE]]:tabConsumo[[#This Row],[09_23]] ) * 2)</f>
        <v>42.703763475638695</v>
      </c>
      <c r="W364" s="221">
        <f xml:space="preserve"> tabConsumo[[#This Row],[Média.A]] + (_xlfn.STDEV.S( tabConsumo[[#This Row],[QTD.PENDENTE]]:tabConsumo[[#This Row],[09_23]] ) * 3)</f>
        <v>59.805645213458043</v>
      </c>
      <c r="X364" s="5">
        <f t="shared" si="12"/>
        <v>2</v>
      </c>
      <c r="Y364">
        <v>7</v>
      </c>
      <c r="Z364" s="223">
        <f>SUM( tabConsumo[[#This Row],[QTD.PENDENTE]]:tabConsumo[[#This Row],[09_23]] )</f>
        <v>102</v>
      </c>
      <c r="AA364" s="223">
        <f>LARGE(tabConsumo[[#This Row],[10_22]:[09_23]],1)</f>
        <v>60</v>
      </c>
      <c r="AB364" s="146" t="s">
        <v>2249</v>
      </c>
      <c r="AC364" s="3" t="s">
        <v>2086</v>
      </c>
    </row>
    <row r="365" spans="1:29" x14ac:dyDescent="0.3">
      <c r="A365" s="4" t="s">
        <v>1806</v>
      </c>
      <c r="B365" s="3" t="s">
        <v>260</v>
      </c>
      <c r="C365" s="2">
        <v>130618</v>
      </c>
      <c r="D365" s="2">
        <v>0</v>
      </c>
      <c r="E365" s="2">
        <v>29</v>
      </c>
      <c r="F365" s="2">
        <v>20</v>
      </c>
      <c r="G365" s="2">
        <v>0</v>
      </c>
      <c r="H365" s="2">
        <v>0</v>
      </c>
      <c r="I365" s="2">
        <v>20</v>
      </c>
      <c r="J365" s="2">
        <v>31</v>
      </c>
      <c r="K365" s="2">
        <v>0</v>
      </c>
      <c r="L365" s="2">
        <v>0</v>
      </c>
      <c r="M365" s="2">
        <v>0</v>
      </c>
      <c r="N365" s="2">
        <v>0</v>
      </c>
      <c r="O365" s="2">
        <v>0</v>
      </c>
      <c r="P365" s="2">
        <v>0</v>
      </c>
      <c r="Q365" s="2">
        <v>0</v>
      </c>
      <c r="R365" s="238">
        <v>42201</v>
      </c>
      <c r="S365" s="219">
        <v>12</v>
      </c>
      <c r="T365" s="220">
        <f>SUM( tabConsumo[[#This Row],[QTD.PENDENTE]]:tabConsumo[[#This Row],[09_23]] ) / tabConsumo[[#This Row],[Div]]</f>
        <v>8.3333333333333339</v>
      </c>
      <c r="U365" s="221">
        <f xml:space="preserve"> tabConsumo[[#This Row],[Média.A]] + (_xlfn.STDEV.S( tabConsumo[[#This Row],[QTD.PENDENTE]]:tabConsumo[[#This Row],[09_23]] ) * 1)</f>
        <v>20.691762409505159</v>
      </c>
      <c r="V365" s="221">
        <f xml:space="preserve"> tabConsumo[[#This Row],[Média.A]] + (_xlfn.STDEV.S( tabConsumo[[#This Row],[QTD.PENDENTE]]:tabConsumo[[#This Row],[09_23]] ) * 2)</f>
        <v>33.05019148567699</v>
      </c>
      <c r="W365" s="221">
        <f xml:space="preserve"> tabConsumo[[#This Row],[Média.A]] + (_xlfn.STDEV.S( tabConsumo[[#This Row],[QTD.PENDENTE]]:tabConsumo[[#This Row],[09_23]] ) * 3)</f>
        <v>45.408620561848814</v>
      </c>
      <c r="X365" s="5">
        <f t="shared" si="12"/>
        <v>2</v>
      </c>
      <c r="Y365">
        <v>8.3333333333333339</v>
      </c>
      <c r="Z365" s="223">
        <f>SUM( tabConsumo[[#This Row],[QTD.PENDENTE]]:tabConsumo[[#This Row],[09_23]] )</f>
        <v>100</v>
      </c>
      <c r="AA365" s="223">
        <f>LARGE(tabConsumo[[#This Row],[10_22]:[09_23]],1)</f>
        <v>31</v>
      </c>
      <c r="AB365" s="146" t="s">
        <v>2248</v>
      </c>
      <c r="AC365" s="3" t="s">
        <v>2086</v>
      </c>
    </row>
    <row r="366" spans="1:29" x14ac:dyDescent="0.3">
      <c r="A366" s="4" t="s">
        <v>1562</v>
      </c>
      <c r="B366" s="3" t="s">
        <v>260</v>
      </c>
      <c r="C366" s="2">
        <v>98359</v>
      </c>
      <c r="D366" s="2">
        <v>56</v>
      </c>
      <c r="F366" s="2">
        <v>0</v>
      </c>
      <c r="G366" s="2">
        <v>1</v>
      </c>
      <c r="H366" s="2">
        <v>2</v>
      </c>
      <c r="I366" s="2">
        <v>8</v>
      </c>
      <c r="J366" s="2">
        <v>0</v>
      </c>
      <c r="K366" s="2">
        <v>0</v>
      </c>
      <c r="L366" s="2">
        <v>0</v>
      </c>
      <c r="M366" s="2">
        <v>0</v>
      </c>
      <c r="N366" s="2">
        <v>0</v>
      </c>
      <c r="O366" s="2">
        <v>10</v>
      </c>
      <c r="P366" s="2">
        <v>0</v>
      </c>
      <c r="Q366" s="2">
        <v>0</v>
      </c>
      <c r="R366" s="238">
        <v>39168</v>
      </c>
      <c r="S366" s="219">
        <v>12</v>
      </c>
      <c r="T366" s="220">
        <f>SUM( tabConsumo[[#This Row],[QTD.PENDENTE]]:tabConsumo[[#This Row],[09_23]] ) / tabConsumo[[#This Row],[Div]]</f>
        <v>1.75</v>
      </c>
      <c r="U366" s="221">
        <f xml:space="preserve"> tabConsumo[[#This Row],[Média.A]] + (_xlfn.STDEV.S( tabConsumo[[#This Row],[QTD.PENDENTE]]:tabConsumo[[#This Row],[09_23]] ) * 1)</f>
        <v>5.2173804626442823</v>
      </c>
      <c r="V366" s="221">
        <f xml:space="preserve"> tabConsumo[[#This Row],[Média.A]] + (_xlfn.STDEV.S( tabConsumo[[#This Row],[QTD.PENDENTE]]:tabConsumo[[#This Row],[09_23]] ) * 2)</f>
        <v>8.6847609252885647</v>
      </c>
      <c r="W366" s="221">
        <f xml:space="preserve"> tabConsumo[[#This Row],[Média.A]] + (_xlfn.STDEV.S( tabConsumo[[#This Row],[QTD.PENDENTE]]:tabConsumo[[#This Row],[09_23]] ) * 3)</f>
        <v>12.152141387932845</v>
      </c>
      <c r="X366" s="5">
        <f t="shared" si="12"/>
        <v>2</v>
      </c>
      <c r="Y366">
        <v>1.5833333333333333</v>
      </c>
      <c r="Z366" s="223">
        <f>SUM( tabConsumo[[#This Row],[QTD.PENDENTE]]:tabConsumo[[#This Row],[09_23]] )</f>
        <v>21</v>
      </c>
      <c r="AA366" s="223">
        <f>LARGE(tabConsumo[[#This Row],[10_22]:[09_23]],1)</f>
        <v>10</v>
      </c>
      <c r="AB366" s="146" t="s">
        <v>2239</v>
      </c>
      <c r="AC366" s="3" t="s">
        <v>2086</v>
      </c>
    </row>
    <row r="367" spans="1:29" x14ac:dyDescent="0.3">
      <c r="A367" s="4" t="s">
        <v>994</v>
      </c>
      <c r="B367" s="3" t="s">
        <v>260</v>
      </c>
      <c r="C367" s="2">
        <v>13064</v>
      </c>
      <c r="D367" s="2">
        <v>756</v>
      </c>
      <c r="F367" s="2">
        <v>156</v>
      </c>
      <c r="G367" s="2">
        <v>108</v>
      </c>
      <c r="H367" s="2">
        <v>104</v>
      </c>
      <c r="I367" s="2">
        <v>100</v>
      </c>
      <c r="J367" s="2">
        <v>153</v>
      </c>
      <c r="K367" s="2">
        <v>316</v>
      </c>
      <c r="L367" s="2">
        <v>158</v>
      </c>
      <c r="M367" s="2">
        <v>199</v>
      </c>
      <c r="N367" s="2">
        <v>180</v>
      </c>
      <c r="O367" s="2">
        <v>122</v>
      </c>
      <c r="P367" s="2">
        <v>180</v>
      </c>
      <c r="Q367" s="2">
        <v>241</v>
      </c>
      <c r="R367" s="238">
        <v>367</v>
      </c>
      <c r="S367" s="219">
        <f xml:space="preserve"> 12</f>
        <v>12</v>
      </c>
      <c r="T367" s="220">
        <f>SUM( tabConsumo[[#This Row],[QTD.PENDENTE]]:tabConsumo[[#This Row],[09_23]] ) / tabConsumo[[#This Row],[Div]]</f>
        <v>168.08333333333334</v>
      </c>
      <c r="U367" s="221">
        <f xml:space="preserve"> tabConsumo[[#This Row],[Média.A]] + (_xlfn.STDEV.S( tabConsumo[[#This Row],[QTD.PENDENTE]]:tabConsumo[[#This Row],[09_23]] ) * 1)</f>
        <v>230.88671820640491</v>
      </c>
      <c r="V367" s="221">
        <f xml:space="preserve"> tabConsumo[[#This Row],[Média.A]] + (_xlfn.STDEV.S( tabConsumo[[#This Row],[QTD.PENDENTE]]:tabConsumo[[#This Row],[09_23]] ) * 2)</f>
        <v>293.69010307947644</v>
      </c>
      <c r="W367" s="221">
        <f xml:space="preserve"> tabConsumo[[#This Row],[Média.A]] + (_xlfn.STDEV.S( tabConsumo[[#This Row],[QTD.PENDENTE]]:tabConsumo[[#This Row],[09_23]] ) * 3)</f>
        <v>356.49348795254798</v>
      </c>
      <c r="X367" s="5">
        <f t="shared" si="12"/>
        <v>2</v>
      </c>
      <c r="Y367">
        <v>166.16666666666666</v>
      </c>
      <c r="Z367" s="223">
        <f>SUM( tabConsumo[[#This Row],[QTD.PENDENTE]]:tabConsumo[[#This Row],[09_23]] )</f>
        <v>2017</v>
      </c>
      <c r="AA367" s="223">
        <f>LARGE(tabConsumo[[#This Row],[10_22]:[09_23]],1)</f>
        <v>316</v>
      </c>
      <c r="AB367" s="146" t="s">
        <v>2238</v>
      </c>
      <c r="AC367" s="3" t="s">
        <v>2086</v>
      </c>
    </row>
    <row r="368" spans="1:29" x14ac:dyDescent="0.3">
      <c r="A368" s="4" t="s">
        <v>1072</v>
      </c>
      <c r="B368" s="3" t="s">
        <v>260</v>
      </c>
      <c r="C368" s="2">
        <v>14754</v>
      </c>
      <c r="D368" s="2">
        <v>61</v>
      </c>
      <c r="F368" s="2">
        <v>3</v>
      </c>
      <c r="G368" s="2">
        <v>2</v>
      </c>
      <c r="H368" s="2">
        <v>1</v>
      </c>
      <c r="I368" s="2">
        <v>2</v>
      </c>
      <c r="J368" s="2">
        <v>3</v>
      </c>
      <c r="K368" s="2">
        <v>3</v>
      </c>
      <c r="L368" s="2">
        <v>4</v>
      </c>
      <c r="M368" s="2">
        <v>2</v>
      </c>
      <c r="N368" s="2">
        <v>0</v>
      </c>
      <c r="O368" s="2">
        <v>10</v>
      </c>
      <c r="P368" s="2">
        <v>0</v>
      </c>
      <c r="Q368" s="2">
        <v>0</v>
      </c>
      <c r="R368" s="238">
        <v>367</v>
      </c>
      <c r="S368" s="219">
        <f xml:space="preserve"> 12</f>
        <v>12</v>
      </c>
      <c r="T368" s="220">
        <f>SUM( tabConsumo[[#This Row],[QTD.PENDENTE]]:tabConsumo[[#This Row],[09_23]] ) / tabConsumo[[#This Row],[Div]]</f>
        <v>2.5</v>
      </c>
      <c r="U368" s="221">
        <f xml:space="preserve"> tabConsumo[[#This Row],[Média.A]] + (_xlfn.STDEV.S( tabConsumo[[#This Row],[QTD.PENDENTE]]:tabConsumo[[#This Row],[09_23]] ) * 1)</f>
        <v>5.2136021011998723</v>
      </c>
      <c r="V368" s="221">
        <f xml:space="preserve"> tabConsumo[[#This Row],[Média.A]] + (_xlfn.STDEV.S( tabConsumo[[#This Row],[QTD.PENDENTE]]:tabConsumo[[#This Row],[09_23]] ) * 2)</f>
        <v>7.9272042023997447</v>
      </c>
      <c r="W368" s="221">
        <f xml:space="preserve"> tabConsumo[[#This Row],[Média.A]] + (_xlfn.STDEV.S( tabConsumo[[#This Row],[QTD.PENDENTE]]:tabConsumo[[#This Row],[09_23]] ) * 3)</f>
        <v>10.640806303599618</v>
      </c>
      <c r="X368" s="5">
        <f t="shared" si="12"/>
        <v>2</v>
      </c>
      <c r="Y368">
        <v>2.25</v>
      </c>
      <c r="Z368" s="223">
        <f>SUM( tabConsumo[[#This Row],[QTD.PENDENTE]]:tabConsumo[[#This Row],[09_23]] )</f>
        <v>30</v>
      </c>
      <c r="AA368" s="223">
        <f>LARGE(tabConsumo[[#This Row],[10_22]:[09_23]],1)</f>
        <v>10</v>
      </c>
      <c r="AB368" s="146" t="s">
        <v>2239</v>
      </c>
      <c r="AC368" s="3" t="s">
        <v>2086</v>
      </c>
    </row>
    <row r="369" spans="1:29" x14ac:dyDescent="0.3">
      <c r="A369" s="4" t="s">
        <v>1079</v>
      </c>
      <c r="B369" s="3" t="s">
        <v>260</v>
      </c>
      <c r="C369" s="2">
        <v>14921</v>
      </c>
      <c r="D369" s="2">
        <v>361</v>
      </c>
      <c r="F369" s="2">
        <v>95</v>
      </c>
      <c r="G369" s="2">
        <v>87</v>
      </c>
      <c r="H369" s="2">
        <v>114</v>
      </c>
      <c r="I369" s="2">
        <v>117</v>
      </c>
      <c r="J369" s="2">
        <v>91</v>
      </c>
      <c r="K369" s="2">
        <v>125</v>
      </c>
      <c r="L369" s="2">
        <v>155</v>
      </c>
      <c r="M369" s="2">
        <v>39</v>
      </c>
      <c r="N369" s="2">
        <v>100</v>
      </c>
      <c r="O369" s="2">
        <v>129</v>
      </c>
      <c r="P369" s="2">
        <v>155</v>
      </c>
      <c r="Q369" s="2">
        <v>100</v>
      </c>
      <c r="R369" s="238">
        <v>367</v>
      </c>
      <c r="S369" s="219">
        <f xml:space="preserve"> 12</f>
        <v>12</v>
      </c>
      <c r="T369" s="220">
        <f>SUM( tabConsumo[[#This Row],[QTD.PENDENTE]]:tabConsumo[[#This Row],[09_23]] ) / tabConsumo[[#This Row],[Div]]</f>
        <v>108.91666666666667</v>
      </c>
      <c r="U369" s="221">
        <f xml:space="preserve"> tabConsumo[[#This Row],[Média.A]] + (_xlfn.STDEV.S( tabConsumo[[#This Row],[QTD.PENDENTE]]:tabConsumo[[#This Row],[09_23]] ) * 1)</f>
        <v>140.60107158693484</v>
      </c>
      <c r="V369" s="221">
        <f xml:space="preserve"> tabConsumo[[#This Row],[Média.A]] + (_xlfn.STDEV.S( tabConsumo[[#This Row],[QTD.PENDENTE]]:tabConsumo[[#This Row],[09_23]] ) * 2)</f>
        <v>172.28547650720301</v>
      </c>
      <c r="W369" s="221">
        <f xml:space="preserve"> tabConsumo[[#This Row],[Média.A]] + (_xlfn.STDEV.S( tabConsumo[[#This Row],[QTD.PENDENTE]]:tabConsumo[[#This Row],[09_23]] ) * 3)</f>
        <v>203.96988142747119</v>
      </c>
      <c r="X369" s="5">
        <f t="shared" si="12"/>
        <v>2</v>
      </c>
      <c r="Y369">
        <v>108.91666666666667</v>
      </c>
      <c r="Z369" s="223">
        <f>SUM( tabConsumo[[#This Row],[QTD.PENDENTE]]:tabConsumo[[#This Row],[09_23]] )</f>
        <v>1307</v>
      </c>
      <c r="AA369" s="223">
        <f>LARGE(tabConsumo[[#This Row],[10_22]:[09_23]],1)</f>
        <v>155</v>
      </c>
      <c r="AB369" s="146" t="s">
        <v>2238</v>
      </c>
      <c r="AC369" s="3" t="s">
        <v>2086</v>
      </c>
    </row>
    <row r="370" spans="1:29" x14ac:dyDescent="0.3">
      <c r="A370" s="4" t="s">
        <v>1846</v>
      </c>
      <c r="B370" s="3" t="s">
        <v>260</v>
      </c>
      <c r="C370" s="2">
        <v>132751</v>
      </c>
      <c r="D370" s="2">
        <v>3</v>
      </c>
      <c r="F370" s="2">
        <v>0</v>
      </c>
      <c r="G370" s="2">
        <v>0</v>
      </c>
      <c r="H370" s="2">
        <v>0</v>
      </c>
      <c r="I370" s="2">
        <v>1</v>
      </c>
      <c r="J370" s="2">
        <v>0</v>
      </c>
      <c r="K370" s="2">
        <v>0</v>
      </c>
      <c r="L370" s="2">
        <v>0</v>
      </c>
      <c r="M370" s="2">
        <v>0</v>
      </c>
      <c r="N370" s="2">
        <v>0</v>
      </c>
      <c r="O370" s="2">
        <v>0</v>
      </c>
      <c r="P370" s="2">
        <v>0</v>
      </c>
      <c r="Q370" s="2">
        <v>0</v>
      </c>
      <c r="R370" s="238">
        <v>42892</v>
      </c>
      <c r="S370" s="219">
        <v>12</v>
      </c>
      <c r="T370" s="220">
        <f>SUM( tabConsumo[[#This Row],[QTD.PENDENTE]]:tabConsumo[[#This Row],[09_23]] ) / tabConsumo[[#This Row],[Div]]</f>
        <v>8.3333333333333329E-2</v>
      </c>
      <c r="U370" s="221">
        <f xml:space="preserve"> tabConsumo[[#This Row],[Média.A]] + (_xlfn.STDEV.S( tabConsumo[[#This Row],[QTD.PENDENTE]]:tabConsumo[[#This Row],[09_23]] ) * 1)</f>
        <v>0.37200846792814618</v>
      </c>
      <c r="V370" s="221">
        <f xml:space="preserve"> tabConsumo[[#This Row],[Média.A]] + (_xlfn.STDEV.S( tabConsumo[[#This Row],[QTD.PENDENTE]]:tabConsumo[[#This Row],[09_23]] ) * 2)</f>
        <v>0.6606836025229591</v>
      </c>
      <c r="W370" s="221">
        <f xml:space="preserve"> tabConsumo[[#This Row],[Média.A]] + (_xlfn.STDEV.S( tabConsumo[[#This Row],[QTD.PENDENTE]]:tabConsumo[[#This Row],[09_23]] ) * 3)</f>
        <v>0.94935873711777197</v>
      </c>
      <c r="X370" s="5">
        <f t="shared" si="12"/>
        <v>2</v>
      </c>
      <c r="Y370">
        <v>0</v>
      </c>
      <c r="Z370" s="223">
        <f>SUM( tabConsumo[[#This Row],[QTD.PENDENTE]]:tabConsumo[[#This Row],[09_23]] )</f>
        <v>1</v>
      </c>
      <c r="AA370" s="223">
        <f>LARGE(tabConsumo[[#This Row],[10_22]:[09_23]],1)</f>
        <v>1</v>
      </c>
      <c r="AB370" s="146" t="s">
        <v>2247</v>
      </c>
      <c r="AC370" s="3" t="s">
        <v>2086</v>
      </c>
    </row>
    <row r="371" spans="1:29" x14ac:dyDescent="0.3">
      <c r="A371" s="4" t="s">
        <v>1537</v>
      </c>
      <c r="B371" s="3" t="s">
        <v>260</v>
      </c>
      <c r="C371" s="2">
        <v>93139</v>
      </c>
      <c r="D371" s="2">
        <v>150</v>
      </c>
      <c r="F371" s="2">
        <v>12</v>
      </c>
      <c r="G371" s="2">
        <v>12</v>
      </c>
      <c r="H371" s="2">
        <v>5</v>
      </c>
      <c r="I371" s="2">
        <v>12</v>
      </c>
      <c r="J371" s="2">
        <v>4</v>
      </c>
      <c r="K371" s="2">
        <v>8</v>
      </c>
      <c r="L371" s="2">
        <v>11</v>
      </c>
      <c r="M371" s="2">
        <v>61</v>
      </c>
      <c r="N371" s="2">
        <v>3</v>
      </c>
      <c r="O371" s="2">
        <v>0</v>
      </c>
      <c r="P371" s="2">
        <v>12</v>
      </c>
      <c r="Q371" s="2">
        <v>6</v>
      </c>
      <c r="R371" s="238">
        <v>38912</v>
      </c>
      <c r="S371" s="219">
        <v>12</v>
      </c>
      <c r="T371" s="220">
        <f>SUM( tabConsumo[[#This Row],[QTD.PENDENTE]]:tabConsumo[[#This Row],[09_23]] ) / tabConsumo[[#This Row],[Div]]</f>
        <v>12.166666666666666</v>
      </c>
      <c r="U371" s="221">
        <f xml:space="preserve"> tabConsumo[[#This Row],[Média.A]] + (_xlfn.STDEV.S( tabConsumo[[#This Row],[QTD.PENDENTE]]:tabConsumo[[#This Row],[09_23]] ) * 1)</f>
        <v>28.097387892897409</v>
      </c>
      <c r="V371" s="221">
        <f xml:space="preserve"> tabConsumo[[#This Row],[Média.A]] + (_xlfn.STDEV.S( tabConsumo[[#This Row],[QTD.PENDENTE]]:tabConsumo[[#This Row],[09_23]] ) * 2)</f>
        <v>44.028109119128153</v>
      </c>
      <c r="W371" s="221">
        <f xml:space="preserve"> tabConsumo[[#This Row],[Média.A]] + (_xlfn.STDEV.S( tabConsumo[[#This Row],[QTD.PENDENTE]]:tabConsumo[[#This Row],[09_23]] ) * 3)</f>
        <v>59.958830345358898</v>
      </c>
      <c r="X371" s="5">
        <f t="shared" si="12"/>
        <v>2</v>
      </c>
      <c r="Y371">
        <v>10.75</v>
      </c>
      <c r="Z371" s="223">
        <f>SUM( tabConsumo[[#This Row],[QTD.PENDENTE]]:tabConsumo[[#This Row],[09_23]] )</f>
        <v>146</v>
      </c>
      <c r="AA371" s="223">
        <f>LARGE(tabConsumo[[#This Row],[10_22]:[09_23]],1)</f>
        <v>61</v>
      </c>
      <c r="AB371" s="146" t="s">
        <v>2238</v>
      </c>
      <c r="AC371" s="3" t="s">
        <v>2086</v>
      </c>
    </row>
    <row r="372" spans="1:29" x14ac:dyDescent="0.3">
      <c r="A372" s="4" t="s">
        <v>1278</v>
      </c>
      <c r="B372" s="3" t="s">
        <v>31</v>
      </c>
      <c r="C372" s="2">
        <v>42566</v>
      </c>
      <c r="D372" s="2">
        <v>47</v>
      </c>
      <c r="F372" s="2">
        <v>0</v>
      </c>
      <c r="G372" s="2">
        <v>1</v>
      </c>
      <c r="H372" s="2">
        <v>0</v>
      </c>
      <c r="I372" s="2">
        <v>2</v>
      </c>
      <c r="J372" s="2">
        <v>14</v>
      </c>
      <c r="K372" s="2">
        <v>0</v>
      </c>
      <c r="L372" s="2">
        <v>1</v>
      </c>
      <c r="M372" s="2">
        <v>0</v>
      </c>
      <c r="N372" s="2">
        <v>0</v>
      </c>
      <c r="O372" s="2">
        <v>0</v>
      </c>
      <c r="P372" s="2">
        <v>2</v>
      </c>
      <c r="Q372" s="2">
        <v>0</v>
      </c>
      <c r="R372" s="238">
        <v>367</v>
      </c>
      <c r="S372" s="219">
        <f xml:space="preserve"> 12</f>
        <v>12</v>
      </c>
      <c r="T372" s="220">
        <f>SUM( tabConsumo[[#This Row],[QTD.PENDENTE]]:tabConsumo[[#This Row],[09_23]] ) / tabConsumo[[#This Row],[Div]]</f>
        <v>1.6666666666666667</v>
      </c>
      <c r="U372" s="221">
        <f xml:space="preserve"> tabConsumo[[#This Row],[Média.A]] + (_xlfn.STDEV.S( tabConsumo[[#This Row],[QTD.PENDENTE]]:tabConsumo[[#This Row],[09_23]] ) * 1)</f>
        <v>5.6286068096988275</v>
      </c>
      <c r="V372" s="221">
        <f xml:space="preserve"> tabConsumo[[#This Row],[Média.A]] + (_xlfn.STDEV.S( tabConsumo[[#This Row],[QTD.PENDENTE]]:tabConsumo[[#This Row],[09_23]] ) * 2)</f>
        <v>9.5905469527309872</v>
      </c>
      <c r="W372" s="221">
        <f xml:space="preserve"> tabConsumo[[#This Row],[Média.A]] + (_xlfn.STDEV.S( tabConsumo[[#This Row],[QTD.PENDENTE]]:tabConsumo[[#This Row],[09_23]] ) * 3)</f>
        <v>13.552487095763148</v>
      </c>
      <c r="X372" s="5">
        <f t="shared" si="12"/>
        <v>2</v>
      </c>
      <c r="Y372">
        <v>1.25</v>
      </c>
      <c r="Z372" s="223">
        <f>SUM( tabConsumo[[#This Row],[QTD.PENDENTE]]:tabConsumo[[#This Row],[09_23]] )</f>
        <v>20</v>
      </c>
      <c r="AA372" s="223">
        <f>LARGE(tabConsumo[[#This Row],[10_22]:[09_23]],1)</f>
        <v>14</v>
      </c>
      <c r="AB372" s="146" t="s">
        <v>2241</v>
      </c>
      <c r="AC372" s="3" t="s">
        <v>2086</v>
      </c>
    </row>
    <row r="373" spans="1:29" x14ac:dyDescent="0.3">
      <c r="A373" s="4" t="s">
        <v>1298</v>
      </c>
      <c r="B373" s="3" t="s">
        <v>263</v>
      </c>
      <c r="C373" s="2">
        <v>50591</v>
      </c>
      <c r="D373" s="2">
        <v>30</v>
      </c>
      <c r="F373" s="2">
        <v>2</v>
      </c>
      <c r="G373" s="2">
        <v>1</v>
      </c>
      <c r="H373" s="2">
        <v>0</v>
      </c>
      <c r="I373" s="2">
        <v>2</v>
      </c>
      <c r="J373" s="2">
        <v>4</v>
      </c>
      <c r="K373" s="2">
        <v>3</v>
      </c>
      <c r="L373" s="2">
        <v>0</v>
      </c>
      <c r="M373" s="2">
        <v>0</v>
      </c>
      <c r="N373" s="2">
        <v>0</v>
      </c>
      <c r="O373" s="2">
        <v>0</v>
      </c>
      <c r="P373" s="2">
        <v>0</v>
      </c>
      <c r="Q373" s="2">
        <v>0</v>
      </c>
      <c r="R373" s="238">
        <v>367</v>
      </c>
      <c r="S373" s="219">
        <f xml:space="preserve"> 12</f>
        <v>12</v>
      </c>
      <c r="T373" s="220">
        <f>SUM( tabConsumo[[#This Row],[QTD.PENDENTE]]:tabConsumo[[#This Row],[09_23]] ) / tabConsumo[[#This Row],[Div]]</f>
        <v>1</v>
      </c>
      <c r="U373" s="221">
        <f xml:space="preserve"> tabConsumo[[#This Row],[Média.A]] + (_xlfn.STDEV.S( tabConsumo[[#This Row],[QTD.PENDENTE]]:tabConsumo[[#This Row],[09_23]] ) * 1)</f>
        <v>2.4142135623730949</v>
      </c>
      <c r="V373" s="221">
        <f xml:space="preserve"> tabConsumo[[#This Row],[Média.A]] + (_xlfn.STDEV.S( tabConsumo[[#This Row],[QTD.PENDENTE]]:tabConsumo[[#This Row],[09_23]] ) * 2)</f>
        <v>3.8284271247461903</v>
      </c>
      <c r="W373" s="221">
        <f xml:space="preserve"> tabConsumo[[#This Row],[Média.A]] + (_xlfn.STDEV.S( tabConsumo[[#This Row],[QTD.PENDENTE]]:tabConsumo[[#This Row],[09_23]] ) * 3)</f>
        <v>5.2426406871192857</v>
      </c>
      <c r="X373" s="5">
        <f t="shared" si="12"/>
        <v>2</v>
      </c>
      <c r="Y373">
        <v>0.91666666666666663</v>
      </c>
      <c r="Z373" s="223">
        <f>SUM( tabConsumo[[#This Row],[QTD.PENDENTE]]:tabConsumo[[#This Row],[09_23]] )</f>
        <v>12</v>
      </c>
      <c r="AA373" s="223">
        <f>LARGE(tabConsumo[[#This Row],[10_22]:[09_23]],1)</f>
        <v>4</v>
      </c>
      <c r="AB373" s="146" t="s">
        <v>2245</v>
      </c>
      <c r="AC373" s="3" t="s">
        <v>2086</v>
      </c>
    </row>
    <row r="374" spans="1:29" x14ac:dyDescent="0.3">
      <c r="A374" s="4" t="s">
        <v>1293</v>
      </c>
      <c r="B374" s="3" t="s">
        <v>263</v>
      </c>
      <c r="C374" s="2">
        <v>49033</v>
      </c>
      <c r="D374" s="2">
        <v>30</v>
      </c>
      <c r="F374" s="2">
        <v>2</v>
      </c>
      <c r="G374" s="2">
        <v>0</v>
      </c>
      <c r="H374" s="2">
        <v>2</v>
      </c>
      <c r="I374" s="2">
        <v>1</v>
      </c>
      <c r="J374" s="2">
        <v>4</v>
      </c>
      <c r="K374" s="2">
        <v>3</v>
      </c>
      <c r="L374" s="2">
        <v>0</v>
      </c>
      <c r="M374" s="2">
        <v>0</v>
      </c>
      <c r="N374" s="2">
        <v>0</v>
      </c>
      <c r="O374" s="2">
        <v>0</v>
      </c>
      <c r="P374" s="2">
        <v>0</v>
      </c>
      <c r="Q374" s="2">
        <v>0</v>
      </c>
      <c r="R374" s="238">
        <v>367</v>
      </c>
      <c r="S374" s="219">
        <f xml:space="preserve"> 12</f>
        <v>12</v>
      </c>
      <c r="T374" s="220">
        <f>SUM( tabConsumo[[#This Row],[QTD.PENDENTE]]:tabConsumo[[#This Row],[09_23]] ) / tabConsumo[[#This Row],[Div]]</f>
        <v>1</v>
      </c>
      <c r="U374" s="221">
        <f xml:space="preserve"> tabConsumo[[#This Row],[Média.A]] + (_xlfn.STDEV.S( tabConsumo[[#This Row],[QTD.PENDENTE]]:tabConsumo[[#This Row],[09_23]] ) * 1)</f>
        <v>2.4142135623730949</v>
      </c>
      <c r="V374" s="221">
        <f xml:space="preserve"> tabConsumo[[#This Row],[Média.A]] + (_xlfn.STDEV.S( tabConsumo[[#This Row],[QTD.PENDENTE]]:tabConsumo[[#This Row],[09_23]] ) * 2)</f>
        <v>3.8284271247461903</v>
      </c>
      <c r="W374" s="221">
        <f xml:space="preserve"> tabConsumo[[#This Row],[Média.A]] + (_xlfn.STDEV.S( tabConsumo[[#This Row],[QTD.PENDENTE]]:tabConsumo[[#This Row],[09_23]] ) * 3)</f>
        <v>5.2426406871192857</v>
      </c>
      <c r="X374" s="5">
        <f t="shared" si="12"/>
        <v>2</v>
      </c>
      <c r="Y374">
        <v>0.91666666666666663</v>
      </c>
      <c r="Z374" s="223">
        <f>SUM( tabConsumo[[#This Row],[QTD.PENDENTE]]:tabConsumo[[#This Row],[09_23]] )</f>
        <v>12</v>
      </c>
      <c r="AA374" s="223">
        <f>LARGE(tabConsumo[[#This Row],[10_22]:[09_23]],1)</f>
        <v>4</v>
      </c>
      <c r="AB374" s="146" t="s">
        <v>2245</v>
      </c>
      <c r="AC374" s="3" t="s">
        <v>2086</v>
      </c>
    </row>
    <row r="375" spans="1:29" x14ac:dyDescent="0.3">
      <c r="A375" s="4" t="s">
        <v>1329</v>
      </c>
      <c r="B375" s="3" t="s">
        <v>263</v>
      </c>
      <c r="C375" s="2">
        <v>56519</v>
      </c>
      <c r="D375" s="2">
        <v>38</v>
      </c>
      <c r="F375" s="2">
        <v>1</v>
      </c>
      <c r="G375" s="2">
        <v>4</v>
      </c>
      <c r="H375" s="2">
        <v>0</v>
      </c>
      <c r="I375" s="2">
        <v>2</v>
      </c>
      <c r="J375" s="2">
        <v>2</v>
      </c>
      <c r="K375" s="2">
        <v>0</v>
      </c>
      <c r="L375" s="2">
        <v>1</v>
      </c>
      <c r="M375" s="2">
        <v>0</v>
      </c>
      <c r="N375" s="2">
        <v>0</v>
      </c>
      <c r="O375" s="2">
        <v>6</v>
      </c>
      <c r="P375" s="2">
        <v>0</v>
      </c>
      <c r="Q375" s="2">
        <v>0</v>
      </c>
      <c r="R375" s="238">
        <v>367</v>
      </c>
      <c r="S375" s="219">
        <f xml:space="preserve"> 12</f>
        <v>12</v>
      </c>
      <c r="T375" s="220">
        <f>SUM( tabConsumo[[#This Row],[QTD.PENDENTE]]:tabConsumo[[#This Row],[09_23]] ) / tabConsumo[[#This Row],[Div]]</f>
        <v>1.3333333333333333</v>
      </c>
      <c r="U375" s="221">
        <f xml:space="preserve"> tabConsumo[[#This Row],[Média.A]] + (_xlfn.STDEV.S( tabConsumo[[#This Row],[QTD.PENDENTE]]:tabConsumo[[#This Row],[09_23]] ) * 1)</f>
        <v>3.2560838883897341</v>
      </c>
      <c r="V375" s="221">
        <f xml:space="preserve"> tabConsumo[[#This Row],[Média.A]] + (_xlfn.STDEV.S( tabConsumo[[#This Row],[QTD.PENDENTE]]:tabConsumo[[#This Row],[09_23]] ) * 2)</f>
        <v>5.1788344434461351</v>
      </c>
      <c r="W375" s="221">
        <f xml:space="preserve"> tabConsumo[[#This Row],[Média.A]] + (_xlfn.STDEV.S( tabConsumo[[#This Row],[QTD.PENDENTE]]:tabConsumo[[#This Row],[09_23]] ) * 3)</f>
        <v>7.1015849985025357</v>
      </c>
      <c r="X375" s="5">
        <f t="shared" si="12"/>
        <v>2</v>
      </c>
      <c r="Y375">
        <v>1.25</v>
      </c>
      <c r="Z375" s="223">
        <f>SUM( tabConsumo[[#This Row],[QTD.PENDENTE]]:tabConsumo[[#This Row],[09_23]] )</f>
        <v>16</v>
      </c>
      <c r="AA375" s="223">
        <f>LARGE(tabConsumo[[#This Row],[10_22]:[09_23]],1)</f>
        <v>6</v>
      </c>
      <c r="AB375" s="146" t="s">
        <v>2239</v>
      </c>
      <c r="AC375" s="3" t="s">
        <v>2086</v>
      </c>
    </row>
    <row r="376" spans="1:29" x14ac:dyDescent="0.3">
      <c r="A376" s="4" t="s">
        <v>1332</v>
      </c>
      <c r="B376" s="3" t="s">
        <v>263</v>
      </c>
      <c r="C376" s="2">
        <v>56520</v>
      </c>
      <c r="D376" s="2">
        <v>0</v>
      </c>
      <c r="E376" s="2">
        <v>22</v>
      </c>
      <c r="F376" s="2">
        <v>12</v>
      </c>
      <c r="G376" s="2">
        <v>9</v>
      </c>
      <c r="H376" s="2">
        <v>2</v>
      </c>
      <c r="I376" s="2">
        <v>4</v>
      </c>
      <c r="J376" s="2">
        <v>3</v>
      </c>
      <c r="K376" s="2">
        <v>7</v>
      </c>
      <c r="L376" s="2">
        <v>0</v>
      </c>
      <c r="M376" s="2">
        <v>0</v>
      </c>
      <c r="N376" s="2">
        <v>0</v>
      </c>
      <c r="O376" s="2">
        <v>0</v>
      </c>
      <c r="P376" s="2">
        <v>9</v>
      </c>
      <c r="Q376" s="2">
        <v>0</v>
      </c>
      <c r="R376" s="238">
        <v>367</v>
      </c>
      <c r="S376" s="219">
        <f xml:space="preserve"> 12</f>
        <v>12</v>
      </c>
      <c r="T376" s="220">
        <f>SUM( tabConsumo[[#This Row],[QTD.PENDENTE]]:tabConsumo[[#This Row],[09_23]] ) / tabConsumo[[#This Row],[Div]]</f>
        <v>5.666666666666667</v>
      </c>
      <c r="U376" s="221">
        <f xml:space="preserve"> tabConsumo[[#This Row],[Média.A]] + (_xlfn.STDEV.S( tabConsumo[[#This Row],[QTD.PENDENTE]]:tabConsumo[[#This Row],[09_23]] ) * 1)</f>
        <v>12.200601751461104</v>
      </c>
      <c r="V376" s="221">
        <f xml:space="preserve"> tabConsumo[[#This Row],[Média.A]] + (_xlfn.STDEV.S( tabConsumo[[#This Row],[QTD.PENDENTE]]:tabConsumo[[#This Row],[09_23]] ) * 2)</f>
        <v>18.734536836255543</v>
      </c>
      <c r="W376" s="221">
        <f xml:space="preserve"> tabConsumo[[#This Row],[Média.A]] + (_xlfn.STDEV.S( tabConsumo[[#This Row],[QTD.PENDENTE]]:tabConsumo[[#This Row],[09_23]] ) * 3)</f>
        <v>25.268471921049983</v>
      </c>
      <c r="X376" s="5">
        <f t="shared" si="12"/>
        <v>2</v>
      </c>
      <c r="Y376">
        <v>5.666666666666667</v>
      </c>
      <c r="Z376" s="223">
        <f>SUM( tabConsumo[[#This Row],[QTD.PENDENTE]]:tabConsumo[[#This Row],[09_23]] )</f>
        <v>68</v>
      </c>
      <c r="AA376" s="223">
        <f>LARGE(tabConsumo[[#This Row],[10_22]:[09_23]],1)</f>
        <v>12</v>
      </c>
      <c r="AB376" s="146" t="s">
        <v>2241</v>
      </c>
      <c r="AC376" s="3" t="s">
        <v>2086</v>
      </c>
    </row>
    <row r="377" spans="1:29" x14ac:dyDescent="0.3">
      <c r="A377" s="4" t="s">
        <v>1564</v>
      </c>
      <c r="B377" s="3" t="s">
        <v>560</v>
      </c>
      <c r="C377" s="2">
        <v>98702</v>
      </c>
      <c r="D377" s="2">
        <v>7791</v>
      </c>
      <c r="E377" s="2">
        <v>180.4</v>
      </c>
      <c r="F377" s="2">
        <v>684</v>
      </c>
      <c r="G377" s="2">
        <v>351</v>
      </c>
      <c r="H377" s="2">
        <v>418</v>
      </c>
      <c r="I377" s="2">
        <v>602</v>
      </c>
      <c r="J377" s="2">
        <v>124</v>
      </c>
      <c r="K377" s="2">
        <v>437</v>
      </c>
      <c r="L377" s="2">
        <v>264</v>
      </c>
      <c r="M377" s="2">
        <v>957</v>
      </c>
      <c r="N377" s="2">
        <v>0</v>
      </c>
      <c r="O377" s="2">
        <v>360</v>
      </c>
      <c r="P377" s="2">
        <v>272</v>
      </c>
      <c r="Q377" s="2">
        <v>482.6</v>
      </c>
      <c r="R377" s="238">
        <v>39183</v>
      </c>
      <c r="S377" s="219">
        <v>12</v>
      </c>
      <c r="T377" s="220">
        <f>SUM( tabConsumo[[#This Row],[QTD.PENDENTE]]:tabConsumo[[#This Row],[09_23]] ) / tabConsumo[[#This Row],[Div]]</f>
        <v>427.66666666666669</v>
      </c>
      <c r="U377" s="221">
        <f xml:space="preserve"> tabConsumo[[#This Row],[Média.A]] + (_xlfn.STDEV.S( tabConsumo[[#This Row],[QTD.PENDENTE]]:tabConsumo[[#This Row],[09_23]] ) * 1)</f>
        <v>679.84884745605609</v>
      </c>
      <c r="V377" s="221">
        <f xml:space="preserve"> tabConsumo[[#This Row],[Média.A]] + (_xlfn.STDEV.S( tabConsumo[[#This Row],[QTD.PENDENTE]]:tabConsumo[[#This Row],[09_23]] ) * 2)</f>
        <v>932.03102824544567</v>
      </c>
      <c r="W377" s="221">
        <f xml:space="preserve"> tabConsumo[[#This Row],[Média.A]] + (_xlfn.STDEV.S( tabConsumo[[#This Row],[QTD.PENDENTE]]:tabConsumo[[#This Row],[09_23]] ) * 3)</f>
        <v>1184.213209034835</v>
      </c>
      <c r="X377" s="5">
        <f t="shared" si="12"/>
        <v>2</v>
      </c>
      <c r="Y377">
        <v>425.58333333333331</v>
      </c>
      <c r="Z377" s="223">
        <f>SUM( tabConsumo[[#This Row],[QTD.PENDENTE]]:tabConsumo[[#This Row],[09_23]] )</f>
        <v>5132</v>
      </c>
      <c r="AA377" s="223">
        <f>LARGE(tabConsumo[[#This Row],[10_22]:[09_23]],1)</f>
        <v>957</v>
      </c>
      <c r="AB377" s="146" t="s">
        <v>2238</v>
      </c>
      <c r="AC377" s="3" t="s">
        <v>2086</v>
      </c>
    </row>
    <row r="378" spans="1:29" x14ac:dyDescent="0.3">
      <c r="A378" s="4" t="s">
        <v>356</v>
      </c>
      <c r="B378" s="3" t="s">
        <v>263</v>
      </c>
      <c r="C378" s="2">
        <v>16427</v>
      </c>
      <c r="D378" s="2">
        <v>0</v>
      </c>
      <c r="F378" s="2">
        <v>0</v>
      </c>
      <c r="G378" s="2">
        <v>1</v>
      </c>
      <c r="H378" s="2">
        <v>0</v>
      </c>
      <c r="I378" s="2">
        <v>0</v>
      </c>
      <c r="J378" s="2">
        <v>0</v>
      </c>
      <c r="K378" s="2">
        <v>0</v>
      </c>
      <c r="L378" s="2">
        <v>0</v>
      </c>
      <c r="M378" s="2">
        <v>0</v>
      </c>
      <c r="N378" s="2">
        <v>0</v>
      </c>
      <c r="O378" s="2">
        <v>0</v>
      </c>
      <c r="P378" s="2">
        <v>0</v>
      </c>
      <c r="Q378" s="2">
        <v>0</v>
      </c>
      <c r="R378" s="238">
        <v>367</v>
      </c>
      <c r="S378" s="219">
        <f xml:space="preserve"> 12</f>
        <v>12</v>
      </c>
      <c r="T378" s="220">
        <f>SUM( tabConsumo[[#This Row],[QTD.PENDENTE]]:tabConsumo[[#This Row],[09_23]] ) / tabConsumo[[#This Row],[Div]]</f>
        <v>8.3333333333333329E-2</v>
      </c>
      <c r="U378" s="221">
        <f xml:space="preserve"> tabConsumo[[#This Row],[Média.A]] + (_xlfn.STDEV.S( tabConsumo[[#This Row],[QTD.PENDENTE]]:tabConsumo[[#This Row],[09_23]] ) * 1)</f>
        <v>0.37200846792814618</v>
      </c>
      <c r="V378" s="221">
        <f xml:space="preserve"> tabConsumo[[#This Row],[Média.A]] + (_xlfn.STDEV.S( tabConsumo[[#This Row],[QTD.PENDENTE]]:tabConsumo[[#This Row],[09_23]] ) * 2)</f>
        <v>0.6606836025229591</v>
      </c>
      <c r="W378" s="221">
        <f xml:space="preserve"> tabConsumo[[#This Row],[Média.A]] + (_xlfn.STDEV.S( tabConsumo[[#This Row],[QTD.PENDENTE]]:tabConsumo[[#This Row],[09_23]] ) * 3)</f>
        <v>0.94935873711777197</v>
      </c>
      <c r="X378" s="5">
        <f t="shared" si="12"/>
        <v>2</v>
      </c>
      <c r="Y378">
        <v>0</v>
      </c>
      <c r="Z378" s="223">
        <f>SUM( tabConsumo[[#This Row],[QTD.PENDENTE]]:tabConsumo[[#This Row],[09_23]] )</f>
        <v>1</v>
      </c>
      <c r="AA378" s="223">
        <f>LARGE(tabConsumo[[#This Row],[10_22]:[09_23]],1)</f>
        <v>1</v>
      </c>
      <c r="AB378" s="146" t="s">
        <v>2243</v>
      </c>
      <c r="AC378" s="3" t="s">
        <v>2086</v>
      </c>
    </row>
    <row r="379" spans="1:29" x14ac:dyDescent="0.3">
      <c r="A379" s="4" t="s">
        <v>2031</v>
      </c>
      <c r="B379" s="3" t="s">
        <v>301</v>
      </c>
      <c r="C379" s="2">
        <v>141253</v>
      </c>
      <c r="D379" s="2">
        <v>190</v>
      </c>
      <c r="E379" s="2">
        <v>8</v>
      </c>
      <c r="F379" s="2">
        <v>21</v>
      </c>
      <c r="G379" s="2">
        <v>26</v>
      </c>
      <c r="H379" s="2">
        <v>23</v>
      </c>
      <c r="I379" s="2">
        <v>10</v>
      </c>
      <c r="J379" s="2">
        <v>0</v>
      </c>
      <c r="K379" s="2">
        <v>22</v>
      </c>
      <c r="L379" s="2">
        <v>11</v>
      </c>
      <c r="M379" s="2">
        <v>27</v>
      </c>
      <c r="N379" s="2">
        <v>38</v>
      </c>
      <c r="O379" s="2">
        <v>0</v>
      </c>
      <c r="P379" s="2">
        <v>0</v>
      </c>
      <c r="Q379" s="2">
        <v>0</v>
      </c>
      <c r="R379" s="238">
        <v>44355</v>
      </c>
      <c r="S379" s="219">
        <v>12</v>
      </c>
      <c r="T379" s="220">
        <f>SUM( tabConsumo[[#This Row],[QTD.PENDENTE]]:tabConsumo[[#This Row],[09_23]] ) / tabConsumo[[#This Row],[Div]]</f>
        <v>15.5</v>
      </c>
      <c r="U379" s="221">
        <f xml:space="preserve"> tabConsumo[[#This Row],[Média.A]] + (_xlfn.STDEV.S( tabConsumo[[#This Row],[QTD.PENDENTE]]:tabConsumo[[#This Row],[09_23]] ) * 1)</f>
        <v>28.171389133165412</v>
      </c>
      <c r="V379" s="221">
        <f xml:space="preserve"> tabConsumo[[#This Row],[Média.A]] + (_xlfn.STDEV.S( tabConsumo[[#This Row],[QTD.PENDENTE]]:tabConsumo[[#This Row],[09_23]] ) * 2)</f>
        <v>40.842778266330825</v>
      </c>
      <c r="W379" s="221">
        <f xml:space="preserve"> tabConsumo[[#This Row],[Média.A]] + (_xlfn.STDEV.S( tabConsumo[[#This Row],[QTD.PENDENTE]]:tabConsumo[[#This Row],[09_23]] ) * 3)</f>
        <v>53.514167399496245</v>
      </c>
      <c r="X379" s="5">
        <f t="shared" si="12"/>
        <v>2</v>
      </c>
      <c r="Y379">
        <v>15.5</v>
      </c>
      <c r="Z379" s="223">
        <f>SUM( tabConsumo[[#This Row],[QTD.PENDENTE]]:tabConsumo[[#This Row],[09_23]] )</f>
        <v>186</v>
      </c>
      <c r="AA379" s="223">
        <f>LARGE(tabConsumo[[#This Row],[10_22]:[09_23]],1)</f>
        <v>38</v>
      </c>
      <c r="AB379" s="146" t="s">
        <v>2246</v>
      </c>
      <c r="AC379" s="3" t="s">
        <v>2086</v>
      </c>
    </row>
    <row r="380" spans="1:29" x14ac:dyDescent="0.3">
      <c r="A380" s="4" t="s">
        <v>1592</v>
      </c>
      <c r="B380" s="3" t="s">
        <v>263</v>
      </c>
      <c r="C380" s="2">
        <v>102728</v>
      </c>
      <c r="D380" s="2">
        <v>224</v>
      </c>
      <c r="F380" s="2">
        <v>150</v>
      </c>
      <c r="G380" s="2">
        <v>20</v>
      </c>
      <c r="H380" s="2">
        <v>40</v>
      </c>
      <c r="I380" s="2">
        <v>30</v>
      </c>
      <c r="J380" s="2">
        <v>0</v>
      </c>
      <c r="K380" s="2">
        <v>0</v>
      </c>
      <c r="L380" s="2">
        <v>100</v>
      </c>
      <c r="M380" s="2">
        <v>0</v>
      </c>
      <c r="N380" s="2">
        <v>0</v>
      </c>
      <c r="O380" s="2">
        <v>20</v>
      </c>
      <c r="P380" s="2">
        <v>0</v>
      </c>
      <c r="Q380" s="2">
        <v>0</v>
      </c>
      <c r="R380" s="238">
        <v>39371</v>
      </c>
      <c r="S380" s="219">
        <v>12</v>
      </c>
      <c r="T380" s="220">
        <f>SUM( tabConsumo[[#This Row],[QTD.PENDENTE]]:tabConsumo[[#This Row],[09_23]] ) / tabConsumo[[#This Row],[Div]]</f>
        <v>30</v>
      </c>
      <c r="U380" s="221">
        <f xml:space="preserve"> tabConsumo[[#This Row],[Média.A]] + (_xlfn.STDEV.S( tabConsumo[[#This Row],[QTD.PENDENTE]]:tabConsumo[[#This Row],[09_23]] ) * 1)</f>
        <v>77.673129462279604</v>
      </c>
      <c r="V380" s="221">
        <f xml:space="preserve"> tabConsumo[[#This Row],[Média.A]] + (_xlfn.STDEV.S( tabConsumo[[#This Row],[QTD.PENDENTE]]:tabConsumo[[#This Row],[09_23]] ) * 2)</f>
        <v>125.34625892455922</v>
      </c>
      <c r="W380" s="221">
        <f xml:space="preserve"> tabConsumo[[#This Row],[Média.A]] + (_xlfn.STDEV.S( tabConsumo[[#This Row],[QTD.PENDENTE]]:tabConsumo[[#This Row],[09_23]] ) * 3)</f>
        <v>173.01938838683884</v>
      </c>
      <c r="X380" s="5">
        <f t="shared" si="12"/>
        <v>2</v>
      </c>
      <c r="Y380">
        <v>27.916666666666668</v>
      </c>
      <c r="Z380" s="223">
        <f>SUM( tabConsumo[[#This Row],[QTD.PENDENTE]]:tabConsumo[[#This Row],[09_23]] )</f>
        <v>360</v>
      </c>
      <c r="AA380" s="223">
        <f>LARGE(tabConsumo[[#This Row],[10_22]:[09_23]],1)</f>
        <v>150</v>
      </c>
      <c r="AB380" s="146" t="s">
        <v>2239</v>
      </c>
      <c r="AC380" s="3" t="s">
        <v>2086</v>
      </c>
    </row>
    <row r="381" spans="1:29" x14ac:dyDescent="0.3">
      <c r="A381" s="4" t="s">
        <v>1524</v>
      </c>
      <c r="B381" s="3" t="s">
        <v>263</v>
      </c>
      <c r="C381" s="2">
        <v>89194</v>
      </c>
      <c r="D381" s="2">
        <v>0</v>
      </c>
      <c r="E381" s="2">
        <v>49</v>
      </c>
      <c r="F381" s="2">
        <v>140</v>
      </c>
      <c r="G381" s="2">
        <v>98</v>
      </c>
      <c r="H381" s="2">
        <v>66</v>
      </c>
      <c r="I381" s="2">
        <v>85</v>
      </c>
      <c r="J381" s="2">
        <v>98</v>
      </c>
      <c r="K381" s="2">
        <v>147</v>
      </c>
      <c r="L381" s="2">
        <v>127</v>
      </c>
      <c r="M381" s="2">
        <v>101</v>
      </c>
      <c r="N381" s="2">
        <v>29</v>
      </c>
      <c r="O381" s="2">
        <v>0</v>
      </c>
      <c r="P381" s="2">
        <v>0</v>
      </c>
      <c r="Q381" s="2">
        <v>0</v>
      </c>
      <c r="R381" s="238">
        <v>38688</v>
      </c>
      <c r="S381" s="219">
        <v>12</v>
      </c>
      <c r="T381" s="220">
        <f>SUM( tabConsumo[[#This Row],[QTD.PENDENTE]]:tabConsumo[[#This Row],[09_23]] ) / tabConsumo[[#This Row],[Div]]</f>
        <v>78.333333333333329</v>
      </c>
      <c r="U381" s="221">
        <f xml:space="preserve"> tabConsumo[[#This Row],[Média.A]] + (_xlfn.STDEV.S( tabConsumo[[#This Row],[QTD.PENDENTE]]:tabConsumo[[#This Row],[09_23]] ) * 1)</f>
        <v>131.24896526345492</v>
      </c>
      <c r="V381" s="221">
        <f xml:space="preserve"> tabConsumo[[#This Row],[Média.A]] + (_xlfn.STDEV.S( tabConsumo[[#This Row],[QTD.PENDENTE]]:tabConsumo[[#This Row],[09_23]] ) * 2)</f>
        <v>184.1645971935765</v>
      </c>
      <c r="W381" s="221">
        <f xml:space="preserve"> tabConsumo[[#This Row],[Média.A]] + (_xlfn.STDEV.S( tabConsumo[[#This Row],[QTD.PENDENTE]]:tabConsumo[[#This Row],[09_23]] ) * 3)</f>
        <v>237.08022912369807</v>
      </c>
      <c r="X381" s="5">
        <f t="shared" si="12"/>
        <v>2</v>
      </c>
      <c r="Y381">
        <v>78.333333333333329</v>
      </c>
      <c r="Z381" s="223">
        <f>SUM( tabConsumo[[#This Row],[QTD.PENDENTE]]:tabConsumo[[#This Row],[09_23]] )</f>
        <v>940</v>
      </c>
      <c r="AA381" s="223">
        <f>LARGE(tabConsumo[[#This Row],[10_22]:[09_23]],1)</f>
        <v>147</v>
      </c>
      <c r="AB381" s="146" t="s">
        <v>2246</v>
      </c>
      <c r="AC381" s="3" t="s">
        <v>2086</v>
      </c>
    </row>
    <row r="382" spans="1:29" x14ac:dyDescent="0.3">
      <c r="A382" s="4" t="s">
        <v>1226</v>
      </c>
      <c r="B382" s="3" t="s">
        <v>611</v>
      </c>
      <c r="C382" s="2">
        <v>27353</v>
      </c>
      <c r="D382" s="2">
        <v>0</v>
      </c>
      <c r="E382" s="2">
        <v>20</v>
      </c>
      <c r="F382" s="2">
        <v>30</v>
      </c>
      <c r="G382" s="2">
        <v>16</v>
      </c>
      <c r="H382" s="2">
        <v>26</v>
      </c>
      <c r="I382" s="2">
        <v>39</v>
      </c>
      <c r="J382" s="2">
        <v>12</v>
      </c>
      <c r="K382" s="2">
        <v>17</v>
      </c>
      <c r="L382" s="2">
        <v>103</v>
      </c>
      <c r="M382" s="2">
        <v>154</v>
      </c>
      <c r="N382" s="2">
        <v>0</v>
      </c>
      <c r="O382" s="2">
        <v>0</v>
      </c>
      <c r="P382" s="2">
        <v>0</v>
      </c>
      <c r="Q382" s="2">
        <v>100</v>
      </c>
      <c r="R382" s="238">
        <v>367</v>
      </c>
      <c r="S382" s="219">
        <f xml:space="preserve"> 12</f>
        <v>12</v>
      </c>
      <c r="T382" s="220">
        <f>SUM( tabConsumo[[#This Row],[QTD.PENDENTE]]:tabConsumo[[#This Row],[09_23]] ) / tabConsumo[[#This Row],[Div]]</f>
        <v>43.083333333333336</v>
      </c>
      <c r="U382" s="221">
        <f xml:space="preserve"> tabConsumo[[#This Row],[Média.A]] + (_xlfn.STDEV.S( tabConsumo[[#This Row],[QTD.PENDENTE]]:tabConsumo[[#This Row],[09_23]] ) * 1)</f>
        <v>91.345039764957846</v>
      </c>
      <c r="V382" s="221">
        <f xml:space="preserve"> tabConsumo[[#This Row],[Média.A]] + (_xlfn.STDEV.S( tabConsumo[[#This Row],[QTD.PENDENTE]]:tabConsumo[[#This Row],[09_23]] ) * 2)</f>
        <v>139.60674619658238</v>
      </c>
      <c r="W382" s="221">
        <f xml:space="preserve"> tabConsumo[[#This Row],[Média.A]] + (_xlfn.STDEV.S( tabConsumo[[#This Row],[QTD.PENDENTE]]:tabConsumo[[#This Row],[09_23]] ) * 3)</f>
        <v>187.86845262820688</v>
      </c>
      <c r="X382" s="5">
        <f t="shared" si="12"/>
        <v>2</v>
      </c>
      <c r="Y382">
        <v>41.833333333333336</v>
      </c>
      <c r="Z382" s="223">
        <f>SUM( tabConsumo[[#This Row],[QTD.PENDENTE]]:tabConsumo[[#This Row],[09_23]] )</f>
        <v>517</v>
      </c>
      <c r="AA382" s="223">
        <f>LARGE(tabConsumo[[#This Row],[10_22]:[09_23]],1)</f>
        <v>154</v>
      </c>
      <c r="AB382" s="146" t="s">
        <v>2238</v>
      </c>
      <c r="AC382" s="3" t="s">
        <v>2086</v>
      </c>
    </row>
    <row r="383" spans="1:29" x14ac:dyDescent="0.3">
      <c r="A383" s="4" t="s">
        <v>1974</v>
      </c>
      <c r="B383" s="3" t="s">
        <v>1973</v>
      </c>
      <c r="C383" s="2">
        <v>138462</v>
      </c>
      <c r="D383" s="2">
        <v>7640</v>
      </c>
      <c r="E383" s="2">
        <v>130</v>
      </c>
      <c r="F383" s="2">
        <v>448</v>
      </c>
      <c r="G383" s="2">
        <v>348</v>
      </c>
      <c r="H383" s="2">
        <v>239</v>
      </c>
      <c r="I383" s="2">
        <v>124</v>
      </c>
      <c r="J383" s="2">
        <v>751</v>
      </c>
      <c r="K383" s="2">
        <v>5715</v>
      </c>
      <c r="L383" s="2">
        <v>295</v>
      </c>
      <c r="M383" s="2">
        <v>311</v>
      </c>
      <c r="N383" s="2">
        <v>359</v>
      </c>
      <c r="O383" s="2">
        <v>800</v>
      </c>
      <c r="P383" s="2">
        <v>406</v>
      </c>
      <c r="Q383" s="2">
        <v>331</v>
      </c>
      <c r="R383" s="238">
        <v>43720</v>
      </c>
      <c r="S383" s="219">
        <v>12</v>
      </c>
      <c r="T383" s="220">
        <f>SUM( tabConsumo[[#This Row],[QTD.PENDENTE]]:tabConsumo[[#This Row],[09_23]] ) / tabConsumo[[#This Row],[Div]]</f>
        <v>854.75</v>
      </c>
      <c r="U383" s="221">
        <f xml:space="preserve"> tabConsumo[[#This Row],[Média.A]] + (_xlfn.STDEV.S( tabConsumo[[#This Row],[QTD.PENDENTE]]:tabConsumo[[#This Row],[09_23]] ) * 1)</f>
        <v>2348.3664724140754</v>
      </c>
      <c r="V383" s="221">
        <f xml:space="preserve"> tabConsumo[[#This Row],[Média.A]] + (_xlfn.STDEV.S( tabConsumo[[#This Row],[QTD.PENDENTE]]:tabConsumo[[#This Row],[09_23]] ) * 2)</f>
        <v>3841.9829448281507</v>
      </c>
      <c r="W383" s="221">
        <f xml:space="preserve"> tabConsumo[[#This Row],[Média.A]] + (_xlfn.STDEV.S( tabConsumo[[#This Row],[QTD.PENDENTE]]:tabConsumo[[#This Row],[09_23]] ) * 3)</f>
        <v>5335.5994172422261</v>
      </c>
      <c r="X383" s="5">
        <f t="shared" si="12"/>
        <v>2</v>
      </c>
      <c r="Y383">
        <v>698.58333333333337</v>
      </c>
      <c r="Z383" s="223">
        <f>SUM( tabConsumo[[#This Row],[QTD.PENDENTE]]:tabConsumo[[#This Row],[09_23]] )</f>
        <v>10257</v>
      </c>
      <c r="AA383" s="223">
        <f>LARGE(tabConsumo[[#This Row],[10_22]:[09_23]],1)</f>
        <v>5715</v>
      </c>
      <c r="AB383" s="146" t="s">
        <v>2238</v>
      </c>
      <c r="AC383" s="3" t="s">
        <v>2086</v>
      </c>
    </row>
    <row r="384" spans="1:29" x14ac:dyDescent="0.3">
      <c r="A384" s="4" t="s">
        <v>1117</v>
      </c>
      <c r="B384" s="3" t="s">
        <v>269</v>
      </c>
      <c r="C384" s="2">
        <v>16512</v>
      </c>
      <c r="D384" s="2">
        <v>0</v>
      </c>
      <c r="E384" s="2">
        <v>377</v>
      </c>
      <c r="F384" s="2">
        <v>0</v>
      </c>
      <c r="G384" s="2">
        <v>18</v>
      </c>
      <c r="H384" s="2">
        <v>3</v>
      </c>
      <c r="I384" s="2">
        <v>49</v>
      </c>
      <c r="J384" s="2">
        <v>225</v>
      </c>
      <c r="K384" s="2">
        <v>474</v>
      </c>
      <c r="L384" s="2">
        <v>231</v>
      </c>
      <c r="M384" s="2">
        <v>38</v>
      </c>
      <c r="N384" s="2">
        <v>3</v>
      </c>
      <c r="O384" s="2">
        <v>46</v>
      </c>
      <c r="P384" s="2">
        <v>0</v>
      </c>
      <c r="Q384" s="2">
        <v>0</v>
      </c>
      <c r="R384" s="238">
        <v>367</v>
      </c>
      <c r="S384" s="219">
        <f xml:space="preserve"> 12</f>
        <v>12</v>
      </c>
      <c r="T384" s="220">
        <f>SUM( tabConsumo[[#This Row],[QTD.PENDENTE]]:tabConsumo[[#This Row],[09_23]] ) / tabConsumo[[#This Row],[Div]]</f>
        <v>122</v>
      </c>
      <c r="U384" s="221">
        <f xml:space="preserve"> tabConsumo[[#This Row],[Média.A]] + (_xlfn.STDEV.S( tabConsumo[[#This Row],[QTD.PENDENTE]]:tabConsumo[[#This Row],[09_23]] ) * 1)</f>
        <v>283.30330563958205</v>
      </c>
      <c r="V384" s="221">
        <f xml:space="preserve"> tabConsumo[[#This Row],[Média.A]] + (_xlfn.STDEV.S( tabConsumo[[#This Row],[QTD.PENDENTE]]:tabConsumo[[#This Row],[09_23]] ) * 2)</f>
        <v>444.60661127916404</v>
      </c>
      <c r="W384" s="221">
        <f xml:space="preserve"> tabConsumo[[#This Row],[Média.A]] + (_xlfn.STDEV.S( tabConsumo[[#This Row],[QTD.PENDENTE]]:tabConsumo[[#This Row],[09_23]] ) * 3)</f>
        <v>605.90991691874603</v>
      </c>
      <c r="X384" s="5">
        <f t="shared" si="12"/>
        <v>2</v>
      </c>
      <c r="Y384">
        <v>119.5</v>
      </c>
      <c r="Z384" s="223">
        <f>SUM( tabConsumo[[#This Row],[QTD.PENDENTE]]:tabConsumo[[#This Row],[09_23]] )</f>
        <v>1464</v>
      </c>
      <c r="AA384" s="223">
        <f>LARGE(tabConsumo[[#This Row],[10_22]:[09_23]],1)</f>
        <v>474</v>
      </c>
      <c r="AB384" s="146" t="s">
        <v>2239</v>
      </c>
      <c r="AC384" s="3" t="s">
        <v>2086</v>
      </c>
    </row>
    <row r="385" spans="1:29" x14ac:dyDescent="0.3">
      <c r="A385" s="4" t="s">
        <v>1828</v>
      </c>
      <c r="B385" s="3" t="s">
        <v>269</v>
      </c>
      <c r="C385" s="2">
        <v>132299</v>
      </c>
      <c r="D385" s="2">
        <v>2283</v>
      </c>
      <c r="E385" s="2">
        <v>4</v>
      </c>
      <c r="F385" s="2">
        <v>175</v>
      </c>
      <c r="G385" s="2">
        <v>164</v>
      </c>
      <c r="H385" s="2">
        <v>113</v>
      </c>
      <c r="I385" s="2">
        <v>66</v>
      </c>
      <c r="J385" s="2">
        <v>112</v>
      </c>
      <c r="K385" s="2">
        <v>2639</v>
      </c>
      <c r="L385" s="2">
        <v>76</v>
      </c>
      <c r="M385" s="2">
        <v>94</v>
      </c>
      <c r="N385" s="2">
        <v>104</v>
      </c>
      <c r="O385" s="2">
        <v>116</v>
      </c>
      <c r="P385" s="2">
        <v>161</v>
      </c>
      <c r="Q385" s="2">
        <v>148</v>
      </c>
      <c r="R385" s="238">
        <v>42685</v>
      </c>
      <c r="S385" s="219">
        <v>12</v>
      </c>
      <c r="T385" s="220">
        <f>SUM( tabConsumo[[#This Row],[QTD.PENDENTE]]:tabConsumo[[#This Row],[09_23]] ) / tabConsumo[[#This Row],[Div]]</f>
        <v>331</v>
      </c>
      <c r="U385" s="221">
        <f xml:space="preserve"> tabConsumo[[#This Row],[Média.A]] + (_xlfn.STDEV.S( tabConsumo[[#This Row],[QTD.PENDENTE]]:tabConsumo[[#This Row],[09_23]] ) * 1)</f>
        <v>1033.6519545484587</v>
      </c>
      <c r="V385" s="221">
        <f xml:space="preserve"> tabConsumo[[#This Row],[Média.A]] + (_xlfn.STDEV.S( tabConsumo[[#This Row],[QTD.PENDENTE]]:tabConsumo[[#This Row],[09_23]] ) * 2)</f>
        <v>1736.3039090969173</v>
      </c>
      <c r="W385" s="221">
        <f xml:space="preserve"> tabConsumo[[#This Row],[Média.A]] + (_xlfn.STDEV.S( tabConsumo[[#This Row],[QTD.PENDENTE]]:tabConsumo[[#This Row],[09_23]] ) * 3)</f>
        <v>2438.9558636453758</v>
      </c>
      <c r="X385" s="5">
        <f t="shared" si="12"/>
        <v>2</v>
      </c>
      <c r="Y385">
        <v>255.75</v>
      </c>
      <c r="Z385" s="223">
        <f>SUM( tabConsumo[[#This Row],[QTD.PENDENTE]]:tabConsumo[[#This Row],[09_23]] )</f>
        <v>3972</v>
      </c>
      <c r="AA385" s="223">
        <f>LARGE(tabConsumo[[#This Row],[10_22]:[09_23]],1)</f>
        <v>2639</v>
      </c>
      <c r="AB385" s="146" t="s">
        <v>2238</v>
      </c>
      <c r="AC385" s="3" t="s">
        <v>2086</v>
      </c>
    </row>
    <row r="386" spans="1:29" x14ac:dyDescent="0.3">
      <c r="A386" s="4" t="s">
        <v>1488</v>
      </c>
      <c r="B386" s="3" t="s">
        <v>263</v>
      </c>
      <c r="C386" s="2">
        <v>82995</v>
      </c>
      <c r="D386" s="2">
        <v>300</v>
      </c>
      <c r="E386" s="2">
        <v>260</v>
      </c>
      <c r="F386" s="2">
        <v>75</v>
      </c>
      <c r="G386" s="2">
        <v>0</v>
      </c>
      <c r="H386" s="2">
        <v>25</v>
      </c>
      <c r="I386" s="2">
        <v>105</v>
      </c>
      <c r="J386" s="2">
        <v>0</v>
      </c>
      <c r="K386" s="2">
        <v>125</v>
      </c>
      <c r="L386" s="2">
        <v>0</v>
      </c>
      <c r="M386" s="2">
        <v>0</v>
      </c>
      <c r="N386" s="2">
        <v>340</v>
      </c>
      <c r="O386" s="2">
        <v>0</v>
      </c>
      <c r="P386" s="2">
        <v>0</v>
      </c>
      <c r="Q386" s="2">
        <v>0</v>
      </c>
      <c r="R386" s="238">
        <v>38317</v>
      </c>
      <c r="S386" s="219">
        <v>12</v>
      </c>
      <c r="T386" s="220">
        <f>SUM( tabConsumo[[#This Row],[QTD.PENDENTE]]:tabConsumo[[#This Row],[09_23]] ) / tabConsumo[[#This Row],[Div]]</f>
        <v>77.5</v>
      </c>
      <c r="U386" s="221">
        <f xml:space="preserve"> tabConsumo[[#This Row],[Média.A]] + (_xlfn.STDEV.S( tabConsumo[[#This Row],[QTD.PENDENTE]]:tabConsumo[[#This Row],[09_23]] ) * 1)</f>
        <v>189.14274523721889</v>
      </c>
      <c r="V386" s="221">
        <f xml:space="preserve"> tabConsumo[[#This Row],[Média.A]] + (_xlfn.STDEV.S( tabConsumo[[#This Row],[QTD.PENDENTE]]:tabConsumo[[#This Row],[09_23]] ) * 2)</f>
        <v>300.78549047443778</v>
      </c>
      <c r="W386" s="221">
        <f xml:space="preserve"> tabConsumo[[#This Row],[Média.A]] + (_xlfn.STDEV.S( tabConsumo[[#This Row],[QTD.PENDENTE]]:tabConsumo[[#This Row],[09_23]] ) * 3)</f>
        <v>412.42823571165667</v>
      </c>
      <c r="X386" s="5">
        <f t="shared" si="12"/>
        <v>2</v>
      </c>
      <c r="Y386">
        <v>74.166666666666671</v>
      </c>
      <c r="Z386" s="223">
        <f>SUM( tabConsumo[[#This Row],[QTD.PENDENTE]]:tabConsumo[[#This Row],[09_23]] )</f>
        <v>930</v>
      </c>
      <c r="AA386" s="223">
        <f>LARGE(tabConsumo[[#This Row],[10_22]:[09_23]],1)</f>
        <v>340</v>
      </c>
      <c r="AB386" s="146" t="s">
        <v>2246</v>
      </c>
      <c r="AC386" s="3" t="s">
        <v>2086</v>
      </c>
    </row>
    <row r="387" spans="1:29" x14ac:dyDescent="0.3">
      <c r="A387" s="4" t="s">
        <v>1489</v>
      </c>
      <c r="B387" s="3" t="s">
        <v>263</v>
      </c>
      <c r="C387" s="2">
        <v>82996</v>
      </c>
      <c r="D387" s="2">
        <v>480</v>
      </c>
      <c r="F387" s="2">
        <v>0</v>
      </c>
      <c r="G387" s="2">
        <v>0</v>
      </c>
      <c r="H387" s="2">
        <v>0</v>
      </c>
      <c r="I387" s="2">
        <v>0</v>
      </c>
      <c r="J387" s="2">
        <v>0</v>
      </c>
      <c r="K387" s="2">
        <v>100</v>
      </c>
      <c r="L387" s="2">
        <v>0</v>
      </c>
      <c r="M387" s="2">
        <v>0</v>
      </c>
      <c r="N387" s="2">
        <v>0</v>
      </c>
      <c r="O387" s="2">
        <v>0</v>
      </c>
      <c r="P387" s="2">
        <v>0</v>
      </c>
      <c r="Q387" s="2">
        <v>0</v>
      </c>
      <c r="R387" s="238">
        <v>38317</v>
      </c>
      <c r="S387" s="219">
        <v>12</v>
      </c>
      <c r="T387" s="220">
        <f>SUM( tabConsumo[[#This Row],[QTD.PENDENTE]]:tabConsumo[[#This Row],[09_23]] ) / tabConsumo[[#This Row],[Div]]</f>
        <v>8.3333333333333339</v>
      </c>
      <c r="U387" s="221">
        <f xml:space="preserve"> tabConsumo[[#This Row],[Média.A]] + (_xlfn.STDEV.S( tabConsumo[[#This Row],[QTD.PENDENTE]]:tabConsumo[[#This Row],[09_23]] ) * 1)</f>
        <v>37.200846792814623</v>
      </c>
      <c r="V387" s="221">
        <f xml:space="preserve"> tabConsumo[[#This Row],[Média.A]] + (_xlfn.STDEV.S( tabConsumo[[#This Row],[QTD.PENDENTE]]:tabConsumo[[#This Row],[09_23]] ) * 2)</f>
        <v>66.068360252295903</v>
      </c>
      <c r="W387" s="221">
        <f xml:space="preserve"> tabConsumo[[#This Row],[Média.A]] + (_xlfn.STDEV.S( tabConsumo[[#This Row],[QTD.PENDENTE]]:tabConsumo[[#This Row],[09_23]] ) * 3)</f>
        <v>94.935873711777191</v>
      </c>
      <c r="X387" s="5">
        <f t="shared" ref="X387:X450" si="13" xml:space="preserve"> 2</f>
        <v>2</v>
      </c>
      <c r="Y387">
        <v>5.5</v>
      </c>
      <c r="Z387" s="223">
        <f>SUM( tabConsumo[[#This Row],[QTD.PENDENTE]]:tabConsumo[[#This Row],[09_23]] )</f>
        <v>100</v>
      </c>
      <c r="AA387" s="223">
        <f>LARGE(tabConsumo[[#This Row],[10_22]:[09_23]],1)</f>
        <v>100</v>
      </c>
      <c r="AB387" s="146" t="s">
        <v>2245</v>
      </c>
      <c r="AC387" s="3" t="s">
        <v>2086</v>
      </c>
    </row>
    <row r="388" spans="1:29" x14ac:dyDescent="0.3">
      <c r="A388" s="4" t="s">
        <v>1302</v>
      </c>
      <c r="B388" s="3" t="s">
        <v>263</v>
      </c>
      <c r="C388" s="2">
        <v>51579</v>
      </c>
      <c r="D388" s="2">
        <v>422</v>
      </c>
      <c r="E388" s="2">
        <v>1</v>
      </c>
      <c r="F388" s="2">
        <v>70</v>
      </c>
      <c r="G388" s="2">
        <v>96</v>
      </c>
      <c r="H388" s="2">
        <v>49</v>
      </c>
      <c r="I388" s="2">
        <v>47</v>
      </c>
      <c r="J388" s="2">
        <v>62</v>
      </c>
      <c r="K388" s="2">
        <v>119</v>
      </c>
      <c r="L388" s="2">
        <v>89</v>
      </c>
      <c r="M388" s="2">
        <v>86</v>
      </c>
      <c r="N388" s="2">
        <v>92</v>
      </c>
      <c r="O388" s="2">
        <v>80</v>
      </c>
      <c r="P388" s="2">
        <v>95</v>
      </c>
      <c r="Q388" s="2">
        <v>85</v>
      </c>
      <c r="R388" s="238">
        <v>367</v>
      </c>
      <c r="S388" s="219">
        <f xml:space="preserve"> 12</f>
        <v>12</v>
      </c>
      <c r="T388" s="220">
        <f>SUM( tabConsumo[[#This Row],[QTD.PENDENTE]]:tabConsumo[[#This Row],[09_23]] ) / tabConsumo[[#This Row],[Div]]</f>
        <v>80.916666666666671</v>
      </c>
      <c r="U388" s="221">
        <f xml:space="preserve"> tabConsumo[[#This Row],[Média.A]] + (_xlfn.STDEV.S( tabConsumo[[#This Row],[QTD.PENDENTE]]:tabConsumo[[#This Row],[09_23]] ) * 1)</f>
        <v>110.68909411048516</v>
      </c>
      <c r="V388" s="221">
        <f xml:space="preserve"> tabConsumo[[#This Row],[Média.A]] + (_xlfn.STDEV.S( tabConsumo[[#This Row],[QTD.PENDENTE]]:tabConsumo[[#This Row],[09_23]] ) * 2)</f>
        <v>140.46152155430366</v>
      </c>
      <c r="W388" s="221">
        <f xml:space="preserve"> tabConsumo[[#This Row],[Média.A]] + (_xlfn.STDEV.S( tabConsumo[[#This Row],[QTD.PENDENTE]]:tabConsumo[[#This Row],[09_23]] ) * 3)</f>
        <v>170.23394899812212</v>
      </c>
      <c r="X388" s="5">
        <f t="shared" si="13"/>
        <v>2</v>
      </c>
      <c r="Y388">
        <v>80.916666666666671</v>
      </c>
      <c r="Z388" s="223">
        <f>SUM( tabConsumo[[#This Row],[QTD.PENDENTE]]:tabConsumo[[#This Row],[09_23]] )</f>
        <v>971</v>
      </c>
      <c r="AA388" s="223">
        <f>LARGE(tabConsumo[[#This Row],[10_22]:[09_23]],1)</f>
        <v>119</v>
      </c>
      <c r="AB388" s="146" t="s">
        <v>2238</v>
      </c>
      <c r="AC388" s="3" t="s">
        <v>2086</v>
      </c>
    </row>
    <row r="389" spans="1:29" x14ac:dyDescent="0.3">
      <c r="A389" s="4" t="s">
        <v>313</v>
      </c>
      <c r="B389" s="3" t="s">
        <v>269</v>
      </c>
      <c r="C389" s="2">
        <v>13021</v>
      </c>
      <c r="D389" s="2">
        <v>250</v>
      </c>
      <c r="F389" s="2">
        <v>0</v>
      </c>
      <c r="G389" s="2">
        <v>0</v>
      </c>
      <c r="H389" s="2">
        <v>0</v>
      </c>
      <c r="I389" s="2">
        <v>0</v>
      </c>
      <c r="J389" s="2">
        <v>0</v>
      </c>
      <c r="K389" s="2">
        <v>0</v>
      </c>
      <c r="L389" s="2">
        <v>0</v>
      </c>
      <c r="M389" s="2">
        <v>0</v>
      </c>
      <c r="N389" s="2">
        <v>0</v>
      </c>
      <c r="O389" s="2">
        <v>0</v>
      </c>
      <c r="P389" s="2">
        <v>0</v>
      </c>
      <c r="Q389" s="2">
        <v>4</v>
      </c>
      <c r="R389" s="238">
        <v>367</v>
      </c>
      <c r="S389" s="219">
        <f xml:space="preserve"> 12</f>
        <v>12</v>
      </c>
      <c r="T389" s="220">
        <f>SUM( tabConsumo[[#This Row],[QTD.PENDENTE]]:tabConsumo[[#This Row],[09_23]] ) / tabConsumo[[#This Row],[Div]]</f>
        <v>0.33333333333333331</v>
      </c>
      <c r="U389" s="221">
        <f xml:space="preserve"> tabConsumo[[#This Row],[Média.A]] + (_xlfn.STDEV.S( tabConsumo[[#This Row],[QTD.PENDENTE]]:tabConsumo[[#This Row],[09_23]] ) * 1)</f>
        <v>1.4880338717125847</v>
      </c>
      <c r="V389" s="221">
        <f xml:space="preserve"> tabConsumo[[#This Row],[Média.A]] + (_xlfn.STDEV.S( tabConsumo[[#This Row],[QTD.PENDENTE]]:tabConsumo[[#This Row],[09_23]] ) * 2)</f>
        <v>2.6427344100918364</v>
      </c>
      <c r="W389" s="221">
        <f xml:space="preserve"> tabConsumo[[#This Row],[Média.A]] + (_xlfn.STDEV.S( tabConsumo[[#This Row],[QTD.PENDENTE]]:tabConsumo[[#This Row],[09_23]] ) * 3)</f>
        <v>3.7974349484710879</v>
      </c>
      <c r="X389" s="5">
        <f t="shared" si="13"/>
        <v>2</v>
      </c>
      <c r="Y389">
        <v>0.16666666666666666</v>
      </c>
      <c r="Z389" s="223">
        <f>SUM( tabConsumo[[#This Row],[QTD.PENDENTE]]:tabConsumo[[#This Row],[09_23]] )</f>
        <v>4</v>
      </c>
      <c r="AA389" s="223">
        <f>LARGE(tabConsumo[[#This Row],[10_22]:[09_23]],1)</f>
        <v>4</v>
      </c>
      <c r="AB389" s="146" t="s">
        <v>2238</v>
      </c>
      <c r="AC389" s="3" t="s">
        <v>2086</v>
      </c>
    </row>
    <row r="390" spans="1:29" x14ac:dyDescent="0.3">
      <c r="A390" s="4" t="s">
        <v>933</v>
      </c>
      <c r="B390" s="3" t="s">
        <v>269</v>
      </c>
      <c r="C390" s="2">
        <v>11116</v>
      </c>
      <c r="D390" s="2">
        <v>1315</v>
      </c>
      <c r="F390" s="2">
        <v>55</v>
      </c>
      <c r="G390" s="2">
        <v>47</v>
      </c>
      <c r="H390" s="2">
        <v>31</v>
      </c>
      <c r="I390" s="2">
        <v>44</v>
      </c>
      <c r="J390" s="2">
        <v>40</v>
      </c>
      <c r="K390" s="2">
        <v>78</v>
      </c>
      <c r="L390" s="2">
        <v>60</v>
      </c>
      <c r="M390" s="2">
        <v>65</v>
      </c>
      <c r="N390" s="2">
        <v>67</v>
      </c>
      <c r="O390" s="2">
        <v>45</v>
      </c>
      <c r="P390" s="2">
        <v>77</v>
      </c>
      <c r="Q390" s="2">
        <v>58</v>
      </c>
      <c r="R390" s="238">
        <v>367</v>
      </c>
      <c r="S390" s="219">
        <f xml:space="preserve"> 12</f>
        <v>12</v>
      </c>
      <c r="T390" s="220">
        <f>SUM( tabConsumo[[#This Row],[QTD.PENDENTE]]:tabConsumo[[#This Row],[09_23]] ) / tabConsumo[[#This Row],[Div]]</f>
        <v>55.583333333333336</v>
      </c>
      <c r="U390" s="221">
        <f xml:space="preserve"> tabConsumo[[#This Row],[Média.A]] + (_xlfn.STDEV.S( tabConsumo[[#This Row],[QTD.PENDENTE]]:tabConsumo[[#This Row],[09_23]] ) * 1)</f>
        <v>70.270732591530702</v>
      </c>
      <c r="V390" s="221">
        <f xml:space="preserve"> tabConsumo[[#This Row],[Média.A]] + (_xlfn.STDEV.S( tabConsumo[[#This Row],[QTD.PENDENTE]]:tabConsumo[[#This Row],[09_23]] ) * 2)</f>
        <v>84.95813184972809</v>
      </c>
      <c r="W390" s="221">
        <f xml:space="preserve"> tabConsumo[[#This Row],[Média.A]] + (_xlfn.STDEV.S( tabConsumo[[#This Row],[QTD.PENDENTE]]:tabConsumo[[#This Row],[09_23]] ) * 3)</f>
        <v>99.64553110792545</v>
      </c>
      <c r="X390" s="5">
        <f t="shared" si="13"/>
        <v>2</v>
      </c>
      <c r="Y390">
        <v>55.583333333333336</v>
      </c>
      <c r="Z390" s="223">
        <f>SUM( tabConsumo[[#This Row],[QTD.PENDENTE]]:tabConsumo[[#This Row],[09_23]] )</f>
        <v>667</v>
      </c>
      <c r="AA390" s="223">
        <f>LARGE(tabConsumo[[#This Row],[10_22]:[09_23]],1)</f>
        <v>78</v>
      </c>
      <c r="AB390" s="146" t="s">
        <v>2238</v>
      </c>
      <c r="AC390" s="3" t="s">
        <v>2086</v>
      </c>
    </row>
    <row r="391" spans="1:29" x14ac:dyDescent="0.3">
      <c r="A391" s="4" t="s">
        <v>1125</v>
      </c>
      <c r="B391" s="3" t="s">
        <v>263</v>
      </c>
      <c r="C391" s="2">
        <v>17135</v>
      </c>
      <c r="D391" s="2">
        <v>825</v>
      </c>
      <c r="E391" s="2">
        <v>132</v>
      </c>
      <c r="F391" s="2">
        <v>225</v>
      </c>
      <c r="G391" s="2">
        <v>305</v>
      </c>
      <c r="H391" s="2">
        <v>225</v>
      </c>
      <c r="I391" s="2">
        <v>359</v>
      </c>
      <c r="J391" s="2">
        <v>705</v>
      </c>
      <c r="K391" s="2">
        <v>3802</v>
      </c>
      <c r="L391" s="2">
        <v>345</v>
      </c>
      <c r="M391" s="2">
        <v>440</v>
      </c>
      <c r="N391" s="2">
        <v>340</v>
      </c>
      <c r="O391" s="2">
        <v>340</v>
      </c>
      <c r="P391" s="2">
        <v>330</v>
      </c>
      <c r="Q391" s="2">
        <v>316</v>
      </c>
      <c r="R391" s="238">
        <v>367</v>
      </c>
      <c r="S391" s="219">
        <f xml:space="preserve"> 12</f>
        <v>12</v>
      </c>
      <c r="T391" s="220">
        <f>SUM( tabConsumo[[#This Row],[QTD.PENDENTE]]:tabConsumo[[#This Row],[09_23]] ) / tabConsumo[[#This Row],[Div]]</f>
        <v>655.33333333333337</v>
      </c>
      <c r="U391" s="221">
        <f xml:space="preserve"> tabConsumo[[#This Row],[Média.A]] + (_xlfn.STDEV.S( tabConsumo[[#This Row],[QTD.PENDENTE]]:tabConsumo[[#This Row],[09_23]] ) * 1)</f>
        <v>1625.2248617647745</v>
      </c>
      <c r="V391" s="221">
        <f xml:space="preserve"> tabConsumo[[#This Row],[Média.A]] + (_xlfn.STDEV.S( tabConsumo[[#This Row],[QTD.PENDENTE]]:tabConsumo[[#This Row],[09_23]] ) * 2)</f>
        <v>2595.1163901962154</v>
      </c>
      <c r="W391" s="221">
        <f xml:space="preserve"> tabConsumo[[#This Row],[Média.A]] + (_xlfn.STDEV.S( tabConsumo[[#This Row],[QTD.PENDENTE]]:tabConsumo[[#This Row],[09_23]] ) * 3)</f>
        <v>3565.0079186276566</v>
      </c>
      <c r="X391" s="5">
        <f t="shared" si="13"/>
        <v>2</v>
      </c>
      <c r="Y391">
        <v>554.75</v>
      </c>
      <c r="Z391" s="223">
        <f>SUM( tabConsumo[[#This Row],[QTD.PENDENTE]]:tabConsumo[[#This Row],[09_23]] )</f>
        <v>7864</v>
      </c>
      <c r="AA391" s="223">
        <f>LARGE(tabConsumo[[#This Row],[10_22]:[09_23]],1)</f>
        <v>3802</v>
      </c>
      <c r="AB391" s="146" t="s">
        <v>2238</v>
      </c>
      <c r="AC391" s="3" t="s">
        <v>2086</v>
      </c>
    </row>
    <row r="392" spans="1:29" x14ac:dyDescent="0.3">
      <c r="A392" s="4" t="s">
        <v>1126</v>
      </c>
      <c r="B392" s="3" t="s">
        <v>269</v>
      </c>
      <c r="C392" s="2">
        <v>17136</v>
      </c>
      <c r="D392" s="2">
        <v>377</v>
      </c>
      <c r="E392" s="2">
        <v>96</v>
      </c>
      <c r="F392" s="2">
        <v>85</v>
      </c>
      <c r="G392" s="2">
        <v>131</v>
      </c>
      <c r="H392" s="2">
        <v>37</v>
      </c>
      <c r="I392" s="2">
        <v>1</v>
      </c>
      <c r="J392" s="2">
        <v>0</v>
      </c>
      <c r="K392" s="2">
        <v>0</v>
      </c>
      <c r="L392" s="2">
        <v>27</v>
      </c>
      <c r="M392" s="2">
        <v>117</v>
      </c>
      <c r="N392" s="2">
        <v>112</v>
      </c>
      <c r="O392" s="2">
        <v>105</v>
      </c>
      <c r="P392" s="2">
        <v>113</v>
      </c>
      <c r="Q392" s="2">
        <v>95</v>
      </c>
      <c r="R392" s="238">
        <v>367</v>
      </c>
      <c r="S392" s="219">
        <f xml:space="preserve"> 12</f>
        <v>12</v>
      </c>
      <c r="T392" s="220">
        <f>SUM( tabConsumo[[#This Row],[QTD.PENDENTE]]:tabConsumo[[#This Row],[09_23]] ) / tabConsumo[[#This Row],[Div]]</f>
        <v>76.583333333333329</v>
      </c>
      <c r="U392" s="221">
        <f xml:space="preserve"> tabConsumo[[#This Row],[Média.A]] + (_xlfn.STDEV.S( tabConsumo[[#This Row],[QTD.PENDENTE]]:tabConsumo[[#This Row],[09_23]] ) * 1)</f>
        <v>126.40532415295804</v>
      </c>
      <c r="V392" s="221">
        <f xml:space="preserve"> tabConsumo[[#This Row],[Média.A]] + (_xlfn.STDEV.S( tabConsumo[[#This Row],[QTD.PENDENTE]]:tabConsumo[[#This Row],[09_23]] ) * 2)</f>
        <v>176.22731497258275</v>
      </c>
      <c r="W392" s="221">
        <f xml:space="preserve"> tabConsumo[[#This Row],[Média.A]] + (_xlfn.STDEV.S( tabConsumo[[#This Row],[QTD.PENDENTE]]:tabConsumo[[#This Row],[09_23]] ) * 3)</f>
        <v>226.04930579220746</v>
      </c>
      <c r="X392" s="5">
        <f t="shared" si="13"/>
        <v>2</v>
      </c>
      <c r="Y392">
        <v>76.583333333333329</v>
      </c>
      <c r="Z392" s="223">
        <f>SUM( tabConsumo[[#This Row],[QTD.PENDENTE]]:tabConsumo[[#This Row],[09_23]] )</f>
        <v>919</v>
      </c>
      <c r="AA392" s="223">
        <f>LARGE(tabConsumo[[#This Row],[10_22]:[09_23]],1)</f>
        <v>131</v>
      </c>
      <c r="AB392" s="146" t="s">
        <v>2238</v>
      </c>
      <c r="AC392" s="3" t="s">
        <v>2086</v>
      </c>
    </row>
    <row r="393" spans="1:29" x14ac:dyDescent="0.3">
      <c r="A393" s="4" t="s">
        <v>1587</v>
      </c>
      <c r="B393" s="3" t="s">
        <v>263</v>
      </c>
      <c r="C393" s="2">
        <v>102588</v>
      </c>
      <c r="D393" s="2">
        <v>350</v>
      </c>
      <c r="E393" s="2">
        <v>65</v>
      </c>
      <c r="F393" s="2">
        <v>0</v>
      </c>
      <c r="G393" s="2">
        <v>20</v>
      </c>
      <c r="H393" s="2">
        <v>10</v>
      </c>
      <c r="I393" s="2">
        <v>8</v>
      </c>
      <c r="J393" s="2">
        <v>15</v>
      </c>
      <c r="K393" s="2">
        <v>45</v>
      </c>
      <c r="L393" s="2">
        <v>4</v>
      </c>
      <c r="M393" s="2">
        <v>5</v>
      </c>
      <c r="N393" s="2">
        <v>0</v>
      </c>
      <c r="O393" s="2">
        <v>0</v>
      </c>
      <c r="P393" s="2">
        <v>0</v>
      </c>
      <c r="Q393" s="2">
        <v>150</v>
      </c>
      <c r="R393" s="238">
        <v>39365</v>
      </c>
      <c r="S393" s="219">
        <v>12</v>
      </c>
      <c r="T393" s="220">
        <f>SUM( tabConsumo[[#This Row],[QTD.PENDENTE]]:tabConsumo[[#This Row],[09_23]] ) / tabConsumo[[#This Row],[Div]]</f>
        <v>26.833333333333332</v>
      </c>
      <c r="U393" s="221">
        <f xml:space="preserve"> tabConsumo[[#This Row],[Média.A]] + (_xlfn.STDEV.S( tabConsumo[[#This Row],[QTD.PENDENTE]]:tabConsumo[[#This Row],[09_23]] ) * 1)</f>
        <v>69.263970547013898</v>
      </c>
      <c r="V393" s="221">
        <f xml:space="preserve"> tabConsumo[[#This Row],[Média.A]] + (_xlfn.STDEV.S( tabConsumo[[#This Row],[QTD.PENDENTE]]:tabConsumo[[#This Row],[09_23]] ) * 2)</f>
        <v>111.69460776069447</v>
      </c>
      <c r="W393" s="221">
        <f xml:space="preserve"> tabConsumo[[#This Row],[Média.A]] + (_xlfn.STDEV.S( tabConsumo[[#This Row],[QTD.PENDENTE]]:tabConsumo[[#This Row],[09_23]] ) * 3)</f>
        <v>154.12524497437505</v>
      </c>
      <c r="X393" s="5">
        <f t="shared" si="13"/>
        <v>2</v>
      </c>
      <c r="Y393">
        <v>23.583333333333332</v>
      </c>
      <c r="Z393" s="223">
        <f>SUM( tabConsumo[[#This Row],[QTD.PENDENTE]]:tabConsumo[[#This Row],[09_23]] )</f>
        <v>322</v>
      </c>
      <c r="AA393" s="223">
        <f>LARGE(tabConsumo[[#This Row],[10_22]:[09_23]],1)</f>
        <v>150</v>
      </c>
      <c r="AB393" s="146" t="s">
        <v>2238</v>
      </c>
      <c r="AC393" s="3" t="s">
        <v>2086</v>
      </c>
    </row>
    <row r="394" spans="1:29" x14ac:dyDescent="0.3">
      <c r="A394" s="4" t="s">
        <v>1625</v>
      </c>
      <c r="B394" s="3" t="s">
        <v>263</v>
      </c>
      <c r="C394" s="2">
        <v>105294</v>
      </c>
      <c r="D394" s="2">
        <v>75</v>
      </c>
      <c r="E394" s="2">
        <v>2</v>
      </c>
      <c r="F394" s="2">
        <v>0</v>
      </c>
      <c r="G394" s="2">
        <v>0</v>
      </c>
      <c r="H394" s="2">
        <v>0</v>
      </c>
      <c r="I394" s="2">
        <v>0</v>
      </c>
      <c r="J394" s="2">
        <v>20</v>
      </c>
      <c r="K394" s="2">
        <v>10</v>
      </c>
      <c r="L394" s="2">
        <v>5</v>
      </c>
      <c r="M394" s="2">
        <v>50</v>
      </c>
      <c r="N394" s="2">
        <v>0</v>
      </c>
      <c r="O394" s="2">
        <v>0</v>
      </c>
      <c r="P394" s="2">
        <v>50</v>
      </c>
      <c r="Q394" s="2">
        <v>50</v>
      </c>
      <c r="R394" s="238">
        <v>39506</v>
      </c>
      <c r="S394" s="219">
        <v>12</v>
      </c>
      <c r="T394" s="220">
        <f>SUM( tabConsumo[[#This Row],[QTD.PENDENTE]]:tabConsumo[[#This Row],[09_23]] ) / tabConsumo[[#This Row],[Div]]</f>
        <v>15.583333333333334</v>
      </c>
      <c r="U394" s="221">
        <f xml:space="preserve"> tabConsumo[[#This Row],[Média.A]] + (_xlfn.STDEV.S( tabConsumo[[#This Row],[QTD.PENDENTE]]:tabConsumo[[#This Row],[09_23]] ) * 1)</f>
        <v>36.676533112481991</v>
      </c>
      <c r="V394" s="221">
        <f xml:space="preserve"> tabConsumo[[#This Row],[Média.A]] + (_xlfn.STDEV.S( tabConsumo[[#This Row],[QTD.PENDENTE]]:tabConsumo[[#This Row],[09_23]] ) * 2)</f>
        <v>57.769732891630646</v>
      </c>
      <c r="W394" s="221">
        <f xml:space="preserve"> tabConsumo[[#This Row],[Média.A]] + (_xlfn.STDEV.S( tabConsumo[[#This Row],[QTD.PENDENTE]]:tabConsumo[[#This Row],[09_23]] ) * 3)</f>
        <v>78.862932670779301</v>
      </c>
      <c r="X394" s="5">
        <f t="shared" si="13"/>
        <v>2</v>
      </c>
      <c r="Y394">
        <v>15.583333333333334</v>
      </c>
      <c r="Z394" s="223">
        <f>SUM( tabConsumo[[#This Row],[QTD.PENDENTE]]:tabConsumo[[#This Row],[09_23]] )</f>
        <v>187</v>
      </c>
      <c r="AA394" s="223">
        <f>LARGE(tabConsumo[[#This Row],[10_22]:[09_23]],1)</f>
        <v>50</v>
      </c>
      <c r="AB394" s="146" t="s">
        <v>2238</v>
      </c>
      <c r="AC394" s="3" t="s">
        <v>2086</v>
      </c>
    </row>
    <row r="395" spans="1:29" x14ac:dyDescent="0.3">
      <c r="A395" s="4" t="s">
        <v>1122</v>
      </c>
      <c r="B395" s="3" t="s">
        <v>267</v>
      </c>
      <c r="C395" s="2">
        <v>17115</v>
      </c>
      <c r="D395" s="2">
        <v>0</v>
      </c>
      <c r="E395" s="2">
        <v>673</v>
      </c>
      <c r="F395" s="2">
        <v>625</v>
      </c>
      <c r="G395" s="2">
        <v>705</v>
      </c>
      <c r="H395" s="2">
        <v>510</v>
      </c>
      <c r="I395" s="2">
        <v>210</v>
      </c>
      <c r="J395" s="2">
        <v>310</v>
      </c>
      <c r="K395" s="2">
        <v>410</v>
      </c>
      <c r="L395" s="2">
        <v>1118</v>
      </c>
      <c r="M395" s="2">
        <v>802</v>
      </c>
      <c r="N395" s="2">
        <v>681</v>
      </c>
      <c r="O395" s="2">
        <v>60</v>
      </c>
      <c r="P395" s="2">
        <v>0</v>
      </c>
      <c r="Q395" s="2">
        <v>0</v>
      </c>
      <c r="R395" s="238">
        <v>367</v>
      </c>
      <c r="S395" s="219">
        <f xml:space="preserve"> 12</f>
        <v>12</v>
      </c>
      <c r="T395" s="220">
        <f>SUM( tabConsumo[[#This Row],[QTD.PENDENTE]]:tabConsumo[[#This Row],[09_23]] ) / tabConsumo[[#This Row],[Div]]</f>
        <v>508.66666666666669</v>
      </c>
      <c r="U395" s="221">
        <f xml:space="preserve"> tabConsumo[[#This Row],[Média.A]] + (_xlfn.STDEV.S( tabConsumo[[#This Row],[QTD.PENDENTE]]:tabConsumo[[#This Row],[09_23]] ) * 1)</f>
        <v>850.6468355324007</v>
      </c>
      <c r="V395" s="221">
        <f xml:space="preserve"> tabConsumo[[#This Row],[Média.A]] + (_xlfn.STDEV.S( tabConsumo[[#This Row],[QTD.PENDENTE]]:tabConsumo[[#This Row],[09_23]] ) * 2)</f>
        <v>1192.6270043981347</v>
      </c>
      <c r="W395" s="221">
        <f xml:space="preserve"> tabConsumo[[#This Row],[Média.A]] + (_xlfn.STDEV.S( tabConsumo[[#This Row],[QTD.PENDENTE]]:tabConsumo[[#This Row],[09_23]] ) * 3)</f>
        <v>1534.6071732638686</v>
      </c>
      <c r="X395" s="5">
        <f t="shared" si="13"/>
        <v>2</v>
      </c>
      <c r="Y395">
        <v>508.66666666666669</v>
      </c>
      <c r="Z395" s="223">
        <f>SUM( tabConsumo[[#This Row],[QTD.PENDENTE]]:tabConsumo[[#This Row],[09_23]] )</f>
        <v>6104</v>
      </c>
      <c r="AA395" s="223">
        <f>LARGE(tabConsumo[[#This Row],[10_22]:[09_23]],1)</f>
        <v>1118</v>
      </c>
      <c r="AB395" s="146" t="s">
        <v>2239</v>
      </c>
      <c r="AC395" s="3" t="s">
        <v>2086</v>
      </c>
    </row>
    <row r="396" spans="1:29" x14ac:dyDescent="0.3">
      <c r="A396" s="4" t="s">
        <v>1398</v>
      </c>
      <c r="B396" s="3" t="s">
        <v>473</v>
      </c>
      <c r="C396" s="2">
        <v>67939</v>
      </c>
      <c r="D396" s="2">
        <v>3</v>
      </c>
      <c r="F396" s="2">
        <v>0</v>
      </c>
      <c r="G396" s="2">
        <v>30</v>
      </c>
      <c r="H396" s="2">
        <v>0</v>
      </c>
      <c r="I396" s="2">
        <v>18</v>
      </c>
      <c r="J396" s="2">
        <v>12</v>
      </c>
      <c r="K396" s="2">
        <v>30</v>
      </c>
      <c r="L396" s="2">
        <v>25</v>
      </c>
      <c r="M396" s="2">
        <v>0</v>
      </c>
      <c r="N396" s="2">
        <v>0</v>
      </c>
      <c r="O396" s="2">
        <v>11</v>
      </c>
      <c r="P396" s="2">
        <v>17</v>
      </c>
      <c r="Q396" s="2">
        <v>0</v>
      </c>
      <c r="R396" s="238">
        <v>367</v>
      </c>
      <c r="S396" s="219">
        <f xml:space="preserve"> 12</f>
        <v>12</v>
      </c>
      <c r="T396" s="220">
        <f>SUM( tabConsumo[[#This Row],[QTD.PENDENTE]]:tabConsumo[[#This Row],[09_23]] ) / tabConsumo[[#This Row],[Div]]</f>
        <v>11.916666666666666</v>
      </c>
      <c r="U396" s="221">
        <f xml:space="preserve"> tabConsumo[[#This Row],[Média.A]] + (_xlfn.STDEV.S( tabConsumo[[#This Row],[QTD.PENDENTE]]:tabConsumo[[#This Row],[09_23]] ) * 1)</f>
        <v>23.973036792291566</v>
      </c>
      <c r="V396" s="221">
        <f xml:space="preserve"> tabConsumo[[#This Row],[Média.A]] + (_xlfn.STDEV.S( tabConsumo[[#This Row],[QTD.PENDENTE]]:tabConsumo[[#This Row],[09_23]] ) * 2)</f>
        <v>36.029406917916468</v>
      </c>
      <c r="W396" s="221">
        <f xml:space="preserve"> tabConsumo[[#This Row],[Média.A]] + (_xlfn.STDEV.S( tabConsumo[[#This Row],[QTD.PENDENTE]]:tabConsumo[[#This Row],[09_23]] ) * 3)</f>
        <v>48.08577704354137</v>
      </c>
      <c r="X396" s="5">
        <f t="shared" si="13"/>
        <v>2</v>
      </c>
      <c r="Y396">
        <v>11.916666666666666</v>
      </c>
      <c r="Z396" s="223">
        <f>SUM( tabConsumo[[#This Row],[QTD.PENDENTE]]:tabConsumo[[#This Row],[09_23]] )</f>
        <v>143</v>
      </c>
      <c r="AA396" s="223">
        <f>LARGE(tabConsumo[[#This Row],[10_22]:[09_23]],1)</f>
        <v>30</v>
      </c>
      <c r="AB396" s="146" t="s">
        <v>2241</v>
      </c>
      <c r="AC396" s="3" t="s">
        <v>2086</v>
      </c>
    </row>
    <row r="397" spans="1:29" x14ac:dyDescent="0.3">
      <c r="A397" s="4" t="s">
        <v>692</v>
      </c>
      <c r="B397" s="3" t="s">
        <v>31</v>
      </c>
      <c r="C397" s="2">
        <v>108440</v>
      </c>
      <c r="D397" s="2">
        <v>6</v>
      </c>
      <c r="F397" s="2">
        <v>0</v>
      </c>
      <c r="G397" s="2">
        <v>0</v>
      </c>
      <c r="H397" s="2">
        <v>0</v>
      </c>
      <c r="I397" s="2">
        <v>0</v>
      </c>
      <c r="J397" s="2">
        <v>0</v>
      </c>
      <c r="K397" s="2">
        <v>0</v>
      </c>
      <c r="L397" s="2">
        <v>0</v>
      </c>
      <c r="M397" s="2">
        <v>0</v>
      </c>
      <c r="N397" s="2">
        <v>0</v>
      </c>
      <c r="O397" s="2">
        <v>0</v>
      </c>
      <c r="P397" s="2">
        <v>4</v>
      </c>
      <c r="Q397" s="2">
        <v>0</v>
      </c>
      <c r="R397" s="238">
        <v>39738</v>
      </c>
      <c r="S397" s="219">
        <v>12</v>
      </c>
      <c r="T397" s="220">
        <f>SUM( tabConsumo[[#This Row],[QTD.PENDENTE]]:tabConsumo[[#This Row],[09_23]] ) / tabConsumo[[#This Row],[Div]]</f>
        <v>0.33333333333333331</v>
      </c>
      <c r="U397" s="221">
        <f xml:space="preserve"> tabConsumo[[#This Row],[Média.A]] + (_xlfn.STDEV.S( tabConsumo[[#This Row],[QTD.PENDENTE]]:tabConsumo[[#This Row],[09_23]] ) * 1)</f>
        <v>1.4880338717125847</v>
      </c>
      <c r="V397" s="221">
        <f xml:space="preserve"> tabConsumo[[#This Row],[Média.A]] + (_xlfn.STDEV.S( tabConsumo[[#This Row],[QTD.PENDENTE]]:tabConsumo[[#This Row],[09_23]] ) * 2)</f>
        <v>2.6427344100918364</v>
      </c>
      <c r="W397" s="221">
        <f xml:space="preserve"> tabConsumo[[#This Row],[Média.A]] + (_xlfn.STDEV.S( tabConsumo[[#This Row],[QTD.PENDENTE]]:tabConsumo[[#This Row],[09_23]] ) * 3)</f>
        <v>3.7974349484710879</v>
      </c>
      <c r="X397" s="5">
        <f t="shared" si="13"/>
        <v>2</v>
      </c>
      <c r="Y397">
        <v>0.16666666666666666</v>
      </c>
      <c r="Z397" s="223">
        <f>SUM( tabConsumo[[#This Row],[QTD.PENDENTE]]:tabConsumo[[#This Row],[09_23]] )</f>
        <v>4</v>
      </c>
      <c r="AA397" s="223">
        <f>LARGE(tabConsumo[[#This Row],[10_22]:[09_23]],1)</f>
        <v>4</v>
      </c>
      <c r="AB397" s="146" t="s">
        <v>2241</v>
      </c>
      <c r="AC397" s="3" t="s">
        <v>2086</v>
      </c>
    </row>
    <row r="398" spans="1:29" x14ac:dyDescent="0.3">
      <c r="A398" s="4" t="s">
        <v>1118</v>
      </c>
      <c r="B398" s="3" t="s">
        <v>335</v>
      </c>
      <c r="C398" s="2">
        <v>16571</v>
      </c>
      <c r="D398" s="2">
        <v>2828</v>
      </c>
      <c r="F398" s="2">
        <v>158</v>
      </c>
      <c r="G398" s="2">
        <v>180</v>
      </c>
      <c r="H398" s="2">
        <v>155</v>
      </c>
      <c r="I398" s="2">
        <v>155</v>
      </c>
      <c r="J398" s="2">
        <v>219</v>
      </c>
      <c r="K398" s="2">
        <v>395</v>
      </c>
      <c r="L398" s="2">
        <v>256</v>
      </c>
      <c r="M398" s="2">
        <v>237</v>
      </c>
      <c r="N398" s="2">
        <v>191</v>
      </c>
      <c r="O398" s="2">
        <v>154</v>
      </c>
      <c r="P398" s="2">
        <v>147</v>
      </c>
      <c r="Q398" s="2">
        <v>190</v>
      </c>
      <c r="R398" s="238">
        <v>367</v>
      </c>
      <c r="S398" s="219">
        <f xml:space="preserve"> 12</f>
        <v>12</v>
      </c>
      <c r="T398" s="220">
        <f>SUM( tabConsumo[[#This Row],[QTD.PENDENTE]]:tabConsumo[[#This Row],[09_23]] ) / tabConsumo[[#This Row],[Div]]</f>
        <v>203.08333333333334</v>
      </c>
      <c r="U398" s="221">
        <f xml:space="preserve"> tabConsumo[[#This Row],[Média.A]] + (_xlfn.STDEV.S( tabConsumo[[#This Row],[QTD.PENDENTE]]:tabConsumo[[#This Row],[09_23]] ) * 1)</f>
        <v>273.21108472428784</v>
      </c>
      <c r="V398" s="221">
        <f xml:space="preserve"> tabConsumo[[#This Row],[Média.A]] + (_xlfn.STDEV.S( tabConsumo[[#This Row],[QTD.PENDENTE]]:tabConsumo[[#This Row],[09_23]] ) * 2)</f>
        <v>343.33883611524232</v>
      </c>
      <c r="W398" s="221">
        <f xml:space="preserve"> tabConsumo[[#This Row],[Média.A]] + (_xlfn.STDEV.S( tabConsumo[[#This Row],[QTD.PENDENTE]]:tabConsumo[[#This Row],[09_23]] ) * 3)</f>
        <v>413.46658750619679</v>
      </c>
      <c r="X398" s="5">
        <f t="shared" si="13"/>
        <v>2</v>
      </c>
      <c r="Y398">
        <v>198.75</v>
      </c>
      <c r="Z398" s="223">
        <f>SUM( tabConsumo[[#This Row],[QTD.PENDENTE]]:tabConsumo[[#This Row],[09_23]] )</f>
        <v>2437</v>
      </c>
      <c r="AA398" s="223">
        <f>LARGE(tabConsumo[[#This Row],[10_22]:[09_23]],1)</f>
        <v>395</v>
      </c>
      <c r="AB398" s="146" t="s">
        <v>2238</v>
      </c>
      <c r="AC398" s="3" t="s">
        <v>2086</v>
      </c>
    </row>
    <row r="399" spans="1:29" x14ac:dyDescent="0.3">
      <c r="A399" s="4" t="s">
        <v>1658</v>
      </c>
      <c r="B399" s="3" t="s">
        <v>263</v>
      </c>
      <c r="C399" s="2">
        <v>108393</v>
      </c>
      <c r="D399" s="2">
        <v>161</v>
      </c>
      <c r="F399" s="2">
        <v>0</v>
      </c>
      <c r="G399" s="2">
        <v>0</v>
      </c>
      <c r="H399" s="2">
        <v>18</v>
      </c>
      <c r="I399" s="2">
        <v>0</v>
      </c>
      <c r="J399" s="2">
        <v>5</v>
      </c>
      <c r="K399" s="2">
        <v>10</v>
      </c>
      <c r="L399" s="2">
        <v>11</v>
      </c>
      <c r="M399" s="2">
        <v>0</v>
      </c>
      <c r="N399" s="2">
        <v>0</v>
      </c>
      <c r="O399" s="2">
        <v>0</v>
      </c>
      <c r="P399" s="2">
        <v>0</v>
      </c>
      <c r="Q399" s="2">
        <v>0</v>
      </c>
      <c r="R399" s="238">
        <v>39737</v>
      </c>
      <c r="S399" s="219">
        <v>12</v>
      </c>
      <c r="T399" s="220">
        <f>SUM( tabConsumo[[#This Row],[QTD.PENDENTE]]:tabConsumo[[#This Row],[09_23]] ) / tabConsumo[[#This Row],[Div]]</f>
        <v>3.6666666666666665</v>
      </c>
      <c r="U399" s="221">
        <f xml:space="preserve"> tabConsumo[[#This Row],[Média.A]] + (_xlfn.STDEV.S( tabConsumo[[#This Row],[QTD.PENDENTE]]:tabConsumo[[#This Row],[09_23]] ) * 1)</f>
        <v>9.7618709414646112</v>
      </c>
      <c r="V399" s="221">
        <f xml:space="preserve"> tabConsumo[[#This Row],[Média.A]] + (_xlfn.STDEV.S( tabConsumo[[#This Row],[QTD.PENDENTE]]:tabConsumo[[#This Row],[09_23]] ) * 2)</f>
        <v>15.857075216262556</v>
      </c>
      <c r="W399" s="221">
        <f xml:space="preserve"> tabConsumo[[#This Row],[Média.A]] + (_xlfn.STDEV.S( tabConsumo[[#This Row],[QTD.PENDENTE]]:tabConsumo[[#This Row],[09_23]] ) * 3)</f>
        <v>21.952279491060505</v>
      </c>
      <c r="X399" s="5">
        <f t="shared" si="13"/>
        <v>2</v>
      </c>
      <c r="Y399">
        <v>3.4166666666666665</v>
      </c>
      <c r="Z399" s="223">
        <f>SUM( tabConsumo[[#This Row],[QTD.PENDENTE]]:tabConsumo[[#This Row],[09_23]] )</f>
        <v>44</v>
      </c>
      <c r="AA399" s="223">
        <f>LARGE(tabConsumo[[#This Row],[10_22]:[09_23]],1)</f>
        <v>18</v>
      </c>
      <c r="AB399" s="146" t="s">
        <v>2240</v>
      </c>
      <c r="AC399" s="3" t="s">
        <v>2086</v>
      </c>
    </row>
    <row r="400" spans="1:29" x14ac:dyDescent="0.3">
      <c r="A400" s="4" t="s">
        <v>1550</v>
      </c>
      <c r="B400" s="3" t="s">
        <v>263</v>
      </c>
      <c r="C400" s="2">
        <v>93486</v>
      </c>
      <c r="D400" s="2">
        <v>87</v>
      </c>
      <c r="F400" s="2">
        <v>0</v>
      </c>
      <c r="G400" s="2">
        <v>0</v>
      </c>
      <c r="H400" s="2">
        <v>0</v>
      </c>
      <c r="I400" s="2">
        <v>0</v>
      </c>
      <c r="J400" s="2">
        <v>2</v>
      </c>
      <c r="K400" s="2">
        <v>0</v>
      </c>
      <c r="L400" s="2">
        <v>1</v>
      </c>
      <c r="M400" s="2">
        <v>0</v>
      </c>
      <c r="N400" s="2">
        <v>0</v>
      </c>
      <c r="O400" s="2">
        <v>0</v>
      </c>
      <c r="P400" s="2">
        <v>0</v>
      </c>
      <c r="Q400" s="2">
        <v>0</v>
      </c>
      <c r="R400" s="238">
        <v>38930</v>
      </c>
      <c r="S400" s="219">
        <v>12</v>
      </c>
      <c r="T400" s="220">
        <f>SUM( tabConsumo[[#This Row],[QTD.PENDENTE]]:tabConsumo[[#This Row],[09_23]] ) / tabConsumo[[#This Row],[Div]]</f>
        <v>0.25</v>
      </c>
      <c r="U400" s="221">
        <f xml:space="preserve"> tabConsumo[[#This Row],[Média.A]] + (_xlfn.STDEV.S( tabConsumo[[#This Row],[QTD.PENDENTE]]:tabConsumo[[#This Row],[09_23]] ) * 1)</f>
        <v>0.87158156050806102</v>
      </c>
      <c r="V400" s="221">
        <f xml:space="preserve"> tabConsumo[[#This Row],[Média.A]] + (_xlfn.STDEV.S( tabConsumo[[#This Row],[QTD.PENDENTE]]:tabConsumo[[#This Row],[09_23]] ) * 2)</f>
        <v>1.493163121016122</v>
      </c>
      <c r="W400" s="221">
        <f xml:space="preserve"> tabConsumo[[#This Row],[Média.A]] + (_xlfn.STDEV.S( tabConsumo[[#This Row],[QTD.PENDENTE]]:tabConsumo[[#This Row],[09_23]] ) * 3)</f>
        <v>2.1147446815241828</v>
      </c>
      <c r="X400" s="5">
        <f t="shared" si="13"/>
        <v>2</v>
      </c>
      <c r="Y400">
        <v>0.16666666666666666</v>
      </c>
      <c r="Z400" s="223">
        <f>SUM( tabConsumo[[#This Row],[QTD.PENDENTE]]:tabConsumo[[#This Row],[09_23]] )</f>
        <v>3</v>
      </c>
      <c r="AA400" s="223">
        <f>LARGE(tabConsumo[[#This Row],[10_22]:[09_23]],1)</f>
        <v>2</v>
      </c>
      <c r="AB400" s="146" t="s">
        <v>2240</v>
      </c>
      <c r="AC400" s="3" t="s">
        <v>2086</v>
      </c>
    </row>
    <row r="401" spans="1:29" x14ac:dyDescent="0.3">
      <c r="A401" s="4" t="s">
        <v>1552</v>
      </c>
      <c r="B401" s="3" t="s">
        <v>263</v>
      </c>
      <c r="C401" s="2">
        <v>93488</v>
      </c>
      <c r="D401" s="2">
        <v>17</v>
      </c>
      <c r="F401" s="2">
        <v>0</v>
      </c>
      <c r="G401" s="2">
        <v>0</v>
      </c>
      <c r="H401" s="2">
        <v>0</v>
      </c>
      <c r="I401" s="2">
        <v>0</v>
      </c>
      <c r="J401" s="2">
        <v>0</v>
      </c>
      <c r="K401" s="2">
        <v>1</v>
      </c>
      <c r="L401" s="2">
        <v>4</v>
      </c>
      <c r="M401" s="2">
        <v>0</v>
      </c>
      <c r="N401" s="2">
        <v>0</v>
      </c>
      <c r="O401" s="2">
        <v>0</v>
      </c>
      <c r="P401" s="2">
        <v>0</v>
      </c>
      <c r="Q401" s="2">
        <v>0</v>
      </c>
      <c r="R401" s="238">
        <v>38930</v>
      </c>
      <c r="S401" s="219">
        <v>12</v>
      </c>
      <c r="T401" s="220">
        <f>SUM( tabConsumo[[#This Row],[QTD.PENDENTE]]:tabConsumo[[#This Row],[09_23]] ) / tabConsumo[[#This Row],[Div]]</f>
        <v>0.41666666666666669</v>
      </c>
      <c r="U401" s="221">
        <f xml:space="preserve"> tabConsumo[[#This Row],[Média.A]] + (_xlfn.STDEV.S( tabConsumo[[#This Row],[QTD.PENDENTE]]:tabConsumo[[#This Row],[09_23]] ) * 1)</f>
        <v>1.5811668195479818</v>
      </c>
      <c r="V401" s="221">
        <f xml:space="preserve"> tabConsumo[[#This Row],[Média.A]] + (_xlfn.STDEV.S( tabConsumo[[#This Row],[QTD.PENDENTE]]:tabConsumo[[#This Row],[09_23]] ) * 2)</f>
        <v>2.7456669724292966</v>
      </c>
      <c r="W401" s="221">
        <f xml:space="preserve"> tabConsumo[[#This Row],[Média.A]] + (_xlfn.STDEV.S( tabConsumo[[#This Row],[QTD.PENDENTE]]:tabConsumo[[#This Row],[09_23]] ) * 3)</f>
        <v>3.9101671253106116</v>
      </c>
      <c r="X401" s="5">
        <f t="shared" si="13"/>
        <v>2</v>
      </c>
      <c r="Y401">
        <v>0.25</v>
      </c>
      <c r="Z401" s="223">
        <f>SUM( tabConsumo[[#This Row],[QTD.PENDENTE]]:tabConsumo[[#This Row],[09_23]] )</f>
        <v>5</v>
      </c>
      <c r="AA401" s="223">
        <f>LARGE(tabConsumo[[#This Row],[10_22]:[09_23]],1)</f>
        <v>4</v>
      </c>
      <c r="AB401" s="146" t="s">
        <v>2240</v>
      </c>
      <c r="AC401" s="3" t="s">
        <v>2086</v>
      </c>
    </row>
    <row r="402" spans="1:29" x14ac:dyDescent="0.3">
      <c r="A402" s="4" t="s">
        <v>1691</v>
      </c>
      <c r="B402" s="3" t="s">
        <v>31</v>
      </c>
      <c r="C402" s="2">
        <v>112158</v>
      </c>
      <c r="D402" s="2">
        <v>198</v>
      </c>
      <c r="F402" s="2">
        <v>13</v>
      </c>
      <c r="G402" s="2">
        <v>14</v>
      </c>
      <c r="H402" s="2">
        <v>20</v>
      </c>
      <c r="I402" s="2">
        <v>19</v>
      </c>
      <c r="J402" s="2">
        <v>12</v>
      </c>
      <c r="K402" s="2">
        <v>25</v>
      </c>
      <c r="L402" s="2">
        <v>20</v>
      </c>
      <c r="M402" s="2">
        <v>0</v>
      </c>
      <c r="N402" s="2">
        <v>20</v>
      </c>
      <c r="O402" s="2">
        <v>0</v>
      </c>
      <c r="P402" s="2">
        <v>0</v>
      </c>
      <c r="Q402" s="2">
        <v>50</v>
      </c>
      <c r="R402" s="238">
        <v>40045</v>
      </c>
      <c r="S402" s="219">
        <v>12</v>
      </c>
      <c r="T402" s="220">
        <f>SUM( tabConsumo[[#This Row],[QTD.PENDENTE]]:tabConsumo[[#This Row],[09_23]] ) / tabConsumo[[#This Row],[Div]]</f>
        <v>16.083333333333332</v>
      </c>
      <c r="U402" s="221">
        <f xml:space="preserve"> tabConsumo[[#This Row],[Média.A]] + (_xlfn.STDEV.S( tabConsumo[[#This Row],[QTD.PENDENTE]]:tabConsumo[[#This Row],[09_23]] ) * 1)</f>
        <v>29.870404571755699</v>
      </c>
      <c r="V402" s="221">
        <f xml:space="preserve"> tabConsumo[[#This Row],[Média.A]] + (_xlfn.STDEV.S( tabConsumo[[#This Row],[QTD.PENDENTE]]:tabConsumo[[#This Row],[09_23]] ) * 2)</f>
        <v>43.65747581017807</v>
      </c>
      <c r="W402" s="221">
        <f xml:space="preserve"> tabConsumo[[#This Row],[Média.A]] + (_xlfn.STDEV.S( tabConsumo[[#This Row],[QTD.PENDENTE]]:tabConsumo[[#This Row],[09_23]] ) * 3)</f>
        <v>57.444547048600441</v>
      </c>
      <c r="X402" s="5">
        <f t="shared" si="13"/>
        <v>2</v>
      </c>
      <c r="Y402">
        <v>15.5</v>
      </c>
      <c r="Z402" s="223">
        <f>SUM( tabConsumo[[#This Row],[QTD.PENDENTE]]:tabConsumo[[#This Row],[09_23]] )</f>
        <v>193</v>
      </c>
      <c r="AA402" s="223">
        <f>LARGE(tabConsumo[[#This Row],[10_22]:[09_23]],1)</f>
        <v>50</v>
      </c>
      <c r="AB402" s="146" t="s">
        <v>2238</v>
      </c>
      <c r="AC402" s="3" t="s">
        <v>2086</v>
      </c>
    </row>
    <row r="403" spans="1:29" x14ac:dyDescent="0.3">
      <c r="A403" s="4" t="s">
        <v>1692</v>
      </c>
      <c r="B403" s="3" t="s">
        <v>31</v>
      </c>
      <c r="C403" s="2">
        <v>112159</v>
      </c>
      <c r="D403" s="2">
        <v>306</v>
      </c>
      <c r="F403" s="2">
        <v>4</v>
      </c>
      <c r="G403" s="2">
        <v>0</v>
      </c>
      <c r="H403" s="2">
        <v>3</v>
      </c>
      <c r="I403" s="2">
        <v>0</v>
      </c>
      <c r="J403" s="2">
        <v>4</v>
      </c>
      <c r="K403" s="2">
        <v>1</v>
      </c>
      <c r="L403" s="2">
        <v>20</v>
      </c>
      <c r="M403" s="2">
        <v>20</v>
      </c>
      <c r="N403" s="2">
        <v>0</v>
      </c>
      <c r="O403" s="2">
        <v>0</v>
      </c>
      <c r="P403" s="2">
        <v>0</v>
      </c>
      <c r="Q403" s="2">
        <v>0</v>
      </c>
      <c r="R403" s="238">
        <v>40045</v>
      </c>
      <c r="S403" s="219">
        <v>12</v>
      </c>
      <c r="T403" s="220">
        <f>SUM( tabConsumo[[#This Row],[QTD.PENDENTE]]:tabConsumo[[#This Row],[09_23]] ) / tabConsumo[[#This Row],[Div]]</f>
        <v>4.333333333333333</v>
      </c>
      <c r="U403" s="221">
        <f xml:space="preserve"> tabConsumo[[#This Row],[Média.A]] + (_xlfn.STDEV.S( tabConsumo[[#This Row],[QTD.PENDENTE]]:tabConsumo[[#This Row],[09_23]] ) * 1)</f>
        <v>11.820696424609597</v>
      </c>
      <c r="V403" s="221">
        <f xml:space="preserve"> tabConsumo[[#This Row],[Média.A]] + (_xlfn.STDEV.S( tabConsumo[[#This Row],[QTD.PENDENTE]]:tabConsumo[[#This Row],[09_23]] ) * 2)</f>
        <v>19.308059515885862</v>
      </c>
      <c r="W403" s="221">
        <f xml:space="preserve"> tabConsumo[[#This Row],[Média.A]] + (_xlfn.STDEV.S( tabConsumo[[#This Row],[QTD.PENDENTE]]:tabConsumo[[#This Row],[09_23]] ) * 3)</f>
        <v>26.795422607162124</v>
      </c>
      <c r="X403" s="5">
        <f t="shared" si="13"/>
        <v>2</v>
      </c>
      <c r="Y403">
        <v>4.166666666666667</v>
      </c>
      <c r="Z403" s="223">
        <f>SUM( tabConsumo[[#This Row],[QTD.PENDENTE]]:tabConsumo[[#This Row],[09_23]] )</f>
        <v>52</v>
      </c>
      <c r="AA403" s="223">
        <f>LARGE(tabConsumo[[#This Row],[10_22]:[09_23]],1)</f>
        <v>20</v>
      </c>
      <c r="AB403" s="146" t="s">
        <v>2244</v>
      </c>
      <c r="AC403" s="3" t="s">
        <v>2086</v>
      </c>
    </row>
    <row r="404" spans="1:29" x14ac:dyDescent="0.3">
      <c r="A404" s="4" t="s">
        <v>1679</v>
      </c>
      <c r="B404" s="3" t="s">
        <v>263</v>
      </c>
      <c r="C404" s="2">
        <v>110895</v>
      </c>
      <c r="D404" s="2">
        <v>193</v>
      </c>
      <c r="F404" s="2">
        <v>16</v>
      </c>
      <c r="G404" s="2">
        <v>0</v>
      </c>
      <c r="H404" s="2">
        <v>8</v>
      </c>
      <c r="I404" s="2">
        <v>10</v>
      </c>
      <c r="J404" s="2">
        <v>12</v>
      </c>
      <c r="K404" s="2">
        <v>29</v>
      </c>
      <c r="L404" s="2">
        <v>20</v>
      </c>
      <c r="M404" s="2">
        <v>0</v>
      </c>
      <c r="N404" s="2">
        <v>30</v>
      </c>
      <c r="O404" s="2">
        <v>75</v>
      </c>
      <c r="P404" s="2">
        <v>0</v>
      </c>
      <c r="Q404" s="2">
        <v>0</v>
      </c>
      <c r="R404" s="238">
        <v>39944</v>
      </c>
      <c r="S404" s="219">
        <v>12</v>
      </c>
      <c r="T404" s="220">
        <f>SUM( tabConsumo[[#This Row],[QTD.PENDENTE]]:tabConsumo[[#This Row],[09_23]] ) / tabConsumo[[#This Row],[Div]]</f>
        <v>16.666666666666668</v>
      </c>
      <c r="U404" s="221">
        <f xml:space="preserve"> tabConsumo[[#This Row],[Média.A]] + (_xlfn.STDEV.S( tabConsumo[[#This Row],[QTD.PENDENTE]]:tabConsumo[[#This Row],[09_23]] ) * 1)</f>
        <v>37.979630426839122</v>
      </c>
      <c r="V404" s="221">
        <f xml:space="preserve"> tabConsumo[[#This Row],[Média.A]] + (_xlfn.STDEV.S( tabConsumo[[#This Row],[QTD.PENDENTE]]:tabConsumo[[#This Row],[09_23]] ) * 2)</f>
        <v>59.292594187011574</v>
      </c>
      <c r="W404" s="221">
        <f xml:space="preserve"> tabConsumo[[#This Row],[Média.A]] + (_xlfn.STDEV.S( tabConsumo[[#This Row],[QTD.PENDENTE]]:tabConsumo[[#This Row],[09_23]] ) * 3)</f>
        <v>80.605557947184025</v>
      </c>
      <c r="X404" s="5">
        <f t="shared" si="13"/>
        <v>2</v>
      </c>
      <c r="Y404">
        <v>15.333333333333334</v>
      </c>
      <c r="Z404" s="223">
        <f>SUM( tabConsumo[[#This Row],[QTD.PENDENTE]]:tabConsumo[[#This Row],[09_23]] )</f>
        <v>200</v>
      </c>
      <c r="AA404" s="223">
        <f>LARGE(tabConsumo[[#This Row],[10_22]:[09_23]],1)</f>
        <v>75</v>
      </c>
      <c r="AB404" s="146" t="s">
        <v>2239</v>
      </c>
      <c r="AC404" s="3" t="s">
        <v>2086</v>
      </c>
    </row>
    <row r="405" spans="1:29" x14ac:dyDescent="0.3">
      <c r="A405" s="4" t="s">
        <v>986</v>
      </c>
      <c r="B405" s="3" t="s">
        <v>263</v>
      </c>
      <c r="C405" s="2">
        <v>12989</v>
      </c>
      <c r="D405" s="2">
        <v>0</v>
      </c>
      <c r="E405" s="2">
        <v>100</v>
      </c>
      <c r="F405" s="2">
        <v>10</v>
      </c>
      <c r="G405" s="2">
        <v>7</v>
      </c>
      <c r="H405" s="2">
        <v>0</v>
      </c>
      <c r="I405" s="2">
        <v>68</v>
      </c>
      <c r="J405" s="2">
        <v>13</v>
      </c>
      <c r="K405" s="2">
        <v>13</v>
      </c>
      <c r="L405" s="2">
        <v>4</v>
      </c>
      <c r="M405" s="2">
        <v>0</v>
      </c>
      <c r="N405" s="2">
        <v>0</v>
      </c>
      <c r="O405" s="2">
        <v>16</v>
      </c>
      <c r="P405" s="2">
        <v>0</v>
      </c>
      <c r="Q405" s="2">
        <v>0</v>
      </c>
      <c r="R405" s="238">
        <v>367</v>
      </c>
      <c r="S405" s="219">
        <f xml:space="preserve"> 12</f>
        <v>12</v>
      </c>
      <c r="T405" s="220">
        <f>SUM( tabConsumo[[#This Row],[QTD.PENDENTE]]:tabConsumo[[#This Row],[09_23]] ) / tabConsumo[[#This Row],[Div]]</f>
        <v>19.25</v>
      </c>
      <c r="U405" s="221">
        <f xml:space="preserve"> tabConsumo[[#This Row],[Média.A]] + (_xlfn.STDEV.S( tabConsumo[[#This Row],[QTD.PENDENTE]]:tabConsumo[[#This Row],[09_23]] ) * 1)</f>
        <v>49.907119472627798</v>
      </c>
      <c r="V405" s="221">
        <f xml:space="preserve"> tabConsumo[[#This Row],[Média.A]] + (_xlfn.STDEV.S( tabConsumo[[#This Row],[QTD.PENDENTE]]:tabConsumo[[#This Row],[09_23]] ) * 2)</f>
        <v>80.564238945255596</v>
      </c>
      <c r="W405" s="221">
        <f xml:space="preserve"> tabConsumo[[#This Row],[Média.A]] + (_xlfn.STDEV.S( tabConsumo[[#This Row],[QTD.PENDENTE]]:tabConsumo[[#This Row],[09_23]] ) * 3)</f>
        <v>111.22135841788338</v>
      </c>
      <c r="X405" s="5">
        <f t="shared" si="13"/>
        <v>2</v>
      </c>
      <c r="Y405">
        <v>19.25</v>
      </c>
      <c r="Z405" s="223">
        <f>SUM( tabConsumo[[#This Row],[QTD.PENDENTE]]:tabConsumo[[#This Row],[09_23]] )</f>
        <v>231</v>
      </c>
      <c r="AA405" s="223">
        <f>LARGE(tabConsumo[[#This Row],[10_22]:[09_23]],1)</f>
        <v>68</v>
      </c>
      <c r="AB405" s="146" t="s">
        <v>2239</v>
      </c>
      <c r="AC405" s="3" t="s">
        <v>2086</v>
      </c>
    </row>
    <row r="406" spans="1:29" x14ac:dyDescent="0.3">
      <c r="A406" s="4" t="s">
        <v>1680</v>
      </c>
      <c r="B406" s="3" t="s">
        <v>263</v>
      </c>
      <c r="C406" s="2">
        <v>110896</v>
      </c>
      <c r="D406" s="2">
        <v>22</v>
      </c>
      <c r="F406" s="2">
        <v>0</v>
      </c>
      <c r="G406" s="2">
        <v>2</v>
      </c>
      <c r="H406" s="2">
        <v>0</v>
      </c>
      <c r="I406" s="2">
        <v>0</v>
      </c>
      <c r="J406" s="2">
        <v>0</v>
      </c>
      <c r="K406" s="2">
        <v>10</v>
      </c>
      <c r="L406" s="2">
        <v>0</v>
      </c>
      <c r="M406" s="2">
        <v>0</v>
      </c>
      <c r="N406" s="2">
        <v>0</v>
      </c>
      <c r="O406" s="2">
        <v>0</v>
      </c>
      <c r="P406" s="2">
        <v>20</v>
      </c>
      <c r="Q406" s="2">
        <v>0</v>
      </c>
      <c r="R406" s="238">
        <v>39944</v>
      </c>
      <c r="S406" s="219">
        <v>12</v>
      </c>
      <c r="T406" s="220">
        <f>SUM( tabConsumo[[#This Row],[QTD.PENDENTE]]:tabConsumo[[#This Row],[09_23]] ) / tabConsumo[[#This Row],[Div]]</f>
        <v>2.6666666666666665</v>
      </c>
      <c r="U406" s="221">
        <f xml:space="preserve"> tabConsumo[[#This Row],[Média.A]] + (_xlfn.STDEV.S( tabConsumo[[#This Row],[QTD.PENDENTE]]:tabConsumo[[#This Row],[09_23]] ) * 1)</f>
        <v>8.8359945117893481</v>
      </c>
      <c r="V406" s="221">
        <f xml:space="preserve"> tabConsumo[[#This Row],[Média.A]] + (_xlfn.STDEV.S( tabConsumo[[#This Row],[QTD.PENDENTE]]:tabConsumo[[#This Row],[09_23]] ) * 2)</f>
        <v>15.005322356912028</v>
      </c>
      <c r="W406" s="221">
        <f xml:space="preserve"> tabConsumo[[#This Row],[Média.A]] + (_xlfn.STDEV.S( tabConsumo[[#This Row],[QTD.PENDENTE]]:tabConsumo[[#This Row],[09_23]] ) * 3)</f>
        <v>21.174650202034712</v>
      </c>
      <c r="X406" s="5">
        <f t="shared" si="13"/>
        <v>2</v>
      </c>
      <c r="Y406">
        <v>2.25</v>
      </c>
      <c r="Z406" s="223">
        <f>SUM( tabConsumo[[#This Row],[QTD.PENDENTE]]:tabConsumo[[#This Row],[09_23]] )</f>
        <v>32</v>
      </c>
      <c r="AA406" s="223">
        <f>LARGE(tabConsumo[[#This Row],[10_22]:[09_23]],1)</f>
        <v>20</v>
      </c>
      <c r="AB406" s="146" t="s">
        <v>2241</v>
      </c>
      <c r="AC406" s="3" t="s">
        <v>2086</v>
      </c>
    </row>
    <row r="407" spans="1:29" x14ac:dyDescent="0.3">
      <c r="A407" s="4" t="s">
        <v>1091</v>
      </c>
      <c r="B407" s="3" t="s">
        <v>263</v>
      </c>
      <c r="C407" s="2">
        <v>15299</v>
      </c>
      <c r="D407" s="2">
        <v>0</v>
      </c>
      <c r="E407" s="2">
        <v>84</v>
      </c>
      <c r="F407" s="2">
        <v>4</v>
      </c>
      <c r="G407" s="2">
        <v>16</v>
      </c>
      <c r="H407" s="2">
        <v>48</v>
      </c>
      <c r="I407" s="2">
        <v>56</v>
      </c>
      <c r="J407" s="2">
        <v>15</v>
      </c>
      <c r="K407" s="2">
        <v>50</v>
      </c>
      <c r="L407" s="2">
        <v>20</v>
      </c>
      <c r="M407" s="2">
        <v>4</v>
      </c>
      <c r="N407" s="2">
        <v>20</v>
      </c>
      <c r="O407" s="2">
        <v>50</v>
      </c>
      <c r="P407" s="2">
        <v>46</v>
      </c>
      <c r="Q407" s="2">
        <v>0</v>
      </c>
      <c r="R407" s="238">
        <v>367</v>
      </c>
      <c r="S407" s="219">
        <f xml:space="preserve"> 12</f>
        <v>12</v>
      </c>
      <c r="T407" s="220">
        <f>SUM( tabConsumo[[#This Row],[QTD.PENDENTE]]:tabConsumo[[#This Row],[09_23]] ) / tabConsumo[[#This Row],[Div]]</f>
        <v>34.416666666666664</v>
      </c>
      <c r="U407" s="221">
        <f xml:space="preserve"> tabConsumo[[#This Row],[Média.A]] + (_xlfn.STDEV.S( tabConsumo[[#This Row],[QTD.PENDENTE]]:tabConsumo[[#This Row],[09_23]] ) * 1)</f>
        <v>59.918803329287201</v>
      </c>
      <c r="V407" s="221">
        <f xml:space="preserve"> tabConsumo[[#This Row],[Média.A]] + (_xlfn.STDEV.S( tabConsumo[[#This Row],[QTD.PENDENTE]]:tabConsumo[[#This Row],[09_23]] ) * 2)</f>
        <v>85.42093999190773</v>
      </c>
      <c r="W407" s="221">
        <f xml:space="preserve"> tabConsumo[[#This Row],[Média.A]] + (_xlfn.STDEV.S( tabConsumo[[#This Row],[QTD.PENDENTE]]:tabConsumo[[#This Row],[09_23]] ) * 3)</f>
        <v>110.92307665452827</v>
      </c>
      <c r="X407" s="5">
        <f t="shared" si="13"/>
        <v>2</v>
      </c>
      <c r="Y407">
        <v>34.416666666666664</v>
      </c>
      <c r="Z407" s="223">
        <f>SUM( tabConsumo[[#This Row],[QTD.PENDENTE]]:tabConsumo[[#This Row],[09_23]] )</f>
        <v>413</v>
      </c>
      <c r="AA407" s="223">
        <f>LARGE(tabConsumo[[#This Row],[10_22]:[09_23]],1)</f>
        <v>56</v>
      </c>
      <c r="AB407" s="146" t="s">
        <v>2241</v>
      </c>
      <c r="AC407" s="3" t="s">
        <v>2086</v>
      </c>
    </row>
    <row r="408" spans="1:29" x14ac:dyDescent="0.3">
      <c r="A408" s="4" t="s">
        <v>988</v>
      </c>
      <c r="B408" s="3" t="s">
        <v>263</v>
      </c>
      <c r="C408" s="2">
        <v>12992</v>
      </c>
      <c r="D408" s="2">
        <v>0</v>
      </c>
      <c r="E408" s="2">
        <v>104</v>
      </c>
      <c r="F408" s="2">
        <v>1</v>
      </c>
      <c r="G408" s="2">
        <v>2</v>
      </c>
      <c r="H408" s="2">
        <v>2</v>
      </c>
      <c r="I408" s="2">
        <v>18</v>
      </c>
      <c r="J408" s="2">
        <v>0</v>
      </c>
      <c r="K408" s="2">
        <v>10</v>
      </c>
      <c r="L408" s="2">
        <v>18</v>
      </c>
      <c r="M408" s="2">
        <v>0</v>
      </c>
      <c r="N408" s="2">
        <v>0</v>
      </c>
      <c r="O408" s="2">
        <v>8</v>
      </c>
      <c r="P408" s="2">
        <v>0</v>
      </c>
      <c r="Q408" s="2">
        <v>0</v>
      </c>
      <c r="R408" s="238">
        <v>367</v>
      </c>
      <c r="S408" s="219">
        <f xml:space="preserve"> 12</f>
        <v>12</v>
      </c>
      <c r="T408" s="220">
        <f>SUM( tabConsumo[[#This Row],[QTD.PENDENTE]]:tabConsumo[[#This Row],[09_23]] ) / tabConsumo[[#This Row],[Div]]</f>
        <v>13.583333333333334</v>
      </c>
      <c r="U408" s="221">
        <f xml:space="preserve"> tabConsumo[[#This Row],[Média.A]] + (_xlfn.STDEV.S( tabConsumo[[#This Row],[QTD.PENDENTE]]:tabConsumo[[#This Row],[09_23]] ) * 1)</f>
        <v>41.857630803578239</v>
      </c>
      <c r="V408" s="221">
        <f xml:space="preserve"> tabConsumo[[#This Row],[Média.A]] + (_xlfn.STDEV.S( tabConsumo[[#This Row],[QTD.PENDENTE]]:tabConsumo[[#This Row],[09_23]] ) * 2)</f>
        <v>70.131928273823149</v>
      </c>
      <c r="W408" s="221">
        <f xml:space="preserve"> tabConsumo[[#This Row],[Média.A]] + (_xlfn.STDEV.S( tabConsumo[[#This Row],[QTD.PENDENTE]]:tabConsumo[[#This Row],[09_23]] ) * 3)</f>
        <v>98.406225744068053</v>
      </c>
      <c r="X408" s="5">
        <f t="shared" si="13"/>
        <v>2</v>
      </c>
      <c r="Y408">
        <v>13.583333333333334</v>
      </c>
      <c r="Z408" s="223">
        <f>SUM( tabConsumo[[#This Row],[QTD.PENDENTE]]:tabConsumo[[#This Row],[09_23]] )</f>
        <v>163</v>
      </c>
      <c r="AA408" s="223">
        <f>LARGE(tabConsumo[[#This Row],[10_22]:[09_23]],1)</f>
        <v>18</v>
      </c>
      <c r="AB408" s="146" t="s">
        <v>2239</v>
      </c>
      <c r="AC408" s="3" t="s">
        <v>2086</v>
      </c>
    </row>
    <row r="409" spans="1:29" x14ac:dyDescent="0.3">
      <c r="A409" s="4" t="s">
        <v>1736</v>
      </c>
      <c r="B409" s="3" t="s">
        <v>31</v>
      </c>
      <c r="C409" s="2">
        <v>119180</v>
      </c>
      <c r="D409" s="2">
        <v>157</v>
      </c>
      <c r="F409" s="2">
        <v>12</v>
      </c>
      <c r="G409" s="2">
        <v>3</v>
      </c>
      <c r="H409" s="2">
        <v>0</v>
      </c>
      <c r="I409" s="2">
        <v>0</v>
      </c>
      <c r="J409" s="2">
        <v>0</v>
      </c>
      <c r="K409" s="2">
        <v>0</v>
      </c>
      <c r="L409" s="2">
        <v>20</v>
      </c>
      <c r="M409" s="2">
        <v>24</v>
      </c>
      <c r="N409" s="2">
        <v>0</v>
      </c>
      <c r="O409" s="2">
        <v>0</v>
      </c>
      <c r="P409" s="2">
        <v>0</v>
      </c>
      <c r="Q409" s="2">
        <v>0</v>
      </c>
      <c r="R409" s="238">
        <v>40581</v>
      </c>
      <c r="S409" s="219">
        <v>12</v>
      </c>
      <c r="T409" s="220">
        <f>SUM( tabConsumo[[#This Row],[QTD.PENDENTE]]:tabConsumo[[#This Row],[09_23]] ) / tabConsumo[[#This Row],[Div]]</f>
        <v>4.916666666666667</v>
      </c>
      <c r="U409" s="221">
        <f xml:space="preserve"> tabConsumo[[#This Row],[Média.A]] + (_xlfn.STDEV.S( tabConsumo[[#This Row],[QTD.PENDENTE]]:tabConsumo[[#This Row],[09_23]] ) * 1)</f>
        <v>13.649658795092726</v>
      </c>
      <c r="V409" s="221">
        <f xml:space="preserve"> tabConsumo[[#This Row],[Média.A]] + (_xlfn.STDEV.S( tabConsumo[[#This Row],[QTD.PENDENTE]]:tabConsumo[[#This Row],[09_23]] ) * 2)</f>
        <v>22.382650923518785</v>
      </c>
      <c r="W409" s="221">
        <f xml:space="preserve"> tabConsumo[[#This Row],[Média.A]] + (_xlfn.STDEV.S( tabConsumo[[#This Row],[QTD.PENDENTE]]:tabConsumo[[#This Row],[09_23]] ) * 3)</f>
        <v>31.115643051944843</v>
      </c>
      <c r="X409" s="5">
        <f t="shared" si="13"/>
        <v>2</v>
      </c>
      <c r="Y409">
        <v>4.75</v>
      </c>
      <c r="Z409" s="223">
        <f>SUM( tabConsumo[[#This Row],[QTD.PENDENTE]]:tabConsumo[[#This Row],[09_23]] )</f>
        <v>59</v>
      </c>
      <c r="AA409" s="223">
        <f>LARGE(tabConsumo[[#This Row],[10_22]:[09_23]],1)</f>
        <v>24</v>
      </c>
      <c r="AB409" s="146" t="s">
        <v>2244</v>
      </c>
      <c r="AC409" s="3" t="s">
        <v>2086</v>
      </c>
    </row>
    <row r="410" spans="1:29" x14ac:dyDescent="0.3">
      <c r="A410" s="4" t="s">
        <v>1809</v>
      </c>
      <c r="B410" s="3" t="s">
        <v>263</v>
      </c>
      <c r="C410" s="2">
        <v>130634</v>
      </c>
      <c r="D410" s="2">
        <v>752</v>
      </c>
      <c r="F410" s="2">
        <v>78</v>
      </c>
      <c r="G410" s="2">
        <v>4</v>
      </c>
      <c r="H410" s="2">
        <v>31</v>
      </c>
      <c r="I410" s="2">
        <v>10</v>
      </c>
      <c r="J410" s="2">
        <v>76</v>
      </c>
      <c r="K410" s="2">
        <v>209</v>
      </c>
      <c r="L410" s="2">
        <v>409</v>
      </c>
      <c r="M410" s="2">
        <v>54</v>
      </c>
      <c r="N410" s="2">
        <v>251</v>
      </c>
      <c r="O410" s="2">
        <v>0</v>
      </c>
      <c r="P410" s="2">
        <v>50</v>
      </c>
      <c r="Q410" s="2">
        <v>125</v>
      </c>
      <c r="R410" s="238">
        <v>42208</v>
      </c>
      <c r="S410" s="219">
        <v>12</v>
      </c>
      <c r="T410" s="220">
        <f>SUM( tabConsumo[[#This Row],[QTD.PENDENTE]]:tabConsumo[[#This Row],[09_23]] ) / tabConsumo[[#This Row],[Div]]</f>
        <v>108.08333333333333</v>
      </c>
      <c r="U410" s="221">
        <f xml:space="preserve"> tabConsumo[[#This Row],[Média.A]] + (_xlfn.STDEV.S( tabConsumo[[#This Row],[QTD.PENDENTE]]:tabConsumo[[#This Row],[09_23]] ) * 1)</f>
        <v>231.57676954708029</v>
      </c>
      <c r="V410" s="221">
        <f xml:space="preserve"> tabConsumo[[#This Row],[Média.A]] + (_xlfn.STDEV.S( tabConsumo[[#This Row],[QTD.PENDENTE]]:tabConsumo[[#This Row],[09_23]] ) * 2)</f>
        <v>355.07020576082721</v>
      </c>
      <c r="W410" s="221">
        <f xml:space="preserve"> tabConsumo[[#This Row],[Média.A]] + (_xlfn.STDEV.S( tabConsumo[[#This Row],[QTD.PENDENTE]]:tabConsumo[[#This Row],[09_23]] ) * 3)</f>
        <v>478.56364197457418</v>
      </c>
      <c r="X410" s="5">
        <f t="shared" si="13"/>
        <v>2</v>
      </c>
      <c r="Y410">
        <v>103.58333333333333</v>
      </c>
      <c r="Z410" s="223">
        <f>SUM( tabConsumo[[#This Row],[QTD.PENDENTE]]:tabConsumo[[#This Row],[09_23]] )</f>
        <v>1297</v>
      </c>
      <c r="AA410" s="223">
        <f>LARGE(tabConsumo[[#This Row],[10_22]:[09_23]],1)</f>
        <v>409</v>
      </c>
      <c r="AB410" s="146" t="s">
        <v>2238</v>
      </c>
      <c r="AC410" s="3" t="s">
        <v>2086</v>
      </c>
    </row>
    <row r="411" spans="1:29" x14ac:dyDescent="0.3">
      <c r="A411" s="4" t="s">
        <v>1553</v>
      </c>
      <c r="B411" s="3" t="s">
        <v>263</v>
      </c>
      <c r="C411" s="2">
        <v>95121</v>
      </c>
      <c r="D411" s="2">
        <v>0</v>
      </c>
      <c r="E411" s="2">
        <v>100</v>
      </c>
      <c r="F411" s="2">
        <v>40</v>
      </c>
      <c r="G411" s="2">
        <v>11</v>
      </c>
      <c r="H411" s="2">
        <v>49</v>
      </c>
      <c r="I411" s="2">
        <v>39</v>
      </c>
      <c r="J411" s="2">
        <v>20</v>
      </c>
      <c r="K411" s="2">
        <v>31</v>
      </c>
      <c r="L411" s="2">
        <v>65</v>
      </c>
      <c r="M411" s="2">
        <v>19</v>
      </c>
      <c r="N411" s="2">
        <v>21</v>
      </c>
      <c r="O411" s="2">
        <v>0</v>
      </c>
      <c r="P411" s="2">
        <v>50</v>
      </c>
      <c r="Q411" s="2">
        <v>0</v>
      </c>
      <c r="R411" s="238">
        <v>39001</v>
      </c>
      <c r="S411" s="219">
        <v>12</v>
      </c>
      <c r="T411" s="220">
        <f>SUM( tabConsumo[[#This Row],[QTD.PENDENTE]]:tabConsumo[[#This Row],[09_23]] ) / tabConsumo[[#This Row],[Div]]</f>
        <v>37.083333333333336</v>
      </c>
      <c r="U411" s="221">
        <f xml:space="preserve"> tabConsumo[[#This Row],[Média.A]] + (_xlfn.STDEV.S( tabConsumo[[#This Row],[QTD.PENDENTE]]:tabConsumo[[#This Row],[09_23]] ) * 1)</f>
        <v>64.919622136961138</v>
      </c>
      <c r="V411" s="221">
        <f xml:space="preserve"> tabConsumo[[#This Row],[Média.A]] + (_xlfn.STDEV.S( tabConsumo[[#This Row],[QTD.PENDENTE]]:tabConsumo[[#This Row],[09_23]] ) * 2)</f>
        <v>92.755910940588933</v>
      </c>
      <c r="W411" s="221">
        <f xml:space="preserve"> tabConsumo[[#This Row],[Média.A]] + (_xlfn.STDEV.S( tabConsumo[[#This Row],[QTD.PENDENTE]]:tabConsumo[[#This Row],[09_23]] ) * 3)</f>
        <v>120.59219974421674</v>
      </c>
      <c r="X411" s="5">
        <f t="shared" si="13"/>
        <v>2</v>
      </c>
      <c r="Y411">
        <v>37.083333333333336</v>
      </c>
      <c r="Z411" s="223">
        <f>SUM( tabConsumo[[#This Row],[QTD.PENDENTE]]:tabConsumo[[#This Row],[09_23]] )</f>
        <v>445</v>
      </c>
      <c r="AA411" s="223">
        <f>LARGE(tabConsumo[[#This Row],[10_22]:[09_23]],1)</f>
        <v>65</v>
      </c>
      <c r="AB411" s="146" t="s">
        <v>2241</v>
      </c>
      <c r="AC411" s="3" t="s">
        <v>2086</v>
      </c>
    </row>
    <row r="412" spans="1:29" x14ac:dyDescent="0.3">
      <c r="A412" s="4" t="s">
        <v>1319</v>
      </c>
      <c r="B412" s="3" t="s">
        <v>263</v>
      </c>
      <c r="C412" s="2">
        <v>54144</v>
      </c>
      <c r="D412" s="2">
        <v>326</v>
      </c>
      <c r="F412" s="2">
        <v>90</v>
      </c>
      <c r="G412" s="2">
        <v>35</v>
      </c>
      <c r="H412" s="2">
        <v>20</v>
      </c>
      <c r="I412" s="2">
        <v>20</v>
      </c>
      <c r="J412" s="2">
        <v>33</v>
      </c>
      <c r="K412" s="2">
        <v>0</v>
      </c>
      <c r="L412" s="2">
        <v>10</v>
      </c>
      <c r="M412" s="2">
        <v>0</v>
      </c>
      <c r="N412" s="2">
        <v>6</v>
      </c>
      <c r="O412" s="2">
        <v>0</v>
      </c>
      <c r="P412" s="2">
        <v>55</v>
      </c>
      <c r="Q412" s="2">
        <v>0</v>
      </c>
      <c r="R412" s="238">
        <v>367</v>
      </c>
      <c r="S412" s="219">
        <f xml:space="preserve"> 12</f>
        <v>12</v>
      </c>
      <c r="T412" s="220">
        <f>SUM( tabConsumo[[#This Row],[QTD.PENDENTE]]:tabConsumo[[#This Row],[09_23]] ) / tabConsumo[[#This Row],[Div]]</f>
        <v>22.416666666666668</v>
      </c>
      <c r="U412" s="221">
        <f xml:space="preserve"> tabConsumo[[#This Row],[Média.A]] + (_xlfn.STDEV.S( tabConsumo[[#This Row],[QTD.PENDENTE]]:tabConsumo[[#This Row],[09_23]] ) * 1)</f>
        <v>49.959883397447911</v>
      </c>
      <c r="V412" s="221">
        <f xml:space="preserve"> tabConsumo[[#This Row],[Média.A]] + (_xlfn.STDEV.S( tabConsumo[[#This Row],[QTD.PENDENTE]]:tabConsumo[[#This Row],[09_23]] ) * 2)</f>
        <v>77.503100128229164</v>
      </c>
      <c r="W412" s="221">
        <f xml:space="preserve"> tabConsumo[[#This Row],[Média.A]] + (_xlfn.STDEV.S( tabConsumo[[#This Row],[QTD.PENDENTE]]:tabConsumo[[#This Row],[09_23]] ) * 3)</f>
        <v>105.04631685901042</v>
      </c>
      <c r="X412" s="5">
        <f t="shared" si="13"/>
        <v>2</v>
      </c>
      <c r="Y412">
        <v>21.333333333333332</v>
      </c>
      <c r="Z412" s="223">
        <f>SUM( tabConsumo[[#This Row],[QTD.PENDENTE]]:tabConsumo[[#This Row],[09_23]] )</f>
        <v>269</v>
      </c>
      <c r="AA412" s="223">
        <f>LARGE(tabConsumo[[#This Row],[10_22]:[09_23]],1)</f>
        <v>90</v>
      </c>
      <c r="AB412" s="146" t="s">
        <v>2241</v>
      </c>
      <c r="AC412" s="3" t="s">
        <v>2086</v>
      </c>
    </row>
    <row r="413" spans="1:29" x14ac:dyDescent="0.3">
      <c r="A413" s="4" t="s">
        <v>1313</v>
      </c>
      <c r="B413" s="3" t="s">
        <v>31</v>
      </c>
      <c r="C413" s="2">
        <v>54018</v>
      </c>
      <c r="D413" s="2">
        <v>480</v>
      </c>
      <c r="F413" s="2">
        <v>50</v>
      </c>
      <c r="G413" s="2">
        <v>20</v>
      </c>
      <c r="H413" s="2">
        <v>0</v>
      </c>
      <c r="I413" s="2">
        <v>10</v>
      </c>
      <c r="J413" s="2">
        <v>10</v>
      </c>
      <c r="K413" s="2">
        <v>0</v>
      </c>
      <c r="L413" s="2">
        <v>10</v>
      </c>
      <c r="M413" s="2">
        <v>0</v>
      </c>
      <c r="N413" s="2">
        <v>0</v>
      </c>
      <c r="O413" s="2">
        <v>0</v>
      </c>
      <c r="P413" s="2">
        <v>0</v>
      </c>
      <c r="Q413" s="2">
        <v>0</v>
      </c>
      <c r="R413" s="238">
        <v>367</v>
      </c>
      <c r="S413" s="219">
        <f xml:space="preserve"> 12</f>
        <v>12</v>
      </c>
      <c r="T413" s="220">
        <f>SUM( tabConsumo[[#This Row],[QTD.PENDENTE]]:tabConsumo[[#This Row],[09_23]] ) / tabConsumo[[#This Row],[Div]]</f>
        <v>8.3333333333333339</v>
      </c>
      <c r="U413" s="221">
        <f xml:space="preserve"> tabConsumo[[#This Row],[Média.A]] + (_xlfn.STDEV.S( tabConsumo[[#This Row],[QTD.PENDENTE]]:tabConsumo[[#This Row],[09_23]] ) * 1)</f>
        <v>23.001377345795088</v>
      </c>
      <c r="V413" s="221">
        <f xml:space="preserve"> tabConsumo[[#This Row],[Média.A]] + (_xlfn.STDEV.S( tabConsumo[[#This Row],[QTD.PENDENTE]]:tabConsumo[[#This Row],[09_23]] ) * 2)</f>
        <v>37.669421358256841</v>
      </c>
      <c r="W413" s="221">
        <f xml:space="preserve"> tabConsumo[[#This Row],[Média.A]] + (_xlfn.STDEV.S( tabConsumo[[#This Row],[QTD.PENDENTE]]:tabConsumo[[#This Row],[09_23]] ) * 3)</f>
        <v>52.337465370718597</v>
      </c>
      <c r="X413" s="5">
        <f t="shared" si="13"/>
        <v>2</v>
      </c>
      <c r="Y413">
        <v>7.25</v>
      </c>
      <c r="Z413" s="223">
        <f>SUM( tabConsumo[[#This Row],[QTD.PENDENTE]]:tabConsumo[[#This Row],[09_23]] )</f>
        <v>100</v>
      </c>
      <c r="AA413" s="223">
        <f>LARGE(tabConsumo[[#This Row],[10_22]:[09_23]],1)</f>
        <v>50</v>
      </c>
      <c r="AB413" s="146" t="s">
        <v>2240</v>
      </c>
      <c r="AC413" s="3" t="s">
        <v>2086</v>
      </c>
    </row>
    <row r="414" spans="1:29" x14ac:dyDescent="0.3">
      <c r="A414" s="4" t="s">
        <v>1312</v>
      </c>
      <c r="B414" s="3" t="s">
        <v>31</v>
      </c>
      <c r="C414" s="2">
        <v>54017</v>
      </c>
      <c r="D414" s="2">
        <v>0</v>
      </c>
      <c r="E414" s="2">
        <v>12</v>
      </c>
      <c r="F414" s="2">
        <v>50</v>
      </c>
      <c r="G414" s="2">
        <v>20</v>
      </c>
      <c r="H414" s="2">
        <v>10</v>
      </c>
      <c r="I414" s="2">
        <v>50</v>
      </c>
      <c r="J414" s="2">
        <v>40</v>
      </c>
      <c r="K414" s="2">
        <v>0</v>
      </c>
      <c r="L414" s="2">
        <v>4</v>
      </c>
      <c r="M414" s="2">
        <v>0</v>
      </c>
      <c r="N414" s="2">
        <v>0</v>
      </c>
      <c r="O414" s="2">
        <v>0</v>
      </c>
      <c r="P414" s="2">
        <v>0</v>
      </c>
      <c r="Q414" s="2">
        <v>0</v>
      </c>
      <c r="R414" s="238">
        <v>367</v>
      </c>
      <c r="S414" s="219">
        <f xml:space="preserve"> 12</f>
        <v>12</v>
      </c>
      <c r="T414" s="220">
        <f>SUM( tabConsumo[[#This Row],[QTD.PENDENTE]]:tabConsumo[[#This Row],[09_23]] ) / tabConsumo[[#This Row],[Div]]</f>
        <v>15.5</v>
      </c>
      <c r="U414" s="221">
        <f xml:space="preserve"> tabConsumo[[#This Row],[Média.A]] + (_xlfn.STDEV.S( tabConsumo[[#This Row],[QTD.PENDENTE]]:tabConsumo[[#This Row],[09_23]] ) * 1)</f>
        <v>35.076280781363181</v>
      </c>
      <c r="V414" s="221">
        <f xml:space="preserve"> tabConsumo[[#This Row],[Média.A]] + (_xlfn.STDEV.S( tabConsumo[[#This Row],[QTD.PENDENTE]]:tabConsumo[[#This Row],[09_23]] ) * 2)</f>
        <v>54.652561562726355</v>
      </c>
      <c r="W414" s="221">
        <f xml:space="preserve"> tabConsumo[[#This Row],[Média.A]] + (_xlfn.STDEV.S( tabConsumo[[#This Row],[QTD.PENDENTE]]:tabConsumo[[#This Row],[09_23]] ) * 3)</f>
        <v>74.228842344089529</v>
      </c>
      <c r="X414" s="5">
        <f t="shared" si="13"/>
        <v>2</v>
      </c>
      <c r="Y414">
        <v>15.5</v>
      </c>
      <c r="Z414" s="223">
        <f>SUM( tabConsumo[[#This Row],[QTD.PENDENTE]]:tabConsumo[[#This Row],[09_23]] )</f>
        <v>186</v>
      </c>
      <c r="AA414" s="223">
        <f>LARGE(tabConsumo[[#This Row],[10_22]:[09_23]],1)</f>
        <v>50</v>
      </c>
      <c r="AB414" s="146" t="s">
        <v>2240</v>
      </c>
      <c r="AC414" s="3" t="s">
        <v>2086</v>
      </c>
    </row>
    <row r="415" spans="1:29" x14ac:dyDescent="0.3">
      <c r="A415" s="4" t="s">
        <v>1606</v>
      </c>
      <c r="B415" s="3" t="s">
        <v>1607</v>
      </c>
      <c r="C415" s="2">
        <v>104665</v>
      </c>
      <c r="D415" s="2">
        <v>108</v>
      </c>
      <c r="F415" s="2">
        <v>2</v>
      </c>
      <c r="G415" s="2">
        <v>1</v>
      </c>
      <c r="H415" s="2">
        <v>1</v>
      </c>
      <c r="I415" s="2">
        <v>1</v>
      </c>
      <c r="J415" s="2">
        <v>1</v>
      </c>
      <c r="K415" s="2">
        <v>0</v>
      </c>
      <c r="L415" s="2">
        <v>0</v>
      </c>
      <c r="M415" s="2">
        <v>0</v>
      </c>
      <c r="N415" s="2">
        <v>7</v>
      </c>
      <c r="O415" s="2">
        <v>0</v>
      </c>
      <c r="P415" s="2">
        <v>1</v>
      </c>
      <c r="Q415" s="2">
        <v>0</v>
      </c>
      <c r="R415" s="238">
        <v>39472</v>
      </c>
      <c r="S415" s="219">
        <v>12</v>
      </c>
      <c r="T415" s="220">
        <f>SUM( tabConsumo[[#This Row],[QTD.PENDENTE]]:tabConsumo[[#This Row],[09_23]] ) / tabConsumo[[#This Row],[Div]]</f>
        <v>1.1666666666666667</v>
      </c>
      <c r="U415" s="221">
        <f xml:space="preserve"> tabConsumo[[#This Row],[Média.A]] + (_xlfn.STDEV.S( tabConsumo[[#This Row],[QTD.PENDENTE]]:tabConsumo[[#This Row],[09_23]] ) * 1)</f>
        <v>3.1129140270704743</v>
      </c>
      <c r="V415" s="221">
        <f xml:space="preserve"> tabConsumo[[#This Row],[Média.A]] + (_xlfn.STDEV.S( tabConsumo[[#This Row],[QTD.PENDENTE]]:tabConsumo[[#This Row],[09_23]] ) * 2)</f>
        <v>5.0591613874742816</v>
      </c>
      <c r="W415" s="221">
        <f xml:space="preserve"> tabConsumo[[#This Row],[Média.A]] + (_xlfn.STDEV.S( tabConsumo[[#This Row],[QTD.PENDENTE]]:tabConsumo[[#This Row],[09_23]] ) * 3)</f>
        <v>7.0054087478780893</v>
      </c>
      <c r="X415" s="5">
        <f t="shared" si="13"/>
        <v>2</v>
      </c>
      <c r="Y415">
        <v>1</v>
      </c>
      <c r="Z415" s="223">
        <f>SUM( tabConsumo[[#This Row],[QTD.PENDENTE]]:tabConsumo[[#This Row],[09_23]] )</f>
        <v>14</v>
      </c>
      <c r="AA415" s="223">
        <f>LARGE(tabConsumo[[#This Row],[10_22]:[09_23]],1)</f>
        <v>7</v>
      </c>
      <c r="AB415" s="146" t="s">
        <v>2241</v>
      </c>
      <c r="AC415" s="3" t="s">
        <v>2086</v>
      </c>
    </row>
    <row r="416" spans="1:29" x14ac:dyDescent="0.3">
      <c r="A416" s="4" t="s">
        <v>1696</v>
      </c>
      <c r="B416" s="3" t="s">
        <v>1607</v>
      </c>
      <c r="C416" s="2">
        <v>113238</v>
      </c>
      <c r="D416" s="2">
        <v>48</v>
      </c>
      <c r="F416" s="2">
        <v>1</v>
      </c>
      <c r="G416" s="2">
        <v>1</v>
      </c>
      <c r="H416" s="2">
        <v>1</v>
      </c>
      <c r="I416" s="2">
        <v>4</v>
      </c>
      <c r="J416" s="2">
        <v>0</v>
      </c>
      <c r="K416" s="2">
        <v>0</v>
      </c>
      <c r="L416" s="2">
        <v>0</v>
      </c>
      <c r="M416" s="2">
        <v>1</v>
      </c>
      <c r="N416" s="2">
        <v>4</v>
      </c>
      <c r="O416" s="2">
        <v>1</v>
      </c>
      <c r="P416" s="2">
        <v>3</v>
      </c>
      <c r="Q416" s="2">
        <v>0</v>
      </c>
      <c r="R416" s="238">
        <v>40113</v>
      </c>
      <c r="S416" s="219">
        <v>12</v>
      </c>
      <c r="T416" s="220">
        <f>SUM( tabConsumo[[#This Row],[QTD.PENDENTE]]:tabConsumo[[#This Row],[09_23]] ) / tabConsumo[[#This Row],[Div]]</f>
        <v>1.3333333333333333</v>
      </c>
      <c r="U416" s="221">
        <f xml:space="preserve"> tabConsumo[[#This Row],[Média.A]] + (_xlfn.STDEV.S( tabConsumo[[#This Row],[QTD.PENDENTE]]:tabConsumo[[#This Row],[09_23]] ) * 1)</f>
        <v>2.8308059515885864</v>
      </c>
      <c r="V416" s="221">
        <f xml:space="preserve"> tabConsumo[[#This Row],[Média.A]] + (_xlfn.STDEV.S( tabConsumo[[#This Row],[QTD.PENDENTE]]:tabConsumo[[#This Row],[09_23]] ) * 2)</f>
        <v>4.3282785698438389</v>
      </c>
      <c r="W416" s="221">
        <f xml:space="preserve"> tabConsumo[[#This Row],[Média.A]] + (_xlfn.STDEV.S( tabConsumo[[#This Row],[QTD.PENDENTE]]:tabConsumo[[#This Row],[09_23]] ) * 3)</f>
        <v>5.8257511880990913</v>
      </c>
      <c r="X416" s="5">
        <f t="shared" si="13"/>
        <v>2</v>
      </c>
      <c r="Y416">
        <v>1.3333333333333333</v>
      </c>
      <c r="Z416" s="223">
        <f>SUM( tabConsumo[[#This Row],[QTD.PENDENTE]]:tabConsumo[[#This Row],[09_23]] )</f>
        <v>16</v>
      </c>
      <c r="AA416" s="223">
        <f>LARGE(tabConsumo[[#This Row],[10_22]:[09_23]],1)</f>
        <v>4</v>
      </c>
      <c r="AB416" s="146" t="s">
        <v>2241</v>
      </c>
      <c r="AC416" s="3" t="s">
        <v>2086</v>
      </c>
    </row>
    <row r="417" spans="1:29" x14ac:dyDescent="0.3">
      <c r="A417" s="4" t="s">
        <v>961</v>
      </c>
      <c r="B417" s="3" t="s">
        <v>267</v>
      </c>
      <c r="C417" s="2">
        <v>12754</v>
      </c>
      <c r="D417" s="2">
        <v>311</v>
      </c>
      <c r="F417" s="2">
        <v>115</v>
      </c>
      <c r="G417" s="2">
        <v>81</v>
      </c>
      <c r="H417" s="2">
        <v>48</v>
      </c>
      <c r="I417" s="2">
        <v>48</v>
      </c>
      <c r="J417" s="2">
        <v>74</v>
      </c>
      <c r="K417" s="2">
        <v>192</v>
      </c>
      <c r="L417" s="2">
        <v>125</v>
      </c>
      <c r="M417" s="2">
        <v>138</v>
      </c>
      <c r="N417" s="2">
        <v>140</v>
      </c>
      <c r="O417" s="2">
        <v>137</v>
      </c>
      <c r="P417" s="2">
        <v>136</v>
      </c>
      <c r="Q417" s="2">
        <v>127</v>
      </c>
      <c r="R417" s="238">
        <v>367</v>
      </c>
      <c r="S417" s="219">
        <f xml:space="preserve"> 12</f>
        <v>12</v>
      </c>
      <c r="T417" s="220">
        <f>SUM( tabConsumo[[#This Row],[QTD.PENDENTE]]:tabConsumo[[#This Row],[09_23]] ) / tabConsumo[[#This Row],[Div]]</f>
        <v>113.41666666666667</v>
      </c>
      <c r="U417" s="221">
        <f xml:space="preserve"> tabConsumo[[#This Row],[Média.A]] + (_xlfn.STDEV.S( tabConsumo[[#This Row],[QTD.PENDENTE]]:tabConsumo[[#This Row],[09_23]] ) * 1)</f>
        <v>156.09614509351576</v>
      </c>
      <c r="V417" s="221">
        <f xml:space="preserve"> tabConsumo[[#This Row],[Média.A]] + (_xlfn.STDEV.S( tabConsumo[[#This Row],[QTD.PENDENTE]]:tabConsumo[[#This Row],[09_23]] ) * 2)</f>
        <v>198.77562352036489</v>
      </c>
      <c r="W417" s="221">
        <f xml:space="preserve"> tabConsumo[[#This Row],[Média.A]] + (_xlfn.STDEV.S( tabConsumo[[#This Row],[QTD.PENDENTE]]:tabConsumo[[#This Row],[09_23]] ) * 3)</f>
        <v>241.45510194721396</v>
      </c>
      <c r="X417" s="5">
        <f t="shared" si="13"/>
        <v>2</v>
      </c>
      <c r="Y417">
        <v>113.41666666666667</v>
      </c>
      <c r="Z417" s="223">
        <f>SUM( tabConsumo[[#This Row],[QTD.PENDENTE]]:tabConsumo[[#This Row],[09_23]] )</f>
        <v>1361</v>
      </c>
      <c r="AA417" s="223">
        <f>LARGE(tabConsumo[[#This Row],[10_22]:[09_23]],1)</f>
        <v>192</v>
      </c>
      <c r="AB417" s="146" t="s">
        <v>2238</v>
      </c>
      <c r="AC417" s="3" t="s">
        <v>2086</v>
      </c>
    </row>
    <row r="418" spans="1:29" x14ac:dyDescent="0.3">
      <c r="A418" s="4" t="s">
        <v>1893</v>
      </c>
      <c r="B418" s="3" t="s">
        <v>263</v>
      </c>
      <c r="C418" s="2">
        <v>134560</v>
      </c>
      <c r="D418" s="2">
        <v>0</v>
      </c>
      <c r="F418" s="2">
        <v>26</v>
      </c>
      <c r="G418" s="2">
        <v>23</v>
      </c>
      <c r="H418" s="2">
        <v>52</v>
      </c>
      <c r="I418" s="2">
        <v>33</v>
      </c>
      <c r="J418" s="2">
        <v>11</v>
      </c>
      <c r="K418" s="2">
        <v>70</v>
      </c>
      <c r="L418" s="2">
        <v>65</v>
      </c>
      <c r="M418" s="2">
        <v>0</v>
      </c>
      <c r="N418" s="2">
        <v>50</v>
      </c>
      <c r="O418" s="2">
        <v>200</v>
      </c>
      <c r="P418" s="2">
        <v>0</v>
      </c>
      <c r="Q418" s="2">
        <v>0</v>
      </c>
      <c r="R418" s="238">
        <v>43174</v>
      </c>
      <c r="S418" s="219">
        <v>12</v>
      </c>
      <c r="T418" s="220">
        <f>SUM( tabConsumo[[#This Row],[QTD.PENDENTE]]:tabConsumo[[#This Row],[09_23]] ) / tabConsumo[[#This Row],[Div]]</f>
        <v>44.166666666666664</v>
      </c>
      <c r="U418" s="221">
        <f xml:space="preserve"> tabConsumo[[#This Row],[Média.A]] + (_xlfn.STDEV.S( tabConsumo[[#This Row],[QTD.PENDENTE]]:tabConsumo[[#This Row],[09_23]] ) * 1)</f>
        <v>99.216781575857837</v>
      </c>
      <c r="V418" s="221">
        <f xml:space="preserve"> tabConsumo[[#This Row],[Média.A]] + (_xlfn.STDEV.S( tabConsumo[[#This Row],[QTD.PENDENTE]]:tabConsumo[[#This Row],[09_23]] ) * 2)</f>
        <v>154.26689648504902</v>
      </c>
      <c r="W418" s="221">
        <f xml:space="preserve"> tabConsumo[[#This Row],[Média.A]] + (_xlfn.STDEV.S( tabConsumo[[#This Row],[QTD.PENDENTE]]:tabConsumo[[#This Row],[09_23]] ) * 3)</f>
        <v>209.31701139424018</v>
      </c>
      <c r="X418" s="5">
        <f t="shared" si="13"/>
        <v>2</v>
      </c>
      <c r="Y418">
        <v>40.333333333333336</v>
      </c>
      <c r="Z418" s="223">
        <f>SUM( tabConsumo[[#This Row],[QTD.PENDENTE]]:tabConsumo[[#This Row],[09_23]] )</f>
        <v>530</v>
      </c>
      <c r="AA418" s="223">
        <f>LARGE(tabConsumo[[#This Row],[10_22]:[09_23]],1)</f>
        <v>200</v>
      </c>
      <c r="AB418" s="146" t="s">
        <v>2239</v>
      </c>
      <c r="AC418" s="3" t="s">
        <v>2086</v>
      </c>
    </row>
    <row r="419" spans="1:29" x14ac:dyDescent="0.3">
      <c r="A419" s="4" t="s">
        <v>1951</v>
      </c>
      <c r="B419" s="3" t="s">
        <v>31</v>
      </c>
      <c r="C419" s="2">
        <v>136895</v>
      </c>
      <c r="D419" s="2">
        <v>15</v>
      </c>
      <c r="F419" s="2">
        <v>8</v>
      </c>
      <c r="G419" s="2">
        <v>5</v>
      </c>
      <c r="H419" s="2">
        <v>13</v>
      </c>
      <c r="I419" s="2">
        <v>9</v>
      </c>
      <c r="J419" s="2">
        <v>40</v>
      </c>
      <c r="K419" s="2">
        <v>24</v>
      </c>
      <c r="L419" s="2">
        <v>94</v>
      </c>
      <c r="M419" s="2">
        <v>50</v>
      </c>
      <c r="N419" s="2">
        <v>140</v>
      </c>
      <c r="O419" s="2">
        <v>50</v>
      </c>
      <c r="P419" s="2">
        <v>30</v>
      </c>
      <c r="Q419" s="2">
        <v>150</v>
      </c>
      <c r="R419" s="238">
        <v>43584</v>
      </c>
      <c r="S419" s="219">
        <v>12</v>
      </c>
      <c r="T419" s="220">
        <f>SUM( tabConsumo[[#This Row],[QTD.PENDENTE]]:tabConsumo[[#This Row],[09_23]] ) / tabConsumo[[#This Row],[Div]]</f>
        <v>51.083333333333336</v>
      </c>
      <c r="U419" s="221">
        <f xml:space="preserve"> tabConsumo[[#This Row],[Média.A]] + (_xlfn.STDEV.S( tabConsumo[[#This Row],[QTD.PENDENTE]]:tabConsumo[[#This Row],[09_23]] ) * 1)</f>
        <v>101.56907989670117</v>
      </c>
      <c r="V419" s="221">
        <f xml:space="preserve"> tabConsumo[[#This Row],[Média.A]] + (_xlfn.STDEV.S( tabConsumo[[#This Row],[QTD.PENDENTE]]:tabConsumo[[#This Row],[09_23]] ) * 2)</f>
        <v>152.05482646006899</v>
      </c>
      <c r="W419" s="221">
        <f xml:space="preserve"> tabConsumo[[#This Row],[Média.A]] + (_xlfn.STDEV.S( tabConsumo[[#This Row],[QTD.PENDENTE]]:tabConsumo[[#This Row],[09_23]] ) * 3)</f>
        <v>202.54057302343682</v>
      </c>
      <c r="X419" s="5">
        <f t="shared" si="13"/>
        <v>2</v>
      </c>
      <c r="Y419">
        <v>51.083333333333336</v>
      </c>
      <c r="Z419" s="223">
        <f>SUM( tabConsumo[[#This Row],[QTD.PENDENTE]]:tabConsumo[[#This Row],[09_23]] )</f>
        <v>613</v>
      </c>
      <c r="AA419" s="223">
        <f>LARGE(tabConsumo[[#This Row],[10_22]:[09_23]],1)</f>
        <v>150</v>
      </c>
      <c r="AB419" s="146" t="s">
        <v>2238</v>
      </c>
      <c r="AC419" s="3" t="s">
        <v>2086</v>
      </c>
    </row>
    <row r="420" spans="1:29" x14ac:dyDescent="0.3">
      <c r="A420" s="4" t="s">
        <v>1952</v>
      </c>
      <c r="B420" s="3" t="s">
        <v>31</v>
      </c>
      <c r="C420" s="2">
        <v>136896</v>
      </c>
      <c r="D420" s="2">
        <v>27</v>
      </c>
      <c r="F420" s="2">
        <v>71</v>
      </c>
      <c r="G420" s="2">
        <v>35</v>
      </c>
      <c r="H420" s="2">
        <v>32</v>
      </c>
      <c r="I420" s="2">
        <v>65</v>
      </c>
      <c r="J420" s="2">
        <v>115</v>
      </c>
      <c r="K420" s="2">
        <v>42</v>
      </c>
      <c r="L420" s="2">
        <v>224</v>
      </c>
      <c r="M420" s="2">
        <v>0</v>
      </c>
      <c r="N420" s="2">
        <v>170</v>
      </c>
      <c r="O420" s="2">
        <v>150</v>
      </c>
      <c r="P420" s="2">
        <v>90</v>
      </c>
      <c r="Q420" s="2">
        <v>100</v>
      </c>
      <c r="R420" s="238">
        <v>43584</v>
      </c>
      <c r="S420" s="219">
        <v>12</v>
      </c>
      <c r="T420" s="220">
        <f>SUM( tabConsumo[[#This Row],[QTD.PENDENTE]]:tabConsumo[[#This Row],[09_23]] ) / tabConsumo[[#This Row],[Div]]</f>
        <v>91.166666666666671</v>
      </c>
      <c r="U420" s="221">
        <f xml:space="preserve"> tabConsumo[[#This Row],[Média.A]] + (_xlfn.STDEV.S( tabConsumo[[#This Row],[QTD.PENDENTE]]:tabConsumo[[#This Row],[09_23]] ) * 1)</f>
        <v>156.14475155035277</v>
      </c>
      <c r="V420" s="221">
        <f xml:space="preserve"> tabConsumo[[#This Row],[Média.A]] + (_xlfn.STDEV.S( tabConsumo[[#This Row],[QTD.PENDENTE]]:tabConsumo[[#This Row],[09_23]] ) * 2)</f>
        <v>221.12283643403885</v>
      </c>
      <c r="W420" s="221">
        <f xml:space="preserve"> tabConsumo[[#This Row],[Média.A]] + (_xlfn.STDEV.S( tabConsumo[[#This Row],[QTD.PENDENTE]]:tabConsumo[[#This Row],[09_23]] ) * 3)</f>
        <v>286.10092131772495</v>
      </c>
      <c r="X420" s="5">
        <f t="shared" si="13"/>
        <v>2</v>
      </c>
      <c r="Y420">
        <v>90.916666666666671</v>
      </c>
      <c r="Z420" s="223">
        <f>SUM( tabConsumo[[#This Row],[QTD.PENDENTE]]:tabConsumo[[#This Row],[09_23]] )</f>
        <v>1094</v>
      </c>
      <c r="AA420" s="223">
        <f>LARGE(tabConsumo[[#This Row],[10_22]:[09_23]],1)</f>
        <v>224</v>
      </c>
      <c r="AB420" s="146" t="s">
        <v>2238</v>
      </c>
      <c r="AC420" s="3" t="s">
        <v>2086</v>
      </c>
    </row>
    <row r="421" spans="1:29" x14ac:dyDescent="0.3">
      <c r="A421" s="4" t="s">
        <v>1880</v>
      </c>
      <c r="B421" s="3" t="s">
        <v>31</v>
      </c>
      <c r="C421" s="2">
        <v>134373</v>
      </c>
      <c r="D421" s="2">
        <v>0</v>
      </c>
      <c r="E421" s="2">
        <v>12</v>
      </c>
      <c r="F421" s="2">
        <v>550</v>
      </c>
      <c r="G421" s="2">
        <v>135</v>
      </c>
      <c r="H421" s="2">
        <v>400</v>
      </c>
      <c r="I421" s="2">
        <v>820</v>
      </c>
      <c r="J421" s="2">
        <v>475</v>
      </c>
      <c r="K421" s="2">
        <v>526</v>
      </c>
      <c r="L421" s="2">
        <v>925</v>
      </c>
      <c r="M421" s="2">
        <v>50</v>
      </c>
      <c r="N421" s="2">
        <v>375</v>
      </c>
      <c r="O421" s="2">
        <v>650</v>
      </c>
      <c r="P421" s="2">
        <v>660</v>
      </c>
      <c r="Q421" s="2">
        <v>238</v>
      </c>
      <c r="R421" s="238">
        <v>43154</v>
      </c>
      <c r="S421" s="219">
        <v>12</v>
      </c>
      <c r="T421" s="220">
        <f>SUM( tabConsumo[[#This Row],[QTD.PENDENTE]]:tabConsumo[[#This Row],[09_23]] ) / tabConsumo[[#This Row],[Div]]</f>
        <v>484.66666666666669</v>
      </c>
      <c r="U421" s="221">
        <f xml:space="preserve"> tabConsumo[[#This Row],[Média.A]] + (_xlfn.STDEV.S( tabConsumo[[#This Row],[QTD.PENDENTE]]:tabConsumo[[#This Row],[09_23]] ) * 1)</f>
        <v>768.54972312405675</v>
      </c>
      <c r="V421" s="221">
        <f xml:space="preserve"> tabConsumo[[#This Row],[Média.A]] + (_xlfn.STDEV.S( tabConsumo[[#This Row],[QTD.PENDENTE]]:tabConsumo[[#This Row],[09_23]] ) * 2)</f>
        <v>1052.432779581447</v>
      </c>
      <c r="W421" s="221">
        <f xml:space="preserve"> tabConsumo[[#This Row],[Média.A]] + (_xlfn.STDEV.S( tabConsumo[[#This Row],[QTD.PENDENTE]]:tabConsumo[[#This Row],[09_23]] ) * 3)</f>
        <v>1336.315836038837</v>
      </c>
      <c r="X421" s="5">
        <f t="shared" si="13"/>
        <v>2</v>
      </c>
      <c r="Y421">
        <v>484.66666666666669</v>
      </c>
      <c r="Z421" s="223">
        <f>SUM( tabConsumo[[#This Row],[QTD.PENDENTE]]:tabConsumo[[#This Row],[09_23]] )</f>
        <v>5816</v>
      </c>
      <c r="AA421" s="223">
        <f>LARGE(tabConsumo[[#This Row],[10_22]:[09_23]],1)</f>
        <v>925</v>
      </c>
      <c r="AB421" s="146" t="s">
        <v>2238</v>
      </c>
      <c r="AC421" s="3" t="s">
        <v>2086</v>
      </c>
    </row>
    <row r="422" spans="1:29" x14ac:dyDescent="0.3">
      <c r="A422" s="4" t="s">
        <v>1909</v>
      </c>
      <c r="B422" s="3" t="s">
        <v>31</v>
      </c>
      <c r="C422" s="2">
        <v>135088</v>
      </c>
      <c r="D422" s="2">
        <v>354</v>
      </c>
      <c r="F422" s="2">
        <v>50</v>
      </c>
      <c r="G422" s="2">
        <v>0</v>
      </c>
      <c r="H422" s="2">
        <v>75</v>
      </c>
      <c r="I422" s="2">
        <v>125</v>
      </c>
      <c r="J422" s="2">
        <v>3</v>
      </c>
      <c r="K422" s="2">
        <v>0</v>
      </c>
      <c r="L422" s="2">
        <v>0</v>
      </c>
      <c r="M422" s="2">
        <v>2</v>
      </c>
      <c r="N422" s="2">
        <v>2</v>
      </c>
      <c r="O422" s="2">
        <v>0</v>
      </c>
      <c r="P422" s="2">
        <v>0</v>
      </c>
      <c r="Q422" s="2">
        <v>0</v>
      </c>
      <c r="R422" s="238">
        <v>43238</v>
      </c>
      <c r="S422" s="219">
        <v>12</v>
      </c>
      <c r="T422" s="220">
        <f>SUM( tabConsumo[[#This Row],[QTD.PENDENTE]]:tabConsumo[[#This Row],[09_23]] ) / tabConsumo[[#This Row],[Div]]</f>
        <v>21.416666666666668</v>
      </c>
      <c r="U422" s="221">
        <f xml:space="preserve"> tabConsumo[[#This Row],[Média.A]] + (_xlfn.STDEV.S( tabConsumo[[#This Row],[QTD.PENDENTE]]:tabConsumo[[#This Row],[09_23]] ) * 1)</f>
        <v>62.163018055657943</v>
      </c>
      <c r="V422" s="221">
        <f xml:space="preserve"> tabConsumo[[#This Row],[Média.A]] + (_xlfn.STDEV.S( tabConsumo[[#This Row],[QTD.PENDENTE]]:tabConsumo[[#This Row],[09_23]] ) * 2)</f>
        <v>102.90936944464923</v>
      </c>
      <c r="W422" s="221">
        <f xml:space="preserve"> tabConsumo[[#This Row],[Média.A]] + (_xlfn.STDEV.S( tabConsumo[[#This Row],[QTD.PENDENTE]]:tabConsumo[[#This Row],[09_23]] ) * 3)</f>
        <v>143.65572083364049</v>
      </c>
      <c r="X422" s="5">
        <f t="shared" si="13"/>
        <v>2</v>
      </c>
      <c r="Y422">
        <v>19.5</v>
      </c>
      <c r="Z422" s="223">
        <f>SUM( tabConsumo[[#This Row],[QTD.PENDENTE]]:tabConsumo[[#This Row],[09_23]] )</f>
        <v>257</v>
      </c>
      <c r="AA422" s="223">
        <f>LARGE(tabConsumo[[#This Row],[10_22]:[09_23]],1)</f>
        <v>125</v>
      </c>
      <c r="AB422" s="146" t="s">
        <v>2246</v>
      </c>
      <c r="AC422" s="3" t="s">
        <v>2086</v>
      </c>
    </row>
    <row r="423" spans="1:29" x14ac:dyDescent="0.3">
      <c r="A423" s="4" t="s">
        <v>1830</v>
      </c>
      <c r="B423" s="3" t="s">
        <v>269</v>
      </c>
      <c r="C423" s="2">
        <v>132300</v>
      </c>
      <c r="D423" s="2">
        <v>3290</v>
      </c>
      <c r="E423" s="2">
        <v>10</v>
      </c>
      <c r="F423" s="2">
        <v>264</v>
      </c>
      <c r="G423" s="2">
        <v>294</v>
      </c>
      <c r="H423" s="2">
        <v>174</v>
      </c>
      <c r="I423" s="2">
        <v>90</v>
      </c>
      <c r="J423" s="2">
        <v>217</v>
      </c>
      <c r="K423" s="2">
        <v>9919</v>
      </c>
      <c r="L423" s="2">
        <v>211</v>
      </c>
      <c r="M423" s="2">
        <v>211</v>
      </c>
      <c r="N423" s="2">
        <v>274</v>
      </c>
      <c r="O423" s="2">
        <v>341</v>
      </c>
      <c r="P423" s="2">
        <v>293</v>
      </c>
      <c r="Q423" s="2">
        <v>227</v>
      </c>
      <c r="R423" s="238">
        <v>42685</v>
      </c>
      <c r="S423" s="219">
        <v>12</v>
      </c>
      <c r="T423" s="220">
        <f>SUM( tabConsumo[[#This Row],[QTD.PENDENTE]]:tabConsumo[[#This Row],[09_23]] ) / tabConsumo[[#This Row],[Div]]</f>
        <v>1043.75</v>
      </c>
      <c r="U423" s="221">
        <f xml:space="preserve"> tabConsumo[[#This Row],[Média.A]] + (_xlfn.STDEV.S( tabConsumo[[#This Row],[QTD.PENDENTE]]:tabConsumo[[#This Row],[09_23]] ) * 1)</f>
        <v>3736.0024527300125</v>
      </c>
      <c r="V423" s="221">
        <f xml:space="preserve"> tabConsumo[[#This Row],[Média.A]] + (_xlfn.STDEV.S( tabConsumo[[#This Row],[QTD.PENDENTE]]:tabConsumo[[#This Row],[09_23]] ) * 2)</f>
        <v>6428.2549054600249</v>
      </c>
      <c r="W423" s="221">
        <f xml:space="preserve"> tabConsumo[[#This Row],[Média.A]] + (_xlfn.STDEV.S( tabConsumo[[#This Row],[QTD.PENDENTE]]:tabConsumo[[#This Row],[09_23]] ) * 3)</f>
        <v>9120.5073581900378</v>
      </c>
      <c r="X423" s="5">
        <f t="shared" si="13"/>
        <v>2</v>
      </c>
      <c r="Y423">
        <v>752.83333333333337</v>
      </c>
      <c r="Z423" s="223">
        <f>SUM( tabConsumo[[#This Row],[QTD.PENDENTE]]:tabConsumo[[#This Row],[09_23]] )</f>
        <v>12525</v>
      </c>
      <c r="AA423" s="223">
        <f>LARGE(tabConsumo[[#This Row],[10_22]:[09_23]],1)</f>
        <v>9919</v>
      </c>
      <c r="AB423" s="146" t="s">
        <v>2238</v>
      </c>
      <c r="AC423" s="3" t="s">
        <v>2086</v>
      </c>
    </row>
    <row r="424" spans="1:29" x14ac:dyDescent="0.3">
      <c r="A424" s="4" t="s">
        <v>1910</v>
      </c>
      <c r="B424" s="3" t="s">
        <v>269</v>
      </c>
      <c r="C424" s="2">
        <v>135297</v>
      </c>
      <c r="D424" s="2">
        <v>1472</v>
      </c>
      <c r="E424" s="2">
        <v>29</v>
      </c>
      <c r="F424" s="2">
        <v>130</v>
      </c>
      <c r="G424" s="2">
        <v>176</v>
      </c>
      <c r="H424" s="2">
        <v>53</v>
      </c>
      <c r="I424" s="2">
        <v>75</v>
      </c>
      <c r="J424" s="2">
        <v>0</v>
      </c>
      <c r="K424" s="2">
        <v>12925</v>
      </c>
      <c r="L424" s="2">
        <v>69</v>
      </c>
      <c r="M424" s="2">
        <v>99</v>
      </c>
      <c r="N424" s="2">
        <v>122</v>
      </c>
      <c r="O424" s="2">
        <v>110</v>
      </c>
      <c r="P424" s="2">
        <v>141</v>
      </c>
      <c r="Q424" s="2">
        <v>120</v>
      </c>
      <c r="R424" s="238">
        <v>43277</v>
      </c>
      <c r="S424" s="219">
        <v>12</v>
      </c>
      <c r="T424" s="220">
        <f>SUM( tabConsumo[[#This Row],[QTD.PENDENTE]]:tabConsumo[[#This Row],[09_23]] ) / tabConsumo[[#This Row],[Div]]</f>
        <v>1170.75</v>
      </c>
      <c r="U424" s="221">
        <f xml:space="preserve"> tabConsumo[[#This Row],[Média.A]] + (_xlfn.STDEV.S( tabConsumo[[#This Row],[QTD.PENDENTE]]:tabConsumo[[#This Row],[09_23]] ) * 1)</f>
        <v>4729.8458211465122</v>
      </c>
      <c r="V424" s="221">
        <f xml:space="preserve"> tabConsumo[[#This Row],[Média.A]] + (_xlfn.STDEV.S( tabConsumo[[#This Row],[QTD.PENDENTE]]:tabConsumo[[#This Row],[09_23]] ) * 2)</f>
        <v>8288.9416422930244</v>
      </c>
      <c r="W424" s="221">
        <f xml:space="preserve"> tabConsumo[[#This Row],[Média.A]] + (_xlfn.STDEV.S( tabConsumo[[#This Row],[QTD.PENDENTE]]:tabConsumo[[#This Row],[09_23]] ) * 3)</f>
        <v>11848.037463439538</v>
      </c>
      <c r="X424" s="5">
        <f t="shared" si="13"/>
        <v>2</v>
      </c>
      <c r="Y424">
        <v>784.33333333333337</v>
      </c>
      <c r="Z424" s="223">
        <f>SUM( tabConsumo[[#This Row],[QTD.PENDENTE]]:tabConsumo[[#This Row],[09_23]] )</f>
        <v>14049</v>
      </c>
      <c r="AA424" s="223">
        <f>LARGE(tabConsumo[[#This Row],[10_22]:[09_23]],1)</f>
        <v>12925</v>
      </c>
      <c r="AB424" s="146" t="s">
        <v>2238</v>
      </c>
      <c r="AC424" s="3" t="s">
        <v>2086</v>
      </c>
    </row>
    <row r="425" spans="1:29" x14ac:dyDescent="0.3">
      <c r="A425" s="4" t="s">
        <v>1975</v>
      </c>
      <c r="B425" s="3" t="s">
        <v>1973</v>
      </c>
      <c r="C425" s="2">
        <v>138463</v>
      </c>
      <c r="D425" s="2">
        <v>22837</v>
      </c>
      <c r="E425" s="2">
        <v>71</v>
      </c>
      <c r="F425" s="2">
        <v>485</v>
      </c>
      <c r="G425" s="2">
        <v>408</v>
      </c>
      <c r="H425" s="2">
        <v>166</v>
      </c>
      <c r="I425" s="2">
        <v>139</v>
      </c>
      <c r="J425" s="2">
        <v>8245</v>
      </c>
      <c r="K425" s="2">
        <v>13385</v>
      </c>
      <c r="L425" s="2">
        <v>593</v>
      </c>
      <c r="M425" s="2">
        <v>364</v>
      </c>
      <c r="N425" s="2">
        <v>388</v>
      </c>
      <c r="O425" s="2">
        <v>366</v>
      </c>
      <c r="P425" s="2">
        <v>453</v>
      </c>
      <c r="Q425" s="2">
        <v>368</v>
      </c>
      <c r="R425" s="238">
        <v>43720</v>
      </c>
      <c r="S425" s="219">
        <v>12</v>
      </c>
      <c r="T425" s="220">
        <f>SUM( tabConsumo[[#This Row],[QTD.PENDENTE]]:tabConsumo[[#This Row],[09_23]] ) / tabConsumo[[#This Row],[Div]]</f>
        <v>2119.25</v>
      </c>
      <c r="U425" s="221">
        <f xml:space="preserve"> tabConsumo[[#This Row],[Média.A]] + (_xlfn.STDEV.S( tabConsumo[[#This Row],[QTD.PENDENTE]]:tabConsumo[[#This Row],[09_23]] ) * 1)</f>
        <v>6191.0251074489643</v>
      </c>
      <c r="V425" s="221">
        <f xml:space="preserve"> tabConsumo[[#This Row],[Média.A]] + (_xlfn.STDEV.S( tabConsumo[[#This Row],[QTD.PENDENTE]]:tabConsumo[[#This Row],[09_23]] ) * 2)</f>
        <v>10262.800214897929</v>
      </c>
      <c r="W425" s="221">
        <f xml:space="preserve"> tabConsumo[[#This Row],[Média.A]] + (_xlfn.STDEV.S( tabConsumo[[#This Row],[QTD.PENDENTE]]:tabConsumo[[#This Row],[09_23]] ) * 3)</f>
        <v>14334.575322346893</v>
      </c>
      <c r="X425" s="5">
        <f t="shared" si="13"/>
        <v>2</v>
      </c>
      <c r="Y425">
        <v>1859</v>
      </c>
      <c r="Z425" s="223">
        <f>SUM( tabConsumo[[#This Row],[QTD.PENDENTE]]:tabConsumo[[#This Row],[09_23]] )</f>
        <v>25431</v>
      </c>
      <c r="AA425" s="223">
        <f>LARGE(tabConsumo[[#This Row],[10_22]:[09_23]],1)</f>
        <v>13385</v>
      </c>
      <c r="AB425" s="146" t="s">
        <v>2238</v>
      </c>
      <c r="AC425" s="3" t="s">
        <v>2086</v>
      </c>
    </row>
    <row r="426" spans="1:29" x14ac:dyDescent="0.3">
      <c r="A426" s="4" t="s">
        <v>1976</v>
      </c>
      <c r="B426" s="3" t="s">
        <v>31</v>
      </c>
      <c r="C426" s="2">
        <v>138464</v>
      </c>
      <c r="D426" s="2">
        <v>60190</v>
      </c>
      <c r="E426" s="2">
        <v>155</v>
      </c>
      <c r="F426" s="2">
        <v>5505</v>
      </c>
      <c r="G426" s="2">
        <v>6268</v>
      </c>
      <c r="H426" s="2">
        <v>3056</v>
      </c>
      <c r="I426" s="2">
        <v>471</v>
      </c>
      <c r="J426" s="2">
        <v>5228</v>
      </c>
      <c r="K426" s="2">
        <v>14402</v>
      </c>
      <c r="L426" s="2">
        <v>5318</v>
      </c>
      <c r="M426" s="2">
        <v>4895</v>
      </c>
      <c r="N426" s="2">
        <v>4763</v>
      </c>
      <c r="O426" s="2">
        <v>4754</v>
      </c>
      <c r="P426" s="2">
        <v>5920</v>
      </c>
      <c r="Q426" s="2">
        <v>4814</v>
      </c>
      <c r="R426" s="238">
        <v>43720</v>
      </c>
      <c r="S426" s="219">
        <v>12</v>
      </c>
      <c r="T426" s="220">
        <f>SUM( tabConsumo[[#This Row],[QTD.PENDENTE]]:tabConsumo[[#This Row],[09_23]] ) / tabConsumo[[#This Row],[Div]]</f>
        <v>5462.416666666667</v>
      </c>
      <c r="U426" s="221">
        <f xml:space="preserve"> tabConsumo[[#This Row],[Média.A]] + (_xlfn.STDEV.S( tabConsumo[[#This Row],[QTD.PENDENTE]]:tabConsumo[[#This Row],[09_23]] ) * 1)</f>
        <v>8867.8545277413668</v>
      </c>
      <c r="V426" s="221">
        <f xml:space="preserve"> tabConsumo[[#This Row],[Média.A]] + (_xlfn.STDEV.S( tabConsumo[[#This Row],[QTD.PENDENTE]]:tabConsumo[[#This Row],[09_23]] ) * 2)</f>
        <v>12273.292388816066</v>
      </c>
      <c r="W426" s="221">
        <f xml:space="preserve"> tabConsumo[[#This Row],[Média.A]] + (_xlfn.STDEV.S( tabConsumo[[#This Row],[QTD.PENDENTE]]:tabConsumo[[#This Row],[09_23]] ) * 3)</f>
        <v>15678.730249890767</v>
      </c>
      <c r="X426" s="5">
        <f t="shared" si="13"/>
        <v>2</v>
      </c>
      <c r="Y426">
        <v>5285</v>
      </c>
      <c r="Z426" s="223">
        <f>SUM( tabConsumo[[#This Row],[QTD.PENDENTE]]:tabConsumo[[#This Row],[09_23]] )</f>
        <v>65549</v>
      </c>
      <c r="AA426" s="223">
        <f>LARGE(tabConsumo[[#This Row],[10_22]:[09_23]],1)</f>
        <v>14402</v>
      </c>
      <c r="AB426" s="146" t="s">
        <v>2238</v>
      </c>
      <c r="AC426" s="3" t="s">
        <v>2086</v>
      </c>
    </row>
    <row r="427" spans="1:29" x14ac:dyDescent="0.3">
      <c r="A427" s="4" t="s">
        <v>1819</v>
      </c>
      <c r="B427" s="3" t="s">
        <v>31</v>
      </c>
      <c r="C427" s="2">
        <v>131927</v>
      </c>
      <c r="D427" s="2">
        <v>0</v>
      </c>
      <c r="E427" s="2">
        <v>495</v>
      </c>
      <c r="F427" s="2">
        <v>255</v>
      </c>
      <c r="G427" s="2">
        <v>278</v>
      </c>
      <c r="H427" s="2">
        <v>493</v>
      </c>
      <c r="I427" s="2">
        <v>203</v>
      </c>
      <c r="J427" s="2">
        <v>223</v>
      </c>
      <c r="K427" s="2">
        <v>3575</v>
      </c>
      <c r="L427" s="2">
        <v>15</v>
      </c>
      <c r="M427" s="2">
        <v>0</v>
      </c>
      <c r="N427" s="2">
        <v>76</v>
      </c>
      <c r="O427" s="2">
        <v>0</v>
      </c>
      <c r="P427" s="2">
        <v>0</v>
      </c>
      <c r="Q427" s="2">
        <v>0</v>
      </c>
      <c r="R427" s="238">
        <v>42590</v>
      </c>
      <c r="S427" s="219">
        <v>12</v>
      </c>
      <c r="T427" s="220">
        <f>SUM( tabConsumo[[#This Row],[QTD.PENDENTE]]:tabConsumo[[#This Row],[09_23]] ) / tabConsumo[[#This Row],[Div]]</f>
        <v>467.75</v>
      </c>
      <c r="U427" s="221">
        <f xml:space="preserve"> tabConsumo[[#This Row],[Média.A]] + (_xlfn.STDEV.S( tabConsumo[[#This Row],[QTD.PENDENTE]]:tabConsumo[[#This Row],[09_23]] ) * 1)</f>
        <v>1428.8442681692013</v>
      </c>
      <c r="V427" s="221">
        <f xml:space="preserve"> tabConsumo[[#This Row],[Média.A]] + (_xlfn.STDEV.S( tabConsumo[[#This Row],[QTD.PENDENTE]]:tabConsumo[[#This Row],[09_23]] ) * 2)</f>
        <v>2389.9385363384026</v>
      </c>
      <c r="W427" s="221">
        <f xml:space="preserve"> tabConsumo[[#This Row],[Média.A]] + (_xlfn.STDEV.S( tabConsumo[[#This Row],[QTD.PENDENTE]]:tabConsumo[[#This Row],[09_23]] ) * 3)</f>
        <v>3351.0328045076035</v>
      </c>
      <c r="X427" s="5">
        <f t="shared" si="13"/>
        <v>2</v>
      </c>
      <c r="Y427">
        <v>368.91666666666669</v>
      </c>
      <c r="Z427" s="223">
        <f>SUM( tabConsumo[[#This Row],[QTD.PENDENTE]]:tabConsumo[[#This Row],[09_23]] )</f>
        <v>5613</v>
      </c>
      <c r="AA427" s="223">
        <f>LARGE(tabConsumo[[#This Row],[10_22]:[09_23]],1)</f>
        <v>3575</v>
      </c>
      <c r="AB427" s="146" t="s">
        <v>2246</v>
      </c>
      <c r="AC427" s="3" t="s">
        <v>2086</v>
      </c>
    </row>
    <row r="428" spans="1:29" x14ac:dyDescent="0.3">
      <c r="A428" s="4" t="s">
        <v>1818</v>
      </c>
      <c r="B428" s="3" t="s">
        <v>31</v>
      </c>
      <c r="C428" s="2">
        <v>131926</v>
      </c>
      <c r="D428" s="2">
        <v>9440</v>
      </c>
      <c r="E428" s="2">
        <v>662</v>
      </c>
      <c r="F428" s="2">
        <v>0</v>
      </c>
      <c r="G428" s="2">
        <v>58</v>
      </c>
      <c r="H428" s="2">
        <v>0</v>
      </c>
      <c r="I428" s="2">
        <v>0</v>
      </c>
      <c r="J428" s="2">
        <v>0</v>
      </c>
      <c r="K428" s="2">
        <v>0</v>
      </c>
      <c r="L428" s="2">
        <v>0</v>
      </c>
      <c r="M428" s="2">
        <v>0</v>
      </c>
      <c r="N428" s="2">
        <v>137</v>
      </c>
      <c r="O428" s="2">
        <v>466</v>
      </c>
      <c r="P428" s="2">
        <v>673</v>
      </c>
      <c r="Q428" s="2">
        <v>728</v>
      </c>
      <c r="R428" s="238">
        <v>42590</v>
      </c>
      <c r="S428" s="219">
        <v>12</v>
      </c>
      <c r="T428" s="220">
        <f>SUM( tabConsumo[[#This Row],[QTD.PENDENTE]]:tabConsumo[[#This Row],[09_23]] ) / tabConsumo[[#This Row],[Div]]</f>
        <v>227</v>
      </c>
      <c r="U428" s="221">
        <f xml:space="preserve"> tabConsumo[[#This Row],[Média.A]] + (_xlfn.STDEV.S( tabConsumo[[#This Row],[QTD.PENDENTE]]:tabConsumo[[#This Row],[09_23]] ) * 1)</f>
        <v>528.33912661778459</v>
      </c>
      <c r="V428" s="221">
        <f xml:space="preserve"> tabConsumo[[#This Row],[Média.A]] + (_xlfn.STDEV.S( tabConsumo[[#This Row],[QTD.PENDENTE]]:tabConsumo[[#This Row],[09_23]] ) * 2)</f>
        <v>829.67825323556929</v>
      </c>
      <c r="W428" s="221">
        <f xml:space="preserve"> tabConsumo[[#This Row],[Média.A]] + (_xlfn.STDEV.S( tabConsumo[[#This Row],[QTD.PENDENTE]]:tabConsumo[[#This Row],[09_23]] ) * 3)</f>
        <v>1131.017379853354</v>
      </c>
      <c r="X428" s="5">
        <f t="shared" si="13"/>
        <v>2</v>
      </c>
      <c r="Y428">
        <v>227</v>
      </c>
      <c r="Z428" s="223">
        <f>SUM( tabConsumo[[#This Row],[QTD.PENDENTE]]:tabConsumo[[#This Row],[09_23]] )</f>
        <v>2724</v>
      </c>
      <c r="AA428" s="223">
        <f>LARGE(tabConsumo[[#This Row],[10_22]:[09_23]],1)</f>
        <v>728</v>
      </c>
      <c r="AB428" s="146" t="s">
        <v>2238</v>
      </c>
      <c r="AC428" s="3" t="s">
        <v>2086</v>
      </c>
    </row>
    <row r="429" spans="1:29" x14ac:dyDescent="0.3">
      <c r="A429" s="4" t="s">
        <v>2027</v>
      </c>
      <c r="B429" s="3" t="s">
        <v>31</v>
      </c>
      <c r="C429" s="2">
        <v>140283</v>
      </c>
      <c r="D429" s="2">
        <v>0</v>
      </c>
      <c r="F429" s="2">
        <v>2</v>
      </c>
      <c r="G429" s="2">
        <v>1</v>
      </c>
      <c r="H429" s="2">
        <v>2</v>
      </c>
      <c r="I429" s="2">
        <v>5</v>
      </c>
      <c r="J429" s="2">
        <v>12</v>
      </c>
      <c r="K429" s="2">
        <v>3</v>
      </c>
      <c r="L429" s="2">
        <v>13</v>
      </c>
      <c r="M429" s="2">
        <v>1</v>
      </c>
      <c r="N429" s="2">
        <v>0</v>
      </c>
      <c r="O429" s="2">
        <v>0</v>
      </c>
      <c r="P429" s="2">
        <v>0</v>
      </c>
      <c r="Q429" s="2">
        <v>0</v>
      </c>
      <c r="R429" s="238">
        <v>44155</v>
      </c>
      <c r="S429" s="219">
        <v>12</v>
      </c>
      <c r="T429" s="220">
        <f>SUM( tabConsumo[[#This Row],[QTD.PENDENTE]]:tabConsumo[[#This Row],[09_23]] ) / tabConsumo[[#This Row],[Div]]</f>
        <v>3.25</v>
      </c>
      <c r="U429" s="221">
        <f xml:space="preserve"> tabConsumo[[#This Row],[Média.A]] + (_xlfn.STDEV.S( tabConsumo[[#This Row],[QTD.PENDENTE]]:tabConsumo[[#This Row],[09_23]] ) * 1)</f>
        <v>7.825130400526108</v>
      </c>
      <c r="V429" s="221">
        <f xml:space="preserve"> tabConsumo[[#This Row],[Média.A]] + (_xlfn.STDEV.S( tabConsumo[[#This Row],[QTD.PENDENTE]]:tabConsumo[[#This Row],[09_23]] ) * 2)</f>
        <v>12.400260801052216</v>
      </c>
      <c r="W429" s="221">
        <f xml:space="preserve"> tabConsumo[[#This Row],[Média.A]] + (_xlfn.STDEV.S( tabConsumo[[#This Row],[QTD.PENDENTE]]:tabConsumo[[#This Row],[09_23]] ) * 3)</f>
        <v>16.975391201578326</v>
      </c>
      <c r="X429" s="5">
        <f t="shared" si="13"/>
        <v>2</v>
      </c>
      <c r="Y429">
        <v>3.1666666666666665</v>
      </c>
      <c r="Z429" s="223">
        <f>SUM( tabConsumo[[#This Row],[QTD.PENDENTE]]:tabConsumo[[#This Row],[09_23]] )</f>
        <v>39</v>
      </c>
      <c r="AA429" s="223">
        <f>LARGE(tabConsumo[[#This Row],[10_22]:[09_23]],1)</f>
        <v>13</v>
      </c>
      <c r="AB429" s="146" t="s">
        <v>2244</v>
      </c>
      <c r="AC429" s="3" t="s">
        <v>2086</v>
      </c>
    </row>
    <row r="430" spans="1:29" x14ac:dyDescent="0.3">
      <c r="A430" s="4" t="s">
        <v>1839</v>
      </c>
      <c r="B430" s="3" t="s">
        <v>31</v>
      </c>
      <c r="C430" s="2">
        <v>132624</v>
      </c>
      <c r="D430" s="2">
        <v>89</v>
      </c>
      <c r="F430" s="2">
        <v>0</v>
      </c>
      <c r="G430" s="2">
        <v>2</v>
      </c>
      <c r="H430" s="2">
        <v>0</v>
      </c>
      <c r="I430" s="2">
        <v>4</v>
      </c>
      <c r="J430" s="2">
        <v>0</v>
      </c>
      <c r="K430" s="2">
        <v>1</v>
      </c>
      <c r="L430" s="2">
        <v>0</v>
      </c>
      <c r="M430" s="2">
        <v>1</v>
      </c>
      <c r="N430" s="2">
        <v>1</v>
      </c>
      <c r="O430" s="2">
        <v>0</v>
      </c>
      <c r="P430" s="2">
        <v>2</v>
      </c>
      <c r="Q430" s="2">
        <v>0</v>
      </c>
      <c r="R430" s="238">
        <v>42850</v>
      </c>
      <c r="S430" s="219">
        <v>12</v>
      </c>
      <c r="T430" s="220">
        <f>SUM( tabConsumo[[#This Row],[QTD.PENDENTE]]:tabConsumo[[#This Row],[09_23]] ) / tabConsumo[[#This Row],[Div]]</f>
        <v>0.91666666666666663</v>
      </c>
      <c r="U430" s="221">
        <f xml:space="preserve"> tabConsumo[[#This Row],[Média.A]] + (_xlfn.STDEV.S( tabConsumo[[#This Row],[QTD.PENDENTE]]:tabConsumo[[#This Row],[09_23]] ) * 1)</f>
        <v>2.1567790760388119</v>
      </c>
      <c r="V430" s="221">
        <f xml:space="preserve"> tabConsumo[[#This Row],[Média.A]] + (_xlfn.STDEV.S( tabConsumo[[#This Row],[QTD.PENDENTE]]:tabConsumo[[#This Row],[09_23]] ) * 2)</f>
        <v>3.3968914854109573</v>
      </c>
      <c r="W430" s="221">
        <f xml:space="preserve"> tabConsumo[[#This Row],[Média.A]] + (_xlfn.STDEV.S( tabConsumo[[#This Row],[QTD.PENDENTE]]:tabConsumo[[#This Row],[09_23]] ) * 3)</f>
        <v>4.6370038947831027</v>
      </c>
      <c r="X430" s="5">
        <f t="shared" si="13"/>
        <v>2</v>
      </c>
      <c r="Y430">
        <v>0.83333333333333337</v>
      </c>
      <c r="Z430" s="223">
        <f>SUM( tabConsumo[[#This Row],[QTD.PENDENTE]]:tabConsumo[[#This Row],[09_23]] )</f>
        <v>11</v>
      </c>
      <c r="AA430" s="223">
        <f>LARGE(tabConsumo[[#This Row],[10_22]:[09_23]],1)</f>
        <v>4</v>
      </c>
      <c r="AB430" s="146" t="s">
        <v>2241</v>
      </c>
      <c r="AC430" s="3" t="s">
        <v>2086</v>
      </c>
    </row>
    <row r="431" spans="1:29" x14ac:dyDescent="0.3">
      <c r="A431" s="4" t="s">
        <v>902</v>
      </c>
      <c r="B431" s="3" t="s">
        <v>320</v>
      </c>
      <c r="C431" s="2">
        <v>10359</v>
      </c>
      <c r="D431" s="2">
        <v>267</v>
      </c>
      <c r="F431" s="2">
        <v>200</v>
      </c>
      <c r="G431" s="2">
        <v>172</v>
      </c>
      <c r="H431" s="2">
        <v>218</v>
      </c>
      <c r="I431" s="2">
        <v>243</v>
      </c>
      <c r="J431" s="2">
        <v>178</v>
      </c>
      <c r="K431" s="2">
        <v>237</v>
      </c>
      <c r="L431" s="2">
        <v>239</v>
      </c>
      <c r="M431" s="2">
        <v>260</v>
      </c>
      <c r="N431" s="2">
        <v>235</v>
      </c>
      <c r="O431" s="2">
        <v>216</v>
      </c>
      <c r="P431" s="2">
        <v>262</v>
      </c>
      <c r="Q431" s="2">
        <v>238</v>
      </c>
      <c r="R431" s="238">
        <v>367</v>
      </c>
      <c r="S431" s="219">
        <f xml:space="preserve"> 12</f>
        <v>12</v>
      </c>
      <c r="T431" s="220">
        <f>SUM( tabConsumo[[#This Row],[QTD.PENDENTE]]:tabConsumo[[#This Row],[09_23]] ) / tabConsumo[[#This Row],[Div]]</f>
        <v>224.83333333333334</v>
      </c>
      <c r="U431" s="221">
        <f xml:space="preserve"> tabConsumo[[#This Row],[Média.A]] + (_xlfn.STDEV.S( tabConsumo[[#This Row],[QTD.PENDENTE]]:tabConsumo[[#This Row],[09_23]] ) * 1)</f>
        <v>253.90951331668464</v>
      </c>
      <c r="V431" s="221">
        <f xml:space="preserve"> tabConsumo[[#This Row],[Média.A]] + (_xlfn.STDEV.S( tabConsumo[[#This Row],[QTD.PENDENTE]]:tabConsumo[[#This Row],[09_23]] ) * 2)</f>
        <v>282.98569330003596</v>
      </c>
      <c r="W431" s="221">
        <f xml:space="preserve"> tabConsumo[[#This Row],[Média.A]] + (_xlfn.STDEV.S( tabConsumo[[#This Row],[QTD.PENDENTE]]:tabConsumo[[#This Row],[09_23]] ) * 3)</f>
        <v>312.06187328338729</v>
      </c>
      <c r="X431" s="5">
        <f t="shared" si="13"/>
        <v>2</v>
      </c>
      <c r="Y431">
        <v>224.83333333333334</v>
      </c>
      <c r="Z431" s="223">
        <f>SUM( tabConsumo[[#This Row],[QTD.PENDENTE]]:tabConsumo[[#This Row],[09_23]] )</f>
        <v>2698</v>
      </c>
      <c r="AA431" s="223">
        <f>LARGE(tabConsumo[[#This Row],[10_22]:[09_23]],1)</f>
        <v>262</v>
      </c>
      <c r="AB431" s="146" t="s">
        <v>2238</v>
      </c>
      <c r="AC431" s="3" t="s">
        <v>2086</v>
      </c>
    </row>
    <row r="432" spans="1:29" x14ac:dyDescent="0.3">
      <c r="A432" s="4" t="s">
        <v>891</v>
      </c>
      <c r="B432" s="3" t="s">
        <v>260</v>
      </c>
      <c r="C432" s="2">
        <v>4680</v>
      </c>
      <c r="D432" s="2">
        <v>21196</v>
      </c>
      <c r="E432" s="2">
        <v>44</v>
      </c>
      <c r="F432" s="2">
        <v>1781</v>
      </c>
      <c r="G432" s="2">
        <v>1754</v>
      </c>
      <c r="H432" s="2">
        <v>1378</v>
      </c>
      <c r="I432" s="2">
        <v>303</v>
      </c>
      <c r="J432" s="2">
        <v>1316</v>
      </c>
      <c r="K432" s="2">
        <v>2517</v>
      </c>
      <c r="L432" s="2">
        <v>1508</v>
      </c>
      <c r="M432" s="2">
        <v>2019</v>
      </c>
      <c r="N432" s="2">
        <v>2078</v>
      </c>
      <c r="O432" s="2">
        <v>1881</v>
      </c>
      <c r="P432" s="2">
        <v>2320</v>
      </c>
      <c r="Q432" s="2">
        <v>2111</v>
      </c>
      <c r="R432" s="238">
        <v>367</v>
      </c>
      <c r="S432" s="219">
        <f xml:space="preserve"> 12</f>
        <v>12</v>
      </c>
      <c r="T432" s="220">
        <f>SUM( tabConsumo[[#This Row],[QTD.PENDENTE]]:tabConsumo[[#This Row],[09_23]] ) / tabConsumo[[#This Row],[Div]]</f>
        <v>1750.8333333333333</v>
      </c>
      <c r="U432" s="221">
        <f xml:space="preserve"> tabConsumo[[#This Row],[Média.A]] + (_xlfn.STDEV.S( tabConsumo[[#This Row],[QTD.PENDENTE]]:tabConsumo[[#This Row],[09_23]] ) * 1)</f>
        <v>2481.0302070317725</v>
      </c>
      <c r="V432" s="221">
        <f xml:space="preserve"> tabConsumo[[#This Row],[Média.A]] + (_xlfn.STDEV.S( tabConsumo[[#This Row],[QTD.PENDENTE]]:tabConsumo[[#This Row],[09_23]] ) * 2)</f>
        <v>3211.227080730212</v>
      </c>
      <c r="W432" s="221">
        <f xml:space="preserve"> tabConsumo[[#This Row],[Média.A]] + (_xlfn.STDEV.S( tabConsumo[[#This Row],[QTD.PENDENTE]]:tabConsumo[[#This Row],[09_23]] ) * 3)</f>
        <v>3941.4239544286511</v>
      </c>
      <c r="X432" s="5">
        <f t="shared" si="13"/>
        <v>2</v>
      </c>
      <c r="Y432">
        <v>1750.8333333333333</v>
      </c>
      <c r="Z432" s="223">
        <f>SUM( tabConsumo[[#This Row],[QTD.PENDENTE]]:tabConsumo[[#This Row],[09_23]] )</f>
        <v>21010</v>
      </c>
      <c r="AA432" s="223">
        <f>LARGE(tabConsumo[[#This Row],[10_22]:[09_23]],1)</f>
        <v>2517</v>
      </c>
      <c r="AB432" s="146" t="s">
        <v>2238</v>
      </c>
      <c r="AC432" s="3" t="s">
        <v>2086</v>
      </c>
    </row>
    <row r="433" spans="1:29" x14ac:dyDescent="0.3">
      <c r="A433" s="4" t="s">
        <v>259</v>
      </c>
      <c r="B433" s="3" t="s">
        <v>260</v>
      </c>
      <c r="C433" s="2">
        <v>2278</v>
      </c>
      <c r="D433" s="2">
        <v>208</v>
      </c>
      <c r="F433" s="2">
        <v>1</v>
      </c>
      <c r="G433" s="2">
        <v>0</v>
      </c>
      <c r="H433" s="2">
        <v>0</v>
      </c>
      <c r="I433" s="2">
        <v>0</v>
      </c>
      <c r="J433" s="2">
        <v>0</v>
      </c>
      <c r="K433" s="2">
        <v>0</v>
      </c>
      <c r="L433" s="2">
        <v>0</v>
      </c>
      <c r="M433" s="2">
        <v>0</v>
      </c>
      <c r="N433" s="2">
        <v>0</v>
      </c>
      <c r="O433" s="2">
        <v>0</v>
      </c>
      <c r="P433" s="2">
        <v>0</v>
      </c>
      <c r="Q433" s="2">
        <v>0</v>
      </c>
      <c r="R433" s="238">
        <v>367</v>
      </c>
      <c r="S433" s="219">
        <f xml:space="preserve"> 12</f>
        <v>12</v>
      </c>
      <c r="T433" s="220">
        <f>SUM( tabConsumo[[#This Row],[QTD.PENDENTE]]:tabConsumo[[#This Row],[09_23]] ) / tabConsumo[[#This Row],[Div]]</f>
        <v>8.3333333333333329E-2</v>
      </c>
      <c r="U433" s="221">
        <f xml:space="preserve"> tabConsumo[[#This Row],[Média.A]] + (_xlfn.STDEV.S( tabConsumo[[#This Row],[QTD.PENDENTE]]:tabConsumo[[#This Row],[09_23]] ) * 1)</f>
        <v>0.37200846792814618</v>
      </c>
      <c r="V433" s="221">
        <f xml:space="preserve"> tabConsumo[[#This Row],[Média.A]] + (_xlfn.STDEV.S( tabConsumo[[#This Row],[QTD.PENDENTE]]:tabConsumo[[#This Row],[09_23]] ) * 2)</f>
        <v>0.6606836025229591</v>
      </c>
      <c r="W433" s="221">
        <f xml:space="preserve"> tabConsumo[[#This Row],[Média.A]] + (_xlfn.STDEV.S( tabConsumo[[#This Row],[QTD.PENDENTE]]:tabConsumo[[#This Row],[09_23]] ) * 3)</f>
        <v>0.94935873711777197</v>
      </c>
      <c r="X433" s="5">
        <f t="shared" si="13"/>
        <v>2</v>
      </c>
      <c r="Y433">
        <v>0</v>
      </c>
      <c r="Z433" s="223">
        <f>SUM( tabConsumo[[#This Row],[QTD.PENDENTE]]:tabConsumo[[#This Row],[09_23]] )</f>
        <v>1</v>
      </c>
      <c r="AA433" s="223">
        <f>LARGE(tabConsumo[[#This Row],[10_22]:[09_23]],1)</f>
        <v>1</v>
      </c>
      <c r="AB433" s="146" t="s">
        <v>2242</v>
      </c>
      <c r="AC433" s="3" t="s">
        <v>2086</v>
      </c>
    </row>
    <row r="434" spans="1:29" x14ac:dyDescent="0.3">
      <c r="A434" s="4" t="s">
        <v>1858</v>
      </c>
      <c r="B434" s="3" t="s">
        <v>31</v>
      </c>
      <c r="C434" s="2">
        <v>133451</v>
      </c>
      <c r="D434" s="2">
        <v>2195</v>
      </c>
      <c r="F434" s="2">
        <v>347</v>
      </c>
      <c r="G434" s="2">
        <v>71</v>
      </c>
      <c r="H434" s="2">
        <v>30</v>
      </c>
      <c r="I434" s="2">
        <v>112</v>
      </c>
      <c r="J434" s="2">
        <v>90</v>
      </c>
      <c r="K434" s="2">
        <v>133</v>
      </c>
      <c r="L434" s="2">
        <v>71</v>
      </c>
      <c r="M434" s="2">
        <v>72</v>
      </c>
      <c r="N434" s="2">
        <v>65</v>
      </c>
      <c r="O434" s="2">
        <v>42</v>
      </c>
      <c r="P434" s="2">
        <v>53</v>
      </c>
      <c r="Q434" s="2">
        <v>52</v>
      </c>
      <c r="R434" s="238">
        <v>42998</v>
      </c>
      <c r="S434" s="219">
        <v>12</v>
      </c>
      <c r="T434" s="220">
        <f>SUM( tabConsumo[[#This Row],[QTD.PENDENTE]]:tabConsumo[[#This Row],[09_23]] ) / tabConsumo[[#This Row],[Div]]</f>
        <v>94.833333333333329</v>
      </c>
      <c r="U434" s="221">
        <f xml:space="preserve"> tabConsumo[[#This Row],[Média.A]] + (_xlfn.STDEV.S( tabConsumo[[#This Row],[QTD.PENDENTE]]:tabConsumo[[#This Row],[09_23]] ) * 1)</f>
        <v>179.30477372844109</v>
      </c>
      <c r="V434" s="221">
        <f xml:space="preserve"> tabConsumo[[#This Row],[Média.A]] + (_xlfn.STDEV.S( tabConsumo[[#This Row],[QTD.PENDENTE]]:tabConsumo[[#This Row],[09_23]] ) * 2)</f>
        <v>263.77621412354887</v>
      </c>
      <c r="W434" s="221">
        <f xml:space="preserve"> tabConsumo[[#This Row],[Média.A]] + (_xlfn.STDEV.S( tabConsumo[[#This Row],[QTD.PENDENTE]]:tabConsumo[[#This Row],[09_23]] ) * 3)</f>
        <v>348.24765451865659</v>
      </c>
      <c r="X434" s="5">
        <f t="shared" si="13"/>
        <v>2</v>
      </c>
      <c r="Y434">
        <v>87.833333333333329</v>
      </c>
      <c r="Z434" s="223">
        <f>SUM( tabConsumo[[#This Row],[QTD.PENDENTE]]:tabConsumo[[#This Row],[09_23]] )</f>
        <v>1138</v>
      </c>
      <c r="AA434" s="223">
        <f>LARGE(tabConsumo[[#This Row],[10_22]:[09_23]],1)</f>
        <v>347</v>
      </c>
      <c r="AB434" s="146" t="s">
        <v>2238</v>
      </c>
      <c r="AC434" s="3" t="s">
        <v>2086</v>
      </c>
    </row>
    <row r="435" spans="1:29" x14ac:dyDescent="0.3">
      <c r="A435" s="4" t="s">
        <v>1857</v>
      </c>
      <c r="B435" s="3" t="s">
        <v>31</v>
      </c>
      <c r="C435" s="2">
        <v>133450</v>
      </c>
      <c r="D435" s="2">
        <v>3073</v>
      </c>
      <c r="F435" s="2">
        <v>40</v>
      </c>
      <c r="G435" s="2">
        <v>55</v>
      </c>
      <c r="H435" s="2">
        <v>36</v>
      </c>
      <c r="I435" s="2">
        <v>90</v>
      </c>
      <c r="J435" s="2">
        <v>72</v>
      </c>
      <c r="K435" s="2">
        <v>98</v>
      </c>
      <c r="L435" s="2">
        <v>58</v>
      </c>
      <c r="M435" s="2">
        <v>58</v>
      </c>
      <c r="N435" s="2">
        <v>58</v>
      </c>
      <c r="O435" s="2">
        <v>35</v>
      </c>
      <c r="P435" s="2">
        <v>41</v>
      </c>
      <c r="Q435" s="2">
        <v>40</v>
      </c>
      <c r="R435" s="238">
        <v>42998</v>
      </c>
      <c r="S435" s="219">
        <v>12</v>
      </c>
      <c r="T435" s="220">
        <f>SUM( tabConsumo[[#This Row],[QTD.PENDENTE]]:tabConsumo[[#This Row],[09_23]] ) / tabConsumo[[#This Row],[Div]]</f>
        <v>56.75</v>
      </c>
      <c r="U435" s="221">
        <f xml:space="preserve"> tabConsumo[[#This Row],[Média.A]] + (_xlfn.STDEV.S( tabConsumo[[#This Row],[QTD.PENDENTE]]:tabConsumo[[#This Row],[09_23]] ) * 1)</f>
        <v>77.55264406271472</v>
      </c>
      <c r="V435" s="221">
        <f xml:space="preserve"> tabConsumo[[#This Row],[Média.A]] + (_xlfn.STDEV.S( tabConsumo[[#This Row],[QTD.PENDENTE]]:tabConsumo[[#This Row],[09_23]] ) * 2)</f>
        <v>98.355288125429439</v>
      </c>
      <c r="W435" s="221">
        <f xml:space="preserve"> tabConsumo[[#This Row],[Média.A]] + (_xlfn.STDEV.S( tabConsumo[[#This Row],[QTD.PENDENTE]]:tabConsumo[[#This Row],[09_23]] ) * 3)</f>
        <v>119.15793218814416</v>
      </c>
      <c r="X435" s="5">
        <f t="shared" si="13"/>
        <v>2</v>
      </c>
      <c r="Y435">
        <v>56.75</v>
      </c>
      <c r="Z435" s="223">
        <f>SUM( tabConsumo[[#This Row],[QTD.PENDENTE]]:tabConsumo[[#This Row],[09_23]] )</f>
        <v>681</v>
      </c>
      <c r="AA435" s="223">
        <f>LARGE(tabConsumo[[#This Row],[10_22]:[09_23]],1)</f>
        <v>98</v>
      </c>
      <c r="AB435" s="146" t="s">
        <v>2238</v>
      </c>
      <c r="AC435" s="3" t="s">
        <v>2086</v>
      </c>
    </row>
    <row r="436" spans="1:29" x14ac:dyDescent="0.3">
      <c r="A436" s="4" t="s">
        <v>942</v>
      </c>
      <c r="B436" s="3" t="s">
        <v>31</v>
      </c>
      <c r="C436" s="2">
        <v>12018</v>
      </c>
      <c r="D436" s="2">
        <v>2857</v>
      </c>
      <c r="F436" s="2">
        <v>5</v>
      </c>
      <c r="G436" s="2">
        <v>17</v>
      </c>
      <c r="H436" s="2">
        <v>7</v>
      </c>
      <c r="I436" s="2">
        <v>17</v>
      </c>
      <c r="J436" s="2">
        <v>15</v>
      </c>
      <c r="K436" s="2">
        <v>27</v>
      </c>
      <c r="L436" s="2">
        <v>14</v>
      </c>
      <c r="M436" s="2">
        <v>17</v>
      </c>
      <c r="N436" s="2">
        <v>23</v>
      </c>
      <c r="O436" s="2">
        <v>12</v>
      </c>
      <c r="P436" s="2">
        <v>18</v>
      </c>
      <c r="Q436" s="2">
        <v>13</v>
      </c>
      <c r="R436" s="238">
        <v>367</v>
      </c>
      <c r="S436" s="219">
        <f t="shared" ref="S436:S450" si="14" xml:space="preserve"> 12</f>
        <v>12</v>
      </c>
      <c r="T436" s="220">
        <f>SUM( tabConsumo[[#This Row],[QTD.PENDENTE]]:tabConsumo[[#This Row],[09_23]] ) / tabConsumo[[#This Row],[Div]]</f>
        <v>15.416666666666666</v>
      </c>
      <c r="U436" s="221">
        <f xml:space="preserve"> tabConsumo[[#This Row],[Média.A]] + (_xlfn.STDEV.S( tabConsumo[[#This Row],[QTD.PENDENTE]]:tabConsumo[[#This Row],[09_23]] ) * 1)</f>
        <v>21.483841137588534</v>
      </c>
      <c r="V436" s="221">
        <f xml:space="preserve"> tabConsumo[[#This Row],[Média.A]] + (_xlfn.STDEV.S( tabConsumo[[#This Row],[QTD.PENDENTE]]:tabConsumo[[#This Row],[09_23]] ) * 2)</f>
        <v>27.551015608510404</v>
      </c>
      <c r="W436" s="221">
        <f xml:space="preserve"> tabConsumo[[#This Row],[Média.A]] + (_xlfn.STDEV.S( tabConsumo[[#This Row],[QTD.PENDENTE]]:tabConsumo[[#This Row],[09_23]] ) * 3)</f>
        <v>33.618190079432267</v>
      </c>
      <c r="X436" s="5">
        <f t="shared" si="13"/>
        <v>2</v>
      </c>
      <c r="Y436">
        <v>15.416666666666666</v>
      </c>
      <c r="Z436" s="223">
        <f>SUM( tabConsumo[[#This Row],[QTD.PENDENTE]]:tabConsumo[[#This Row],[09_23]] )</f>
        <v>185</v>
      </c>
      <c r="AA436" s="223">
        <f>LARGE(tabConsumo[[#This Row],[10_22]:[09_23]],1)</f>
        <v>27</v>
      </c>
      <c r="AB436" s="146" t="s">
        <v>2238</v>
      </c>
      <c r="AC436" s="3" t="s">
        <v>2086</v>
      </c>
    </row>
    <row r="437" spans="1:29" x14ac:dyDescent="0.3">
      <c r="A437" s="4" t="s">
        <v>1354</v>
      </c>
      <c r="B437" s="3" t="s">
        <v>263</v>
      </c>
      <c r="C437" s="2">
        <v>60973</v>
      </c>
      <c r="D437" s="2">
        <v>50</v>
      </c>
      <c r="E437" s="2">
        <v>5</v>
      </c>
      <c r="F437" s="2">
        <v>6</v>
      </c>
      <c r="G437" s="2">
        <v>0</v>
      </c>
      <c r="H437" s="2">
        <v>10</v>
      </c>
      <c r="I437" s="2">
        <v>20</v>
      </c>
      <c r="J437" s="2">
        <v>27</v>
      </c>
      <c r="K437" s="2">
        <v>0</v>
      </c>
      <c r="L437" s="2">
        <v>0</v>
      </c>
      <c r="M437" s="2">
        <v>0</v>
      </c>
      <c r="N437" s="2">
        <v>0</v>
      </c>
      <c r="O437" s="2">
        <v>0</v>
      </c>
      <c r="P437" s="2">
        <v>0</v>
      </c>
      <c r="Q437" s="2">
        <v>0</v>
      </c>
      <c r="R437" s="238">
        <v>367</v>
      </c>
      <c r="S437" s="219">
        <f t="shared" si="14"/>
        <v>12</v>
      </c>
      <c r="T437" s="220">
        <f>SUM( tabConsumo[[#This Row],[QTD.PENDENTE]]:tabConsumo[[#This Row],[09_23]] ) / tabConsumo[[#This Row],[Div]]</f>
        <v>5.666666666666667</v>
      </c>
      <c r="U437" s="221">
        <f xml:space="preserve"> tabConsumo[[#This Row],[Média.A]] + (_xlfn.STDEV.S( tabConsumo[[#This Row],[QTD.PENDENTE]]:tabConsumo[[#This Row],[09_23]] ) * 1)</f>
        <v>14.490439916188347</v>
      </c>
      <c r="V437" s="221">
        <f xml:space="preserve"> tabConsumo[[#This Row],[Média.A]] + (_xlfn.STDEV.S( tabConsumo[[#This Row],[QTD.PENDENTE]]:tabConsumo[[#This Row],[09_23]] ) * 2)</f>
        <v>23.314213165710026</v>
      </c>
      <c r="W437" s="221">
        <f xml:space="preserve"> tabConsumo[[#This Row],[Média.A]] + (_xlfn.STDEV.S( tabConsumo[[#This Row],[QTD.PENDENTE]]:tabConsumo[[#This Row],[09_23]] ) * 3)</f>
        <v>32.137986415231701</v>
      </c>
      <c r="X437" s="5">
        <f t="shared" si="13"/>
        <v>2</v>
      </c>
      <c r="Y437">
        <v>5.333333333333333</v>
      </c>
      <c r="Z437" s="223">
        <f>SUM( tabConsumo[[#This Row],[QTD.PENDENTE]]:tabConsumo[[#This Row],[09_23]] )</f>
        <v>68</v>
      </c>
      <c r="AA437" s="223">
        <f>LARGE(tabConsumo[[#This Row],[10_22]:[09_23]],1)</f>
        <v>27</v>
      </c>
      <c r="AB437" s="146" t="s">
        <v>2248</v>
      </c>
      <c r="AC437" s="3" t="s">
        <v>2086</v>
      </c>
    </row>
    <row r="438" spans="1:29" x14ac:dyDescent="0.3">
      <c r="A438" s="4" t="s">
        <v>1202</v>
      </c>
      <c r="B438" s="3" t="s">
        <v>263</v>
      </c>
      <c r="C438" s="2">
        <v>24551</v>
      </c>
      <c r="D438" s="2">
        <v>0</v>
      </c>
      <c r="E438" s="2">
        <v>22</v>
      </c>
      <c r="F438" s="2">
        <v>6</v>
      </c>
      <c r="G438" s="2">
        <v>0</v>
      </c>
      <c r="H438" s="2">
        <v>10</v>
      </c>
      <c r="I438" s="2">
        <v>18</v>
      </c>
      <c r="J438" s="2">
        <v>0</v>
      </c>
      <c r="K438" s="2">
        <v>0</v>
      </c>
      <c r="L438" s="2">
        <v>0</v>
      </c>
      <c r="M438" s="2">
        <v>0</v>
      </c>
      <c r="N438" s="2">
        <v>0</v>
      </c>
      <c r="O438" s="2">
        <v>0</v>
      </c>
      <c r="P438" s="2">
        <v>0</v>
      </c>
      <c r="Q438" s="2">
        <v>0</v>
      </c>
      <c r="R438" s="238">
        <v>367</v>
      </c>
      <c r="S438" s="219">
        <f t="shared" si="14"/>
        <v>12</v>
      </c>
      <c r="T438" s="220">
        <f>SUM( tabConsumo[[#This Row],[QTD.PENDENTE]]:tabConsumo[[#This Row],[09_23]] ) / tabConsumo[[#This Row],[Div]]</f>
        <v>4.666666666666667</v>
      </c>
      <c r="U438" s="221">
        <f xml:space="preserve"> tabConsumo[[#This Row],[Média.A]] + (_xlfn.STDEV.S( tabConsumo[[#This Row],[QTD.PENDENTE]]:tabConsumo[[#This Row],[09_23]] ) * 1)</f>
        <v>12.319385305431755</v>
      </c>
      <c r="V438" s="221">
        <f xml:space="preserve"> tabConsumo[[#This Row],[Média.A]] + (_xlfn.STDEV.S( tabConsumo[[#This Row],[QTD.PENDENTE]]:tabConsumo[[#This Row],[09_23]] ) * 2)</f>
        <v>19.972103944196842</v>
      </c>
      <c r="W438" s="221">
        <f xml:space="preserve"> tabConsumo[[#This Row],[Média.A]] + (_xlfn.STDEV.S( tabConsumo[[#This Row],[QTD.PENDENTE]]:tabConsumo[[#This Row],[09_23]] ) * 3)</f>
        <v>27.624822582961929</v>
      </c>
      <c r="X438" s="5">
        <f t="shared" si="13"/>
        <v>2</v>
      </c>
      <c r="Y438">
        <v>4.666666666666667</v>
      </c>
      <c r="Z438" s="223">
        <f>SUM( tabConsumo[[#This Row],[QTD.PENDENTE]]:tabConsumo[[#This Row],[09_23]] )</f>
        <v>56</v>
      </c>
      <c r="AA438" s="223">
        <f>LARGE(tabConsumo[[#This Row],[10_22]:[09_23]],1)</f>
        <v>18</v>
      </c>
      <c r="AB438" s="146" t="s">
        <v>2247</v>
      </c>
      <c r="AC438" s="3" t="s">
        <v>2086</v>
      </c>
    </row>
    <row r="439" spans="1:29" x14ac:dyDescent="0.3">
      <c r="A439" s="4" t="s">
        <v>1030</v>
      </c>
      <c r="B439" s="3" t="s">
        <v>380</v>
      </c>
      <c r="C439" s="2">
        <v>13218</v>
      </c>
      <c r="D439" s="2">
        <v>204</v>
      </c>
      <c r="F439" s="2">
        <v>0</v>
      </c>
      <c r="G439" s="2">
        <v>0</v>
      </c>
      <c r="H439" s="2">
        <v>0</v>
      </c>
      <c r="I439" s="2">
        <v>0</v>
      </c>
      <c r="J439" s="2">
        <v>0</v>
      </c>
      <c r="K439" s="2">
        <v>0</v>
      </c>
      <c r="L439" s="2">
        <v>1</v>
      </c>
      <c r="M439" s="2">
        <v>0</v>
      </c>
      <c r="N439" s="2">
        <v>0</v>
      </c>
      <c r="O439" s="2">
        <v>0</v>
      </c>
      <c r="P439" s="2">
        <v>0</v>
      </c>
      <c r="Q439" s="2">
        <v>0</v>
      </c>
      <c r="R439" s="238">
        <v>367</v>
      </c>
      <c r="S439" s="219">
        <f t="shared" si="14"/>
        <v>12</v>
      </c>
      <c r="T439" s="220">
        <f>SUM( tabConsumo[[#This Row],[QTD.PENDENTE]]:tabConsumo[[#This Row],[09_23]] ) / tabConsumo[[#This Row],[Div]]</f>
        <v>8.3333333333333329E-2</v>
      </c>
      <c r="U439" s="221">
        <f xml:space="preserve"> tabConsumo[[#This Row],[Média.A]] + (_xlfn.STDEV.S( tabConsumo[[#This Row],[QTD.PENDENTE]]:tabConsumo[[#This Row],[09_23]] ) * 1)</f>
        <v>0.37200846792814618</v>
      </c>
      <c r="V439" s="221">
        <f xml:space="preserve"> tabConsumo[[#This Row],[Média.A]] + (_xlfn.STDEV.S( tabConsumo[[#This Row],[QTD.PENDENTE]]:tabConsumo[[#This Row],[09_23]] ) * 2)</f>
        <v>0.6606836025229591</v>
      </c>
      <c r="W439" s="221">
        <f xml:space="preserve"> tabConsumo[[#This Row],[Média.A]] + (_xlfn.STDEV.S( tabConsumo[[#This Row],[QTD.PENDENTE]]:tabConsumo[[#This Row],[09_23]] ) * 3)</f>
        <v>0.94935873711777197</v>
      </c>
      <c r="X439" s="5">
        <f t="shared" si="13"/>
        <v>2</v>
      </c>
      <c r="Y439">
        <v>0</v>
      </c>
      <c r="Z439" s="223">
        <f>SUM( tabConsumo[[#This Row],[QTD.PENDENTE]]:tabConsumo[[#This Row],[09_23]] )</f>
        <v>1</v>
      </c>
      <c r="AA439" s="223">
        <f>LARGE(tabConsumo[[#This Row],[10_22]:[09_23]],1)</f>
        <v>1</v>
      </c>
      <c r="AB439" s="146" t="s">
        <v>2240</v>
      </c>
      <c r="AC439" s="3" t="s">
        <v>2086</v>
      </c>
    </row>
    <row r="440" spans="1:29" x14ac:dyDescent="0.3">
      <c r="A440" s="4" t="s">
        <v>1139</v>
      </c>
      <c r="B440" s="3" t="s">
        <v>380</v>
      </c>
      <c r="C440" s="2">
        <v>17662</v>
      </c>
      <c r="D440" s="2">
        <v>1410</v>
      </c>
      <c r="F440" s="2">
        <v>0</v>
      </c>
      <c r="G440" s="2">
        <v>10</v>
      </c>
      <c r="H440" s="2">
        <v>0</v>
      </c>
      <c r="I440" s="2">
        <v>0</v>
      </c>
      <c r="J440" s="2">
        <v>0</v>
      </c>
      <c r="K440" s="2">
        <v>0</v>
      </c>
      <c r="L440" s="2">
        <v>0</v>
      </c>
      <c r="M440" s="2">
        <v>0</v>
      </c>
      <c r="N440" s="2">
        <v>0</v>
      </c>
      <c r="O440" s="2">
        <v>0</v>
      </c>
      <c r="P440" s="2">
        <v>0</v>
      </c>
      <c r="Q440" s="2">
        <v>0</v>
      </c>
      <c r="R440" s="238">
        <v>367</v>
      </c>
      <c r="S440" s="219">
        <f t="shared" si="14"/>
        <v>12</v>
      </c>
      <c r="T440" s="220">
        <f>SUM( tabConsumo[[#This Row],[QTD.PENDENTE]]:tabConsumo[[#This Row],[09_23]] ) / tabConsumo[[#This Row],[Div]]</f>
        <v>0.83333333333333337</v>
      </c>
      <c r="U440" s="221">
        <f xml:space="preserve"> tabConsumo[[#This Row],[Média.A]] + (_xlfn.STDEV.S( tabConsumo[[#This Row],[QTD.PENDENTE]]:tabConsumo[[#This Row],[09_23]] ) * 1)</f>
        <v>3.7200846792814626</v>
      </c>
      <c r="V440" s="221">
        <f xml:space="preserve"> tabConsumo[[#This Row],[Média.A]] + (_xlfn.STDEV.S( tabConsumo[[#This Row],[QTD.PENDENTE]]:tabConsumo[[#This Row],[09_23]] ) * 2)</f>
        <v>6.6068360252295912</v>
      </c>
      <c r="W440" s="221">
        <f xml:space="preserve"> tabConsumo[[#This Row],[Média.A]] + (_xlfn.STDEV.S( tabConsumo[[#This Row],[QTD.PENDENTE]]:tabConsumo[[#This Row],[09_23]] ) * 3)</f>
        <v>9.4935873711777212</v>
      </c>
      <c r="X440" s="5">
        <f t="shared" si="13"/>
        <v>2</v>
      </c>
      <c r="Y440">
        <v>0.5</v>
      </c>
      <c r="Z440" s="223">
        <f>SUM( tabConsumo[[#This Row],[QTD.PENDENTE]]:tabConsumo[[#This Row],[09_23]] )</f>
        <v>10</v>
      </c>
      <c r="AA440" s="223">
        <f>LARGE(tabConsumo[[#This Row],[10_22]:[09_23]],1)</f>
        <v>10</v>
      </c>
      <c r="AB440" s="146" t="s">
        <v>2243</v>
      </c>
      <c r="AC440" s="3" t="s">
        <v>2086</v>
      </c>
    </row>
    <row r="441" spans="1:29" x14ac:dyDescent="0.3">
      <c r="A441" s="4" t="s">
        <v>995</v>
      </c>
      <c r="B441" s="3" t="s">
        <v>380</v>
      </c>
      <c r="C441" s="2">
        <v>13066</v>
      </c>
      <c r="D441" s="2">
        <v>855</v>
      </c>
      <c r="F441" s="2">
        <v>0</v>
      </c>
      <c r="G441" s="2">
        <v>0</v>
      </c>
      <c r="H441" s="2">
        <v>0</v>
      </c>
      <c r="I441" s="2">
        <v>0</v>
      </c>
      <c r="J441" s="2">
        <v>0</v>
      </c>
      <c r="K441" s="2">
        <v>0</v>
      </c>
      <c r="L441" s="2">
        <v>0</v>
      </c>
      <c r="M441" s="2">
        <v>10</v>
      </c>
      <c r="N441" s="2">
        <v>0</v>
      </c>
      <c r="O441" s="2">
        <v>0</v>
      </c>
      <c r="P441" s="2">
        <v>0</v>
      </c>
      <c r="Q441" s="2">
        <v>0</v>
      </c>
      <c r="R441" s="238">
        <v>367</v>
      </c>
      <c r="S441" s="219">
        <f t="shared" si="14"/>
        <v>12</v>
      </c>
      <c r="T441" s="220">
        <f>SUM( tabConsumo[[#This Row],[QTD.PENDENTE]]:tabConsumo[[#This Row],[09_23]] ) / tabConsumo[[#This Row],[Div]]</f>
        <v>0.83333333333333337</v>
      </c>
      <c r="U441" s="221">
        <f xml:space="preserve"> tabConsumo[[#This Row],[Média.A]] + (_xlfn.STDEV.S( tabConsumo[[#This Row],[QTD.PENDENTE]]:tabConsumo[[#This Row],[09_23]] ) * 1)</f>
        <v>3.7200846792814626</v>
      </c>
      <c r="V441" s="221">
        <f xml:space="preserve"> tabConsumo[[#This Row],[Média.A]] + (_xlfn.STDEV.S( tabConsumo[[#This Row],[QTD.PENDENTE]]:tabConsumo[[#This Row],[09_23]] ) * 2)</f>
        <v>6.6068360252295912</v>
      </c>
      <c r="W441" s="221">
        <f xml:space="preserve"> tabConsumo[[#This Row],[Média.A]] + (_xlfn.STDEV.S( tabConsumo[[#This Row],[QTD.PENDENTE]]:tabConsumo[[#This Row],[09_23]] ) * 3)</f>
        <v>9.4935873711777212</v>
      </c>
      <c r="X441" s="5">
        <f t="shared" si="13"/>
        <v>2</v>
      </c>
      <c r="Y441">
        <v>0.5</v>
      </c>
      <c r="Z441" s="223">
        <f>SUM( tabConsumo[[#This Row],[QTD.PENDENTE]]:tabConsumo[[#This Row],[09_23]] )</f>
        <v>10</v>
      </c>
      <c r="AA441" s="223">
        <f>LARGE(tabConsumo[[#This Row],[10_22]:[09_23]],1)</f>
        <v>10</v>
      </c>
      <c r="AB441" s="146" t="s">
        <v>2244</v>
      </c>
      <c r="AC441" s="3" t="s">
        <v>2086</v>
      </c>
    </row>
    <row r="442" spans="1:29" x14ac:dyDescent="0.3">
      <c r="A442" s="4" t="s">
        <v>999</v>
      </c>
      <c r="B442" s="3" t="s">
        <v>380</v>
      </c>
      <c r="C442" s="2">
        <v>13087</v>
      </c>
      <c r="D442" s="2">
        <v>222</v>
      </c>
      <c r="F442" s="2">
        <v>10</v>
      </c>
      <c r="G442" s="2">
        <v>10</v>
      </c>
      <c r="H442" s="2">
        <v>0</v>
      </c>
      <c r="I442" s="2">
        <v>0</v>
      </c>
      <c r="J442" s="2">
        <v>20</v>
      </c>
      <c r="K442" s="2">
        <v>0</v>
      </c>
      <c r="L442" s="2">
        <v>0</v>
      </c>
      <c r="M442" s="2">
        <v>15</v>
      </c>
      <c r="N442" s="2">
        <v>0</v>
      </c>
      <c r="O442" s="2">
        <v>0</v>
      </c>
      <c r="P442" s="2">
        <v>0</v>
      </c>
      <c r="Q442" s="2">
        <v>0</v>
      </c>
      <c r="R442" s="238">
        <v>367</v>
      </c>
      <c r="S442" s="219">
        <f t="shared" si="14"/>
        <v>12</v>
      </c>
      <c r="T442" s="220">
        <f>SUM( tabConsumo[[#This Row],[QTD.PENDENTE]]:tabConsumo[[#This Row],[09_23]] ) / tabConsumo[[#This Row],[Div]]</f>
        <v>4.583333333333333</v>
      </c>
      <c r="U442" s="221">
        <f xml:space="preserve"> tabConsumo[[#This Row],[Média.A]] + (_xlfn.STDEV.S( tabConsumo[[#This Row],[QTD.PENDENTE]]:tabConsumo[[#This Row],[09_23]] ) * 1)</f>
        <v>11.800211698203654</v>
      </c>
      <c r="V442" s="221">
        <f xml:space="preserve"> tabConsumo[[#This Row],[Média.A]] + (_xlfn.STDEV.S( tabConsumo[[#This Row],[QTD.PENDENTE]]:tabConsumo[[#This Row],[09_23]] ) * 2)</f>
        <v>19.017090063073976</v>
      </c>
      <c r="W442" s="221">
        <f xml:space="preserve"> tabConsumo[[#This Row],[Média.A]] + (_xlfn.STDEV.S( tabConsumo[[#This Row],[QTD.PENDENTE]]:tabConsumo[[#This Row],[09_23]] ) * 3)</f>
        <v>26.233968427944298</v>
      </c>
      <c r="X442" s="5">
        <f t="shared" si="13"/>
        <v>2</v>
      </c>
      <c r="Y442">
        <v>4.5</v>
      </c>
      <c r="Z442" s="223">
        <f>SUM( tabConsumo[[#This Row],[QTD.PENDENTE]]:tabConsumo[[#This Row],[09_23]] )</f>
        <v>55</v>
      </c>
      <c r="AA442" s="223">
        <f>LARGE(tabConsumo[[#This Row],[10_22]:[09_23]],1)</f>
        <v>20</v>
      </c>
      <c r="AB442" s="146" t="s">
        <v>2244</v>
      </c>
      <c r="AC442" s="3" t="s">
        <v>2086</v>
      </c>
    </row>
    <row r="443" spans="1:29" x14ac:dyDescent="0.3">
      <c r="A443" s="4" t="s">
        <v>1000</v>
      </c>
      <c r="B443" s="3" t="s">
        <v>380</v>
      </c>
      <c r="C443" s="2">
        <v>13088</v>
      </c>
      <c r="D443" s="2">
        <v>50</v>
      </c>
      <c r="F443" s="2">
        <v>0</v>
      </c>
      <c r="G443" s="2">
        <v>0</v>
      </c>
      <c r="H443" s="2">
        <v>0</v>
      </c>
      <c r="I443" s="2">
        <v>0</v>
      </c>
      <c r="J443" s="2">
        <v>15</v>
      </c>
      <c r="K443" s="2">
        <v>0</v>
      </c>
      <c r="L443" s="2">
        <v>0</v>
      </c>
      <c r="M443" s="2">
        <v>29</v>
      </c>
      <c r="N443" s="2">
        <v>0</v>
      </c>
      <c r="O443" s="2">
        <v>0</v>
      </c>
      <c r="P443" s="2">
        <v>0</v>
      </c>
      <c r="Q443" s="2">
        <v>0</v>
      </c>
      <c r="R443" s="238">
        <v>367</v>
      </c>
      <c r="S443" s="219">
        <f t="shared" si="14"/>
        <v>12</v>
      </c>
      <c r="T443" s="220">
        <f>SUM( tabConsumo[[#This Row],[QTD.PENDENTE]]:tabConsumo[[#This Row],[09_23]] ) / tabConsumo[[#This Row],[Div]]</f>
        <v>3.6666666666666665</v>
      </c>
      <c r="U443" s="221">
        <f xml:space="preserve"> tabConsumo[[#This Row],[Média.A]] + (_xlfn.STDEV.S( tabConsumo[[#This Row],[QTD.PENDENTE]]:tabConsumo[[#This Row],[09_23]] ) * 1)</f>
        <v>12.735427565622169</v>
      </c>
      <c r="V443" s="221">
        <f xml:space="preserve"> tabConsumo[[#This Row],[Média.A]] + (_xlfn.STDEV.S( tabConsumo[[#This Row],[QTD.PENDENTE]]:tabConsumo[[#This Row],[09_23]] ) * 2)</f>
        <v>21.804188464577674</v>
      </c>
      <c r="W443" s="221">
        <f xml:space="preserve"> tabConsumo[[#This Row],[Média.A]] + (_xlfn.STDEV.S( tabConsumo[[#This Row],[QTD.PENDENTE]]:tabConsumo[[#This Row],[09_23]] ) * 3)</f>
        <v>30.872949363533177</v>
      </c>
      <c r="X443" s="5">
        <f t="shared" si="13"/>
        <v>2</v>
      </c>
      <c r="Y443">
        <v>3</v>
      </c>
      <c r="Z443" s="223">
        <f>SUM( tabConsumo[[#This Row],[QTD.PENDENTE]]:tabConsumo[[#This Row],[09_23]] )</f>
        <v>44</v>
      </c>
      <c r="AA443" s="223">
        <f>LARGE(tabConsumo[[#This Row],[10_22]:[09_23]],1)</f>
        <v>29</v>
      </c>
      <c r="AB443" s="146" t="s">
        <v>2244</v>
      </c>
      <c r="AC443" s="3" t="s">
        <v>2086</v>
      </c>
    </row>
    <row r="444" spans="1:29" x14ac:dyDescent="0.3">
      <c r="A444" s="4" t="s">
        <v>1262</v>
      </c>
      <c r="B444" s="3" t="s">
        <v>380</v>
      </c>
      <c r="C444" s="2">
        <v>35555</v>
      </c>
      <c r="D444" s="2">
        <v>63</v>
      </c>
      <c r="F444" s="2">
        <v>0</v>
      </c>
      <c r="G444" s="2">
        <v>0</v>
      </c>
      <c r="H444" s="2">
        <v>0</v>
      </c>
      <c r="I444" s="2">
        <v>0</v>
      </c>
      <c r="J444" s="2">
        <v>0</v>
      </c>
      <c r="K444" s="2">
        <v>20</v>
      </c>
      <c r="L444" s="2">
        <v>55</v>
      </c>
      <c r="M444" s="2">
        <v>0</v>
      </c>
      <c r="N444" s="2">
        <v>0</v>
      </c>
      <c r="O444" s="2">
        <v>0</v>
      </c>
      <c r="P444" s="2">
        <v>0</v>
      </c>
      <c r="Q444" s="2">
        <v>0</v>
      </c>
      <c r="R444" s="238">
        <v>367</v>
      </c>
      <c r="S444" s="219">
        <f t="shared" si="14"/>
        <v>12</v>
      </c>
      <c r="T444" s="220">
        <f>SUM( tabConsumo[[#This Row],[QTD.PENDENTE]]:tabConsumo[[#This Row],[09_23]] ) / tabConsumo[[#This Row],[Div]]</f>
        <v>6.25</v>
      </c>
      <c r="U444" s="221">
        <f xml:space="preserve"> tabConsumo[[#This Row],[Média.A]] + (_xlfn.STDEV.S( tabConsumo[[#This Row],[QTD.PENDENTE]]:tabConsumo[[#This Row],[09_23]] ) * 1)</f>
        <v>22.643596310755001</v>
      </c>
      <c r="V444" s="221">
        <f xml:space="preserve"> tabConsumo[[#This Row],[Média.A]] + (_xlfn.STDEV.S( tabConsumo[[#This Row],[QTD.PENDENTE]]:tabConsumo[[#This Row],[09_23]] ) * 2)</f>
        <v>39.037192621510002</v>
      </c>
      <c r="W444" s="221">
        <f xml:space="preserve"> tabConsumo[[#This Row],[Média.A]] + (_xlfn.STDEV.S( tabConsumo[[#This Row],[QTD.PENDENTE]]:tabConsumo[[#This Row],[09_23]] ) * 3)</f>
        <v>55.430788932265003</v>
      </c>
      <c r="X444" s="5">
        <f t="shared" si="13"/>
        <v>2</v>
      </c>
      <c r="Y444">
        <v>4.916666666666667</v>
      </c>
      <c r="Z444" s="223">
        <f>SUM( tabConsumo[[#This Row],[QTD.PENDENTE]]:tabConsumo[[#This Row],[09_23]] )</f>
        <v>75</v>
      </c>
      <c r="AA444" s="223">
        <f>LARGE(tabConsumo[[#This Row],[10_22]:[09_23]],1)</f>
        <v>55</v>
      </c>
      <c r="AB444" s="146" t="s">
        <v>2240</v>
      </c>
      <c r="AC444" s="3" t="s">
        <v>2086</v>
      </c>
    </row>
    <row r="445" spans="1:29" x14ac:dyDescent="0.3">
      <c r="A445" s="4" t="s">
        <v>1261</v>
      </c>
      <c r="B445" s="3" t="s">
        <v>380</v>
      </c>
      <c r="C445" s="2">
        <v>35554</v>
      </c>
      <c r="D445" s="2">
        <v>20</v>
      </c>
      <c r="E445" s="2">
        <v>35</v>
      </c>
      <c r="F445" s="2">
        <v>0</v>
      </c>
      <c r="G445" s="2">
        <v>0</v>
      </c>
      <c r="H445" s="2">
        <v>0</v>
      </c>
      <c r="I445" s="2">
        <v>0</v>
      </c>
      <c r="J445" s="2">
        <v>11</v>
      </c>
      <c r="K445" s="2">
        <v>22</v>
      </c>
      <c r="L445" s="2">
        <v>5</v>
      </c>
      <c r="M445" s="2">
        <v>0</v>
      </c>
      <c r="N445" s="2">
        <v>0</v>
      </c>
      <c r="O445" s="2">
        <v>0</v>
      </c>
      <c r="P445" s="2">
        <v>0</v>
      </c>
      <c r="Q445" s="2">
        <v>0</v>
      </c>
      <c r="R445" s="238">
        <v>367</v>
      </c>
      <c r="S445" s="219">
        <f t="shared" si="14"/>
        <v>12</v>
      </c>
      <c r="T445" s="220">
        <f>SUM( tabConsumo[[#This Row],[QTD.PENDENTE]]:tabConsumo[[#This Row],[09_23]] ) / tabConsumo[[#This Row],[Div]]</f>
        <v>6.083333333333333</v>
      </c>
      <c r="U445" s="221">
        <f xml:space="preserve"> tabConsumo[[#This Row],[Média.A]] + (_xlfn.STDEV.S( tabConsumo[[#This Row],[QTD.PENDENTE]]:tabConsumo[[#This Row],[09_23]] ) * 1)</f>
        <v>17.05707822389266</v>
      </c>
      <c r="V445" s="221">
        <f xml:space="preserve"> tabConsumo[[#This Row],[Média.A]] + (_xlfn.STDEV.S( tabConsumo[[#This Row],[QTD.PENDENTE]]:tabConsumo[[#This Row],[09_23]] ) * 2)</f>
        <v>28.030823114451984</v>
      </c>
      <c r="W445" s="221">
        <f xml:space="preserve"> tabConsumo[[#This Row],[Média.A]] + (_xlfn.STDEV.S( tabConsumo[[#This Row],[QTD.PENDENTE]]:tabConsumo[[#This Row],[09_23]] ) * 3)</f>
        <v>39.004568005011315</v>
      </c>
      <c r="X445" s="5">
        <f t="shared" si="13"/>
        <v>2</v>
      </c>
      <c r="Y445">
        <v>6.083333333333333</v>
      </c>
      <c r="Z445" s="223">
        <f>SUM( tabConsumo[[#This Row],[QTD.PENDENTE]]:tabConsumo[[#This Row],[09_23]] )</f>
        <v>73</v>
      </c>
      <c r="AA445" s="223">
        <f>LARGE(tabConsumo[[#This Row],[10_22]:[09_23]],1)</f>
        <v>22</v>
      </c>
      <c r="AB445" s="146" t="s">
        <v>2240</v>
      </c>
      <c r="AC445" s="3" t="s">
        <v>2086</v>
      </c>
    </row>
    <row r="446" spans="1:29" x14ac:dyDescent="0.3">
      <c r="A446" s="4" t="s">
        <v>1260</v>
      </c>
      <c r="B446" s="3" t="s">
        <v>380</v>
      </c>
      <c r="C446" s="2">
        <v>35550</v>
      </c>
      <c r="D446" s="2">
        <v>39</v>
      </c>
      <c r="F446" s="2">
        <v>0</v>
      </c>
      <c r="G446" s="2">
        <v>0</v>
      </c>
      <c r="H446" s="2">
        <v>0</v>
      </c>
      <c r="I446" s="2">
        <v>0</v>
      </c>
      <c r="J446" s="2">
        <v>10</v>
      </c>
      <c r="K446" s="2">
        <v>1</v>
      </c>
      <c r="L446" s="2">
        <v>65</v>
      </c>
      <c r="M446" s="2">
        <v>0</v>
      </c>
      <c r="N446" s="2">
        <v>0</v>
      </c>
      <c r="O446" s="2">
        <v>0</v>
      </c>
      <c r="P446" s="2">
        <v>0</v>
      </c>
      <c r="Q446" s="2">
        <v>0</v>
      </c>
      <c r="R446" s="238">
        <v>367</v>
      </c>
      <c r="S446" s="219">
        <f t="shared" si="14"/>
        <v>12</v>
      </c>
      <c r="T446" s="220">
        <f>SUM( tabConsumo[[#This Row],[QTD.PENDENTE]]:tabConsumo[[#This Row],[09_23]] ) / tabConsumo[[#This Row],[Div]]</f>
        <v>6.333333333333333</v>
      </c>
      <c r="U446" s="221">
        <f xml:space="preserve"> tabConsumo[[#This Row],[Média.A]] + (_xlfn.STDEV.S( tabConsumo[[#This Row],[QTD.PENDENTE]]:tabConsumo[[#This Row],[09_23]] ) * 1)</f>
        <v>25.028657655611124</v>
      </c>
      <c r="V446" s="221">
        <f xml:space="preserve"> tabConsumo[[#This Row],[Média.A]] + (_xlfn.STDEV.S( tabConsumo[[#This Row],[QTD.PENDENTE]]:tabConsumo[[#This Row],[09_23]] ) * 2)</f>
        <v>43.723981977888918</v>
      </c>
      <c r="W446" s="221">
        <f xml:space="preserve"> tabConsumo[[#This Row],[Média.A]] + (_xlfn.STDEV.S( tabConsumo[[#This Row],[QTD.PENDENTE]]:tabConsumo[[#This Row],[09_23]] ) * 3)</f>
        <v>62.41930630016671</v>
      </c>
      <c r="X446" s="5">
        <f t="shared" si="13"/>
        <v>2</v>
      </c>
      <c r="Y446">
        <v>4.5</v>
      </c>
      <c r="Z446" s="223">
        <f>SUM( tabConsumo[[#This Row],[QTD.PENDENTE]]:tabConsumo[[#This Row],[09_23]] )</f>
        <v>76</v>
      </c>
      <c r="AA446" s="223">
        <f>LARGE(tabConsumo[[#This Row],[10_22]:[09_23]],1)</f>
        <v>65</v>
      </c>
      <c r="AB446" s="146" t="s">
        <v>2240</v>
      </c>
      <c r="AC446" s="3" t="s">
        <v>2086</v>
      </c>
    </row>
    <row r="447" spans="1:29" x14ac:dyDescent="0.3">
      <c r="A447" s="4" t="s">
        <v>1141</v>
      </c>
      <c r="B447" s="3" t="s">
        <v>380</v>
      </c>
      <c r="C447" s="2">
        <v>17698</v>
      </c>
      <c r="D447" s="2">
        <v>546</v>
      </c>
      <c r="E447" s="2">
        <v>30</v>
      </c>
      <c r="F447" s="2">
        <v>0</v>
      </c>
      <c r="G447" s="2">
        <v>0</v>
      </c>
      <c r="H447" s="2">
        <v>0</v>
      </c>
      <c r="I447" s="2">
        <v>60</v>
      </c>
      <c r="J447" s="2">
        <v>4</v>
      </c>
      <c r="K447" s="2">
        <v>78</v>
      </c>
      <c r="L447" s="2">
        <v>3</v>
      </c>
      <c r="M447" s="2">
        <v>76</v>
      </c>
      <c r="N447" s="2">
        <v>60</v>
      </c>
      <c r="O447" s="2">
        <v>23</v>
      </c>
      <c r="P447" s="2">
        <v>0</v>
      </c>
      <c r="Q447" s="2">
        <v>0</v>
      </c>
      <c r="R447" s="238">
        <v>367</v>
      </c>
      <c r="S447" s="219">
        <f t="shared" si="14"/>
        <v>12</v>
      </c>
      <c r="T447" s="220">
        <f>SUM( tabConsumo[[#This Row],[QTD.PENDENTE]]:tabConsumo[[#This Row],[09_23]] ) / tabConsumo[[#This Row],[Div]]</f>
        <v>27.833333333333332</v>
      </c>
      <c r="U447" s="221">
        <f xml:space="preserve"> tabConsumo[[#This Row],[Média.A]] + (_xlfn.STDEV.S( tabConsumo[[#This Row],[QTD.PENDENTE]]:tabConsumo[[#This Row],[09_23]] ) * 1)</f>
        <v>59.367401194892771</v>
      </c>
      <c r="V447" s="221">
        <f xml:space="preserve"> tabConsumo[[#This Row],[Média.A]] + (_xlfn.STDEV.S( tabConsumo[[#This Row],[QTD.PENDENTE]]:tabConsumo[[#This Row],[09_23]] ) * 2)</f>
        <v>90.901469056452214</v>
      </c>
      <c r="W447" s="221">
        <f xml:space="preserve"> tabConsumo[[#This Row],[Média.A]] + (_xlfn.STDEV.S( tabConsumo[[#This Row],[QTD.PENDENTE]]:tabConsumo[[#This Row],[09_23]] ) * 3)</f>
        <v>122.43553691801165</v>
      </c>
      <c r="X447" s="5">
        <f t="shared" si="13"/>
        <v>2</v>
      </c>
      <c r="Y447">
        <v>27.833333333333332</v>
      </c>
      <c r="Z447" s="223">
        <f>SUM( tabConsumo[[#This Row],[QTD.PENDENTE]]:tabConsumo[[#This Row],[09_23]] )</f>
        <v>334</v>
      </c>
      <c r="AA447" s="223">
        <f>LARGE(tabConsumo[[#This Row],[10_22]:[09_23]],1)</f>
        <v>78</v>
      </c>
      <c r="AB447" s="146" t="s">
        <v>2239</v>
      </c>
      <c r="AC447" s="3" t="s">
        <v>2086</v>
      </c>
    </row>
    <row r="448" spans="1:29" x14ac:dyDescent="0.3">
      <c r="A448" s="4" t="s">
        <v>1140</v>
      </c>
      <c r="B448" s="3" t="s">
        <v>380</v>
      </c>
      <c r="C448" s="2">
        <v>17696</v>
      </c>
      <c r="D448" s="2">
        <v>0</v>
      </c>
      <c r="E448" s="2">
        <v>27</v>
      </c>
      <c r="F448" s="2">
        <v>29</v>
      </c>
      <c r="G448" s="2">
        <v>0</v>
      </c>
      <c r="H448" s="2">
        <v>0</v>
      </c>
      <c r="I448" s="2">
        <v>0</v>
      </c>
      <c r="J448" s="2">
        <v>0</v>
      </c>
      <c r="K448" s="2">
        <v>0</v>
      </c>
      <c r="L448" s="2">
        <v>0</v>
      </c>
      <c r="M448" s="2">
        <v>0</v>
      </c>
      <c r="N448" s="2">
        <v>0</v>
      </c>
      <c r="O448" s="2">
        <v>0</v>
      </c>
      <c r="P448" s="2">
        <v>0</v>
      </c>
      <c r="Q448" s="2">
        <v>0</v>
      </c>
      <c r="R448" s="238">
        <v>367</v>
      </c>
      <c r="S448" s="219">
        <f t="shared" si="14"/>
        <v>12</v>
      </c>
      <c r="T448" s="220">
        <f>SUM( tabConsumo[[#This Row],[QTD.PENDENTE]]:tabConsumo[[#This Row],[09_23]] ) / tabConsumo[[#This Row],[Div]]</f>
        <v>4.666666666666667</v>
      </c>
      <c r="U448" s="221">
        <f xml:space="preserve"> tabConsumo[[#This Row],[Média.A]] + (_xlfn.STDEV.S( tabConsumo[[#This Row],[QTD.PENDENTE]]:tabConsumo[[#This Row],[09_23]] ) * 1)</f>
        <v>15.189535535505108</v>
      </c>
      <c r="V448" s="221">
        <f xml:space="preserve"> tabConsumo[[#This Row],[Média.A]] + (_xlfn.STDEV.S( tabConsumo[[#This Row],[QTD.PENDENTE]]:tabConsumo[[#This Row],[09_23]] ) * 2)</f>
        <v>25.712404404343552</v>
      </c>
      <c r="W448" s="221">
        <f xml:space="preserve"> tabConsumo[[#This Row],[Média.A]] + (_xlfn.STDEV.S( tabConsumo[[#This Row],[QTD.PENDENTE]]:tabConsumo[[#This Row],[09_23]] ) * 3)</f>
        <v>36.235273273181988</v>
      </c>
      <c r="X448" s="5">
        <f t="shared" si="13"/>
        <v>2</v>
      </c>
      <c r="Y448">
        <v>4.333333333333333</v>
      </c>
      <c r="Z448" s="223">
        <f>SUM( tabConsumo[[#This Row],[QTD.PENDENTE]]:tabConsumo[[#This Row],[09_23]] )</f>
        <v>56</v>
      </c>
      <c r="AA448" s="223">
        <f>LARGE(tabConsumo[[#This Row],[10_22]:[09_23]],1)</f>
        <v>29</v>
      </c>
      <c r="AB448" s="146" t="s">
        <v>2242</v>
      </c>
      <c r="AC448" s="3" t="s">
        <v>2086</v>
      </c>
    </row>
    <row r="449" spans="1:29" x14ac:dyDescent="0.3">
      <c r="A449" s="4" t="s">
        <v>1007</v>
      </c>
      <c r="B449" s="3" t="s">
        <v>380</v>
      </c>
      <c r="C449" s="2">
        <v>13101</v>
      </c>
      <c r="D449" s="2">
        <v>85</v>
      </c>
      <c r="F449" s="2">
        <v>0</v>
      </c>
      <c r="G449" s="2">
        <v>30</v>
      </c>
      <c r="H449" s="2">
        <v>20</v>
      </c>
      <c r="I449" s="2">
        <v>11</v>
      </c>
      <c r="J449" s="2">
        <v>5</v>
      </c>
      <c r="K449" s="2">
        <v>20</v>
      </c>
      <c r="L449" s="2">
        <v>10</v>
      </c>
      <c r="M449" s="2">
        <v>1</v>
      </c>
      <c r="N449" s="2">
        <v>0</v>
      </c>
      <c r="O449" s="2">
        <v>0</v>
      </c>
      <c r="P449" s="2">
        <v>0</v>
      </c>
      <c r="Q449" s="2">
        <v>10</v>
      </c>
      <c r="R449" s="238">
        <v>367</v>
      </c>
      <c r="S449" s="219">
        <f t="shared" si="14"/>
        <v>12</v>
      </c>
      <c r="T449" s="220">
        <f>SUM( tabConsumo[[#This Row],[QTD.PENDENTE]]:tabConsumo[[#This Row],[09_23]] ) / tabConsumo[[#This Row],[Div]]</f>
        <v>8.9166666666666661</v>
      </c>
      <c r="U449" s="221">
        <f xml:space="preserve"> tabConsumo[[#This Row],[Média.A]] + (_xlfn.STDEV.S( tabConsumo[[#This Row],[QTD.PENDENTE]]:tabConsumo[[#This Row],[09_23]] ) * 1)</f>
        <v>18.884417697168011</v>
      </c>
      <c r="V449" s="221">
        <f xml:space="preserve"> tabConsumo[[#This Row],[Média.A]] + (_xlfn.STDEV.S( tabConsumo[[#This Row],[QTD.PENDENTE]]:tabConsumo[[#This Row],[09_23]] ) * 2)</f>
        <v>28.852168727669351</v>
      </c>
      <c r="W449" s="221">
        <f xml:space="preserve"> tabConsumo[[#This Row],[Média.A]] + (_xlfn.STDEV.S( tabConsumo[[#This Row],[QTD.PENDENTE]]:tabConsumo[[#This Row],[09_23]] ) * 3)</f>
        <v>38.819919758170698</v>
      </c>
      <c r="X449" s="5">
        <f t="shared" si="13"/>
        <v>2</v>
      </c>
      <c r="Y449">
        <v>8.75</v>
      </c>
      <c r="Z449" s="223">
        <f>SUM( tabConsumo[[#This Row],[QTD.PENDENTE]]:tabConsumo[[#This Row],[09_23]] )</f>
        <v>107</v>
      </c>
      <c r="AA449" s="223">
        <f>LARGE(tabConsumo[[#This Row],[10_22]:[09_23]],1)</f>
        <v>30</v>
      </c>
      <c r="AB449" s="146" t="s">
        <v>2238</v>
      </c>
      <c r="AC449" s="3" t="s">
        <v>2086</v>
      </c>
    </row>
    <row r="450" spans="1:29" x14ac:dyDescent="0.3">
      <c r="A450" s="4" t="s">
        <v>1009</v>
      </c>
      <c r="B450" s="3" t="s">
        <v>380</v>
      </c>
      <c r="C450" s="2">
        <v>13109</v>
      </c>
      <c r="D450" s="2">
        <v>0</v>
      </c>
      <c r="E450" s="2">
        <v>29</v>
      </c>
      <c r="F450" s="2">
        <v>12</v>
      </c>
      <c r="G450" s="2">
        <v>102</v>
      </c>
      <c r="H450" s="2">
        <v>14</v>
      </c>
      <c r="I450" s="2">
        <v>24</v>
      </c>
      <c r="J450" s="2">
        <v>0</v>
      </c>
      <c r="K450" s="2">
        <v>0</v>
      </c>
      <c r="L450" s="2">
        <v>0</v>
      </c>
      <c r="M450" s="2">
        <v>0</v>
      </c>
      <c r="N450" s="2">
        <v>0</v>
      </c>
      <c r="O450" s="2">
        <v>12</v>
      </c>
      <c r="P450" s="2">
        <v>0</v>
      </c>
      <c r="Q450" s="2">
        <v>0</v>
      </c>
      <c r="R450" s="238">
        <v>367</v>
      </c>
      <c r="S450" s="219">
        <f t="shared" si="14"/>
        <v>12</v>
      </c>
      <c r="T450" s="220">
        <f>SUM( tabConsumo[[#This Row],[QTD.PENDENTE]]:tabConsumo[[#This Row],[09_23]] ) / tabConsumo[[#This Row],[Div]]</f>
        <v>16.083333333333332</v>
      </c>
      <c r="U450" s="221">
        <f xml:space="preserve"> tabConsumo[[#This Row],[Média.A]] + (_xlfn.STDEV.S( tabConsumo[[#This Row],[QTD.PENDENTE]]:tabConsumo[[#This Row],[09_23]] ) * 1)</f>
        <v>44.130454854819732</v>
      </c>
      <c r="V450" s="221">
        <f xml:space="preserve"> tabConsumo[[#This Row],[Média.A]] + (_xlfn.STDEV.S( tabConsumo[[#This Row],[QTD.PENDENTE]]:tabConsumo[[#This Row],[09_23]] ) * 2)</f>
        <v>72.177576376306135</v>
      </c>
      <c r="W450" s="221">
        <f xml:space="preserve"> tabConsumo[[#This Row],[Média.A]] + (_xlfn.STDEV.S( tabConsumo[[#This Row],[QTD.PENDENTE]]:tabConsumo[[#This Row],[09_23]] ) * 3)</f>
        <v>100.22469789779254</v>
      </c>
      <c r="X450" s="5">
        <f t="shared" si="13"/>
        <v>2</v>
      </c>
      <c r="Y450">
        <v>13.583333333333334</v>
      </c>
      <c r="Z450" s="223">
        <f>SUM( tabConsumo[[#This Row],[QTD.PENDENTE]]:tabConsumo[[#This Row],[09_23]] )</f>
        <v>193</v>
      </c>
      <c r="AA450" s="223">
        <f>LARGE(tabConsumo[[#This Row],[10_22]:[09_23]],1)</f>
        <v>102</v>
      </c>
      <c r="AB450" s="146" t="s">
        <v>2239</v>
      </c>
      <c r="AC450" s="3" t="s">
        <v>2086</v>
      </c>
    </row>
    <row r="451" spans="1:29" x14ac:dyDescent="0.3">
      <c r="A451" s="4" t="s">
        <v>1518</v>
      </c>
      <c r="B451" s="3" t="s">
        <v>380</v>
      </c>
      <c r="C451" s="2">
        <v>88838</v>
      </c>
      <c r="D451" s="2">
        <v>2384</v>
      </c>
      <c r="F451" s="2">
        <v>448</v>
      </c>
      <c r="G451" s="2">
        <v>342</v>
      </c>
      <c r="H451" s="2">
        <v>273</v>
      </c>
      <c r="I451" s="2">
        <v>133</v>
      </c>
      <c r="J451" s="2">
        <v>175</v>
      </c>
      <c r="K451" s="2">
        <v>403</v>
      </c>
      <c r="L451" s="2">
        <v>197</v>
      </c>
      <c r="M451" s="2">
        <v>251</v>
      </c>
      <c r="N451" s="2">
        <v>229</v>
      </c>
      <c r="O451" s="2">
        <v>271</v>
      </c>
      <c r="P451" s="2">
        <v>257</v>
      </c>
      <c r="Q451" s="2">
        <v>307</v>
      </c>
      <c r="R451" s="238">
        <v>38663</v>
      </c>
      <c r="S451" s="219">
        <v>12</v>
      </c>
      <c r="T451" s="220">
        <f>SUM( tabConsumo[[#This Row],[QTD.PENDENTE]]:tabConsumo[[#This Row],[09_23]] ) / tabConsumo[[#This Row],[Div]]</f>
        <v>273.83333333333331</v>
      </c>
      <c r="U451" s="221">
        <f xml:space="preserve"> tabConsumo[[#This Row],[Média.A]] + (_xlfn.STDEV.S( tabConsumo[[#This Row],[QTD.PENDENTE]]:tabConsumo[[#This Row],[09_23]] ) * 1)</f>
        <v>364.83466532491695</v>
      </c>
      <c r="V451" s="221">
        <f xml:space="preserve"> tabConsumo[[#This Row],[Média.A]] + (_xlfn.STDEV.S( tabConsumo[[#This Row],[QTD.PENDENTE]]:tabConsumo[[#This Row],[09_23]] ) * 2)</f>
        <v>455.83599731650054</v>
      </c>
      <c r="W451" s="221">
        <f xml:space="preserve"> tabConsumo[[#This Row],[Média.A]] + (_xlfn.STDEV.S( tabConsumo[[#This Row],[QTD.PENDENTE]]:tabConsumo[[#This Row],[09_23]] ) * 3)</f>
        <v>546.83732930808424</v>
      </c>
      <c r="X451" s="5">
        <f t="shared" ref="X451:X514" si="15" xml:space="preserve"> 2</f>
        <v>2</v>
      </c>
      <c r="Y451">
        <v>273.83333333333331</v>
      </c>
      <c r="Z451" s="223">
        <f>SUM( tabConsumo[[#This Row],[QTD.PENDENTE]]:tabConsumo[[#This Row],[09_23]] )</f>
        <v>3286</v>
      </c>
      <c r="AA451" s="223">
        <f>LARGE(tabConsumo[[#This Row],[10_22]:[09_23]],1)</f>
        <v>448</v>
      </c>
      <c r="AB451" s="146" t="s">
        <v>2238</v>
      </c>
      <c r="AC451" s="3" t="s">
        <v>2086</v>
      </c>
    </row>
    <row r="452" spans="1:29" x14ac:dyDescent="0.3">
      <c r="A452" s="4" t="s">
        <v>1402</v>
      </c>
      <c r="B452" s="3" t="s">
        <v>380</v>
      </c>
      <c r="C452" s="2">
        <v>71697</v>
      </c>
      <c r="D452" s="2">
        <v>1894</v>
      </c>
      <c r="E452" s="2">
        <v>105</v>
      </c>
      <c r="F452" s="2">
        <v>276</v>
      </c>
      <c r="G452" s="2">
        <v>270</v>
      </c>
      <c r="H452" s="2">
        <v>250</v>
      </c>
      <c r="I452" s="2">
        <v>88</v>
      </c>
      <c r="J452" s="2">
        <v>144</v>
      </c>
      <c r="K452" s="2">
        <v>358</v>
      </c>
      <c r="L452" s="2">
        <v>177</v>
      </c>
      <c r="M452" s="2">
        <v>196</v>
      </c>
      <c r="N452" s="2">
        <v>199</v>
      </c>
      <c r="O452" s="2">
        <v>256</v>
      </c>
      <c r="P452" s="2">
        <v>143</v>
      </c>
      <c r="Q452" s="2">
        <v>0</v>
      </c>
      <c r="R452" s="238">
        <v>367</v>
      </c>
      <c r="S452" s="219">
        <f xml:space="preserve"> 12</f>
        <v>12</v>
      </c>
      <c r="T452" s="220">
        <f>SUM( tabConsumo[[#This Row],[QTD.PENDENTE]]:tabConsumo[[#This Row],[09_23]] ) / tabConsumo[[#This Row],[Div]]</f>
        <v>205.16666666666666</v>
      </c>
      <c r="U452" s="221">
        <f xml:space="preserve"> tabConsumo[[#This Row],[Média.A]] + (_xlfn.STDEV.S( tabConsumo[[#This Row],[QTD.PENDENTE]]:tabConsumo[[#This Row],[09_23]] ) * 1)</f>
        <v>300.17152484204144</v>
      </c>
      <c r="V452" s="221">
        <f xml:space="preserve"> tabConsumo[[#This Row],[Média.A]] + (_xlfn.STDEV.S( tabConsumo[[#This Row],[QTD.PENDENTE]]:tabConsumo[[#This Row],[09_23]] ) * 2)</f>
        <v>395.17638301741624</v>
      </c>
      <c r="W452" s="221">
        <f xml:space="preserve"> tabConsumo[[#This Row],[Média.A]] + (_xlfn.STDEV.S( tabConsumo[[#This Row],[QTD.PENDENTE]]:tabConsumo[[#This Row],[09_23]] ) * 3)</f>
        <v>490.18124119279105</v>
      </c>
      <c r="X452" s="5">
        <f t="shared" si="15"/>
        <v>2</v>
      </c>
      <c r="Y452">
        <v>205.16666666666666</v>
      </c>
      <c r="Z452" s="223">
        <f>SUM( tabConsumo[[#This Row],[QTD.PENDENTE]]:tabConsumo[[#This Row],[09_23]] )</f>
        <v>2462</v>
      </c>
      <c r="AA452" s="223">
        <f>LARGE(tabConsumo[[#This Row],[10_22]:[09_23]],1)</f>
        <v>358</v>
      </c>
      <c r="AB452" s="146" t="s">
        <v>2241</v>
      </c>
      <c r="AC452" s="3" t="s">
        <v>2086</v>
      </c>
    </row>
    <row r="453" spans="1:29" x14ac:dyDescent="0.3">
      <c r="A453" s="4" t="s">
        <v>1165</v>
      </c>
      <c r="B453" s="3" t="s">
        <v>263</v>
      </c>
      <c r="C453" s="2">
        <v>20167</v>
      </c>
      <c r="D453" s="2">
        <v>0</v>
      </c>
      <c r="E453" s="2">
        <v>2</v>
      </c>
      <c r="F453" s="2">
        <v>0</v>
      </c>
      <c r="G453" s="2">
        <v>2</v>
      </c>
      <c r="H453" s="2">
        <v>0</v>
      </c>
      <c r="I453" s="2">
        <v>5</v>
      </c>
      <c r="J453" s="2">
        <v>1</v>
      </c>
      <c r="K453" s="2">
        <v>3</v>
      </c>
      <c r="L453" s="2">
        <v>0</v>
      </c>
      <c r="M453" s="2">
        <v>2</v>
      </c>
      <c r="N453" s="2">
        <v>0</v>
      </c>
      <c r="O453" s="2">
        <v>0</v>
      </c>
      <c r="P453" s="2">
        <v>0</v>
      </c>
      <c r="Q453" s="2">
        <v>0</v>
      </c>
      <c r="R453" s="238">
        <v>367</v>
      </c>
      <c r="S453" s="219">
        <f xml:space="preserve"> 12</f>
        <v>12</v>
      </c>
      <c r="T453" s="220">
        <f>SUM( tabConsumo[[#This Row],[QTD.PENDENTE]]:tabConsumo[[#This Row],[09_23]] ) / tabConsumo[[#This Row],[Div]]</f>
        <v>1.25</v>
      </c>
      <c r="U453" s="221">
        <f xml:space="preserve"> tabConsumo[[#This Row],[Média.A]] + (_xlfn.STDEV.S( tabConsumo[[#This Row],[QTD.PENDENTE]]:tabConsumo[[#This Row],[09_23]] ) * 1)</f>
        <v>2.8230095277394138</v>
      </c>
      <c r="V453" s="221">
        <f xml:space="preserve"> tabConsumo[[#This Row],[Média.A]] + (_xlfn.STDEV.S( tabConsumo[[#This Row],[QTD.PENDENTE]]:tabConsumo[[#This Row],[09_23]] ) * 2)</f>
        <v>4.3960190554788277</v>
      </c>
      <c r="W453" s="221">
        <f xml:space="preserve"> tabConsumo[[#This Row],[Média.A]] + (_xlfn.STDEV.S( tabConsumo[[#This Row],[QTD.PENDENTE]]:tabConsumo[[#This Row],[09_23]] ) * 3)</f>
        <v>5.9690285832182424</v>
      </c>
      <c r="X453" s="5">
        <f t="shared" si="15"/>
        <v>2</v>
      </c>
      <c r="Y453">
        <v>1.1666666666666667</v>
      </c>
      <c r="Z453" s="223">
        <f>SUM( tabConsumo[[#This Row],[QTD.PENDENTE]]:tabConsumo[[#This Row],[09_23]] )</f>
        <v>15</v>
      </c>
      <c r="AA453" s="223">
        <f>LARGE(tabConsumo[[#This Row],[10_22]:[09_23]],1)</f>
        <v>5</v>
      </c>
      <c r="AB453" s="146" t="s">
        <v>2244</v>
      </c>
      <c r="AC453" s="3" t="s">
        <v>2086</v>
      </c>
    </row>
    <row r="454" spans="1:29" x14ac:dyDescent="0.3">
      <c r="A454" s="4" t="s">
        <v>1953</v>
      </c>
      <c r="B454" s="3" t="s">
        <v>31</v>
      </c>
      <c r="C454" s="2">
        <v>136898</v>
      </c>
      <c r="D454" s="2">
        <v>0</v>
      </c>
      <c r="E454" s="2">
        <v>22</v>
      </c>
      <c r="F454" s="2">
        <v>30</v>
      </c>
      <c r="G454" s="2">
        <v>42</v>
      </c>
      <c r="H454" s="2">
        <v>0</v>
      </c>
      <c r="I454" s="2">
        <v>0</v>
      </c>
      <c r="J454" s="2">
        <v>50</v>
      </c>
      <c r="K454" s="2">
        <v>0</v>
      </c>
      <c r="L454" s="2">
        <v>0</v>
      </c>
      <c r="M454" s="2">
        <v>0</v>
      </c>
      <c r="N454" s="2">
        <v>0</v>
      </c>
      <c r="O454" s="2">
        <v>0</v>
      </c>
      <c r="P454" s="2">
        <v>0</v>
      </c>
      <c r="Q454" s="2">
        <v>0</v>
      </c>
      <c r="R454" s="238">
        <v>43584</v>
      </c>
      <c r="S454" s="219">
        <v>12</v>
      </c>
      <c r="T454" s="220">
        <f>SUM( tabConsumo[[#This Row],[QTD.PENDENTE]]:tabConsumo[[#This Row],[09_23]] ) / tabConsumo[[#This Row],[Div]]</f>
        <v>12</v>
      </c>
      <c r="U454" s="221">
        <f xml:space="preserve"> tabConsumo[[#This Row],[Média.A]] + (_xlfn.STDEV.S( tabConsumo[[#This Row],[QTD.PENDENTE]]:tabConsumo[[#This Row],[09_23]] ) * 1)</f>
        <v>30.377801548161024</v>
      </c>
      <c r="V454" s="221">
        <f xml:space="preserve"> tabConsumo[[#This Row],[Média.A]] + (_xlfn.STDEV.S( tabConsumo[[#This Row],[QTD.PENDENTE]]:tabConsumo[[#This Row],[09_23]] ) * 2)</f>
        <v>48.755603096322048</v>
      </c>
      <c r="W454" s="221">
        <f xml:space="preserve"> tabConsumo[[#This Row],[Média.A]] + (_xlfn.STDEV.S( tabConsumo[[#This Row],[QTD.PENDENTE]]:tabConsumo[[#This Row],[09_23]] ) * 3)</f>
        <v>67.133404644483079</v>
      </c>
      <c r="X454" s="5">
        <f t="shared" si="15"/>
        <v>2</v>
      </c>
      <c r="Y454">
        <v>11.833333333333334</v>
      </c>
      <c r="Z454" s="223">
        <f>SUM( tabConsumo[[#This Row],[QTD.PENDENTE]]:tabConsumo[[#This Row],[09_23]] )</f>
        <v>144</v>
      </c>
      <c r="AA454" s="223">
        <f>LARGE(tabConsumo[[#This Row],[10_22]:[09_23]],1)</f>
        <v>50</v>
      </c>
      <c r="AB454" s="146" t="s">
        <v>2248</v>
      </c>
      <c r="AC454" s="3" t="s">
        <v>2086</v>
      </c>
    </row>
    <row r="455" spans="1:29" x14ac:dyDescent="0.3">
      <c r="A455" s="4" t="s">
        <v>1301</v>
      </c>
      <c r="B455" s="3" t="s">
        <v>263</v>
      </c>
      <c r="C455" s="2">
        <v>51222</v>
      </c>
      <c r="D455" s="2">
        <v>61</v>
      </c>
      <c r="F455" s="2">
        <v>0</v>
      </c>
      <c r="G455" s="2">
        <v>0</v>
      </c>
      <c r="H455" s="2">
        <v>0</v>
      </c>
      <c r="I455" s="2">
        <v>10</v>
      </c>
      <c r="J455" s="2">
        <v>0</v>
      </c>
      <c r="K455" s="2">
        <v>0</v>
      </c>
      <c r="L455" s="2">
        <v>0</v>
      </c>
      <c r="M455" s="2">
        <v>0</v>
      </c>
      <c r="N455" s="2">
        <v>0</v>
      </c>
      <c r="O455" s="2">
        <v>0</v>
      </c>
      <c r="P455" s="2">
        <v>0</v>
      </c>
      <c r="Q455" s="2">
        <v>0</v>
      </c>
      <c r="R455" s="238">
        <v>367</v>
      </c>
      <c r="S455" s="219">
        <f xml:space="preserve"> 12</f>
        <v>12</v>
      </c>
      <c r="T455" s="220">
        <f>SUM( tabConsumo[[#This Row],[QTD.PENDENTE]]:tabConsumo[[#This Row],[09_23]] ) / tabConsumo[[#This Row],[Div]]</f>
        <v>0.83333333333333337</v>
      </c>
      <c r="U455" s="221">
        <f xml:space="preserve"> tabConsumo[[#This Row],[Média.A]] + (_xlfn.STDEV.S( tabConsumo[[#This Row],[QTD.PENDENTE]]:tabConsumo[[#This Row],[09_23]] ) * 1)</f>
        <v>3.7200846792814626</v>
      </c>
      <c r="V455" s="221">
        <f xml:space="preserve"> tabConsumo[[#This Row],[Média.A]] + (_xlfn.STDEV.S( tabConsumo[[#This Row],[QTD.PENDENTE]]:tabConsumo[[#This Row],[09_23]] ) * 2)</f>
        <v>6.6068360252295912</v>
      </c>
      <c r="W455" s="221">
        <f xml:space="preserve"> tabConsumo[[#This Row],[Média.A]] + (_xlfn.STDEV.S( tabConsumo[[#This Row],[QTD.PENDENTE]]:tabConsumo[[#This Row],[09_23]] ) * 3)</f>
        <v>9.4935873711777212</v>
      </c>
      <c r="X455" s="5">
        <f t="shared" si="15"/>
        <v>2</v>
      </c>
      <c r="Y455">
        <v>0.5</v>
      </c>
      <c r="Z455" s="223">
        <f>SUM( tabConsumo[[#This Row],[QTD.PENDENTE]]:tabConsumo[[#This Row],[09_23]] )</f>
        <v>10</v>
      </c>
      <c r="AA455" s="223">
        <f>LARGE(tabConsumo[[#This Row],[10_22]:[09_23]],1)</f>
        <v>10</v>
      </c>
      <c r="AB455" s="146" t="s">
        <v>2247</v>
      </c>
      <c r="AC455" s="3" t="s">
        <v>2086</v>
      </c>
    </row>
    <row r="456" spans="1:29" x14ac:dyDescent="0.3">
      <c r="A456" s="4" t="s">
        <v>1085</v>
      </c>
      <c r="B456" s="3" t="s">
        <v>263</v>
      </c>
      <c r="C456" s="2">
        <v>15167</v>
      </c>
      <c r="D456" s="2">
        <v>290</v>
      </c>
      <c r="E456" s="2">
        <v>8</v>
      </c>
      <c r="F456" s="2">
        <v>103</v>
      </c>
      <c r="G456" s="2">
        <v>60</v>
      </c>
      <c r="H456" s="2">
        <v>20</v>
      </c>
      <c r="I456" s="2">
        <v>120</v>
      </c>
      <c r="J456" s="2">
        <v>52</v>
      </c>
      <c r="K456" s="2">
        <v>0</v>
      </c>
      <c r="L456" s="2">
        <v>110</v>
      </c>
      <c r="M456" s="2">
        <v>0</v>
      </c>
      <c r="N456" s="2">
        <v>0</v>
      </c>
      <c r="O456" s="2">
        <v>0</v>
      </c>
      <c r="P456" s="2">
        <v>0</v>
      </c>
      <c r="Q456" s="2">
        <v>0</v>
      </c>
      <c r="R456" s="238">
        <v>367</v>
      </c>
      <c r="S456" s="219">
        <f xml:space="preserve"> 12</f>
        <v>12</v>
      </c>
      <c r="T456" s="220">
        <f>SUM( tabConsumo[[#This Row],[QTD.PENDENTE]]:tabConsumo[[#This Row],[09_23]] ) / tabConsumo[[#This Row],[Div]]</f>
        <v>39.416666666666664</v>
      </c>
      <c r="U456" s="221">
        <f xml:space="preserve"> tabConsumo[[#This Row],[Média.A]] + (_xlfn.STDEV.S( tabConsumo[[#This Row],[QTD.PENDENTE]]:tabConsumo[[#This Row],[09_23]] ) * 1)</f>
        <v>86.557481363237301</v>
      </c>
      <c r="V456" s="221">
        <f xml:space="preserve"> tabConsumo[[#This Row],[Média.A]] + (_xlfn.STDEV.S( tabConsumo[[#This Row],[QTD.PENDENTE]]:tabConsumo[[#This Row],[09_23]] ) * 2)</f>
        <v>133.69829605980794</v>
      </c>
      <c r="W456" s="221">
        <f xml:space="preserve"> tabConsumo[[#This Row],[Média.A]] + (_xlfn.STDEV.S( tabConsumo[[#This Row],[QTD.PENDENTE]]:tabConsumo[[#This Row],[09_23]] ) * 3)</f>
        <v>180.83911075637857</v>
      </c>
      <c r="X456" s="5">
        <f t="shared" si="15"/>
        <v>2</v>
      </c>
      <c r="Y456">
        <v>39.416666666666664</v>
      </c>
      <c r="Z456" s="223">
        <f>SUM( tabConsumo[[#This Row],[QTD.PENDENTE]]:tabConsumo[[#This Row],[09_23]] )</f>
        <v>473</v>
      </c>
      <c r="AA456" s="223">
        <f>LARGE(tabConsumo[[#This Row],[10_22]:[09_23]],1)</f>
        <v>120</v>
      </c>
      <c r="AB456" s="146" t="s">
        <v>2240</v>
      </c>
      <c r="AC456" s="3" t="s">
        <v>2086</v>
      </c>
    </row>
    <row r="457" spans="1:29" x14ac:dyDescent="0.3">
      <c r="A457" s="4" t="s">
        <v>2029</v>
      </c>
      <c r="B457" s="3" t="s">
        <v>263</v>
      </c>
      <c r="C457" s="2">
        <v>140666</v>
      </c>
      <c r="D457" s="2">
        <v>18</v>
      </c>
      <c r="F457" s="2">
        <v>0</v>
      </c>
      <c r="G457" s="2">
        <v>0</v>
      </c>
      <c r="H457" s="2">
        <v>7</v>
      </c>
      <c r="I457" s="2">
        <v>35</v>
      </c>
      <c r="J457" s="2">
        <v>5</v>
      </c>
      <c r="K457" s="2">
        <v>3</v>
      </c>
      <c r="L457" s="2">
        <v>38</v>
      </c>
      <c r="M457" s="2">
        <v>0</v>
      </c>
      <c r="N457" s="2">
        <v>0</v>
      </c>
      <c r="O457" s="2">
        <v>10</v>
      </c>
      <c r="P457" s="2">
        <v>0</v>
      </c>
      <c r="Q457" s="2">
        <v>0</v>
      </c>
      <c r="R457" s="238">
        <v>44243</v>
      </c>
      <c r="S457" s="219">
        <v>12</v>
      </c>
      <c r="T457" s="220">
        <f>SUM( tabConsumo[[#This Row],[QTD.PENDENTE]]:tabConsumo[[#This Row],[09_23]] ) / tabConsumo[[#This Row],[Div]]</f>
        <v>8.1666666666666661</v>
      </c>
      <c r="U457" s="221">
        <f xml:space="preserve"> tabConsumo[[#This Row],[Média.A]] + (_xlfn.STDEV.S( tabConsumo[[#This Row],[QTD.PENDENTE]]:tabConsumo[[#This Row],[09_23]] ) * 1)</f>
        <v>21.823721675531189</v>
      </c>
      <c r="V457" s="221">
        <f xml:space="preserve"> tabConsumo[[#This Row],[Média.A]] + (_xlfn.STDEV.S( tabConsumo[[#This Row],[QTD.PENDENTE]]:tabConsumo[[#This Row],[09_23]] ) * 2)</f>
        <v>35.480776684395707</v>
      </c>
      <c r="W457" s="221">
        <f xml:space="preserve"> tabConsumo[[#This Row],[Média.A]] + (_xlfn.STDEV.S( tabConsumo[[#This Row],[QTD.PENDENTE]]:tabConsumo[[#This Row],[09_23]] ) * 3)</f>
        <v>49.137831693260232</v>
      </c>
      <c r="X457" s="5">
        <f t="shared" si="15"/>
        <v>2</v>
      </c>
      <c r="Y457">
        <v>7.916666666666667</v>
      </c>
      <c r="Z457" s="223">
        <f>SUM( tabConsumo[[#This Row],[QTD.PENDENTE]]:tabConsumo[[#This Row],[09_23]] )</f>
        <v>98</v>
      </c>
      <c r="AA457" s="223">
        <f>LARGE(tabConsumo[[#This Row],[10_22]:[09_23]],1)</f>
        <v>38</v>
      </c>
      <c r="AB457" s="146" t="s">
        <v>2239</v>
      </c>
      <c r="AC457" s="3" t="s">
        <v>2086</v>
      </c>
    </row>
    <row r="458" spans="1:29" x14ac:dyDescent="0.3">
      <c r="A458" s="4" t="s">
        <v>1985</v>
      </c>
      <c r="B458" s="3" t="s">
        <v>31</v>
      </c>
      <c r="C458" s="2">
        <v>138554</v>
      </c>
      <c r="D458" s="2">
        <v>248</v>
      </c>
      <c r="F458" s="2">
        <v>0</v>
      </c>
      <c r="G458" s="2">
        <v>0</v>
      </c>
      <c r="H458" s="2">
        <v>0</v>
      </c>
      <c r="I458" s="2">
        <v>0</v>
      </c>
      <c r="J458" s="2">
        <v>0</v>
      </c>
      <c r="K458" s="2">
        <v>0</v>
      </c>
      <c r="L458" s="2">
        <v>0</v>
      </c>
      <c r="M458" s="2">
        <v>0</v>
      </c>
      <c r="N458" s="2">
        <v>104</v>
      </c>
      <c r="O458" s="2">
        <v>104</v>
      </c>
      <c r="P458" s="2">
        <v>110</v>
      </c>
      <c r="Q458" s="2">
        <v>50</v>
      </c>
      <c r="R458" s="238">
        <v>43734</v>
      </c>
      <c r="S458" s="219">
        <v>12</v>
      </c>
      <c r="T458" s="220">
        <f>SUM( tabConsumo[[#This Row],[QTD.PENDENTE]]:tabConsumo[[#This Row],[09_23]] ) / tabConsumo[[#This Row],[Div]]</f>
        <v>30.666666666666668</v>
      </c>
      <c r="U458" s="221">
        <f xml:space="preserve"> tabConsumo[[#This Row],[Média.A]] + (_xlfn.STDEV.S( tabConsumo[[#This Row],[QTD.PENDENTE]]:tabConsumo[[#This Row],[09_23]] ) * 1)</f>
        <v>78.288917641172148</v>
      </c>
      <c r="V458" s="221">
        <f xml:space="preserve"> tabConsumo[[#This Row],[Média.A]] + (_xlfn.STDEV.S( tabConsumo[[#This Row],[QTD.PENDENTE]]:tabConsumo[[#This Row],[09_23]] ) * 2)</f>
        <v>125.91116861567762</v>
      </c>
      <c r="W458" s="221">
        <f xml:space="preserve"> tabConsumo[[#This Row],[Média.A]] + (_xlfn.STDEV.S( tabConsumo[[#This Row],[QTD.PENDENTE]]:tabConsumo[[#This Row],[09_23]] ) * 3)</f>
        <v>173.53341959018309</v>
      </c>
      <c r="X458" s="5">
        <f t="shared" si="15"/>
        <v>2</v>
      </c>
      <c r="Y458">
        <v>30.666666666666668</v>
      </c>
      <c r="Z458" s="223">
        <f>SUM( tabConsumo[[#This Row],[QTD.PENDENTE]]:tabConsumo[[#This Row],[09_23]] )</f>
        <v>368</v>
      </c>
      <c r="AA458" s="223">
        <f>LARGE(tabConsumo[[#This Row],[10_22]:[09_23]],1)</f>
        <v>110</v>
      </c>
      <c r="AB458" s="146" t="s">
        <v>2238</v>
      </c>
      <c r="AC458" s="3" t="s">
        <v>2086</v>
      </c>
    </row>
    <row r="459" spans="1:29" x14ac:dyDescent="0.3">
      <c r="A459" s="4" t="s">
        <v>1983</v>
      </c>
      <c r="B459" s="3" t="s">
        <v>31</v>
      </c>
      <c r="C459" s="2">
        <v>138552</v>
      </c>
      <c r="D459" s="2">
        <v>484</v>
      </c>
      <c r="F459" s="2">
        <v>2</v>
      </c>
      <c r="G459" s="2">
        <v>0</v>
      </c>
      <c r="H459" s="2">
        <v>0</v>
      </c>
      <c r="I459" s="2">
        <v>2</v>
      </c>
      <c r="J459" s="2">
        <v>0</v>
      </c>
      <c r="K459" s="2">
        <v>0</v>
      </c>
      <c r="L459" s="2">
        <v>4</v>
      </c>
      <c r="M459" s="2">
        <v>35</v>
      </c>
      <c r="N459" s="2">
        <v>0</v>
      </c>
      <c r="O459" s="2">
        <v>27</v>
      </c>
      <c r="P459" s="2">
        <v>0</v>
      </c>
      <c r="Q459" s="2">
        <v>45</v>
      </c>
      <c r="R459" s="238">
        <v>43734</v>
      </c>
      <c r="S459" s="219">
        <v>12</v>
      </c>
      <c r="T459" s="220">
        <f>SUM( tabConsumo[[#This Row],[QTD.PENDENTE]]:tabConsumo[[#This Row],[09_23]] ) / tabConsumo[[#This Row],[Div]]</f>
        <v>9.5833333333333339</v>
      </c>
      <c r="U459" s="221">
        <f xml:space="preserve"> tabConsumo[[#This Row],[Média.A]] + (_xlfn.STDEV.S( tabConsumo[[#This Row],[QTD.PENDENTE]]:tabConsumo[[#This Row],[09_23]] ) * 1)</f>
        <v>25.822782122306961</v>
      </c>
      <c r="V459" s="221">
        <f xml:space="preserve"> tabConsumo[[#This Row],[Média.A]] + (_xlfn.STDEV.S( tabConsumo[[#This Row],[QTD.PENDENTE]]:tabConsumo[[#This Row],[09_23]] ) * 2)</f>
        <v>42.062230911280587</v>
      </c>
      <c r="W459" s="221">
        <f xml:space="preserve"> tabConsumo[[#This Row],[Média.A]] + (_xlfn.STDEV.S( tabConsumo[[#This Row],[QTD.PENDENTE]]:tabConsumo[[#This Row],[09_23]] ) * 3)</f>
        <v>58.301679700254212</v>
      </c>
      <c r="X459" s="5">
        <f t="shared" si="15"/>
        <v>2</v>
      </c>
      <c r="Y459">
        <v>9.3333333333333339</v>
      </c>
      <c r="Z459" s="223">
        <f>SUM( tabConsumo[[#This Row],[QTD.PENDENTE]]:tabConsumo[[#This Row],[09_23]] )</f>
        <v>115</v>
      </c>
      <c r="AA459" s="223">
        <f>LARGE(tabConsumo[[#This Row],[10_22]:[09_23]],1)</f>
        <v>45</v>
      </c>
      <c r="AB459" s="146" t="s">
        <v>2238</v>
      </c>
      <c r="AC459" s="3" t="s">
        <v>2086</v>
      </c>
    </row>
    <row r="460" spans="1:29" x14ac:dyDescent="0.3">
      <c r="A460" s="4" t="s">
        <v>1984</v>
      </c>
      <c r="B460" s="3" t="s">
        <v>31</v>
      </c>
      <c r="C460" s="2">
        <v>138553</v>
      </c>
      <c r="D460" s="2">
        <v>660</v>
      </c>
      <c r="F460" s="2">
        <v>0</v>
      </c>
      <c r="G460" s="2">
        <v>0</v>
      </c>
      <c r="H460" s="2">
        <v>10</v>
      </c>
      <c r="I460" s="2">
        <v>0</v>
      </c>
      <c r="J460" s="2">
        <v>0</v>
      </c>
      <c r="K460" s="2">
        <v>0</v>
      </c>
      <c r="L460" s="2">
        <v>0</v>
      </c>
      <c r="M460" s="2">
        <v>10</v>
      </c>
      <c r="N460" s="2">
        <v>0</v>
      </c>
      <c r="O460" s="2">
        <v>0</v>
      </c>
      <c r="P460" s="2">
        <v>0</v>
      </c>
      <c r="Q460" s="2">
        <v>0</v>
      </c>
      <c r="R460" s="238">
        <v>43734</v>
      </c>
      <c r="S460" s="219">
        <v>12</v>
      </c>
      <c r="T460" s="220">
        <f>SUM( tabConsumo[[#This Row],[QTD.PENDENTE]]:tabConsumo[[#This Row],[09_23]] ) / tabConsumo[[#This Row],[Div]]</f>
        <v>1.6666666666666667</v>
      </c>
      <c r="U460" s="221">
        <f xml:space="preserve"> tabConsumo[[#This Row],[Média.A]] + (_xlfn.STDEV.S( tabConsumo[[#This Row],[QTD.PENDENTE]]:tabConsumo[[#This Row],[09_23]] ) * 1)</f>
        <v>5.5591613874742816</v>
      </c>
      <c r="V460" s="221">
        <f xml:space="preserve"> tabConsumo[[#This Row],[Média.A]] + (_xlfn.STDEV.S( tabConsumo[[#This Row],[QTD.PENDENTE]]:tabConsumo[[#This Row],[09_23]] ) * 2)</f>
        <v>9.4516561082818953</v>
      </c>
      <c r="W460" s="221">
        <f xml:space="preserve"> tabConsumo[[#This Row],[Média.A]] + (_xlfn.STDEV.S( tabConsumo[[#This Row],[QTD.PENDENTE]]:tabConsumo[[#This Row],[09_23]] ) * 3)</f>
        <v>13.344150829089509</v>
      </c>
      <c r="X460" s="5">
        <f t="shared" si="15"/>
        <v>2</v>
      </c>
      <c r="Y460">
        <v>1.5</v>
      </c>
      <c r="Z460" s="223">
        <f>SUM( tabConsumo[[#This Row],[QTD.PENDENTE]]:tabConsumo[[#This Row],[09_23]] )</f>
        <v>20</v>
      </c>
      <c r="AA460" s="223">
        <f>LARGE(tabConsumo[[#This Row],[10_22]:[09_23]],1)</f>
        <v>10</v>
      </c>
      <c r="AB460" s="146" t="s">
        <v>2244</v>
      </c>
      <c r="AC460" s="3" t="s">
        <v>2086</v>
      </c>
    </row>
    <row r="461" spans="1:29" x14ac:dyDescent="0.3">
      <c r="A461" s="4" t="s">
        <v>1661</v>
      </c>
      <c r="B461" s="3" t="s">
        <v>263</v>
      </c>
      <c r="C461" s="2">
        <v>108697</v>
      </c>
      <c r="D461" s="2">
        <v>37</v>
      </c>
      <c r="F461" s="2">
        <v>0</v>
      </c>
      <c r="G461" s="2">
        <v>0</v>
      </c>
      <c r="H461" s="2">
        <v>0</v>
      </c>
      <c r="I461" s="2">
        <v>0</v>
      </c>
      <c r="J461" s="2">
        <v>0</v>
      </c>
      <c r="K461" s="2">
        <v>0</v>
      </c>
      <c r="L461" s="2">
        <v>5</v>
      </c>
      <c r="M461" s="2">
        <v>0</v>
      </c>
      <c r="N461" s="2">
        <v>6</v>
      </c>
      <c r="O461" s="2">
        <v>0</v>
      </c>
      <c r="P461" s="2">
        <v>0</v>
      </c>
      <c r="Q461" s="2">
        <v>0</v>
      </c>
      <c r="R461" s="238">
        <v>39759</v>
      </c>
      <c r="S461" s="219">
        <v>12</v>
      </c>
      <c r="T461" s="220">
        <f>SUM( tabConsumo[[#This Row],[QTD.PENDENTE]]:tabConsumo[[#This Row],[09_23]] ) / tabConsumo[[#This Row],[Div]]</f>
        <v>0.91666666666666663</v>
      </c>
      <c r="U461" s="221">
        <f xml:space="preserve"> tabConsumo[[#This Row],[Média.A]] + (_xlfn.STDEV.S( tabConsumo[[#This Row],[QTD.PENDENTE]]:tabConsumo[[#This Row],[09_23]] ) * 1)</f>
        <v>3.0681284671148825</v>
      </c>
      <c r="V461" s="221">
        <f xml:space="preserve"> tabConsumo[[#This Row],[Média.A]] + (_xlfn.STDEV.S( tabConsumo[[#This Row],[QTD.PENDENTE]]:tabConsumo[[#This Row],[09_23]] ) * 2)</f>
        <v>5.219590267563099</v>
      </c>
      <c r="W461" s="221">
        <f xml:space="preserve"> tabConsumo[[#This Row],[Média.A]] + (_xlfn.STDEV.S( tabConsumo[[#This Row],[QTD.PENDENTE]]:tabConsumo[[#This Row],[09_23]] ) * 3)</f>
        <v>7.3710520680113154</v>
      </c>
      <c r="X461" s="5">
        <f t="shared" si="15"/>
        <v>2</v>
      </c>
      <c r="Y461">
        <v>0.83333333333333337</v>
      </c>
      <c r="Z461" s="223">
        <f>SUM( tabConsumo[[#This Row],[QTD.PENDENTE]]:tabConsumo[[#This Row],[09_23]] )</f>
        <v>11</v>
      </c>
      <c r="AA461" s="223">
        <f>LARGE(tabConsumo[[#This Row],[10_22]:[09_23]],1)</f>
        <v>6</v>
      </c>
      <c r="AB461" s="146" t="s">
        <v>2246</v>
      </c>
      <c r="AC461" s="3" t="s">
        <v>2086</v>
      </c>
    </row>
    <row r="462" spans="1:29" x14ac:dyDescent="0.3">
      <c r="A462" s="4" t="s">
        <v>1560</v>
      </c>
      <c r="B462" s="3" t="s">
        <v>436</v>
      </c>
      <c r="C462" s="2">
        <v>98080</v>
      </c>
      <c r="D462" s="2">
        <v>2328</v>
      </c>
      <c r="F462" s="2">
        <v>16</v>
      </c>
      <c r="G462" s="2">
        <v>28</v>
      </c>
      <c r="H462" s="2">
        <v>6</v>
      </c>
      <c r="I462" s="2">
        <v>6</v>
      </c>
      <c r="J462" s="2">
        <v>14</v>
      </c>
      <c r="K462" s="2">
        <v>35</v>
      </c>
      <c r="L462" s="2">
        <v>28</v>
      </c>
      <c r="M462" s="2">
        <v>33</v>
      </c>
      <c r="N462" s="2">
        <v>29</v>
      </c>
      <c r="O462" s="2">
        <v>25</v>
      </c>
      <c r="P462" s="2">
        <v>24</v>
      </c>
      <c r="Q462" s="2">
        <v>25</v>
      </c>
      <c r="R462" s="238">
        <v>39154</v>
      </c>
      <c r="S462" s="219">
        <v>12</v>
      </c>
      <c r="T462" s="220">
        <f>SUM( tabConsumo[[#This Row],[QTD.PENDENTE]]:tabConsumo[[#This Row],[09_23]] ) / tabConsumo[[#This Row],[Div]]</f>
        <v>22.416666666666668</v>
      </c>
      <c r="U462" s="221">
        <f xml:space="preserve"> tabConsumo[[#This Row],[Média.A]] + (_xlfn.STDEV.S( tabConsumo[[#This Row],[QTD.PENDENTE]]:tabConsumo[[#This Row],[09_23]] ) * 1)</f>
        <v>32.153740460194477</v>
      </c>
      <c r="V462" s="221">
        <f xml:space="preserve"> tabConsumo[[#This Row],[Média.A]] + (_xlfn.STDEV.S( tabConsumo[[#This Row],[QTD.PENDENTE]]:tabConsumo[[#This Row],[09_23]] ) * 2)</f>
        <v>41.89081425372229</v>
      </c>
      <c r="W462" s="221">
        <f xml:space="preserve"> tabConsumo[[#This Row],[Média.A]] + (_xlfn.STDEV.S( tabConsumo[[#This Row],[QTD.PENDENTE]]:tabConsumo[[#This Row],[09_23]] ) * 3)</f>
        <v>51.627888047250096</v>
      </c>
      <c r="X462" s="5">
        <f t="shared" si="15"/>
        <v>2</v>
      </c>
      <c r="Y462">
        <v>22.416666666666668</v>
      </c>
      <c r="Z462" s="223">
        <f>SUM( tabConsumo[[#This Row],[QTD.PENDENTE]]:tabConsumo[[#This Row],[09_23]] )</f>
        <v>269</v>
      </c>
      <c r="AA462" s="223">
        <f>LARGE(tabConsumo[[#This Row],[10_22]:[09_23]],1)</f>
        <v>35</v>
      </c>
      <c r="AB462" s="146" t="s">
        <v>2238</v>
      </c>
      <c r="AC462" s="3" t="s">
        <v>2086</v>
      </c>
    </row>
    <row r="463" spans="1:29" x14ac:dyDescent="0.3">
      <c r="A463" s="4" t="s">
        <v>1557</v>
      </c>
      <c r="B463" s="3" t="s">
        <v>436</v>
      </c>
      <c r="C463" s="2">
        <v>96516</v>
      </c>
      <c r="D463" s="2">
        <v>2989</v>
      </c>
      <c r="F463" s="2">
        <v>16</v>
      </c>
      <c r="G463" s="2">
        <v>21</v>
      </c>
      <c r="H463" s="2">
        <v>9</v>
      </c>
      <c r="I463" s="2">
        <v>9</v>
      </c>
      <c r="J463" s="2">
        <v>15</v>
      </c>
      <c r="K463" s="2">
        <v>40</v>
      </c>
      <c r="L463" s="2">
        <v>27</v>
      </c>
      <c r="M463" s="2">
        <v>111</v>
      </c>
      <c r="N463" s="2">
        <v>37</v>
      </c>
      <c r="O463" s="2">
        <v>25</v>
      </c>
      <c r="P463" s="2">
        <v>25</v>
      </c>
      <c r="Q463" s="2">
        <v>128</v>
      </c>
      <c r="R463" s="238">
        <v>39063</v>
      </c>
      <c r="S463" s="219">
        <v>12</v>
      </c>
      <c r="T463" s="220">
        <f>SUM( tabConsumo[[#This Row],[QTD.PENDENTE]]:tabConsumo[[#This Row],[09_23]] ) / tabConsumo[[#This Row],[Div]]</f>
        <v>38.583333333333336</v>
      </c>
      <c r="U463" s="221">
        <f xml:space="preserve"> tabConsumo[[#This Row],[Média.A]] + (_xlfn.STDEV.S( tabConsumo[[#This Row],[QTD.PENDENTE]]:tabConsumo[[#This Row],[09_23]] ) * 1)</f>
        <v>77.748388103517371</v>
      </c>
      <c r="V463" s="221">
        <f xml:space="preserve"> tabConsumo[[#This Row],[Média.A]] + (_xlfn.STDEV.S( tabConsumo[[#This Row],[QTD.PENDENTE]]:tabConsumo[[#This Row],[09_23]] ) * 2)</f>
        <v>116.9134428737014</v>
      </c>
      <c r="W463" s="221">
        <f xml:space="preserve"> tabConsumo[[#This Row],[Média.A]] + (_xlfn.STDEV.S( tabConsumo[[#This Row],[QTD.PENDENTE]]:tabConsumo[[#This Row],[09_23]] ) * 3)</f>
        <v>156.07849764388544</v>
      </c>
      <c r="X463" s="5">
        <f t="shared" si="15"/>
        <v>2</v>
      </c>
      <c r="Y463">
        <v>37.583333333333336</v>
      </c>
      <c r="Z463" s="223">
        <f>SUM( tabConsumo[[#This Row],[QTD.PENDENTE]]:tabConsumo[[#This Row],[09_23]] )</f>
        <v>463</v>
      </c>
      <c r="AA463" s="223">
        <f>LARGE(tabConsumo[[#This Row],[10_22]:[09_23]],1)</f>
        <v>128</v>
      </c>
      <c r="AB463" s="146" t="s">
        <v>2238</v>
      </c>
      <c r="AC463" s="3" t="s">
        <v>2086</v>
      </c>
    </row>
    <row r="464" spans="1:29" x14ac:dyDescent="0.3">
      <c r="A464" s="4" t="s">
        <v>1493</v>
      </c>
      <c r="B464" s="3" t="s">
        <v>269</v>
      </c>
      <c r="C464" s="2">
        <v>83839</v>
      </c>
      <c r="D464" s="2">
        <v>0</v>
      </c>
      <c r="E464" s="2">
        <v>1</v>
      </c>
      <c r="F464" s="2">
        <v>490</v>
      </c>
      <c r="G464" s="2">
        <v>537</v>
      </c>
      <c r="H464" s="2">
        <v>370</v>
      </c>
      <c r="I464" s="2">
        <v>129</v>
      </c>
      <c r="J464" s="2">
        <v>379</v>
      </c>
      <c r="K464" s="2">
        <v>726</v>
      </c>
      <c r="L464" s="2">
        <v>426</v>
      </c>
      <c r="M464" s="2">
        <v>489</v>
      </c>
      <c r="N464" s="2">
        <v>525</v>
      </c>
      <c r="O464" s="2">
        <v>482</v>
      </c>
      <c r="P464" s="2">
        <v>536</v>
      </c>
      <c r="Q464" s="2">
        <v>494</v>
      </c>
      <c r="R464" s="238">
        <v>38384</v>
      </c>
      <c r="S464" s="219">
        <v>12</v>
      </c>
      <c r="T464" s="220">
        <f>SUM( tabConsumo[[#This Row],[QTD.PENDENTE]]:tabConsumo[[#This Row],[09_23]] ) / tabConsumo[[#This Row],[Div]]</f>
        <v>465.33333333333331</v>
      </c>
      <c r="U464" s="221">
        <f xml:space="preserve"> tabConsumo[[#This Row],[Média.A]] + (_xlfn.STDEV.S( tabConsumo[[#This Row],[QTD.PENDENTE]]:tabConsumo[[#This Row],[09_23]] ) * 1)</f>
        <v>651.08927329426501</v>
      </c>
      <c r="V464" s="221">
        <f xml:space="preserve"> tabConsumo[[#This Row],[Média.A]] + (_xlfn.STDEV.S( tabConsumo[[#This Row],[QTD.PENDENTE]]:tabConsumo[[#This Row],[09_23]] ) * 2)</f>
        <v>836.84521325519665</v>
      </c>
      <c r="W464" s="221">
        <f xml:space="preserve"> tabConsumo[[#This Row],[Média.A]] + (_xlfn.STDEV.S( tabConsumo[[#This Row],[QTD.PENDENTE]]:tabConsumo[[#This Row],[09_23]] ) * 3)</f>
        <v>1022.6011532161283</v>
      </c>
      <c r="X464" s="5">
        <f t="shared" si="15"/>
        <v>2</v>
      </c>
      <c r="Y464">
        <v>465.33333333333331</v>
      </c>
      <c r="Z464" s="223">
        <f>SUM( tabConsumo[[#This Row],[QTD.PENDENTE]]:tabConsumo[[#This Row],[09_23]] )</f>
        <v>5584</v>
      </c>
      <c r="AA464" s="223">
        <f>LARGE(tabConsumo[[#This Row],[10_22]:[09_23]],1)</f>
        <v>726</v>
      </c>
      <c r="AB464" s="146" t="s">
        <v>2238</v>
      </c>
      <c r="AC464" s="3" t="s">
        <v>2086</v>
      </c>
    </row>
    <row r="465" spans="1:29" x14ac:dyDescent="0.3">
      <c r="A465" s="4" t="s">
        <v>1491</v>
      </c>
      <c r="B465" s="3" t="s">
        <v>269</v>
      </c>
      <c r="C465" s="2">
        <v>83838</v>
      </c>
      <c r="D465" s="2">
        <v>3791</v>
      </c>
      <c r="E465" s="2">
        <v>35</v>
      </c>
      <c r="F465" s="2">
        <v>1811</v>
      </c>
      <c r="G465" s="2">
        <v>2019</v>
      </c>
      <c r="H465" s="2">
        <v>1451</v>
      </c>
      <c r="I465" s="2">
        <v>394</v>
      </c>
      <c r="J465" s="2">
        <v>1575</v>
      </c>
      <c r="K465" s="2">
        <v>2515</v>
      </c>
      <c r="L465" s="2">
        <v>1459</v>
      </c>
      <c r="M465" s="2">
        <v>1902</v>
      </c>
      <c r="N465" s="2">
        <v>2151</v>
      </c>
      <c r="O465" s="2">
        <v>1997</v>
      </c>
      <c r="P465" s="2">
        <v>2148</v>
      </c>
      <c r="Q465" s="2">
        <v>1982</v>
      </c>
      <c r="R465" s="238">
        <v>38384</v>
      </c>
      <c r="S465" s="219">
        <v>12</v>
      </c>
      <c r="T465" s="220">
        <f>SUM( tabConsumo[[#This Row],[QTD.PENDENTE]]:tabConsumo[[#This Row],[09_23]] ) / tabConsumo[[#This Row],[Div]]</f>
        <v>1786.5833333333333</v>
      </c>
      <c r="U465" s="221">
        <f xml:space="preserve"> tabConsumo[[#This Row],[Média.A]] + (_xlfn.STDEV.S( tabConsumo[[#This Row],[QTD.PENDENTE]]:tabConsumo[[#This Row],[09_23]] ) * 1)</f>
        <v>2491.9737507800414</v>
      </c>
      <c r="V465" s="221">
        <f xml:space="preserve"> tabConsumo[[#This Row],[Média.A]] + (_xlfn.STDEV.S( tabConsumo[[#This Row],[QTD.PENDENTE]]:tabConsumo[[#This Row],[09_23]] ) * 2)</f>
        <v>3197.3641682267498</v>
      </c>
      <c r="W465" s="221">
        <f xml:space="preserve"> tabConsumo[[#This Row],[Média.A]] + (_xlfn.STDEV.S( tabConsumo[[#This Row],[QTD.PENDENTE]]:tabConsumo[[#This Row],[09_23]] ) * 3)</f>
        <v>3902.7545856734578</v>
      </c>
      <c r="X465" s="5">
        <f t="shared" si="15"/>
        <v>2</v>
      </c>
      <c r="Y465">
        <v>1786.5833333333333</v>
      </c>
      <c r="Z465" s="223">
        <f>SUM( tabConsumo[[#This Row],[QTD.PENDENTE]]:tabConsumo[[#This Row],[09_23]] )</f>
        <v>21439</v>
      </c>
      <c r="AA465" s="223">
        <f>LARGE(tabConsumo[[#This Row],[10_22]:[09_23]],1)</f>
        <v>2515</v>
      </c>
      <c r="AB465" s="146" t="s">
        <v>2238</v>
      </c>
      <c r="AC465" s="3" t="s">
        <v>2086</v>
      </c>
    </row>
    <row r="466" spans="1:29" x14ac:dyDescent="0.3">
      <c r="A466" s="4" t="s">
        <v>1935</v>
      </c>
      <c r="B466" s="3" t="s">
        <v>436</v>
      </c>
      <c r="C466" s="2">
        <v>136819</v>
      </c>
      <c r="D466" s="2">
        <v>239</v>
      </c>
      <c r="F466" s="2">
        <v>4</v>
      </c>
      <c r="G466" s="2">
        <v>0</v>
      </c>
      <c r="H466" s="2">
        <v>0</v>
      </c>
      <c r="I466" s="2">
        <v>3</v>
      </c>
      <c r="J466" s="2">
        <v>0</v>
      </c>
      <c r="K466" s="2">
        <v>2</v>
      </c>
      <c r="L466" s="2">
        <v>2</v>
      </c>
      <c r="M466" s="2">
        <v>2</v>
      </c>
      <c r="N466" s="2">
        <v>3</v>
      </c>
      <c r="O466" s="2">
        <v>2</v>
      </c>
      <c r="P466" s="2">
        <v>0</v>
      </c>
      <c r="Q466" s="2">
        <v>2</v>
      </c>
      <c r="R466" s="238">
        <v>43572</v>
      </c>
      <c r="S466" s="219">
        <v>12</v>
      </c>
      <c r="T466" s="220">
        <f>SUM( tabConsumo[[#This Row],[QTD.PENDENTE]]:tabConsumo[[#This Row],[09_23]] ) / tabConsumo[[#This Row],[Div]]</f>
        <v>1.6666666666666667</v>
      </c>
      <c r="U466" s="221">
        <f xml:space="preserve"> tabConsumo[[#This Row],[Média.A]] + (_xlfn.STDEV.S( tabConsumo[[#This Row],[QTD.PENDENTE]]:tabConsumo[[#This Row],[09_23]] ) * 1)</f>
        <v>3.0373555003513504</v>
      </c>
      <c r="V466" s="221">
        <f xml:space="preserve"> tabConsumo[[#This Row],[Média.A]] + (_xlfn.STDEV.S( tabConsumo[[#This Row],[QTD.PENDENTE]]:tabConsumo[[#This Row],[09_23]] ) * 2)</f>
        <v>4.4080443340360347</v>
      </c>
      <c r="W466" s="221">
        <f xml:space="preserve"> tabConsumo[[#This Row],[Média.A]] + (_xlfn.STDEV.S( tabConsumo[[#This Row],[QTD.PENDENTE]]:tabConsumo[[#This Row],[09_23]] ) * 3)</f>
        <v>5.778733167720719</v>
      </c>
      <c r="X466" s="5">
        <f t="shared" si="15"/>
        <v>2</v>
      </c>
      <c r="Y466">
        <v>1.6666666666666667</v>
      </c>
      <c r="Z466" s="223">
        <f>SUM( tabConsumo[[#This Row],[QTD.PENDENTE]]:tabConsumo[[#This Row],[09_23]] )</f>
        <v>20</v>
      </c>
      <c r="AA466" s="223">
        <f>LARGE(tabConsumo[[#This Row],[10_22]:[09_23]],1)</f>
        <v>4</v>
      </c>
      <c r="AB466" s="146" t="s">
        <v>2238</v>
      </c>
      <c r="AC466" s="3" t="s">
        <v>2086</v>
      </c>
    </row>
    <row r="467" spans="1:29" x14ac:dyDescent="0.3">
      <c r="A467" s="4" t="s">
        <v>982</v>
      </c>
      <c r="B467" s="3" t="s">
        <v>263</v>
      </c>
      <c r="C467" s="2">
        <v>12950</v>
      </c>
      <c r="D467" s="2">
        <v>221</v>
      </c>
      <c r="F467" s="2">
        <v>36</v>
      </c>
      <c r="G467" s="2">
        <v>6</v>
      </c>
      <c r="H467" s="2">
        <v>26</v>
      </c>
      <c r="I467" s="2">
        <v>11</v>
      </c>
      <c r="J467" s="2">
        <v>5</v>
      </c>
      <c r="K467" s="2">
        <v>18</v>
      </c>
      <c r="L467" s="2">
        <v>20</v>
      </c>
      <c r="M467" s="2">
        <v>0</v>
      </c>
      <c r="N467" s="2">
        <v>0</v>
      </c>
      <c r="O467" s="2">
        <v>0</v>
      </c>
      <c r="P467" s="2">
        <v>0</v>
      </c>
      <c r="Q467" s="2">
        <v>30</v>
      </c>
      <c r="R467" s="238">
        <v>367</v>
      </c>
      <c r="S467" s="219">
        <f t="shared" ref="S467:S472" si="16" xml:space="preserve"> 12</f>
        <v>12</v>
      </c>
      <c r="T467" s="220">
        <f>SUM( tabConsumo[[#This Row],[QTD.PENDENTE]]:tabConsumo[[#This Row],[09_23]] ) / tabConsumo[[#This Row],[Div]]</f>
        <v>12.666666666666666</v>
      </c>
      <c r="U467" s="221">
        <f xml:space="preserve"> tabConsumo[[#This Row],[Média.A]] + (_xlfn.STDEV.S( tabConsumo[[#This Row],[QTD.PENDENTE]]:tabConsumo[[#This Row],[09_23]] ) * 1)</f>
        <v>25.644503251561794</v>
      </c>
      <c r="V467" s="221">
        <f xml:space="preserve"> tabConsumo[[#This Row],[Média.A]] + (_xlfn.STDEV.S( tabConsumo[[#This Row],[QTD.PENDENTE]]:tabConsumo[[#This Row],[09_23]] ) * 2)</f>
        <v>38.622339836456923</v>
      </c>
      <c r="W467" s="221">
        <f xml:space="preserve"> tabConsumo[[#This Row],[Média.A]] + (_xlfn.STDEV.S( tabConsumo[[#This Row],[QTD.PENDENTE]]:tabConsumo[[#This Row],[09_23]] ) * 3)</f>
        <v>51.600176421352046</v>
      </c>
      <c r="X467" s="5">
        <f t="shared" si="15"/>
        <v>2</v>
      </c>
      <c r="Y467">
        <v>12.666666666666666</v>
      </c>
      <c r="Z467" s="223">
        <f>SUM( tabConsumo[[#This Row],[QTD.PENDENTE]]:tabConsumo[[#This Row],[09_23]] )</f>
        <v>152</v>
      </c>
      <c r="AA467" s="223">
        <f>LARGE(tabConsumo[[#This Row],[10_22]:[09_23]],1)</f>
        <v>36</v>
      </c>
      <c r="AB467" s="146" t="s">
        <v>2238</v>
      </c>
      <c r="AC467" s="3" t="s">
        <v>2086</v>
      </c>
    </row>
    <row r="468" spans="1:29" x14ac:dyDescent="0.3">
      <c r="A468" s="4" t="s">
        <v>1277</v>
      </c>
      <c r="B468" s="3" t="s">
        <v>263</v>
      </c>
      <c r="C468" s="2">
        <v>40772</v>
      </c>
      <c r="D468" s="2">
        <v>163</v>
      </c>
      <c r="F468" s="2">
        <v>0</v>
      </c>
      <c r="G468" s="2">
        <v>0</v>
      </c>
      <c r="H468" s="2">
        <v>0</v>
      </c>
      <c r="I468" s="2">
        <v>3</v>
      </c>
      <c r="J468" s="2">
        <v>0</v>
      </c>
      <c r="K468" s="2">
        <v>0</v>
      </c>
      <c r="L468" s="2">
        <v>10</v>
      </c>
      <c r="M468" s="2">
        <v>0</v>
      </c>
      <c r="N468" s="2">
        <v>0</v>
      </c>
      <c r="O468" s="2">
        <v>0</v>
      </c>
      <c r="P468" s="2">
        <v>0</v>
      </c>
      <c r="Q468" s="2">
        <v>0</v>
      </c>
      <c r="R468" s="238">
        <v>367</v>
      </c>
      <c r="S468" s="219">
        <f t="shared" si="16"/>
        <v>12</v>
      </c>
      <c r="T468" s="220">
        <f>SUM( tabConsumo[[#This Row],[QTD.PENDENTE]]:tabConsumo[[#This Row],[09_23]] ) / tabConsumo[[#This Row],[Div]]</f>
        <v>1.0833333333333333</v>
      </c>
      <c r="U468" s="221">
        <f xml:space="preserve"> tabConsumo[[#This Row],[Média.A]] + (_xlfn.STDEV.S( tabConsumo[[#This Row],[QTD.PENDENTE]]:tabConsumo[[#This Row],[09_23]] ) * 1)</f>
        <v>4.020813184972809</v>
      </c>
      <c r="V468" s="221">
        <f xml:space="preserve"> tabConsumo[[#This Row],[Média.A]] + (_xlfn.STDEV.S( tabConsumo[[#This Row],[QTD.PENDENTE]]:tabConsumo[[#This Row],[09_23]] ) * 2)</f>
        <v>6.958293036612285</v>
      </c>
      <c r="W468" s="221">
        <f xml:space="preserve"> tabConsumo[[#This Row],[Média.A]] + (_xlfn.STDEV.S( tabConsumo[[#This Row],[QTD.PENDENTE]]:tabConsumo[[#This Row],[09_23]] ) * 3)</f>
        <v>9.895772888251761</v>
      </c>
      <c r="X468" s="5">
        <f t="shared" si="15"/>
        <v>2</v>
      </c>
      <c r="Y468">
        <v>0.75</v>
      </c>
      <c r="Z468" s="223">
        <f>SUM( tabConsumo[[#This Row],[QTD.PENDENTE]]:tabConsumo[[#This Row],[09_23]] )</f>
        <v>13</v>
      </c>
      <c r="AA468" s="223">
        <f>LARGE(tabConsumo[[#This Row],[10_22]:[09_23]],1)</f>
        <v>10</v>
      </c>
      <c r="AB468" s="146" t="s">
        <v>2240</v>
      </c>
      <c r="AC468" s="3" t="s">
        <v>2086</v>
      </c>
    </row>
    <row r="469" spans="1:29" x14ac:dyDescent="0.3">
      <c r="A469" s="4" t="s">
        <v>981</v>
      </c>
      <c r="B469" s="3" t="s">
        <v>263</v>
      </c>
      <c r="C469" s="2">
        <v>12948</v>
      </c>
      <c r="D469" s="2">
        <v>40</v>
      </c>
      <c r="F469" s="2">
        <v>0</v>
      </c>
      <c r="G469" s="2">
        <v>0</v>
      </c>
      <c r="H469" s="2">
        <v>7</v>
      </c>
      <c r="I469" s="2">
        <v>0</v>
      </c>
      <c r="J469" s="2">
        <v>0</v>
      </c>
      <c r="K469" s="2">
        <v>0</v>
      </c>
      <c r="L469" s="2">
        <v>10</v>
      </c>
      <c r="M469" s="2">
        <v>0</v>
      </c>
      <c r="N469" s="2">
        <v>0</v>
      </c>
      <c r="O469" s="2">
        <v>0</v>
      </c>
      <c r="P469" s="2">
        <v>0</v>
      </c>
      <c r="Q469" s="2">
        <v>0</v>
      </c>
      <c r="R469" s="238">
        <v>367</v>
      </c>
      <c r="S469" s="219">
        <f t="shared" si="16"/>
        <v>12</v>
      </c>
      <c r="T469" s="220">
        <f>SUM( tabConsumo[[#This Row],[QTD.PENDENTE]]:tabConsumo[[#This Row],[09_23]] ) / tabConsumo[[#This Row],[Div]]</f>
        <v>1.4166666666666667</v>
      </c>
      <c r="U469" s="221">
        <f xml:space="preserve"> tabConsumo[[#This Row],[Média.A]] + (_xlfn.STDEV.S( tabConsumo[[#This Row],[QTD.PENDENTE]]:tabConsumo[[#This Row],[09_23]] ) * 1)</f>
        <v>4.7865421252052469</v>
      </c>
      <c r="V469" s="221">
        <f xml:space="preserve"> tabConsumo[[#This Row],[Média.A]] + (_xlfn.STDEV.S( tabConsumo[[#This Row],[QTD.PENDENTE]]:tabConsumo[[#This Row],[09_23]] ) * 2)</f>
        <v>8.1564175837438277</v>
      </c>
      <c r="W469" s="221">
        <f xml:space="preserve"> tabConsumo[[#This Row],[Média.A]] + (_xlfn.STDEV.S( tabConsumo[[#This Row],[QTD.PENDENTE]]:tabConsumo[[#This Row],[09_23]] ) * 3)</f>
        <v>11.526293042282408</v>
      </c>
      <c r="X469" s="5">
        <f t="shared" si="15"/>
        <v>2</v>
      </c>
      <c r="Y469">
        <v>1.25</v>
      </c>
      <c r="Z469" s="223">
        <f>SUM( tabConsumo[[#This Row],[QTD.PENDENTE]]:tabConsumo[[#This Row],[09_23]] )</f>
        <v>17</v>
      </c>
      <c r="AA469" s="223">
        <f>LARGE(tabConsumo[[#This Row],[10_22]:[09_23]],1)</f>
        <v>10</v>
      </c>
      <c r="AB469" s="146" t="s">
        <v>2240</v>
      </c>
      <c r="AC469" s="3" t="s">
        <v>2086</v>
      </c>
    </row>
    <row r="470" spans="1:29" x14ac:dyDescent="0.3">
      <c r="A470" s="4" t="s">
        <v>983</v>
      </c>
      <c r="B470" s="3" t="s">
        <v>263</v>
      </c>
      <c r="C470" s="2">
        <v>12956</v>
      </c>
      <c r="D470" s="2">
        <v>868</v>
      </c>
      <c r="F470" s="2">
        <v>40</v>
      </c>
      <c r="G470" s="2">
        <v>32</v>
      </c>
      <c r="H470" s="2">
        <v>75</v>
      </c>
      <c r="I470" s="2">
        <v>57</v>
      </c>
      <c r="J470" s="2">
        <v>2</v>
      </c>
      <c r="K470" s="2">
        <v>61</v>
      </c>
      <c r="L470" s="2">
        <v>80</v>
      </c>
      <c r="M470" s="2">
        <v>50</v>
      </c>
      <c r="N470" s="2">
        <v>0</v>
      </c>
      <c r="O470" s="2">
        <v>0</v>
      </c>
      <c r="P470" s="2">
        <v>100</v>
      </c>
      <c r="Q470" s="2">
        <v>50</v>
      </c>
      <c r="R470" s="238">
        <v>367</v>
      </c>
      <c r="S470" s="219">
        <f t="shared" si="16"/>
        <v>12</v>
      </c>
      <c r="T470" s="220">
        <f>SUM( tabConsumo[[#This Row],[QTD.PENDENTE]]:tabConsumo[[#This Row],[09_23]] ) / tabConsumo[[#This Row],[Div]]</f>
        <v>45.583333333333336</v>
      </c>
      <c r="U470" s="221">
        <f xml:space="preserve"> tabConsumo[[#This Row],[Média.A]] + (_xlfn.STDEV.S( tabConsumo[[#This Row],[QTD.PENDENTE]]:tabConsumo[[#This Row],[09_23]] ) * 1)</f>
        <v>78.181320815366462</v>
      </c>
      <c r="V470" s="221">
        <f xml:space="preserve"> tabConsumo[[#This Row],[Média.A]] + (_xlfn.STDEV.S( tabConsumo[[#This Row],[QTD.PENDENTE]]:tabConsumo[[#This Row],[09_23]] ) * 2)</f>
        <v>110.77930829739958</v>
      </c>
      <c r="W470" s="221">
        <f xml:space="preserve"> tabConsumo[[#This Row],[Média.A]] + (_xlfn.STDEV.S( tabConsumo[[#This Row],[QTD.PENDENTE]]:tabConsumo[[#This Row],[09_23]] ) * 3)</f>
        <v>143.3772957794327</v>
      </c>
      <c r="X470" s="5">
        <f t="shared" si="15"/>
        <v>2</v>
      </c>
      <c r="Y470">
        <v>45.583333333333336</v>
      </c>
      <c r="Z470" s="223">
        <f>SUM( tabConsumo[[#This Row],[QTD.PENDENTE]]:tabConsumo[[#This Row],[09_23]] )</f>
        <v>547</v>
      </c>
      <c r="AA470" s="223">
        <f>LARGE(tabConsumo[[#This Row],[10_22]:[09_23]],1)</f>
        <v>100</v>
      </c>
      <c r="AB470" s="146" t="s">
        <v>2238</v>
      </c>
      <c r="AC470" s="3" t="s">
        <v>2086</v>
      </c>
    </row>
    <row r="471" spans="1:29" x14ac:dyDescent="0.3">
      <c r="A471" s="4" t="s">
        <v>1357</v>
      </c>
      <c r="B471" s="3" t="s">
        <v>263</v>
      </c>
      <c r="C471" s="2">
        <v>61201</v>
      </c>
      <c r="D471" s="2">
        <v>1240</v>
      </c>
      <c r="F471" s="2">
        <v>28</v>
      </c>
      <c r="G471" s="2">
        <v>2</v>
      </c>
      <c r="H471" s="2">
        <v>6</v>
      </c>
      <c r="I471" s="2">
        <v>30</v>
      </c>
      <c r="J471" s="2">
        <v>11</v>
      </c>
      <c r="K471" s="2">
        <v>21</v>
      </c>
      <c r="L471" s="2">
        <v>44</v>
      </c>
      <c r="M471" s="2">
        <v>152</v>
      </c>
      <c r="N471" s="2">
        <v>0</v>
      </c>
      <c r="O471" s="2">
        <v>0</v>
      </c>
      <c r="P471" s="2">
        <v>0</v>
      </c>
      <c r="Q471" s="2">
        <v>20</v>
      </c>
      <c r="R471" s="238">
        <v>367</v>
      </c>
      <c r="S471" s="219">
        <f t="shared" si="16"/>
        <v>12</v>
      </c>
      <c r="T471" s="220">
        <f>SUM( tabConsumo[[#This Row],[QTD.PENDENTE]]:tabConsumo[[#This Row],[09_23]] ) / tabConsumo[[#This Row],[Div]]</f>
        <v>26.166666666666668</v>
      </c>
      <c r="U471" s="221">
        <f xml:space="preserve"> tabConsumo[[#This Row],[Média.A]] + (_xlfn.STDEV.S( tabConsumo[[#This Row],[QTD.PENDENTE]]:tabConsumo[[#This Row],[09_23]] ) * 1)</f>
        <v>68.280869266336779</v>
      </c>
      <c r="V471" s="221">
        <f xml:space="preserve"> tabConsumo[[#This Row],[Média.A]] + (_xlfn.STDEV.S( tabConsumo[[#This Row],[QTD.PENDENTE]]:tabConsumo[[#This Row],[09_23]] ) * 2)</f>
        <v>110.39507186600689</v>
      </c>
      <c r="W471" s="221">
        <f xml:space="preserve"> tabConsumo[[#This Row],[Média.A]] + (_xlfn.STDEV.S( tabConsumo[[#This Row],[QTD.PENDENTE]]:tabConsumo[[#This Row],[09_23]] ) * 3)</f>
        <v>152.50927446567698</v>
      </c>
      <c r="X471" s="5">
        <f t="shared" si="15"/>
        <v>2</v>
      </c>
      <c r="Y471">
        <v>22.666666666666668</v>
      </c>
      <c r="Z471" s="223">
        <f>SUM( tabConsumo[[#This Row],[QTD.PENDENTE]]:tabConsumo[[#This Row],[09_23]] )</f>
        <v>314</v>
      </c>
      <c r="AA471" s="223">
        <f>LARGE(tabConsumo[[#This Row],[10_22]:[09_23]],1)</f>
        <v>152</v>
      </c>
      <c r="AB471" s="146" t="s">
        <v>2238</v>
      </c>
      <c r="AC471" s="3" t="s">
        <v>2086</v>
      </c>
    </row>
    <row r="472" spans="1:29" x14ac:dyDescent="0.3">
      <c r="A472" s="4" t="s">
        <v>1345</v>
      </c>
      <c r="B472" s="3" t="s">
        <v>263</v>
      </c>
      <c r="C472" s="2">
        <v>59400</v>
      </c>
      <c r="D472" s="2">
        <v>138</v>
      </c>
      <c r="F472" s="2">
        <v>4</v>
      </c>
      <c r="G472" s="2">
        <v>4</v>
      </c>
      <c r="H472" s="2">
        <v>11</v>
      </c>
      <c r="I472" s="2">
        <v>10</v>
      </c>
      <c r="J472" s="2">
        <v>0</v>
      </c>
      <c r="K472" s="2">
        <v>16</v>
      </c>
      <c r="L472" s="2">
        <v>15</v>
      </c>
      <c r="M472" s="2">
        <v>0</v>
      </c>
      <c r="N472" s="2">
        <v>0</v>
      </c>
      <c r="O472" s="2">
        <v>0</v>
      </c>
      <c r="P472" s="2">
        <v>0</v>
      </c>
      <c r="Q472" s="2">
        <v>0</v>
      </c>
      <c r="R472" s="238">
        <v>367</v>
      </c>
      <c r="S472" s="219">
        <f t="shared" si="16"/>
        <v>12</v>
      </c>
      <c r="T472" s="220">
        <f>SUM( tabConsumo[[#This Row],[QTD.PENDENTE]]:tabConsumo[[#This Row],[09_23]] ) / tabConsumo[[#This Row],[Div]]</f>
        <v>5</v>
      </c>
      <c r="U472" s="221">
        <f xml:space="preserve"> tabConsumo[[#This Row],[Média.A]] + (_xlfn.STDEV.S( tabConsumo[[#This Row],[QTD.PENDENTE]]:tabConsumo[[#This Row],[09_23]] ) * 1)</f>
        <v>11.2812853345908</v>
      </c>
      <c r="V472" s="221">
        <f xml:space="preserve"> tabConsumo[[#This Row],[Média.A]] + (_xlfn.STDEV.S( tabConsumo[[#This Row],[QTD.PENDENTE]]:tabConsumo[[#This Row],[09_23]] ) * 2)</f>
        <v>17.5625706691816</v>
      </c>
      <c r="W472" s="221">
        <f xml:space="preserve"> tabConsumo[[#This Row],[Média.A]] + (_xlfn.STDEV.S( tabConsumo[[#This Row],[QTD.PENDENTE]]:tabConsumo[[#This Row],[09_23]] ) * 3)</f>
        <v>23.843856003772402</v>
      </c>
      <c r="X472" s="5">
        <f t="shared" si="15"/>
        <v>2</v>
      </c>
      <c r="Y472">
        <v>5</v>
      </c>
      <c r="Z472" s="223">
        <f>SUM( tabConsumo[[#This Row],[QTD.PENDENTE]]:tabConsumo[[#This Row],[09_23]] )</f>
        <v>60</v>
      </c>
      <c r="AA472" s="223">
        <f>LARGE(tabConsumo[[#This Row],[10_22]:[09_23]],1)</f>
        <v>16</v>
      </c>
      <c r="AB472" s="146" t="s">
        <v>2240</v>
      </c>
      <c r="AC472" s="3" t="s">
        <v>2086</v>
      </c>
    </row>
    <row r="473" spans="1:29" x14ac:dyDescent="0.3">
      <c r="A473" s="4" t="s">
        <v>1943</v>
      </c>
      <c r="B473" s="3" t="s">
        <v>436</v>
      </c>
      <c r="C473" s="2">
        <v>136855</v>
      </c>
      <c r="D473" s="2">
        <v>80</v>
      </c>
      <c r="F473" s="2">
        <v>0</v>
      </c>
      <c r="G473" s="2">
        <v>0</v>
      </c>
      <c r="H473" s="2">
        <v>0</v>
      </c>
      <c r="I473" s="2">
        <v>0</v>
      </c>
      <c r="J473" s="2">
        <v>0</v>
      </c>
      <c r="K473" s="2">
        <v>0</v>
      </c>
      <c r="L473" s="2">
        <v>0</v>
      </c>
      <c r="M473" s="2">
        <v>0</v>
      </c>
      <c r="N473" s="2">
        <v>0</v>
      </c>
      <c r="O473" s="2">
        <v>3</v>
      </c>
      <c r="P473" s="2">
        <v>0</v>
      </c>
      <c r="Q473" s="2">
        <v>0</v>
      </c>
      <c r="R473" s="238">
        <v>43578</v>
      </c>
      <c r="S473" s="219">
        <v>12</v>
      </c>
      <c r="T473" s="220">
        <f>SUM( tabConsumo[[#This Row],[QTD.PENDENTE]]:tabConsumo[[#This Row],[09_23]] ) / tabConsumo[[#This Row],[Div]]</f>
        <v>0.25</v>
      </c>
      <c r="U473" s="221">
        <f xml:space="preserve"> tabConsumo[[#This Row],[Média.A]] + (_xlfn.STDEV.S( tabConsumo[[#This Row],[QTD.PENDENTE]]:tabConsumo[[#This Row],[09_23]] ) * 1)</f>
        <v>1.1160254037844386</v>
      </c>
      <c r="V473" s="221">
        <f xml:space="preserve"> tabConsumo[[#This Row],[Média.A]] + (_xlfn.STDEV.S( tabConsumo[[#This Row],[QTD.PENDENTE]]:tabConsumo[[#This Row],[09_23]] ) * 2)</f>
        <v>1.9820508075688772</v>
      </c>
      <c r="W473" s="221">
        <f xml:space="preserve"> tabConsumo[[#This Row],[Média.A]] + (_xlfn.STDEV.S( tabConsumo[[#This Row],[QTD.PENDENTE]]:tabConsumo[[#This Row],[09_23]] ) * 3)</f>
        <v>2.848076211353316</v>
      </c>
      <c r="X473" s="5">
        <f t="shared" si="15"/>
        <v>2</v>
      </c>
      <c r="Y473">
        <v>8.3333333333333329E-2</v>
      </c>
      <c r="Z473" s="223">
        <f>SUM( tabConsumo[[#This Row],[QTD.PENDENTE]]:tabConsumo[[#This Row],[09_23]] )</f>
        <v>3</v>
      </c>
      <c r="AA473" s="223">
        <f>LARGE(tabConsumo[[#This Row],[10_22]:[09_23]],1)</f>
        <v>3</v>
      </c>
      <c r="AB473" s="146" t="s">
        <v>2239</v>
      </c>
      <c r="AC473" s="3" t="s">
        <v>2086</v>
      </c>
    </row>
    <row r="474" spans="1:29" x14ac:dyDescent="0.3">
      <c r="A474" s="4" t="s">
        <v>1766</v>
      </c>
      <c r="B474" s="3" t="s">
        <v>31</v>
      </c>
      <c r="C474" s="2">
        <v>125173</v>
      </c>
      <c r="D474" s="2">
        <v>185</v>
      </c>
      <c r="F474" s="2">
        <v>2</v>
      </c>
      <c r="G474" s="2">
        <v>4</v>
      </c>
      <c r="H474" s="2">
        <v>4</v>
      </c>
      <c r="I474" s="2">
        <v>5</v>
      </c>
      <c r="J474" s="2">
        <v>2</v>
      </c>
      <c r="K474" s="2">
        <v>1</v>
      </c>
      <c r="L474" s="2">
        <v>17</v>
      </c>
      <c r="M474" s="2">
        <v>0</v>
      </c>
      <c r="N474" s="2">
        <v>0</v>
      </c>
      <c r="O474" s="2">
        <v>0</v>
      </c>
      <c r="P474" s="2">
        <v>0</v>
      </c>
      <c r="Q474" s="2">
        <v>15</v>
      </c>
      <c r="R474" s="238">
        <v>41345</v>
      </c>
      <c r="S474" s="219">
        <v>12</v>
      </c>
      <c r="T474" s="220">
        <f>SUM( tabConsumo[[#This Row],[QTD.PENDENTE]]:tabConsumo[[#This Row],[09_23]] ) / tabConsumo[[#This Row],[Div]]</f>
        <v>4.166666666666667</v>
      </c>
      <c r="U474" s="221">
        <f xml:space="preserve"> tabConsumo[[#This Row],[Média.A]] + (_xlfn.STDEV.S( tabConsumo[[#This Row],[QTD.PENDENTE]]:tabConsumo[[#This Row],[09_23]] ) * 1)</f>
        <v>9.9794008587555147</v>
      </c>
      <c r="V474" s="221">
        <f xml:space="preserve"> tabConsumo[[#This Row],[Média.A]] + (_xlfn.STDEV.S( tabConsumo[[#This Row],[QTD.PENDENTE]]:tabConsumo[[#This Row],[09_23]] ) * 2)</f>
        <v>15.792135050844362</v>
      </c>
      <c r="W474" s="221">
        <f xml:space="preserve"> tabConsumo[[#This Row],[Média.A]] + (_xlfn.STDEV.S( tabConsumo[[#This Row],[QTD.PENDENTE]]:tabConsumo[[#This Row],[09_23]] ) * 3)</f>
        <v>21.604869242933209</v>
      </c>
      <c r="X474" s="5">
        <f t="shared" si="15"/>
        <v>2</v>
      </c>
      <c r="Y474">
        <v>4</v>
      </c>
      <c r="Z474" s="223">
        <f>SUM( tabConsumo[[#This Row],[QTD.PENDENTE]]:tabConsumo[[#This Row],[09_23]] )</f>
        <v>50</v>
      </c>
      <c r="AA474" s="223">
        <f>LARGE(tabConsumo[[#This Row],[10_22]:[09_23]],1)</f>
        <v>17</v>
      </c>
      <c r="AB474" s="146" t="s">
        <v>2238</v>
      </c>
      <c r="AC474" s="3" t="s">
        <v>2086</v>
      </c>
    </row>
    <row r="475" spans="1:29" x14ac:dyDescent="0.3">
      <c r="A475" s="4" t="s">
        <v>1306</v>
      </c>
      <c r="B475" s="3" t="s">
        <v>263</v>
      </c>
      <c r="C475" s="2">
        <v>52994</v>
      </c>
      <c r="D475" s="2">
        <v>164</v>
      </c>
      <c r="F475" s="2">
        <v>0</v>
      </c>
      <c r="G475" s="2">
        <v>1</v>
      </c>
      <c r="H475" s="2">
        <v>0</v>
      </c>
      <c r="I475" s="2">
        <v>0</v>
      </c>
      <c r="J475" s="2">
        <v>0</v>
      </c>
      <c r="K475" s="2">
        <v>4</v>
      </c>
      <c r="L475" s="2">
        <v>20</v>
      </c>
      <c r="M475" s="2">
        <v>0</v>
      </c>
      <c r="N475" s="2">
        <v>0</v>
      </c>
      <c r="O475" s="2">
        <v>0</v>
      </c>
      <c r="P475" s="2">
        <v>0</v>
      </c>
      <c r="Q475" s="2">
        <v>0</v>
      </c>
      <c r="R475" s="238">
        <v>367</v>
      </c>
      <c r="S475" s="219">
        <f xml:space="preserve"> 12</f>
        <v>12</v>
      </c>
      <c r="T475" s="220">
        <f>SUM( tabConsumo[[#This Row],[QTD.PENDENTE]]:tabConsumo[[#This Row],[09_23]] ) / tabConsumo[[#This Row],[Div]]</f>
        <v>2.0833333333333335</v>
      </c>
      <c r="U475" s="221">
        <f xml:space="preserve"> tabConsumo[[#This Row],[Média.A]] + (_xlfn.STDEV.S( tabConsumo[[#This Row],[QTD.PENDENTE]]:tabConsumo[[#This Row],[09_23]] ) * 1)</f>
        <v>7.8430418697301558</v>
      </c>
      <c r="V475" s="221">
        <f xml:space="preserve"> tabConsumo[[#This Row],[Média.A]] + (_xlfn.STDEV.S( tabConsumo[[#This Row],[QTD.PENDENTE]]:tabConsumo[[#This Row],[09_23]] ) * 2)</f>
        <v>13.602750406126979</v>
      </c>
      <c r="W475" s="221">
        <f xml:space="preserve"> tabConsumo[[#This Row],[Média.A]] + (_xlfn.STDEV.S( tabConsumo[[#This Row],[QTD.PENDENTE]]:tabConsumo[[#This Row],[09_23]] ) * 3)</f>
        <v>19.362458942523801</v>
      </c>
      <c r="X475" s="5">
        <f t="shared" si="15"/>
        <v>2</v>
      </c>
      <c r="Y475">
        <v>1.5</v>
      </c>
      <c r="Z475" s="223">
        <f>SUM( tabConsumo[[#This Row],[QTD.PENDENTE]]:tabConsumo[[#This Row],[09_23]] )</f>
        <v>25</v>
      </c>
      <c r="AA475" s="223">
        <f>LARGE(tabConsumo[[#This Row],[10_22]:[09_23]],1)</f>
        <v>20</v>
      </c>
      <c r="AB475" s="146" t="s">
        <v>2240</v>
      </c>
      <c r="AC475" s="3" t="s">
        <v>2086</v>
      </c>
    </row>
    <row r="476" spans="1:29" x14ac:dyDescent="0.3">
      <c r="A476" s="4" t="s">
        <v>1385</v>
      </c>
      <c r="B476" s="3" t="s">
        <v>263</v>
      </c>
      <c r="C476" s="2">
        <v>64635</v>
      </c>
      <c r="D476" s="2">
        <v>70</v>
      </c>
      <c r="F476" s="2">
        <v>0</v>
      </c>
      <c r="G476" s="2">
        <v>0</v>
      </c>
      <c r="H476" s="2">
        <v>0</v>
      </c>
      <c r="I476" s="2">
        <v>2</v>
      </c>
      <c r="J476" s="2">
        <v>0</v>
      </c>
      <c r="K476" s="2">
        <v>0</v>
      </c>
      <c r="L476" s="2">
        <v>0</v>
      </c>
      <c r="M476" s="2">
        <v>0</v>
      </c>
      <c r="N476" s="2">
        <v>0</v>
      </c>
      <c r="O476" s="2">
        <v>0</v>
      </c>
      <c r="P476" s="2">
        <v>0</v>
      </c>
      <c r="Q476" s="2">
        <v>0</v>
      </c>
      <c r="R476" s="238">
        <v>367</v>
      </c>
      <c r="S476" s="219">
        <f xml:space="preserve"> 12</f>
        <v>12</v>
      </c>
      <c r="T476" s="220">
        <f>SUM( tabConsumo[[#This Row],[QTD.PENDENTE]]:tabConsumo[[#This Row],[09_23]] ) / tabConsumo[[#This Row],[Div]]</f>
        <v>0.16666666666666666</v>
      </c>
      <c r="U476" s="221">
        <f xml:space="preserve"> tabConsumo[[#This Row],[Média.A]] + (_xlfn.STDEV.S( tabConsumo[[#This Row],[QTD.PENDENTE]]:tabConsumo[[#This Row],[09_23]] ) * 1)</f>
        <v>0.74401693585629236</v>
      </c>
      <c r="V476" s="221">
        <f xml:space="preserve"> tabConsumo[[#This Row],[Média.A]] + (_xlfn.STDEV.S( tabConsumo[[#This Row],[QTD.PENDENTE]]:tabConsumo[[#This Row],[09_23]] ) * 2)</f>
        <v>1.3213672050459182</v>
      </c>
      <c r="W476" s="221">
        <f xml:space="preserve"> tabConsumo[[#This Row],[Média.A]] + (_xlfn.STDEV.S( tabConsumo[[#This Row],[QTD.PENDENTE]]:tabConsumo[[#This Row],[09_23]] ) * 3)</f>
        <v>1.8987174742355439</v>
      </c>
      <c r="X476" s="5">
        <f t="shared" si="15"/>
        <v>2</v>
      </c>
      <c r="Y476">
        <v>8.3333333333333329E-2</v>
      </c>
      <c r="Z476" s="223">
        <f>SUM( tabConsumo[[#This Row],[QTD.PENDENTE]]:tabConsumo[[#This Row],[09_23]] )</f>
        <v>2</v>
      </c>
      <c r="AA476" s="223">
        <f>LARGE(tabConsumo[[#This Row],[10_22]:[09_23]],1)</f>
        <v>2</v>
      </c>
      <c r="AB476" s="146" t="s">
        <v>2247</v>
      </c>
      <c r="AC476" s="3" t="s">
        <v>2086</v>
      </c>
    </row>
    <row r="477" spans="1:29" x14ac:dyDescent="0.3">
      <c r="A477" s="4" t="s">
        <v>1386</v>
      </c>
      <c r="B477" s="3" t="s">
        <v>263</v>
      </c>
      <c r="C477" s="2">
        <v>64636</v>
      </c>
      <c r="D477" s="2">
        <v>41</v>
      </c>
      <c r="F477" s="2">
        <v>4</v>
      </c>
      <c r="G477" s="2">
        <v>6</v>
      </c>
      <c r="H477" s="2">
        <v>10</v>
      </c>
      <c r="I477" s="2">
        <v>3</v>
      </c>
      <c r="J477" s="2">
        <v>3</v>
      </c>
      <c r="K477" s="2">
        <v>8</v>
      </c>
      <c r="L477" s="2">
        <v>20</v>
      </c>
      <c r="M477" s="2">
        <v>0</v>
      </c>
      <c r="N477" s="2">
        <v>0</v>
      </c>
      <c r="O477" s="2">
        <v>0</v>
      </c>
      <c r="P477" s="2">
        <v>0</v>
      </c>
      <c r="Q477" s="2">
        <v>0</v>
      </c>
      <c r="R477" s="238">
        <v>367</v>
      </c>
      <c r="S477" s="219">
        <f xml:space="preserve"> 12</f>
        <v>12</v>
      </c>
      <c r="T477" s="220">
        <f>SUM( tabConsumo[[#This Row],[QTD.PENDENTE]]:tabConsumo[[#This Row],[09_23]] ) / tabConsumo[[#This Row],[Div]]</f>
        <v>4.5</v>
      </c>
      <c r="U477" s="221">
        <f xml:space="preserve"> tabConsumo[[#This Row],[Média.A]] + (_xlfn.STDEV.S( tabConsumo[[#This Row],[QTD.PENDENTE]]:tabConsumo[[#This Row],[09_23]] ) * 1)</f>
        <v>10.462000884388944</v>
      </c>
      <c r="V477" s="221">
        <f xml:space="preserve"> tabConsumo[[#This Row],[Média.A]] + (_xlfn.STDEV.S( tabConsumo[[#This Row],[QTD.PENDENTE]]:tabConsumo[[#This Row],[09_23]] ) * 2)</f>
        <v>16.424001768777888</v>
      </c>
      <c r="W477" s="221">
        <f xml:space="preserve"> tabConsumo[[#This Row],[Média.A]] + (_xlfn.STDEV.S( tabConsumo[[#This Row],[QTD.PENDENTE]]:tabConsumo[[#This Row],[09_23]] ) * 3)</f>
        <v>22.386002653166834</v>
      </c>
      <c r="X477" s="5">
        <f t="shared" si="15"/>
        <v>2</v>
      </c>
      <c r="Y477">
        <v>4.166666666666667</v>
      </c>
      <c r="Z477" s="223">
        <f>SUM( tabConsumo[[#This Row],[QTD.PENDENTE]]:tabConsumo[[#This Row],[09_23]] )</f>
        <v>54</v>
      </c>
      <c r="AA477" s="223">
        <f>LARGE(tabConsumo[[#This Row],[10_22]:[09_23]],1)</f>
        <v>20</v>
      </c>
      <c r="AB477" s="146" t="s">
        <v>2240</v>
      </c>
      <c r="AC477" s="3" t="s">
        <v>2086</v>
      </c>
    </row>
    <row r="478" spans="1:29" x14ac:dyDescent="0.3">
      <c r="A478" s="4" t="s">
        <v>1287</v>
      </c>
      <c r="B478" s="3" t="s">
        <v>263</v>
      </c>
      <c r="C478" s="2">
        <v>44789</v>
      </c>
      <c r="D478" s="2">
        <v>123</v>
      </c>
      <c r="F478" s="2">
        <v>0</v>
      </c>
      <c r="G478" s="2">
        <v>0</v>
      </c>
      <c r="H478" s="2">
        <v>2</v>
      </c>
      <c r="I478" s="2">
        <v>0</v>
      </c>
      <c r="J478" s="2">
        <v>0</v>
      </c>
      <c r="K478" s="2">
        <v>3</v>
      </c>
      <c r="L478" s="2">
        <v>20</v>
      </c>
      <c r="M478" s="2">
        <v>0</v>
      </c>
      <c r="N478" s="2">
        <v>0</v>
      </c>
      <c r="O478" s="2">
        <v>0</v>
      </c>
      <c r="P478" s="2">
        <v>0</v>
      </c>
      <c r="Q478" s="2">
        <v>0</v>
      </c>
      <c r="R478" s="238">
        <v>367</v>
      </c>
      <c r="S478" s="219">
        <f xml:space="preserve"> 12</f>
        <v>12</v>
      </c>
      <c r="T478" s="220">
        <f>SUM( tabConsumo[[#This Row],[QTD.PENDENTE]]:tabConsumo[[#This Row],[09_23]] ) / tabConsumo[[#This Row],[Div]]</f>
        <v>2.0833333333333335</v>
      </c>
      <c r="U478" s="221">
        <f xml:space="preserve"> tabConsumo[[#This Row],[Média.A]] + (_xlfn.STDEV.S( tabConsumo[[#This Row],[QTD.PENDENTE]]:tabConsumo[[#This Row],[09_23]] ) * 1)</f>
        <v>7.8113876330590326</v>
      </c>
      <c r="V478" s="221">
        <f xml:space="preserve"> tabConsumo[[#This Row],[Média.A]] + (_xlfn.STDEV.S( tabConsumo[[#This Row],[QTD.PENDENTE]]:tabConsumo[[#This Row],[09_23]] ) * 2)</f>
        <v>13.539441932784731</v>
      </c>
      <c r="W478" s="221">
        <f xml:space="preserve"> tabConsumo[[#This Row],[Média.A]] + (_xlfn.STDEV.S( tabConsumo[[#This Row],[QTD.PENDENTE]]:tabConsumo[[#This Row],[09_23]] ) * 3)</f>
        <v>19.267496232510428</v>
      </c>
      <c r="X478" s="5">
        <f t="shared" si="15"/>
        <v>2</v>
      </c>
      <c r="Y478">
        <v>1.5</v>
      </c>
      <c r="Z478" s="223">
        <f>SUM( tabConsumo[[#This Row],[QTD.PENDENTE]]:tabConsumo[[#This Row],[09_23]] )</f>
        <v>25</v>
      </c>
      <c r="AA478" s="223">
        <f>LARGE(tabConsumo[[#This Row],[10_22]:[09_23]],1)</f>
        <v>20</v>
      </c>
      <c r="AB478" s="146" t="s">
        <v>2240</v>
      </c>
      <c r="AC478" s="3" t="s">
        <v>2086</v>
      </c>
    </row>
    <row r="479" spans="1:29" x14ac:dyDescent="0.3">
      <c r="A479" s="4" t="s">
        <v>980</v>
      </c>
      <c r="B479" s="3" t="s">
        <v>263</v>
      </c>
      <c r="C479" s="2">
        <v>12922</v>
      </c>
      <c r="D479" s="2">
        <v>151</v>
      </c>
      <c r="E479" s="2">
        <v>5</v>
      </c>
      <c r="F479" s="2">
        <v>1</v>
      </c>
      <c r="G479" s="2">
        <v>0</v>
      </c>
      <c r="H479" s="2">
        <v>0</v>
      </c>
      <c r="I479" s="2">
        <v>0</v>
      </c>
      <c r="J479" s="2">
        <v>0</v>
      </c>
      <c r="K479" s="2">
        <v>4</v>
      </c>
      <c r="L479" s="2">
        <v>15</v>
      </c>
      <c r="M479" s="2">
        <v>0</v>
      </c>
      <c r="N479" s="2">
        <v>0</v>
      </c>
      <c r="O479" s="2">
        <v>0</v>
      </c>
      <c r="P479" s="2">
        <v>0</v>
      </c>
      <c r="Q479" s="2">
        <v>0</v>
      </c>
      <c r="R479" s="238">
        <v>367</v>
      </c>
      <c r="S479" s="219">
        <f xml:space="preserve"> 12</f>
        <v>12</v>
      </c>
      <c r="T479" s="220">
        <f>SUM( tabConsumo[[#This Row],[QTD.PENDENTE]]:tabConsumo[[#This Row],[09_23]] ) / tabConsumo[[#This Row],[Div]]</f>
        <v>2.0833333333333335</v>
      </c>
      <c r="U479" s="221">
        <f xml:space="preserve"> tabConsumo[[#This Row],[Média.A]] + (_xlfn.STDEV.S( tabConsumo[[#This Row],[QTD.PENDENTE]]:tabConsumo[[#This Row],[09_23]] ) * 1)</f>
        <v>6.3545848763344885</v>
      </c>
      <c r="V479" s="221">
        <f xml:space="preserve"> tabConsumo[[#This Row],[Média.A]] + (_xlfn.STDEV.S( tabConsumo[[#This Row],[QTD.PENDENTE]]:tabConsumo[[#This Row],[09_23]] ) * 2)</f>
        <v>10.625836419335643</v>
      </c>
      <c r="W479" s="221">
        <f xml:space="preserve"> tabConsumo[[#This Row],[Média.A]] + (_xlfn.STDEV.S( tabConsumo[[#This Row],[QTD.PENDENTE]]:tabConsumo[[#This Row],[09_23]] ) * 3)</f>
        <v>14.897087962336798</v>
      </c>
      <c r="X479" s="5">
        <f t="shared" si="15"/>
        <v>2</v>
      </c>
      <c r="Y479">
        <v>1.6666666666666667</v>
      </c>
      <c r="Z479" s="223">
        <f>SUM( tabConsumo[[#This Row],[QTD.PENDENTE]]:tabConsumo[[#This Row],[09_23]] )</f>
        <v>25</v>
      </c>
      <c r="AA479" s="223">
        <f>LARGE(tabConsumo[[#This Row],[10_22]:[09_23]],1)</f>
        <v>15</v>
      </c>
      <c r="AB479" s="146" t="s">
        <v>2240</v>
      </c>
      <c r="AC479" s="3" t="s">
        <v>2086</v>
      </c>
    </row>
    <row r="480" spans="1:29" x14ac:dyDescent="0.3">
      <c r="A480" s="4" t="s">
        <v>1950</v>
      </c>
      <c r="B480" s="3" t="s">
        <v>269</v>
      </c>
      <c r="C480" s="2">
        <v>136881</v>
      </c>
      <c r="D480" s="2">
        <v>0</v>
      </c>
      <c r="E480" s="2">
        <v>20</v>
      </c>
      <c r="F480" s="2">
        <v>23</v>
      </c>
      <c r="G480" s="2">
        <v>22</v>
      </c>
      <c r="H480" s="2">
        <v>19</v>
      </c>
      <c r="I480" s="2">
        <v>2</v>
      </c>
      <c r="J480" s="2">
        <v>22</v>
      </c>
      <c r="K480" s="2">
        <v>31</v>
      </c>
      <c r="L480" s="2">
        <v>15</v>
      </c>
      <c r="M480" s="2">
        <v>35</v>
      </c>
      <c r="N480" s="2">
        <v>24</v>
      </c>
      <c r="O480" s="2">
        <v>22</v>
      </c>
      <c r="P480" s="2">
        <v>28</v>
      </c>
      <c r="Q480" s="2">
        <v>1</v>
      </c>
      <c r="R480" s="238">
        <v>43580</v>
      </c>
      <c r="S480" s="219">
        <v>12</v>
      </c>
      <c r="T480" s="220">
        <f>SUM( tabConsumo[[#This Row],[QTD.PENDENTE]]:tabConsumo[[#This Row],[09_23]] ) / tabConsumo[[#This Row],[Div]]</f>
        <v>22</v>
      </c>
      <c r="U480" s="221">
        <f xml:space="preserve"> tabConsumo[[#This Row],[Média.A]] + (_xlfn.STDEV.S( tabConsumo[[#This Row],[QTD.PENDENTE]]:tabConsumo[[#This Row],[09_23]] ) * 1)</f>
        <v>31.81821958898027</v>
      </c>
      <c r="V480" s="221">
        <f xml:space="preserve"> tabConsumo[[#This Row],[Média.A]] + (_xlfn.STDEV.S( tabConsumo[[#This Row],[QTD.PENDENTE]]:tabConsumo[[#This Row],[09_23]] ) * 2)</f>
        <v>41.63643917796054</v>
      </c>
      <c r="W480" s="221">
        <f xml:space="preserve"> tabConsumo[[#This Row],[Média.A]] + (_xlfn.STDEV.S( tabConsumo[[#This Row],[QTD.PENDENTE]]:tabConsumo[[#This Row],[09_23]] ) * 3)</f>
        <v>51.454658766940803</v>
      </c>
      <c r="X480" s="5">
        <f t="shared" si="15"/>
        <v>2</v>
      </c>
      <c r="Y480">
        <v>22</v>
      </c>
      <c r="Z480" s="223">
        <f>SUM( tabConsumo[[#This Row],[QTD.PENDENTE]]:tabConsumo[[#This Row],[09_23]] )</f>
        <v>264</v>
      </c>
      <c r="AA480" s="223">
        <f>LARGE(tabConsumo[[#This Row],[10_22]:[09_23]],1)</f>
        <v>35</v>
      </c>
      <c r="AB480" s="146" t="s">
        <v>2238</v>
      </c>
      <c r="AC480" s="3" t="s">
        <v>2086</v>
      </c>
    </row>
    <row r="481" spans="1:29" x14ac:dyDescent="0.3">
      <c r="A481" s="4" t="s">
        <v>2049</v>
      </c>
      <c r="B481" s="3" t="s">
        <v>269</v>
      </c>
      <c r="C481" s="2">
        <v>143099</v>
      </c>
      <c r="D481" s="2">
        <v>1495</v>
      </c>
      <c r="F481" s="2">
        <v>90</v>
      </c>
      <c r="G481" s="2">
        <v>104</v>
      </c>
      <c r="H481" s="2">
        <v>56</v>
      </c>
      <c r="I481" s="2">
        <v>12</v>
      </c>
      <c r="J481" s="2">
        <v>136</v>
      </c>
      <c r="K481" s="2">
        <v>137</v>
      </c>
      <c r="L481" s="2">
        <v>45</v>
      </c>
      <c r="M481" s="2">
        <v>101</v>
      </c>
      <c r="N481" s="2">
        <v>79</v>
      </c>
      <c r="O481" s="2">
        <v>86</v>
      </c>
      <c r="P481" s="2">
        <v>110</v>
      </c>
      <c r="Q481" s="2">
        <v>106</v>
      </c>
      <c r="R481" s="238">
        <v>44438</v>
      </c>
      <c r="S481" s="219">
        <v>12</v>
      </c>
      <c r="T481" s="220">
        <f>SUM( tabConsumo[[#This Row],[QTD.PENDENTE]]:tabConsumo[[#This Row],[09_23]] ) / tabConsumo[[#This Row],[Div]]</f>
        <v>88.5</v>
      </c>
      <c r="U481" s="221">
        <f xml:space="preserve"> tabConsumo[[#This Row],[Média.A]] + (_xlfn.STDEV.S( tabConsumo[[#This Row],[QTD.PENDENTE]]:tabConsumo[[#This Row],[09_23]] ) * 1)</f>
        <v>125.02272020139095</v>
      </c>
      <c r="V481" s="221">
        <f xml:space="preserve"> tabConsumo[[#This Row],[Média.A]] + (_xlfn.STDEV.S( tabConsumo[[#This Row],[QTD.PENDENTE]]:tabConsumo[[#This Row],[09_23]] ) * 2)</f>
        <v>161.54544040278191</v>
      </c>
      <c r="W481" s="221">
        <f xml:space="preserve"> tabConsumo[[#This Row],[Média.A]] + (_xlfn.STDEV.S( tabConsumo[[#This Row],[QTD.PENDENTE]]:tabConsumo[[#This Row],[09_23]] ) * 3)</f>
        <v>198.06816060417287</v>
      </c>
      <c r="X481" s="5">
        <f t="shared" si="15"/>
        <v>2</v>
      </c>
      <c r="Y481">
        <v>88.5</v>
      </c>
      <c r="Z481" s="223">
        <f>SUM( tabConsumo[[#This Row],[QTD.PENDENTE]]:tabConsumo[[#This Row],[09_23]] )</f>
        <v>1062</v>
      </c>
      <c r="AA481" s="223">
        <f>LARGE(tabConsumo[[#This Row],[10_22]:[09_23]],1)</f>
        <v>137</v>
      </c>
      <c r="AB481" s="146" t="s">
        <v>2238</v>
      </c>
      <c r="AC481" s="3" t="s">
        <v>2086</v>
      </c>
    </row>
    <row r="482" spans="1:29" x14ac:dyDescent="0.3">
      <c r="A482" s="4" t="s">
        <v>1415</v>
      </c>
      <c r="B482" s="3" t="s">
        <v>263</v>
      </c>
      <c r="C482" s="2">
        <v>74979</v>
      </c>
      <c r="D482" s="2">
        <v>169</v>
      </c>
      <c r="F482" s="2">
        <v>1</v>
      </c>
      <c r="G482" s="2">
        <v>0</v>
      </c>
      <c r="H482" s="2">
        <v>8</v>
      </c>
      <c r="I482" s="2">
        <v>6</v>
      </c>
      <c r="J482" s="2">
        <v>0</v>
      </c>
      <c r="K482" s="2">
        <v>2</v>
      </c>
      <c r="L482" s="2">
        <v>10</v>
      </c>
      <c r="M482" s="2">
        <v>0</v>
      </c>
      <c r="N482" s="2">
        <v>20</v>
      </c>
      <c r="O482" s="2">
        <v>0</v>
      </c>
      <c r="P482" s="2">
        <v>0</v>
      </c>
      <c r="Q482" s="2">
        <v>10</v>
      </c>
      <c r="R482" s="238">
        <v>37847</v>
      </c>
      <c r="S482" s="219">
        <v>12</v>
      </c>
      <c r="T482" s="220">
        <f>SUM( tabConsumo[[#This Row],[QTD.PENDENTE]]:tabConsumo[[#This Row],[09_23]] ) / tabConsumo[[#This Row],[Div]]</f>
        <v>4.75</v>
      </c>
      <c r="U482" s="221">
        <f xml:space="preserve"> tabConsumo[[#This Row],[Média.A]] + (_xlfn.STDEV.S( tabConsumo[[#This Row],[QTD.PENDENTE]]:tabConsumo[[#This Row],[09_23]] ) * 1)</f>
        <v>11.033094200095421</v>
      </c>
      <c r="V482" s="221">
        <f xml:space="preserve"> tabConsumo[[#This Row],[Média.A]] + (_xlfn.STDEV.S( tabConsumo[[#This Row],[QTD.PENDENTE]]:tabConsumo[[#This Row],[09_23]] ) * 2)</f>
        <v>17.316188400190843</v>
      </c>
      <c r="W482" s="221">
        <f xml:space="preserve"> tabConsumo[[#This Row],[Média.A]] + (_xlfn.STDEV.S( tabConsumo[[#This Row],[QTD.PENDENTE]]:tabConsumo[[#This Row],[09_23]] ) * 3)</f>
        <v>23.599282600286266</v>
      </c>
      <c r="X482" s="5">
        <f t="shared" si="15"/>
        <v>2</v>
      </c>
      <c r="Y482">
        <v>4.5</v>
      </c>
      <c r="Z482" s="223">
        <f>SUM( tabConsumo[[#This Row],[QTD.PENDENTE]]:tabConsumo[[#This Row],[09_23]] )</f>
        <v>57</v>
      </c>
      <c r="AA482" s="223">
        <f>LARGE(tabConsumo[[#This Row],[10_22]:[09_23]],1)</f>
        <v>20</v>
      </c>
      <c r="AB482" s="146" t="s">
        <v>2238</v>
      </c>
      <c r="AC482" s="3" t="s">
        <v>2086</v>
      </c>
    </row>
    <row r="483" spans="1:29" x14ac:dyDescent="0.3">
      <c r="A483" s="4" t="s">
        <v>1414</v>
      </c>
      <c r="B483" s="3" t="s">
        <v>263</v>
      </c>
      <c r="C483" s="2">
        <v>74976</v>
      </c>
      <c r="D483" s="2">
        <v>426</v>
      </c>
      <c r="F483" s="2">
        <v>0</v>
      </c>
      <c r="G483" s="2">
        <v>2</v>
      </c>
      <c r="H483" s="2">
        <v>4</v>
      </c>
      <c r="I483" s="2">
        <v>10</v>
      </c>
      <c r="J483" s="2">
        <v>0</v>
      </c>
      <c r="K483" s="2">
        <v>0</v>
      </c>
      <c r="L483" s="2">
        <v>0</v>
      </c>
      <c r="M483" s="2">
        <v>0</v>
      </c>
      <c r="N483" s="2">
        <v>0</v>
      </c>
      <c r="O483" s="2">
        <v>0</v>
      </c>
      <c r="P483" s="2">
        <v>50</v>
      </c>
      <c r="Q483" s="2">
        <v>0</v>
      </c>
      <c r="R483" s="238">
        <v>37847</v>
      </c>
      <c r="S483" s="219">
        <v>12</v>
      </c>
      <c r="T483" s="220">
        <f>SUM( tabConsumo[[#This Row],[QTD.PENDENTE]]:tabConsumo[[#This Row],[09_23]] ) / tabConsumo[[#This Row],[Div]]</f>
        <v>5.5</v>
      </c>
      <c r="U483" s="221">
        <f xml:space="preserve"> tabConsumo[[#This Row],[Média.A]] + (_xlfn.STDEV.S( tabConsumo[[#This Row],[QTD.PENDENTE]]:tabConsumo[[#This Row],[09_23]] ) * 1)</f>
        <v>19.824169022383749</v>
      </c>
      <c r="V483" s="221">
        <f xml:space="preserve"> tabConsumo[[#This Row],[Média.A]] + (_xlfn.STDEV.S( tabConsumo[[#This Row],[QTD.PENDENTE]]:tabConsumo[[#This Row],[09_23]] ) * 2)</f>
        <v>34.148338044767499</v>
      </c>
      <c r="W483" s="221">
        <f xml:space="preserve"> tabConsumo[[#This Row],[Média.A]] + (_xlfn.STDEV.S( tabConsumo[[#This Row],[QTD.PENDENTE]]:tabConsumo[[#This Row],[09_23]] ) * 3)</f>
        <v>48.472507067151241</v>
      </c>
      <c r="X483" s="5">
        <f t="shared" si="15"/>
        <v>2</v>
      </c>
      <c r="Y483">
        <v>4.166666666666667</v>
      </c>
      <c r="Z483" s="223">
        <f>SUM( tabConsumo[[#This Row],[QTD.PENDENTE]]:tabConsumo[[#This Row],[09_23]] )</f>
        <v>66</v>
      </c>
      <c r="AA483" s="223">
        <f>LARGE(tabConsumo[[#This Row],[10_22]:[09_23]],1)</f>
        <v>50</v>
      </c>
      <c r="AB483" s="146" t="s">
        <v>2241</v>
      </c>
      <c r="AC483" s="3" t="s">
        <v>2086</v>
      </c>
    </row>
    <row r="484" spans="1:29" x14ac:dyDescent="0.3">
      <c r="A484" s="4" t="s">
        <v>1941</v>
      </c>
      <c r="B484" s="3" t="s">
        <v>436</v>
      </c>
      <c r="C484" s="2">
        <v>136853</v>
      </c>
      <c r="D484" s="2">
        <v>55</v>
      </c>
      <c r="F484" s="2">
        <v>0</v>
      </c>
      <c r="G484" s="2">
        <v>0</v>
      </c>
      <c r="H484" s="2">
        <v>0</v>
      </c>
      <c r="I484" s="2">
        <v>6</v>
      </c>
      <c r="J484" s="2">
        <v>0</v>
      </c>
      <c r="K484" s="2">
        <v>3</v>
      </c>
      <c r="L484" s="2">
        <v>6</v>
      </c>
      <c r="M484" s="2">
        <v>6</v>
      </c>
      <c r="N484" s="2">
        <v>0</v>
      </c>
      <c r="O484" s="2">
        <v>0</v>
      </c>
      <c r="P484" s="2">
        <v>0</v>
      </c>
      <c r="Q484" s="2">
        <v>0</v>
      </c>
      <c r="R484" s="238">
        <v>43578</v>
      </c>
      <c r="S484" s="219">
        <v>12</v>
      </c>
      <c r="T484" s="220">
        <f>SUM( tabConsumo[[#This Row],[QTD.PENDENTE]]:tabConsumo[[#This Row],[09_23]] ) / tabConsumo[[#This Row],[Div]]</f>
        <v>1.75</v>
      </c>
      <c r="U484" s="221">
        <f xml:space="preserve"> tabConsumo[[#This Row],[Média.A]] + (_xlfn.STDEV.S( tabConsumo[[#This Row],[QTD.PENDENTE]]:tabConsumo[[#This Row],[09_23]] ) * 1)</f>
        <v>4.45100991213556</v>
      </c>
      <c r="V484" s="221">
        <f xml:space="preserve"> tabConsumo[[#This Row],[Média.A]] + (_xlfn.STDEV.S( tabConsumo[[#This Row],[QTD.PENDENTE]]:tabConsumo[[#This Row],[09_23]] ) * 2)</f>
        <v>7.1520198242711199</v>
      </c>
      <c r="W484" s="221">
        <f xml:space="preserve"> tabConsumo[[#This Row],[Média.A]] + (_xlfn.STDEV.S( tabConsumo[[#This Row],[QTD.PENDENTE]]:tabConsumo[[#This Row],[09_23]] ) * 3)</f>
        <v>9.853029736406679</v>
      </c>
      <c r="X484" s="5">
        <f t="shared" si="15"/>
        <v>2</v>
      </c>
      <c r="Y484">
        <v>1.75</v>
      </c>
      <c r="Z484" s="223">
        <f>SUM( tabConsumo[[#This Row],[QTD.PENDENTE]]:tabConsumo[[#This Row],[09_23]] )</f>
        <v>21</v>
      </c>
      <c r="AA484" s="223">
        <f>LARGE(tabConsumo[[#This Row],[10_22]:[09_23]],1)</f>
        <v>6</v>
      </c>
      <c r="AB484" s="146" t="s">
        <v>2244</v>
      </c>
      <c r="AC484" s="3" t="s">
        <v>2086</v>
      </c>
    </row>
    <row r="485" spans="1:29" x14ac:dyDescent="0.3">
      <c r="A485" s="4" t="s">
        <v>1295</v>
      </c>
      <c r="B485" s="3" t="s">
        <v>263</v>
      </c>
      <c r="C485" s="2">
        <v>49695</v>
      </c>
      <c r="D485" s="2">
        <v>100</v>
      </c>
      <c r="E485" s="2">
        <v>71</v>
      </c>
      <c r="F485" s="2">
        <v>15</v>
      </c>
      <c r="G485" s="2">
        <v>0</v>
      </c>
      <c r="H485" s="2">
        <v>30</v>
      </c>
      <c r="I485" s="2">
        <v>0</v>
      </c>
      <c r="J485" s="2">
        <v>30</v>
      </c>
      <c r="K485" s="2">
        <v>50</v>
      </c>
      <c r="L485" s="2">
        <v>60</v>
      </c>
      <c r="M485" s="2">
        <v>80</v>
      </c>
      <c r="N485" s="2">
        <v>29</v>
      </c>
      <c r="O485" s="2">
        <v>0</v>
      </c>
      <c r="P485" s="2">
        <v>0</v>
      </c>
      <c r="Q485" s="2">
        <v>0</v>
      </c>
      <c r="R485" s="238">
        <v>367</v>
      </c>
      <c r="S485" s="219">
        <f xml:space="preserve"> 12</f>
        <v>12</v>
      </c>
      <c r="T485" s="220">
        <f>SUM( tabConsumo[[#This Row],[QTD.PENDENTE]]:tabConsumo[[#This Row],[09_23]] ) / tabConsumo[[#This Row],[Div]]</f>
        <v>30.416666666666668</v>
      </c>
      <c r="U485" s="221">
        <f xml:space="preserve"> tabConsumo[[#This Row],[Média.A]] + (_xlfn.STDEV.S( tabConsumo[[#This Row],[QTD.PENDENTE]]:tabConsumo[[#This Row],[09_23]] ) * 1)</f>
        <v>59.512661632931753</v>
      </c>
      <c r="V485" s="221">
        <f xml:space="preserve"> tabConsumo[[#This Row],[Média.A]] + (_xlfn.STDEV.S( tabConsumo[[#This Row],[QTD.PENDENTE]]:tabConsumo[[#This Row],[09_23]] ) * 2)</f>
        <v>88.608656599196834</v>
      </c>
      <c r="W485" s="221">
        <f xml:space="preserve"> tabConsumo[[#This Row],[Média.A]] + (_xlfn.STDEV.S( tabConsumo[[#This Row],[QTD.PENDENTE]]:tabConsumo[[#This Row],[09_23]] ) * 3)</f>
        <v>117.70465156546192</v>
      </c>
      <c r="X485" s="5">
        <f t="shared" si="15"/>
        <v>2</v>
      </c>
      <c r="Y485">
        <v>30.416666666666668</v>
      </c>
      <c r="Z485" s="223">
        <f>SUM( tabConsumo[[#This Row],[QTD.PENDENTE]]:tabConsumo[[#This Row],[09_23]] )</f>
        <v>365</v>
      </c>
      <c r="AA485" s="223">
        <f>LARGE(tabConsumo[[#This Row],[10_22]:[09_23]],1)</f>
        <v>80</v>
      </c>
      <c r="AB485" s="146" t="s">
        <v>2246</v>
      </c>
      <c r="AC485" s="3" t="s">
        <v>2086</v>
      </c>
    </row>
    <row r="486" spans="1:29" x14ac:dyDescent="0.3">
      <c r="A486" s="4" t="s">
        <v>1762</v>
      </c>
      <c r="B486" s="3" t="s">
        <v>260</v>
      </c>
      <c r="C486" s="2">
        <v>123710</v>
      </c>
      <c r="D486" s="2">
        <v>73</v>
      </c>
      <c r="E486" s="2">
        <v>6</v>
      </c>
      <c r="F486" s="2">
        <v>7</v>
      </c>
      <c r="G486" s="2">
        <v>7</v>
      </c>
      <c r="H486" s="2">
        <v>5</v>
      </c>
      <c r="I486" s="2">
        <v>5</v>
      </c>
      <c r="J486" s="2">
        <v>11</v>
      </c>
      <c r="K486" s="2">
        <v>34</v>
      </c>
      <c r="L486" s="2">
        <v>18</v>
      </c>
      <c r="M486" s="2">
        <v>22</v>
      </c>
      <c r="N486" s="2">
        <v>19</v>
      </c>
      <c r="O486" s="2">
        <v>16</v>
      </c>
      <c r="P486" s="2">
        <v>1</v>
      </c>
      <c r="Q486" s="2">
        <v>17</v>
      </c>
      <c r="R486" s="238">
        <v>41143</v>
      </c>
      <c r="S486" s="219">
        <v>12</v>
      </c>
      <c r="T486" s="220">
        <f>SUM( tabConsumo[[#This Row],[QTD.PENDENTE]]:tabConsumo[[#This Row],[09_23]] ) / tabConsumo[[#This Row],[Div]]</f>
        <v>14</v>
      </c>
      <c r="U486" s="221">
        <f xml:space="preserve"> tabConsumo[[#This Row],[Média.A]] + (_xlfn.STDEV.S( tabConsumo[[#This Row],[QTD.PENDENTE]]:tabConsumo[[#This Row],[09_23]] ) * 1)</f>
        <v>23.151152372438663</v>
      </c>
      <c r="V486" s="221">
        <f xml:space="preserve"> tabConsumo[[#This Row],[Média.A]] + (_xlfn.STDEV.S( tabConsumo[[#This Row],[QTD.PENDENTE]]:tabConsumo[[#This Row],[09_23]] ) * 2)</f>
        <v>32.302304744877326</v>
      </c>
      <c r="W486" s="221">
        <f xml:space="preserve"> tabConsumo[[#This Row],[Média.A]] + (_xlfn.STDEV.S( tabConsumo[[#This Row],[QTD.PENDENTE]]:tabConsumo[[#This Row],[09_23]] ) * 3)</f>
        <v>41.453457117315992</v>
      </c>
      <c r="X486" s="5">
        <f t="shared" si="15"/>
        <v>2</v>
      </c>
      <c r="Y486">
        <v>13.833333333333334</v>
      </c>
      <c r="Z486" s="223">
        <f>SUM( tabConsumo[[#This Row],[QTD.PENDENTE]]:tabConsumo[[#This Row],[09_23]] )</f>
        <v>168</v>
      </c>
      <c r="AA486" s="223">
        <f>LARGE(tabConsumo[[#This Row],[10_22]:[09_23]],1)</f>
        <v>34</v>
      </c>
      <c r="AB486" s="146" t="s">
        <v>2238</v>
      </c>
      <c r="AC486" s="3" t="s">
        <v>2086</v>
      </c>
    </row>
    <row r="487" spans="1:29" x14ac:dyDescent="0.3">
      <c r="A487" s="4" t="s">
        <v>1783</v>
      </c>
      <c r="B487" s="3" t="s">
        <v>260</v>
      </c>
      <c r="C487" s="2">
        <v>127384</v>
      </c>
      <c r="D487" s="2">
        <v>258</v>
      </c>
      <c r="F487" s="2">
        <v>12</v>
      </c>
      <c r="G487" s="2">
        <v>18</v>
      </c>
      <c r="H487" s="2">
        <v>27</v>
      </c>
      <c r="I487" s="2">
        <v>18</v>
      </c>
      <c r="J487" s="2">
        <v>32</v>
      </c>
      <c r="K487" s="2">
        <v>53</v>
      </c>
      <c r="L487" s="2">
        <v>63</v>
      </c>
      <c r="M487" s="2">
        <v>60</v>
      </c>
      <c r="N487" s="2">
        <v>15</v>
      </c>
      <c r="O487" s="2">
        <v>0</v>
      </c>
      <c r="P487" s="2">
        <v>50</v>
      </c>
      <c r="Q487" s="2">
        <v>10</v>
      </c>
      <c r="R487" s="238">
        <v>41688</v>
      </c>
      <c r="S487" s="219">
        <v>12</v>
      </c>
      <c r="T487" s="220">
        <f>SUM( tabConsumo[[#This Row],[QTD.PENDENTE]]:tabConsumo[[#This Row],[09_23]] ) / tabConsumo[[#This Row],[Div]]</f>
        <v>29.833333333333332</v>
      </c>
      <c r="U487" s="221">
        <f xml:space="preserve"> tabConsumo[[#This Row],[Média.A]] + (_xlfn.STDEV.S( tabConsumo[[#This Row],[QTD.PENDENTE]]:tabConsumo[[#This Row],[09_23]] ) * 1)</f>
        <v>51.297185962741914</v>
      </c>
      <c r="V487" s="221">
        <f xml:space="preserve"> tabConsumo[[#This Row],[Média.A]] + (_xlfn.STDEV.S( tabConsumo[[#This Row],[QTD.PENDENTE]]:tabConsumo[[#This Row],[09_23]] ) * 2)</f>
        <v>72.761038592150499</v>
      </c>
      <c r="W487" s="221">
        <f xml:space="preserve"> tabConsumo[[#This Row],[Média.A]] + (_xlfn.STDEV.S( tabConsumo[[#This Row],[QTD.PENDENTE]]:tabConsumo[[#This Row],[09_23]] ) * 3)</f>
        <v>94.224891221559076</v>
      </c>
      <c r="X487" s="5">
        <f t="shared" si="15"/>
        <v>2</v>
      </c>
      <c r="Y487">
        <v>29.833333333333332</v>
      </c>
      <c r="Z487" s="223">
        <f>SUM( tabConsumo[[#This Row],[QTD.PENDENTE]]:tabConsumo[[#This Row],[09_23]] )</f>
        <v>358</v>
      </c>
      <c r="AA487" s="223">
        <f>LARGE(tabConsumo[[#This Row],[10_22]:[09_23]],1)</f>
        <v>63</v>
      </c>
      <c r="AB487" s="146" t="s">
        <v>2238</v>
      </c>
      <c r="AC487" s="3" t="s">
        <v>2086</v>
      </c>
    </row>
    <row r="488" spans="1:29" x14ac:dyDescent="0.3">
      <c r="A488" s="4" t="s">
        <v>1844</v>
      </c>
      <c r="B488" s="3" t="s">
        <v>31</v>
      </c>
      <c r="C488" s="2">
        <v>132655</v>
      </c>
      <c r="D488" s="2">
        <v>1393</v>
      </c>
      <c r="E488" s="2">
        <v>840</v>
      </c>
      <c r="F488" s="2">
        <v>0</v>
      </c>
      <c r="G488" s="2">
        <v>126</v>
      </c>
      <c r="H488" s="2">
        <v>0</v>
      </c>
      <c r="I488" s="2">
        <v>1175</v>
      </c>
      <c r="J488" s="2">
        <v>2282</v>
      </c>
      <c r="K488" s="2">
        <v>16416</v>
      </c>
      <c r="L488" s="2">
        <v>2413</v>
      </c>
      <c r="M488" s="2">
        <v>2752</v>
      </c>
      <c r="N488" s="2">
        <v>2664</v>
      </c>
      <c r="O488" s="2">
        <v>2247</v>
      </c>
      <c r="P488" s="2">
        <v>2467</v>
      </c>
      <c r="Q488" s="2">
        <v>2664</v>
      </c>
      <c r="R488" s="238">
        <v>42860</v>
      </c>
      <c r="S488" s="219">
        <v>12</v>
      </c>
      <c r="T488" s="220">
        <f>SUM( tabConsumo[[#This Row],[QTD.PENDENTE]]:tabConsumo[[#This Row],[09_23]] ) / tabConsumo[[#This Row],[Div]]</f>
        <v>3003.8333333333335</v>
      </c>
      <c r="U488" s="221">
        <f xml:space="preserve"> tabConsumo[[#This Row],[Média.A]] + (_xlfn.STDEV.S( tabConsumo[[#This Row],[QTD.PENDENTE]]:tabConsumo[[#This Row],[09_23]] ) * 1)</f>
        <v>7242.2725538060095</v>
      </c>
      <c r="V488" s="221">
        <f xml:space="preserve"> tabConsumo[[#This Row],[Média.A]] + (_xlfn.STDEV.S( tabConsumo[[#This Row],[QTD.PENDENTE]]:tabConsumo[[#This Row],[09_23]] ) * 2)</f>
        <v>11480.711774278685</v>
      </c>
      <c r="W488" s="221">
        <f xml:space="preserve"> tabConsumo[[#This Row],[Média.A]] + (_xlfn.STDEV.S( tabConsumo[[#This Row],[QTD.PENDENTE]]:tabConsumo[[#This Row],[09_23]] ) * 3)</f>
        <v>15719.15099475136</v>
      </c>
      <c r="X488" s="5">
        <f t="shared" si="15"/>
        <v>2</v>
      </c>
      <c r="Y488">
        <v>2592.5</v>
      </c>
      <c r="Z488" s="223">
        <f>SUM( tabConsumo[[#This Row],[QTD.PENDENTE]]:tabConsumo[[#This Row],[09_23]] )</f>
        <v>36046</v>
      </c>
      <c r="AA488" s="223">
        <f>LARGE(tabConsumo[[#This Row],[10_22]:[09_23]],1)</f>
        <v>16416</v>
      </c>
      <c r="AB488" s="146" t="s">
        <v>2238</v>
      </c>
      <c r="AC488" s="3" t="s">
        <v>2086</v>
      </c>
    </row>
    <row r="489" spans="1:29" x14ac:dyDescent="0.3">
      <c r="A489" s="4" t="s">
        <v>1845</v>
      </c>
      <c r="B489" s="3" t="s">
        <v>31</v>
      </c>
      <c r="C489" s="2">
        <v>132656</v>
      </c>
      <c r="D489" s="2">
        <v>0</v>
      </c>
      <c r="E489" s="2">
        <v>1855</v>
      </c>
      <c r="F489" s="2">
        <v>170</v>
      </c>
      <c r="G489" s="2">
        <v>133</v>
      </c>
      <c r="H489" s="2">
        <v>0</v>
      </c>
      <c r="I489" s="2">
        <v>1241</v>
      </c>
      <c r="J489" s="2">
        <v>2271</v>
      </c>
      <c r="K489" s="2">
        <v>16392</v>
      </c>
      <c r="L489" s="2">
        <v>2423</v>
      </c>
      <c r="M489" s="2">
        <v>2719</v>
      </c>
      <c r="N489" s="2">
        <v>2693</v>
      </c>
      <c r="O489" s="2">
        <v>2164</v>
      </c>
      <c r="P489" s="2">
        <v>2403</v>
      </c>
      <c r="Q489" s="2">
        <v>1033</v>
      </c>
      <c r="R489" s="238">
        <v>42860</v>
      </c>
      <c r="S489" s="219">
        <v>12</v>
      </c>
      <c r="T489" s="220">
        <f>SUM( tabConsumo[[#This Row],[QTD.PENDENTE]]:tabConsumo[[#This Row],[09_23]] ) / tabConsumo[[#This Row],[Div]]</f>
        <v>2958.0833333333335</v>
      </c>
      <c r="U489" s="221">
        <f xml:space="preserve"> tabConsumo[[#This Row],[Média.A]] + (_xlfn.STDEV.S( tabConsumo[[#This Row],[QTD.PENDENTE]]:tabConsumo[[#This Row],[09_23]] ) * 1)</f>
        <v>7181.010923986225</v>
      </c>
      <c r="V489" s="221">
        <f xml:space="preserve"> tabConsumo[[#This Row],[Média.A]] + (_xlfn.STDEV.S( tabConsumo[[#This Row],[QTD.PENDENTE]]:tabConsumo[[#This Row],[09_23]] ) * 2)</f>
        <v>11403.938514639118</v>
      </c>
      <c r="W489" s="221">
        <f xml:space="preserve"> tabConsumo[[#This Row],[Média.A]] + (_xlfn.STDEV.S( tabConsumo[[#This Row],[QTD.PENDENTE]]:tabConsumo[[#This Row],[09_23]] ) * 3)</f>
        <v>15626.866105292009</v>
      </c>
      <c r="X489" s="5">
        <f t="shared" si="15"/>
        <v>2</v>
      </c>
      <c r="Y489">
        <v>2542.3333333333335</v>
      </c>
      <c r="Z489" s="223">
        <f>SUM( tabConsumo[[#This Row],[QTD.PENDENTE]]:tabConsumo[[#This Row],[09_23]] )</f>
        <v>35497</v>
      </c>
      <c r="AA489" s="223">
        <f>LARGE(tabConsumo[[#This Row],[10_22]:[09_23]],1)</f>
        <v>16392</v>
      </c>
      <c r="AB489" s="146" t="s">
        <v>2238</v>
      </c>
      <c r="AC489" s="3" t="s">
        <v>2086</v>
      </c>
    </row>
    <row r="490" spans="1:29" x14ac:dyDescent="0.3">
      <c r="A490" s="4" t="s">
        <v>910</v>
      </c>
      <c r="B490" s="3" t="s">
        <v>320</v>
      </c>
      <c r="C490" s="2">
        <v>10412</v>
      </c>
      <c r="D490" s="2">
        <v>44</v>
      </c>
      <c r="E490" s="2">
        <v>132</v>
      </c>
      <c r="F490" s="2">
        <v>50</v>
      </c>
      <c r="G490" s="2">
        <v>109</v>
      </c>
      <c r="H490" s="2">
        <v>98</v>
      </c>
      <c r="I490" s="2">
        <v>71</v>
      </c>
      <c r="J490" s="2">
        <v>70</v>
      </c>
      <c r="K490" s="2">
        <v>108</v>
      </c>
      <c r="L490" s="2">
        <v>121</v>
      </c>
      <c r="M490" s="2">
        <v>70</v>
      </c>
      <c r="N490" s="2">
        <v>120</v>
      </c>
      <c r="O490" s="2">
        <v>117.5</v>
      </c>
      <c r="P490" s="2">
        <v>115</v>
      </c>
      <c r="Q490" s="2">
        <v>89</v>
      </c>
      <c r="R490" s="238">
        <v>367</v>
      </c>
      <c r="S490" s="219">
        <f xml:space="preserve"> 12</f>
        <v>12</v>
      </c>
      <c r="T490" s="220">
        <f>SUM( tabConsumo[[#This Row],[QTD.PENDENTE]]:tabConsumo[[#This Row],[09_23]] ) / tabConsumo[[#This Row],[Div]]</f>
        <v>105.875</v>
      </c>
      <c r="U490" s="221">
        <f xml:space="preserve"> tabConsumo[[#This Row],[Média.A]] + (_xlfn.STDEV.S( tabConsumo[[#This Row],[QTD.PENDENTE]]:tabConsumo[[#This Row],[09_23]] ) * 1)</f>
        <v>131.27235500058305</v>
      </c>
      <c r="V490" s="221">
        <f xml:space="preserve"> tabConsumo[[#This Row],[Média.A]] + (_xlfn.STDEV.S( tabConsumo[[#This Row],[QTD.PENDENTE]]:tabConsumo[[#This Row],[09_23]] ) * 2)</f>
        <v>156.6697100011661</v>
      </c>
      <c r="W490" s="221">
        <f xml:space="preserve"> tabConsumo[[#This Row],[Média.A]] + (_xlfn.STDEV.S( tabConsumo[[#This Row],[QTD.PENDENTE]]:tabConsumo[[#This Row],[09_23]] ) * 3)</f>
        <v>182.06706500174914</v>
      </c>
      <c r="X490" s="5">
        <f t="shared" si="15"/>
        <v>2</v>
      </c>
      <c r="Y490">
        <v>105.875</v>
      </c>
      <c r="Z490" s="223">
        <f>SUM( tabConsumo[[#This Row],[QTD.PENDENTE]]:tabConsumo[[#This Row],[09_23]] )</f>
        <v>1270.5</v>
      </c>
      <c r="AA490" s="223">
        <f>LARGE(tabConsumo[[#This Row],[10_22]:[09_23]],1)</f>
        <v>121</v>
      </c>
      <c r="AB490" s="146" t="s">
        <v>2238</v>
      </c>
      <c r="AC490" s="3" t="s">
        <v>2086</v>
      </c>
    </row>
    <row r="491" spans="1:29" x14ac:dyDescent="0.3">
      <c r="A491" s="4" t="s">
        <v>1176</v>
      </c>
      <c r="B491" s="3" t="s">
        <v>287</v>
      </c>
      <c r="C491" s="2">
        <v>23016</v>
      </c>
      <c r="D491" s="2">
        <v>50</v>
      </c>
      <c r="F491" s="2">
        <v>15</v>
      </c>
      <c r="G491" s="2">
        <v>3</v>
      </c>
      <c r="H491" s="2">
        <v>0</v>
      </c>
      <c r="I491" s="2">
        <v>2</v>
      </c>
      <c r="J491" s="2">
        <v>0</v>
      </c>
      <c r="K491" s="2">
        <v>3</v>
      </c>
      <c r="L491" s="2">
        <v>2</v>
      </c>
      <c r="M491" s="2">
        <v>0</v>
      </c>
      <c r="N491" s="2">
        <v>0</v>
      </c>
      <c r="O491" s="2">
        <v>0</v>
      </c>
      <c r="P491" s="2">
        <v>22</v>
      </c>
      <c r="Q491" s="2">
        <v>0</v>
      </c>
      <c r="R491" s="238">
        <v>367</v>
      </c>
      <c r="S491" s="219">
        <f xml:space="preserve"> 12</f>
        <v>12</v>
      </c>
      <c r="T491" s="220">
        <f>SUM( tabConsumo[[#This Row],[QTD.PENDENTE]]:tabConsumo[[#This Row],[09_23]] ) / tabConsumo[[#This Row],[Div]]</f>
        <v>3.9166666666666665</v>
      </c>
      <c r="U491" s="221">
        <f xml:space="preserve"> tabConsumo[[#This Row],[Média.A]] + (_xlfn.STDEV.S( tabConsumo[[#This Row],[QTD.PENDENTE]]:tabConsumo[[#This Row],[09_23]] ) * 1)</f>
        <v>10.993624581854048</v>
      </c>
      <c r="V491" s="221">
        <f xml:space="preserve"> tabConsumo[[#This Row],[Média.A]] + (_xlfn.STDEV.S( tabConsumo[[#This Row],[QTD.PENDENTE]]:tabConsumo[[#This Row],[09_23]] ) * 2)</f>
        <v>18.070582497041428</v>
      </c>
      <c r="W491" s="221">
        <f xml:space="preserve"> tabConsumo[[#This Row],[Média.A]] + (_xlfn.STDEV.S( tabConsumo[[#This Row],[QTD.PENDENTE]]:tabConsumo[[#This Row],[09_23]] ) * 3)</f>
        <v>25.14754041222881</v>
      </c>
      <c r="X491" s="5">
        <f t="shared" si="15"/>
        <v>2</v>
      </c>
      <c r="Y491">
        <v>3.5833333333333335</v>
      </c>
      <c r="Z491" s="223">
        <f>SUM( tabConsumo[[#This Row],[QTD.PENDENTE]]:tabConsumo[[#This Row],[09_23]] )</f>
        <v>47</v>
      </c>
      <c r="AA491" s="223">
        <f>LARGE(tabConsumo[[#This Row],[10_22]:[09_23]],1)</f>
        <v>22</v>
      </c>
      <c r="AB491" s="146" t="s">
        <v>2241</v>
      </c>
      <c r="AC491" s="3" t="s">
        <v>2086</v>
      </c>
    </row>
    <row r="492" spans="1:29" x14ac:dyDescent="0.3">
      <c r="A492" s="4" t="s">
        <v>1050</v>
      </c>
      <c r="B492" s="3" t="s">
        <v>287</v>
      </c>
      <c r="C492" s="2">
        <v>14001</v>
      </c>
      <c r="D492" s="2">
        <v>0</v>
      </c>
      <c r="F492" s="2">
        <v>27</v>
      </c>
      <c r="G492" s="2">
        <v>30</v>
      </c>
      <c r="H492" s="2">
        <v>30</v>
      </c>
      <c r="I492" s="2">
        <v>34</v>
      </c>
      <c r="J492" s="2">
        <v>10</v>
      </c>
      <c r="K492" s="2">
        <v>34</v>
      </c>
      <c r="L492" s="2">
        <v>10</v>
      </c>
      <c r="M492" s="2">
        <v>40</v>
      </c>
      <c r="N492" s="2">
        <v>0</v>
      </c>
      <c r="O492" s="2">
        <v>0</v>
      </c>
      <c r="P492" s="2">
        <v>0</v>
      </c>
      <c r="Q492" s="2">
        <v>0</v>
      </c>
      <c r="R492" s="238">
        <v>367</v>
      </c>
      <c r="S492" s="219">
        <f xml:space="preserve"> 12</f>
        <v>12</v>
      </c>
      <c r="T492" s="220">
        <f>SUM( tabConsumo[[#This Row],[QTD.PENDENTE]]:tabConsumo[[#This Row],[09_23]] ) / tabConsumo[[#This Row],[Div]]</f>
        <v>17.916666666666668</v>
      </c>
      <c r="U492" s="221">
        <f xml:space="preserve"> tabConsumo[[#This Row],[Média.A]] + (_xlfn.STDEV.S( tabConsumo[[#This Row],[QTD.PENDENTE]]:tabConsumo[[#This Row],[09_23]] ) * 1)</f>
        <v>33.839539484970494</v>
      </c>
      <c r="V492" s="221">
        <f xml:space="preserve"> tabConsumo[[#This Row],[Média.A]] + (_xlfn.STDEV.S( tabConsumo[[#This Row],[QTD.PENDENTE]]:tabConsumo[[#This Row],[09_23]] ) * 2)</f>
        <v>49.762412303274317</v>
      </c>
      <c r="W492" s="221">
        <f xml:space="preserve"> tabConsumo[[#This Row],[Média.A]] + (_xlfn.STDEV.S( tabConsumo[[#This Row],[QTD.PENDENTE]]:tabConsumo[[#This Row],[09_23]] ) * 3)</f>
        <v>65.685285121578147</v>
      </c>
      <c r="X492" s="5">
        <f t="shared" si="15"/>
        <v>2</v>
      </c>
      <c r="Y492">
        <v>17.916666666666668</v>
      </c>
      <c r="Z492" s="223">
        <f>SUM( tabConsumo[[#This Row],[QTD.PENDENTE]]:tabConsumo[[#This Row],[09_23]] )</f>
        <v>215</v>
      </c>
      <c r="AA492" s="223">
        <f>LARGE(tabConsumo[[#This Row],[10_22]:[09_23]],1)</f>
        <v>40</v>
      </c>
      <c r="AB492" s="146" t="s">
        <v>2244</v>
      </c>
      <c r="AC492" s="3" t="s">
        <v>2086</v>
      </c>
    </row>
    <row r="493" spans="1:29" x14ac:dyDescent="0.3">
      <c r="A493" s="4" t="s">
        <v>1362</v>
      </c>
      <c r="B493" s="3" t="s">
        <v>269</v>
      </c>
      <c r="C493" s="2">
        <v>63382</v>
      </c>
      <c r="D493" s="2">
        <v>214</v>
      </c>
      <c r="F493" s="2">
        <v>1</v>
      </c>
      <c r="G493" s="2">
        <v>1</v>
      </c>
      <c r="H493" s="2">
        <v>0</v>
      </c>
      <c r="I493" s="2">
        <v>0</v>
      </c>
      <c r="J493" s="2">
        <v>2</v>
      </c>
      <c r="K493" s="2">
        <v>1</v>
      </c>
      <c r="L493" s="2">
        <v>32</v>
      </c>
      <c r="M493" s="2">
        <v>0</v>
      </c>
      <c r="N493" s="2">
        <v>0</v>
      </c>
      <c r="O493" s="2">
        <v>0</v>
      </c>
      <c r="P493" s="2">
        <v>0</v>
      </c>
      <c r="Q493" s="2">
        <v>0</v>
      </c>
      <c r="R493" s="238">
        <v>367</v>
      </c>
      <c r="S493" s="219">
        <f xml:space="preserve"> 12</f>
        <v>12</v>
      </c>
      <c r="T493" s="220">
        <f>SUM( tabConsumo[[#This Row],[QTD.PENDENTE]]:tabConsumo[[#This Row],[09_23]] ) / tabConsumo[[#This Row],[Div]]</f>
        <v>3.0833333333333335</v>
      </c>
      <c r="U493" s="221">
        <f xml:space="preserve"> tabConsumo[[#This Row],[Média.A]] + (_xlfn.STDEV.S( tabConsumo[[#This Row],[QTD.PENDENTE]]:tabConsumo[[#This Row],[09_23]] ) * 1)</f>
        <v>12.21328736421764</v>
      </c>
      <c r="V493" s="221">
        <f xml:space="preserve"> tabConsumo[[#This Row],[Média.A]] + (_xlfn.STDEV.S( tabConsumo[[#This Row],[QTD.PENDENTE]]:tabConsumo[[#This Row],[09_23]] ) * 2)</f>
        <v>21.343241395101945</v>
      </c>
      <c r="W493" s="221">
        <f xml:space="preserve"> tabConsumo[[#This Row],[Média.A]] + (_xlfn.STDEV.S( tabConsumo[[#This Row],[QTD.PENDENTE]]:tabConsumo[[#This Row],[09_23]] ) * 3)</f>
        <v>30.473195425986251</v>
      </c>
      <c r="X493" s="5">
        <f t="shared" si="15"/>
        <v>2</v>
      </c>
      <c r="Y493">
        <v>2.1666666666666665</v>
      </c>
      <c r="Z493" s="223">
        <f>SUM( tabConsumo[[#This Row],[QTD.PENDENTE]]:tabConsumo[[#This Row],[09_23]] )</f>
        <v>37</v>
      </c>
      <c r="AA493" s="223">
        <f>LARGE(tabConsumo[[#This Row],[10_22]:[09_23]],1)</f>
        <v>32</v>
      </c>
      <c r="AB493" s="146" t="s">
        <v>2240</v>
      </c>
      <c r="AC493" s="3" t="s">
        <v>2086</v>
      </c>
    </row>
    <row r="494" spans="1:29" x14ac:dyDescent="0.3">
      <c r="A494" s="4" t="s">
        <v>1808</v>
      </c>
      <c r="B494" s="3" t="s">
        <v>31</v>
      </c>
      <c r="C494" s="2">
        <v>130632</v>
      </c>
      <c r="D494" s="2">
        <v>0</v>
      </c>
      <c r="F494" s="2">
        <v>2</v>
      </c>
      <c r="G494" s="2">
        <v>2</v>
      </c>
      <c r="H494" s="2">
        <v>0</v>
      </c>
      <c r="I494" s="2">
        <v>0</v>
      </c>
      <c r="J494" s="2">
        <v>1</v>
      </c>
      <c r="K494" s="2">
        <v>3</v>
      </c>
      <c r="L494" s="2">
        <v>0</v>
      </c>
      <c r="M494" s="2">
        <v>0</v>
      </c>
      <c r="N494" s="2">
        <v>15</v>
      </c>
      <c r="O494" s="2">
        <v>0</v>
      </c>
      <c r="P494" s="2">
        <v>0</v>
      </c>
      <c r="Q494" s="2">
        <v>0</v>
      </c>
      <c r="R494" s="238">
        <v>42207</v>
      </c>
      <c r="S494" s="219">
        <v>12</v>
      </c>
      <c r="T494" s="220">
        <f>SUM( tabConsumo[[#This Row],[QTD.PENDENTE]]:tabConsumo[[#This Row],[09_23]] ) / tabConsumo[[#This Row],[Div]]</f>
        <v>1.9166666666666667</v>
      </c>
      <c r="U494" s="221">
        <f xml:space="preserve"> tabConsumo[[#This Row],[Média.A]] + (_xlfn.STDEV.S( tabConsumo[[#This Row],[QTD.PENDENTE]]:tabConsumo[[#This Row],[09_23]] ) * 1)</f>
        <v>6.1691169407243578</v>
      </c>
      <c r="V494" s="221">
        <f xml:space="preserve"> tabConsumo[[#This Row],[Média.A]] + (_xlfn.STDEV.S( tabConsumo[[#This Row],[QTD.PENDENTE]]:tabConsumo[[#This Row],[09_23]] ) * 2)</f>
        <v>10.421567214782048</v>
      </c>
      <c r="W494" s="221">
        <f xml:space="preserve"> tabConsumo[[#This Row],[Média.A]] + (_xlfn.STDEV.S( tabConsumo[[#This Row],[QTD.PENDENTE]]:tabConsumo[[#This Row],[09_23]] ) * 3)</f>
        <v>14.674017488839739</v>
      </c>
      <c r="X494" s="5">
        <f t="shared" si="15"/>
        <v>2</v>
      </c>
      <c r="Y494">
        <v>1.5</v>
      </c>
      <c r="Z494" s="223">
        <f>SUM( tabConsumo[[#This Row],[QTD.PENDENTE]]:tabConsumo[[#This Row],[09_23]] )</f>
        <v>23</v>
      </c>
      <c r="AA494" s="223">
        <f>LARGE(tabConsumo[[#This Row],[10_22]:[09_23]],1)</f>
        <v>15</v>
      </c>
      <c r="AB494" s="146" t="s">
        <v>2246</v>
      </c>
      <c r="AC494" s="3" t="s">
        <v>2086</v>
      </c>
    </row>
    <row r="495" spans="1:29" x14ac:dyDescent="0.3">
      <c r="A495" s="4" t="s">
        <v>1477</v>
      </c>
      <c r="B495" s="3" t="s">
        <v>287</v>
      </c>
      <c r="C495" s="2">
        <v>81493</v>
      </c>
      <c r="D495" s="2">
        <v>0</v>
      </c>
      <c r="E495" s="2">
        <v>15</v>
      </c>
      <c r="F495" s="2">
        <v>7</v>
      </c>
      <c r="G495" s="2">
        <v>14</v>
      </c>
      <c r="H495" s="2">
        <v>15</v>
      </c>
      <c r="I495" s="2">
        <v>4</v>
      </c>
      <c r="J495" s="2">
        <v>13</v>
      </c>
      <c r="K495" s="2">
        <v>17</v>
      </c>
      <c r="L495" s="2">
        <v>14</v>
      </c>
      <c r="M495" s="2">
        <v>6</v>
      </c>
      <c r="N495" s="2">
        <v>23</v>
      </c>
      <c r="O495" s="2">
        <v>0</v>
      </c>
      <c r="P495" s="2">
        <v>0</v>
      </c>
      <c r="Q495" s="2">
        <v>2</v>
      </c>
      <c r="R495" s="238">
        <v>38225</v>
      </c>
      <c r="S495" s="219">
        <v>12</v>
      </c>
      <c r="T495" s="220">
        <f>SUM( tabConsumo[[#This Row],[QTD.PENDENTE]]:tabConsumo[[#This Row],[09_23]] ) / tabConsumo[[#This Row],[Div]]</f>
        <v>10.833333333333334</v>
      </c>
      <c r="U495" s="221">
        <f xml:space="preserve"> tabConsumo[[#This Row],[Média.A]] + (_xlfn.STDEV.S( tabConsumo[[#This Row],[QTD.PENDENTE]]:tabConsumo[[#This Row],[09_23]] ) * 1)</f>
        <v>18.101987495785508</v>
      </c>
      <c r="V495" s="221">
        <f xml:space="preserve"> tabConsumo[[#This Row],[Média.A]] + (_xlfn.STDEV.S( tabConsumo[[#This Row],[QTD.PENDENTE]]:tabConsumo[[#This Row],[09_23]] ) * 2)</f>
        <v>25.370641658237684</v>
      </c>
      <c r="W495" s="221">
        <f xml:space="preserve"> tabConsumo[[#This Row],[Média.A]] + (_xlfn.STDEV.S( tabConsumo[[#This Row],[QTD.PENDENTE]]:tabConsumo[[#This Row],[09_23]] ) * 3)</f>
        <v>32.63929582068986</v>
      </c>
      <c r="X495" s="5">
        <f t="shared" si="15"/>
        <v>2</v>
      </c>
      <c r="Y495">
        <v>10.833333333333334</v>
      </c>
      <c r="Z495" s="223">
        <f>SUM( tabConsumo[[#This Row],[QTD.PENDENTE]]:tabConsumo[[#This Row],[09_23]] )</f>
        <v>130</v>
      </c>
      <c r="AA495" s="223">
        <f>LARGE(tabConsumo[[#This Row],[10_22]:[09_23]],1)</f>
        <v>23</v>
      </c>
      <c r="AB495" s="146" t="s">
        <v>2238</v>
      </c>
      <c r="AC495" s="3" t="s">
        <v>2086</v>
      </c>
    </row>
    <row r="496" spans="1:29" x14ac:dyDescent="0.3">
      <c r="A496" s="4" t="s">
        <v>1919</v>
      </c>
      <c r="B496" s="3" t="s">
        <v>31</v>
      </c>
      <c r="C496" s="2">
        <v>135701</v>
      </c>
      <c r="D496" s="2">
        <v>2006</v>
      </c>
      <c r="F496" s="2">
        <v>15</v>
      </c>
      <c r="G496" s="2">
        <v>12</v>
      </c>
      <c r="H496" s="2">
        <v>7</v>
      </c>
      <c r="I496" s="2">
        <v>17</v>
      </c>
      <c r="J496" s="2">
        <v>16</v>
      </c>
      <c r="K496" s="2">
        <v>32</v>
      </c>
      <c r="L496" s="2">
        <v>16</v>
      </c>
      <c r="M496" s="2">
        <v>20</v>
      </c>
      <c r="N496" s="2">
        <v>20</v>
      </c>
      <c r="O496" s="2">
        <v>15</v>
      </c>
      <c r="P496" s="2">
        <v>17</v>
      </c>
      <c r="Q496" s="2">
        <v>14</v>
      </c>
      <c r="R496" s="238">
        <v>43333</v>
      </c>
      <c r="S496" s="219">
        <v>12</v>
      </c>
      <c r="T496" s="220">
        <f>SUM( tabConsumo[[#This Row],[QTD.PENDENTE]]:tabConsumo[[#This Row],[09_23]] ) / tabConsumo[[#This Row],[Div]]</f>
        <v>16.75</v>
      </c>
      <c r="U496" s="221">
        <f xml:space="preserve"> tabConsumo[[#This Row],[Média.A]] + (_xlfn.STDEV.S( tabConsumo[[#This Row],[QTD.PENDENTE]]:tabConsumo[[#This Row],[09_23]] ) * 1)</f>
        <v>22.675676025875561</v>
      </c>
      <c r="V496" s="221">
        <f xml:space="preserve"> tabConsumo[[#This Row],[Média.A]] + (_xlfn.STDEV.S( tabConsumo[[#This Row],[QTD.PENDENTE]]:tabConsumo[[#This Row],[09_23]] ) * 2)</f>
        <v>28.601352051751121</v>
      </c>
      <c r="W496" s="221">
        <f xml:space="preserve"> tabConsumo[[#This Row],[Média.A]] + (_xlfn.STDEV.S( tabConsumo[[#This Row],[QTD.PENDENTE]]:tabConsumo[[#This Row],[09_23]] ) * 3)</f>
        <v>34.527028077626682</v>
      </c>
      <c r="X496" s="5">
        <f t="shared" si="15"/>
        <v>2</v>
      </c>
      <c r="Y496">
        <v>16.416666666666668</v>
      </c>
      <c r="Z496" s="223">
        <f>SUM( tabConsumo[[#This Row],[QTD.PENDENTE]]:tabConsumo[[#This Row],[09_23]] )</f>
        <v>201</v>
      </c>
      <c r="AA496" s="223">
        <f>LARGE(tabConsumo[[#This Row],[10_22]:[09_23]],1)</f>
        <v>32</v>
      </c>
      <c r="AB496" s="146" t="s">
        <v>2238</v>
      </c>
      <c r="AC496" s="3" t="s">
        <v>2086</v>
      </c>
    </row>
    <row r="497" spans="1:29" x14ac:dyDescent="0.3">
      <c r="A497" s="4" t="s">
        <v>1917</v>
      </c>
      <c r="B497" s="3" t="s">
        <v>263</v>
      </c>
      <c r="C497" s="2">
        <v>135304</v>
      </c>
      <c r="D497" s="2">
        <v>722</v>
      </c>
      <c r="F497" s="2">
        <v>18</v>
      </c>
      <c r="G497" s="2">
        <v>6</v>
      </c>
      <c r="H497" s="2">
        <v>6</v>
      </c>
      <c r="I497" s="2">
        <v>8</v>
      </c>
      <c r="J497" s="2">
        <v>42</v>
      </c>
      <c r="K497" s="2">
        <v>61</v>
      </c>
      <c r="L497" s="2">
        <v>15</v>
      </c>
      <c r="M497" s="2">
        <v>20</v>
      </c>
      <c r="N497" s="2">
        <v>0</v>
      </c>
      <c r="O497" s="2">
        <v>0</v>
      </c>
      <c r="P497" s="2">
        <v>50</v>
      </c>
      <c r="Q497" s="2">
        <v>0</v>
      </c>
      <c r="R497" s="238">
        <v>43277</v>
      </c>
      <c r="S497" s="219">
        <v>12</v>
      </c>
      <c r="T497" s="220">
        <f>SUM( tabConsumo[[#This Row],[QTD.PENDENTE]]:tabConsumo[[#This Row],[09_23]] ) / tabConsumo[[#This Row],[Div]]</f>
        <v>18.833333333333332</v>
      </c>
      <c r="U497" s="221">
        <f xml:space="preserve"> tabConsumo[[#This Row],[Média.A]] + (_xlfn.STDEV.S( tabConsumo[[#This Row],[QTD.PENDENTE]]:tabConsumo[[#This Row],[09_23]] ) * 1)</f>
        <v>39.752369176461016</v>
      </c>
      <c r="V497" s="221">
        <f xml:space="preserve"> tabConsumo[[#This Row],[Média.A]] + (_xlfn.STDEV.S( tabConsumo[[#This Row],[QTD.PENDENTE]]:tabConsumo[[#This Row],[09_23]] ) * 2)</f>
        <v>60.67140501958869</v>
      </c>
      <c r="W497" s="221">
        <f xml:space="preserve"> tabConsumo[[#This Row],[Média.A]] + (_xlfn.STDEV.S( tabConsumo[[#This Row],[QTD.PENDENTE]]:tabConsumo[[#This Row],[09_23]] ) * 3)</f>
        <v>81.590440862716378</v>
      </c>
      <c r="X497" s="5">
        <f t="shared" si="15"/>
        <v>2</v>
      </c>
      <c r="Y497">
        <v>18.75</v>
      </c>
      <c r="Z497" s="223">
        <f>SUM( tabConsumo[[#This Row],[QTD.PENDENTE]]:tabConsumo[[#This Row],[09_23]] )</f>
        <v>226</v>
      </c>
      <c r="AA497" s="223">
        <f>LARGE(tabConsumo[[#This Row],[10_22]:[09_23]],1)</f>
        <v>61</v>
      </c>
      <c r="AB497" s="146" t="s">
        <v>2241</v>
      </c>
      <c r="AC497" s="3" t="s">
        <v>2086</v>
      </c>
    </row>
    <row r="498" spans="1:29" x14ac:dyDescent="0.3">
      <c r="A498" s="4" t="s">
        <v>1942</v>
      </c>
      <c r="B498" s="3" t="s">
        <v>31</v>
      </c>
      <c r="C498" s="2">
        <v>136854</v>
      </c>
      <c r="D498" s="2">
        <v>66</v>
      </c>
      <c r="F498" s="2">
        <v>0</v>
      </c>
      <c r="G498" s="2">
        <v>0</v>
      </c>
      <c r="H498" s="2">
        <v>2</v>
      </c>
      <c r="I498" s="2">
        <v>2</v>
      </c>
      <c r="J498" s="2">
        <v>0</v>
      </c>
      <c r="K498" s="2">
        <v>0</v>
      </c>
      <c r="L498" s="2">
        <v>0</v>
      </c>
      <c r="M498" s="2">
        <v>0</v>
      </c>
      <c r="N498" s="2">
        <v>0</v>
      </c>
      <c r="O498" s="2">
        <v>0</v>
      </c>
      <c r="P498" s="2">
        <v>0</v>
      </c>
      <c r="Q498" s="2">
        <v>0</v>
      </c>
      <c r="R498" s="238">
        <v>43578</v>
      </c>
      <c r="S498" s="219">
        <v>12</v>
      </c>
      <c r="T498" s="220">
        <f>SUM( tabConsumo[[#This Row],[QTD.PENDENTE]]:tabConsumo[[#This Row],[09_23]] ) / tabConsumo[[#This Row],[Div]]</f>
        <v>0.33333333333333331</v>
      </c>
      <c r="U498" s="221">
        <f xml:space="preserve"> tabConsumo[[#This Row],[Média.A]] + (_xlfn.STDEV.S( tabConsumo[[#This Row],[QTD.PENDENTE]]:tabConsumo[[#This Row],[09_23]] ) * 1)</f>
        <v>1.1118322774948564</v>
      </c>
      <c r="V498" s="221">
        <f xml:space="preserve"> tabConsumo[[#This Row],[Média.A]] + (_xlfn.STDEV.S( tabConsumo[[#This Row],[QTD.PENDENTE]]:tabConsumo[[#This Row],[09_23]] ) * 2)</f>
        <v>1.8903312216563792</v>
      </c>
      <c r="W498" s="221">
        <f xml:space="preserve"> tabConsumo[[#This Row],[Média.A]] + (_xlfn.STDEV.S( tabConsumo[[#This Row],[QTD.PENDENTE]]:tabConsumo[[#This Row],[09_23]] ) * 3)</f>
        <v>2.6688301658179023</v>
      </c>
      <c r="X498" s="5">
        <f t="shared" si="15"/>
        <v>2</v>
      </c>
      <c r="Y498">
        <v>0.16666666666666666</v>
      </c>
      <c r="Z498" s="223">
        <f>SUM( tabConsumo[[#This Row],[QTD.PENDENTE]]:tabConsumo[[#This Row],[09_23]] )</f>
        <v>4</v>
      </c>
      <c r="AA498" s="223">
        <f>LARGE(tabConsumo[[#This Row],[10_22]:[09_23]],1)</f>
        <v>2</v>
      </c>
      <c r="AB498" s="146" t="s">
        <v>2247</v>
      </c>
      <c r="AC498" s="3" t="s">
        <v>2086</v>
      </c>
    </row>
    <row r="499" spans="1:29" x14ac:dyDescent="0.3">
      <c r="A499" s="4" t="s">
        <v>1359</v>
      </c>
      <c r="B499" s="3" t="s">
        <v>31</v>
      </c>
      <c r="C499" s="2">
        <v>63252</v>
      </c>
      <c r="D499" s="2">
        <v>0</v>
      </c>
      <c r="E499" s="2">
        <v>79</v>
      </c>
      <c r="F499" s="2">
        <v>17</v>
      </c>
      <c r="G499" s="2">
        <v>11</v>
      </c>
      <c r="H499" s="2">
        <v>12</v>
      </c>
      <c r="I499" s="2">
        <v>24</v>
      </c>
      <c r="J499" s="2">
        <v>15</v>
      </c>
      <c r="K499" s="2">
        <v>61</v>
      </c>
      <c r="L499" s="2">
        <v>0</v>
      </c>
      <c r="M499" s="2">
        <v>0</v>
      </c>
      <c r="N499" s="2">
        <v>0</v>
      </c>
      <c r="O499" s="2">
        <v>0</v>
      </c>
      <c r="P499" s="2">
        <v>0</v>
      </c>
      <c r="Q499" s="2">
        <v>50</v>
      </c>
      <c r="R499" s="238">
        <v>367</v>
      </c>
      <c r="S499" s="219">
        <f xml:space="preserve"> 12</f>
        <v>12</v>
      </c>
      <c r="T499" s="220">
        <f>SUM( tabConsumo[[#This Row],[QTD.PENDENTE]]:tabConsumo[[#This Row],[09_23]] ) / tabConsumo[[#This Row],[Div]]</f>
        <v>22.416666666666668</v>
      </c>
      <c r="U499" s="221">
        <f xml:space="preserve"> tabConsumo[[#This Row],[Média.A]] + (_xlfn.STDEV.S( tabConsumo[[#This Row],[QTD.PENDENTE]]:tabConsumo[[#This Row],[09_23]] ) * 1)</f>
        <v>48.638110230362827</v>
      </c>
      <c r="V499" s="221">
        <f xml:space="preserve"> tabConsumo[[#This Row],[Média.A]] + (_xlfn.STDEV.S( tabConsumo[[#This Row],[QTD.PENDENTE]]:tabConsumo[[#This Row],[09_23]] ) * 2)</f>
        <v>74.859553794058982</v>
      </c>
      <c r="W499" s="221">
        <f xml:space="preserve"> tabConsumo[[#This Row],[Média.A]] + (_xlfn.STDEV.S( tabConsumo[[#This Row],[QTD.PENDENTE]]:tabConsumo[[#This Row],[09_23]] ) * 3)</f>
        <v>101.08099735775514</v>
      </c>
      <c r="X499" s="5">
        <f t="shared" si="15"/>
        <v>2</v>
      </c>
      <c r="Y499">
        <v>22.416666666666668</v>
      </c>
      <c r="Z499" s="223">
        <f>SUM( tabConsumo[[#This Row],[QTD.PENDENTE]]:tabConsumo[[#This Row],[09_23]] )</f>
        <v>269</v>
      </c>
      <c r="AA499" s="223">
        <f>LARGE(tabConsumo[[#This Row],[10_22]:[09_23]],1)</f>
        <v>61</v>
      </c>
      <c r="AB499" s="146" t="s">
        <v>2238</v>
      </c>
      <c r="AC499" s="3" t="s">
        <v>2086</v>
      </c>
    </row>
    <row r="500" spans="1:29" x14ac:dyDescent="0.3">
      <c r="A500" s="4" t="s">
        <v>806</v>
      </c>
      <c r="B500" s="3" t="s">
        <v>335</v>
      </c>
      <c r="C500" s="2">
        <v>130614</v>
      </c>
      <c r="D500" s="2">
        <v>726</v>
      </c>
      <c r="F500" s="2">
        <v>0</v>
      </c>
      <c r="G500" s="2">
        <v>0</v>
      </c>
      <c r="H500" s="2">
        <v>0</v>
      </c>
      <c r="I500" s="2">
        <v>0</v>
      </c>
      <c r="J500" s="2">
        <v>0</v>
      </c>
      <c r="K500" s="2">
        <v>0</v>
      </c>
      <c r="L500" s="2">
        <v>24</v>
      </c>
      <c r="M500" s="2">
        <v>0</v>
      </c>
      <c r="N500" s="2">
        <v>12</v>
      </c>
      <c r="O500" s="2">
        <v>0</v>
      </c>
      <c r="P500" s="2">
        <v>0</v>
      </c>
      <c r="Q500" s="2">
        <v>0</v>
      </c>
      <c r="R500" s="238">
        <v>42201</v>
      </c>
      <c r="S500" s="219">
        <v>12</v>
      </c>
      <c r="T500" s="220">
        <f>SUM( tabConsumo[[#This Row],[QTD.PENDENTE]]:tabConsumo[[#This Row],[09_23]] ) / tabConsumo[[#This Row],[Div]]</f>
        <v>3</v>
      </c>
      <c r="U500" s="221">
        <f xml:space="preserve"> tabConsumo[[#This Row],[Média.A]] + (_xlfn.STDEV.S( tabConsumo[[#This Row],[QTD.PENDENTE]]:tabConsumo[[#This Row],[09_23]] ) * 1)</f>
        <v>10.458978726096731</v>
      </c>
      <c r="V500" s="221">
        <f xml:space="preserve"> tabConsumo[[#This Row],[Média.A]] + (_xlfn.STDEV.S( tabConsumo[[#This Row],[QTD.PENDENTE]]:tabConsumo[[#This Row],[09_23]] ) * 2)</f>
        <v>17.917957452193463</v>
      </c>
      <c r="W500" s="221">
        <f xml:space="preserve"> tabConsumo[[#This Row],[Média.A]] + (_xlfn.STDEV.S( tabConsumo[[#This Row],[QTD.PENDENTE]]:tabConsumo[[#This Row],[09_23]] ) * 3)</f>
        <v>25.376936178290197</v>
      </c>
      <c r="X500" s="5">
        <f t="shared" si="15"/>
        <v>2</v>
      </c>
      <c r="Y500">
        <v>2.4166666666666665</v>
      </c>
      <c r="Z500" s="223">
        <f>SUM( tabConsumo[[#This Row],[QTD.PENDENTE]]:tabConsumo[[#This Row],[09_23]] )</f>
        <v>36</v>
      </c>
      <c r="AA500" s="223">
        <f>LARGE(tabConsumo[[#This Row],[10_22]:[09_23]],1)</f>
        <v>24</v>
      </c>
      <c r="AB500" s="146" t="s">
        <v>2246</v>
      </c>
      <c r="AC500" s="3" t="s">
        <v>2086</v>
      </c>
    </row>
    <row r="501" spans="1:29" x14ac:dyDescent="0.3">
      <c r="A501" s="4" t="s">
        <v>1748</v>
      </c>
      <c r="B501" s="3" t="s">
        <v>301</v>
      </c>
      <c r="C501" s="2">
        <v>121086</v>
      </c>
      <c r="D501" s="2">
        <v>0</v>
      </c>
      <c r="E501" s="2">
        <v>28</v>
      </c>
      <c r="F501" s="2">
        <v>1</v>
      </c>
      <c r="G501" s="2">
        <v>0</v>
      </c>
      <c r="H501" s="2">
        <v>1</v>
      </c>
      <c r="I501" s="2">
        <v>1</v>
      </c>
      <c r="J501" s="2">
        <v>0</v>
      </c>
      <c r="K501" s="2">
        <v>3</v>
      </c>
      <c r="L501" s="2">
        <v>0</v>
      </c>
      <c r="M501" s="2">
        <v>2</v>
      </c>
      <c r="N501" s="2">
        <v>0</v>
      </c>
      <c r="O501" s="2">
        <v>0</v>
      </c>
      <c r="P501" s="2">
        <v>2</v>
      </c>
      <c r="Q501" s="2">
        <v>5</v>
      </c>
      <c r="R501" s="238">
        <v>40807</v>
      </c>
      <c r="S501" s="219">
        <v>12</v>
      </c>
      <c r="T501" s="220">
        <f>SUM( tabConsumo[[#This Row],[QTD.PENDENTE]]:tabConsumo[[#This Row],[09_23]] ) / tabConsumo[[#This Row],[Div]]</f>
        <v>3.5833333333333335</v>
      </c>
      <c r="U501" s="221">
        <f xml:space="preserve"> tabConsumo[[#This Row],[Média.A]] + (_xlfn.STDEV.S( tabConsumo[[#This Row],[QTD.PENDENTE]]:tabConsumo[[#This Row],[09_23]] ) * 1)</f>
        <v>11.148435396806716</v>
      </c>
      <c r="V501" s="221">
        <f xml:space="preserve"> tabConsumo[[#This Row],[Média.A]] + (_xlfn.STDEV.S( tabConsumo[[#This Row],[QTD.PENDENTE]]:tabConsumo[[#This Row],[09_23]] ) * 2)</f>
        <v>18.713537460280097</v>
      </c>
      <c r="W501" s="221">
        <f xml:space="preserve"> tabConsumo[[#This Row],[Média.A]] + (_xlfn.STDEV.S( tabConsumo[[#This Row],[QTD.PENDENTE]]:tabConsumo[[#This Row],[09_23]] ) * 3)</f>
        <v>26.27863952375348</v>
      </c>
      <c r="X501" s="5">
        <f t="shared" si="15"/>
        <v>2</v>
      </c>
      <c r="Y501">
        <v>3.5833333333333335</v>
      </c>
      <c r="Z501" s="223">
        <f>SUM( tabConsumo[[#This Row],[QTD.PENDENTE]]:tabConsumo[[#This Row],[09_23]] )</f>
        <v>43</v>
      </c>
      <c r="AA501" s="223">
        <f>LARGE(tabConsumo[[#This Row],[10_22]:[09_23]],1)</f>
        <v>5</v>
      </c>
      <c r="AB501" s="146" t="s">
        <v>2238</v>
      </c>
      <c r="AC501" s="3" t="s">
        <v>2086</v>
      </c>
    </row>
    <row r="502" spans="1:29" x14ac:dyDescent="0.3">
      <c r="A502" s="4" t="s">
        <v>1816</v>
      </c>
      <c r="B502" s="3" t="s">
        <v>31</v>
      </c>
      <c r="C502" s="2">
        <v>131482</v>
      </c>
      <c r="D502" s="2">
        <v>94</v>
      </c>
      <c r="F502" s="2">
        <v>0</v>
      </c>
      <c r="G502" s="2">
        <v>0</v>
      </c>
      <c r="H502" s="2">
        <v>0</v>
      </c>
      <c r="I502" s="2">
        <v>0</v>
      </c>
      <c r="J502" s="2">
        <v>1</v>
      </c>
      <c r="K502" s="2">
        <v>0</v>
      </c>
      <c r="L502" s="2">
        <v>1</v>
      </c>
      <c r="M502" s="2">
        <v>21</v>
      </c>
      <c r="N502" s="2">
        <v>0</v>
      </c>
      <c r="O502" s="2">
        <v>0</v>
      </c>
      <c r="P502" s="2">
        <v>22</v>
      </c>
      <c r="Q502" s="2">
        <v>0</v>
      </c>
      <c r="R502" s="238">
        <v>42464</v>
      </c>
      <c r="S502" s="219">
        <v>12</v>
      </c>
      <c r="T502" s="220">
        <f>SUM( tabConsumo[[#This Row],[QTD.PENDENTE]]:tabConsumo[[#This Row],[09_23]] ) / tabConsumo[[#This Row],[Div]]</f>
        <v>3.75</v>
      </c>
      <c r="U502" s="221">
        <f xml:space="preserve"> tabConsumo[[#This Row],[Média.A]] + (_xlfn.STDEV.S( tabConsumo[[#This Row],[QTD.PENDENTE]]:tabConsumo[[#This Row],[09_23]] ) * 1)</f>
        <v>12.052518785393875</v>
      </c>
      <c r="V502" s="221">
        <f xml:space="preserve"> tabConsumo[[#This Row],[Média.A]] + (_xlfn.STDEV.S( tabConsumo[[#This Row],[QTD.PENDENTE]]:tabConsumo[[#This Row],[09_23]] ) * 2)</f>
        <v>20.355037570787751</v>
      </c>
      <c r="W502" s="221">
        <f xml:space="preserve"> tabConsumo[[#This Row],[Média.A]] + (_xlfn.STDEV.S( tabConsumo[[#This Row],[QTD.PENDENTE]]:tabConsumo[[#This Row],[09_23]] ) * 3)</f>
        <v>28.657556356181626</v>
      </c>
      <c r="X502" s="5">
        <f t="shared" si="15"/>
        <v>2</v>
      </c>
      <c r="Y502">
        <v>3.5</v>
      </c>
      <c r="Z502" s="223">
        <f>SUM( tabConsumo[[#This Row],[QTD.PENDENTE]]:tabConsumo[[#This Row],[09_23]] )</f>
        <v>45</v>
      </c>
      <c r="AA502" s="223">
        <f>LARGE(tabConsumo[[#This Row],[10_22]:[09_23]],1)</f>
        <v>22</v>
      </c>
      <c r="AB502" s="146" t="s">
        <v>2241</v>
      </c>
      <c r="AC502" s="3" t="s">
        <v>2086</v>
      </c>
    </row>
    <row r="503" spans="1:29" x14ac:dyDescent="0.3">
      <c r="A503" s="4" t="s">
        <v>1470</v>
      </c>
      <c r="B503" s="3" t="s">
        <v>267</v>
      </c>
      <c r="C503" s="2">
        <v>81131</v>
      </c>
      <c r="D503" s="2">
        <v>0</v>
      </c>
      <c r="F503" s="2">
        <v>6</v>
      </c>
      <c r="G503" s="2">
        <v>7</v>
      </c>
      <c r="H503" s="2">
        <v>30</v>
      </c>
      <c r="I503" s="2">
        <v>26</v>
      </c>
      <c r="J503" s="2">
        <v>16</v>
      </c>
      <c r="K503" s="2">
        <v>71</v>
      </c>
      <c r="L503" s="2">
        <v>10</v>
      </c>
      <c r="M503" s="2">
        <v>50</v>
      </c>
      <c r="N503" s="2">
        <v>17</v>
      </c>
      <c r="O503" s="2">
        <v>0</v>
      </c>
      <c r="P503" s="2">
        <v>0</v>
      </c>
      <c r="Q503" s="2">
        <v>0</v>
      </c>
      <c r="R503" s="238">
        <v>38205</v>
      </c>
      <c r="S503" s="219">
        <v>12</v>
      </c>
      <c r="T503" s="220">
        <f>SUM( tabConsumo[[#This Row],[QTD.PENDENTE]]:tabConsumo[[#This Row],[09_23]] ) / tabConsumo[[#This Row],[Div]]</f>
        <v>19.416666666666668</v>
      </c>
      <c r="U503" s="221">
        <f xml:space="preserve"> tabConsumo[[#This Row],[Média.A]] + (_xlfn.STDEV.S( tabConsumo[[#This Row],[QTD.PENDENTE]]:tabConsumo[[#This Row],[09_23]] ) * 1)</f>
        <v>41.414428260781534</v>
      </c>
      <c r="V503" s="221">
        <f xml:space="preserve"> tabConsumo[[#This Row],[Média.A]] + (_xlfn.STDEV.S( tabConsumo[[#This Row],[QTD.PENDENTE]]:tabConsumo[[#This Row],[09_23]] ) * 2)</f>
        <v>63.412189854896411</v>
      </c>
      <c r="W503" s="221">
        <f xml:space="preserve"> tabConsumo[[#This Row],[Média.A]] + (_xlfn.STDEV.S( tabConsumo[[#This Row],[QTD.PENDENTE]]:tabConsumo[[#This Row],[09_23]] ) * 3)</f>
        <v>85.409951449011274</v>
      </c>
      <c r="X503" s="5">
        <f t="shared" si="15"/>
        <v>2</v>
      </c>
      <c r="Y503">
        <v>18.75</v>
      </c>
      <c r="Z503" s="223">
        <f>SUM( tabConsumo[[#This Row],[QTD.PENDENTE]]:tabConsumo[[#This Row],[09_23]] )</f>
        <v>233</v>
      </c>
      <c r="AA503" s="223">
        <f>LARGE(tabConsumo[[#This Row],[10_22]:[09_23]],1)</f>
        <v>71</v>
      </c>
      <c r="AB503" s="146" t="s">
        <v>2246</v>
      </c>
      <c r="AC503" s="3" t="s">
        <v>2086</v>
      </c>
    </row>
    <row r="504" spans="1:29" x14ac:dyDescent="0.3">
      <c r="A504" s="4" t="s">
        <v>1848</v>
      </c>
      <c r="B504" s="3" t="s">
        <v>31</v>
      </c>
      <c r="C504" s="2">
        <v>133021</v>
      </c>
      <c r="D504" s="2">
        <v>85</v>
      </c>
      <c r="E504" s="2">
        <v>262</v>
      </c>
      <c r="F504" s="2">
        <v>53</v>
      </c>
      <c r="G504" s="2">
        <v>121</v>
      </c>
      <c r="H504" s="2">
        <v>47</v>
      </c>
      <c r="I504" s="2">
        <v>26</v>
      </c>
      <c r="J504" s="2">
        <v>70</v>
      </c>
      <c r="K504" s="2">
        <v>48</v>
      </c>
      <c r="L504" s="2">
        <v>0</v>
      </c>
      <c r="M504" s="2">
        <v>0</v>
      </c>
      <c r="N504" s="2">
        <v>0</v>
      </c>
      <c r="O504" s="2">
        <v>58</v>
      </c>
      <c r="P504" s="2">
        <v>193</v>
      </c>
      <c r="Q504" s="2">
        <v>0</v>
      </c>
      <c r="R504" s="238">
        <v>42926</v>
      </c>
      <c r="S504" s="219">
        <v>12</v>
      </c>
      <c r="T504" s="220">
        <f>SUM( tabConsumo[[#This Row],[QTD.PENDENTE]]:tabConsumo[[#This Row],[09_23]] ) / tabConsumo[[#This Row],[Div]]</f>
        <v>73.166666666666671</v>
      </c>
      <c r="U504" s="221">
        <f xml:space="preserve"> tabConsumo[[#This Row],[Média.A]] + (_xlfn.STDEV.S( tabConsumo[[#This Row],[QTD.PENDENTE]]:tabConsumo[[#This Row],[09_23]] ) * 1)</f>
        <v>153.52898721617896</v>
      </c>
      <c r="V504" s="221">
        <f xml:space="preserve"> tabConsumo[[#This Row],[Média.A]] + (_xlfn.STDEV.S( tabConsumo[[#This Row],[QTD.PENDENTE]]:tabConsumo[[#This Row],[09_23]] ) * 2)</f>
        <v>233.89130776569124</v>
      </c>
      <c r="W504" s="221">
        <f xml:space="preserve"> tabConsumo[[#This Row],[Média.A]] + (_xlfn.STDEV.S( tabConsumo[[#This Row],[QTD.PENDENTE]]:tabConsumo[[#This Row],[09_23]] ) * 3)</f>
        <v>314.25362831520351</v>
      </c>
      <c r="X504" s="5">
        <f t="shared" si="15"/>
        <v>2</v>
      </c>
      <c r="Y504">
        <v>73.166666666666671</v>
      </c>
      <c r="Z504" s="223">
        <f>SUM( tabConsumo[[#This Row],[QTD.PENDENTE]]:tabConsumo[[#This Row],[09_23]] )</f>
        <v>878</v>
      </c>
      <c r="AA504" s="223">
        <f>LARGE(tabConsumo[[#This Row],[10_22]:[09_23]],1)</f>
        <v>193</v>
      </c>
      <c r="AB504" s="146" t="s">
        <v>2241</v>
      </c>
      <c r="AC504" s="3" t="s">
        <v>2086</v>
      </c>
    </row>
    <row r="505" spans="1:29" x14ac:dyDescent="0.3">
      <c r="A505" s="4" t="s">
        <v>572</v>
      </c>
      <c r="B505" s="3" t="s">
        <v>31</v>
      </c>
      <c r="C505" s="2">
        <v>87465</v>
      </c>
      <c r="D505" s="2">
        <v>0</v>
      </c>
      <c r="E505" s="2">
        <v>3</v>
      </c>
      <c r="F505" s="2">
        <v>0</v>
      </c>
      <c r="G505" s="2">
        <v>0</v>
      </c>
      <c r="H505" s="2">
        <v>0</v>
      </c>
      <c r="I505" s="2">
        <v>0</v>
      </c>
      <c r="J505" s="2">
        <v>0</v>
      </c>
      <c r="K505" s="2">
        <v>0</v>
      </c>
      <c r="L505" s="2">
        <v>0</v>
      </c>
      <c r="M505" s="2">
        <v>0</v>
      </c>
      <c r="N505" s="2">
        <v>0</v>
      </c>
      <c r="O505" s="2">
        <v>0</v>
      </c>
      <c r="P505" s="2">
        <v>0</v>
      </c>
      <c r="Q505" s="2">
        <v>0</v>
      </c>
      <c r="R505" s="238">
        <v>367</v>
      </c>
      <c r="S505" s="219">
        <f xml:space="preserve"> 12</f>
        <v>12</v>
      </c>
      <c r="T505" s="220">
        <f>SUM( tabConsumo[[#This Row],[QTD.PENDENTE]]:tabConsumo[[#This Row],[09_23]] ) / tabConsumo[[#This Row],[Div]]</f>
        <v>0.25</v>
      </c>
      <c r="U505" s="221">
        <f xml:space="preserve"> tabConsumo[[#This Row],[Média.A]] + (_xlfn.STDEV.S( tabConsumo[[#This Row],[QTD.PENDENTE]]:tabConsumo[[#This Row],[09_23]] ) * 1)</f>
        <v>1.0820502943378436</v>
      </c>
      <c r="V505" s="221">
        <f xml:space="preserve"> tabConsumo[[#This Row],[Média.A]] + (_xlfn.STDEV.S( tabConsumo[[#This Row],[QTD.PENDENTE]]:tabConsumo[[#This Row],[09_23]] ) * 2)</f>
        <v>1.9141005886756874</v>
      </c>
      <c r="W505" s="221">
        <f xml:space="preserve"> tabConsumo[[#This Row],[Média.A]] + (_xlfn.STDEV.S( tabConsumo[[#This Row],[QTD.PENDENTE]]:tabConsumo[[#This Row],[09_23]] ) * 3)</f>
        <v>2.7461508830135313</v>
      </c>
      <c r="X505" s="5">
        <f t="shared" si="15"/>
        <v>2</v>
      </c>
      <c r="Y505">
        <v>0.25</v>
      </c>
      <c r="Z505" s="223">
        <f>SUM( tabConsumo[[#This Row],[QTD.PENDENTE]]:tabConsumo[[#This Row],[09_23]] )</f>
        <v>3</v>
      </c>
      <c r="AA505" s="223">
        <f>LARGE(tabConsumo[[#This Row],[10_22]:[09_23]],1)</f>
        <v>0</v>
      </c>
      <c r="AB505" s="146" t="s">
        <v>2241</v>
      </c>
      <c r="AC505" s="3" t="s">
        <v>2086</v>
      </c>
    </row>
    <row r="506" spans="1:29" x14ac:dyDescent="0.3">
      <c r="A506" s="4" t="s">
        <v>955</v>
      </c>
      <c r="B506" s="3" t="s">
        <v>31</v>
      </c>
      <c r="C506" s="2">
        <v>12659</v>
      </c>
      <c r="D506" s="2">
        <v>79</v>
      </c>
      <c r="E506" s="2">
        <v>7</v>
      </c>
      <c r="F506" s="2">
        <v>267</v>
      </c>
      <c r="G506" s="2">
        <v>338</v>
      </c>
      <c r="H506" s="2">
        <v>183</v>
      </c>
      <c r="I506" s="2">
        <v>114</v>
      </c>
      <c r="J506" s="2">
        <v>217</v>
      </c>
      <c r="K506" s="2">
        <v>403</v>
      </c>
      <c r="L506" s="2">
        <v>281</v>
      </c>
      <c r="M506" s="2">
        <v>298</v>
      </c>
      <c r="N506" s="2">
        <v>541</v>
      </c>
      <c r="O506" s="2">
        <v>425</v>
      </c>
      <c r="P506" s="2">
        <v>584</v>
      </c>
      <c r="Q506" s="2">
        <v>397</v>
      </c>
      <c r="R506" s="238">
        <v>367</v>
      </c>
      <c r="S506" s="219">
        <f xml:space="preserve"> 12</f>
        <v>12</v>
      </c>
      <c r="T506" s="220">
        <f>SUM( tabConsumo[[#This Row],[QTD.PENDENTE]]:tabConsumo[[#This Row],[09_23]] ) / tabConsumo[[#This Row],[Div]]</f>
        <v>337.91666666666669</v>
      </c>
      <c r="U506" s="221">
        <f xml:space="preserve"> tabConsumo[[#This Row],[Média.A]] + (_xlfn.STDEV.S( tabConsumo[[#This Row],[QTD.PENDENTE]]:tabConsumo[[#This Row],[09_23]] ) * 1)</f>
        <v>500.30840575174739</v>
      </c>
      <c r="V506" s="221">
        <f xml:space="preserve"> tabConsumo[[#This Row],[Média.A]] + (_xlfn.STDEV.S( tabConsumo[[#This Row],[QTD.PENDENTE]]:tabConsumo[[#This Row],[09_23]] ) * 2)</f>
        <v>662.70014483682803</v>
      </c>
      <c r="W506" s="221">
        <f xml:space="preserve"> tabConsumo[[#This Row],[Média.A]] + (_xlfn.STDEV.S( tabConsumo[[#This Row],[QTD.PENDENTE]]:tabConsumo[[#This Row],[09_23]] ) * 3)</f>
        <v>825.09188392190867</v>
      </c>
      <c r="X506" s="5">
        <f t="shared" si="15"/>
        <v>2</v>
      </c>
      <c r="Y506">
        <v>337.91666666666669</v>
      </c>
      <c r="Z506" s="223">
        <f>SUM( tabConsumo[[#This Row],[QTD.PENDENTE]]:tabConsumo[[#This Row],[09_23]] )</f>
        <v>4055</v>
      </c>
      <c r="AA506" s="223">
        <f>LARGE(tabConsumo[[#This Row],[10_22]:[09_23]],1)</f>
        <v>584</v>
      </c>
      <c r="AB506" s="146" t="s">
        <v>2238</v>
      </c>
      <c r="AC506" s="3" t="s">
        <v>2086</v>
      </c>
    </row>
    <row r="507" spans="1:29" x14ac:dyDescent="0.3">
      <c r="A507" s="4" t="s">
        <v>1622</v>
      </c>
      <c r="B507" s="3" t="s">
        <v>260</v>
      </c>
      <c r="C507" s="2">
        <v>105259</v>
      </c>
      <c r="D507" s="2">
        <v>976</v>
      </c>
      <c r="E507" s="2">
        <v>8</v>
      </c>
      <c r="F507" s="2">
        <v>114</v>
      </c>
      <c r="G507" s="2">
        <v>128</v>
      </c>
      <c r="H507" s="2">
        <v>93</v>
      </c>
      <c r="I507" s="2">
        <v>77</v>
      </c>
      <c r="J507" s="2">
        <v>107</v>
      </c>
      <c r="K507" s="2">
        <v>3007</v>
      </c>
      <c r="L507" s="2">
        <v>104</v>
      </c>
      <c r="M507" s="2">
        <v>136</v>
      </c>
      <c r="N507" s="2">
        <v>110</v>
      </c>
      <c r="O507" s="2">
        <v>113</v>
      </c>
      <c r="P507" s="2">
        <v>129</v>
      </c>
      <c r="Q507" s="2">
        <v>132</v>
      </c>
      <c r="R507" s="238">
        <v>39505</v>
      </c>
      <c r="S507" s="219">
        <v>12</v>
      </c>
      <c r="T507" s="220">
        <f>SUM( tabConsumo[[#This Row],[QTD.PENDENTE]]:tabConsumo[[#This Row],[09_23]] ) / tabConsumo[[#This Row],[Div]]</f>
        <v>354.83333333333331</v>
      </c>
      <c r="U507" s="221">
        <f xml:space="preserve"> tabConsumo[[#This Row],[Média.A]] + (_xlfn.STDEV.S( tabConsumo[[#This Row],[QTD.PENDENTE]]:tabConsumo[[#This Row],[09_23]] ) * 1)</f>
        <v>1160.599388648048</v>
      </c>
      <c r="V507" s="221">
        <f xml:space="preserve"> tabConsumo[[#This Row],[Média.A]] + (_xlfn.STDEV.S( tabConsumo[[#This Row],[QTD.PENDENTE]]:tabConsumo[[#This Row],[09_23]] ) * 2)</f>
        <v>1966.3654439627626</v>
      </c>
      <c r="W507" s="221">
        <f xml:space="preserve"> tabConsumo[[#This Row],[Média.A]] + (_xlfn.STDEV.S( tabConsumo[[#This Row],[QTD.PENDENTE]]:tabConsumo[[#This Row],[09_23]] ) * 3)</f>
        <v>2772.1314992774774</v>
      </c>
      <c r="X507" s="5">
        <f t="shared" si="15"/>
        <v>2</v>
      </c>
      <c r="Y507">
        <v>268.08333333333331</v>
      </c>
      <c r="Z507" s="223">
        <f>SUM( tabConsumo[[#This Row],[QTD.PENDENTE]]:tabConsumo[[#This Row],[09_23]] )</f>
        <v>4258</v>
      </c>
      <c r="AA507" s="223">
        <f>LARGE(tabConsumo[[#This Row],[10_22]:[09_23]],1)</f>
        <v>3007</v>
      </c>
      <c r="AB507" s="146" t="s">
        <v>2238</v>
      </c>
      <c r="AC507" s="3" t="s">
        <v>2086</v>
      </c>
    </row>
    <row r="508" spans="1:29" x14ac:dyDescent="0.3">
      <c r="A508" s="4" t="s">
        <v>1100</v>
      </c>
      <c r="B508" s="3" t="s">
        <v>380</v>
      </c>
      <c r="C508" s="2">
        <v>15530</v>
      </c>
      <c r="D508" s="2">
        <v>22838</v>
      </c>
      <c r="E508" s="2">
        <v>50</v>
      </c>
      <c r="F508" s="2">
        <v>2350</v>
      </c>
      <c r="G508" s="2">
        <v>2280</v>
      </c>
      <c r="H508" s="2">
        <v>1430</v>
      </c>
      <c r="I508" s="2">
        <v>880</v>
      </c>
      <c r="J508" s="2">
        <v>1120</v>
      </c>
      <c r="K508" s="2">
        <v>3150</v>
      </c>
      <c r="L508" s="2">
        <v>2680</v>
      </c>
      <c r="M508" s="2">
        <v>2490</v>
      </c>
      <c r="N508" s="2">
        <v>2350</v>
      </c>
      <c r="O508" s="2">
        <v>2080</v>
      </c>
      <c r="P508" s="2">
        <v>2101</v>
      </c>
      <c r="Q508" s="2">
        <v>1861</v>
      </c>
      <c r="R508" s="238">
        <v>367</v>
      </c>
      <c r="S508" s="219">
        <f xml:space="preserve"> 12</f>
        <v>12</v>
      </c>
      <c r="T508" s="220">
        <f>SUM( tabConsumo[[#This Row],[QTD.PENDENTE]]:tabConsumo[[#This Row],[09_23]] ) / tabConsumo[[#This Row],[Div]]</f>
        <v>2068.5</v>
      </c>
      <c r="U508" s="221">
        <f xml:space="preserve"> tabConsumo[[#This Row],[Média.A]] + (_xlfn.STDEV.S( tabConsumo[[#This Row],[QTD.PENDENTE]]:tabConsumo[[#This Row],[09_23]] ) * 1)</f>
        <v>2906.8404776164971</v>
      </c>
      <c r="V508" s="221">
        <f xml:space="preserve"> tabConsumo[[#This Row],[Média.A]] + (_xlfn.STDEV.S( tabConsumo[[#This Row],[QTD.PENDENTE]]:tabConsumo[[#This Row],[09_23]] ) * 2)</f>
        <v>3745.1809552329942</v>
      </c>
      <c r="W508" s="221">
        <f xml:space="preserve"> tabConsumo[[#This Row],[Média.A]] + (_xlfn.STDEV.S( tabConsumo[[#This Row],[QTD.PENDENTE]]:tabConsumo[[#This Row],[09_23]] ) * 3)</f>
        <v>4583.5214328494912</v>
      </c>
      <c r="X508" s="5">
        <f t="shared" si="15"/>
        <v>2</v>
      </c>
      <c r="Y508">
        <v>2068.5</v>
      </c>
      <c r="Z508" s="223">
        <f>SUM( tabConsumo[[#This Row],[QTD.PENDENTE]]:tabConsumo[[#This Row],[09_23]] )</f>
        <v>24822</v>
      </c>
      <c r="AA508" s="223">
        <f>LARGE(tabConsumo[[#This Row],[10_22]:[09_23]],1)</f>
        <v>3150</v>
      </c>
      <c r="AB508" s="146" t="s">
        <v>2238</v>
      </c>
      <c r="AC508" s="3" t="s">
        <v>2086</v>
      </c>
    </row>
    <row r="509" spans="1:29" x14ac:dyDescent="0.3">
      <c r="A509" s="4" t="s">
        <v>1244</v>
      </c>
      <c r="B509" s="3" t="s">
        <v>380</v>
      </c>
      <c r="C509" s="2">
        <v>29964</v>
      </c>
      <c r="D509" s="2">
        <v>0</v>
      </c>
      <c r="E509" s="2">
        <v>150</v>
      </c>
      <c r="F509" s="2">
        <v>514</v>
      </c>
      <c r="G509" s="2">
        <v>493</v>
      </c>
      <c r="H509" s="2">
        <v>425</v>
      </c>
      <c r="I509" s="2">
        <v>290</v>
      </c>
      <c r="J509" s="2">
        <v>420</v>
      </c>
      <c r="K509" s="2">
        <v>1115</v>
      </c>
      <c r="L509" s="2">
        <v>547</v>
      </c>
      <c r="M509" s="2">
        <v>835</v>
      </c>
      <c r="N509" s="2">
        <v>775</v>
      </c>
      <c r="O509" s="2">
        <v>633</v>
      </c>
      <c r="P509" s="2">
        <v>763</v>
      </c>
      <c r="Q509" s="2">
        <v>430</v>
      </c>
      <c r="R509" s="238">
        <v>367</v>
      </c>
      <c r="S509" s="219">
        <f xml:space="preserve"> 12</f>
        <v>12</v>
      </c>
      <c r="T509" s="220">
        <f>SUM( tabConsumo[[#This Row],[QTD.PENDENTE]]:tabConsumo[[#This Row],[09_23]] ) / tabConsumo[[#This Row],[Div]]</f>
        <v>615.83333333333337</v>
      </c>
      <c r="U509" s="221">
        <f xml:space="preserve"> tabConsumo[[#This Row],[Média.A]] + (_xlfn.STDEV.S( tabConsumo[[#This Row],[QTD.PENDENTE]]:tabConsumo[[#This Row],[09_23]] ) * 1)</f>
        <v>870.45416757666317</v>
      </c>
      <c r="V509" s="221">
        <f xml:space="preserve"> tabConsumo[[#This Row],[Média.A]] + (_xlfn.STDEV.S( tabConsumo[[#This Row],[QTD.PENDENTE]]:tabConsumo[[#This Row],[09_23]] ) * 2)</f>
        <v>1125.0750018199931</v>
      </c>
      <c r="W509" s="221">
        <f xml:space="preserve"> tabConsumo[[#This Row],[Média.A]] + (_xlfn.STDEV.S( tabConsumo[[#This Row],[QTD.PENDENTE]]:tabConsumo[[#This Row],[09_23]] ) * 3)</f>
        <v>1379.695836063323</v>
      </c>
      <c r="X509" s="5">
        <f t="shared" si="15"/>
        <v>2</v>
      </c>
      <c r="Y509">
        <v>615.83333333333337</v>
      </c>
      <c r="Z509" s="223">
        <f>SUM( tabConsumo[[#This Row],[QTD.PENDENTE]]:tabConsumo[[#This Row],[09_23]] )</f>
        <v>7390</v>
      </c>
      <c r="AA509" s="223">
        <f>LARGE(tabConsumo[[#This Row],[10_22]:[09_23]],1)</f>
        <v>1115</v>
      </c>
      <c r="AB509" s="146" t="s">
        <v>2238</v>
      </c>
      <c r="AC509" s="3" t="s">
        <v>2086</v>
      </c>
    </row>
    <row r="510" spans="1:29" x14ac:dyDescent="0.3">
      <c r="A510" s="4" t="s">
        <v>1764</v>
      </c>
      <c r="B510" s="3" t="s">
        <v>380</v>
      </c>
      <c r="C510" s="2">
        <v>124261</v>
      </c>
      <c r="D510" s="2">
        <v>310</v>
      </c>
      <c r="E510" s="2">
        <v>10</v>
      </c>
      <c r="F510" s="2">
        <v>604</v>
      </c>
      <c r="G510" s="2">
        <v>633</v>
      </c>
      <c r="H510" s="2">
        <v>485</v>
      </c>
      <c r="I510" s="2">
        <v>300</v>
      </c>
      <c r="J510" s="2">
        <v>455</v>
      </c>
      <c r="K510" s="2">
        <v>1171</v>
      </c>
      <c r="L510" s="2">
        <v>642</v>
      </c>
      <c r="M510" s="2">
        <v>920</v>
      </c>
      <c r="N510" s="2">
        <v>820</v>
      </c>
      <c r="O510" s="2">
        <v>716</v>
      </c>
      <c r="P510" s="2">
        <v>798</v>
      </c>
      <c r="Q510" s="2">
        <v>785</v>
      </c>
      <c r="R510" s="238">
        <v>41170</v>
      </c>
      <c r="S510" s="219">
        <v>12</v>
      </c>
      <c r="T510" s="220">
        <f>SUM( tabConsumo[[#This Row],[QTD.PENDENTE]]:tabConsumo[[#This Row],[09_23]] ) / tabConsumo[[#This Row],[Div]]</f>
        <v>694.91666666666663</v>
      </c>
      <c r="U510" s="221">
        <f xml:space="preserve"> tabConsumo[[#This Row],[Média.A]] + (_xlfn.STDEV.S( tabConsumo[[#This Row],[QTD.PENDENTE]]:tabConsumo[[#This Row],[09_23]] ) * 1)</f>
        <v>985.97754672002577</v>
      </c>
      <c r="V510" s="221">
        <f xml:space="preserve"> tabConsumo[[#This Row],[Média.A]] + (_xlfn.STDEV.S( tabConsumo[[#This Row],[QTD.PENDENTE]]:tabConsumo[[#This Row],[09_23]] ) * 2)</f>
        <v>1277.0384267733848</v>
      </c>
      <c r="W510" s="221">
        <f xml:space="preserve"> tabConsumo[[#This Row],[Média.A]] + (_xlfn.STDEV.S( tabConsumo[[#This Row],[QTD.PENDENTE]]:tabConsumo[[#This Row],[09_23]] ) * 3)</f>
        <v>1568.0993068267439</v>
      </c>
      <c r="X510" s="5">
        <f t="shared" si="15"/>
        <v>2</v>
      </c>
      <c r="Y510">
        <v>694.91666666666663</v>
      </c>
      <c r="Z510" s="223">
        <f>SUM( tabConsumo[[#This Row],[QTD.PENDENTE]]:tabConsumo[[#This Row],[09_23]] )</f>
        <v>8339</v>
      </c>
      <c r="AA510" s="223">
        <f>LARGE(tabConsumo[[#This Row],[10_22]:[09_23]],1)</f>
        <v>1171</v>
      </c>
      <c r="AB510" s="146" t="s">
        <v>2238</v>
      </c>
      <c r="AC510" s="3" t="s">
        <v>2086</v>
      </c>
    </row>
    <row r="511" spans="1:29" x14ac:dyDescent="0.3">
      <c r="A511" s="4" t="s">
        <v>1240</v>
      </c>
      <c r="B511" s="3" t="s">
        <v>380</v>
      </c>
      <c r="C511" s="2">
        <v>29956</v>
      </c>
      <c r="D511" s="2">
        <v>0</v>
      </c>
      <c r="E511" s="2">
        <v>10</v>
      </c>
      <c r="F511" s="2">
        <v>554</v>
      </c>
      <c r="G511" s="2">
        <v>603</v>
      </c>
      <c r="H511" s="2">
        <v>480</v>
      </c>
      <c r="I511" s="2">
        <v>240</v>
      </c>
      <c r="J511" s="2">
        <v>455</v>
      </c>
      <c r="K511" s="2">
        <v>1120</v>
      </c>
      <c r="L511" s="2">
        <v>632</v>
      </c>
      <c r="M511" s="2">
        <v>865</v>
      </c>
      <c r="N511" s="2">
        <v>810</v>
      </c>
      <c r="O511" s="2">
        <v>621</v>
      </c>
      <c r="P511" s="2">
        <v>753</v>
      </c>
      <c r="Q511" s="2">
        <v>765</v>
      </c>
      <c r="R511" s="238">
        <v>367</v>
      </c>
      <c r="S511" s="219">
        <f xml:space="preserve"> 12</f>
        <v>12</v>
      </c>
      <c r="T511" s="220">
        <f>SUM( tabConsumo[[#This Row],[QTD.PENDENTE]]:tabConsumo[[#This Row],[09_23]] ) / tabConsumo[[#This Row],[Div]]</f>
        <v>659</v>
      </c>
      <c r="U511" s="221">
        <f xml:space="preserve"> tabConsumo[[#This Row],[Média.A]] + (_xlfn.STDEV.S( tabConsumo[[#This Row],[QTD.PENDENTE]]:tabConsumo[[#This Row],[09_23]] ) * 1)</f>
        <v>940.53992748672567</v>
      </c>
      <c r="V511" s="221">
        <f xml:space="preserve"> tabConsumo[[#This Row],[Média.A]] + (_xlfn.STDEV.S( tabConsumo[[#This Row],[QTD.PENDENTE]]:tabConsumo[[#This Row],[09_23]] ) * 2)</f>
        <v>1222.0798549734513</v>
      </c>
      <c r="W511" s="221">
        <f xml:space="preserve"> tabConsumo[[#This Row],[Média.A]] + (_xlfn.STDEV.S( tabConsumo[[#This Row],[QTD.PENDENTE]]:tabConsumo[[#This Row],[09_23]] ) * 3)</f>
        <v>1503.619782460177</v>
      </c>
      <c r="X511" s="5">
        <f t="shared" si="15"/>
        <v>2</v>
      </c>
      <c r="Y511">
        <v>659</v>
      </c>
      <c r="Z511" s="223">
        <f>SUM( tabConsumo[[#This Row],[QTD.PENDENTE]]:tabConsumo[[#This Row],[09_23]] )</f>
        <v>7908</v>
      </c>
      <c r="AA511" s="223">
        <f>LARGE(tabConsumo[[#This Row],[10_22]:[09_23]],1)</f>
        <v>1120</v>
      </c>
      <c r="AB511" s="146" t="s">
        <v>2238</v>
      </c>
      <c r="AC511" s="3" t="s">
        <v>2086</v>
      </c>
    </row>
    <row r="512" spans="1:29" x14ac:dyDescent="0.3">
      <c r="A512" s="4" t="s">
        <v>1243</v>
      </c>
      <c r="B512" s="3" t="s">
        <v>380</v>
      </c>
      <c r="C512" s="2">
        <v>29962</v>
      </c>
      <c r="D512" s="2">
        <v>0</v>
      </c>
      <c r="E512" s="2">
        <v>261</v>
      </c>
      <c r="F512" s="2">
        <v>456</v>
      </c>
      <c r="G512" s="2">
        <v>588</v>
      </c>
      <c r="H512" s="2">
        <v>460</v>
      </c>
      <c r="I512" s="2">
        <v>0</v>
      </c>
      <c r="J512" s="2">
        <v>40</v>
      </c>
      <c r="K512" s="2">
        <v>1050</v>
      </c>
      <c r="L512" s="2">
        <v>597</v>
      </c>
      <c r="M512" s="2">
        <v>855</v>
      </c>
      <c r="N512" s="2">
        <v>815</v>
      </c>
      <c r="O512" s="2">
        <v>651</v>
      </c>
      <c r="P512" s="2">
        <v>758</v>
      </c>
      <c r="Q512" s="2">
        <v>394</v>
      </c>
      <c r="R512" s="238">
        <v>367</v>
      </c>
      <c r="S512" s="219">
        <f xml:space="preserve"> 12</f>
        <v>12</v>
      </c>
      <c r="T512" s="220">
        <f>SUM( tabConsumo[[#This Row],[QTD.PENDENTE]]:tabConsumo[[#This Row],[09_23]] ) / tabConsumo[[#This Row],[Div]]</f>
        <v>577.08333333333337</v>
      </c>
      <c r="U512" s="221">
        <f xml:space="preserve"> tabConsumo[[#This Row],[Média.A]] + (_xlfn.STDEV.S( tabConsumo[[#This Row],[QTD.PENDENTE]]:tabConsumo[[#This Row],[09_23]] ) * 1)</f>
        <v>887.17293990305393</v>
      </c>
      <c r="V512" s="221">
        <f xml:space="preserve"> tabConsumo[[#This Row],[Média.A]] + (_xlfn.STDEV.S( tabConsumo[[#This Row],[QTD.PENDENTE]]:tabConsumo[[#This Row],[09_23]] ) * 2)</f>
        <v>1197.2625464727744</v>
      </c>
      <c r="W512" s="221">
        <f xml:space="preserve"> tabConsumo[[#This Row],[Média.A]] + (_xlfn.STDEV.S( tabConsumo[[#This Row],[QTD.PENDENTE]]:tabConsumo[[#This Row],[09_23]] ) * 3)</f>
        <v>1507.352153042495</v>
      </c>
      <c r="X512" s="5">
        <f t="shared" si="15"/>
        <v>2</v>
      </c>
      <c r="Y512">
        <v>577.08333333333337</v>
      </c>
      <c r="Z512" s="223">
        <f>SUM( tabConsumo[[#This Row],[QTD.PENDENTE]]:tabConsumo[[#This Row],[09_23]] )</f>
        <v>6925</v>
      </c>
      <c r="AA512" s="223">
        <f>LARGE(tabConsumo[[#This Row],[10_22]:[09_23]],1)</f>
        <v>1050</v>
      </c>
      <c r="AB512" s="146" t="s">
        <v>2238</v>
      </c>
      <c r="AC512" s="3" t="s">
        <v>2086</v>
      </c>
    </row>
    <row r="513" spans="1:29" x14ac:dyDescent="0.3">
      <c r="A513" s="4" t="s">
        <v>1241</v>
      </c>
      <c r="B513" s="3" t="s">
        <v>380</v>
      </c>
      <c r="C513" s="2">
        <v>29959</v>
      </c>
      <c r="D513" s="2">
        <v>0</v>
      </c>
      <c r="E513" s="2">
        <v>988</v>
      </c>
      <c r="F513" s="2">
        <v>804</v>
      </c>
      <c r="G513" s="2">
        <v>738</v>
      </c>
      <c r="H513" s="2">
        <v>575</v>
      </c>
      <c r="I513" s="2">
        <v>300</v>
      </c>
      <c r="J513" s="2">
        <v>217</v>
      </c>
      <c r="K513" s="2">
        <v>365</v>
      </c>
      <c r="L513" s="2">
        <v>667</v>
      </c>
      <c r="M513" s="2">
        <v>1120</v>
      </c>
      <c r="N513" s="2">
        <v>985</v>
      </c>
      <c r="O513" s="2">
        <v>826</v>
      </c>
      <c r="P513" s="2">
        <v>988</v>
      </c>
      <c r="Q513" s="2">
        <v>196</v>
      </c>
      <c r="R513" s="238">
        <v>367</v>
      </c>
      <c r="S513" s="219">
        <f xml:space="preserve"> 12</f>
        <v>12</v>
      </c>
      <c r="T513" s="220">
        <f>SUM( tabConsumo[[#This Row],[QTD.PENDENTE]]:tabConsumo[[#This Row],[09_23]] ) / tabConsumo[[#This Row],[Div]]</f>
        <v>730.75</v>
      </c>
      <c r="U513" s="221">
        <f xml:space="preserve"> tabConsumo[[#This Row],[Média.A]] + (_xlfn.STDEV.S( tabConsumo[[#This Row],[QTD.PENDENTE]]:tabConsumo[[#This Row],[09_23]] ) * 1)</f>
        <v>1049.5322180801536</v>
      </c>
      <c r="V513" s="221">
        <f xml:space="preserve"> tabConsumo[[#This Row],[Média.A]] + (_xlfn.STDEV.S( tabConsumo[[#This Row],[QTD.PENDENTE]]:tabConsumo[[#This Row],[09_23]] ) * 2)</f>
        <v>1368.3144361603072</v>
      </c>
      <c r="W513" s="221">
        <f xml:space="preserve"> tabConsumo[[#This Row],[Média.A]] + (_xlfn.STDEV.S( tabConsumo[[#This Row],[QTD.PENDENTE]]:tabConsumo[[#This Row],[09_23]] ) * 3)</f>
        <v>1687.0966542404606</v>
      </c>
      <c r="X513" s="5">
        <f t="shared" si="15"/>
        <v>2</v>
      </c>
      <c r="Y513">
        <v>730.75</v>
      </c>
      <c r="Z513" s="223">
        <f>SUM( tabConsumo[[#This Row],[QTD.PENDENTE]]:tabConsumo[[#This Row],[09_23]] )</f>
        <v>8769</v>
      </c>
      <c r="AA513" s="223">
        <f>LARGE(tabConsumo[[#This Row],[10_22]:[09_23]],1)</f>
        <v>1120</v>
      </c>
      <c r="AB513" s="146" t="s">
        <v>2238</v>
      </c>
      <c r="AC513" s="3" t="s">
        <v>2086</v>
      </c>
    </row>
    <row r="514" spans="1:29" x14ac:dyDescent="0.3">
      <c r="A514" s="4" t="s">
        <v>1242</v>
      </c>
      <c r="B514" s="3" t="s">
        <v>380</v>
      </c>
      <c r="C514" s="2">
        <v>29961</v>
      </c>
      <c r="D514" s="2">
        <v>0</v>
      </c>
      <c r="E514" s="2">
        <v>257</v>
      </c>
      <c r="F514" s="2">
        <v>581</v>
      </c>
      <c r="G514" s="2">
        <v>706</v>
      </c>
      <c r="H514" s="2">
        <v>530</v>
      </c>
      <c r="I514" s="2">
        <v>310</v>
      </c>
      <c r="J514" s="2">
        <v>493</v>
      </c>
      <c r="K514" s="2">
        <v>1090</v>
      </c>
      <c r="L514" s="2">
        <v>657</v>
      </c>
      <c r="M514" s="2">
        <v>940</v>
      </c>
      <c r="N514" s="2">
        <v>825</v>
      </c>
      <c r="O514" s="2">
        <v>721</v>
      </c>
      <c r="P514" s="2">
        <v>671</v>
      </c>
      <c r="Q514" s="2">
        <v>0</v>
      </c>
      <c r="R514" s="238">
        <v>367</v>
      </c>
      <c r="S514" s="219">
        <f xml:space="preserve"> 12</f>
        <v>12</v>
      </c>
      <c r="T514" s="220">
        <f>SUM( tabConsumo[[#This Row],[QTD.PENDENTE]]:tabConsumo[[#This Row],[09_23]] ) / tabConsumo[[#This Row],[Div]]</f>
        <v>648.41666666666663</v>
      </c>
      <c r="U514" s="221">
        <f xml:space="preserve"> tabConsumo[[#This Row],[Média.A]] + (_xlfn.STDEV.S( tabConsumo[[#This Row],[QTD.PENDENTE]]:tabConsumo[[#This Row],[09_23]] ) * 1)</f>
        <v>939.81033377487483</v>
      </c>
      <c r="V514" s="221">
        <f xml:space="preserve"> tabConsumo[[#This Row],[Média.A]] + (_xlfn.STDEV.S( tabConsumo[[#This Row],[QTD.PENDENTE]]:tabConsumo[[#This Row],[09_23]] ) * 2)</f>
        <v>1231.2040008830832</v>
      </c>
      <c r="W514" s="221">
        <f xml:space="preserve"> tabConsumo[[#This Row],[Média.A]] + (_xlfn.STDEV.S( tabConsumo[[#This Row],[QTD.PENDENTE]]:tabConsumo[[#This Row],[09_23]] ) * 3)</f>
        <v>1522.5976679912912</v>
      </c>
      <c r="X514" s="5">
        <f t="shared" si="15"/>
        <v>2</v>
      </c>
      <c r="Y514">
        <v>648.41666666666663</v>
      </c>
      <c r="Z514" s="223">
        <f>SUM( tabConsumo[[#This Row],[QTD.PENDENTE]]:tabConsumo[[#This Row],[09_23]] )</f>
        <v>7781</v>
      </c>
      <c r="AA514" s="223">
        <f>LARGE(tabConsumo[[#This Row],[10_22]:[09_23]],1)</f>
        <v>1090</v>
      </c>
      <c r="AB514" s="146" t="s">
        <v>2241</v>
      </c>
      <c r="AC514" s="3" t="s">
        <v>2086</v>
      </c>
    </row>
    <row r="515" spans="1:29" x14ac:dyDescent="0.3">
      <c r="A515" s="4" t="s">
        <v>1420</v>
      </c>
      <c r="B515" s="3" t="s">
        <v>380</v>
      </c>
      <c r="C515" s="2">
        <v>75938</v>
      </c>
      <c r="D515" s="2">
        <v>0</v>
      </c>
      <c r="E515" s="2">
        <v>420</v>
      </c>
      <c r="F515" s="2">
        <v>624</v>
      </c>
      <c r="G515" s="2">
        <v>613</v>
      </c>
      <c r="H515" s="2">
        <v>480</v>
      </c>
      <c r="I515" s="2">
        <v>270</v>
      </c>
      <c r="J515" s="2">
        <v>250</v>
      </c>
      <c r="K515" s="2">
        <v>1055</v>
      </c>
      <c r="L515" s="2">
        <v>607</v>
      </c>
      <c r="M515" s="2">
        <v>930</v>
      </c>
      <c r="N515" s="2">
        <v>810</v>
      </c>
      <c r="O515" s="2">
        <v>726</v>
      </c>
      <c r="P515" s="2">
        <v>778</v>
      </c>
      <c r="Q515" s="2">
        <v>155</v>
      </c>
      <c r="R515" s="238">
        <v>37931</v>
      </c>
      <c r="S515" s="219">
        <v>12</v>
      </c>
      <c r="T515" s="220">
        <f>SUM( tabConsumo[[#This Row],[QTD.PENDENTE]]:tabConsumo[[#This Row],[09_23]] ) / tabConsumo[[#This Row],[Div]]</f>
        <v>643.16666666666663</v>
      </c>
      <c r="U515" s="221">
        <f xml:space="preserve"> tabConsumo[[#This Row],[Média.A]] + (_xlfn.STDEV.S( tabConsumo[[#This Row],[QTD.PENDENTE]]:tabConsumo[[#This Row],[09_23]] ) * 1)</f>
        <v>914.59602660382859</v>
      </c>
      <c r="V515" s="221">
        <f xml:space="preserve"> tabConsumo[[#This Row],[Média.A]] + (_xlfn.STDEV.S( tabConsumo[[#This Row],[QTD.PENDENTE]]:tabConsumo[[#This Row],[09_23]] ) * 2)</f>
        <v>1186.0253865409904</v>
      </c>
      <c r="W515" s="221">
        <f xml:space="preserve"> tabConsumo[[#This Row],[Média.A]] + (_xlfn.STDEV.S( tabConsumo[[#This Row],[QTD.PENDENTE]]:tabConsumo[[#This Row],[09_23]] ) * 3)</f>
        <v>1457.4547464781526</v>
      </c>
      <c r="X515" s="5">
        <f t="shared" ref="X515:X578" si="17" xml:space="preserve"> 2</f>
        <v>2</v>
      </c>
      <c r="Y515">
        <v>643.16666666666663</v>
      </c>
      <c r="Z515" s="223">
        <f>SUM( tabConsumo[[#This Row],[QTD.PENDENTE]]:tabConsumo[[#This Row],[09_23]] )</f>
        <v>7718</v>
      </c>
      <c r="AA515" s="223">
        <f>LARGE(tabConsumo[[#This Row],[10_22]:[09_23]],1)</f>
        <v>1055</v>
      </c>
      <c r="AB515" s="146" t="s">
        <v>2238</v>
      </c>
      <c r="AC515" s="3" t="s">
        <v>2086</v>
      </c>
    </row>
    <row r="516" spans="1:29" x14ac:dyDescent="0.3">
      <c r="A516" s="4" t="s">
        <v>1185</v>
      </c>
      <c r="B516" s="3" t="s">
        <v>380</v>
      </c>
      <c r="C516" s="2">
        <v>23846</v>
      </c>
      <c r="D516" s="2">
        <v>0</v>
      </c>
      <c r="E516" s="2">
        <v>953</v>
      </c>
      <c r="F516" s="2">
        <v>1241</v>
      </c>
      <c r="G516" s="2">
        <v>1334</v>
      </c>
      <c r="H516" s="2">
        <v>587</v>
      </c>
      <c r="I516" s="2">
        <v>453</v>
      </c>
      <c r="J516" s="2">
        <v>1110</v>
      </c>
      <c r="K516" s="2">
        <v>2275</v>
      </c>
      <c r="L516" s="2">
        <v>1350</v>
      </c>
      <c r="M516" s="2">
        <v>1690</v>
      </c>
      <c r="N516" s="2">
        <v>1187</v>
      </c>
      <c r="O516" s="2">
        <v>369</v>
      </c>
      <c r="P516" s="2">
        <v>12</v>
      </c>
      <c r="Q516" s="2">
        <v>0</v>
      </c>
      <c r="R516" s="238">
        <v>367</v>
      </c>
      <c r="S516" s="219">
        <f t="shared" ref="S516:S530" si="18" xml:space="preserve"> 12</f>
        <v>12</v>
      </c>
      <c r="T516" s="220">
        <f>SUM( tabConsumo[[#This Row],[QTD.PENDENTE]]:tabConsumo[[#This Row],[09_23]] ) / tabConsumo[[#This Row],[Div]]</f>
        <v>1046.75</v>
      </c>
      <c r="U516" s="221">
        <f xml:space="preserve"> tabConsumo[[#This Row],[Média.A]] + (_xlfn.STDEV.S( tabConsumo[[#This Row],[QTD.PENDENTE]]:tabConsumo[[#This Row],[09_23]] ) * 1)</f>
        <v>1709.5972868172771</v>
      </c>
      <c r="V516" s="221">
        <f xml:space="preserve"> tabConsumo[[#This Row],[Média.A]] + (_xlfn.STDEV.S( tabConsumo[[#This Row],[QTD.PENDENTE]]:tabConsumo[[#This Row],[09_23]] ) * 2)</f>
        <v>2372.4445736345542</v>
      </c>
      <c r="W516" s="221">
        <f xml:space="preserve"> tabConsumo[[#This Row],[Média.A]] + (_xlfn.STDEV.S( tabConsumo[[#This Row],[QTD.PENDENTE]]:tabConsumo[[#This Row],[09_23]] ) * 3)</f>
        <v>3035.2918604518313</v>
      </c>
      <c r="X516" s="5">
        <f t="shared" si="17"/>
        <v>2</v>
      </c>
      <c r="Y516">
        <v>1046.75</v>
      </c>
      <c r="Z516" s="223">
        <f>SUM( tabConsumo[[#This Row],[QTD.PENDENTE]]:tabConsumo[[#This Row],[09_23]] )</f>
        <v>12561</v>
      </c>
      <c r="AA516" s="223">
        <f>LARGE(tabConsumo[[#This Row],[10_22]:[09_23]],1)</f>
        <v>2275</v>
      </c>
      <c r="AB516" s="146" t="s">
        <v>2241</v>
      </c>
      <c r="AC516" s="3" t="s">
        <v>2086</v>
      </c>
    </row>
    <row r="517" spans="1:29" x14ac:dyDescent="0.3">
      <c r="A517" s="4" t="s">
        <v>1245</v>
      </c>
      <c r="B517" s="3" t="s">
        <v>380</v>
      </c>
      <c r="C517" s="2">
        <v>30165</v>
      </c>
      <c r="D517" s="2">
        <v>0</v>
      </c>
      <c r="E517" s="2">
        <v>1159</v>
      </c>
      <c r="F517" s="2">
        <v>1368</v>
      </c>
      <c r="G517" s="2">
        <v>1388</v>
      </c>
      <c r="H517" s="2">
        <v>13</v>
      </c>
      <c r="I517" s="2">
        <v>483</v>
      </c>
      <c r="J517" s="2">
        <v>1150</v>
      </c>
      <c r="K517" s="2">
        <v>2435</v>
      </c>
      <c r="L517" s="2">
        <v>1505</v>
      </c>
      <c r="M517" s="2">
        <v>1750</v>
      </c>
      <c r="N517" s="2">
        <v>742</v>
      </c>
      <c r="O517" s="2">
        <v>19</v>
      </c>
      <c r="P517" s="2">
        <v>0</v>
      </c>
      <c r="Q517" s="2">
        <v>0</v>
      </c>
      <c r="R517" s="238">
        <v>367</v>
      </c>
      <c r="S517" s="219">
        <f t="shared" si="18"/>
        <v>12</v>
      </c>
      <c r="T517" s="220">
        <f>SUM( tabConsumo[[#This Row],[QTD.PENDENTE]]:tabConsumo[[#This Row],[09_23]] ) / tabConsumo[[#This Row],[Div]]</f>
        <v>1001</v>
      </c>
      <c r="U517" s="221">
        <f xml:space="preserve"> tabConsumo[[#This Row],[Média.A]] + (_xlfn.STDEV.S( tabConsumo[[#This Row],[QTD.PENDENTE]]:tabConsumo[[#This Row],[09_23]] ) * 1)</f>
        <v>1786.5886328098186</v>
      </c>
      <c r="V517" s="221">
        <f xml:space="preserve"> tabConsumo[[#This Row],[Média.A]] + (_xlfn.STDEV.S( tabConsumo[[#This Row],[QTD.PENDENTE]]:tabConsumo[[#This Row],[09_23]] ) * 2)</f>
        <v>2572.1772656196372</v>
      </c>
      <c r="W517" s="221">
        <f xml:space="preserve"> tabConsumo[[#This Row],[Média.A]] + (_xlfn.STDEV.S( tabConsumo[[#This Row],[QTD.PENDENTE]]:tabConsumo[[#This Row],[09_23]] ) * 3)</f>
        <v>3357.7658984294558</v>
      </c>
      <c r="X517" s="5">
        <f t="shared" si="17"/>
        <v>2</v>
      </c>
      <c r="Y517">
        <v>1001</v>
      </c>
      <c r="Z517" s="223">
        <f>SUM( tabConsumo[[#This Row],[QTD.PENDENTE]]:tabConsumo[[#This Row],[09_23]] )</f>
        <v>12012</v>
      </c>
      <c r="AA517" s="223">
        <f>LARGE(tabConsumo[[#This Row],[10_22]:[09_23]],1)</f>
        <v>2435</v>
      </c>
      <c r="AB517" s="146" t="s">
        <v>2239</v>
      </c>
      <c r="AC517" s="3" t="s">
        <v>2086</v>
      </c>
    </row>
    <row r="518" spans="1:29" x14ac:dyDescent="0.3">
      <c r="A518" s="4" t="s">
        <v>1187</v>
      </c>
      <c r="B518" s="3" t="s">
        <v>380</v>
      </c>
      <c r="C518" s="2">
        <v>23875</v>
      </c>
      <c r="D518" s="2">
        <v>0</v>
      </c>
      <c r="E518" s="2">
        <v>393</v>
      </c>
      <c r="F518" s="2">
        <v>1251</v>
      </c>
      <c r="G518" s="2">
        <v>1254</v>
      </c>
      <c r="H518" s="2">
        <v>703</v>
      </c>
      <c r="I518" s="2">
        <v>480</v>
      </c>
      <c r="J518" s="2">
        <v>1060</v>
      </c>
      <c r="K518" s="2">
        <v>2175</v>
      </c>
      <c r="L518" s="2">
        <v>1390</v>
      </c>
      <c r="M518" s="2">
        <v>1580</v>
      </c>
      <c r="N518" s="2">
        <v>1405</v>
      </c>
      <c r="O518" s="2">
        <v>1211</v>
      </c>
      <c r="P518" s="2">
        <v>1245</v>
      </c>
      <c r="Q518" s="2">
        <v>0</v>
      </c>
      <c r="R518" s="238">
        <v>367</v>
      </c>
      <c r="S518" s="219">
        <f t="shared" si="18"/>
        <v>12</v>
      </c>
      <c r="T518" s="220">
        <f>SUM( tabConsumo[[#This Row],[QTD.PENDENTE]]:tabConsumo[[#This Row],[09_23]] ) / tabConsumo[[#This Row],[Div]]</f>
        <v>1178.9166666666667</v>
      </c>
      <c r="U518" s="221">
        <f xml:space="preserve"> tabConsumo[[#This Row],[Média.A]] + (_xlfn.STDEV.S( tabConsumo[[#This Row],[QTD.PENDENTE]]:tabConsumo[[#This Row],[09_23]] ) * 1)</f>
        <v>1748.6147085927023</v>
      </c>
      <c r="V518" s="221">
        <f xml:space="preserve"> tabConsumo[[#This Row],[Média.A]] + (_xlfn.STDEV.S( tabConsumo[[#This Row],[QTD.PENDENTE]]:tabConsumo[[#This Row],[09_23]] ) * 2)</f>
        <v>2318.3127505187376</v>
      </c>
      <c r="W518" s="221">
        <f xml:space="preserve"> tabConsumo[[#This Row],[Média.A]] + (_xlfn.STDEV.S( tabConsumo[[#This Row],[QTD.PENDENTE]]:tabConsumo[[#This Row],[09_23]] ) * 3)</f>
        <v>2888.0107924447734</v>
      </c>
      <c r="X518" s="5">
        <f t="shared" si="17"/>
        <v>2</v>
      </c>
      <c r="Y518">
        <v>1178.9166666666667</v>
      </c>
      <c r="Z518" s="223">
        <f>SUM( tabConsumo[[#This Row],[QTD.PENDENTE]]:tabConsumo[[#This Row],[09_23]] )</f>
        <v>14147</v>
      </c>
      <c r="AA518" s="223">
        <f>LARGE(tabConsumo[[#This Row],[10_22]:[09_23]],1)</f>
        <v>2175</v>
      </c>
      <c r="AB518" s="146" t="s">
        <v>2241</v>
      </c>
      <c r="AC518" s="3" t="s">
        <v>2086</v>
      </c>
    </row>
    <row r="519" spans="1:29" x14ac:dyDescent="0.3">
      <c r="A519" s="4" t="s">
        <v>1250</v>
      </c>
      <c r="B519" s="3" t="s">
        <v>380</v>
      </c>
      <c r="C519" s="2">
        <v>32933</v>
      </c>
      <c r="D519" s="2">
        <v>0</v>
      </c>
      <c r="E519" s="2">
        <v>831</v>
      </c>
      <c r="F519" s="2">
        <v>1216</v>
      </c>
      <c r="G519" s="2">
        <v>1424</v>
      </c>
      <c r="H519" s="2">
        <v>762</v>
      </c>
      <c r="I519" s="2">
        <v>0</v>
      </c>
      <c r="J519" s="2">
        <v>920</v>
      </c>
      <c r="K519" s="2">
        <v>2250</v>
      </c>
      <c r="L519" s="2">
        <v>1410</v>
      </c>
      <c r="M519" s="2">
        <v>1711</v>
      </c>
      <c r="N519" s="2">
        <v>1485</v>
      </c>
      <c r="O519" s="2">
        <v>330</v>
      </c>
      <c r="P519" s="2">
        <v>1</v>
      </c>
      <c r="Q519" s="2">
        <v>0</v>
      </c>
      <c r="R519" s="238">
        <v>367</v>
      </c>
      <c r="S519" s="219">
        <f t="shared" si="18"/>
        <v>12</v>
      </c>
      <c r="T519" s="220">
        <f>SUM( tabConsumo[[#This Row],[QTD.PENDENTE]]:tabConsumo[[#This Row],[09_23]] ) / tabConsumo[[#This Row],[Div]]</f>
        <v>1028.3333333333333</v>
      </c>
      <c r="U519" s="221">
        <f xml:space="preserve"> tabConsumo[[#This Row],[Média.A]] + (_xlfn.STDEV.S( tabConsumo[[#This Row],[QTD.PENDENTE]]:tabConsumo[[#This Row],[09_23]] ) * 1)</f>
        <v>1747.289538982207</v>
      </c>
      <c r="V519" s="221">
        <f xml:space="preserve"> tabConsumo[[#This Row],[Média.A]] + (_xlfn.STDEV.S( tabConsumo[[#This Row],[QTD.PENDENTE]]:tabConsumo[[#This Row],[09_23]] ) * 2)</f>
        <v>2466.2457446310809</v>
      </c>
      <c r="W519" s="221">
        <f xml:space="preserve"> tabConsumo[[#This Row],[Média.A]] + (_xlfn.STDEV.S( tabConsumo[[#This Row],[QTD.PENDENTE]]:tabConsumo[[#This Row],[09_23]] ) * 3)</f>
        <v>3185.2019502799549</v>
      </c>
      <c r="X519" s="5">
        <f t="shared" si="17"/>
        <v>2</v>
      </c>
      <c r="Y519">
        <v>1028.3333333333333</v>
      </c>
      <c r="Z519" s="223">
        <f>SUM( tabConsumo[[#This Row],[QTD.PENDENTE]]:tabConsumo[[#This Row],[09_23]] )</f>
        <v>12340</v>
      </c>
      <c r="AA519" s="223">
        <f>LARGE(tabConsumo[[#This Row],[10_22]:[09_23]],1)</f>
        <v>2250</v>
      </c>
      <c r="AB519" s="146" t="s">
        <v>2241</v>
      </c>
      <c r="AC519" s="3" t="s">
        <v>2086</v>
      </c>
    </row>
    <row r="520" spans="1:29" x14ac:dyDescent="0.3">
      <c r="A520" s="4" t="s">
        <v>1186</v>
      </c>
      <c r="B520" s="3" t="s">
        <v>380</v>
      </c>
      <c r="C520" s="2">
        <v>23862</v>
      </c>
      <c r="D520" s="2">
        <v>0</v>
      </c>
      <c r="E520" s="2">
        <v>815</v>
      </c>
      <c r="F520" s="2">
        <v>1241</v>
      </c>
      <c r="G520" s="2">
        <v>1409</v>
      </c>
      <c r="H520" s="2">
        <v>748</v>
      </c>
      <c r="I520" s="2">
        <v>488</v>
      </c>
      <c r="J520" s="2">
        <v>1110</v>
      </c>
      <c r="K520" s="2">
        <v>2402</v>
      </c>
      <c r="L520" s="2">
        <v>1370</v>
      </c>
      <c r="M520" s="2">
        <v>1770</v>
      </c>
      <c r="N520" s="2">
        <v>1510</v>
      </c>
      <c r="O520" s="2">
        <v>1293</v>
      </c>
      <c r="P520" s="2">
        <v>133</v>
      </c>
      <c r="Q520" s="2">
        <v>0</v>
      </c>
      <c r="R520" s="238">
        <v>367</v>
      </c>
      <c r="S520" s="219">
        <f t="shared" si="18"/>
        <v>12</v>
      </c>
      <c r="T520" s="220">
        <f>SUM( tabConsumo[[#This Row],[QTD.PENDENTE]]:tabConsumo[[#This Row],[09_23]] ) / tabConsumo[[#This Row],[Div]]</f>
        <v>1190.75</v>
      </c>
      <c r="U520" s="221">
        <f xml:space="preserve"> tabConsumo[[#This Row],[Média.A]] + (_xlfn.STDEV.S( tabConsumo[[#This Row],[QTD.PENDENTE]]:tabConsumo[[#This Row],[09_23]] ) * 1)</f>
        <v>1852.9790447362661</v>
      </c>
      <c r="V520" s="221">
        <f xml:space="preserve"> tabConsumo[[#This Row],[Média.A]] + (_xlfn.STDEV.S( tabConsumo[[#This Row],[QTD.PENDENTE]]:tabConsumo[[#This Row],[09_23]] ) * 2)</f>
        <v>2515.2080894725323</v>
      </c>
      <c r="W520" s="221">
        <f xml:space="preserve"> tabConsumo[[#This Row],[Média.A]] + (_xlfn.STDEV.S( tabConsumo[[#This Row],[QTD.PENDENTE]]:tabConsumo[[#This Row],[09_23]] ) * 3)</f>
        <v>3177.4371342087989</v>
      </c>
      <c r="X520" s="5">
        <f t="shared" si="17"/>
        <v>2</v>
      </c>
      <c r="Y520">
        <v>1190.75</v>
      </c>
      <c r="Z520" s="223">
        <f>SUM( tabConsumo[[#This Row],[QTD.PENDENTE]]:tabConsumo[[#This Row],[09_23]] )</f>
        <v>14289</v>
      </c>
      <c r="AA520" s="223">
        <f>LARGE(tabConsumo[[#This Row],[10_22]:[09_23]],1)</f>
        <v>2402</v>
      </c>
      <c r="AB520" s="146" t="s">
        <v>2241</v>
      </c>
      <c r="AC520" s="3" t="s">
        <v>2086</v>
      </c>
    </row>
    <row r="521" spans="1:29" x14ac:dyDescent="0.3">
      <c r="A521" s="4" t="s">
        <v>1129</v>
      </c>
      <c r="B521" s="3" t="s">
        <v>380</v>
      </c>
      <c r="C521" s="2">
        <v>17362</v>
      </c>
      <c r="D521" s="2">
        <v>0</v>
      </c>
      <c r="E521" s="2">
        <v>165</v>
      </c>
      <c r="F521" s="2">
        <v>615</v>
      </c>
      <c r="G521" s="2">
        <v>1005</v>
      </c>
      <c r="H521" s="2">
        <v>623</v>
      </c>
      <c r="I521" s="2">
        <v>175</v>
      </c>
      <c r="J521" s="2">
        <v>535</v>
      </c>
      <c r="K521" s="2">
        <v>1188</v>
      </c>
      <c r="L521" s="2">
        <v>600</v>
      </c>
      <c r="M521" s="2">
        <v>1137</v>
      </c>
      <c r="N521" s="2">
        <v>1102</v>
      </c>
      <c r="O521" s="2">
        <v>773</v>
      </c>
      <c r="P521" s="2">
        <v>747</v>
      </c>
      <c r="Q521" s="2">
        <v>0</v>
      </c>
      <c r="R521" s="238">
        <v>367</v>
      </c>
      <c r="S521" s="219">
        <f t="shared" si="18"/>
        <v>12</v>
      </c>
      <c r="T521" s="220">
        <f>SUM( tabConsumo[[#This Row],[QTD.PENDENTE]]:tabConsumo[[#This Row],[09_23]] ) / tabConsumo[[#This Row],[Div]]</f>
        <v>722.08333333333337</v>
      </c>
      <c r="U521" s="221">
        <f xml:space="preserve"> tabConsumo[[#This Row],[Média.A]] + (_xlfn.STDEV.S( tabConsumo[[#This Row],[QTD.PENDENTE]]:tabConsumo[[#This Row],[09_23]] ) * 1)</f>
        <v>1107.1107382853738</v>
      </c>
      <c r="V521" s="221">
        <f xml:space="preserve"> tabConsumo[[#This Row],[Média.A]] + (_xlfn.STDEV.S( tabConsumo[[#This Row],[QTD.PENDENTE]]:tabConsumo[[#This Row],[09_23]] ) * 2)</f>
        <v>1492.1381432374144</v>
      </c>
      <c r="W521" s="221">
        <f xml:space="preserve"> tabConsumo[[#This Row],[Média.A]] + (_xlfn.STDEV.S( tabConsumo[[#This Row],[QTD.PENDENTE]]:tabConsumo[[#This Row],[09_23]] ) * 3)</f>
        <v>1877.165548189455</v>
      </c>
      <c r="X521" s="5">
        <f t="shared" si="17"/>
        <v>2</v>
      </c>
      <c r="Y521">
        <v>722.08333333333337</v>
      </c>
      <c r="Z521" s="223">
        <f>SUM( tabConsumo[[#This Row],[QTD.PENDENTE]]:tabConsumo[[#This Row],[09_23]] )</f>
        <v>8665</v>
      </c>
      <c r="AA521" s="223">
        <f>LARGE(tabConsumo[[#This Row],[10_22]:[09_23]],1)</f>
        <v>1188</v>
      </c>
      <c r="AB521" s="146" t="s">
        <v>2241</v>
      </c>
      <c r="AC521" s="3" t="s">
        <v>2086</v>
      </c>
    </row>
    <row r="522" spans="1:29" x14ac:dyDescent="0.3">
      <c r="A522" s="4" t="s">
        <v>1249</v>
      </c>
      <c r="B522" s="3" t="s">
        <v>380</v>
      </c>
      <c r="C522" s="2">
        <v>32927</v>
      </c>
      <c r="D522" s="2">
        <v>0</v>
      </c>
      <c r="E522" s="2">
        <v>334</v>
      </c>
      <c r="F522" s="2">
        <v>545</v>
      </c>
      <c r="G522" s="2">
        <v>1035</v>
      </c>
      <c r="H522" s="2">
        <v>613</v>
      </c>
      <c r="I522" s="2">
        <v>185</v>
      </c>
      <c r="J522" s="2">
        <v>240</v>
      </c>
      <c r="K522" s="2">
        <v>1089</v>
      </c>
      <c r="L522" s="2">
        <v>580</v>
      </c>
      <c r="M522" s="2">
        <v>1193</v>
      </c>
      <c r="N522" s="2">
        <v>1050</v>
      </c>
      <c r="O522" s="2">
        <v>763</v>
      </c>
      <c r="P522" s="2">
        <v>279</v>
      </c>
      <c r="Q522" s="2">
        <v>0</v>
      </c>
      <c r="R522" s="238">
        <v>367</v>
      </c>
      <c r="S522" s="219">
        <f t="shared" si="18"/>
        <v>12</v>
      </c>
      <c r="T522" s="220">
        <f>SUM( tabConsumo[[#This Row],[QTD.PENDENTE]]:tabConsumo[[#This Row],[09_23]] ) / tabConsumo[[#This Row],[Div]]</f>
        <v>658.83333333333337</v>
      </c>
      <c r="U522" s="221">
        <f xml:space="preserve"> tabConsumo[[#This Row],[Média.A]] + (_xlfn.STDEV.S( tabConsumo[[#This Row],[QTD.PENDENTE]]:tabConsumo[[#This Row],[09_23]] ) * 1)</f>
        <v>1051.1996260908886</v>
      </c>
      <c r="V522" s="221">
        <f xml:space="preserve"> tabConsumo[[#This Row],[Média.A]] + (_xlfn.STDEV.S( tabConsumo[[#This Row],[QTD.PENDENTE]]:tabConsumo[[#This Row],[09_23]] ) * 2)</f>
        <v>1443.5659188484442</v>
      </c>
      <c r="W522" s="221">
        <f xml:space="preserve"> tabConsumo[[#This Row],[Média.A]] + (_xlfn.STDEV.S( tabConsumo[[#This Row],[QTD.PENDENTE]]:tabConsumo[[#This Row],[09_23]] ) * 3)</f>
        <v>1835.9322116059993</v>
      </c>
      <c r="X522" s="5">
        <f t="shared" si="17"/>
        <v>2</v>
      </c>
      <c r="Y522">
        <v>658.83333333333337</v>
      </c>
      <c r="Z522" s="223">
        <f>SUM( tabConsumo[[#This Row],[QTD.PENDENTE]]:tabConsumo[[#This Row],[09_23]] )</f>
        <v>7906</v>
      </c>
      <c r="AA522" s="223">
        <f>LARGE(tabConsumo[[#This Row],[10_22]:[09_23]],1)</f>
        <v>1193</v>
      </c>
      <c r="AB522" s="146" t="s">
        <v>2241</v>
      </c>
      <c r="AC522" s="3" t="s">
        <v>2086</v>
      </c>
    </row>
    <row r="523" spans="1:29" x14ac:dyDescent="0.3">
      <c r="A523" s="4" t="s">
        <v>1131</v>
      </c>
      <c r="B523" s="3" t="s">
        <v>380</v>
      </c>
      <c r="C523" s="2">
        <v>17370</v>
      </c>
      <c r="D523" s="2">
        <v>0</v>
      </c>
      <c r="E523" s="2">
        <v>350</v>
      </c>
      <c r="F523" s="2">
        <v>565</v>
      </c>
      <c r="G523" s="2">
        <v>1025</v>
      </c>
      <c r="H523" s="2">
        <v>613</v>
      </c>
      <c r="I523" s="2">
        <v>69</v>
      </c>
      <c r="J523" s="2">
        <v>200</v>
      </c>
      <c r="K523" s="2">
        <v>1024</v>
      </c>
      <c r="L523" s="2">
        <v>575</v>
      </c>
      <c r="M523" s="2">
        <v>1173</v>
      </c>
      <c r="N523" s="2">
        <v>1042</v>
      </c>
      <c r="O523" s="2">
        <v>768</v>
      </c>
      <c r="P523" s="2">
        <v>324</v>
      </c>
      <c r="Q523" s="2">
        <v>0</v>
      </c>
      <c r="R523" s="238">
        <v>367</v>
      </c>
      <c r="S523" s="219">
        <f t="shared" si="18"/>
        <v>12</v>
      </c>
      <c r="T523" s="220">
        <f>SUM( tabConsumo[[#This Row],[QTD.PENDENTE]]:tabConsumo[[#This Row],[09_23]] ) / tabConsumo[[#This Row],[Div]]</f>
        <v>644</v>
      </c>
      <c r="U523" s="221">
        <f xml:space="preserve"> tabConsumo[[#This Row],[Média.A]] + (_xlfn.STDEV.S( tabConsumo[[#This Row],[QTD.PENDENTE]]:tabConsumo[[#This Row],[09_23]] ) * 1)</f>
        <v>1037.1258524918399</v>
      </c>
      <c r="V523" s="221">
        <f xml:space="preserve"> tabConsumo[[#This Row],[Média.A]] + (_xlfn.STDEV.S( tabConsumo[[#This Row],[QTD.PENDENTE]]:tabConsumo[[#This Row],[09_23]] ) * 2)</f>
        <v>1430.2517049836799</v>
      </c>
      <c r="W523" s="221">
        <f xml:space="preserve"> tabConsumo[[#This Row],[Média.A]] + (_xlfn.STDEV.S( tabConsumo[[#This Row],[QTD.PENDENTE]]:tabConsumo[[#This Row],[09_23]] ) * 3)</f>
        <v>1823.37755747552</v>
      </c>
      <c r="X523" s="5">
        <f t="shared" si="17"/>
        <v>2</v>
      </c>
      <c r="Y523">
        <v>644</v>
      </c>
      <c r="Z523" s="223">
        <f>SUM( tabConsumo[[#This Row],[QTD.PENDENTE]]:tabConsumo[[#This Row],[09_23]] )</f>
        <v>7728</v>
      </c>
      <c r="AA523" s="223">
        <f>LARGE(tabConsumo[[#This Row],[10_22]:[09_23]],1)</f>
        <v>1173</v>
      </c>
      <c r="AB523" s="146" t="s">
        <v>2241</v>
      </c>
      <c r="AC523" s="3" t="s">
        <v>2086</v>
      </c>
    </row>
    <row r="524" spans="1:29" x14ac:dyDescent="0.3">
      <c r="A524" s="4" t="s">
        <v>1132</v>
      </c>
      <c r="B524" s="3" t="s">
        <v>380</v>
      </c>
      <c r="C524" s="2">
        <v>17371</v>
      </c>
      <c r="D524" s="2">
        <v>0</v>
      </c>
      <c r="E524" s="2">
        <v>486</v>
      </c>
      <c r="F524" s="2">
        <v>630</v>
      </c>
      <c r="G524" s="2">
        <v>965</v>
      </c>
      <c r="H524" s="2">
        <v>387</v>
      </c>
      <c r="I524" s="2">
        <v>0</v>
      </c>
      <c r="J524" s="2">
        <v>191</v>
      </c>
      <c r="K524" s="2">
        <v>1044</v>
      </c>
      <c r="L524" s="2">
        <v>596</v>
      </c>
      <c r="M524" s="2">
        <v>1173</v>
      </c>
      <c r="N524" s="2">
        <v>1047</v>
      </c>
      <c r="O524" s="2">
        <v>793</v>
      </c>
      <c r="P524" s="2">
        <v>267</v>
      </c>
      <c r="Q524" s="2">
        <v>0</v>
      </c>
      <c r="R524" s="238">
        <v>367</v>
      </c>
      <c r="S524" s="219">
        <f t="shared" si="18"/>
        <v>12</v>
      </c>
      <c r="T524" s="220">
        <f>SUM( tabConsumo[[#This Row],[QTD.PENDENTE]]:tabConsumo[[#This Row],[09_23]] ) / tabConsumo[[#This Row],[Div]]</f>
        <v>631.58333333333337</v>
      </c>
      <c r="U524" s="221">
        <f xml:space="preserve"> tabConsumo[[#This Row],[Média.A]] + (_xlfn.STDEV.S( tabConsumo[[#This Row],[QTD.PENDENTE]]:tabConsumo[[#This Row],[09_23]] ) * 1)</f>
        <v>1034.6385404700231</v>
      </c>
      <c r="V524" s="221">
        <f xml:space="preserve"> tabConsumo[[#This Row],[Média.A]] + (_xlfn.STDEV.S( tabConsumo[[#This Row],[QTD.PENDENTE]]:tabConsumo[[#This Row],[09_23]] ) * 2)</f>
        <v>1437.6937476067133</v>
      </c>
      <c r="W524" s="221">
        <f xml:space="preserve"> tabConsumo[[#This Row],[Média.A]] + (_xlfn.STDEV.S( tabConsumo[[#This Row],[QTD.PENDENTE]]:tabConsumo[[#This Row],[09_23]] ) * 3)</f>
        <v>1840.7489547434029</v>
      </c>
      <c r="X524" s="5">
        <f t="shared" si="17"/>
        <v>2</v>
      </c>
      <c r="Y524">
        <v>631.58333333333337</v>
      </c>
      <c r="Z524" s="223">
        <f>SUM( tabConsumo[[#This Row],[QTD.PENDENTE]]:tabConsumo[[#This Row],[09_23]] )</f>
        <v>7579</v>
      </c>
      <c r="AA524" s="223">
        <f>LARGE(tabConsumo[[#This Row],[10_22]:[09_23]],1)</f>
        <v>1173</v>
      </c>
      <c r="AB524" s="146" t="s">
        <v>2241</v>
      </c>
      <c r="AC524" s="3" t="s">
        <v>2086</v>
      </c>
    </row>
    <row r="525" spans="1:29" x14ac:dyDescent="0.3">
      <c r="A525" s="4" t="s">
        <v>1188</v>
      </c>
      <c r="B525" s="3" t="s">
        <v>260</v>
      </c>
      <c r="C525" s="2">
        <v>23986</v>
      </c>
      <c r="D525" s="2">
        <v>0</v>
      </c>
      <c r="E525" s="2">
        <v>110</v>
      </c>
      <c r="F525" s="2">
        <v>582</v>
      </c>
      <c r="G525" s="2">
        <v>704</v>
      </c>
      <c r="H525" s="2">
        <v>542</v>
      </c>
      <c r="I525" s="2">
        <v>269</v>
      </c>
      <c r="J525" s="2">
        <v>468</v>
      </c>
      <c r="K525" s="2">
        <v>1115</v>
      </c>
      <c r="L525" s="2">
        <v>600</v>
      </c>
      <c r="M525" s="2">
        <v>1006</v>
      </c>
      <c r="N525" s="2">
        <v>1070</v>
      </c>
      <c r="O525" s="2">
        <v>731</v>
      </c>
      <c r="P525" s="2">
        <v>771</v>
      </c>
      <c r="Q525" s="2">
        <v>311</v>
      </c>
      <c r="R525" s="238">
        <v>367</v>
      </c>
      <c r="S525" s="219">
        <f t="shared" si="18"/>
        <v>12</v>
      </c>
      <c r="T525" s="220">
        <f>SUM( tabConsumo[[#This Row],[QTD.PENDENTE]]:tabConsumo[[#This Row],[09_23]] ) / tabConsumo[[#This Row],[Div]]</f>
        <v>689.91666666666663</v>
      </c>
      <c r="U525" s="221">
        <f xml:space="preserve"> tabConsumo[[#This Row],[Média.A]] + (_xlfn.STDEV.S( tabConsumo[[#This Row],[QTD.PENDENTE]]:tabConsumo[[#This Row],[09_23]] ) * 1)</f>
        <v>998.78876699133878</v>
      </c>
      <c r="V525" s="221">
        <f xml:space="preserve"> tabConsumo[[#This Row],[Média.A]] + (_xlfn.STDEV.S( tabConsumo[[#This Row],[QTD.PENDENTE]]:tabConsumo[[#This Row],[09_23]] ) * 2)</f>
        <v>1307.6608673160108</v>
      </c>
      <c r="W525" s="221">
        <f xml:space="preserve"> tabConsumo[[#This Row],[Média.A]] + (_xlfn.STDEV.S( tabConsumo[[#This Row],[QTD.PENDENTE]]:tabConsumo[[#This Row],[09_23]] ) * 3)</f>
        <v>1616.5329676406832</v>
      </c>
      <c r="X525" s="5">
        <f t="shared" si="17"/>
        <v>2</v>
      </c>
      <c r="Y525">
        <v>689.91666666666663</v>
      </c>
      <c r="Z525" s="223">
        <f>SUM( tabConsumo[[#This Row],[QTD.PENDENTE]]:tabConsumo[[#This Row],[09_23]] )</f>
        <v>8279</v>
      </c>
      <c r="AA525" s="223">
        <f>LARGE(tabConsumo[[#This Row],[10_22]:[09_23]],1)</f>
        <v>1115</v>
      </c>
      <c r="AB525" s="146" t="s">
        <v>2238</v>
      </c>
      <c r="AC525" s="3" t="s">
        <v>2086</v>
      </c>
    </row>
    <row r="526" spans="1:29" x14ac:dyDescent="0.3">
      <c r="A526" s="4" t="s">
        <v>1199</v>
      </c>
      <c r="B526" s="3" t="s">
        <v>260</v>
      </c>
      <c r="C526" s="2">
        <v>24476</v>
      </c>
      <c r="D526" s="2">
        <v>0</v>
      </c>
      <c r="E526" s="2">
        <v>35</v>
      </c>
      <c r="F526" s="2">
        <v>574</v>
      </c>
      <c r="G526" s="2">
        <v>708</v>
      </c>
      <c r="H526" s="2">
        <v>530</v>
      </c>
      <c r="I526" s="2">
        <v>289</v>
      </c>
      <c r="J526" s="2">
        <v>468</v>
      </c>
      <c r="K526" s="2">
        <v>1100</v>
      </c>
      <c r="L526" s="2">
        <v>600</v>
      </c>
      <c r="M526" s="2">
        <v>1006</v>
      </c>
      <c r="N526" s="2">
        <v>1047</v>
      </c>
      <c r="O526" s="2">
        <v>781</v>
      </c>
      <c r="P526" s="2">
        <v>731</v>
      </c>
      <c r="Q526" s="2">
        <v>571</v>
      </c>
      <c r="R526" s="238">
        <v>367</v>
      </c>
      <c r="S526" s="219">
        <f t="shared" si="18"/>
        <v>12</v>
      </c>
      <c r="T526" s="220">
        <f>SUM( tabConsumo[[#This Row],[QTD.PENDENTE]]:tabConsumo[[#This Row],[09_23]] ) / tabConsumo[[#This Row],[Div]]</f>
        <v>703.33333333333337</v>
      </c>
      <c r="U526" s="221">
        <f xml:space="preserve"> tabConsumo[[#This Row],[Média.A]] + (_xlfn.STDEV.S( tabConsumo[[#This Row],[QTD.PENDENTE]]:tabConsumo[[#This Row],[09_23]] ) * 1)</f>
        <v>1003.959112291757</v>
      </c>
      <c r="V526" s="221">
        <f xml:space="preserve"> tabConsumo[[#This Row],[Média.A]] + (_xlfn.STDEV.S( tabConsumo[[#This Row],[QTD.PENDENTE]]:tabConsumo[[#This Row],[09_23]] ) * 2)</f>
        <v>1304.5848912501806</v>
      </c>
      <c r="W526" s="221">
        <f xml:space="preserve"> tabConsumo[[#This Row],[Média.A]] + (_xlfn.STDEV.S( tabConsumo[[#This Row],[QTD.PENDENTE]]:tabConsumo[[#This Row],[09_23]] ) * 3)</f>
        <v>1605.2106702086044</v>
      </c>
      <c r="X526" s="5">
        <f t="shared" si="17"/>
        <v>2</v>
      </c>
      <c r="Y526">
        <v>703.33333333333337</v>
      </c>
      <c r="Z526" s="223">
        <f>SUM( tabConsumo[[#This Row],[QTD.PENDENTE]]:tabConsumo[[#This Row],[09_23]] )</f>
        <v>8440</v>
      </c>
      <c r="AA526" s="223">
        <f>LARGE(tabConsumo[[#This Row],[10_22]:[09_23]],1)</f>
        <v>1100</v>
      </c>
      <c r="AB526" s="146" t="s">
        <v>2238</v>
      </c>
      <c r="AC526" s="3" t="s">
        <v>2086</v>
      </c>
    </row>
    <row r="527" spans="1:29" x14ac:dyDescent="0.3">
      <c r="A527" s="4" t="s">
        <v>1189</v>
      </c>
      <c r="B527" s="3" t="s">
        <v>260</v>
      </c>
      <c r="C527" s="2">
        <v>23989</v>
      </c>
      <c r="D527" s="2">
        <v>571</v>
      </c>
      <c r="E527" s="2">
        <v>65</v>
      </c>
      <c r="F527" s="2">
        <v>549</v>
      </c>
      <c r="G527" s="2">
        <v>542</v>
      </c>
      <c r="H527" s="2">
        <v>402</v>
      </c>
      <c r="I527" s="2">
        <v>266</v>
      </c>
      <c r="J527" s="2">
        <v>488</v>
      </c>
      <c r="K527" s="2">
        <v>1110</v>
      </c>
      <c r="L527" s="2">
        <v>575</v>
      </c>
      <c r="M527" s="2">
        <v>1001</v>
      </c>
      <c r="N527" s="2">
        <v>1038</v>
      </c>
      <c r="O527" s="2">
        <v>741</v>
      </c>
      <c r="P527" s="2">
        <v>706</v>
      </c>
      <c r="Q527" s="2">
        <v>548</v>
      </c>
      <c r="R527" s="238">
        <v>367</v>
      </c>
      <c r="S527" s="219">
        <f t="shared" si="18"/>
        <v>12</v>
      </c>
      <c r="T527" s="220">
        <f>SUM( tabConsumo[[#This Row],[QTD.PENDENTE]]:tabConsumo[[#This Row],[09_23]] ) / tabConsumo[[#This Row],[Div]]</f>
        <v>669.25</v>
      </c>
      <c r="U527" s="221">
        <f xml:space="preserve"> tabConsumo[[#This Row],[Média.A]] + (_xlfn.STDEV.S( tabConsumo[[#This Row],[QTD.PENDENTE]]:tabConsumo[[#This Row],[09_23]] ) * 1)</f>
        <v>971.81959360510598</v>
      </c>
      <c r="V527" s="221">
        <f xml:space="preserve"> tabConsumo[[#This Row],[Média.A]] + (_xlfn.STDEV.S( tabConsumo[[#This Row],[QTD.PENDENTE]]:tabConsumo[[#This Row],[09_23]] ) * 2)</f>
        <v>1274.389187210212</v>
      </c>
      <c r="W527" s="221">
        <f xml:space="preserve"> tabConsumo[[#This Row],[Média.A]] + (_xlfn.STDEV.S( tabConsumo[[#This Row],[QTD.PENDENTE]]:tabConsumo[[#This Row],[09_23]] ) * 3)</f>
        <v>1576.9587808153178</v>
      </c>
      <c r="X527" s="5">
        <f t="shared" si="17"/>
        <v>2</v>
      </c>
      <c r="Y527">
        <v>669.25</v>
      </c>
      <c r="Z527" s="223">
        <f>SUM( tabConsumo[[#This Row],[QTD.PENDENTE]]:tabConsumo[[#This Row],[09_23]] )</f>
        <v>8031</v>
      </c>
      <c r="AA527" s="223">
        <f>LARGE(tabConsumo[[#This Row],[10_22]:[09_23]],1)</f>
        <v>1110</v>
      </c>
      <c r="AB527" s="146" t="s">
        <v>2238</v>
      </c>
      <c r="AC527" s="3" t="s">
        <v>2086</v>
      </c>
    </row>
    <row r="528" spans="1:29" x14ac:dyDescent="0.3">
      <c r="A528" s="4" t="s">
        <v>1190</v>
      </c>
      <c r="B528" s="3" t="s">
        <v>260</v>
      </c>
      <c r="C528" s="2">
        <v>23993</v>
      </c>
      <c r="D528" s="2">
        <v>1325</v>
      </c>
      <c r="E528" s="2">
        <v>15</v>
      </c>
      <c r="F528" s="2">
        <v>514</v>
      </c>
      <c r="G528" s="2">
        <v>456</v>
      </c>
      <c r="H528" s="2">
        <v>457</v>
      </c>
      <c r="I528" s="2">
        <v>241</v>
      </c>
      <c r="J528" s="2">
        <v>476</v>
      </c>
      <c r="K528" s="2">
        <v>1070</v>
      </c>
      <c r="L528" s="2">
        <v>550</v>
      </c>
      <c r="M528" s="2">
        <v>950</v>
      </c>
      <c r="N528" s="2">
        <v>973</v>
      </c>
      <c r="O528" s="2">
        <v>716</v>
      </c>
      <c r="P528" s="2">
        <v>729</v>
      </c>
      <c r="Q528" s="2">
        <v>569</v>
      </c>
      <c r="R528" s="238">
        <v>367</v>
      </c>
      <c r="S528" s="219">
        <f t="shared" si="18"/>
        <v>12</v>
      </c>
      <c r="T528" s="220">
        <f>SUM( tabConsumo[[#This Row],[QTD.PENDENTE]]:tabConsumo[[#This Row],[09_23]] ) / tabConsumo[[#This Row],[Div]]</f>
        <v>643</v>
      </c>
      <c r="U528" s="221">
        <f xml:space="preserve"> tabConsumo[[#This Row],[Média.A]] + (_xlfn.STDEV.S( tabConsumo[[#This Row],[QTD.PENDENTE]]:tabConsumo[[#This Row],[09_23]] ) * 1)</f>
        <v>938.88951073686712</v>
      </c>
      <c r="V528" s="221">
        <f xml:space="preserve"> tabConsumo[[#This Row],[Média.A]] + (_xlfn.STDEV.S( tabConsumo[[#This Row],[QTD.PENDENTE]]:tabConsumo[[#This Row],[09_23]] ) * 2)</f>
        <v>1234.7790214737342</v>
      </c>
      <c r="W528" s="221">
        <f xml:space="preserve"> tabConsumo[[#This Row],[Média.A]] + (_xlfn.STDEV.S( tabConsumo[[#This Row],[QTD.PENDENTE]]:tabConsumo[[#This Row],[09_23]] ) * 3)</f>
        <v>1530.6685322106011</v>
      </c>
      <c r="X528" s="5">
        <f t="shared" si="17"/>
        <v>2</v>
      </c>
      <c r="Y528">
        <v>643</v>
      </c>
      <c r="Z528" s="223">
        <f>SUM( tabConsumo[[#This Row],[QTD.PENDENTE]]:tabConsumo[[#This Row],[09_23]] )</f>
        <v>7716</v>
      </c>
      <c r="AA528" s="223">
        <f>LARGE(tabConsumo[[#This Row],[10_22]:[09_23]],1)</f>
        <v>1070</v>
      </c>
      <c r="AB528" s="146" t="s">
        <v>2238</v>
      </c>
      <c r="AC528" s="3" t="s">
        <v>2086</v>
      </c>
    </row>
    <row r="529" spans="1:29" x14ac:dyDescent="0.3">
      <c r="A529" s="4" t="s">
        <v>1200</v>
      </c>
      <c r="B529" s="3" t="s">
        <v>260</v>
      </c>
      <c r="C529" s="2">
        <v>24477</v>
      </c>
      <c r="D529" s="2">
        <v>0</v>
      </c>
      <c r="E529" s="2">
        <v>179</v>
      </c>
      <c r="F529" s="2">
        <v>687</v>
      </c>
      <c r="G529" s="2">
        <v>679</v>
      </c>
      <c r="H529" s="2">
        <v>520</v>
      </c>
      <c r="I529" s="2">
        <v>319</v>
      </c>
      <c r="J529" s="2">
        <v>491</v>
      </c>
      <c r="K529" s="2">
        <v>1100</v>
      </c>
      <c r="L529" s="2">
        <v>630</v>
      </c>
      <c r="M529" s="2">
        <v>1001</v>
      </c>
      <c r="N529" s="2">
        <v>1088</v>
      </c>
      <c r="O529" s="2">
        <v>681</v>
      </c>
      <c r="P529" s="2">
        <v>711</v>
      </c>
      <c r="Q529" s="2">
        <v>177</v>
      </c>
      <c r="R529" s="238">
        <v>367</v>
      </c>
      <c r="S529" s="219">
        <f t="shared" si="18"/>
        <v>12</v>
      </c>
      <c r="T529" s="220">
        <f>SUM( tabConsumo[[#This Row],[QTD.PENDENTE]]:tabConsumo[[#This Row],[09_23]] ) / tabConsumo[[#This Row],[Div]]</f>
        <v>688.58333333333337</v>
      </c>
      <c r="U529" s="221">
        <f xml:space="preserve"> tabConsumo[[#This Row],[Média.A]] + (_xlfn.STDEV.S( tabConsumo[[#This Row],[QTD.PENDENTE]]:tabConsumo[[#This Row],[09_23]] ) * 1)</f>
        <v>994.01459632102501</v>
      </c>
      <c r="V529" s="221">
        <f xml:space="preserve"> tabConsumo[[#This Row],[Média.A]] + (_xlfn.STDEV.S( tabConsumo[[#This Row],[QTD.PENDENTE]]:tabConsumo[[#This Row],[09_23]] ) * 2)</f>
        <v>1299.4458593087165</v>
      </c>
      <c r="W529" s="221">
        <f xml:space="preserve"> tabConsumo[[#This Row],[Média.A]] + (_xlfn.STDEV.S( tabConsumo[[#This Row],[QTD.PENDENTE]]:tabConsumo[[#This Row],[09_23]] ) * 3)</f>
        <v>1604.8771222964083</v>
      </c>
      <c r="X529" s="5">
        <f t="shared" si="17"/>
        <v>2</v>
      </c>
      <c r="Y529">
        <v>688.58333333333337</v>
      </c>
      <c r="Z529" s="223">
        <f>SUM( tabConsumo[[#This Row],[QTD.PENDENTE]]:tabConsumo[[#This Row],[09_23]] )</f>
        <v>8263</v>
      </c>
      <c r="AA529" s="223">
        <f>LARGE(tabConsumo[[#This Row],[10_22]:[09_23]],1)</f>
        <v>1100</v>
      </c>
      <c r="AB529" s="146" t="s">
        <v>2238</v>
      </c>
      <c r="AC529" s="3" t="s">
        <v>2086</v>
      </c>
    </row>
    <row r="530" spans="1:29" x14ac:dyDescent="0.3">
      <c r="A530" s="4" t="s">
        <v>1191</v>
      </c>
      <c r="B530" s="3" t="s">
        <v>260</v>
      </c>
      <c r="C530" s="2">
        <v>23996</v>
      </c>
      <c r="D530" s="2">
        <v>0</v>
      </c>
      <c r="E530" s="2">
        <v>99</v>
      </c>
      <c r="F530" s="2">
        <v>609</v>
      </c>
      <c r="G530" s="2">
        <v>527</v>
      </c>
      <c r="H530" s="2">
        <v>500</v>
      </c>
      <c r="I530" s="2">
        <v>241</v>
      </c>
      <c r="J530" s="2">
        <v>473</v>
      </c>
      <c r="K530" s="2">
        <v>1075</v>
      </c>
      <c r="L530" s="2">
        <v>610</v>
      </c>
      <c r="M530" s="2">
        <v>1016</v>
      </c>
      <c r="N530" s="2">
        <v>1131</v>
      </c>
      <c r="O530" s="2">
        <v>766</v>
      </c>
      <c r="P530" s="2">
        <v>717</v>
      </c>
      <c r="Q530" s="2">
        <v>480</v>
      </c>
      <c r="R530" s="238">
        <v>367</v>
      </c>
      <c r="S530" s="219">
        <f t="shared" si="18"/>
        <v>12</v>
      </c>
      <c r="T530" s="220">
        <f>SUM( tabConsumo[[#This Row],[QTD.PENDENTE]]:tabConsumo[[#This Row],[09_23]] ) / tabConsumo[[#This Row],[Div]]</f>
        <v>687</v>
      </c>
      <c r="U530" s="221">
        <f xml:space="preserve"> tabConsumo[[#This Row],[Média.A]] + (_xlfn.STDEV.S( tabConsumo[[#This Row],[QTD.PENDENTE]]:tabConsumo[[#This Row],[09_23]] ) * 1)</f>
        <v>994.22463175822077</v>
      </c>
      <c r="V530" s="221">
        <f xml:space="preserve"> tabConsumo[[#This Row],[Média.A]] + (_xlfn.STDEV.S( tabConsumo[[#This Row],[QTD.PENDENTE]]:tabConsumo[[#This Row],[09_23]] ) * 2)</f>
        <v>1301.4492635164415</v>
      </c>
      <c r="W530" s="221">
        <f xml:space="preserve"> tabConsumo[[#This Row],[Média.A]] + (_xlfn.STDEV.S( tabConsumo[[#This Row],[QTD.PENDENTE]]:tabConsumo[[#This Row],[09_23]] ) * 3)</f>
        <v>1608.6738952746621</v>
      </c>
      <c r="X530" s="5">
        <f t="shared" si="17"/>
        <v>2</v>
      </c>
      <c r="Y530">
        <v>687</v>
      </c>
      <c r="Z530" s="223">
        <f>SUM( tabConsumo[[#This Row],[QTD.PENDENTE]]:tabConsumo[[#This Row],[09_23]] )</f>
        <v>8244</v>
      </c>
      <c r="AA530" s="223">
        <f>LARGE(tabConsumo[[#This Row],[10_22]:[09_23]],1)</f>
        <v>1131</v>
      </c>
      <c r="AB530" s="146" t="s">
        <v>2238</v>
      </c>
      <c r="AC530" s="3" t="s">
        <v>2086</v>
      </c>
    </row>
    <row r="531" spans="1:29" x14ac:dyDescent="0.3">
      <c r="A531" s="4" t="s">
        <v>1807</v>
      </c>
      <c r="B531" s="3" t="s">
        <v>267</v>
      </c>
      <c r="C531" s="2">
        <v>130624</v>
      </c>
      <c r="D531" s="2">
        <v>7013</v>
      </c>
      <c r="E531" s="2">
        <v>30</v>
      </c>
      <c r="F531" s="2">
        <v>1262</v>
      </c>
      <c r="G531" s="2">
        <v>1398</v>
      </c>
      <c r="H531" s="2">
        <v>998</v>
      </c>
      <c r="I531" s="2">
        <v>605</v>
      </c>
      <c r="J531" s="2">
        <v>945</v>
      </c>
      <c r="K531" s="2">
        <v>14769</v>
      </c>
      <c r="L531" s="2">
        <v>1105</v>
      </c>
      <c r="M531" s="2">
        <v>1401</v>
      </c>
      <c r="N531" s="2">
        <v>1488</v>
      </c>
      <c r="O531" s="2">
        <v>1216</v>
      </c>
      <c r="P531" s="2">
        <v>1137</v>
      </c>
      <c r="Q531" s="2">
        <v>1037</v>
      </c>
      <c r="R531" s="238">
        <v>42205</v>
      </c>
      <c r="S531" s="219">
        <v>12</v>
      </c>
      <c r="T531" s="220">
        <f>SUM( tabConsumo[[#This Row],[QTD.PENDENTE]]:tabConsumo[[#This Row],[09_23]] ) / tabConsumo[[#This Row],[Div]]</f>
        <v>2282.5833333333335</v>
      </c>
      <c r="U531" s="221">
        <f xml:space="preserve"> tabConsumo[[#This Row],[Média.A]] + (_xlfn.STDEV.S( tabConsumo[[#This Row],[QTD.PENDENTE]]:tabConsumo[[#This Row],[09_23]] ) * 1)</f>
        <v>6106.3934968569702</v>
      </c>
      <c r="V531" s="221">
        <f xml:space="preserve"> tabConsumo[[#This Row],[Média.A]] + (_xlfn.STDEV.S( tabConsumo[[#This Row],[QTD.PENDENTE]]:tabConsumo[[#This Row],[09_23]] ) * 2)</f>
        <v>9930.2036603806082</v>
      </c>
      <c r="W531" s="221">
        <f xml:space="preserve"> tabConsumo[[#This Row],[Média.A]] + (_xlfn.STDEV.S( tabConsumo[[#This Row],[QTD.PENDENTE]]:tabConsumo[[#This Row],[09_23]] ) * 3)</f>
        <v>13754.013823904244</v>
      </c>
      <c r="X531" s="5">
        <f t="shared" si="17"/>
        <v>2</v>
      </c>
      <c r="Y531">
        <v>1879.3333333333333</v>
      </c>
      <c r="Z531" s="223">
        <f>SUM( tabConsumo[[#This Row],[QTD.PENDENTE]]:tabConsumo[[#This Row],[09_23]] )</f>
        <v>27391</v>
      </c>
      <c r="AA531" s="223">
        <f>LARGE(tabConsumo[[#This Row],[10_22]:[09_23]],1)</f>
        <v>14769</v>
      </c>
      <c r="AB531" s="146" t="s">
        <v>2238</v>
      </c>
      <c r="AC531" s="3" t="s">
        <v>2086</v>
      </c>
    </row>
    <row r="532" spans="1:29" x14ac:dyDescent="0.3">
      <c r="A532" s="4" t="s">
        <v>1539</v>
      </c>
      <c r="B532" s="3" t="s">
        <v>380</v>
      </c>
      <c r="C532" s="2">
        <v>93325</v>
      </c>
      <c r="D532" s="2">
        <v>0</v>
      </c>
      <c r="E532" s="2">
        <v>351</v>
      </c>
      <c r="F532" s="2">
        <v>331</v>
      </c>
      <c r="G532" s="2">
        <v>501</v>
      </c>
      <c r="H532" s="2">
        <v>363</v>
      </c>
      <c r="I532" s="2">
        <v>200</v>
      </c>
      <c r="J532" s="2">
        <v>340</v>
      </c>
      <c r="K532" s="2">
        <v>827</v>
      </c>
      <c r="L532" s="2">
        <v>548</v>
      </c>
      <c r="M532" s="2">
        <v>1013</v>
      </c>
      <c r="N532" s="2">
        <v>1201</v>
      </c>
      <c r="O532" s="2">
        <v>489</v>
      </c>
      <c r="P532" s="2">
        <v>52</v>
      </c>
      <c r="Q532" s="2">
        <v>0</v>
      </c>
      <c r="R532" s="238">
        <v>38919</v>
      </c>
      <c r="S532" s="219">
        <v>12</v>
      </c>
      <c r="T532" s="220">
        <f>SUM( tabConsumo[[#This Row],[QTD.PENDENTE]]:tabConsumo[[#This Row],[09_23]] ) / tabConsumo[[#This Row],[Div]]</f>
        <v>518</v>
      </c>
      <c r="U532" s="221">
        <f xml:space="preserve"> tabConsumo[[#This Row],[Média.A]] + (_xlfn.STDEV.S( tabConsumo[[#This Row],[QTD.PENDENTE]]:tabConsumo[[#This Row],[09_23]] ) * 1)</f>
        <v>870.79310418285445</v>
      </c>
      <c r="V532" s="221">
        <f xml:space="preserve"> tabConsumo[[#This Row],[Média.A]] + (_xlfn.STDEV.S( tabConsumo[[#This Row],[QTD.PENDENTE]]:tabConsumo[[#This Row],[09_23]] ) * 2)</f>
        <v>1223.5862083657089</v>
      </c>
      <c r="W532" s="221">
        <f xml:space="preserve"> tabConsumo[[#This Row],[Média.A]] + (_xlfn.STDEV.S( tabConsumo[[#This Row],[QTD.PENDENTE]]:tabConsumo[[#This Row],[09_23]] ) * 3)</f>
        <v>1576.3793125485633</v>
      </c>
      <c r="X532" s="5">
        <f t="shared" si="17"/>
        <v>2</v>
      </c>
      <c r="Y532">
        <v>518</v>
      </c>
      <c r="Z532" s="223">
        <f>SUM( tabConsumo[[#This Row],[QTD.PENDENTE]]:tabConsumo[[#This Row],[09_23]] )</f>
        <v>6216</v>
      </c>
      <c r="AA532" s="223">
        <f>LARGE(tabConsumo[[#This Row],[10_22]:[09_23]],1)</f>
        <v>1201</v>
      </c>
      <c r="AB532" s="146" t="s">
        <v>2241</v>
      </c>
      <c r="AC532" s="3" t="s">
        <v>2086</v>
      </c>
    </row>
    <row r="533" spans="1:29" x14ac:dyDescent="0.3">
      <c r="A533" s="4" t="s">
        <v>1540</v>
      </c>
      <c r="B533" s="3" t="s">
        <v>380</v>
      </c>
      <c r="C533" s="2">
        <v>93327</v>
      </c>
      <c r="D533" s="2">
        <v>0</v>
      </c>
      <c r="E533" s="2">
        <v>357</v>
      </c>
      <c r="F533" s="2">
        <v>311</v>
      </c>
      <c r="G533" s="2">
        <v>471</v>
      </c>
      <c r="H533" s="2">
        <v>363</v>
      </c>
      <c r="I533" s="2">
        <v>160</v>
      </c>
      <c r="J533" s="2">
        <v>331</v>
      </c>
      <c r="K533" s="2">
        <v>822</v>
      </c>
      <c r="L533" s="2">
        <v>573</v>
      </c>
      <c r="M533" s="2">
        <v>998</v>
      </c>
      <c r="N533" s="2">
        <v>1207</v>
      </c>
      <c r="O533" s="2">
        <v>403</v>
      </c>
      <c r="P533" s="2">
        <v>0</v>
      </c>
      <c r="Q533" s="2">
        <v>0</v>
      </c>
      <c r="R533" s="238">
        <v>38919</v>
      </c>
      <c r="S533" s="219">
        <v>12</v>
      </c>
      <c r="T533" s="220">
        <f>SUM( tabConsumo[[#This Row],[QTD.PENDENTE]]:tabConsumo[[#This Row],[09_23]] ) / tabConsumo[[#This Row],[Div]]</f>
        <v>499.66666666666669</v>
      </c>
      <c r="U533" s="221">
        <f xml:space="preserve"> tabConsumo[[#This Row],[Média.A]] + (_xlfn.STDEV.S( tabConsumo[[#This Row],[QTD.PENDENTE]]:tabConsumo[[#This Row],[09_23]] ) * 1)</f>
        <v>860.99250157798178</v>
      </c>
      <c r="V533" s="221">
        <f xml:space="preserve"> tabConsumo[[#This Row],[Média.A]] + (_xlfn.STDEV.S( tabConsumo[[#This Row],[QTD.PENDENTE]]:tabConsumo[[#This Row],[09_23]] ) * 2)</f>
        <v>1222.3183364892971</v>
      </c>
      <c r="W533" s="221">
        <f xml:space="preserve"> tabConsumo[[#This Row],[Média.A]] + (_xlfn.STDEV.S( tabConsumo[[#This Row],[QTD.PENDENTE]]:tabConsumo[[#This Row],[09_23]] ) * 3)</f>
        <v>1583.6441714006121</v>
      </c>
      <c r="X533" s="5">
        <f t="shared" si="17"/>
        <v>2</v>
      </c>
      <c r="Y533">
        <v>499.66666666666669</v>
      </c>
      <c r="Z533" s="223">
        <f>SUM( tabConsumo[[#This Row],[QTD.PENDENTE]]:tabConsumo[[#This Row],[09_23]] )</f>
        <v>5996</v>
      </c>
      <c r="AA533" s="223">
        <f>LARGE(tabConsumo[[#This Row],[10_22]:[09_23]],1)</f>
        <v>1207</v>
      </c>
      <c r="AB533" s="146" t="s">
        <v>2239</v>
      </c>
      <c r="AC533" s="3" t="s">
        <v>2086</v>
      </c>
    </row>
    <row r="534" spans="1:29" x14ac:dyDescent="0.3">
      <c r="A534" s="4" t="s">
        <v>1541</v>
      </c>
      <c r="B534" s="3" t="s">
        <v>380</v>
      </c>
      <c r="C534" s="2">
        <v>93329</v>
      </c>
      <c r="D534" s="2">
        <v>0</v>
      </c>
      <c r="E534" s="2">
        <v>251</v>
      </c>
      <c r="F534" s="2">
        <v>326</v>
      </c>
      <c r="G534" s="2">
        <v>466</v>
      </c>
      <c r="H534" s="2">
        <v>353</v>
      </c>
      <c r="I534" s="2">
        <v>175</v>
      </c>
      <c r="J534" s="2">
        <v>330</v>
      </c>
      <c r="K534" s="2">
        <v>858</v>
      </c>
      <c r="L534" s="2">
        <v>538</v>
      </c>
      <c r="M534" s="2">
        <v>998</v>
      </c>
      <c r="N534" s="2">
        <v>1200</v>
      </c>
      <c r="O534" s="2">
        <v>595</v>
      </c>
      <c r="P534" s="2">
        <v>344</v>
      </c>
      <c r="Q534" s="2">
        <v>0</v>
      </c>
      <c r="R534" s="238">
        <v>38919</v>
      </c>
      <c r="S534" s="219">
        <v>12</v>
      </c>
      <c r="T534" s="220">
        <f>SUM( tabConsumo[[#This Row],[QTD.PENDENTE]]:tabConsumo[[#This Row],[09_23]] ) / tabConsumo[[#This Row],[Div]]</f>
        <v>536.16666666666663</v>
      </c>
      <c r="U534" s="221">
        <f xml:space="preserve"> tabConsumo[[#This Row],[Média.A]] + (_xlfn.STDEV.S( tabConsumo[[#This Row],[QTD.PENDENTE]]:tabConsumo[[#This Row],[09_23]] ) * 1)</f>
        <v>877.75668933967086</v>
      </c>
      <c r="V534" s="221">
        <f xml:space="preserve"> tabConsumo[[#This Row],[Média.A]] + (_xlfn.STDEV.S( tabConsumo[[#This Row],[QTD.PENDENTE]]:tabConsumo[[#This Row],[09_23]] ) * 2)</f>
        <v>1219.3467120126752</v>
      </c>
      <c r="W534" s="221">
        <f xml:space="preserve"> tabConsumo[[#This Row],[Média.A]] + (_xlfn.STDEV.S( tabConsumo[[#This Row],[QTD.PENDENTE]]:tabConsumo[[#This Row],[09_23]] ) * 3)</f>
        <v>1560.9367346856793</v>
      </c>
      <c r="X534" s="5">
        <f t="shared" si="17"/>
        <v>2</v>
      </c>
      <c r="Y534">
        <v>536.16666666666663</v>
      </c>
      <c r="Z534" s="223">
        <f>SUM( tabConsumo[[#This Row],[QTD.PENDENTE]]:tabConsumo[[#This Row],[09_23]] )</f>
        <v>6434</v>
      </c>
      <c r="AA534" s="223">
        <f>LARGE(tabConsumo[[#This Row],[10_22]:[09_23]],1)</f>
        <v>1200</v>
      </c>
      <c r="AB534" s="146" t="s">
        <v>2241</v>
      </c>
      <c r="AC534" s="3" t="s">
        <v>2086</v>
      </c>
    </row>
    <row r="535" spans="1:29" x14ac:dyDescent="0.3">
      <c r="A535" s="4" t="s">
        <v>1542</v>
      </c>
      <c r="B535" s="3" t="s">
        <v>380</v>
      </c>
      <c r="C535" s="2">
        <v>93332</v>
      </c>
      <c r="D535" s="2">
        <v>0</v>
      </c>
      <c r="E535" s="2">
        <v>111</v>
      </c>
      <c r="F535" s="2">
        <v>316</v>
      </c>
      <c r="G535" s="2">
        <v>461</v>
      </c>
      <c r="H535" s="2">
        <v>373</v>
      </c>
      <c r="I535" s="2">
        <v>200</v>
      </c>
      <c r="J535" s="2">
        <v>341</v>
      </c>
      <c r="K535" s="2">
        <v>826</v>
      </c>
      <c r="L535" s="2">
        <v>573</v>
      </c>
      <c r="M535" s="2">
        <v>968</v>
      </c>
      <c r="N535" s="2">
        <v>1207</v>
      </c>
      <c r="O535" s="2">
        <v>580</v>
      </c>
      <c r="P535" s="2">
        <v>529</v>
      </c>
      <c r="Q535" s="2">
        <v>0</v>
      </c>
      <c r="R535" s="238">
        <v>38919</v>
      </c>
      <c r="S535" s="219">
        <v>12</v>
      </c>
      <c r="T535" s="220">
        <f>SUM( tabConsumo[[#This Row],[QTD.PENDENTE]]:tabConsumo[[#This Row],[09_23]] ) / tabConsumo[[#This Row],[Div]]</f>
        <v>540.41666666666663</v>
      </c>
      <c r="U535" s="221">
        <f xml:space="preserve"> tabConsumo[[#This Row],[Média.A]] + (_xlfn.STDEV.S( tabConsumo[[#This Row],[QTD.PENDENTE]]:tabConsumo[[#This Row],[09_23]] ) * 1)</f>
        <v>882.68966836605227</v>
      </c>
      <c r="V535" s="221">
        <f xml:space="preserve"> tabConsumo[[#This Row],[Média.A]] + (_xlfn.STDEV.S( tabConsumo[[#This Row],[QTD.PENDENTE]]:tabConsumo[[#This Row],[09_23]] ) * 2)</f>
        <v>1224.962670065438</v>
      </c>
      <c r="W535" s="221">
        <f xml:space="preserve"> tabConsumo[[#This Row],[Média.A]] + (_xlfn.STDEV.S( tabConsumo[[#This Row],[QTD.PENDENTE]]:tabConsumo[[#This Row],[09_23]] ) * 3)</f>
        <v>1567.2356717648236</v>
      </c>
      <c r="X535" s="5">
        <f t="shared" si="17"/>
        <v>2</v>
      </c>
      <c r="Y535">
        <v>540.41666666666663</v>
      </c>
      <c r="Z535" s="223">
        <f>SUM( tabConsumo[[#This Row],[QTD.PENDENTE]]:tabConsumo[[#This Row],[09_23]] )</f>
        <v>6485</v>
      </c>
      <c r="AA535" s="223">
        <f>LARGE(tabConsumo[[#This Row],[10_22]:[09_23]],1)</f>
        <v>1207</v>
      </c>
      <c r="AB535" s="146" t="s">
        <v>2241</v>
      </c>
      <c r="AC535" s="3" t="s">
        <v>2086</v>
      </c>
    </row>
    <row r="536" spans="1:29" x14ac:dyDescent="0.3">
      <c r="A536" s="4" t="s">
        <v>1543</v>
      </c>
      <c r="B536" s="3" t="s">
        <v>380</v>
      </c>
      <c r="C536" s="2">
        <v>93334</v>
      </c>
      <c r="D536" s="2">
        <v>0</v>
      </c>
      <c r="E536" s="2">
        <v>120</v>
      </c>
      <c r="F536" s="2">
        <v>308</v>
      </c>
      <c r="G536" s="2">
        <v>486</v>
      </c>
      <c r="H536" s="2">
        <v>353</v>
      </c>
      <c r="I536" s="2">
        <v>200</v>
      </c>
      <c r="J536" s="2">
        <v>340</v>
      </c>
      <c r="K536" s="2">
        <v>803</v>
      </c>
      <c r="L536" s="2">
        <v>563</v>
      </c>
      <c r="M536" s="2">
        <v>978</v>
      </c>
      <c r="N536" s="2">
        <v>1205</v>
      </c>
      <c r="O536" s="2">
        <v>590</v>
      </c>
      <c r="P536" s="2">
        <v>581</v>
      </c>
      <c r="Q536" s="2">
        <v>159</v>
      </c>
      <c r="R536" s="238">
        <v>38919</v>
      </c>
      <c r="S536" s="219">
        <v>12</v>
      </c>
      <c r="T536" s="220">
        <f>SUM( tabConsumo[[#This Row],[QTD.PENDENTE]]:tabConsumo[[#This Row],[09_23]] ) / tabConsumo[[#This Row],[Div]]</f>
        <v>557.16666666666663</v>
      </c>
      <c r="U536" s="221">
        <f xml:space="preserve"> tabConsumo[[#This Row],[Média.A]] + (_xlfn.STDEV.S( tabConsumo[[#This Row],[QTD.PENDENTE]]:tabConsumo[[#This Row],[09_23]] ) * 1)</f>
        <v>882.26111053782449</v>
      </c>
      <c r="V536" s="221">
        <f xml:space="preserve"> tabConsumo[[#This Row],[Média.A]] + (_xlfn.STDEV.S( tabConsumo[[#This Row],[QTD.PENDENTE]]:tabConsumo[[#This Row],[09_23]] ) * 2)</f>
        <v>1207.3555544089822</v>
      </c>
      <c r="W536" s="221">
        <f xml:space="preserve"> tabConsumo[[#This Row],[Média.A]] + (_xlfn.STDEV.S( tabConsumo[[#This Row],[QTD.PENDENTE]]:tabConsumo[[#This Row],[09_23]] ) * 3)</f>
        <v>1532.4499982801403</v>
      </c>
      <c r="X536" s="5">
        <f t="shared" si="17"/>
        <v>2</v>
      </c>
      <c r="Y536">
        <v>557.16666666666663</v>
      </c>
      <c r="Z536" s="223">
        <f>SUM( tabConsumo[[#This Row],[QTD.PENDENTE]]:tabConsumo[[#This Row],[09_23]] )</f>
        <v>6686</v>
      </c>
      <c r="AA536" s="223">
        <f>LARGE(tabConsumo[[#This Row],[10_22]:[09_23]],1)</f>
        <v>1205</v>
      </c>
      <c r="AB536" s="146" t="s">
        <v>2238</v>
      </c>
      <c r="AC536" s="3" t="s">
        <v>2086</v>
      </c>
    </row>
    <row r="537" spans="1:29" x14ac:dyDescent="0.3">
      <c r="A537" s="4" t="s">
        <v>1544</v>
      </c>
      <c r="B537" s="3" t="s">
        <v>380</v>
      </c>
      <c r="C537" s="2">
        <v>93335</v>
      </c>
      <c r="D537" s="2">
        <v>0</v>
      </c>
      <c r="E537" s="2">
        <v>183</v>
      </c>
      <c r="F537" s="2">
        <v>316</v>
      </c>
      <c r="G537" s="2">
        <v>451</v>
      </c>
      <c r="H537" s="2">
        <v>373</v>
      </c>
      <c r="I537" s="2">
        <v>165</v>
      </c>
      <c r="J537" s="2">
        <v>331</v>
      </c>
      <c r="K537" s="2">
        <v>788</v>
      </c>
      <c r="L537" s="2">
        <v>573</v>
      </c>
      <c r="M537" s="2">
        <v>983</v>
      </c>
      <c r="N537" s="2">
        <v>1217</v>
      </c>
      <c r="O537" s="2">
        <v>645</v>
      </c>
      <c r="P537" s="2">
        <v>252</v>
      </c>
      <c r="Q537" s="2">
        <v>0</v>
      </c>
      <c r="R537" s="238">
        <v>38919</v>
      </c>
      <c r="S537" s="219">
        <v>12</v>
      </c>
      <c r="T537" s="220">
        <f>SUM( tabConsumo[[#This Row],[QTD.PENDENTE]]:tabConsumo[[#This Row],[09_23]] ) / tabConsumo[[#This Row],[Div]]</f>
        <v>523.08333333333337</v>
      </c>
      <c r="U537" s="221">
        <f xml:space="preserve"> tabConsumo[[#This Row],[Média.A]] + (_xlfn.STDEV.S( tabConsumo[[#This Row],[QTD.PENDENTE]]:tabConsumo[[#This Row],[09_23]] ) * 1)</f>
        <v>871.6537102908535</v>
      </c>
      <c r="V537" s="221">
        <f xml:space="preserve"> tabConsumo[[#This Row],[Média.A]] + (_xlfn.STDEV.S( tabConsumo[[#This Row],[QTD.PENDENTE]]:tabConsumo[[#This Row],[09_23]] ) * 2)</f>
        <v>1220.2240872483737</v>
      </c>
      <c r="W537" s="221">
        <f xml:space="preserve"> tabConsumo[[#This Row],[Média.A]] + (_xlfn.STDEV.S( tabConsumo[[#This Row],[QTD.PENDENTE]]:tabConsumo[[#This Row],[09_23]] ) * 3)</f>
        <v>1568.7944642058937</v>
      </c>
      <c r="X537" s="5">
        <f t="shared" si="17"/>
        <v>2</v>
      </c>
      <c r="Y537">
        <v>523.08333333333337</v>
      </c>
      <c r="Z537" s="223">
        <f>SUM( tabConsumo[[#This Row],[QTD.PENDENTE]]:tabConsumo[[#This Row],[09_23]] )</f>
        <v>6277</v>
      </c>
      <c r="AA537" s="223">
        <f>LARGE(tabConsumo[[#This Row],[10_22]:[09_23]],1)</f>
        <v>1217</v>
      </c>
      <c r="AB537" s="146" t="s">
        <v>2241</v>
      </c>
      <c r="AC537" s="3" t="s">
        <v>2086</v>
      </c>
    </row>
    <row r="538" spans="1:29" x14ac:dyDescent="0.3">
      <c r="A538" s="4" t="s">
        <v>1135</v>
      </c>
      <c r="B538" s="3" t="s">
        <v>380</v>
      </c>
      <c r="C538" s="2">
        <v>17454</v>
      </c>
      <c r="D538" s="2">
        <v>1461</v>
      </c>
      <c r="F538" s="2">
        <v>378</v>
      </c>
      <c r="G538" s="2">
        <v>601</v>
      </c>
      <c r="H538" s="2">
        <v>465</v>
      </c>
      <c r="I538" s="2">
        <v>250</v>
      </c>
      <c r="J538" s="2">
        <v>465</v>
      </c>
      <c r="K538" s="2">
        <v>1131</v>
      </c>
      <c r="L538" s="2">
        <v>611</v>
      </c>
      <c r="M538" s="2">
        <v>950</v>
      </c>
      <c r="N538" s="2">
        <v>810</v>
      </c>
      <c r="O538" s="2">
        <v>721</v>
      </c>
      <c r="P538" s="2">
        <v>758</v>
      </c>
      <c r="Q538" s="2">
        <v>632</v>
      </c>
      <c r="R538" s="238">
        <v>367</v>
      </c>
      <c r="S538" s="219">
        <f xml:space="preserve"> 12</f>
        <v>12</v>
      </c>
      <c r="T538" s="220">
        <f>SUM( tabConsumo[[#This Row],[QTD.PENDENTE]]:tabConsumo[[#This Row],[09_23]] ) / tabConsumo[[#This Row],[Div]]</f>
        <v>647.66666666666663</v>
      </c>
      <c r="U538" s="221">
        <f xml:space="preserve"> tabConsumo[[#This Row],[Média.A]] + (_xlfn.STDEV.S( tabConsumo[[#This Row],[QTD.PENDENTE]]:tabConsumo[[#This Row],[09_23]] ) * 1)</f>
        <v>894.51602571101591</v>
      </c>
      <c r="V538" s="221">
        <f xml:space="preserve"> tabConsumo[[#This Row],[Média.A]] + (_xlfn.STDEV.S( tabConsumo[[#This Row],[QTD.PENDENTE]]:tabConsumo[[#This Row],[09_23]] ) * 2)</f>
        <v>1141.3653847553653</v>
      </c>
      <c r="W538" s="221">
        <f xml:space="preserve"> tabConsumo[[#This Row],[Média.A]] + (_xlfn.STDEV.S( tabConsumo[[#This Row],[QTD.PENDENTE]]:tabConsumo[[#This Row],[09_23]] ) * 3)</f>
        <v>1388.2147437997146</v>
      </c>
      <c r="X538" s="5">
        <f t="shared" si="17"/>
        <v>2</v>
      </c>
      <c r="Y538">
        <v>647.66666666666663</v>
      </c>
      <c r="Z538" s="223">
        <f>SUM( tabConsumo[[#This Row],[QTD.PENDENTE]]:tabConsumo[[#This Row],[09_23]] )</f>
        <v>7772</v>
      </c>
      <c r="AA538" s="223">
        <f>LARGE(tabConsumo[[#This Row],[10_22]:[09_23]],1)</f>
        <v>1131</v>
      </c>
      <c r="AB538" s="146" t="s">
        <v>2238</v>
      </c>
      <c r="AC538" s="3" t="s">
        <v>2086</v>
      </c>
    </row>
    <row r="539" spans="1:29" x14ac:dyDescent="0.3">
      <c r="A539" s="4" t="s">
        <v>1545</v>
      </c>
      <c r="B539" s="3" t="s">
        <v>380</v>
      </c>
      <c r="C539" s="2">
        <v>93453</v>
      </c>
      <c r="D539" s="2">
        <v>0</v>
      </c>
      <c r="E539" s="2">
        <v>796</v>
      </c>
      <c r="F539" s="2">
        <v>496</v>
      </c>
      <c r="G539" s="2">
        <v>636</v>
      </c>
      <c r="H539" s="2">
        <v>535</v>
      </c>
      <c r="I539" s="2">
        <v>295</v>
      </c>
      <c r="J539" s="2">
        <v>525</v>
      </c>
      <c r="K539" s="2">
        <v>1239</v>
      </c>
      <c r="L539" s="2">
        <v>645</v>
      </c>
      <c r="M539" s="2">
        <v>1020</v>
      </c>
      <c r="N539" s="2">
        <v>363</v>
      </c>
      <c r="O539" s="2">
        <v>162</v>
      </c>
      <c r="P539" s="2">
        <v>0</v>
      </c>
      <c r="Q539" s="2">
        <v>0</v>
      </c>
      <c r="R539" s="238">
        <v>38930</v>
      </c>
      <c r="S539" s="219">
        <v>12</v>
      </c>
      <c r="T539" s="220">
        <f>SUM( tabConsumo[[#This Row],[QTD.PENDENTE]]:tabConsumo[[#This Row],[09_23]] ) / tabConsumo[[#This Row],[Div]]</f>
        <v>559.33333333333337</v>
      </c>
      <c r="U539" s="221">
        <f xml:space="preserve"> tabConsumo[[#This Row],[Média.A]] + (_xlfn.STDEV.S( tabConsumo[[#This Row],[QTD.PENDENTE]]:tabConsumo[[#This Row],[09_23]] ) * 1)</f>
        <v>926.42832208860193</v>
      </c>
      <c r="V539" s="221">
        <f xml:space="preserve"> tabConsumo[[#This Row],[Média.A]] + (_xlfn.STDEV.S( tabConsumo[[#This Row],[QTD.PENDENTE]]:tabConsumo[[#This Row],[09_23]] ) * 2)</f>
        <v>1293.5233108438706</v>
      </c>
      <c r="W539" s="221">
        <f xml:space="preserve"> tabConsumo[[#This Row],[Média.A]] + (_xlfn.STDEV.S( tabConsumo[[#This Row],[QTD.PENDENTE]]:tabConsumo[[#This Row],[09_23]] ) * 3)</f>
        <v>1660.6182995991389</v>
      </c>
      <c r="X539" s="5">
        <f t="shared" si="17"/>
        <v>2</v>
      </c>
      <c r="Y539">
        <v>559.33333333333337</v>
      </c>
      <c r="Z539" s="223">
        <f>SUM( tabConsumo[[#This Row],[QTD.PENDENTE]]:tabConsumo[[#This Row],[09_23]] )</f>
        <v>6712</v>
      </c>
      <c r="AA539" s="223">
        <f>LARGE(tabConsumo[[#This Row],[10_22]:[09_23]],1)</f>
        <v>1239</v>
      </c>
      <c r="AB539" s="146" t="s">
        <v>2239</v>
      </c>
      <c r="AC539" s="3" t="s">
        <v>2086</v>
      </c>
    </row>
    <row r="540" spans="1:29" x14ac:dyDescent="0.3">
      <c r="A540" s="4" t="s">
        <v>1546</v>
      </c>
      <c r="B540" s="3" t="s">
        <v>380</v>
      </c>
      <c r="C540" s="2">
        <v>93454</v>
      </c>
      <c r="D540" s="2">
        <v>0</v>
      </c>
      <c r="E540" s="2">
        <v>837</v>
      </c>
      <c r="F540" s="2">
        <v>456</v>
      </c>
      <c r="G540" s="2">
        <v>611</v>
      </c>
      <c r="H540" s="2">
        <v>540</v>
      </c>
      <c r="I540" s="2">
        <v>310</v>
      </c>
      <c r="J540" s="2">
        <v>545</v>
      </c>
      <c r="K540" s="2">
        <v>1265</v>
      </c>
      <c r="L540" s="2">
        <v>654</v>
      </c>
      <c r="M540" s="2">
        <v>660</v>
      </c>
      <c r="N540" s="2">
        <v>334</v>
      </c>
      <c r="O540" s="2">
        <v>0</v>
      </c>
      <c r="P540" s="2">
        <v>0</v>
      </c>
      <c r="Q540" s="2">
        <v>0</v>
      </c>
      <c r="R540" s="238">
        <v>38930</v>
      </c>
      <c r="S540" s="219">
        <v>12</v>
      </c>
      <c r="T540" s="220">
        <f>SUM( tabConsumo[[#This Row],[QTD.PENDENTE]]:tabConsumo[[#This Row],[09_23]] ) / tabConsumo[[#This Row],[Div]]</f>
        <v>517.66666666666663</v>
      </c>
      <c r="U540" s="221">
        <f xml:space="preserve"> tabConsumo[[#This Row],[Média.A]] + (_xlfn.STDEV.S( tabConsumo[[#This Row],[QTD.PENDENTE]]:tabConsumo[[#This Row],[09_23]] ) * 1)</f>
        <v>879.75179619512573</v>
      </c>
      <c r="V540" s="221">
        <f xml:space="preserve"> tabConsumo[[#This Row],[Média.A]] + (_xlfn.STDEV.S( tabConsumo[[#This Row],[QTD.PENDENTE]]:tabConsumo[[#This Row],[09_23]] ) * 2)</f>
        <v>1241.836925723585</v>
      </c>
      <c r="W540" s="221">
        <f xml:space="preserve"> tabConsumo[[#This Row],[Média.A]] + (_xlfn.STDEV.S( tabConsumo[[#This Row],[QTD.PENDENTE]]:tabConsumo[[#This Row],[09_23]] ) * 3)</f>
        <v>1603.9220552520442</v>
      </c>
      <c r="X540" s="5">
        <f t="shared" si="17"/>
        <v>2</v>
      </c>
      <c r="Y540">
        <v>515.66666666666663</v>
      </c>
      <c r="Z540" s="223">
        <f>SUM( tabConsumo[[#This Row],[QTD.PENDENTE]]:tabConsumo[[#This Row],[09_23]] )</f>
        <v>6212</v>
      </c>
      <c r="AA540" s="223">
        <f>LARGE(tabConsumo[[#This Row],[10_22]:[09_23]],1)</f>
        <v>1265</v>
      </c>
      <c r="AB540" s="146" t="s">
        <v>2246</v>
      </c>
      <c r="AC540" s="3" t="s">
        <v>2086</v>
      </c>
    </row>
    <row r="541" spans="1:29" x14ac:dyDescent="0.3">
      <c r="A541" s="4" t="s">
        <v>1547</v>
      </c>
      <c r="B541" s="3" t="s">
        <v>380</v>
      </c>
      <c r="C541" s="2">
        <v>93456</v>
      </c>
      <c r="D541" s="2">
        <v>0</v>
      </c>
      <c r="E541" s="2">
        <v>549</v>
      </c>
      <c r="F541" s="2">
        <v>461</v>
      </c>
      <c r="G541" s="2">
        <v>591</v>
      </c>
      <c r="H541" s="2">
        <v>545</v>
      </c>
      <c r="I541" s="2">
        <v>295</v>
      </c>
      <c r="J541" s="2">
        <v>510</v>
      </c>
      <c r="K541" s="2">
        <v>1229</v>
      </c>
      <c r="L541" s="2">
        <v>649</v>
      </c>
      <c r="M541" s="2">
        <v>1015</v>
      </c>
      <c r="N541" s="2">
        <v>788</v>
      </c>
      <c r="O541" s="2">
        <v>117</v>
      </c>
      <c r="P541" s="2">
        <v>2</v>
      </c>
      <c r="Q541" s="2">
        <v>0</v>
      </c>
      <c r="R541" s="238">
        <v>38930</v>
      </c>
      <c r="S541" s="219">
        <v>12</v>
      </c>
      <c r="T541" s="220">
        <f>SUM( tabConsumo[[#This Row],[QTD.PENDENTE]]:tabConsumo[[#This Row],[09_23]] ) / tabConsumo[[#This Row],[Div]]</f>
        <v>562.58333333333337</v>
      </c>
      <c r="U541" s="221">
        <f xml:space="preserve"> tabConsumo[[#This Row],[Média.A]] + (_xlfn.STDEV.S( tabConsumo[[#This Row],[QTD.PENDENTE]]:tabConsumo[[#This Row],[09_23]] ) * 1)</f>
        <v>927.50464553990219</v>
      </c>
      <c r="V541" s="221">
        <f xml:space="preserve"> tabConsumo[[#This Row],[Média.A]] + (_xlfn.STDEV.S( tabConsumo[[#This Row],[QTD.PENDENTE]]:tabConsumo[[#This Row],[09_23]] ) * 2)</f>
        <v>1292.4259577464711</v>
      </c>
      <c r="W541" s="221">
        <f xml:space="preserve"> tabConsumo[[#This Row],[Média.A]] + (_xlfn.STDEV.S( tabConsumo[[#This Row],[QTD.PENDENTE]]:tabConsumo[[#This Row],[09_23]] ) * 3)</f>
        <v>1657.3472699530398</v>
      </c>
      <c r="X541" s="5">
        <f t="shared" si="17"/>
        <v>2</v>
      </c>
      <c r="Y541">
        <v>562.58333333333337</v>
      </c>
      <c r="Z541" s="223">
        <f>SUM( tabConsumo[[#This Row],[QTD.PENDENTE]]:tabConsumo[[#This Row],[09_23]] )</f>
        <v>6751</v>
      </c>
      <c r="AA541" s="223">
        <f>LARGE(tabConsumo[[#This Row],[10_22]:[09_23]],1)</f>
        <v>1229</v>
      </c>
      <c r="AB541" s="146" t="s">
        <v>2241</v>
      </c>
      <c r="AC541" s="3" t="s">
        <v>2086</v>
      </c>
    </row>
    <row r="542" spans="1:29" x14ac:dyDescent="0.3">
      <c r="A542" s="4" t="s">
        <v>1548</v>
      </c>
      <c r="B542" s="3" t="s">
        <v>380</v>
      </c>
      <c r="C542" s="2">
        <v>93461</v>
      </c>
      <c r="D542" s="2">
        <v>0</v>
      </c>
      <c r="F542" s="2">
        <v>486</v>
      </c>
      <c r="G542" s="2">
        <v>576</v>
      </c>
      <c r="H542" s="2">
        <v>472</v>
      </c>
      <c r="I542" s="2">
        <v>270</v>
      </c>
      <c r="J542" s="2">
        <v>510</v>
      </c>
      <c r="K542" s="2">
        <v>1229</v>
      </c>
      <c r="L542" s="2">
        <v>649</v>
      </c>
      <c r="M542" s="2">
        <v>985</v>
      </c>
      <c r="N542" s="2">
        <v>850</v>
      </c>
      <c r="O542" s="2">
        <v>718</v>
      </c>
      <c r="P542" s="2">
        <v>786</v>
      </c>
      <c r="Q542" s="2">
        <v>520</v>
      </c>
      <c r="R542" s="238">
        <v>38930</v>
      </c>
      <c r="S542" s="219">
        <v>12</v>
      </c>
      <c r="T542" s="220">
        <f>SUM( tabConsumo[[#This Row],[QTD.PENDENTE]]:tabConsumo[[#This Row],[09_23]] ) / tabConsumo[[#This Row],[Div]]</f>
        <v>670.91666666666663</v>
      </c>
      <c r="U542" s="221">
        <f xml:space="preserve"> tabConsumo[[#This Row],[Média.A]] + (_xlfn.STDEV.S( tabConsumo[[#This Row],[QTD.PENDENTE]]:tabConsumo[[#This Row],[09_23]] ) * 1)</f>
        <v>932.08413586927804</v>
      </c>
      <c r="V542" s="221">
        <f xml:space="preserve"> tabConsumo[[#This Row],[Média.A]] + (_xlfn.STDEV.S( tabConsumo[[#This Row],[QTD.PENDENTE]]:tabConsumo[[#This Row],[09_23]] ) * 2)</f>
        <v>1193.2516050718896</v>
      </c>
      <c r="W542" s="221">
        <f xml:space="preserve"> tabConsumo[[#This Row],[Média.A]] + (_xlfn.STDEV.S( tabConsumo[[#This Row],[QTD.PENDENTE]]:tabConsumo[[#This Row],[09_23]] ) * 3)</f>
        <v>1454.4190742745009</v>
      </c>
      <c r="X542" s="5">
        <f t="shared" si="17"/>
        <v>2</v>
      </c>
      <c r="Y542">
        <v>667.91666666666663</v>
      </c>
      <c r="Z542" s="223">
        <f>SUM( tabConsumo[[#This Row],[QTD.PENDENTE]]:tabConsumo[[#This Row],[09_23]] )</f>
        <v>8051</v>
      </c>
      <c r="AA542" s="223">
        <f>LARGE(tabConsumo[[#This Row],[10_22]:[09_23]],1)</f>
        <v>1229</v>
      </c>
      <c r="AB542" s="146" t="s">
        <v>2238</v>
      </c>
      <c r="AC542" s="3" t="s">
        <v>2086</v>
      </c>
    </row>
    <row r="543" spans="1:29" x14ac:dyDescent="0.3">
      <c r="A543" s="4" t="s">
        <v>1549</v>
      </c>
      <c r="B543" s="3" t="s">
        <v>380</v>
      </c>
      <c r="C543" s="2">
        <v>93462</v>
      </c>
      <c r="D543" s="2">
        <v>0</v>
      </c>
      <c r="E543" s="2">
        <v>507</v>
      </c>
      <c r="F543" s="2">
        <v>480</v>
      </c>
      <c r="G543" s="2">
        <v>601</v>
      </c>
      <c r="H543" s="2">
        <v>505</v>
      </c>
      <c r="I543" s="2">
        <v>300</v>
      </c>
      <c r="J543" s="2">
        <v>500</v>
      </c>
      <c r="K543" s="2">
        <v>1233</v>
      </c>
      <c r="L543" s="2">
        <v>686</v>
      </c>
      <c r="M543" s="2">
        <v>1015</v>
      </c>
      <c r="N543" s="2">
        <v>343</v>
      </c>
      <c r="O543" s="2">
        <v>11</v>
      </c>
      <c r="P543" s="2">
        <v>0</v>
      </c>
      <c r="Q543" s="2">
        <v>0</v>
      </c>
      <c r="R543" s="238">
        <v>38930</v>
      </c>
      <c r="S543" s="219">
        <v>12</v>
      </c>
      <c r="T543" s="220">
        <f>SUM( tabConsumo[[#This Row],[QTD.PENDENTE]]:tabConsumo[[#This Row],[09_23]] ) / tabConsumo[[#This Row],[Div]]</f>
        <v>515.08333333333337</v>
      </c>
      <c r="U543" s="221">
        <f xml:space="preserve"> tabConsumo[[#This Row],[Média.A]] + (_xlfn.STDEV.S( tabConsumo[[#This Row],[QTD.PENDENTE]]:tabConsumo[[#This Row],[09_23]] ) * 1)</f>
        <v>885.18773648299771</v>
      </c>
      <c r="V543" s="221">
        <f xml:space="preserve"> tabConsumo[[#This Row],[Média.A]] + (_xlfn.STDEV.S( tabConsumo[[#This Row],[QTD.PENDENTE]]:tabConsumo[[#This Row],[09_23]] ) * 2)</f>
        <v>1255.2921396326619</v>
      </c>
      <c r="W543" s="221">
        <f xml:space="preserve"> tabConsumo[[#This Row],[Média.A]] + (_xlfn.STDEV.S( tabConsumo[[#This Row],[QTD.PENDENTE]]:tabConsumo[[#This Row],[09_23]] ) * 3)</f>
        <v>1625.3965427823264</v>
      </c>
      <c r="X543" s="5">
        <f t="shared" si="17"/>
        <v>2</v>
      </c>
      <c r="Y543">
        <v>515.08333333333337</v>
      </c>
      <c r="Z543" s="223">
        <f>SUM( tabConsumo[[#This Row],[QTD.PENDENTE]]:tabConsumo[[#This Row],[09_23]] )</f>
        <v>6181</v>
      </c>
      <c r="AA543" s="223">
        <f>LARGE(tabConsumo[[#This Row],[10_22]:[09_23]],1)</f>
        <v>1233</v>
      </c>
      <c r="AB543" s="146" t="s">
        <v>2239</v>
      </c>
      <c r="AC543" s="3" t="s">
        <v>2086</v>
      </c>
    </row>
    <row r="544" spans="1:29" x14ac:dyDescent="0.3">
      <c r="A544" s="4" t="s">
        <v>1741</v>
      </c>
      <c r="B544" s="3" t="s">
        <v>260</v>
      </c>
      <c r="C544" s="2">
        <v>119595</v>
      </c>
      <c r="D544" s="2">
        <v>311</v>
      </c>
      <c r="F544" s="2">
        <v>1</v>
      </c>
      <c r="G544" s="2">
        <v>6</v>
      </c>
      <c r="H544" s="2">
        <v>0</v>
      </c>
      <c r="I544" s="2">
        <v>2</v>
      </c>
      <c r="J544" s="2">
        <v>0</v>
      </c>
      <c r="K544" s="2">
        <v>12</v>
      </c>
      <c r="L544" s="2">
        <v>1</v>
      </c>
      <c r="M544" s="2">
        <v>6</v>
      </c>
      <c r="N544" s="2">
        <v>0</v>
      </c>
      <c r="O544" s="2">
        <v>1</v>
      </c>
      <c r="P544" s="2">
        <v>5</v>
      </c>
      <c r="Q544" s="2">
        <v>2</v>
      </c>
      <c r="R544" s="238">
        <v>40638</v>
      </c>
      <c r="S544" s="219">
        <v>12</v>
      </c>
      <c r="T544" s="220">
        <f>SUM( tabConsumo[[#This Row],[QTD.PENDENTE]]:tabConsumo[[#This Row],[09_23]] ) / tabConsumo[[#This Row],[Div]]</f>
        <v>3</v>
      </c>
      <c r="U544" s="221">
        <f xml:space="preserve"> tabConsumo[[#This Row],[Média.A]] + (_xlfn.STDEV.S( tabConsumo[[#This Row],[QTD.PENDENTE]]:tabConsumo[[#This Row],[09_23]] ) * 1)</f>
        <v>6.6181361349331631</v>
      </c>
      <c r="V544" s="221">
        <f xml:space="preserve"> tabConsumo[[#This Row],[Média.A]] + (_xlfn.STDEV.S( tabConsumo[[#This Row],[QTD.PENDENTE]]:tabConsumo[[#This Row],[09_23]] ) * 2)</f>
        <v>10.236272269866326</v>
      </c>
      <c r="W544" s="221">
        <f xml:space="preserve"> tabConsumo[[#This Row],[Média.A]] + (_xlfn.STDEV.S( tabConsumo[[#This Row],[QTD.PENDENTE]]:tabConsumo[[#This Row],[09_23]] ) * 3)</f>
        <v>13.854408404799491</v>
      </c>
      <c r="X544" s="5">
        <f t="shared" si="17"/>
        <v>2</v>
      </c>
      <c r="Y544">
        <v>2.8333333333333335</v>
      </c>
      <c r="Z544" s="223">
        <f>SUM( tabConsumo[[#This Row],[QTD.PENDENTE]]:tabConsumo[[#This Row],[09_23]] )</f>
        <v>36</v>
      </c>
      <c r="AA544" s="223">
        <f>LARGE(tabConsumo[[#This Row],[10_22]:[09_23]],1)</f>
        <v>12</v>
      </c>
      <c r="AB544" s="146" t="s">
        <v>2238</v>
      </c>
      <c r="AC544" s="3" t="s">
        <v>2086</v>
      </c>
    </row>
    <row r="545" spans="1:29" x14ac:dyDescent="0.3">
      <c r="A545" s="4" t="s">
        <v>1771</v>
      </c>
      <c r="B545" s="3" t="s">
        <v>260</v>
      </c>
      <c r="C545" s="2">
        <v>125641</v>
      </c>
      <c r="D545" s="2">
        <v>7202</v>
      </c>
      <c r="F545" s="2">
        <v>2817</v>
      </c>
      <c r="G545" s="2">
        <v>2906</v>
      </c>
      <c r="H545" s="2">
        <v>2268</v>
      </c>
      <c r="I545" s="2">
        <v>534</v>
      </c>
      <c r="J545" s="2">
        <v>2018</v>
      </c>
      <c r="K545" s="2">
        <v>3192</v>
      </c>
      <c r="L545" s="2">
        <v>2124</v>
      </c>
      <c r="M545" s="2">
        <v>2864</v>
      </c>
      <c r="N545" s="2">
        <v>2984</v>
      </c>
      <c r="O545" s="2">
        <v>3009</v>
      </c>
      <c r="P545" s="2">
        <v>3083</v>
      </c>
      <c r="Q545" s="2">
        <v>3098</v>
      </c>
      <c r="R545" s="238">
        <v>41439</v>
      </c>
      <c r="S545" s="219">
        <v>12</v>
      </c>
      <c r="T545" s="220">
        <f>SUM( tabConsumo[[#This Row],[QTD.PENDENTE]]:tabConsumo[[#This Row],[09_23]] ) / tabConsumo[[#This Row],[Div]]</f>
        <v>2574.75</v>
      </c>
      <c r="U545" s="221">
        <f xml:space="preserve"> tabConsumo[[#This Row],[Média.A]] + (_xlfn.STDEV.S( tabConsumo[[#This Row],[QTD.PENDENTE]]:tabConsumo[[#This Row],[09_23]] ) * 1)</f>
        <v>3331.1255831115072</v>
      </c>
      <c r="V545" s="221">
        <f xml:space="preserve"> tabConsumo[[#This Row],[Média.A]] + (_xlfn.STDEV.S( tabConsumo[[#This Row],[QTD.PENDENTE]]:tabConsumo[[#This Row],[09_23]] ) * 2)</f>
        <v>4087.5011662230145</v>
      </c>
      <c r="W545" s="221">
        <f xml:space="preserve"> tabConsumo[[#This Row],[Média.A]] + (_xlfn.STDEV.S( tabConsumo[[#This Row],[QTD.PENDENTE]]:tabConsumo[[#This Row],[09_23]] ) * 3)</f>
        <v>4843.8767493345222</v>
      </c>
      <c r="X545" s="5">
        <f t="shared" si="17"/>
        <v>2</v>
      </c>
      <c r="Y545">
        <v>2574.75</v>
      </c>
      <c r="Z545" s="223">
        <f>SUM( tabConsumo[[#This Row],[QTD.PENDENTE]]:tabConsumo[[#This Row],[09_23]] )</f>
        <v>30897</v>
      </c>
      <c r="AA545" s="223">
        <f>LARGE(tabConsumo[[#This Row],[10_22]:[09_23]],1)</f>
        <v>3192</v>
      </c>
      <c r="AB545" s="146" t="s">
        <v>2238</v>
      </c>
      <c r="AC545" s="3" t="s">
        <v>2086</v>
      </c>
    </row>
    <row r="546" spans="1:29" x14ac:dyDescent="0.3">
      <c r="A546" s="4" t="s">
        <v>1954</v>
      </c>
      <c r="B546" s="3" t="s">
        <v>393</v>
      </c>
      <c r="C546" s="2">
        <v>136941</v>
      </c>
      <c r="D546" s="2">
        <v>131</v>
      </c>
      <c r="E546" s="2">
        <v>2</v>
      </c>
      <c r="F546" s="2">
        <v>89</v>
      </c>
      <c r="G546" s="2">
        <v>98</v>
      </c>
      <c r="H546" s="2">
        <v>64</v>
      </c>
      <c r="I546" s="2">
        <v>38</v>
      </c>
      <c r="J546" s="2">
        <v>64</v>
      </c>
      <c r="K546" s="2">
        <v>186</v>
      </c>
      <c r="L546" s="2">
        <v>108</v>
      </c>
      <c r="M546" s="2">
        <v>136</v>
      </c>
      <c r="N546" s="2">
        <v>159</v>
      </c>
      <c r="O546" s="2">
        <v>119</v>
      </c>
      <c r="P546" s="2">
        <v>124</v>
      </c>
      <c r="Q546" s="2">
        <v>108</v>
      </c>
      <c r="R546" s="238">
        <v>43606</v>
      </c>
      <c r="S546" s="219">
        <v>12</v>
      </c>
      <c r="T546" s="220">
        <f>SUM( tabConsumo[[#This Row],[QTD.PENDENTE]]:tabConsumo[[#This Row],[09_23]] ) / tabConsumo[[#This Row],[Div]]</f>
        <v>107.91666666666667</v>
      </c>
      <c r="U546" s="221">
        <f xml:space="preserve"> tabConsumo[[#This Row],[Média.A]] + (_xlfn.STDEV.S( tabConsumo[[#This Row],[QTD.PENDENTE]]:tabConsumo[[#This Row],[09_23]] ) * 1)</f>
        <v>157.41504788857881</v>
      </c>
      <c r="V546" s="221">
        <f xml:space="preserve"> tabConsumo[[#This Row],[Média.A]] + (_xlfn.STDEV.S( tabConsumo[[#This Row],[QTD.PENDENTE]]:tabConsumo[[#This Row],[09_23]] ) * 2)</f>
        <v>206.91342911049094</v>
      </c>
      <c r="W546" s="221">
        <f xml:space="preserve"> tabConsumo[[#This Row],[Média.A]] + (_xlfn.STDEV.S( tabConsumo[[#This Row],[QTD.PENDENTE]]:tabConsumo[[#This Row],[09_23]] ) * 3)</f>
        <v>256.41181033240309</v>
      </c>
      <c r="X546" s="5">
        <f t="shared" si="17"/>
        <v>2</v>
      </c>
      <c r="Y546">
        <v>107.91666666666667</v>
      </c>
      <c r="Z546" s="223">
        <f>SUM( tabConsumo[[#This Row],[QTD.PENDENTE]]:tabConsumo[[#This Row],[09_23]] )</f>
        <v>1295</v>
      </c>
      <c r="AA546" s="223">
        <f>LARGE(tabConsumo[[#This Row],[10_22]:[09_23]],1)</f>
        <v>186</v>
      </c>
      <c r="AB546" s="146" t="s">
        <v>2238</v>
      </c>
      <c r="AC546" s="3" t="s">
        <v>2086</v>
      </c>
    </row>
    <row r="547" spans="1:29" x14ac:dyDescent="0.3">
      <c r="A547" s="4" t="s">
        <v>1365</v>
      </c>
      <c r="B547" s="3" t="s">
        <v>380</v>
      </c>
      <c r="C547" s="2">
        <v>63591</v>
      </c>
      <c r="D547" s="2">
        <v>0</v>
      </c>
      <c r="E547" s="2">
        <v>80</v>
      </c>
      <c r="F547" s="2">
        <v>431</v>
      </c>
      <c r="G547" s="2">
        <v>473</v>
      </c>
      <c r="H547" s="2">
        <v>410</v>
      </c>
      <c r="I547" s="2">
        <v>350</v>
      </c>
      <c r="J547" s="2">
        <v>445</v>
      </c>
      <c r="K547" s="2">
        <v>1399</v>
      </c>
      <c r="L547" s="2">
        <v>808</v>
      </c>
      <c r="M547" s="2">
        <v>851</v>
      </c>
      <c r="N547" s="2">
        <v>808</v>
      </c>
      <c r="O547" s="2">
        <v>819</v>
      </c>
      <c r="P547" s="2">
        <v>904</v>
      </c>
      <c r="Q547" s="2">
        <v>656</v>
      </c>
      <c r="R547" s="238">
        <v>367</v>
      </c>
      <c r="S547" s="219">
        <f t="shared" ref="S547:S555" si="19" xml:space="preserve"> 12</f>
        <v>12</v>
      </c>
      <c r="T547" s="220">
        <f>SUM( tabConsumo[[#This Row],[QTD.PENDENTE]]:tabConsumo[[#This Row],[09_23]] ) / tabConsumo[[#This Row],[Div]]</f>
        <v>702.83333333333337</v>
      </c>
      <c r="U547" s="221">
        <f xml:space="preserve"> tabConsumo[[#This Row],[Média.A]] + (_xlfn.STDEV.S( tabConsumo[[#This Row],[QTD.PENDENTE]]:tabConsumo[[#This Row],[09_23]] ) * 1)</f>
        <v>1036.7792256188336</v>
      </c>
      <c r="V547" s="221">
        <f xml:space="preserve"> tabConsumo[[#This Row],[Média.A]] + (_xlfn.STDEV.S( tabConsumo[[#This Row],[QTD.PENDENTE]]:tabConsumo[[#This Row],[09_23]] ) * 2)</f>
        <v>1370.7251179043342</v>
      </c>
      <c r="W547" s="221">
        <f xml:space="preserve"> tabConsumo[[#This Row],[Média.A]] + (_xlfn.STDEV.S( tabConsumo[[#This Row],[QTD.PENDENTE]]:tabConsumo[[#This Row],[09_23]] ) * 3)</f>
        <v>1704.6710101898343</v>
      </c>
      <c r="X547" s="5">
        <f t="shared" si="17"/>
        <v>2</v>
      </c>
      <c r="Y547">
        <v>700.41666666666663</v>
      </c>
      <c r="Z547" s="223">
        <f>SUM( tabConsumo[[#This Row],[QTD.PENDENTE]]:tabConsumo[[#This Row],[09_23]] )</f>
        <v>8434</v>
      </c>
      <c r="AA547" s="223">
        <f>LARGE(tabConsumo[[#This Row],[10_22]:[09_23]],1)</f>
        <v>1399</v>
      </c>
      <c r="AB547" s="146" t="s">
        <v>2238</v>
      </c>
      <c r="AC547" s="3" t="s">
        <v>2086</v>
      </c>
    </row>
    <row r="548" spans="1:29" x14ac:dyDescent="0.3">
      <c r="A548" s="4" t="s">
        <v>1221</v>
      </c>
      <c r="B548" s="3" t="s">
        <v>380</v>
      </c>
      <c r="C548" s="2">
        <v>27138</v>
      </c>
      <c r="D548" s="2">
        <v>7421</v>
      </c>
      <c r="F548" s="2">
        <v>421</v>
      </c>
      <c r="G548" s="2">
        <v>490</v>
      </c>
      <c r="H548" s="2">
        <v>347</v>
      </c>
      <c r="I548" s="2">
        <v>205</v>
      </c>
      <c r="J548" s="2">
        <v>415</v>
      </c>
      <c r="K548" s="2">
        <v>845</v>
      </c>
      <c r="L548" s="2">
        <v>460</v>
      </c>
      <c r="M548" s="2">
        <v>645</v>
      </c>
      <c r="N548" s="2">
        <v>625</v>
      </c>
      <c r="O548" s="2">
        <v>533</v>
      </c>
      <c r="P548" s="2">
        <v>676</v>
      </c>
      <c r="Q548" s="2">
        <v>486</v>
      </c>
      <c r="R548" s="238">
        <v>367</v>
      </c>
      <c r="S548" s="219">
        <f t="shared" si="19"/>
        <v>12</v>
      </c>
      <c r="T548" s="220">
        <f>SUM( tabConsumo[[#This Row],[QTD.PENDENTE]]:tabConsumo[[#This Row],[09_23]] ) / tabConsumo[[#This Row],[Div]]</f>
        <v>512.33333333333337</v>
      </c>
      <c r="U548" s="221">
        <f xml:space="preserve"> tabConsumo[[#This Row],[Média.A]] + (_xlfn.STDEV.S( tabConsumo[[#This Row],[QTD.PENDENTE]]:tabConsumo[[#This Row],[09_23]] ) * 1)</f>
        <v>680.67029699055661</v>
      </c>
      <c r="V548" s="221">
        <f xml:space="preserve"> tabConsumo[[#This Row],[Média.A]] + (_xlfn.STDEV.S( tabConsumo[[#This Row],[QTD.PENDENTE]]:tabConsumo[[#This Row],[09_23]] ) * 2)</f>
        <v>849.00726064777996</v>
      </c>
      <c r="W548" s="221">
        <f xml:space="preserve"> tabConsumo[[#This Row],[Média.A]] + (_xlfn.STDEV.S( tabConsumo[[#This Row],[QTD.PENDENTE]]:tabConsumo[[#This Row],[09_23]] ) * 3)</f>
        <v>1017.3442243050033</v>
      </c>
      <c r="X548" s="5">
        <f t="shared" si="17"/>
        <v>2</v>
      </c>
      <c r="Y548">
        <v>512.33333333333337</v>
      </c>
      <c r="Z548" s="223">
        <f>SUM( tabConsumo[[#This Row],[QTD.PENDENTE]]:tabConsumo[[#This Row],[09_23]] )</f>
        <v>6148</v>
      </c>
      <c r="AA548" s="223">
        <f>LARGE(tabConsumo[[#This Row],[10_22]:[09_23]],1)</f>
        <v>845</v>
      </c>
      <c r="AB548" s="146" t="s">
        <v>2238</v>
      </c>
      <c r="AC548" s="3" t="s">
        <v>2086</v>
      </c>
    </row>
    <row r="549" spans="1:29" x14ac:dyDescent="0.3">
      <c r="A549" s="4" t="s">
        <v>1206</v>
      </c>
      <c r="B549" s="3" t="s">
        <v>380</v>
      </c>
      <c r="C549" s="2">
        <v>25559</v>
      </c>
      <c r="D549" s="2">
        <v>3616</v>
      </c>
      <c r="F549" s="2">
        <v>571</v>
      </c>
      <c r="G549" s="2">
        <v>674</v>
      </c>
      <c r="H549" s="2">
        <v>393</v>
      </c>
      <c r="I549" s="2">
        <v>220</v>
      </c>
      <c r="J549" s="2">
        <v>417</v>
      </c>
      <c r="K549" s="2">
        <v>965</v>
      </c>
      <c r="L549" s="2">
        <v>505</v>
      </c>
      <c r="M549" s="2">
        <v>720</v>
      </c>
      <c r="N549" s="2">
        <v>668</v>
      </c>
      <c r="O549" s="2">
        <v>608</v>
      </c>
      <c r="P549" s="2">
        <v>666</v>
      </c>
      <c r="Q549" s="2">
        <v>515</v>
      </c>
      <c r="R549" s="238">
        <v>367</v>
      </c>
      <c r="S549" s="219">
        <f t="shared" si="19"/>
        <v>12</v>
      </c>
      <c r="T549" s="220">
        <f>SUM( tabConsumo[[#This Row],[QTD.PENDENTE]]:tabConsumo[[#This Row],[09_23]] ) / tabConsumo[[#This Row],[Div]]</f>
        <v>576.83333333333337</v>
      </c>
      <c r="U549" s="221">
        <f xml:space="preserve"> tabConsumo[[#This Row],[Média.A]] + (_xlfn.STDEV.S( tabConsumo[[#This Row],[QTD.PENDENTE]]:tabConsumo[[#This Row],[09_23]] ) * 1)</f>
        <v>765.97821927738391</v>
      </c>
      <c r="V549" s="221">
        <f xml:space="preserve"> tabConsumo[[#This Row],[Média.A]] + (_xlfn.STDEV.S( tabConsumo[[#This Row],[QTD.PENDENTE]]:tabConsumo[[#This Row],[09_23]] ) * 2)</f>
        <v>955.12310522143434</v>
      </c>
      <c r="W549" s="221">
        <f xml:space="preserve"> tabConsumo[[#This Row],[Média.A]] + (_xlfn.STDEV.S( tabConsumo[[#This Row],[QTD.PENDENTE]]:tabConsumo[[#This Row],[09_23]] ) * 3)</f>
        <v>1144.267991165485</v>
      </c>
      <c r="X549" s="5">
        <f t="shared" si="17"/>
        <v>2</v>
      </c>
      <c r="Y549">
        <v>576</v>
      </c>
      <c r="Z549" s="223">
        <f>SUM( tabConsumo[[#This Row],[QTD.PENDENTE]]:tabConsumo[[#This Row],[09_23]] )</f>
        <v>6922</v>
      </c>
      <c r="AA549" s="223">
        <f>LARGE(tabConsumo[[#This Row],[10_22]:[09_23]],1)</f>
        <v>965</v>
      </c>
      <c r="AB549" s="146" t="s">
        <v>2238</v>
      </c>
      <c r="AC549" s="3" t="s">
        <v>2086</v>
      </c>
    </row>
    <row r="550" spans="1:29" x14ac:dyDescent="0.3">
      <c r="A550" s="4" t="s">
        <v>1223</v>
      </c>
      <c r="B550" s="3" t="s">
        <v>380</v>
      </c>
      <c r="C550" s="2">
        <v>27140</v>
      </c>
      <c r="D550" s="2">
        <v>3439</v>
      </c>
      <c r="F550" s="2">
        <v>551</v>
      </c>
      <c r="G550" s="2">
        <v>690</v>
      </c>
      <c r="H550" s="2">
        <v>409</v>
      </c>
      <c r="I550" s="2">
        <v>200</v>
      </c>
      <c r="J550" s="2">
        <v>447</v>
      </c>
      <c r="K550" s="2">
        <v>945</v>
      </c>
      <c r="L550" s="2">
        <v>475</v>
      </c>
      <c r="M550" s="2">
        <v>735</v>
      </c>
      <c r="N550" s="2">
        <v>692</v>
      </c>
      <c r="O550" s="2">
        <v>578</v>
      </c>
      <c r="P550" s="2">
        <v>676</v>
      </c>
      <c r="Q550" s="2">
        <v>540</v>
      </c>
      <c r="R550" s="238">
        <v>367</v>
      </c>
      <c r="S550" s="219">
        <f t="shared" si="19"/>
        <v>12</v>
      </c>
      <c r="T550" s="220">
        <f>SUM( tabConsumo[[#This Row],[QTD.PENDENTE]]:tabConsumo[[#This Row],[09_23]] ) / tabConsumo[[#This Row],[Div]]</f>
        <v>578.16666666666663</v>
      </c>
      <c r="U550" s="221">
        <f xml:space="preserve"> tabConsumo[[#This Row],[Média.A]] + (_xlfn.STDEV.S( tabConsumo[[#This Row],[QTD.PENDENTE]]:tabConsumo[[#This Row],[09_23]] ) * 1)</f>
        <v>767.87210020812188</v>
      </c>
      <c r="V550" s="221">
        <f xml:space="preserve"> tabConsumo[[#This Row],[Média.A]] + (_xlfn.STDEV.S( tabConsumo[[#This Row],[QTD.PENDENTE]]:tabConsumo[[#This Row],[09_23]] ) * 2)</f>
        <v>957.57753374957713</v>
      </c>
      <c r="W550" s="221">
        <f xml:space="preserve"> tabConsumo[[#This Row],[Média.A]] + (_xlfn.STDEV.S( tabConsumo[[#This Row],[QTD.PENDENTE]]:tabConsumo[[#This Row],[09_23]] ) * 3)</f>
        <v>1147.2829672910325</v>
      </c>
      <c r="X550" s="5">
        <f t="shared" si="17"/>
        <v>2</v>
      </c>
      <c r="Y550">
        <v>578.16666666666663</v>
      </c>
      <c r="Z550" s="223">
        <f>SUM( tabConsumo[[#This Row],[QTD.PENDENTE]]:tabConsumo[[#This Row],[09_23]] )</f>
        <v>6938</v>
      </c>
      <c r="AA550" s="223">
        <f>LARGE(tabConsumo[[#This Row],[10_22]:[09_23]],1)</f>
        <v>945</v>
      </c>
      <c r="AB550" s="146" t="s">
        <v>2238</v>
      </c>
      <c r="AC550" s="3" t="s">
        <v>2086</v>
      </c>
    </row>
    <row r="551" spans="1:29" x14ac:dyDescent="0.3">
      <c r="A551" s="4" t="s">
        <v>1220</v>
      </c>
      <c r="B551" s="3" t="s">
        <v>380</v>
      </c>
      <c r="C551" s="2">
        <v>27137</v>
      </c>
      <c r="D551" s="2">
        <v>8590</v>
      </c>
      <c r="F551" s="2">
        <v>376</v>
      </c>
      <c r="G551" s="2">
        <v>545</v>
      </c>
      <c r="H551" s="2">
        <v>351</v>
      </c>
      <c r="I551" s="2">
        <v>195</v>
      </c>
      <c r="J551" s="2">
        <v>375</v>
      </c>
      <c r="K551" s="2">
        <v>875</v>
      </c>
      <c r="L551" s="2">
        <v>430</v>
      </c>
      <c r="M551" s="2">
        <v>595</v>
      </c>
      <c r="N551" s="2">
        <v>585</v>
      </c>
      <c r="O551" s="2">
        <v>565</v>
      </c>
      <c r="P551" s="2">
        <v>596</v>
      </c>
      <c r="Q551" s="2">
        <v>450</v>
      </c>
      <c r="R551" s="238">
        <v>367</v>
      </c>
      <c r="S551" s="219">
        <f t="shared" si="19"/>
        <v>12</v>
      </c>
      <c r="T551" s="220">
        <f>SUM( tabConsumo[[#This Row],[QTD.PENDENTE]]:tabConsumo[[#This Row],[09_23]] ) / tabConsumo[[#This Row],[Div]]</f>
        <v>494.83333333333331</v>
      </c>
      <c r="U551" s="221">
        <f xml:space="preserve"> tabConsumo[[#This Row],[Média.A]] + (_xlfn.STDEV.S( tabConsumo[[#This Row],[QTD.PENDENTE]]:tabConsumo[[#This Row],[09_23]] ) * 1)</f>
        <v>666.89243170750626</v>
      </c>
      <c r="V551" s="221">
        <f xml:space="preserve"> tabConsumo[[#This Row],[Média.A]] + (_xlfn.STDEV.S( tabConsumo[[#This Row],[QTD.PENDENTE]]:tabConsumo[[#This Row],[09_23]] ) * 2)</f>
        <v>838.95153008167915</v>
      </c>
      <c r="W551" s="221">
        <f xml:space="preserve"> tabConsumo[[#This Row],[Média.A]] + (_xlfn.STDEV.S( tabConsumo[[#This Row],[QTD.PENDENTE]]:tabConsumo[[#This Row],[09_23]] ) * 3)</f>
        <v>1011.0106284558522</v>
      </c>
      <c r="X551" s="5">
        <f t="shared" si="17"/>
        <v>2</v>
      </c>
      <c r="Y551">
        <v>491.75</v>
      </c>
      <c r="Z551" s="223">
        <f>SUM( tabConsumo[[#This Row],[QTD.PENDENTE]]:tabConsumo[[#This Row],[09_23]] )</f>
        <v>5938</v>
      </c>
      <c r="AA551" s="223">
        <f>LARGE(tabConsumo[[#This Row],[10_22]:[09_23]],1)</f>
        <v>875</v>
      </c>
      <c r="AB551" s="146" t="s">
        <v>2238</v>
      </c>
      <c r="AC551" s="3" t="s">
        <v>2086</v>
      </c>
    </row>
    <row r="552" spans="1:29" x14ac:dyDescent="0.3">
      <c r="A552" s="4" t="s">
        <v>1222</v>
      </c>
      <c r="B552" s="3" t="s">
        <v>380</v>
      </c>
      <c r="C552" s="2">
        <v>27139</v>
      </c>
      <c r="D552" s="2">
        <v>7258</v>
      </c>
      <c r="F552" s="2">
        <v>416</v>
      </c>
      <c r="G552" s="2">
        <v>570</v>
      </c>
      <c r="H552" s="2">
        <v>352</v>
      </c>
      <c r="I552" s="2">
        <v>170</v>
      </c>
      <c r="J552" s="2">
        <v>385</v>
      </c>
      <c r="K552" s="2">
        <v>840</v>
      </c>
      <c r="L552" s="2">
        <v>420</v>
      </c>
      <c r="M552" s="2">
        <v>612</v>
      </c>
      <c r="N552" s="2">
        <v>600</v>
      </c>
      <c r="O552" s="2">
        <v>558</v>
      </c>
      <c r="P552" s="2">
        <v>631</v>
      </c>
      <c r="Q552" s="2">
        <v>435</v>
      </c>
      <c r="R552" s="238">
        <v>367</v>
      </c>
      <c r="S552" s="219">
        <f t="shared" si="19"/>
        <v>12</v>
      </c>
      <c r="T552" s="220">
        <f>SUM( tabConsumo[[#This Row],[QTD.PENDENTE]]:tabConsumo[[#This Row],[09_23]] ) / tabConsumo[[#This Row],[Div]]</f>
        <v>499.08333333333331</v>
      </c>
      <c r="U552" s="221">
        <f xml:space="preserve"> tabConsumo[[#This Row],[Média.A]] + (_xlfn.STDEV.S( tabConsumo[[#This Row],[QTD.PENDENTE]]:tabConsumo[[#This Row],[09_23]] ) * 1)</f>
        <v>671.04234448177965</v>
      </c>
      <c r="V552" s="221">
        <f xml:space="preserve"> tabConsumo[[#This Row],[Média.A]] + (_xlfn.STDEV.S( tabConsumo[[#This Row],[QTD.PENDENTE]]:tabConsumo[[#This Row],[09_23]] ) * 2)</f>
        <v>843.00135563022604</v>
      </c>
      <c r="W552" s="221">
        <f xml:space="preserve"> tabConsumo[[#This Row],[Média.A]] + (_xlfn.STDEV.S( tabConsumo[[#This Row],[QTD.PENDENTE]]:tabConsumo[[#This Row],[09_23]] ) * 3)</f>
        <v>1014.9603667786723</v>
      </c>
      <c r="X552" s="5">
        <f t="shared" si="17"/>
        <v>2</v>
      </c>
      <c r="Y552">
        <v>499.08333333333331</v>
      </c>
      <c r="Z552" s="223">
        <f>SUM( tabConsumo[[#This Row],[QTD.PENDENTE]]:tabConsumo[[#This Row],[09_23]] )</f>
        <v>5989</v>
      </c>
      <c r="AA552" s="223">
        <f>LARGE(tabConsumo[[#This Row],[10_22]:[09_23]],1)</f>
        <v>840</v>
      </c>
      <c r="AB552" s="146" t="s">
        <v>2238</v>
      </c>
      <c r="AC552" s="3" t="s">
        <v>2086</v>
      </c>
    </row>
    <row r="553" spans="1:29" x14ac:dyDescent="0.3">
      <c r="A553" s="4" t="s">
        <v>1127</v>
      </c>
      <c r="B553" s="3" t="s">
        <v>267</v>
      </c>
      <c r="C553" s="2">
        <v>17299</v>
      </c>
      <c r="D553" s="2">
        <v>22</v>
      </c>
      <c r="F553" s="2">
        <v>0</v>
      </c>
      <c r="G553" s="2">
        <v>0</v>
      </c>
      <c r="H553" s="2">
        <v>0</v>
      </c>
      <c r="I553" s="2">
        <v>0</v>
      </c>
      <c r="J553" s="2">
        <v>0</v>
      </c>
      <c r="K553" s="2">
        <v>0</v>
      </c>
      <c r="L553" s="2">
        <v>0</v>
      </c>
      <c r="M553" s="2">
        <v>0</v>
      </c>
      <c r="N553" s="2">
        <v>0</v>
      </c>
      <c r="O553" s="2">
        <v>0</v>
      </c>
      <c r="P553" s="2">
        <v>1</v>
      </c>
      <c r="Q553" s="2">
        <v>20</v>
      </c>
      <c r="R553" s="238">
        <v>367</v>
      </c>
      <c r="S553" s="219">
        <f t="shared" si="19"/>
        <v>12</v>
      </c>
      <c r="T553" s="220">
        <f>SUM( tabConsumo[[#This Row],[QTD.PENDENTE]]:tabConsumo[[#This Row],[09_23]] ) / tabConsumo[[#This Row],[Div]]</f>
        <v>1.75</v>
      </c>
      <c r="U553" s="221">
        <f xml:space="preserve"> tabConsumo[[#This Row],[Média.A]] + (_xlfn.STDEV.S( tabConsumo[[#This Row],[QTD.PENDENTE]]:tabConsumo[[#This Row],[09_23]] ) * 1)</f>
        <v>7.5044449222871501</v>
      </c>
      <c r="V553" s="221">
        <f xml:space="preserve"> tabConsumo[[#This Row],[Média.A]] + (_xlfn.STDEV.S( tabConsumo[[#This Row],[QTD.PENDENTE]]:tabConsumo[[#This Row],[09_23]] ) * 2)</f>
        <v>13.2588898445743</v>
      </c>
      <c r="W553" s="221">
        <f xml:space="preserve"> tabConsumo[[#This Row],[Média.A]] + (_xlfn.STDEV.S( tabConsumo[[#This Row],[QTD.PENDENTE]]:tabConsumo[[#This Row],[09_23]] ) * 3)</f>
        <v>19.013334766861451</v>
      </c>
      <c r="X553" s="5">
        <f t="shared" si="17"/>
        <v>2</v>
      </c>
      <c r="Y553">
        <v>1.1666666666666667</v>
      </c>
      <c r="Z553" s="223">
        <f>SUM( tabConsumo[[#This Row],[QTD.PENDENTE]]:tabConsumo[[#This Row],[09_23]] )</f>
        <v>21</v>
      </c>
      <c r="AA553" s="223">
        <f>LARGE(tabConsumo[[#This Row],[10_22]:[09_23]],1)</f>
        <v>20</v>
      </c>
      <c r="AB553" s="146" t="s">
        <v>2238</v>
      </c>
      <c r="AC553" s="3" t="s">
        <v>2086</v>
      </c>
    </row>
    <row r="554" spans="1:29" x14ac:dyDescent="0.3">
      <c r="A554" s="4" t="s">
        <v>945</v>
      </c>
      <c r="B554" s="3" t="s">
        <v>900</v>
      </c>
      <c r="C554" s="2">
        <v>12616</v>
      </c>
      <c r="D554" s="2">
        <v>22365</v>
      </c>
      <c r="E554" s="2">
        <v>288</v>
      </c>
      <c r="F554" s="2">
        <v>4432</v>
      </c>
      <c r="G554" s="2">
        <v>4546</v>
      </c>
      <c r="H554" s="2">
        <v>2706</v>
      </c>
      <c r="I554" s="2">
        <v>1767</v>
      </c>
      <c r="J554" s="2">
        <v>3874</v>
      </c>
      <c r="K554" s="2">
        <v>8557</v>
      </c>
      <c r="L554" s="2">
        <v>5024</v>
      </c>
      <c r="M554" s="2">
        <v>5199</v>
      </c>
      <c r="N554" s="2">
        <v>5086</v>
      </c>
      <c r="O554" s="2">
        <v>4337</v>
      </c>
      <c r="P554" s="2">
        <v>5298</v>
      </c>
      <c r="Q554" s="2">
        <v>4884</v>
      </c>
      <c r="R554" s="238">
        <v>367</v>
      </c>
      <c r="S554" s="219">
        <f t="shared" si="19"/>
        <v>12</v>
      </c>
      <c r="T554" s="220">
        <f>SUM( tabConsumo[[#This Row],[QTD.PENDENTE]]:tabConsumo[[#This Row],[09_23]] ) / tabConsumo[[#This Row],[Div]]</f>
        <v>4666.5</v>
      </c>
      <c r="U554" s="221">
        <f xml:space="preserve"> tabConsumo[[#This Row],[Média.A]] + (_xlfn.STDEV.S( tabConsumo[[#This Row],[QTD.PENDENTE]]:tabConsumo[[#This Row],[09_23]] ) * 1)</f>
        <v>6639.7037661032628</v>
      </c>
      <c r="V554" s="221">
        <f xml:space="preserve"> tabConsumo[[#This Row],[Média.A]] + (_xlfn.STDEV.S( tabConsumo[[#This Row],[QTD.PENDENTE]]:tabConsumo[[#This Row],[09_23]] ) * 2)</f>
        <v>8612.9075322065255</v>
      </c>
      <c r="W554" s="221">
        <f xml:space="preserve"> tabConsumo[[#This Row],[Média.A]] + (_xlfn.STDEV.S( tabConsumo[[#This Row],[QTD.PENDENTE]]:tabConsumo[[#This Row],[09_23]] ) * 3)</f>
        <v>10586.11129830979</v>
      </c>
      <c r="X554" s="5">
        <f t="shared" si="17"/>
        <v>2</v>
      </c>
      <c r="Y554">
        <v>4666.5</v>
      </c>
      <c r="Z554" s="223">
        <f>SUM( tabConsumo[[#This Row],[QTD.PENDENTE]]:tabConsumo[[#This Row],[09_23]] )</f>
        <v>55998</v>
      </c>
      <c r="AA554" s="223">
        <f>LARGE(tabConsumo[[#This Row],[10_22]:[09_23]],1)</f>
        <v>8557</v>
      </c>
      <c r="AB554" s="146" t="s">
        <v>2238</v>
      </c>
      <c r="AC554" s="3" t="s">
        <v>2086</v>
      </c>
    </row>
    <row r="555" spans="1:29" x14ac:dyDescent="0.3">
      <c r="A555" s="4" t="s">
        <v>899</v>
      </c>
      <c r="B555" s="3" t="s">
        <v>900</v>
      </c>
      <c r="C555" s="2">
        <v>10302</v>
      </c>
      <c r="D555" s="2">
        <v>7683</v>
      </c>
      <c r="E555" s="2">
        <v>24</v>
      </c>
      <c r="F555" s="2">
        <v>139</v>
      </c>
      <c r="G555" s="2">
        <v>126</v>
      </c>
      <c r="H555" s="2">
        <v>93</v>
      </c>
      <c r="I555" s="2">
        <v>46</v>
      </c>
      <c r="J555" s="2">
        <v>150</v>
      </c>
      <c r="K555" s="2">
        <v>1839</v>
      </c>
      <c r="L555" s="2">
        <v>210</v>
      </c>
      <c r="M555" s="2">
        <v>232</v>
      </c>
      <c r="N555" s="2">
        <v>184</v>
      </c>
      <c r="O555" s="2">
        <v>149</v>
      </c>
      <c r="P555" s="2">
        <v>180</v>
      </c>
      <c r="Q555" s="2">
        <v>185</v>
      </c>
      <c r="R555" s="238">
        <v>367</v>
      </c>
      <c r="S555" s="219">
        <f t="shared" si="19"/>
        <v>12</v>
      </c>
      <c r="T555" s="220">
        <f>SUM( tabConsumo[[#This Row],[QTD.PENDENTE]]:tabConsumo[[#This Row],[09_23]] ) / tabConsumo[[#This Row],[Div]]</f>
        <v>296.41666666666669</v>
      </c>
      <c r="U555" s="221">
        <f xml:space="preserve"> tabConsumo[[#This Row],[Média.A]] + (_xlfn.STDEV.S( tabConsumo[[#This Row],[QTD.PENDENTE]]:tabConsumo[[#This Row],[09_23]] ) * 1)</f>
        <v>770.61028718848456</v>
      </c>
      <c r="V555" s="221">
        <f xml:space="preserve"> tabConsumo[[#This Row],[Média.A]] + (_xlfn.STDEV.S( tabConsumo[[#This Row],[QTD.PENDENTE]]:tabConsumo[[#This Row],[09_23]] ) * 2)</f>
        <v>1244.8039077103024</v>
      </c>
      <c r="W555" s="221">
        <f xml:space="preserve"> tabConsumo[[#This Row],[Média.A]] + (_xlfn.STDEV.S( tabConsumo[[#This Row],[QTD.PENDENTE]]:tabConsumo[[#This Row],[09_23]] ) * 3)</f>
        <v>1718.9975282321202</v>
      </c>
      <c r="X555" s="5">
        <f t="shared" si="17"/>
        <v>2</v>
      </c>
      <c r="Y555">
        <v>246.83333333333334</v>
      </c>
      <c r="Z555" s="223">
        <f>SUM( tabConsumo[[#This Row],[QTD.PENDENTE]]:tabConsumo[[#This Row],[09_23]] )</f>
        <v>3557</v>
      </c>
      <c r="AA555" s="223">
        <f>LARGE(tabConsumo[[#This Row],[10_22]:[09_23]],1)</f>
        <v>1839</v>
      </c>
      <c r="AB555" s="146" t="s">
        <v>2238</v>
      </c>
      <c r="AC555" s="3" t="s">
        <v>2086</v>
      </c>
    </row>
    <row r="556" spans="1:29" x14ac:dyDescent="0.3">
      <c r="A556" s="4" t="s">
        <v>1831</v>
      </c>
      <c r="B556" s="3" t="s">
        <v>1343</v>
      </c>
      <c r="C556" s="2">
        <v>132303</v>
      </c>
      <c r="D556" s="2">
        <v>6841</v>
      </c>
      <c r="E556" s="2">
        <v>20</v>
      </c>
      <c r="F556" s="2">
        <v>1104</v>
      </c>
      <c r="G556" s="2">
        <v>1208</v>
      </c>
      <c r="H556" s="2">
        <v>857</v>
      </c>
      <c r="I556" s="2">
        <v>400</v>
      </c>
      <c r="J556" s="2">
        <v>705</v>
      </c>
      <c r="K556" s="2">
        <v>9277</v>
      </c>
      <c r="L556" s="2">
        <v>1017</v>
      </c>
      <c r="M556" s="2">
        <v>1125</v>
      </c>
      <c r="N556" s="2">
        <v>1039</v>
      </c>
      <c r="O556" s="2">
        <v>840</v>
      </c>
      <c r="P556" s="2">
        <v>2089</v>
      </c>
      <c r="Q556" s="2">
        <v>1193</v>
      </c>
      <c r="R556" s="238">
        <v>42685</v>
      </c>
      <c r="S556" s="219">
        <v>12</v>
      </c>
      <c r="T556" s="220">
        <f>SUM( tabConsumo[[#This Row],[QTD.PENDENTE]]:tabConsumo[[#This Row],[09_23]] ) / tabConsumo[[#This Row],[Div]]</f>
        <v>1739.5</v>
      </c>
      <c r="U556" s="221">
        <f xml:space="preserve"> tabConsumo[[#This Row],[Média.A]] + (_xlfn.STDEV.S( tabConsumo[[#This Row],[QTD.PENDENTE]]:tabConsumo[[#This Row],[09_23]] ) * 1)</f>
        <v>4093.3561760302809</v>
      </c>
      <c r="V556" s="221">
        <f xml:space="preserve"> tabConsumo[[#This Row],[Média.A]] + (_xlfn.STDEV.S( tabConsumo[[#This Row],[QTD.PENDENTE]]:tabConsumo[[#This Row],[09_23]] ) * 2)</f>
        <v>6447.2123520605619</v>
      </c>
      <c r="W556" s="221">
        <f xml:space="preserve"> tabConsumo[[#This Row],[Média.A]] + (_xlfn.STDEV.S( tabConsumo[[#This Row],[QTD.PENDENTE]]:tabConsumo[[#This Row],[09_23]] ) * 3)</f>
        <v>8801.0685280908438</v>
      </c>
      <c r="X556" s="5">
        <f t="shared" si="17"/>
        <v>2</v>
      </c>
      <c r="Y556">
        <v>1503.6666666666667</v>
      </c>
      <c r="Z556" s="223">
        <f>SUM( tabConsumo[[#This Row],[QTD.PENDENTE]]:tabConsumo[[#This Row],[09_23]] )</f>
        <v>20874</v>
      </c>
      <c r="AA556" s="223">
        <f>LARGE(tabConsumo[[#This Row],[10_22]:[09_23]],1)</f>
        <v>9277</v>
      </c>
      <c r="AB556" s="146" t="s">
        <v>2238</v>
      </c>
      <c r="AC556" s="3" t="s">
        <v>2086</v>
      </c>
    </row>
    <row r="557" spans="1:29" x14ac:dyDescent="0.3">
      <c r="A557" s="4" t="s">
        <v>1363</v>
      </c>
      <c r="B557" s="3" t="s">
        <v>380</v>
      </c>
      <c r="C557" s="2">
        <v>63385</v>
      </c>
      <c r="D557" s="2">
        <v>0</v>
      </c>
      <c r="E557" s="2">
        <v>27855</v>
      </c>
      <c r="F557" s="2">
        <v>0</v>
      </c>
      <c r="G557" s="2">
        <v>0</v>
      </c>
      <c r="H557" s="2">
        <v>0</v>
      </c>
      <c r="I557" s="2">
        <v>225</v>
      </c>
      <c r="J557" s="2">
        <v>6318</v>
      </c>
      <c r="K557" s="2">
        <v>13744</v>
      </c>
      <c r="L557" s="2">
        <v>0</v>
      </c>
      <c r="M557" s="2">
        <v>0</v>
      </c>
      <c r="N557" s="2">
        <v>0</v>
      </c>
      <c r="O557" s="2">
        <v>0</v>
      </c>
      <c r="P557" s="2">
        <v>0</v>
      </c>
      <c r="Q557" s="2">
        <v>0</v>
      </c>
      <c r="R557" s="238">
        <v>367</v>
      </c>
      <c r="S557" s="219">
        <f xml:space="preserve"> 12</f>
        <v>12</v>
      </c>
      <c r="T557" s="220">
        <f>SUM( tabConsumo[[#This Row],[QTD.PENDENTE]]:tabConsumo[[#This Row],[09_23]] ) / tabConsumo[[#This Row],[Div]]</f>
        <v>4011.8333333333335</v>
      </c>
      <c r="U557" s="221">
        <f xml:space="preserve"> tabConsumo[[#This Row],[Média.A]] + (_xlfn.STDEV.S( tabConsumo[[#This Row],[QTD.PENDENTE]]:tabConsumo[[#This Row],[09_23]] ) * 1)</f>
        <v>12310.856239212537</v>
      </c>
      <c r="V557" s="221">
        <f xml:space="preserve"> tabConsumo[[#This Row],[Média.A]] + (_xlfn.STDEV.S( tabConsumo[[#This Row],[QTD.PENDENTE]]:tabConsumo[[#This Row],[09_23]] ) * 2)</f>
        <v>20609.879145091738</v>
      </c>
      <c r="W557" s="221">
        <f xml:space="preserve"> tabConsumo[[#This Row],[Média.A]] + (_xlfn.STDEV.S( tabConsumo[[#This Row],[QTD.PENDENTE]]:tabConsumo[[#This Row],[09_23]] ) * 3)</f>
        <v>28908.902050970941</v>
      </c>
      <c r="X557" s="5">
        <f t="shared" si="17"/>
        <v>2</v>
      </c>
      <c r="Y557">
        <v>4011.8333333333335</v>
      </c>
      <c r="Z557" s="223">
        <f>SUM( tabConsumo[[#This Row],[QTD.PENDENTE]]:tabConsumo[[#This Row],[09_23]] )</f>
        <v>48142</v>
      </c>
      <c r="AA557" s="223">
        <f>LARGE(tabConsumo[[#This Row],[10_22]:[09_23]],1)</f>
        <v>13744</v>
      </c>
      <c r="AB557" s="146" t="s">
        <v>2245</v>
      </c>
      <c r="AC557" s="3" t="s">
        <v>2086</v>
      </c>
    </row>
    <row r="558" spans="1:29" x14ac:dyDescent="0.3">
      <c r="A558" s="4" t="s">
        <v>1536</v>
      </c>
      <c r="B558" s="3" t="s">
        <v>267</v>
      </c>
      <c r="C558" s="2">
        <v>92908</v>
      </c>
      <c r="D558" s="2">
        <v>1822</v>
      </c>
      <c r="E558" s="2">
        <v>13</v>
      </c>
      <c r="F558" s="2">
        <v>159</v>
      </c>
      <c r="G558" s="2">
        <v>178</v>
      </c>
      <c r="H558" s="2">
        <v>132</v>
      </c>
      <c r="I558" s="2">
        <v>81</v>
      </c>
      <c r="J558" s="2">
        <v>142</v>
      </c>
      <c r="K558" s="2">
        <v>1900</v>
      </c>
      <c r="L558" s="2">
        <v>216</v>
      </c>
      <c r="M558" s="2">
        <v>226</v>
      </c>
      <c r="N558" s="2">
        <v>237</v>
      </c>
      <c r="O558" s="2">
        <v>201</v>
      </c>
      <c r="P558" s="2">
        <v>248</v>
      </c>
      <c r="Q558" s="2">
        <v>265</v>
      </c>
      <c r="R558" s="238">
        <v>38904</v>
      </c>
      <c r="S558" s="219">
        <v>12</v>
      </c>
      <c r="T558" s="220">
        <f>SUM( tabConsumo[[#This Row],[QTD.PENDENTE]]:tabConsumo[[#This Row],[09_23]] ) / tabConsumo[[#This Row],[Div]]</f>
        <v>333.16666666666669</v>
      </c>
      <c r="U558" s="221">
        <f xml:space="preserve"> tabConsumo[[#This Row],[Média.A]] + (_xlfn.STDEV.S( tabConsumo[[#This Row],[QTD.PENDENTE]]:tabConsumo[[#This Row],[09_23]] ) * 1)</f>
        <v>816.88277062721215</v>
      </c>
      <c r="V558" s="221">
        <f xml:space="preserve"> tabConsumo[[#This Row],[Média.A]] + (_xlfn.STDEV.S( tabConsumo[[#This Row],[QTD.PENDENTE]]:tabConsumo[[#This Row],[09_23]] ) * 2)</f>
        <v>1300.5988745877576</v>
      </c>
      <c r="W558" s="221">
        <f xml:space="preserve"> tabConsumo[[#This Row],[Média.A]] + (_xlfn.STDEV.S( tabConsumo[[#This Row],[QTD.PENDENTE]]:tabConsumo[[#This Row],[09_23]] ) * 3)</f>
        <v>1784.3149785483031</v>
      </c>
      <c r="X558" s="5">
        <f t="shared" si="17"/>
        <v>2</v>
      </c>
      <c r="Y558">
        <v>283.16666666666669</v>
      </c>
      <c r="Z558" s="223">
        <f>SUM( tabConsumo[[#This Row],[QTD.PENDENTE]]:tabConsumo[[#This Row],[09_23]] )</f>
        <v>3998</v>
      </c>
      <c r="AA558" s="223">
        <f>LARGE(tabConsumo[[#This Row],[10_22]:[09_23]],1)</f>
        <v>1900</v>
      </c>
      <c r="AB558" s="146" t="s">
        <v>2238</v>
      </c>
      <c r="AC558" s="3" t="s">
        <v>2086</v>
      </c>
    </row>
    <row r="559" spans="1:29" x14ac:dyDescent="0.3">
      <c r="A559" s="4" t="s">
        <v>1535</v>
      </c>
      <c r="B559" s="3" t="s">
        <v>267</v>
      </c>
      <c r="C559" s="2">
        <v>92907</v>
      </c>
      <c r="D559" s="2">
        <v>2381</v>
      </c>
      <c r="E559" s="2">
        <v>2</v>
      </c>
      <c r="F559" s="2">
        <v>144</v>
      </c>
      <c r="G559" s="2">
        <v>166</v>
      </c>
      <c r="H559" s="2">
        <v>144</v>
      </c>
      <c r="I559" s="2">
        <v>71</v>
      </c>
      <c r="J559" s="2">
        <v>142</v>
      </c>
      <c r="K559" s="2">
        <v>1876</v>
      </c>
      <c r="L559" s="2">
        <v>185</v>
      </c>
      <c r="M559" s="2">
        <v>211</v>
      </c>
      <c r="N559" s="2">
        <v>219</v>
      </c>
      <c r="O559" s="2">
        <v>187</v>
      </c>
      <c r="P559" s="2">
        <v>219</v>
      </c>
      <c r="Q559" s="2">
        <v>227</v>
      </c>
      <c r="R559" s="238">
        <v>38904</v>
      </c>
      <c r="S559" s="219">
        <v>12</v>
      </c>
      <c r="T559" s="220">
        <f>SUM( tabConsumo[[#This Row],[QTD.PENDENTE]]:tabConsumo[[#This Row],[09_23]] ) / tabConsumo[[#This Row],[Div]]</f>
        <v>316.08333333333331</v>
      </c>
      <c r="U559" s="221">
        <f xml:space="preserve"> tabConsumo[[#This Row],[Média.A]] + (_xlfn.STDEV.S( tabConsumo[[#This Row],[QTD.PENDENTE]]:tabConsumo[[#This Row],[09_23]] ) * 1)</f>
        <v>796.36955942602378</v>
      </c>
      <c r="V559" s="221">
        <f xml:space="preserve"> tabConsumo[[#This Row],[Média.A]] + (_xlfn.STDEV.S( tabConsumo[[#This Row],[QTD.PENDENTE]]:tabConsumo[[#This Row],[09_23]] ) * 2)</f>
        <v>1276.6557855187143</v>
      </c>
      <c r="W559" s="221">
        <f xml:space="preserve"> tabConsumo[[#This Row],[Média.A]] + (_xlfn.STDEV.S( tabConsumo[[#This Row],[QTD.PENDENTE]]:tabConsumo[[#This Row],[09_23]] ) * 3)</f>
        <v>1756.9420116114047</v>
      </c>
      <c r="X559" s="5">
        <f t="shared" si="17"/>
        <v>2</v>
      </c>
      <c r="Y559">
        <v>266.08333333333331</v>
      </c>
      <c r="Z559" s="223">
        <f>SUM( tabConsumo[[#This Row],[QTD.PENDENTE]]:tabConsumo[[#This Row],[09_23]] )</f>
        <v>3793</v>
      </c>
      <c r="AA559" s="223">
        <f>LARGE(tabConsumo[[#This Row],[10_22]:[09_23]],1)</f>
        <v>1876</v>
      </c>
      <c r="AB559" s="146" t="s">
        <v>2238</v>
      </c>
      <c r="AC559" s="3" t="s">
        <v>2086</v>
      </c>
    </row>
    <row r="560" spans="1:29" x14ac:dyDescent="0.3">
      <c r="A560" s="4" t="s">
        <v>596</v>
      </c>
      <c r="B560" s="3" t="s">
        <v>267</v>
      </c>
      <c r="C560" s="2">
        <v>92906</v>
      </c>
      <c r="D560" s="2">
        <v>0</v>
      </c>
      <c r="E560" s="2">
        <v>255</v>
      </c>
      <c r="F560" s="2">
        <v>160</v>
      </c>
      <c r="G560" s="2">
        <v>179</v>
      </c>
      <c r="H560" s="2">
        <v>139</v>
      </c>
      <c r="I560" s="2">
        <v>75</v>
      </c>
      <c r="J560" s="2">
        <v>142</v>
      </c>
      <c r="K560" s="2">
        <v>691</v>
      </c>
      <c r="L560" s="2">
        <v>0</v>
      </c>
      <c r="M560" s="2">
        <v>0</v>
      </c>
      <c r="N560" s="2">
        <v>0</v>
      </c>
      <c r="O560" s="2">
        <v>0</v>
      </c>
      <c r="P560" s="2">
        <v>0</v>
      </c>
      <c r="Q560" s="2">
        <v>0</v>
      </c>
      <c r="R560" s="238">
        <v>367</v>
      </c>
      <c r="S560" s="219">
        <f xml:space="preserve"> 12</f>
        <v>12</v>
      </c>
      <c r="T560" s="220">
        <f>SUM( tabConsumo[[#This Row],[QTD.PENDENTE]]:tabConsumo[[#This Row],[09_23]] ) / tabConsumo[[#This Row],[Div]]</f>
        <v>136.75</v>
      </c>
      <c r="U560" s="221">
        <f xml:space="preserve"> tabConsumo[[#This Row],[Média.A]] + (_xlfn.STDEV.S( tabConsumo[[#This Row],[QTD.PENDENTE]]:tabConsumo[[#This Row],[09_23]] ) * 1)</f>
        <v>327.82422373088156</v>
      </c>
      <c r="V560" s="221">
        <f xml:space="preserve"> tabConsumo[[#This Row],[Média.A]] + (_xlfn.STDEV.S( tabConsumo[[#This Row],[QTD.PENDENTE]]:tabConsumo[[#This Row],[09_23]] ) * 2)</f>
        <v>518.89844746176311</v>
      </c>
      <c r="W560" s="221">
        <f xml:space="preserve"> tabConsumo[[#This Row],[Média.A]] + (_xlfn.STDEV.S( tabConsumo[[#This Row],[QTD.PENDENTE]]:tabConsumo[[#This Row],[09_23]] ) * 3)</f>
        <v>709.97267119264461</v>
      </c>
      <c r="X560" s="5">
        <f t="shared" si="17"/>
        <v>2</v>
      </c>
      <c r="Y560">
        <v>122.33333333333333</v>
      </c>
      <c r="Z560" s="223">
        <f>SUM( tabConsumo[[#This Row],[QTD.PENDENTE]]:tabConsumo[[#This Row],[09_23]] )</f>
        <v>1641</v>
      </c>
      <c r="AA560" s="223">
        <f>LARGE(tabConsumo[[#This Row],[10_22]:[09_23]],1)</f>
        <v>691</v>
      </c>
      <c r="AB560" s="146" t="s">
        <v>2245</v>
      </c>
      <c r="AC560" s="3" t="s">
        <v>2086</v>
      </c>
    </row>
    <row r="561" spans="1:29" x14ac:dyDescent="0.3">
      <c r="A561" s="4" t="s">
        <v>1400</v>
      </c>
      <c r="B561" s="3" t="s">
        <v>900</v>
      </c>
      <c r="C561" s="2">
        <v>70379</v>
      </c>
      <c r="D561" s="2">
        <v>2268</v>
      </c>
      <c r="E561" s="2">
        <v>25</v>
      </c>
      <c r="F561" s="2">
        <v>32</v>
      </c>
      <c r="G561" s="2">
        <v>100</v>
      </c>
      <c r="H561" s="2">
        <v>57</v>
      </c>
      <c r="I561" s="2">
        <v>50</v>
      </c>
      <c r="J561" s="2">
        <v>1099</v>
      </c>
      <c r="K561" s="2">
        <v>1285</v>
      </c>
      <c r="L561" s="2">
        <v>49</v>
      </c>
      <c r="M561" s="2">
        <v>18</v>
      </c>
      <c r="N561" s="2">
        <v>538</v>
      </c>
      <c r="O561" s="2">
        <v>48</v>
      </c>
      <c r="P561" s="2">
        <v>61</v>
      </c>
      <c r="Q561" s="2">
        <v>52</v>
      </c>
      <c r="R561" s="238">
        <v>367</v>
      </c>
      <c r="S561" s="219">
        <f xml:space="preserve"> 12</f>
        <v>12</v>
      </c>
      <c r="T561" s="220">
        <f>SUM( tabConsumo[[#This Row],[QTD.PENDENTE]]:tabConsumo[[#This Row],[09_23]] ) / tabConsumo[[#This Row],[Div]]</f>
        <v>284.5</v>
      </c>
      <c r="U561" s="221">
        <f xml:space="preserve"> tabConsumo[[#This Row],[Média.A]] + (_xlfn.STDEV.S( tabConsumo[[#This Row],[QTD.PENDENTE]]:tabConsumo[[#This Row],[09_23]] ) * 1)</f>
        <v>720.46187495038646</v>
      </c>
      <c r="V561" s="221">
        <f xml:space="preserve"> tabConsumo[[#This Row],[Média.A]] + (_xlfn.STDEV.S( tabConsumo[[#This Row],[QTD.PENDENTE]]:tabConsumo[[#This Row],[09_23]] ) * 2)</f>
        <v>1156.4237499007729</v>
      </c>
      <c r="W561" s="221">
        <f xml:space="preserve"> tabConsumo[[#This Row],[Média.A]] + (_xlfn.STDEV.S( tabConsumo[[#This Row],[QTD.PENDENTE]]:tabConsumo[[#This Row],[09_23]] ) * 3)</f>
        <v>1592.3856248511593</v>
      </c>
      <c r="X561" s="5">
        <f t="shared" si="17"/>
        <v>2</v>
      </c>
      <c r="Y561">
        <v>273.75</v>
      </c>
      <c r="Z561" s="223">
        <f>SUM( tabConsumo[[#This Row],[QTD.PENDENTE]]:tabConsumo[[#This Row],[09_23]] )</f>
        <v>3414</v>
      </c>
      <c r="AA561" s="223">
        <f>LARGE(tabConsumo[[#This Row],[10_22]:[09_23]],1)</f>
        <v>1285</v>
      </c>
      <c r="AB561" s="146" t="s">
        <v>2238</v>
      </c>
      <c r="AC561" s="3" t="s">
        <v>2086</v>
      </c>
    </row>
    <row r="562" spans="1:29" x14ac:dyDescent="0.3">
      <c r="A562" s="4" t="s">
        <v>1529</v>
      </c>
      <c r="B562" s="3" t="s">
        <v>269</v>
      </c>
      <c r="C562" s="2">
        <v>89865</v>
      </c>
      <c r="D562" s="2">
        <v>138</v>
      </c>
      <c r="F562" s="2">
        <v>2</v>
      </c>
      <c r="G562" s="2">
        <v>2</v>
      </c>
      <c r="H562" s="2">
        <v>4</v>
      </c>
      <c r="I562" s="2">
        <v>3</v>
      </c>
      <c r="J562" s="2">
        <v>0</v>
      </c>
      <c r="K562" s="2">
        <v>8</v>
      </c>
      <c r="L562" s="2">
        <v>41</v>
      </c>
      <c r="M562" s="2">
        <v>0</v>
      </c>
      <c r="N562" s="2">
        <v>0</v>
      </c>
      <c r="O562" s="2">
        <v>0</v>
      </c>
      <c r="P562" s="2">
        <v>0</v>
      </c>
      <c r="Q562" s="2">
        <v>0</v>
      </c>
      <c r="R562" s="238">
        <v>38743</v>
      </c>
      <c r="S562" s="219">
        <v>12</v>
      </c>
      <c r="T562" s="220">
        <f>SUM( tabConsumo[[#This Row],[QTD.PENDENTE]]:tabConsumo[[#This Row],[09_23]] ) / tabConsumo[[#This Row],[Div]]</f>
        <v>5</v>
      </c>
      <c r="U562" s="221">
        <f xml:space="preserve"> tabConsumo[[#This Row],[Média.A]] + (_xlfn.STDEV.S( tabConsumo[[#This Row],[QTD.PENDENTE]]:tabConsumo[[#This Row],[09_23]] ) * 1)</f>
        <v>16.591532960037526</v>
      </c>
      <c r="V562" s="221">
        <f xml:space="preserve"> tabConsumo[[#This Row],[Média.A]] + (_xlfn.STDEV.S( tabConsumo[[#This Row],[QTD.PENDENTE]]:tabConsumo[[#This Row],[09_23]] ) * 2)</f>
        <v>28.183065920075055</v>
      </c>
      <c r="W562" s="221">
        <f xml:space="preserve"> tabConsumo[[#This Row],[Média.A]] + (_xlfn.STDEV.S( tabConsumo[[#This Row],[QTD.PENDENTE]]:tabConsumo[[#This Row],[09_23]] ) * 3)</f>
        <v>39.774598880112585</v>
      </c>
      <c r="X562" s="5">
        <f t="shared" si="17"/>
        <v>2</v>
      </c>
      <c r="Y562">
        <v>3.9166666666666665</v>
      </c>
      <c r="Z562" s="223">
        <f>SUM( tabConsumo[[#This Row],[QTD.PENDENTE]]:tabConsumo[[#This Row],[09_23]] )</f>
        <v>60</v>
      </c>
      <c r="AA562" s="223">
        <f>LARGE(tabConsumo[[#This Row],[10_22]:[09_23]],1)</f>
        <v>41</v>
      </c>
      <c r="AB562" s="146" t="s">
        <v>2240</v>
      </c>
      <c r="AC562" s="3" t="s">
        <v>2086</v>
      </c>
    </row>
    <row r="563" spans="1:29" x14ac:dyDescent="0.3">
      <c r="A563" s="4" t="s">
        <v>1815</v>
      </c>
      <c r="B563" s="3" t="s">
        <v>269</v>
      </c>
      <c r="C563" s="2">
        <v>131138</v>
      </c>
      <c r="D563" s="2">
        <v>396</v>
      </c>
      <c r="F563" s="2">
        <v>0</v>
      </c>
      <c r="G563" s="2">
        <v>1</v>
      </c>
      <c r="H563" s="2">
        <v>0</v>
      </c>
      <c r="I563" s="2">
        <v>3</v>
      </c>
      <c r="J563" s="2">
        <v>1</v>
      </c>
      <c r="K563" s="2">
        <v>0</v>
      </c>
      <c r="L563" s="2">
        <v>0</v>
      </c>
      <c r="M563" s="2">
        <v>0</v>
      </c>
      <c r="N563" s="2">
        <v>0</v>
      </c>
      <c r="O563" s="2">
        <v>0</v>
      </c>
      <c r="P563" s="2">
        <v>0</v>
      </c>
      <c r="Q563" s="2">
        <v>0</v>
      </c>
      <c r="R563" s="238">
        <v>42342</v>
      </c>
      <c r="S563" s="219">
        <v>12</v>
      </c>
      <c r="T563" s="220">
        <f>SUM( tabConsumo[[#This Row],[QTD.PENDENTE]]:tabConsumo[[#This Row],[09_23]] ) / tabConsumo[[#This Row],[Div]]</f>
        <v>0.41666666666666669</v>
      </c>
      <c r="U563" s="221">
        <f xml:space="preserve"> tabConsumo[[#This Row],[Média.A]] + (_xlfn.STDEV.S( tabConsumo[[#This Row],[QTD.PENDENTE]]:tabConsumo[[#This Row],[09_23]] ) * 1)</f>
        <v>1.3170033040451867</v>
      </c>
      <c r="V563" s="221">
        <f xml:space="preserve"> tabConsumo[[#This Row],[Média.A]] + (_xlfn.STDEV.S( tabConsumo[[#This Row],[QTD.PENDENTE]]:tabConsumo[[#This Row],[09_23]] ) * 2)</f>
        <v>2.2173399414237065</v>
      </c>
      <c r="W563" s="221">
        <f xml:space="preserve"> tabConsumo[[#This Row],[Média.A]] + (_xlfn.STDEV.S( tabConsumo[[#This Row],[QTD.PENDENTE]]:tabConsumo[[#This Row],[09_23]] ) * 3)</f>
        <v>3.1176765788022265</v>
      </c>
      <c r="X563" s="5">
        <f t="shared" si="17"/>
        <v>2</v>
      </c>
      <c r="Y563">
        <v>0.33333333333333331</v>
      </c>
      <c r="Z563" s="223">
        <f>SUM( tabConsumo[[#This Row],[QTD.PENDENTE]]:tabConsumo[[#This Row],[09_23]] )</f>
        <v>5</v>
      </c>
      <c r="AA563" s="223">
        <f>LARGE(tabConsumo[[#This Row],[10_22]:[09_23]],1)</f>
        <v>3</v>
      </c>
      <c r="AB563" s="146" t="s">
        <v>2248</v>
      </c>
      <c r="AC563" s="3" t="s">
        <v>2086</v>
      </c>
    </row>
    <row r="564" spans="1:29" x14ac:dyDescent="0.3">
      <c r="A564" s="4" t="s">
        <v>1711</v>
      </c>
      <c r="B564" s="3" t="s">
        <v>263</v>
      </c>
      <c r="C564" s="2">
        <v>114923</v>
      </c>
      <c r="D564" s="2">
        <v>5742</v>
      </c>
      <c r="F564" s="2">
        <v>88</v>
      </c>
      <c r="G564" s="2">
        <v>100</v>
      </c>
      <c r="H564" s="2">
        <v>130</v>
      </c>
      <c r="I564" s="2">
        <v>60</v>
      </c>
      <c r="J564" s="2">
        <v>200</v>
      </c>
      <c r="K564" s="2">
        <v>50</v>
      </c>
      <c r="L564" s="2">
        <v>0</v>
      </c>
      <c r="M564" s="2">
        <v>0</v>
      </c>
      <c r="N564" s="2">
        <v>0</v>
      </c>
      <c r="O564" s="2">
        <v>600</v>
      </c>
      <c r="P564" s="2">
        <v>200</v>
      </c>
      <c r="Q564" s="2">
        <v>0</v>
      </c>
      <c r="R564" s="238">
        <v>40288</v>
      </c>
      <c r="S564" s="219">
        <v>12</v>
      </c>
      <c r="T564" s="220">
        <f>SUM( tabConsumo[[#This Row],[QTD.PENDENTE]]:tabConsumo[[#This Row],[09_23]] ) / tabConsumo[[#This Row],[Div]]</f>
        <v>119</v>
      </c>
      <c r="U564" s="221">
        <f xml:space="preserve"> tabConsumo[[#This Row],[Média.A]] + (_xlfn.STDEV.S( tabConsumo[[#This Row],[QTD.PENDENTE]]:tabConsumo[[#This Row],[09_23]] ) * 1)</f>
        <v>287.09412947404309</v>
      </c>
      <c r="V564" s="221">
        <f xml:space="preserve"> tabConsumo[[#This Row],[Média.A]] + (_xlfn.STDEV.S( tabConsumo[[#This Row],[QTD.PENDENTE]]:tabConsumo[[#This Row],[09_23]] ) * 2)</f>
        <v>455.18825894808617</v>
      </c>
      <c r="W564" s="221">
        <f xml:space="preserve"> tabConsumo[[#This Row],[Média.A]] + (_xlfn.STDEV.S( tabConsumo[[#This Row],[QTD.PENDENTE]]:tabConsumo[[#This Row],[09_23]] ) * 3)</f>
        <v>623.28238842212932</v>
      </c>
      <c r="X564" s="5">
        <f t="shared" si="17"/>
        <v>2</v>
      </c>
      <c r="Y564">
        <v>106.91666666666667</v>
      </c>
      <c r="Z564" s="223">
        <f>SUM( tabConsumo[[#This Row],[QTD.PENDENTE]]:tabConsumo[[#This Row],[09_23]] )</f>
        <v>1428</v>
      </c>
      <c r="AA564" s="223">
        <f>LARGE(tabConsumo[[#This Row],[10_22]:[09_23]],1)</f>
        <v>600</v>
      </c>
      <c r="AB564" s="146" t="s">
        <v>2241</v>
      </c>
      <c r="AC564" s="3" t="s">
        <v>2086</v>
      </c>
    </row>
    <row r="565" spans="1:29" x14ac:dyDescent="0.3">
      <c r="A565" s="4" t="s">
        <v>1269</v>
      </c>
      <c r="B565" s="3" t="s">
        <v>263</v>
      </c>
      <c r="C565" s="2">
        <v>37528</v>
      </c>
      <c r="D565" s="2">
        <v>673</v>
      </c>
      <c r="F565" s="2">
        <v>86</v>
      </c>
      <c r="G565" s="2">
        <v>36</v>
      </c>
      <c r="H565" s="2">
        <v>66</v>
      </c>
      <c r="I565" s="2">
        <v>94</v>
      </c>
      <c r="J565" s="2">
        <v>92</v>
      </c>
      <c r="K565" s="2">
        <v>86</v>
      </c>
      <c r="L565" s="2">
        <v>180</v>
      </c>
      <c r="M565" s="2">
        <v>100</v>
      </c>
      <c r="N565" s="2">
        <v>0</v>
      </c>
      <c r="O565" s="2">
        <v>100</v>
      </c>
      <c r="P565" s="2">
        <v>10</v>
      </c>
      <c r="Q565" s="2">
        <v>50</v>
      </c>
      <c r="R565" s="238">
        <v>367</v>
      </c>
      <c r="S565" s="219">
        <f xml:space="preserve"> 12</f>
        <v>12</v>
      </c>
      <c r="T565" s="220">
        <f>SUM( tabConsumo[[#This Row],[QTD.PENDENTE]]:tabConsumo[[#This Row],[09_23]] ) / tabConsumo[[#This Row],[Div]]</f>
        <v>75</v>
      </c>
      <c r="U565" s="221">
        <f xml:space="preserve"> tabConsumo[[#This Row],[Média.A]] + (_xlfn.STDEV.S( tabConsumo[[#This Row],[QTD.PENDENTE]]:tabConsumo[[#This Row],[09_23]] ) * 1)</f>
        <v>122.90520943393412</v>
      </c>
      <c r="V565" s="221">
        <f xml:space="preserve"> tabConsumo[[#This Row],[Média.A]] + (_xlfn.STDEV.S( tabConsumo[[#This Row],[QTD.PENDENTE]]:tabConsumo[[#This Row],[09_23]] ) * 2)</f>
        <v>170.81041886786824</v>
      </c>
      <c r="W565" s="221">
        <f xml:space="preserve"> tabConsumo[[#This Row],[Média.A]] + (_xlfn.STDEV.S( tabConsumo[[#This Row],[QTD.PENDENTE]]:tabConsumo[[#This Row],[09_23]] ) * 3)</f>
        <v>218.71562830180238</v>
      </c>
      <c r="X565" s="5">
        <f t="shared" si="17"/>
        <v>2</v>
      </c>
      <c r="Y565">
        <v>74.166666666666671</v>
      </c>
      <c r="Z565" s="223">
        <f>SUM( tabConsumo[[#This Row],[QTD.PENDENTE]]:tabConsumo[[#This Row],[09_23]] )</f>
        <v>900</v>
      </c>
      <c r="AA565" s="223">
        <f>LARGE(tabConsumo[[#This Row],[10_22]:[09_23]],1)</f>
        <v>180</v>
      </c>
      <c r="AB565" s="146" t="s">
        <v>2238</v>
      </c>
      <c r="AC565" s="3" t="s">
        <v>2086</v>
      </c>
    </row>
    <row r="566" spans="1:29" x14ac:dyDescent="0.3">
      <c r="A566" s="4" t="s">
        <v>1773</v>
      </c>
      <c r="B566" s="3" t="s">
        <v>269</v>
      </c>
      <c r="C566" s="2">
        <v>126059</v>
      </c>
      <c r="D566" s="2">
        <v>0</v>
      </c>
      <c r="E566" s="2">
        <v>33</v>
      </c>
      <c r="F566" s="2">
        <v>7</v>
      </c>
      <c r="G566" s="2">
        <v>6</v>
      </c>
      <c r="H566" s="2">
        <v>4</v>
      </c>
      <c r="I566" s="2">
        <v>8</v>
      </c>
      <c r="J566" s="2">
        <v>3</v>
      </c>
      <c r="K566" s="2">
        <v>3</v>
      </c>
      <c r="L566" s="2">
        <v>10</v>
      </c>
      <c r="M566" s="2">
        <v>0</v>
      </c>
      <c r="N566" s="2">
        <v>0</v>
      </c>
      <c r="O566" s="2">
        <v>0</v>
      </c>
      <c r="P566" s="2">
        <v>0</v>
      </c>
      <c r="Q566" s="2">
        <v>0</v>
      </c>
      <c r="R566" s="238">
        <v>41509</v>
      </c>
      <c r="S566" s="219">
        <v>12</v>
      </c>
      <c r="T566" s="220">
        <f>SUM( tabConsumo[[#This Row],[QTD.PENDENTE]]:tabConsumo[[#This Row],[09_23]] ) / tabConsumo[[#This Row],[Div]]</f>
        <v>6.166666666666667</v>
      </c>
      <c r="U566" s="221">
        <f xml:space="preserve"> tabConsumo[[#This Row],[Média.A]] + (_xlfn.STDEV.S( tabConsumo[[#This Row],[QTD.PENDENTE]]:tabConsumo[[#This Row],[09_23]] ) * 1)</f>
        <v>15.067833400908263</v>
      </c>
      <c r="V566" s="221">
        <f xml:space="preserve"> tabConsumo[[#This Row],[Média.A]] + (_xlfn.STDEV.S( tabConsumo[[#This Row],[QTD.PENDENTE]]:tabConsumo[[#This Row],[09_23]] ) * 2)</f>
        <v>23.969000135149862</v>
      </c>
      <c r="W566" s="221">
        <f xml:space="preserve"> tabConsumo[[#This Row],[Média.A]] + (_xlfn.STDEV.S( tabConsumo[[#This Row],[QTD.PENDENTE]]:tabConsumo[[#This Row],[09_23]] ) * 3)</f>
        <v>32.870166869391454</v>
      </c>
      <c r="X566" s="5">
        <f t="shared" si="17"/>
        <v>2</v>
      </c>
      <c r="Y566">
        <v>6.166666666666667</v>
      </c>
      <c r="Z566" s="223">
        <f>SUM( tabConsumo[[#This Row],[QTD.PENDENTE]]:tabConsumo[[#This Row],[09_23]] )</f>
        <v>74</v>
      </c>
      <c r="AA566" s="223">
        <f>LARGE(tabConsumo[[#This Row],[10_22]:[09_23]],1)</f>
        <v>10</v>
      </c>
      <c r="AB566" s="146" t="s">
        <v>2240</v>
      </c>
      <c r="AC566" s="3" t="s">
        <v>2086</v>
      </c>
    </row>
    <row r="567" spans="1:29" x14ac:dyDescent="0.3">
      <c r="A567" s="4" t="s">
        <v>1774</v>
      </c>
      <c r="B567" s="3" t="s">
        <v>269</v>
      </c>
      <c r="C567" s="2">
        <v>126060</v>
      </c>
      <c r="D567" s="2">
        <v>107</v>
      </c>
      <c r="F567" s="2">
        <v>9</v>
      </c>
      <c r="G567" s="2">
        <v>2</v>
      </c>
      <c r="H567" s="2">
        <v>21</v>
      </c>
      <c r="I567" s="2">
        <v>17</v>
      </c>
      <c r="J567" s="2">
        <v>54</v>
      </c>
      <c r="K567" s="2">
        <v>3</v>
      </c>
      <c r="L567" s="2">
        <v>42</v>
      </c>
      <c r="M567" s="2">
        <v>0</v>
      </c>
      <c r="N567" s="2">
        <v>0</v>
      </c>
      <c r="O567" s="2">
        <v>0</v>
      </c>
      <c r="P567" s="2">
        <v>0</v>
      </c>
      <c r="Q567" s="2">
        <v>0</v>
      </c>
      <c r="R567" s="238">
        <v>41509</v>
      </c>
      <c r="S567" s="219">
        <v>12</v>
      </c>
      <c r="T567" s="220">
        <f>SUM( tabConsumo[[#This Row],[QTD.PENDENTE]]:tabConsumo[[#This Row],[09_23]] ) / tabConsumo[[#This Row],[Div]]</f>
        <v>12.333333333333334</v>
      </c>
      <c r="U567" s="221">
        <f xml:space="preserve"> tabConsumo[[#This Row],[Média.A]] + (_xlfn.STDEV.S( tabConsumo[[#This Row],[QTD.PENDENTE]]:tabConsumo[[#This Row],[09_23]] ) * 1)</f>
        <v>30.620603288803515</v>
      </c>
      <c r="V567" s="221">
        <f xml:space="preserve"> tabConsumo[[#This Row],[Média.A]] + (_xlfn.STDEV.S( tabConsumo[[#This Row],[QTD.PENDENTE]]:tabConsumo[[#This Row],[09_23]] ) * 2)</f>
        <v>48.907873244273702</v>
      </c>
      <c r="W567" s="221">
        <f xml:space="preserve"> tabConsumo[[#This Row],[Média.A]] + (_xlfn.STDEV.S( tabConsumo[[#This Row],[QTD.PENDENTE]]:tabConsumo[[#This Row],[09_23]] ) * 3)</f>
        <v>67.195143199743882</v>
      </c>
      <c r="X567" s="5">
        <f t="shared" si="17"/>
        <v>2</v>
      </c>
      <c r="Y567">
        <v>11.833333333333334</v>
      </c>
      <c r="Z567" s="223">
        <f>SUM( tabConsumo[[#This Row],[QTD.PENDENTE]]:tabConsumo[[#This Row],[09_23]] )</f>
        <v>148</v>
      </c>
      <c r="AA567" s="223">
        <f>LARGE(tabConsumo[[#This Row],[10_22]:[09_23]],1)</f>
        <v>54</v>
      </c>
      <c r="AB567" s="146" t="s">
        <v>2240</v>
      </c>
      <c r="AC567" s="3" t="s">
        <v>2086</v>
      </c>
    </row>
    <row r="568" spans="1:29" x14ac:dyDescent="0.3">
      <c r="A568" s="4" t="s">
        <v>1479</v>
      </c>
      <c r="B568" s="3" t="s">
        <v>263</v>
      </c>
      <c r="C568" s="2">
        <v>81514</v>
      </c>
      <c r="D568" s="2">
        <v>131012</v>
      </c>
      <c r="F568" s="2">
        <v>2000</v>
      </c>
      <c r="G568" s="2">
        <v>2280</v>
      </c>
      <c r="H568" s="2">
        <v>1000</v>
      </c>
      <c r="I568" s="2">
        <v>6650</v>
      </c>
      <c r="J568" s="2">
        <v>1000</v>
      </c>
      <c r="K568" s="2">
        <v>4002</v>
      </c>
      <c r="L568" s="2">
        <v>4101</v>
      </c>
      <c r="M568" s="2">
        <v>0</v>
      </c>
      <c r="N568" s="2">
        <v>5000</v>
      </c>
      <c r="O568" s="2">
        <v>5000</v>
      </c>
      <c r="P568" s="2">
        <v>0</v>
      </c>
      <c r="Q568" s="2">
        <v>10000</v>
      </c>
      <c r="R568" s="238">
        <v>38226</v>
      </c>
      <c r="S568" s="219">
        <v>12</v>
      </c>
      <c r="T568" s="220">
        <f>SUM( tabConsumo[[#This Row],[QTD.PENDENTE]]:tabConsumo[[#This Row],[09_23]] ) / tabConsumo[[#This Row],[Div]]</f>
        <v>3419.4166666666665</v>
      </c>
      <c r="U568" s="221">
        <f xml:space="preserve"> tabConsumo[[#This Row],[Média.A]] + (_xlfn.STDEV.S( tabConsumo[[#This Row],[QTD.PENDENTE]]:tabConsumo[[#This Row],[09_23]] ) * 1)</f>
        <v>6403.4069925811982</v>
      </c>
      <c r="V568" s="221">
        <f xml:space="preserve"> tabConsumo[[#This Row],[Média.A]] + (_xlfn.STDEV.S( tabConsumo[[#This Row],[QTD.PENDENTE]]:tabConsumo[[#This Row],[09_23]] ) * 2)</f>
        <v>9387.3973184957304</v>
      </c>
      <c r="W568" s="221">
        <f xml:space="preserve"> tabConsumo[[#This Row],[Média.A]] + (_xlfn.STDEV.S( tabConsumo[[#This Row],[QTD.PENDENTE]]:tabConsumo[[#This Row],[09_23]] ) * 3)</f>
        <v>12371.387644410261</v>
      </c>
      <c r="X568" s="5">
        <f t="shared" si="17"/>
        <v>2</v>
      </c>
      <c r="Y568">
        <v>3368.3333333333335</v>
      </c>
      <c r="Z568" s="223">
        <f>SUM( tabConsumo[[#This Row],[QTD.PENDENTE]]:tabConsumo[[#This Row],[09_23]] )</f>
        <v>41033</v>
      </c>
      <c r="AA568" s="223">
        <f>LARGE(tabConsumo[[#This Row],[10_22]:[09_23]],1)</f>
        <v>10000</v>
      </c>
      <c r="AB568" s="146" t="s">
        <v>2238</v>
      </c>
      <c r="AC568" s="3" t="s">
        <v>2086</v>
      </c>
    </row>
    <row r="569" spans="1:29" x14ac:dyDescent="0.3">
      <c r="A569" s="4" t="s">
        <v>1894</v>
      </c>
      <c r="B569" s="3" t="s">
        <v>269</v>
      </c>
      <c r="C569" s="2">
        <v>134561</v>
      </c>
      <c r="D569" s="2">
        <v>390</v>
      </c>
      <c r="F569" s="2">
        <v>0</v>
      </c>
      <c r="G569" s="2">
        <v>2</v>
      </c>
      <c r="H569" s="2">
        <v>0</v>
      </c>
      <c r="I569" s="2">
        <v>0</v>
      </c>
      <c r="J569" s="2">
        <v>0</v>
      </c>
      <c r="K569" s="2">
        <v>4</v>
      </c>
      <c r="L569" s="2">
        <v>22</v>
      </c>
      <c r="M569" s="2">
        <v>0</v>
      </c>
      <c r="N569" s="2">
        <v>15</v>
      </c>
      <c r="O569" s="2">
        <v>0</v>
      </c>
      <c r="P569" s="2">
        <v>0</v>
      </c>
      <c r="Q569" s="2">
        <v>0</v>
      </c>
      <c r="R569" s="238">
        <v>43174</v>
      </c>
      <c r="S569" s="219">
        <v>12</v>
      </c>
      <c r="T569" s="220">
        <f>SUM( tabConsumo[[#This Row],[QTD.PENDENTE]]:tabConsumo[[#This Row],[09_23]] ) / tabConsumo[[#This Row],[Div]]</f>
        <v>3.5833333333333335</v>
      </c>
      <c r="U569" s="221">
        <f xml:space="preserve"> tabConsumo[[#This Row],[Média.A]] + (_xlfn.STDEV.S( tabConsumo[[#This Row],[QTD.PENDENTE]]:tabConsumo[[#This Row],[09_23]] ) * 1)</f>
        <v>10.81279745698396</v>
      </c>
      <c r="V569" s="221">
        <f xml:space="preserve"> tabConsumo[[#This Row],[Média.A]] + (_xlfn.STDEV.S( tabConsumo[[#This Row],[QTD.PENDENTE]]:tabConsumo[[#This Row],[09_23]] ) * 2)</f>
        <v>18.042261580634584</v>
      </c>
      <c r="W569" s="221">
        <f xml:space="preserve"> tabConsumo[[#This Row],[Média.A]] + (_xlfn.STDEV.S( tabConsumo[[#This Row],[QTD.PENDENTE]]:tabConsumo[[#This Row],[09_23]] ) * 3)</f>
        <v>25.27172570428521</v>
      </c>
      <c r="X569" s="5">
        <f t="shared" si="17"/>
        <v>2</v>
      </c>
      <c r="Y569">
        <v>3.25</v>
      </c>
      <c r="Z569" s="223">
        <f>SUM( tabConsumo[[#This Row],[QTD.PENDENTE]]:tabConsumo[[#This Row],[09_23]] )</f>
        <v>43</v>
      </c>
      <c r="AA569" s="223">
        <f>LARGE(tabConsumo[[#This Row],[10_22]:[09_23]],1)</f>
        <v>22</v>
      </c>
      <c r="AB569" s="146" t="s">
        <v>2246</v>
      </c>
      <c r="AC569" s="3" t="s">
        <v>2086</v>
      </c>
    </row>
    <row r="570" spans="1:29" x14ac:dyDescent="0.3">
      <c r="A570" s="4" t="s">
        <v>1895</v>
      </c>
      <c r="B570" s="3" t="s">
        <v>269</v>
      </c>
      <c r="C570" s="2">
        <v>134562</v>
      </c>
      <c r="D570" s="2">
        <v>396</v>
      </c>
      <c r="F570" s="2">
        <v>3</v>
      </c>
      <c r="G570" s="2">
        <v>0</v>
      </c>
      <c r="H570" s="2">
        <v>3</v>
      </c>
      <c r="I570" s="2">
        <v>0</v>
      </c>
      <c r="J570" s="2">
        <v>0</v>
      </c>
      <c r="K570" s="2">
        <v>0</v>
      </c>
      <c r="L570" s="2">
        <v>50</v>
      </c>
      <c r="M570" s="2">
        <v>0</v>
      </c>
      <c r="N570" s="2">
        <v>0</v>
      </c>
      <c r="O570" s="2">
        <v>0</v>
      </c>
      <c r="P570" s="2">
        <v>0</v>
      </c>
      <c r="Q570" s="2">
        <v>0</v>
      </c>
      <c r="R570" s="238">
        <v>43174</v>
      </c>
      <c r="S570" s="219">
        <v>12</v>
      </c>
      <c r="T570" s="220">
        <f>SUM( tabConsumo[[#This Row],[QTD.PENDENTE]]:tabConsumo[[#This Row],[09_23]] ) / tabConsumo[[#This Row],[Div]]</f>
        <v>4.666666666666667</v>
      </c>
      <c r="U570" s="221">
        <f xml:space="preserve"> tabConsumo[[#This Row],[Média.A]] + (_xlfn.STDEV.S( tabConsumo[[#This Row],[QTD.PENDENTE]]:tabConsumo[[#This Row],[09_23]] ) * 1)</f>
        <v>18.989777891240578</v>
      </c>
      <c r="V570" s="221">
        <f xml:space="preserve"> tabConsumo[[#This Row],[Média.A]] + (_xlfn.STDEV.S( tabConsumo[[#This Row],[QTD.PENDENTE]]:tabConsumo[[#This Row],[09_23]] ) * 2)</f>
        <v>33.312889115814485</v>
      </c>
      <c r="W570" s="221">
        <f xml:space="preserve"> tabConsumo[[#This Row],[Média.A]] + (_xlfn.STDEV.S( tabConsumo[[#This Row],[QTD.PENDENTE]]:tabConsumo[[#This Row],[09_23]] ) * 3)</f>
        <v>47.636000340388399</v>
      </c>
      <c r="X570" s="5">
        <f t="shared" si="17"/>
        <v>2</v>
      </c>
      <c r="Y570">
        <v>3.25</v>
      </c>
      <c r="Z570" s="223">
        <f>SUM( tabConsumo[[#This Row],[QTD.PENDENTE]]:tabConsumo[[#This Row],[09_23]] )</f>
        <v>56</v>
      </c>
      <c r="AA570" s="223">
        <f>LARGE(tabConsumo[[#This Row],[10_22]:[09_23]],1)</f>
        <v>50</v>
      </c>
      <c r="AB570" s="146" t="s">
        <v>2240</v>
      </c>
      <c r="AC570" s="3" t="s">
        <v>2086</v>
      </c>
    </row>
    <row r="571" spans="1:29" x14ac:dyDescent="0.3">
      <c r="A571" s="4" t="s">
        <v>1896</v>
      </c>
      <c r="B571" s="3" t="s">
        <v>269</v>
      </c>
      <c r="C571" s="2">
        <v>134563</v>
      </c>
      <c r="D571" s="2">
        <v>364</v>
      </c>
      <c r="F571" s="2">
        <v>14</v>
      </c>
      <c r="G571" s="2">
        <v>6</v>
      </c>
      <c r="H571" s="2">
        <v>3</v>
      </c>
      <c r="I571" s="2">
        <v>13</v>
      </c>
      <c r="J571" s="2">
        <v>6</v>
      </c>
      <c r="K571" s="2">
        <v>11</v>
      </c>
      <c r="L571" s="2">
        <v>60</v>
      </c>
      <c r="M571" s="2">
        <v>1</v>
      </c>
      <c r="N571" s="2">
        <v>0</v>
      </c>
      <c r="O571" s="2">
        <v>0</v>
      </c>
      <c r="P571" s="2">
        <v>20</v>
      </c>
      <c r="Q571" s="2">
        <v>0</v>
      </c>
      <c r="R571" s="238">
        <v>43174</v>
      </c>
      <c r="S571" s="219">
        <v>12</v>
      </c>
      <c r="T571" s="220">
        <f>SUM( tabConsumo[[#This Row],[QTD.PENDENTE]]:tabConsumo[[#This Row],[09_23]] ) / tabConsumo[[#This Row],[Div]]</f>
        <v>11.166666666666666</v>
      </c>
      <c r="U571" s="221">
        <f xml:space="preserve"> tabConsumo[[#This Row],[Média.A]] + (_xlfn.STDEV.S( tabConsumo[[#This Row],[QTD.PENDENTE]]:tabConsumo[[#This Row],[09_23]] ) * 1)</f>
        <v>27.877214959359648</v>
      </c>
      <c r="V571" s="221">
        <f xml:space="preserve"> tabConsumo[[#This Row],[Média.A]] + (_xlfn.STDEV.S( tabConsumo[[#This Row],[QTD.PENDENTE]]:tabConsumo[[#This Row],[09_23]] ) * 2)</f>
        <v>44.587763252052625</v>
      </c>
      <c r="W571" s="221">
        <f xml:space="preserve"> tabConsumo[[#This Row],[Média.A]] + (_xlfn.STDEV.S( tabConsumo[[#This Row],[QTD.PENDENTE]]:tabConsumo[[#This Row],[09_23]] ) * 3)</f>
        <v>61.298311544745609</v>
      </c>
      <c r="X571" s="5">
        <f t="shared" si="17"/>
        <v>2</v>
      </c>
      <c r="Y571">
        <v>9.8333333333333339</v>
      </c>
      <c r="Z571" s="223">
        <f>SUM( tabConsumo[[#This Row],[QTD.PENDENTE]]:tabConsumo[[#This Row],[09_23]] )</f>
        <v>134</v>
      </c>
      <c r="AA571" s="223">
        <f>LARGE(tabConsumo[[#This Row],[10_22]:[09_23]],1)</f>
        <v>60</v>
      </c>
      <c r="AB571" s="146" t="s">
        <v>2241</v>
      </c>
      <c r="AC571" s="3" t="s">
        <v>2086</v>
      </c>
    </row>
    <row r="572" spans="1:29" x14ac:dyDescent="0.3">
      <c r="A572" s="4" t="s">
        <v>1897</v>
      </c>
      <c r="B572" s="3" t="s">
        <v>269</v>
      </c>
      <c r="C572" s="2">
        <v>134564</v>
      </c>
      <c r="D572" s="2">
        <v>258</v>
      </c>
      <c r="F572" s="2">
        <v>3</v>
      </c>
      <c r="G572" s="2">
        <v>1</v>
      </c>
      <c r="H572" s="2">
        <v>0</v>
      </c>
      <c r="I572" s="2">
        <v>3</v>
      </c>
      <c r="J572" s="2">
        <v>2</v>
      </c>
      <c r="K572" s="2">
        <v>2</v>
      </c>
      <c r="L572" s="2">
        <v>31</v>
      </c>
      <c r="M572" s="2">
        <v>5</v>
      </c>
      <c r="N572" s="2">
        <v>0</v>
      </c>
      <c r="O572" s="2">
        <v>0</v>
      </c>
      <c r="P572" s="2">
        <v>0</v>
      </c>
      <c r="Q572" s="2">
        <v>0</v>
      </c>
      <c r="R572" s="238">
        <v>43174</v>
      </c>
      <c r="S572" s="219">
        <v>12</v>
      </c>
      <c r="T572" s="220">
        <f>SUM( tabConsumo[[#This Row],[QTD.PENDENTE]]:tabConsumo[[#This Row],[09_23]] ) / tabConsumo[[#This Row],[Div]]</f>
        <v>3.9166666666666665</v>
      </c>
      <c r="U572" s="221">
        <f xml:space="preserve"> tabConsumo[[#This Row],[Média.A]] + (_xlfn.STDEV.S( tabConsumo[[#This Row],[QTD.PENDENTE]]:tabConsumo[[#This Row],[09_23]] ) * 1)</f>
        <v>12.597453532271684</v>
      </c>
      <c r="V572" s="221">
        <f xml:space="preserve"> tabConsumo[[#This Row],[Média.A]] + (_xlfn.STDEV.S( tabConsumo[[#This Row],[QTD.PENDENTE]]:tabConsumo[[#This Row],[09_23]] ) * 2)</f>
        <v>21.278240397876704</v>
      </c>
      <c r="W572" s="221">
        <f xml:space="preserve"> tabConsumo[[#This Row],[Média.A]] + (_xlfn.STDEV.S( tabConsumo[[#This Row],[QTD.PENDENTE]]:tabConsumo[[#This Row],[09_23]] ) * 3)</f>
        <v>29.959027263481723</v>
      </c>
      <c r="X572" s="5">
        <f t="shared" si="17"/>
        <v>2</v>
      </c>
      <c r="Y572">
        <v>3.0833333333333335</v>
      </c>
      <c r="Z572" s="223">
        <f>SUM( tabConsumo[[#This Row],[QTD.PENDENTE]]:tabConsumo[[#This Row],[09_23]] )</f>
        <v>47</v>
      </c>
      <c r="AA572" s="223">
        <f>LARGE(tabConsumo[[#This Row],[10_22]:[09_23]],1)</f>
        <v>31</v>
      </c>
      <c r="AB572" s="146" t="s">
        <v>2244</v>
      </c>
      <c r="AC572" s="3" t="s">
        <v>2086</v>
      </c>
    </row>
    <row r="573" spans="1:29" x14ac:dyDescent="0.3">
      <c r="A573" s="4" t="s">
        <v>1898</v>
      </c>
      <c r="B573" s="3" t="s">
        <v>269</v>
      </c>
      <c r="C573" s="2">
        <v>134565</v>
      </c>
      <c r="D573" s="2">
        <v>229</v>
      </c>
      <c r="F573" s="2">
        <v>6</v>
      </c>
      <c r="G573" s="2">
        <v>2</v>
      </c>
      <c r="H573" s="2">
        <v>0</v>
      </c>
      <c r="I573" s="2">
        <v>1</v>
      </c>
      <c r="J573" s="2">
        <v>3</v>
      </c>
      <c r="K573" s="2">
        <v>1</v>
      </c>
      <c r="L573" s="2">
        <v>31</v>
      </c>
      <c r="M573" s="2">
        <v>1</v>
      </c>
      <c r="N573" s="2">
        <v>0</v>
      </c>
      <c r="O573" s="2">
        <v>0</v>
      </c>
      <c r="P573" s="2">
        <v>0</v>
      </c>
      <c r="Q573" s="2">
        <v>0</v>
      </c>
      <c r="R573" s="238">
        <v>43174</v>
      </c>
      <c r="S573" s="219">
        <v>12</v>
      </c>
      <c r="T573" s="220">
        <f>SUM( tabConsumo[[#This Row],[QTD.PENDENTE]]:tabConsumo[[#This Row],[09_23]] ) / tabConsumo[[#This Row],[Div]]</f>
        <v>3.75</v>
      </c>
      <c r="U573" s="221">
        <f xml:space="preserve"> tabConsumo[[#This Row],[Média.A]] + (_xlfn.STDEV.S( tabConsumo[[#This Row],[QTD.PENDENTE]]:tabConsumo[[#This Row],[09_23]] ) * 1)</f>
        <v>12.510707733967616</v>
      </c>
      <c r="V573" s="221">
        <f xml:space="preserve"> tabConsumo[[#This Row],[Média.A]] + (_xlfn.STDEV.S( tabConsumo[[#This Row],[QTD.PENDENTE]]:tabConsumo[[#This Row],[09_23]] ) * 2)</f>
        <v>21.271415467935231</v>
      </c>
      <c r="W573" s="221">
        <f xml:space="preserve"> tabConsumo[[#This Row],[Média.A]] + (_xlfn.STDEV.S( tabConsumo[[#This Row],[QTD.PENDENTE]]:tabConsumo[[#This Row],[09_23]] ) * 3)</f>
        <v>30.032123201902849</v>
      </c>
      <c r="X573" s="5">
        <f t="shared" si="17"/>
        <v>2</v>
      </c>
      <c r="Y573">
        <v>2.9166666666666665</v>
      </c>
      <c r="Z573" s="223">
        <f>SUM( tabConsumo[[#This Row],[QTD.PENDENTE]]:tabConsumo[[#This Row],[09_23]] )</f>
        <v>45</v>
      </c>
      <c r="AA573" s="223">
        <f>LARGE(tabConsumo[[#This Row],[10_22]:[09_23]],1)</f>
        <v>31</v>
      </c>
      <c r="AB573" s="146" t="s">
        <v>2244</v>
      </c>
      <c r="AC573" s="3" t="s">
        <v>2086</v>
      </c>
    </row>
    <row r="574" spans="1:29" x14ac:dyDescent="0.3">
      <c r="A574" s="4" t="s">
        <v>1604</v>
      </c>
      <c r="B574" s="3" t="s">
        <v>263</v>
      </c>
      <c r="C574" s="2">
        <v>104655</v>
      </c>
      <c r="D574" s="2">
        <v>12374</v>
      </c>
      <c r="F574" s="2">
        <v>0</v>
      </c>
      <c r="G574" s="2">
        <v>100</v>
      </c>
      <c r="H574" s="2">
        <v>0</v>
      </c>
      <c r="I574" s="2">
        <v>0</v>
      </c>
      <c r="J574" s="2">
        <v>100</v>
      </c>
      <c r="K574" s="2">
        <v>0</v>
      </c>
      <c r="L574" s="2">
        <v>2000</v>
      </c>
      <c r="M574" s="2">
        <v>0</v>
      </c>
      <c r="N574" s="2">
        <v>0</v>
      </c>
      <c r="O574" s="2">
        <v>0</v>
      </c>
      <c r="P574" s="2">
        <v>0</v>
      </c>
      <c r="Q574" s="2">
        <v>0</v>
      </c>
      <c r="R574" s="238">
        <v>39471</v>
      </c>
      <c r="S574" s="219">
        <v>12</v>
      </c>
      <c r="T574" s="220">
        <f>SUM( tabConsumo[[#This Row],[QTD.PENDENTE]]:tabConsumo[[#This Row],[09_23]] ) / tabConsumo[[#This Row],[Div]]</f>
        <v>183.33333333333334</v>
      </c>
      <c r="U574" s="221">
        <f xml:space="preserve"> tabConsumo[[#This Row],[Média.A]] + (_xlfn.STDEV.S( tabConsumo[[#This Row],[QTD.PENDENTE]]:tabConsumo[[#This Row],[09_23]] ) * 1)</f>
        <v>756.73361131362765</v>
      </c>
      <c r="V574" s="221">
        <f xml:space="preserve"> tabConsumo[[#This Row],[Média.A]] + (_xlfn.STDEV.S( tabConsumo[[#This Row],[QTD.PENDENTE]]:tabConsumo[[#This Row],[09_23]] ) * 2)</f>
        <v>1330.1338892939218</v>
      </c>
      <c r="W574" s="221">
        <f xml:space="preserve"> tabConsumo[[#This Row],[Média.A]] + (_xlfn.STDEV.S( tabConsumo[[#This Row],[QTD.PENDENTE]]:tabConsumo[[#This Row],[09_23]] ) * 3)</f>
        <v>1903.5341672742161</v>
      </c>
      <c r="X574" s="5">
        <f t="shared" si="17"/>
        <v>2</v>
      </c>
      <c r="Y574">
        <v>127.5</v>
      </c>
      <c r="Z574" s="223">
        <f>SUM( tabConsumo[[#This Row],[QTD.PENDENTE]]:tabConsumo[[#This Row],[09_23]] )</f>
        <v>2200</v>
      </c>
      <c r="AA574" s="223">
        <f>LARGE(tabConsumo[[#This Row],[10_22]:[09_23]],1)</f>
        <v>2000</v>
      </c>
      <c r="AB574" s="146" t="s">
        <v>2240</v>
      </c>
      <c r="AC574" s="3" t="s">
        <v>2086</v>
      </c>
    </row>
    <row r="575" spans="1:29" x14ac:dyDescent="0.3">
      <c r="A575" s="4" t="s">
        <v>1899</v>
      </c>
      <c r="B575" s="3" t="s">
        <v>263</v>
      </c>
      <c r="C575" s="2">
        <v>134566</v>
      </c>
      <c r="D575" s="2">
        <v>19783</v>
      </c>
      <c r="F575" s="2">
        <v>40</v>
      </c>
      <c r="G575" s="2">
        <v>0</v>
      </c>
      <c r="H575" s="2">
        <v>100</v>
      </c>
      <c r="I575" s="2">
        <v>100</v>
      </c>
      <c r="J575" s="2">
        <v>950</v>
      </c>
      <c r="K575" s="2">
        <v>252</v>
      </c>
      <c r="L575" s="2">
        <v>100</v>
      </c>
      <c r="M575" s="2">
        <v>8</v>
      </c>
      <c r="N575" s="2">
        <v>0</v>
      </c>
      <c r="O575" s="2">
        <v>60</v>
      </c>
      <c r="P575" s="2">
        <v>0</v>
      </c>
      <c r="Q575" s="2">
        <v>0</v>
      </c>
      <c r="R575" s="238">
        <v>43174</v>
      </c>
      <c r="S575" s="219">
        <v>12</v>
      </c>
      <c r="T575" s="220">
        <f>SUM( tabConsumo[[#This Row],[QTD.PENDENTE]]:tabConsumo[[#This Row],[09_23]] ) / tabConsumo[[#This Row],[Div]]</f>
        <v>134.16666666666666</v>
      </c>
      <c r="U575" s="221">
        <f xml:space="preserve"> tabConsumo[[#This Row],[Média.A]] + (_xlfn.STDEV.S( tabConsumo[[#This Row],[QTD.PENDENTE]]:tabConsumo[[#This Row],[09_23]] ) * 1)</f>
        <v>401.3505779043054</v>
      </c>
      <c r="V575" s="221">
        <f xml:space="preserve"> tabConsumo[[#This Row],[Média.A]] + (_xlfn.STDEV.S( tabConsumo[[#This Row],[QTD.PENDENTE]]:tabConsumo[[#This Row],[09_23]] ) * 2)</f>
        <v>668.53448914194416</v>
      </c>
      <c r="W575" s="221">
        <f xml:space="preserve"> tabConsumo[[#This Row],[Média.A]] + (_xlfn.STDEV.S( tabConsumo[[#This Row],[QTD.PENDENTE]]:tabConsumo[[#This Row],[09_23]] ) * 3)</f>
        <v>935.71840037958293</v>
      </c>
      <c r="X575" s="5">
        <f t="shared" si="17"/>
        <v>2</v>
      </c>
      <c r="Y575">
        <v>110.66666666666667</v>
      </c>
      <c r="Z575" s="223">
        <f>SUM( tabConsumo[[#This Row],[QTD.PENDENTE]]:tabConsumo[[#This Row],[09_23]] )</f>
        <v>1610</v>
      </c>
      <c r="AA575" s="223">
        <f>LARGE(tabConsumo[[#This Row],[10_22]:[09_23]],1)</f>
        <v>950</v>
      </c>
      <c r="AB575" s="146" t="s">
        <v>2239</v>
      </c>
      <c r="AC575" s="3" t="s">
        <v>2086</v>
      </c>
    </row>
    <row r="576" spans="1:29" x14ac:dyDescent="0.3">
      <c r="A576" s="4" t="s">
        <v>1450</v>
      </c>
      <c r="B576" s="3" t="s">
        <v>263</v>
      </c>
      <c r="C576" s="2">
        <v>78416</v>
      </c>
      <c r="D576" s="2">
        <v>1019</v>
      </c>
      <c r="F576" s="2">
        <v>0</v>
      </c>
      <c r="G576" s="2">
        <v>0</v>
      </c>
      <c r="H576" s="2">
        <v>0</v>
      </c>
      <c r="I576" s="2">
        <v>0</v>
      </c>
      <c r="J576" s="2">
        <v>45</v>
      </c>
      <c r="K576" s="2">
        <v>0</v>
      </c>
      <c r="L576" s="2">
        <v>0</v>
      </c>
      <c r="M576" s="2">
        <v>270</v>
      </c>
      <c r="N576" s="2">
        <v>0</v>
      </c>
      <c r="O576" s="2">
        <v>0</v>
      </c>
      <c r="P576" s="2">
        <v>0</v>
      </c>
      <c r="Q576" s="2">
        <v>0</v>
      </c>
      <c r="R576" s="238">
        <v>38097</v>
      </c>
      <c r="S576" s="219">
        <v>12</v>
      </c>
      <c r="T576" s="220">
        <f>SUM( tabConsumo[[#This Row],[QTD.PENDENTE]]:tabConsumo[[#This Row],[09_23]] ) / tabConsumo[[#This Row],[Div]]</f>
        <v>26.25</v>
      </c>
      <c r="U576" s="221">
        <f xml:space="preserve"> tabConsumo[[#This Row],[Média.A]] + (_xlfn.STDEV.S( tabConsumo[[#This Row],[QTD.PENDENTE]]:tabConsumo[[#This Row],[09_23]] ) * 1)</f>
        <v>104.09381215555345</v>
      </c>
      <c r="V576" s="221">
        <f xml:space="preserve"> tabConsumo[[#This Row],[Média.A]] + (_xlfn.STDEV.S( tabConsumo[[#This Row],[QTD.PENDENTE]]:tabConsumo[[#This Row],[09_23]] ) * 2)</f>
        <v>181.9376243111069</v>
      </c>
      <c r="W576" s="221">
        <f xml:space="preserve"> tabConsumo[[#This Row],[Média.A]] + (_xlfn.STDEV.S( tabConsumo[[#This Row],[QTD.PENDENTE]]:tabConsumo[[#This Row],[09_23]] ) * 3)</f>
        <v>259.78143646666035</v>
      </c>
      <c r="X576" s="5">
        <f t="shared" si="17"/>
        <v>2</v>
      </c>
      <c r="Y576">
        <v>18.833333333333332</v>
      </c>
      <c r="Z576" s="223">
        <f>SUM( tabConsumo[[#This Row],[QTD.PENDENTE]]:tabConsumo[[#This Row],[09_23]] )</f>
        <v>315</v>
      </c>
      <c r="AA576" s="223">
        <f>LARGE(tabConsumo[[#This Row],[10_22]:[09_23]],1)</f>
        <v>270</v>
      </c>
      <c r="AB576" s="146" t="s">
        <v>2244</v>
      </c>
      <c r="AC576" s="3" t="s">
        <v>2086</v>
      </c>
    </row>
    <row r="577" spans="1:29" x14ac:dyDescent="0.3">
      <c r="A577" s="4" t="s">
        <v>1031</v>
      </c>
      <c r="B577" s="3" t="s">
        <v>263</v>
      </c>
      <c r="C577" s="2">
        <v>13221</v>
      </c>
      <c r="D577" s="2">
        <v>1794</v>
      </c>
      <c r="F577" s="2">
        <v>140</v>
      </c>
      <c r="G577" s="2">
        <v>390</v>
      </c>
      <c r="H577" s="2">
        <v>25</v>
      </c>
      <c r="I577" s="2">
        <v>125</v>
      </c>
      <c r="J577" s="2">
        <v>160</v>
      </c>
      <c r="K577" s="2">
        <v>614</v>
      </c>
      <c r="L577" s="2">
        <v>180</v>
      </c>
      <c r="M577" s="2">
        <v>250</v>
      </c>
      <c r="N577" s="2">
        <v>150</v>
      </c>
      <c r="O577" s="2">
        <v>1220</v>
      </c>
      <c r="P577" s="2">
        <v>200</v>
      </c>
      <c r="Q577" s="2">
        <v>0</v>
      </c>
      <c r="R577" s="238">
        <v>367</v>
      </c>
      <c r="S577" s="219">
        <f xml:space="preserve"> 12</f>
        <v>12</v>
      </c>
      <c r="T577" s="220">
        <f>SUM( tabConsumo[[#This Row],[QTD.PENDENTE]]:tabConsumo[[#This Row],[09_23]] ) / tabConsumo[[#This Row],[Div]]</f>
        <v>287.83333333333331</v>
      </c>
      <c r="U577" s="221">
        <f xml:space="preserve"> tabConsumo[[#This Row],[Média.A]] + (_xlfn.STDEV.S( tabConsumo[[#This Row],[QTD.PENDENTE]]:tabConsumo[[#This Row],[09_23]] ) * 1)</f>
        <v>623.87576391541791</v>
      </c>
      <c r="V577" s="221">
        <f xml:space="preserve"> tabConsumo[[#This Row],[Média.A]] + (_xlfn.STDEV.S( tabConsumo[[#This Row],[QTD.PENDENTE]]:tabConsumo[[#This Row],[09_23]] ) * 2)</f>
        <v>959.91819449750255</v>
      </c>
      <c r="W577" s="221">
        <f xml:space="preserve"> tabConsumo[[#This Row],[Média.A]] + (_xlfn.STDEV.S( tabConsumo[[#This Row],[QTD.PENDENTE]]:tabConsumo[[#This Row],[09_23]] ) * 3)</f>
        <v>1295.9606250795871</v>
      </c>
      <c r="X577" s="5">
        <f t="shared" si="17"/>
        <v>2</v>
      </c>
      <c r="Y577">
        <v>266.08333333333331</v>
      </c>
      <c r="Z577" s="223">
        <f>SUM( tabConsumo[[#This Row],[QTD.PENDENTE]]:tabConsumo[[#This Row],[09_23]] )</f>
        <v>3454</v>
      </c>
      <c r="AA577" s="223">
        <f>LARGE(tabConsumo[[#This Row],[10_22]:[09_23]],1)</f>
        <v>1220</v>
      </c>
      <c r="AB577" s="146" t="s">
        <v>2241</v>
      </c>
      <c r="AC577" s="3" t="s">
        <v>2086</v>
      </c>
    </row>
    <row r="578" spans="1:29" x14ac:dyDescent="0.3">
      <c r="A578" s="4" t="s">
        <v>1033</v>
      </c>
      <c r="B578" s="3" t="s">
        <v>263</v>
      </c>
      <c r="C578" s="2">
        <v>13222</v>
      </c>
      <c r="D578" s="2">
        <v>1141</v>
      </c>
      <c r="F578" s="2">
        <v>20</v>
      </c>
      <c r="G578" s="2">
        <v>0</v>
      </c>
      <c r="H578" s="2">
        <v>50</v>
      </c>
      <c r="I578" s="2">
        <v>0</v>
      </c>
      <c r="J578" s="2">
        <v>0</v>
      </c>
      <c r="K578" s="2">
        <v>10</v>
      </c>
      <c r="L578" s="2">
        <v>15</v>
      </c>
      <c r="M578" s="2">
        <v>0</v>
      </c>
      <c r="N578" s="2">
        <v>0</v>
      </c>
      <c r="O578" s="2">
        <v>0</v>
      </c>
      <c r="P578" s="2">
        <v>0</v>
      </c>
      <c r="Q578" s="2">
        <v>0</v>
      </c>
      <c r="R578" s="238">
        <v>367</v>
      </c>
      <c r="S578" s="219">
        <f xml:space="preserve"> 12</f>
        <v>12</v>
      </c>
      <c r="T578" s="220">
        <f>SUM( tabConsumo[[#This Row],[QTD.PENDENTE]]:tabConsumo[[#This Row],[09_23]] ) / tabConsumo[[#This Row],[Div]]</f>
        <v>7.916666666666667</v>
      </c>
      <c r="U578" s="221">
        <f xml:space="preserve"> tabConsumo[[#This Row],[Média.A]] + (_xlfn.STDEV.S( tabConsumo[[#This Row],[QTD.PENDENTE]]:tabConsumo[[#This Row],[09_23]] ) * 1)</f>
        <v>22.910352206273199</v>
      </c>
      <c r="V578" s="221">
        <f xml:space="preserve"> tabConsumo[[#This Row],[Média.A]] + (_xlfn.STDEV.S( tabConsumo[[#This Row],[QTD.PENDENTE]]:tabConsumo[[#This Row],[09_23]] ) * 2)</f>
        <v>37.904037745879734</v>
      </c>
      <c r="W578" s="221">
        <f xml:space="preserve"> tabConsumo[[#This Row],[Média.A]] + (_xlfn.STDEV.S( tabConsumo[[#This Row],[QTD.PENDENTE]]:tabConsumo[[#This Row],[09_23]] ) * 3)</f>
        <v>52.897723285486265</v>
      </c>
      <c r="X578" s="5">
        <f t="shared" si="17"/>
        <v>2</v>
      </c>
      <c r="Y578">
        <v>6.833333333333333</v>
      </c>
      <c r="Z578" s="223">
        <f>SUM( tabConsumo[[#This Row],[QTD.PENDENTE]]:tabConsumo[[#This Row],[09_23]] )</f>
        <v>95</v>
      </c>
      <c r="AA578" s="223">
        <f>LARGE(tabConsumo[[#This Row],[10_22]:[09_23]],1)</f>
        <v>50</v>
      </c>
      <c r="AB578" s="146" t="s">
        <v>2240</v>
      </c>
      <c r="AC578" s="3" t="s">
        <v>2086</v>
      </c>
    </row>
    <row r="579" spans="1:29" x14ac:dyDescent="0.3">
      <c r="A579" s="4" t="s">
        <v>1452</v>
      </c>
      <c r="B579" s="3" t="s">
        <v>263</v>
      </c>
      <c r="C579" s="2">
        <v>78418</v>
      </c>
      <c r="D579" s="2">
        <v>255</v>
      </c>
      <c r="F579" s="2">
        <v>0</v>
      </c>
      <c r="G579" s="2">
        <v>10</v>
      </c>
      <c r="H579" s="2">
        <v>0</v>
      </c>
      <c r="I579" s="2">
        <v>0</v>
      </c>
      <c r="J579" s="2">
        <v>0</v>
      </c>
      <c r="K579" s="2">
        <v>50</v>
      </c>
      <c r="L579" s="2">
        <v>0</v>
      </c>
      <c r="M579" s="2">
        <v>0</v>
      </c>
      <c r="N579" s="2">
        <v>0</v>
      </c>
      <c r="O579" s="2">
        <v>0</v>
      </c>
      <c r="P579" s="2">
        <v>0</v>
      </c>
      <c r="Q579" s="2">
        <v>0</v>
      </c>
      <c r="R579" s="238">
        <v>38097</v>
      </c>
      <c r="S579" s="219">
        <v>12</v>
      </c>
      <c r="T579" s="220">
        <f>SUM( tabConsumo[[#This Row],[QTD.PENDENTE]]:tabConsumo[[#This Row],[09_23]] ) / tabConsumo[[#This Row],[Div]]</f>
        <v>5</v>
      </c>
      <c r="U579" s="221">
        <f xml:space="preserve"> tabConsumo[[#This Row],[Média.A]] + (_xlfn.STDEV.S( tabConsumo[[#This Row],[QTD.PENDENTE]]:tabConsumo[[#This Row],[09_23]] ) * 1)</f>
        <v>19.459976109624424</v>
      </c>
      <c r="V579" s="221">
        <f xml:space="preserve"> tabConsumo[[#This Row],[Média.A]] + (_xlfn.STDEV.S( tabConsumo[[#This Row],[QTD.PENDENTE]]:tabConsumo[[#This Row],[09_23]] ) * 2)</f>
        <v>33.919952219248849</v>
      </c>
      <c r="W579" s="221">
        <f xml:space="preserve"> tabConsumo[[#This Row],[Média.A]] + (_xlfn.STDEV.S( tabConsumo[[#This Row],[QTD.PENDENTE]]:tabConsumo[[#This Row],[09_23]] ) * 3)</f>
        <v>48.379928328873277</v>
      </c>
      <c r="X579" s="5">
        <f t="shared" ref="X579:X642" si="20" xml:space="preserve"> 2</f>
        <v>2</v>
      </c>
      <c r="Y579">
        <v>3.5833333333333335</v>
      </c>
      <c r="Z579" s="223">
        <f>SUM( tabConsumo[[#This Row],[QTD.PENDENTE]]:tabConsumo[[#This Row],[09_23]] )</f>
        <v>60</v>
      </c>
      <c r="AA579" s="223">
        <f>LARGE(tabConsumo[[#This Row],[10_22]:[09_23]],1)</f>
        <v>50</v>
      </c>
      <c r="AB579" s="146" t="s">
        <v>2245</v>
      </c>
      <c r="AC579" s="3" t="s">
        <v>2086</v>
      </c>
    </row>
    <row r="580" spans="1:29" x14ac:dyDescent="0.3">
      <c r="A580" s="4" t="s">
        <v>1765</v>
      </c>
      <c r="B580" s="3" t="s">
        <v>269</v>
      </c>
      <c r="C580" s="2">
        <v>124963</v>
      </c>
      <c r="D580" s="2">
        <v>156</v>
      </c>
      <c r="F580" s="2">
        <v>12</v>
      </c>
      <c r="G580" s="2">
        <v>6</v>
      </c>
      <c r="H580" s="2">
        <v>4</v>
      </c>
      <c r="I580" s="2">
        <v>23</v>
      </c>
      <c r="J580" s="2">
        <v>6</v>
      </c>
      <c r="K580" s="2">
        <v>6</v>
      </c>
      <c r="L580" s="2">
        <v>41</v>
      </c>
      <c r="M580" s="2">
        <v>1</v>
      </c>
      <c r="N580" s="2">
        <v>0</v>
      </c>
      <c r="O580" s="2">
        <v>10</v>
      </c>
      <c r="P580" s="2">
        <v>10</v>
      </c>
      <c r="Q580" s="2">
        <v>10</v>
      </c>
      <c r="R580" s="238">
        <v>41309</v>
      </c>
      <c r="S580" s="219">
        <v>12</v>
      </c>
      <c r="T580" s="220">
        <f>SUM( tabConsumo[[#This Row],[QTD.PENDENTE]]:tabConsumo[[#This Row],[09_23]] ) / tabConsumo[[#This Row],[Div]]</f>
        <v>10.75</v>
      </c>
      <c r="U580" s="221">
        <f xml:space="preserve"> tabConsumo[[#This Row],[Média.A]] + (_xlfn.STDEV.S( tabConsumo[[#This Row],[QTD.PENDENTE]]:tabConsumo[[#This Row],[09_23]] ) * 1)</f>
        <v>22.00025252241841</v>
      </c>
      <c r="V580" s="221">
        <f xml:space="preserve"> tabConsumo[[#This Row],[Média.A]] + (_xlfn.STDEV.S( tabConsumo[[#This Row],[QTD.PENDENTE]]:tabConsumo[[#This Row],[09_23]] ) * 2)</f>
        <v>33.250505044836821</v>
      </c>
      <c r="W580" s="221">
        <f xml:space="preserve"> tabConsumo[[#This Row],[Média.A]] + (_xlfn.STDEV.S( tabConsumo[[#This Row],[QTD.PENDENTE]]:tabConsumo[[#This Row],[09_23]] ) * 3)</f>
        <v>44.500757567255235</v>
      </c>
      <c r="X580" s="5">
        <f t="shared" si="20"/>
        <v>2</v>
      </c>
      <c r="Y580">
        <v>10.083333333333334</v>
      </c>
      <c r="Z580" s="223">
        <f>SUM( tabConsumo[[#This Row],[QTD.PENDENTE]]:tabConsumo[[#This Row],[09_23]] )</f>
        <v>129</v>
      </c>
      <c r="AA580" s="223">
        <f>LARGE(tabConsumo[[#This Row],[10_22]:[09_23]],1)</f>
        <v>41</v>
      </c>
      <c r="AB580" s="146" t="s">
        <v>2238</v>
      </c>
      <c r="AC580" s="3" t="s">
        <v>2086</v>
      </c>
    </row>
    <row r="581" spans="1:29" x14ac:dyDescent="0.3">
      <c r="A581" s="4" t="s">
        <v>1526</v>
      </c>
      <c r="B581" s="3" t="s">
        <v>269</v>
      </c>
      <c r="C581" s="2">
        <v>89863</v>
      </c>
      <c r="D581" s="2">
        <v>357</v>
      </c>
      <c r="F581" s="2">
        <v>9</v>
      </c>
      <c r="G581" s="2">
        <v>6</v>
      </c>
      <c r="H581" s="2">
        <v>3</v>
      </c>
      <c r="I581" s="2">
        <v>15</v>
      </c>
      <c r="J581" s="2">
        <v>5</v>
      </c>
      <c r="K581" s="2">
        <v>8</v>
      </c>
      <c r="L581" s="2">
        <v>30</v>
      </c>
      <c r="M581" s="2">
        <v>20</v>
      </c>
      <c r="N581" s="2">
        <v>40</v>
      </c>
      <c r="O581" s="2">
        <v>10</v>
      </c>
      <c r="P581" s="2">
        <v>0</v>
      </c>
      <c r="Q581" s="2">
        <v>0</v>
      </c>
      <c r="R581" s="238">
        <v>38743</v>
      </c>
      <c r="S581" s="219">
        <v>12</v>
      </c>
      <c r="T581" s="220">
        <f>SUM( tabConsumo[[#This Row],[QTD.PENDENTE]]:tabConsumo[[#This Row],[09_23]] ) / tabConsumo[[#This Row],[Div]]</f>
        <v>12.166666666666666</v>
      </c>
      <c r="U581" s="221">
        <f xml:space="preserve"> tabConsumo[[#This Row],[Média.A]] + (_xlfn.STDEV.S( tabConsumo[[#This Row],[QTD.PENDENTE]]:tabConsumo[[#This Row],[09_23]] ) * 1)</f>
        <v>24.464732540714678</v>
      </c>
      <c r="V581" s="221">
        <f xml:space="preserve"> tabConsumo[[#This Row],[Média.A]] + (_xlfn.STDEV.S( tabConsumo[[#This Row],[QTD.PENDENTE]]:tabConsumo[[#This Row],[09_23]] ) * 2)</f>
        <v>36.762798414762685</v>
      </c>
      <c r="W581" s="221">
        <f xml:space="preserve"> tabConsumo[[#This Row],[Média.A]] + (_xlfn.STDEV.S( tabConsumo[[#This Row],[QTD.PENDENTE]]:tabConsumo[[#This Row],[09_23]] ) * 3)</f>
        <v>49.060864288810698</v>
      </c>
      <c r="X581" s="5">
        <f t="shared" si="20"/>
        <v>2</v>
      </c>
      <c r="Y581">
        <v>11.833333333333334</v>
      </c>
      <c r="Z581" s="223">
        <f>SUM( tabConsumo[[#This Row],[QTD.PENDENTE]]:tabConsumo[[#This Row],[09_23]] )</f>
        <v>146</v>
      </c>
      <c r="AA581" s="223">
        <f>LARGE(tabConsumo[[#This Row],[10_22]:[09_23]],1)</f>
        <v>40</v>
      </c>
      <c r="AB581" s="146" t="s">
        <v>2239</v>
      </c>
      <c r="AC581" s="3" t="s">
        <v>2086</v>
      </c>
    </row>
    <row r="582" spans="1:29" x14ac:dyDescent="0.3">
      <c r="A582" s="4" t="s">
        <v>1528</v>
      </c>
      <c r="B582" s="3" t="s">
        <v>269</v>
      </c>
      <c r="C582" s="2">
        <v>89864</v>
      </c>
      <c r="D582" s="2">
        <v>774</v>
      </c>
      <c r="F582" s="2">
        <v>0</v>
      </c>
      <c r="G582" s="2">
        <v>2</v>
      </c>
      <c r="H582" s="2">
        <v>4</v>
      </c>
      <c r="I582" s="2">
        <v>1</v>
      </c>
      <c r="J582" s="2">
        <v>0</v>
      </c>
      <c r="K582" s="2">
        <v>2</v>
      </c>
      <c r="L582" s="2">
        <v>36</v>
      </c>
      <c r="M582" s="2">
        <v>0</v>
      </c>
      <c r="N582" s="2">
        <v>0</v>
      </c>
      <c r="O582" s="2">
        <v>0</v>
      </c>
      <c r="P582" s="2">
        <v>0</v>
      </c>
      <c r="Q582" s="2">
        <v>0</v>
      </c>
      <c r="R582" s="238">
        <v>38743</v>
      </c>
      <c r="S582" s="219">
        <v>12</v>
      </c>
      <c r="T582" s="220">
        <f>SUM( tabConsumo[[#This Row],[QTD.PENDENTE]]:tabConsumo[[#This Row],[09_23]] ) / tabConsumo[[#This Row],[Div]]</f>
        <v>3.75</v>
      </c>
      <c r="U582" s="221">
        <f xml:space="preserve"> tabConsumo[[#This Row],[Média.A]] + (_xlfn.STDEV.S( tabConsumo[[#This Row],[QTD.PENDENTE]]:tabConsumo[[#This Row],[09_23]] ) * 1)</f>
        <v>13.98474474522936</v>
      </c>
      <c r="V582" s="221">
        <f xml:space="preserve"> tabConsumo[[#This Row],[Média.A]] + (_xlfn.STDEV.S( tabConsumo[[#This Row],[QTD.PENDENTE]]:tabConsumo[[#This Row],[09_23]] ) * 2)</f>
        <v>24.21948949045872</v>
      </c>
      <c r="W582" s="221">
        <f xml:space="preserve"> tabConsumo[[#This Row],[Média.A]] + (_xlfn.STDEV.S( tabConsumo[[#This Row],[QTD.PENDENTE]]:tabConsumo[[#This Row],[09_23]] ) * 3)</f>
        <v>34.454234235688077</v>
      </c>
      <c r="X582" s="5">
        <f t="shared" si="20"/>
        <v>2</v>
      </c>
      <c r="Y582">
        <v>2.75</v>
      </c>
      <c r="Z582" s="223">
        <f>SUM( tabConsumo[[#This Row],[QTD.PENDENTE]]:tabConsumo[[#This Row],[09_23]] )</f>
        <v>45</v>
      </c>
      <c r="AA582" s="223">
        <f>LARGE(tabConsumo[[#This Row],[10_22]:[09_23]],1)</f>
        <v>36</v>
      </c>
      <c r="AB582" s="146" t="s">
        <v>2240</v>
      </c>
      <c r="AC582" s="3" t="s">
        <v>2086</v>
      </c>
    </row>
    <row r="583" spans="1:29" x14ac:dyDescent="0.3">
      <c r="A583" s="4" t="s">
        <v>1767</v>
      </c>
      <c r="B583" s="3" t="s">
        <v>269</v>
      </c>
      <c r="C583" s="2">
        <v>125201</v>
      </c>
      <c r="D583" s="2">
        <v>668</v>
      </c>
      <c r="F583" s="2">
        <v>6</v>
      </c>
      <c r="G583" s="2">
        <v>3</v>
      </c>
      <c r="H583" s="2">
        <v>1</v>
      </c>
      <c r="I583" s="2">
        <v>7</v>
      </c>
      <c r="J583" s="2">
        <v>4</v>
      </c>
      <c r="K583" s="2">
        <v>24</v>
      </c>
      <c r="L583" s="2">
        <v>44</v>
      </c>
      <c r="M583" s="2">
        <v>0</v>
      </c>
      <c r="N583" s="2">
        <v>0</v>
      </c>
      <c r="O583" s="2">
        <v>11</v>
      </c>
      <c r="P583" s="2">
        <v>0</v>
      </c>
      <c r="Q583" s="2">
        <v>0</v>
      </c>
      <c r="R583" s="238">
        <v>41348</v>
      </c>
      <c r="S583" s="219">
        <v>12</v>
      </c>
      <c r="T583" s="220">
        <f>SUM( tabConsumo[[#This Row],[QTD.PENDENTE]]:tabConsumo[[#This Row],[09_23]] ) / tabConsumo[[#This Row],[Div]]</f>
        <v>8.3333333333333339</v>
      </c>
      <c r="U583" s="221">
        <f xml:space="preserve"> tabConsumo[[#This Row],[Média.A]] + (_xlfn.STDEV.S( tabConsumo[[#This Row],[QTD.PENDENTE]]:tabConsumo[[#This Row],[09_23]] ) * 1)</f>
        <v>21.512747952236925</v>
      </c>
      <c r="V583" s="221">
        <f xml:space="preserve"> tabConsumo[[#This Row],[Média.A]] + (_xlfn.STDEV.S( tabConsumo[[#This Row],[QTD.PENDENTE]]:tabConsumo[[#This Row],[09_23]] ) * 2)</f>
        <v>34.692162571140514</v>
      </c>
      <c r="W583" s="221">
        <f xml:space="preserve"> tabConsumo[[#This Row],[Média.A]] + (_xlfn.STDEV.S( tabConsumo[[#This Row],[QTD.PENDENTE]]:tabConsumo[[#This Row],[09_23]] ) * 3)</f>
        <v>47.871577190044107</v>
      </c>
      <c r="X583" s="5">
        <f t="shared" si="20"/>
        <v>2</v>
      </c>
      <c r="Y583">
        <v>7.5</v>
      </c>
      <c r="Z583" s="223">
        <f>SUM( tabConsumo[[#This Row],[QTD.PENDENTE]]:tabConsumo[[#This Row],[09_23]] )</f>
        <v>100</v>
      </c>
      <c r="AA583" s="223">
        <f>LARGE(tabConsumo[[#This Row],[10_22]:[09_23]],1)</f>
        <v>44</v>
      </c>
      <c r="AB583" s="146" t="s">
        <v>2239</v>
      </c>
      <c r="AC583" s="3" t="s">
        <v>2086</v>
      </c>
    </row>
    <row r="584" spans="1:29" x14ac:dyDescent="0.3">
      <c r="A584" s="4" t="s">
        <v>1047</v>
      </c>
      <c r="B584" s="3" t="s">
        <v>31</v>
      </c>
      <c r="C584" s="2">
        <v>13655</v>
      </c>
      <c r="D584" s="2">
        <v>4392</v>
      </c>
      <c r="E584" s="2">
        <v>7</v>
      </c>
      <c r="F584" s="2">
        <v>463</v>
      </c>
      <c r="G584" s="2">
        <v>648</v>
      </c>
      <c r="H584" s="2">
        <v>1114</v>
      </c>
      <c r="I584" s="2">
        <v>529</v>
      </c>
      <c r="J584" s="2">
        <v>775</v>
      </c>
      <c r="K584" s="2">
        <v>9807</v>
      </c>
      <c r="L584" s="2">
        <v>788</v>
      </c>
      <c r="M584" s="2">
        <v>682</v>
      </c>
      <c r="N584" s="2">
        <v>682</v>
      </c>
      <c r="O584" s="2">
        <v>837</v>
      </c>
      <c r="P584" s="2">
        <v>620</v>
      </c>
      <c r="Q584" s="2">
        <v>508</v>
      </c>
      <c r="R584" s="238">
        <v>367</v>
      </c>
      <c r="S584" s="219">
        <f xml:space="preserve"> 12</f>
        <v>12</v>
      </c>
      <c r="T584" s="220">
        <f>SUM( tabConsumo[[#This Row],[QTD.PENDENTE]]:tabConsumo[[#This Row],[09_23]] ) / tabConsumo[[#This Row],[Div]]</f>
        <v>1455</v>
      </c>
      <c r="U584" s="221">
        <f xml:space="preserve"> tabConsumo[[#This Row],[Média.A]] + (_xlfn.STDEV.S( tabConsumo[[#This Row],[QTD.PENDENTE]]:tabConsumo[[#This Row],[09_23]] ) * 1)</f>
        <v>4010.6658447959135</v>
      </c>
      <c r="V584" s="221">
        <f xml:space="preserve"> tabConsumo[[#This Row],[Média.A]] + (_xlfn.STDEV.S( tabConsumo[[#This Row],[QTD.PENDENTE]]:tabConsumo[[#This Row],[09_23]] ) * 2)</f>
        <v>6566.3316895918269</v>
      </c>
      <c r="W584" s="221">
        <f xml:space="preserve"> tabConsumo[[#This Row],[Média.A]] + (_xlfn.STDEV.S( tabConsumo[[#This Row],[QTD.PENDENTE]]:tabConsumo[[#This Row],[09_23]] ) * 3)</f>
        <v>9121.9975343877413</v>
      </c>
      <c r="X584" s="5">
        <f t="shared" si="20"/>
        <v>2</v>
      </c>
      <c r="Y584">
        <v>1184.9166666666667</v>
      </c>
      <c r="Z584" s="223">
        <f>SUM( tabConsumo[[#This Row],[QTD.PENDENTE]]:tabConsumo[[#This Row],[09_23]] )</f>
        <v>17460</v>
      </c>
      <c r="AA584" s="223">
        <f>LARGE(tabConsumo[[#This Row],[10_22]:[09_23]],1)</f>
        <v>9807</v>
      </c>
      <c r="AB584" s="146" t="s">
        <v>2238</v>
      </c>
      <c r="AC584" s="3" t="s">
        <v>2086</v>
      </c>
    </row>
    <row r="585" spans="1:29" x14ac:dyDescent="0.3">
      <c r="A585" s="4" t="s">
        <v>1821</v>
      </c>
      <c r="B585" s="3" t="s">
        <v>31</v>
      </c>
      <c r="C585" s="2">
        <v>131935</v>
      </c>
      <c r="D585" s="2">
        <v>2299</v>
      </c>
      <c r="E585" s="2">
        <v>70</v>
      </c>
      <c r="F585" s="2">
        <v>77</v>
      </c>
      <c r="G585" s="2">
        <v>0</v>
      </c>
      <c r="H585" s="2">
        <v>0</v>
      </c>
      <c r="I585" s="2">
        <v>124</v>
      </c>
      <c r="J585" s="2">
        <v>331</v>
      </c>
      <c r="K585" s="2">
        <v>6500</v>
      </c>
      <c r="L585" s="2">
        <v>91</v>
      </c>
      <c r="M585" s="2">
        <v>109</v>
      </c>
      <c r="N585" s="2">
        <v>102</v>
      </c>
      <c r="O585" s="2">
        <v>101</v>
      </c>
      <c r="P585" s="2">
        <v>114</v>
      </c>
      <c r="Q585" s="2">
        <v>77</v>
      </c>
      <c r="R585" s="238">
        <v>42590</v>
      </c>
      <c r="S585" s="219">
        <v>12</v>
      </c>
      <c r="T585" s="220">
        <f>SUM( tabConsumo[[#This Row],[QTD.PENDENTE]]:tabConsumo[[#This Row],[09_23]] ) / tabConsumo[[#This Row],[Div]]</f>
        <v>641.33333333333337</v>
      </c>
      <c r="U585" s="221">
        <f xml:space="preserve"> tabConsumo[[#This Row],[Média.A]] + (_xlfn.STDEV.S( tabConsumo[[#This Row],[QTD.PENDENTE]]:tabConsumo[[#This Row],[09_23]] ) * 1)</f>
        <v>2418.2554381726723</v>
      </c>
      <c r="V585" s="221">
        <f xml:space="preserve"> tabConsumo[[#This Row],[Média.A]] + (_xlfn.STDEV.S( tabConsumo[[#This Row],[QTD.PENDENTE]]:tabConsumo[[#This Row],[09_23]] ) * 2)</f>
        <v>4195.1775430120115</v>
      </c>
      <c r="W585" s="221">
        <f xml:space="preserve"> tabConsumo[[#This Row],[Média.A]] + (_xlfn.STDEV.S( tabConsumo[[#This Row],[QTD.PENDENTE]]:tabConsumo[[#This Row],[09_23]] ) * 3)</f>
        <v>5972.0996478513498</v>
      </c>
      <c r="X585" s="5">
        <f t="shared" si="20"/>
        <v>2</v>
      </c>
      <c r="Y585">
        <v>449.25</v>
      </c>
      <c r="Z585" s="223">
        <f>SUM( tabConsumo[[#This Row],[QTD.PENDENTE]]:tabConsumo[[#This Row],[09_23]] )</f>
        <v>7696</v>
      </c>
      <c r="AA585" s="223">
        <f>LARGE(tabConsumo[[#This Row],[10_22]:[09_23]],1)</f>
        <v>6500</v>
      </c>
      <c r="AB585" s="146" t="s">
        <v>2238</v>
      </c>
      <c r="AC585" s="3" t="s">
        <v>2086</v>
      </c>
    </row>
    <row r="586" spans="1:29" x14ac:dyDescent="0.3">
      <c r="A586" s="4" t="s">
        <v>1292</v>
      </c>
      <c r="B586" s="3" t="s">
        <v>263</v>
      </c>
      <c r="C586" s="2">
        <v>48901</v>
      </c>
      <c r="D586" s="2">
        <v>289</v>
      </c>
      <c r="E586" s="2">
        <v>2</v>
      </c>
      <c r="F586" s="2">
        <v>4</v>
      </c>
      <c r="G586" s="2">
        <v>2</v>
      </c>
      <c r="H586" s="2">
        <v>0</v>
      </c>
      <c r="I586" s="2">
        <v>4</v>
      </c>
      <c r="J586" s="2">
        <v>16</v>
      </c>
      <c r="K586" s="2">
        <v>4</v>
      </c>
      <c r="L586" s="2">
        <v>2</v>
      </c>
      <c r="M586" s="2">
        <v>1</v>
      </c>
      <c r="N586" s="2">
        <v>12</v>
      </c>
      <c r="O586" s="2">
        <v>2</v>
      </c>
      <c r="P586" s="2">
        <v>8</v>
      </c>
      <c r="Q586" s="2">
        <v>2</v>
      </c>
      <c r="R586" s="238">
        <v>367</v>
      </c>
      <c r="S586" s="219">
        <f xml:space="preserve"> 12</f>
        <v>12</v>
      </c>
      <c r="T586" s="220">
        <f>SUM( tabConsumo[[#This Row],[QTD.PENDENTE]]:tabConsumo[[#This Row],[09_23]] ) / tabConsumo[[#This Row],[Div]]</f>
        <v>4.916666666666667</v>
      </c>
      <c r="U586" s="221">
        <f xml:space="preserve"> tabConsumo[[#This Row],[Média.A]] + (_xlfn.STDEV.S( tabConsumo[[#This Row],[QTD.PENDENTE]]:tabConsumo[[#This Row],[09_23]] ) * 1)</f>
        <v>9.6180030833214154</v>
      </c>
      <c r="V586" s="221">
        <f xml:space="preserve"> tabConsumo[[#This Row],[Média.A]] + (_xlfn.STDEV.S( tabConsumo[[#This Row],[QTD.PENDENTE]]:tabConsumo[[#This Row],[09_23]] ) * 2)</f>
        <v>14.319339499976163</v>
      </c>
      <c r="W586" s="221">
        <f xml:space="preserve"> tabConsumo[[#This Row],[Média.A]] + (_xlfn.STDEV.S( tabConsumo[[#This Row],[QTD.PENDENTE]]:tabConsumo[[#This Row],[09_23]] ) * 3)</f>
        <v>19.020675916630911</v>
      </c>
      <c r="X586" s="5">
        <f t="shared" si="20"/>
        <v>2</v>
      </c>
      <c r="Y586">
        <v>4.75</v>
      </c>
      <c r="Z586" s="223">
        <f>SUM( tabConsumo[[#This Row],[QTD.PENDENTE]]:tabConsumo[[#This Row],[09_23]] )</f>
        <v>59</v>
      </c>
      <c r="AA586" s="223">
        <f>LARGE(tabConsumo[[#This Row],[10_22]:[09_23]],1)</f>
        <v>16</v>
      </c>
      <c r="AB586" s="146" t="s">
        <v>2238</v>
      </c>
      <c r="AC586" s="3" t="s">
        <v>2086</v>
      </c>
    </row>
    <row r="587" spans="1:29" x14ac:dyDescent="0.3">
      <c r="A587" s="4" t="s">
        <v>1443</v>
      </c>
      <c r="B587" s="3" t="s">
        <v>653</v>
      </c>
      <c r="C587" s="2">
        <v>78181</v>
      </c>
      <c r="D587" s="2">
        <v>188</v>
      </c>
      <c r="E587" s="2">
        <v>65</v>
      </c>
      <c r="F587" s="2">
        <v>19</v>
      </c>
      <c r="G587" s="2">
        <v>10</v>
      </c>
      <c r="H587" s="2">
        <v>6</v>
      </c>
      <c r="I587" s="2">
        <v>0</v>
      </c>
      <c r="J587" s="2">
        <v>0</v>
      </c>
      <c r="K587" s="2">
        <v>0</v>
      </c>
      <c r="L587" s="2">
        <v>0</v>
      </c>
      <c r="M587" s="2">
        <v>0</v>
      </c>
      <c r="N587" s="2">
        <v>0</v>
      </c>
      <c r="O587" s="2">
        <v>0</v>
      </c>
      <c r="P587" s="2">
        <v>10</v>
      </c>
      <c r="Q587" s="2">
        <v>2</v>
      </c>
      <c r="R587" s="238">
        <v>38079</v>
      </c>
      <c r="S587" s="219">
        <v>12</v>
      </c>
      <c r="T587" s="220">
        <f>SUM( tabConsumo[[#This Row],[QTD.PENDENTE]]:tabConsumo[[#This Row],[09_23]] ) / tabConsumo[[#This Row],[Div]]</f>
        <v>9.3333333333333339</v>
      </c>
      <c r="U587" s="221">
        <f xml:space="preserve"> tabConsumo[[#This Row],[Média.A]] + (_xlfn.STDEV.S( tabConsumo[[#This Row],[QTD.PENDENTE]]:tabConsumo[[#This Row],[09_23]] ) * 1)</f>
        <v>27.270903131285628</v>
      </c>
      <c r="V587" s="221">
        <f xml:space="preserve"> tabConsumo[[#This Row],[Média.A]] + (_xlfn.STDEV.S( tabConsumo[[#This Row],[QTD.PENDENTE]]:tabConsumo[[#This Row],[09_23]] ) * 2)</f>
        <v>45.208472929237921</v>
      </c>
      <c r="W587" s="221">
        <f xml:space="preserve"> tabConsumo[[#This Row],[Média.A]] + (_xlfn.STDEV.S( tabConsumo[[#This Row],[QTD.PENDENTE]]:tabConsumo[[#This Row],[09_23]] ) * 3)</f>
        <v>63.146042727190213</v>
      </c>
      <c r="X587" s="5">
        <f t="shared" si="20"/>
        <v>2</v>
      </c>
      <c r="Y587">
        <v>9.3333333333333339</v>
      </c>
      <c r="Z587" s="223">
        <f>SUM( tabConsumo[[#This Row],[QTD.PENDENTE]]:tabConsumo[[#This Row],[09_23]] )</f>
        <v>112</v>
      </c>
      <c r="AA587" s="223">
        <f>LARGE(tabConsumo[[#This Row],[10_22]:[09_23]],1)</f>
        <v>19</v>
      </c>
      <c r="AB587" s="146" t="s">
        <v>2238</v>
      </c>
      <c r="AC587" s="3" t="s">
        <v>2086</v>
      </c>
    </row>
    <row r="588" spans="1:29" x14ac:dyDescent="0.3">
      <c r="A588" s="4" t="s">
        <v>1977</v>
      </c>
      <c r="B588" s="3" t="s">
        <v>31</v>
      </c>
      <c r="C588" s="2">
        <v>138465</v>
      </c>
      <c r="D588" s="2">
        <v>4387</v>
      </c>
      <c r="E588" s="2">
        <v>253</v>
      </c>
      <c r="F588" s="2">
        <v>366</v>
      </c>
      <c r="G588" s="2">
        <v>657</v>
      </c>
      <c r="H588" s="2">
        <v>208</v>
      </c>
      <c r="I588" s="2">
        <v>42</v>
      </c>
      <c r="J588" s="2">
        <v>0</v>
      </c>
      <c r="K588" s="2">
        <v>649</v>
      </c>
      <c r="L588" s="2">
        <v>424</v>
      </c>
      <c r="M588" s="2">
        <v>529</v>
      </c>
      <c r="N588" s="2">
        <v>303</v>
      </c>
      <c r="O588" s="2">
        <v>276</v>
      </c>
      <c r="P588" s="2">
        <v>311</v>
      </c>
      <c r="Q588" s="2">
        <v>237</v>
      </c>
      <c r="R588" s="238">
        <v>43720</v>
      </c>
      <c r="S588" s="219">
        <v>12</v>
      </c>
      <c r="T588" s="220">
        <f>SUM( tabConsumo[[#This Row],[QTD.PENDENTE]]:tabConsumo[[#This Row],[09_23]] ) / tabConsumo[[#This Row],[Div]]</f>
        <v>354.58333333333331</v>
      </c>
      <c r="U588" s="221">
        <f xml:space="preserve"> tabConsumo[[#This Row],[Média.A]] + (_xlfn.STDEV.S( tabConsumo[[#This Row],[QTD.PENDENTE]]:tabConsumo[[#This Row],[09_23]] ) * 1)</f>
        <v>555.34039407067689</v>
      </c>
      <c r="V588" s="221">
        <f xml:space="preserve"> tabConsumo[[#This Row],[Média.A]] + (_xlfn.STDEV.S( tabConsumo[[#This Row],[QTD.PENDENTE]]:tabConsumo[[#This Row],[09_23]] ) * 2)</f>
        <v>756.0974548080203</v>
      </c>
      <c r="W588" s="221">
        <f xml:space="preserve"> tabConsumo[[#This Row],[Média.A]] + (_xlfn.STDEV.S( tabConsumo[[#This Row],[QTD.PENDENTE]]:tabConsumo[[#This Row],[09_23]] ) * 3)</f>
        <v>956.85451554536394</v>
      </c>
      <c r="X588" s="5">
        <f t="shared" si="20"/>
        <v>2</v>
      </c>
      <c r="Y588">
        <v>354.58333333333331</v>
      </c>
      <c r="Z588" s="223">
        <f>SUM( tabConsumo[[#This Row],[QTD.PENDENTE]]:tabConsumo[[#This Row],[09_23]] )</f>
        <v>4255</v>
      </c>
      <c r="AA588" s="223">
        <f>LARGE(tabConsumo[[#This Row],[10_22]:[09_23]],1)</f>
        <v>657</v>
      </c>
      <c r="AB588" s="146" t="s">
        <v>2238</v>
      </c>
      <c r="AC588" s="3" t="s">
        <v>2086</v>
      </c>
    </row>
    <row r="589" spans="1:29" x14ac:dyDescent="0.3">
      <c r="A589" s="4" t="s">
        <v>1991</v>
      </c>
      <c r="B589" s="3" t="s">
        <v>31</v>
      </c>
      <c r="C589" s="2">
        <v>139767</v>
      </c>
      <c r="D589" s="2">
        <v>1813</v>
      </c>
      <c r="E589" s="2">
        <v>8</v>
      </c>
      <c r="F589" s="2">
        <v>223</v>
      </c>
      <c r="G589" s="2">
        <v>192</v>
      </c>
      <c r="H589" s="2">
        <v>145</v>
      </c>
      <c r="I589" s="2">
        <v>217</v>
      </c>
      <c r="J589" s="2">
        <v>154</v>
      </c>
      <c r="K589" s="2">
        <v>295</v>
      </c>
      <c r="L589" s="2">
        <v>161</v>
      </c>
      <c r="M589" s="2">
        <v>242</v>
      </c>
      <c r="N589" s="2">
        <v>200</v>
      </c>
      <c r="O589" s="2">
        <v>134</v>
      </c>
      <c r="P589" s="2">
        <v>169</v>
      </c>
      <c r="Q589" s="2">
        <v>178</v>
      </c>
      <c r="R589" s="238">
        <v>44020</v>
      </c>
      <c r="S589" s="219">
        <v>12</v>
      </c>
      <c r="T589" s="220">
        <f>SUM( tabConsumo[[#This Row],[QTD.PENDENTE]]:tabConsumo[[#This Row],[09_23]] ) / tabConsumo[[#This Row],[Div]]</f>
        <v>193.16666666666666</v>
      </c>
      <c r="U589" s="221">
        <f xml:space="preserve"> tabConsumo[[#This Row],[Média.A]] + (_xlfn.STDEV.S( tabConsumo[[#This Row],[QTD.PENDENTE]]:tabConsumo[[#This Row],[09_23]] ) * 1)</f>
        <v>260.79356542668256</v>
      </c>
      <c r="V589" s="221">
        <f xml:space="preserve"> tabConsumo[[#This Row],[Média.A]] + (_xlfn.STDEV.S( tabConsumo[[#This Row],[QTD.PENDENTE]]:tabConsumo[[#This Row],[09_23]] ) * 2)</f>
        <v>328.42046418669838</v>
      </c>
      <c r="W589" s="221">
        <f xml:space="preserve"> tabConsumo[[#This Row],[Média.A]] + (_xlfn.STDEV.S( tabConsumo[[#This Row],[QTD.PENDENTE]]:tabConsumo[[#This Row],[09_23]] ) * 3)</f>
        <v>396.04736294671432</v>
      </c>
      <c r="X589" s="5">
        <f t="shared" si="20"/>
        <v>2</v>
      </c>
      <c r="Y589">
        <v>193.16666666666666</v>
      </c>
      <c r="Z589" s="223">
        <f>SUM( tabConsumo[[#This Row],[QTD.PENDENTE]]:tabConsumo[[#This Row],[09_23]] )</f>
        <v>2318</v>
      </c>
      <c r="AA589" s="223">
        <f>LARGE(tabConsumo[[#This Row],[10_22]:[09_23]],1)</f>
        <v>295</v>
      </c>
      <c r="AB589" s="146" t="s">
        <v>2238</v>
      </c>
      <c r="AC589" s="3" t="s">
        <v>2086</v>
      </c>
    </row>
    <row r="590" spans="1:29" x14ac:dyDescent="0.3">
      <c r="A590" s="4" t="s">
        <v>1883</v>
      </c>
      <c r="B590" s="3" t="s">
        <v>560</v>
      </c>
      <c r="C590" s="2">
        <v>134545</v>
      </c>
      <c r="D590" s="2">
        <v>894.81</v>
      </c>
      <c r="F590" s="2">
        <v>0</v>
      </c>
      <c r="G590" s="2">
        <v>22</v>
      </c>
      <c r="H590" s="2">
        <v>0</v>
      </c>
      <c r="I590" s="2">
        <v>0</v>
      </c>
      <c r="J590" s="2">
        <v>0</v>
      </c>
      <c r="K590" s="2">
        <v>0</v>
      </c>
      <c r="L590" s="2">
        <v>0</v>
      </c>
      <c r="M590" s="2">
        <v>0</v>
      </c>
      <c r="N590" s="2">
        <v>0</v>
      </c>
      <c r="O590" s="2">
        <v>21</v>
      </c>
      <c r="P590" s="2">
        <v>0</v>
      </c>
      <c r="Q590" s="2">
        <v>0</v>
      </c>
      <c r="R590" s="238">
        <v>43172</v>
      </c>
      <c r="S590" s="219">
        <v>12</v>
      </c>
      <c r="T590" s="220">
        <f>SUM( tabConsumo[[#This Row],[QTD.PENDENTE]]:tabConsumo[[#This Row],[09_23]] ) / tabConsumo[[#This Row],[Div]]</f>
        <v>3.5833333333333335</v>
      </c>
      <c r="U590" s="221">
        <f xml:space="preserve"> tabConsumo[[#This Row],[Média.A]] + (_xlfn.STDEV.S( tabConsumo[[#This Row],[QTD.PENDENTE]]:tabConsumo[[#This Row],[09_23]] ) * 1)</f>
        <v>11.954912236582906</v>
      </c>
      <c r="V590" s="221">
        <f xml:space="preserve"> tabConsumo[[#This Row],[Média.A]] + (_xlfn.STDEV.S( tabConsumo[[#This Row],[QTD.PENDENTE]]:tabConsumo[[#This Row],[09_23]] ) * 2)</f>
        <v>20.326491139832477</v>
      </c>
      <c r="W590" s="221">
        <f xml:space="preserve"> tabConsumo[[#This Row],[Média.A]] + (_xlfn.STDEV.S( tabConsumo[[#This Row],[QTD.PENDENTE]]:tabConsumo[[#This Row],[09_23]] ) * 3)</f>
        <v>28.698070043082051</v>
      </c>
      <c r="X590" s="5">
        <f t="shared" si="20"/>
        <v>2</v>
      </c>
      <c r="Y590">
        <v>3.3333333333333335</v>
      </c>
      <c r="Z590" s="223">
        <f>SUM( tabConsumo[[#This Row],[QTD.PENDENTE]]:tabConsumo[[#This Row],[09_23]] )</f>
        <v>43</v>
      </c>
      <c r="AA590" s="223">
        <f>LARGE(tabConsumo[[#This Row],[10_22]:[09_23]],1)</f>
        <v>22</v>
      </c>
      <c r="AB590" s="146" t="s">
        <v>2239</v>
      </c>
      <c r="AC590" s="3" t="s">
        <v>2086</v>
      </c>
    </row>
    <row r="591" spans="1:29" x14ac:dyDescent="0.3">
      <c r="A591" s="4" t="s">
        <v>1884</v>
      </c>
      <c r="B591" s="3" t="s">
        <v>560</v>
      </c>
      <c r="C591" s="2">
        <v>134546</v>
      </c>
      <c r="D591" s="2">
        <v>1035.5</v>
      </c>
      <c r="F591" s="2">
        <v>2</v>
      </c>
      <c r="G591" s="2">
        <v>4</v>
      </c>
      <c r="H591" s="2">
        <v>211</v>
      </c>
      <c r="I591" s="2">
        <v>146</v>
      </c>
      <c r="J591" s="2">
        <v>12</v>
      </c>
      <c r="K591" s="2">
        <v>0</v>
      </c>
      <c r="L591" s="2">
        <v>0</v>
      </c>
      <c r="M591" s="2">
        <v>0</v>
      </c>
      <c r="N591" s="2">
        <v>0</v>
      </c>
      <c r="O591" s="2">
        <v>12</v>
      </c>
      <c r="P591" s="2">
        <v>92</v>
      </c>
      <c r="Q591" s="2">
        <v>300</v>
      </c>
      <c r="R591" s="238">
        <v>43172</v>
      </c>
      <c r="S591" s="219">
        <v>12</v>
      </c>
      <c r="T591" s="220">
        <f>SUM( tabConsumo[[#This Row],[QTD.PENDENTE]]:tabConsumo[[#This Row],[09_23]] ) / tabConsumo[[#This Row],[Div]]</f>
        <v>64.916666666666671</v>
      </c>
      <c r="U591" s="221">
        <f xml:space="preserve"> tabConsumo[[#This Row],[Média.A]] + (_xlfn.STDEV.S( tabConsumo[[#This Row],[QTD.PENDENTE]]:tabConsumo[[#This Row],[09_23]] ) * 1)</f>
        <v>166.73598822414044</v>
      </c>
      <c r="V591" s="221">
        <f xml:space="preserve"> tabConsumo[[#This Row],[Média.A]] + (_xlfn.STDEV.S( tabConsumo[[#This Row],[QTD.PENDENTE]]:tabConsumo[[#This Row],[09_23]] ) * 2)</f>
        <v>268.5553097816142</v>
      </c>
      <c r="W591" s="221">
        <f xml:space="preserve"> tabConsumo[[#This Row],[Média.A]] + (_xlfn.STDEV.S( tabConsumo[[#This Row],[QTD.PENDENTE]]:tabConsumo[[#This Row],[09_23]] ) * 3)</f>
        <v>370.37463133908801</v>
      </c>
      <c r="X591" s="5">
        <f t="shared" si="20"/>
        <v>2</v>
      </c>
      <c r="Y591">
        <v>62.25</v>
      </c>
      <c r="Z591" s="223">
        <f>SUM( tabConsumo[[#This Row],[QTD.PENDENTE]]:tabConsumo[[#This Row],[09_23]] )</f>
        <v>779</v>
      </c>
      <c r="AA591" s="223">
        <f>LARGE(tabConsumo[[#This Row],[10_22]:[09_23]],1)</f>
        <v>300</v>
      </c>
      <c r="AB591" s="146" t="s">
        <v>2238</v>
      </c>
      <c r="AC591" s="3" t="s">
        <v>2086</v>
      </c>
    </row>
    <row r="592" spans="1:29" x14ac:dyDescent="0.3">
      <c r="A592" s="4" t="s">
        <v>1885</v>
      </c>
      <c r="B592" s="3" t="s">
        <v>560</v>
      </c>
      <c r="C592" s="2">
        <v>134547</v>
      </c>
      <c r="D592" s="2">
        <v>1095.44</v>
      </c>
      <c r="F592" s="2">
        <v>73</v>
      </c>
      <c r="G592" s="2">
        <v>6</v>
      </c>
      <c r="H592" s="2">
        <v>124</v>
      </c>
      <c r="I592" s="2">
        <v>14</v>
      </c>
      <c r="J592" s="2">
        <v>20</v>
      </c>
      <c r="K592" s="2">
        <v>2</v>
      </c>
      <c r="L592" s="2">
        <v>1</v>
      </c>
      <c r="M592" s="2">
        <v>0</v>
      </c>
      <c r="N592" s="2">
        <v>13</v>
      </c>
      <c r="O592" s="2">
        <v>52</v>
      </c>
      <c r="P592" s="2">
        <v>285</v>
      </c>
      <c r="Q592" s="2">
        <v>198</v>
      </c>
      <c r="R592" s="238">
        <v>43172</v>
      </c>
      <c r="S592" s="219">
        <v>12</v>
      </c>
      <c r="T592" s="220">
        <f>SUM( tabConsumo[[#This Row],[QTD.PENDENTE]]:tabConsumo[[#This Row],[09_23]] ) / tabConsumo[[#This Row],[Div]]</f>
        <v>65.666666666666671</v>
      </c>
      <c r="U592" s="221">
        <f xml:space="preserve"> tabConsumo[[#This Row],[Média.A]] + (_xlfn.STDEV.S( tabConsumo[[#This Row],[QTD.PENDENTE]]:tabConsumo[[#This Row],[09_23]] ) * 1)</f>
        <v>157.56516139499905</v>
      </c>
      <c r="V592" s="221">
        <f xml:space="preserve"> tabConsumo[[#This Row],[Média.A]] + (_xlfn.STDEV.S( tabConsumo[[#This Row],[QTD.PENDENTE]]:tabConsumo[[#This Row],[09_23]] ) * 2)</f>
        <v>249.46365612333142</v>
      </c>
      <c r="W592" s="221">
        <f xml:space="preserve"> tabConsumo[[#This Row],[Média.A]] + (_xlfn.STDEV.S( tabConsumo[[#This Row],[QTD.PENDENTE]]:tabConsumo[[#This Row],[09_23]] ) * 3)</f>
        <v>341.36215085166378</v>
      </c>
      <c r="X592" s="5">
        <f t="shared" si="20"/>
        <v>2</v>
      </c>
      <c r="Y592">
        <v>62.666666666666664</v>
      </c>
      <c r="Z592" s="223">
        <f>SUM( tabConsumo[[#This Row],[QTD.PENDENTE]]:tabConsumo[[#This Row],[09_23]] )</f>
        <v>788</v>
      </c>
      <c r="AA592" s="223">
        <f>LARGE(tabConsumo[[#This Row],[10_22]:[09_23]],1)</f>
        <v>285</v>
      </c>
      <c r="AB592" s="146" t="s">
        <v>2238</v>
      </c>
      <c r="AC592" s="3" t="s">
        <v>2086</v>
      </c>
    </row>
    <row r="593" spans="1:29" x14ac:dyDescent="0.3">
      <c r="A593" s="4" t="s">
        <v>1886</v>
      </c>
      <c r="B593" s="3" t="s">
        <v>560</v>
      </c>
      <c r="C593" s="2">
        <v>134548</v>
      </c>
      <c r="D593" s="2">
        <v>3021.18</v>
      </c>
      <c r="F593" s="2">
        <v>97</v>
      </c>
      <c r="G593" s="2">
        <v>18</v>
      </c>
      <c r="H593" s="2">
        <v>290</v>
      </c>
      <c r="I593" s="2">
        <v>576</v>
      </c>
      <c r="J593" s="2">
        <v>3</v>
      </c>
      <c r="K593" s="2">
        <v>10</v>
      </c>
      <c r="L593" s="2">
        <v>1</v>
      </c>
      <c r="M593" s="2">
        <v>0</v>
      </c>
      <c r="N593" s="2">
        <v>5</v>
      </c>
      <c r="O593" s="2">
        <v>22</v>
      </c>
      <c r="P593" s="2">
        <v>361</v>
      </c>
      <c r="Q593" s="2">
        <v>17</v>
      </c>
      <c r="R593" s="238">
        <v>43172</v>
      </c>
      <c r="S593" s="219">
        <v>12</v>
      </c>
      <c r="T593" s="220">
        <f>SUM( tabConsumo[[#This Row],[QTD.PENDENTE]]:tabConsumo[[#This Row],[09_23]] ) / tabConsumo[[#This Row],[Div]]</f>
        <v>116.66666666666667</v>
      </c>
      <c r="U593" s="221">
        <f xml:space="preserve"> tabConsumo[[#This Row],[Média.A]] + (_xlfn.STDEV.S( tabConsumo[[#This Row],[QTD.PENDENTE]]:tabConsumo[[#This Row],[09_23]] ) * 1)</f>
        <v>305.80458331785405</v>
      </c>
      <c r="V593" s="221">
        <f xml:space="preserve"> tabConsumo[[#This Row],[Média.A]] + (_xlfn.STDEV.S( tabConsumo[[#This Row],[QTD.PENDENTE]]:tabConsumo[[#This Row],[09_23]] ) * 2)</f>
        <v>494.94249996904148</v>
      </c>
      <c r="W593" s="221">
        <f xml:space="preserve"> tabConsumo[[#This Row],[Média.A]] + (_xlfn.STDEV.S( tabConsumo[[#This Row],[QTD.PENDENTE]]:tabConsumo[[#This Row],[09_23]] ) * 3)</f>
        <v>684.08041662022879</v>
      </c>
      <c r="X593" s="5">
        <f t="shared" si="20"/>
        <v>2</v>
      </c>
      <c r="Y593">
        <v>109.83333333333333</v>
      </c>
      <c r="Z593" s="223">
        <f>SUM( tabConsumo[[#This Row],[QTD.PENDENTE]]:tabConsumo[[#This Row],[09_23]] )</f>
        <v>1400</v>
      </c>
      <c r="AA593" s="223">
        <f>LARGE(tabConsumo[[#This Row],[10_22]:[09_23]],1)</f>
        <v>576</v>
      </c>
      <c r="AB593" s="146" t="s">
        <v>2238</v>
      </c>
      <c r="AC593" s="3" t="s">
        <v>2086</v>
      </c>
    </row>
    <row r="594" spans="1:29" x14ac:dyDescent="0.3">
      <c r="A594" s="4" t="s">
        <v>1887</v>
      </c>
      <c r="B594" s="3" t="s">
        <v>560</v>
      </c>
      <c r="C594" s="2">
        <v>134549</v>
      </c>
      <c r="D594" s="2">
        <v>1451.15</v>
      </c>
      <c r="F594" s="2">
        <v>3</v>
      </c>
      <c r="G594" s="2">
        <v>0</v>
      </c>
      <c r="H594" s="2">
        <v>0</v>
      </c>
      <c r="I594" s="2">
        <v>6</v>
      </c>
      <c r="J594" s="2">
        <v>0</v>
      </c>
      <c r="K594" s="2">
        <v>0</v>
      </c>
      <c r="L594" s="2">
        <v>0</v>
      </c>
      <c r="M594" s="2">
        <v>0</v>
      </c>
      <c r="N594" s="2">
        <v>3</v>
      </c>
      <c r="O594" s="2">
        <v>20</v>
      </c>
      <c r="P594" s="2">
        <v>0</v>
      </c>
      <c r="Q594" s="2">
        <v>0</v>
      </c>
      <c r="R594" s="238">
        <v>43172</v>
      </c>
      <c r="S594" s="219">
        <v>12</v>
      </c>
      <c r="T594" s="220">
        <f>SUM( tabConsumo[[#This Row],[QTD.PENDENTE]]:tabConsumo[[#This Row],[09_23]] ) / tabConsumo[[#This Row],[Div]]</f>
        <v>2.6666666666666665</v>
      </c>
      <c r="U594" s="221">
        <f xml:space="preserve"> tabConsumo[[#This Row],[Média.A]] + (_xlfn.STDEV.S( tabConsumo[[#This Row],[QTD.PENDENTE]]:tabConsumo[[#This Row],[09_23]] ) * 1)</f>
        <v>8.455893861651461</v>
      </c>
      <c r="V594" s="221">
        <f xml:space="preserve"> tabConsumo[[#This Row],[Média.A]] + (_xlfn.STDEV.S( tabConsumo[[#This Row],[QTD.PENDENTE]]:tabConsumo[[#This Row],[09_23]] ) * 2)</f>
        <v>14.245121056636256</v>
      </c>
      <c r="W594" s="221">
        <f xml:space="preserve"> tabConsumo[[#This Row],[Média.A]] + (_xlfn.STDEV.S( tabConsumo[[#This Row],[QTD.PENDENTE]]:tabConsumo[[#This Row],[09_23]] ) * 3)</f>
        <v>20.034348251621051</v>
      </c>
      <c r="X594" s="5">
        <f t="shared" si="20"/>
        <v>2</v>
      </c>
      <c r="Y594">
        <v>2.1666666666666665</v>
      </c>
      <c r="Z594" s="223">
        <f>SUM( tabConsumo[[#This Row],[QTD.PENDENTE]]:tabConsumo[[#This Row],[09_23]] )</f>
        <v>32</v>
      </c>
      <c r="AA594" s="223">
        <f>LARGE(tabConsumo[[#This Row],[10_22]:[09_23]],1)</f>
        <v>20</v>
      </c>
      <c r="AB594" s="146" t="s">
        <v>2239</v>
      </c>
      <c r="AC594" s="3" t="s">
        <v>2086</v>
      </c>
    </row>
    <row r="595" spans="1:29" x14ac:dyDescent="0.3">
      <c r="A595" s="4" t="s">
        <v>570</v>
      </c>
      <c r="B595" s="3" t="s">
        <v>560</v>
      </c>
      <c r="C595" s="2">
        <v>87157</v>
      </c>
      <c r="D595" s="2">
        <v>329.48</v>
      </c>
      <c r="F595" s="2">
        <v>0</v>
      </c>
      <c r="G595" s="2">
        <v>0</v>
      </c>
      <c r="H595" s="2">
        <v>0</v>
      </c>
      <c r="I595" s="2">
        <v>6</v>
      </c>
      <c r="J595" s="2">
        <v>8</v>
      </c>
      <c r="K595" s="2">
        <v>0</v>
      </c>
      <c r="L595" s="2">
        <v>0</v>
      </c>
      <c r="M595" s="2">
        <v>0</v>
      </c>
      <c r="N595" s="2">
        <v>0</v>
      </c>
      <c r="O595" s="2">
        <v>12</v>
      </c>
      <c r="P595" s="2">
        <v>0</v>
      </c>
      <c r="Q595" s="2">
        <v>0</v>
      </c>
      <c r="R595" s="238">
        <v>38580</v>
      </c>
      <c r="S595" s="219">
        <v>12</v>
      </c>
      <c r="T595" s="220">
        <f>SUM( tabConsumo[[#This Row],[QTD.PENDENTE]]:tabConsumo[[#This Row],[09_23]] ) / tabConsumo[[#This Row],[Div]]</f>
        <v>2.1666666666666665</v>
      </c>
      <c r="U595" s="221">
        <f xml:space="preserve"> tabConsumo[[#This Row],[Média.A]] + (_xlfn.STDEV.S( tabConsumo[[#This Row],[QTD.PENDENTE]]:tabConsumo[[#This Row],[09_23]] ) * 1)</f>
        <v>6.2971153179158339</v>
      </c>
      <c r="V595" s="221">
        <f xml:space="preserve"> tabConsumo[[#This Row],[Média.A]] + (_xlfn.STDEV.S( tabConsumo[[#This Row],[QTD.PENDENTE]]:tabConsumo[[#This Row],[09_23]] ) * 2)</f>
        <v>10.427563969165</v>
      </c>
      <c r="W595" s="221">
        <f xml:space="preserve"> tabConsumo[[#This Row],[Média.A]] + (_xlfn.STDEV.S( tabConsumo[[#This Row],[QTD.PENDENTE]]:tabConsumo[[#This Row],[09_23]] ) * 3)</f>
        <v>14.558012620414166</v>
      </c>
      <c r="X595" s="5">
        <f t="shared" si="20"/>
        <v>2</v>
      </c>
      <c r="Y595">
        <v>2</v>
      </c>
      <c r="Z595" s="223">
        <f>SUM( tabConsumo[[#This Row],[QTD.PENDENTE]]:tabConsumo[[#This Row],[09_23]] )</f>
        <v>26</v>
      </c>
      <c r="AA595" s="223">
        <f>LARGE(tabConsumo[[#This Row],[10_22]:[09_23]],1)</f>
        <v>12</v>
      </c>
      <c r="AB595" s="146" t="s">
        <v>2239</v>
      </c>
      <c r="AC595" s="3" t="s">
        <v>2086</v>
      </c>
    </row>
    <row r="596" spans="1:29" x14ac:dyDescent="0.3">
      <c r="A596" s="4" t="s">
        <v>1777</v>
      </c>
      <c r="B596" s="3" t="s">
        <v>31</v>
      </c>
      <c r="C596" s="2">
        <v>126837</v>
      </c>
      <c r="D596" s="2">
        <v>3515</v>
      </c>
      <c r="F596" s="2">
        <v>12</v>
      </c>
      <c r="G596" s="2">
        <v>0</v>
      </c>
      <c r="H596" s="2">
        <v>0</v>
      </c>
      <c r="I596" s="2">
        <v>200</v>
      </c>
      <c r="J596" s="2">
        <v>0</v>
      </c>
      <c r="K596" s="2">
        <v>50</v>
      </c>
      <c r="L596" s="2">
        <v>400</v>
      </c>
      <c r="M596" s="2">
        <v>0</v>
      </c>
      <c r="N596" s="2">
        <v>0</v>
      </c>
      <c r="O596" s="2">
        <v>0</v>
      </c>
      <c r="P596" s="2">
        <v>0</v>
      </c>
      <c r="Q596" s="2">
        <v>4</v>
      </c>
      <c r="R596" s="238">
        <v>41596</v>
      </c>
      <c r="S596" s="219">
        <v>12</v>
      </c>
      <c r="T596" s="220">
        <f>SUM( tabConsumo[[#This Row],[QTD.PENDENTE]]:tabConsumo[[#This Row],[09_23]] ) / tabConsumo[[#This Row],[Div]]</f>
        <v>55.5</v>
      </c>
      <c r="U596" s="221">
        <f xml:space="preserve"> tabConsumo[[#This Row],[Média.A]] + (_xlfn.STDEV.S( tabConsumo[[#This Row],[QTD.PENDENTE]]:tabConsumo[[#This Row],[09_23]] ) * 1)</f>
        <v>178.23289549409171</v>
      </c>
      <c r="V596" s="221">
        <f xml:space="preserve"> tabConsumo[[#This Row],[Média.A]] + (_xlfn.STDEV.S( tabConsumo[[#This Row],[QTD.PENDENTE]]:tabConsumo[[#This Row],[09_23]] ) * 2)</f>
        <v>300.96579098818341</v>
      </c>
      <c r="W596" s="221">
        <f xml:space="preserve"> tabConsumo[[#This Row],[Média.A]] + (_xlfn.STDEV.S( tabConsumo[[#This Row],[QTD.PENDENTE]]:tabConsumo[[#This Row],[09_23]] ) * 3)</f>
        <v>423.69868648227509</v>
      </c>
      <c r="X596" s="5">
        <f t="shared" si="20"/>
        <v>2</v>
      </c>
      <c r="Y596">
        <v>47.166666666666664</v>
      </c>
      <c r="Z596" s="223">
        <f>SUM( tabConsumo[[#This Row],[QTD.PENDENTE]]:tabConsumo[[#This Row],[09_23]] )</f>
        <v>666</v>
      </c>
      <c r="AA596" s="223">
        <f>LARGE(tabConsumo[[#This Row],[10_22]:[09_23]],1)</f>
        <v>400</v>
      </c>
      <c r="AB596" s="146" t="s">
        <v>2238</v>
      </c>
      <c r="AC596" s="3" t="s">
        <v>2086</v>
      </c>
    </row>
    <row r="597" spans="1:29" x14ac:dyDescent="0.3">
      <c r="A597" s="4" t="s">
        <v>1878</v>
      </c>
      <c r="B597" s="3" t="s">
        <v>1872</v>
      </c>
      <c r="C597" s="2">
        <v>134247</v>
      </c>
      <c r="D597" s="2">
        <v>75.39</v>
      </c>
      <c r="E597" s="2">
        <v>36.04</v>
      </c>
      <c r="F597" s="2">
        <v>28.96</v>
      </c>
      <c r="G597" s="2">
        <v>18</v>
      </c>
      <c r="H597" s="2">
        <v>26</v>
      </c>
      <c r="I597" s="2">
        <v>9</v>
      </c>
      <c r="J597" s="2">
        <v>48.8</v>
      </c>
      <c r="K597" s="2">
        <v>52.78</v>
      </c>
      <c r="L597" s="2">
        <v>47.42</v>
      </c>
      <c r="M597" s="2">
        <v>91</v>
      </c>
      <c r="N597" s="2">
        <v>42</v>
      </c>
      <c r="O597" s="2">
        <v>21</v>
      </c>
      <c r="P597" s="2">
        <v>56</v>
      </c>
      <c r="Q597" s="2">
        <v>1</v>
      </c>
      <c r="R597" s="238">
        <v>43138</v>
      </c>
      <c r="S597" s="219">
        <v>12</v>
      </c>
      <c r="T597" s="220">
        <f>SUM( tabConsumo[[#This Row],[QTD.PENDENTE]]:tabConsumo[[#This Row],[09_23]] ) / tabConsumo[[#This Row],[Div]]</f>
        <v>39.833333333333336</v>
      </c>
      <c r="U597" s="221">
        <f xml:space="preserve"> tabConsumo[[#This Row],[Média.A]] + (_xlfn.STDEV.S( tabConsumo[[#This Row],[QTD.PENDENTE]]:tabConsumo[[#This Row],[09_23]] ) * 1)</f>
        <v>63.430112231288334</v>
      </c>
      <c r="V597" s="221">
        <f xml:space="preserve"> tabConsumo[[#This Row],[Média.A]] + (_xlfn.STDEV.S( tabConsumo[[#This Row],[QTD.PENDENTE]]:tabConsumo[[#This Row],[09_23]] ) * 2)</f>
        <v>87.026891129243324</v>
      </c>
      <c r="W597" s="221">
        <f xml:space="preserve"> tabConsumo[[#This Row],[Média.A]] + (_xlfn.STDEV.S( tabConsumo[[#This Row],[QTD.PENDENTE]]:tabConsumo[[#This Row],[09_23]] ) * 3)</f>
        <v>110.62367002719833</v>
      </c>
      <c r="X597" s="5">
        <f t="shared" si="20"/>
        <v>2</v>
      </c>
      <c r="Y597">
        <v>39.5</v>
      </c>
      <c r="Z597" s="223">
        <f>SUM( tabConsumo[[#This Row],[QTD.PENDENTE]]:tabConsumo[[#This Row],[09_23]] )</f>
        <v>478</v>
      </c>
      <c r="AA597" s="223">
        <f>LARGE(tabConsumo[[#This Row],[10_22]:[09_23]],1)</f>
        <v>91</v>
      </c>
      <c r="AB597" s="146" t="s">
        <v>2238</v>
      </c>
      <c r="AC597" s="3" t="s">
        <v>2086</v>
      </c>
    </row>
    <row r="598" spans="1:29" x14ac:dyDescent="0.3">
      <c r="A598" s="4" t="s">
        <v>1725</v>
      </c>
      <c r="B598" s="3" t="s">
        <v>345</v>
      </c>
      <c r="C598" s="2">
        <v>116754</v>
      </c>
      <c r="D598" s="2">
        <v>365</v>
      </c>
      <c r="F598" s="2">
        <v>0</v>
      </c>
      <c r="G598" s="2">
        <v>0</v>
      </c>
      <c r="H598" s="2">
        <v>81</v>
      </c>
      <c r="I598" s="2">
        <v>0</v>
      </c>
      <c r="J598" s="2">
        <v>0</v>
      </c>
      <c r="K598" s="2">
        <v>0</v>
      </c>
      <c r="L598" s="2">
        <v>0</v>
      </c>
      <c r="M598" s="2">
        <v>0</v>
      </c>
      <c r="N598" s="2">
        <v>0</v>
      </c>
      <c r="O598" s="2">
        <v>0</v>
      </c>
      <c r="P598" s="2">
        <v>0</v>
      </c>
      <c r="Q598" s="2">
        <v>0</v>
      </c>
      <c r="R598" s="238">
        <v>40395</v>
      </c>
      <c r="S598" s="219">
        <v>12</v>
      </c>
      <c r="T598" s="220">
        <f>SUM( tabConsumo[[#This Row],[QTD.PENDENTE]]:tabConsumo[[#This Row],[09_23]] ) / tabConsumo[[#This Row],[Div]]</f>
        <v>6.75</v>
      </c>
      <c r="U598" s="221">
        <f xml:space="preserve"> tabConsumo[[#This Row],[Média.A]] + (_xlfn.STDEV.S( tabConsumo[[#This Row],[QTD.PENDENTE]]:tabConsumo[[#This Row],[09_23]] ) * 1)</f>
        <v>30.132685902179844</v>
      </c>
      <c r="V598" s="221">
        <f xml:space="preserve"> tabConsumo[[#This Row],[Média.A]] + (_xlfn.STDEV.S( tabConsumo[[#This Row],[QTD.PENDENTE]]:tabConsumo[[#This Row],[09_23]] ) * 2)</f>
        <v>53.515371804359688</v>
      </c>
      <c r="W598" s="221">
        <f xml:space="preserve"> tabConsumo[[#This Row],[Média.A]] + (_xlfn.STDEV.S( tabConsumo[[#This Row],[QTD.PENDENTE]]:tabConsumo[[#This Row],[09_23]] ) * 3)</f>
        <v>76.898057706539532</v>
      </c>
      <c r="X598" s="5">
        <f t="shared" si="20"/>
        <v>2</v>
      </c>
      <c r="Y598">
        <v>4.416666666666667</v>
      </c>
      <c r="Z598" s="223">
        <f>SUM( tabConsumo[[#This Row],[QTD.PENDENTE]]:tabConsumo[[#This Row],[09_23]] )</f>
        <v>81</v>
      </c>
      <c r="AA598" s="223">
        <f>LARGE(tabConsumo[[#This Row],[10_22]:[09_23]],1)</f>
        <v>81</v>
      </c>
      <c r="AB598" s="146" t="s">
        <v>2249</v>
      </c>
      <c r="AC598" s="3" t="s">
        <v>2086</v>
      </c>
    </row>
    <row r="599" spans="1:29" x14ac:dyDescent="0.3">
      <c r="A599" s="4" t="s">
        <v>1566</v>
      </c>
      <c r="B599" s="3" t="s">
        <v>345</v>
      </c>
      <c r="C599" s="2">
        <v>98703</v>
      </c>
      <c r="D599" s="2">
        <v>229</v>
      </c>
      <c r="F599" s="2">
        <v>16</v>
      </c>
      <c r="G599" s="2">
        <v>41</v>
      </c>
      <c r="H599" s="2">
        <v>46</v>
      </c>
      <c r="I599" s="2">
        <v>71</v>
      </c>
      <c r="J599" s="2">
        <v>5</v>
      </c>
      <c r="K599" s="2">
        <v>82</v>
      </c>
      <c r="L599" s="2">
        <v>65</v>
      </c>
      <c r="M599" s="2">
        <v>267</v>
      </c>
      <c r="N599" s="2">
        <v>0</v>
      </c>
      <c r="O599" s="2">
        <v>81</v>
      </c>
      <c r="P599" s="2">
        <v>74</v>
      </c>
      <c r="Q599" s="2">
        <v>131</v>
      </c>
      <c r="R599" s="238">
        <v>39183</v>
      </c>
      <c r="S599" s="219">
        <v>12</v>
      </c>
      <c r="T599" s="220">
        <f>SUM( tabConsumo[[#This Row],[QTD.PENDENTE]]:tabConsumo[[#This Row],[09_23]] ) / tabConsumo[[#This Row],[Div]]</f>
        <v>73.25</v>
      </c>
      <c r="U599" s="221">
        <f xml:space="preserve"> tabConsumo[[#This Row],[Média.A]] + (_xlfn.STDEV.S( tabConsumo[[#This Row],[QTD.PENDENTE]]:tabConsumo[[#This Row],[09_23]] ) * 1)</f>
        <v>144.70771158842513</v>
      </c>
      <c r="V599" s="221">
        <f xml:space="preserve"> tabConsumo[[#This Row],[Média.A]] + (_xlfn.STDEV.S( tabConsumo[[#This Row],[QTD.PENDENTE]]:tabConsumo[[#This Row],[09_23]] ) * 2)</f>
        <v>216.16542317685023</v>
      </c>
      <c r="W599" s="221">
        <f xml:space="preserve"> tabConsumo[[#This Row],[Média.A]] + (_xlfn.STDEV.S( tabConsumo[[#This Row],[QTD.PENDENTE]]:tabConsumo[[#This Row],[09_23]] ) * 3)</f>
        <v>287.62313476527532</v>
      </c>
      <c r="X599" s="5">
        <f t="shared" si="20"/>
        <v>2</v>
      </c>
      <c r="Y599">
        <v>69</v>
      </c>
      <c r="Z599" s="223">
        <f>SUM( tabConsumo[[#This Row],[QTD.PENDENTE]]:tabConsumo[[#This Row],[09_23]] )</f>
        <v>879</v>
      </c>
      <c r="AA599" s="223">
        <f>LARGE(tabConsumo[[#This Row],[10_22]:[09_23]],1)</f>
        <v>267</v>
      </c>
      <c r="AB599" s="146" t="s">
        <v>2238</v>
      </c>
      <c r="AC599" s="3" t="s">
        <v>2086</v>
      </c>
    </row>
    <row r="600" spans="1:29" x14ac:dyDescent="0.3">
      <c r="A600" s="4" t="s">
        <v>1756</v>
      </c>
      <c r="B600" s="3" t="s">
        <v>345</v>
      </c>
      <c r="C600" s="2">
        <v>123133</v>
      </c>
      <c r="D600" s="2">
        <v>382</v>
      </c>
      <c r="F600" s="2">
        <v>0</v>
      </c>
      <c r="G600" s="2">
        <v>0</v>
      </c>
      <c r="H600" s="2">
        <v>0</v>
      </c>
      <c r="I600" s="2">
        <v>8</v>
      </c>
      <c r="J600" s="2">
        <v>0</v>
      </c>
      <c r="K600" s="2">
        <v>0</v>
      </c>
      <c r="L600" s="2">
        <v>0</v>
      </c>
      <c r="M600" s="2">
        <v>0</v>
      </c>
      <c r="N600" s="2">
        <v>0</v>
      </c>
      <c r="O600" s="2">
        <v>0</v>
      </c>
      <c r="P600" s="2">
        <v>0</v>
      </c>
      <c r="Q600" s="2">
        <v>0</v>
      </c>
      <c r="R600" s="238">
        <v>41053</v>
      </c>
      <c r="S600" s="219">
        <v>12</v>
      </c>
      <c r="T600" s="220">
        <f>SUM( tabConsumo[[#This Row],[QTD.PENDENTE]]:tabConsumo[[#This Row],[09_23]] ) / tabConsumo[[#This Row],[Div]]</f>
        <v>0.66666666666666663</v>
      </c>
      <c r="U600" s="221">
        <f xml:space="preserve"> tabConsumo[[#This Row],[Média.A]] + (_xlfn.STDEV.S( tabConsumo[[#This Row],[QTD.PENDENTE]]:tabConsumo[[#This Row],[09_23]] ) * 1)</f>
        <v>2.9760677434251694</v>
      </c>
      <c r="V600" s="221">
        <f xml:space="preserve"> tabConsumo[[#This Row],[Média.A]] + (_xlfn.STDEV.S( tabConsumo[[#This Row],[QTD.PENDENTE]]:tabConsumo[[#This Row],[09_23]] ) * 2)</f>
        <v>5.2854688201836728</v>
      </c>
      <c r="W600" s="221">
        <f xml:space="preserve"> tabConsumo[[#This Row],[Média.A]] + (_xlfn.STDEV.S( tabConsumo[[#This Row],[QTD.PENDENTE]]:tabConsumo[[#This Row],[09_23]] ) * 3)</f>
        <v>7.5948698969421757</v>
      </c>
      <c r="X600" s="5">
        <f t="shared" si="20"/>
        <v>2</v>
      </c>
      <c r="Y600">
        <v>0.41666666666666669</v>
      </c>
      <c r="Z600" s="223">
        <f>SUM( tabConsumo[[#This Row],[QTD.PENDENTE]]:tabConsumo[[#This Row],[09_23]] )</f>
        <v>8</v>
      </c>
      <c r="AA600" s="223">
        <f>LARGE(tabConsumo[[#This Row],[10_22]:[09_23]],1)</f>
        <v>8</v>
      </c>
      <c r="AB600" s="146" t="s">
        <v>2247</v>
      </c>
      <c r="AC600" s="3" t="s">
        <v>2086</v>
      </c>
    </row>
    <row r="601" spans="1:29" x14ac:dyDescent="0.3">
      <c r="A601" s="4" t="s">
        <v>1724</v>
      </c>
      <c r="B601" s="3" t="s">
        <v>345</v>
      </c>
      <c r="C601" s="2">
        <v>116751</v>
      </c>
      <c r="D601" s="2">
        <v>906</v>
      </c>
      <c r="F601" s="2">
        <v>0</v>
      </c>
      <c r="G601" s="2">
        <v>0</v>
      </c>
      <c r="H601" s="2">
        <v>19</v>
      </c>
      <c r="I601" s="2">
        <v>0</v>
      </c>
      <c r="J601" s="2">
        <v>0</v>
      </c>
      <c r="K601" s="2">
        <v>0</v>
      </c>
      <c r="L601" s="2">
        <v>0</v>
      </c>
      <c r="M601" s="2">
        <v>0</v>
      </c>
      <c r="N601" s="2">
        <v>0</v>
      </c>
      <c r="O601" s="2">
        <v>0</v>
      </c>
      <c r="P601" s="2">
        <v>0</v>
      </c>
      <c r="Q601" s="2">
        <v>0</v>
      </c>
      <c r="R601" s="238">
        <v>40395</v>
      </c>
      <c r="S601" s="219">
        <v>12</v>
      </c>
      <c r="T601" s="220">
        <f>SUM( tabConsumo[[#This Row],[QTD.PENDENTE]]:tabConsumo[[#This Row],[09_23]] ) / tabConsumo[[#This Row],[Div]]</f>
        <v>1.5833333333333333</v>
      </c>
      <c r="U601" s="221">
        <f xml:space="preserve"> tabConsumo[[#This Row],[Média.A]] + (_xlfn.STDEV.S( tabConsumo[[#This Row],[QTD.PENDENTE]]:tabConsumo[[#This Row],[09_23]] ) * 1)</f>
        <v>7.0681608906347781</v>
      </c>
      <c r="V601" s="221">
        <f xml:space="preserve"> tabConsumo[[#This Row],[Média.A]] + (_xlfn.STDEV.S( tabConsumo[[#This Row],[QTD.PENDENTE]]:tabConsumo[[#This Row],[09_23]] ) * 2)</f>
        <v>12.552988447936224</v>
      </c>
      <c r="W601" s="221">
        <f xml:space="preserve"> tabConsumo[[#This Row],[Média.A]] + (_xlfn.STDEV.S( tabConsumo[[#This Row],[QTD.PENDENTE]]:tabConsumo[[#This Row],[09_23]] ) * 3)</f>
        <v>18.037816005237669</v>
      </c>
      <c r="X601" s="5">
        <f t="shared" si="20"/>
        <v>2</v>
      </c>
      <c r="Y601">
        <v>1</v>
      </c>
      <c r="Z601" s="223">
        <f>SUM( tabConsumo[[#This Row],[QTD.PENDENTE]]:tabConsumo[[#This Row],[09_23]] )</f>
        <v>19</v>
      </c>
      <c r="AA601" s="223">
        <f>LARGE(tabConsumo[[#This Row],[10_22]:[09_23]],1)</f>
        <v>19</v>
      </c>
      <c r="AB601" s="146" t="s">
        <v>2249</v>
      </c>
      <c r="AC601" s="3" t="s">
        <v>2086</v>
      </c>
    </row>
    <row r="602" spans="1:29" x14ac:dyDescent="0.3">
      <c r="A602" s="4" t="s">
        <v>1567</v>
      </c>
      <c r="B602" s="3" t="s">
        <v>345</v>
      </c>
      <c r="C602" s="2">
        <v>98704</v>
      </c>
      <c r="D602" s="2">
        <v>184</v>
      </c>
      <c r="F602" s="2">
        <v>17</v>
      </c>
      <c r="G602" s="2">
        <v>20</v>
      </c>
      <c r="H602" s="2">
        <v>4</v>
      </c>
      <c r="I602" s="2">
        <v>4</v>
      </c>
      <c r="J602" s="2">
        <v>1</v>
      </c>
      <c r="K602" s="2">
        <v>6</v>
      </c>
      <c r="L602" s="2">
        <v>6</v>
      </c>
      <c r="M602" s="2">
        <v>37</v>
      </c>
      <c r="N602" s="2">
        <v>0</v>
      </c>
      <c r="O602" s="2">
        <v>63</v>
      </c>
      <c r="P602" s="2">
        <v>2</v>
      </c>
      <c r="Q602" s="2">
        <v>20</v>
      </c>
      <c r="R602" s="238">
        <v>39183</v>
      </c>
      <c r="S602" s="219">
        <v>12</v>
      </c>
      <c r="T602" s="220">
        <f>SUM( tabConsumo[[#This Row],[QTD.PENDENTE]]:tabConsumo[[#This Row],[09_23]] ) / tabConsumo[[#This Row],[Div]]</f>
        <v>15</v>
      </c>
      <c r="U602" s="221">
        <f xml:space="preserve"> tabConsumo[[#This Row],[Média.A]] + (_xlfn.STDEV.S( tabConsumo[[#This Row],[QTD.PENDENTE]]:tabConsumo[[#This Row],[09_23]] ) * 1)</f>
        <v>33.67424088757754</v>
      </c>
      <c r="V602" s="221">
        <f xml:space="preserve"> tabConsumo[[#This Row],[Média.A]] + (_xlfn.STDEV.S( tabConsumo[[#This Row],[QTD.PENDENTE]]:tabConsumo[[#This Row],[09_23]] ) * 2)</f>
        <v>52.348481775155079</v>
      </c>
      <c r="W602" s="221">
        <f xml:space="preserve"> tabConsumo[[#This Row],[Média.A]] + (_xlfn.STDEV.S( tabConsumo[[#This Row],[QTD.PENDENTE]]:tabConsumo[[#This Row],[09_23]] ) * 3)</f>
        <v>71.022722662732619</v>
      </c>
      <c r="X602" s="5">
        <f t="shared" si="20"/>
        <v>2</v>
      </c>
      <c r="Y602">
        <v>14.083333333333334</v>
      </c>
      <c r="Z602" s="223">
        <f>SUM( tabConsumo[[#This Row],[QTD.PENDENTE]]:tabConsumo[[#This Row],[09_23]] )</f>
        <v>180</v>
      </c>
      <c r="AA602" s="223">
        <f>LARGE(tabConsumo[[#This Row],[10_22]:[09_23]],1)</f>
        <v>63</v>
      </c>
      <c r="AB602" s="146" t="s">
        <v>2238</v>
      </c>
      <c r="AC602" s="3" t="s">
        <v>2086</v>
      </c>
    </row>
    <row r="603" spans="1:29" x14ac:dyDescent="0.3">
      <c r="A603" s="4" t="s">
        <v>1424</v>
      </c>
      <c r="B603" s="3" t="s">
        <v>345</v>
      </c>
      <c r="C603" s="2">
        <v>76806</v>
      </c>
      <c r="D603" s="2">
        <v>103</v>
      </c>
      <c r="F603" s="2">
        <v>54</v>
      </c>
      <c r="G603" s="2">
        <v>30</v>
      </c>
      <c r="H603" s="2">
        <v>20</v>
      </c>
      <c r="I603" s="2">
        <v>46</v>
      </c>
      <c r="J603" s="2">
        <v>89</v>
      </c>
      <c r="K603" s="2">
        <v>1</v>
      </c>
      <c r="L603" s="2">
        <v>11</v>
      </c>
      <c r="M603" s="2">
        <v>0</v>
      </c>
      <c r="N603" s="2">
        <v>18</v>
      </c>
      <c r="O603" s="2">
        <v>15</v>
      </c>
      <c r="P603" s="2">
        <v>75</v>
      </c>
      <c r="Q603" s="2">
        <v>0</v>
      </c>
      <c r="R603" s="238">
        <v>38014</v>
      </c>
      <c r="S603" s="219">
        <v>12</v>
      </c>
      <c r="T603" s="220">
        <f>SUM( tabConsumo[[#This Row],[QTD.PENDENTE]]:tabConsumo[[#This Row],[09_23]] ) / tabConsumo[[#This Row],[Div]]</f>
        <v>29.916666666666668</v>
      </c>
      <c r="U603" s="221">
        <f xml:space="preserve"> tabConsumo[[#This Row],[Média.A]] + (_xlfn.STDEV.S( tabConsumo[[#This Row],[QTD.PENDENTE]]:tabConsumo[[#This Row],[09_23]] ) * 1)</f>
        <v>59.77834272427765</v>
      </c>
      <c r="V603" s="221">
        <f xml:space="preserve"> tabConsumo[[#This Row],[Média.A]] + (_xlfn.STDEV.S( tabConsumo[[#This Row],[QTD.PENDENTE]]:tabConsumo[[#This Row],[09_23]] ) * 2)</f>
        <v>89.640018781888628</v>
      </c>
      <c r="W603" s="221">
        <f xml:space="preserve"> tabConsumo[[#This Row],[Média.A]] + (_xlfn.STDEV.S( tabConsumo[[#This Row],[QTD.PENDENTE]]:tabConsumo[[#This Row],[09_23]] ) * 3)</f>
        <v>119.50169483949962</v>
      </c>
      <c r="X603" s="5">
        <f t="shared" si="20"/>
        <v>2</v>
      </c>
      <c r="Y603">
        <v>29.916666666666668</v>
      </c>
      <c r="Z603" s="223">
        <f>SUM( tabConsumo[[#This Row],[QTD.PENDENTE]]:tabConsumo[[#This Row],[09_23]] )</f>
        <v>359</v>
      </c>
      <c r="AA603" s="223">
        <f>LARGE(tabConsumo[[#This Row],[10_22]:[09_23]],1)</f>
        <v>89</v>
      </c>
      <c r="AB603" s="146" t="s">
        <v>2241</v>
      </c>
      <c r="AC603" s="3" t="s">
        <v>2086</v>
      </c>
    </row>
    <row r="604" spans="1:29" x14ac:dyDescent="0.3">
      <c r="A604" s="4" t="s">
        <v>934</v>
      </c>
      <c r="B604" s="3" t="s">
        <v>263</v>
      </c>
      <c r="C604" s="2">
        <v>11264</v>
      </c>
      <c r="D604" s="2">
        <v>135</v>
      </c>
      <c r="E604" s="2">
        <v>25</v>
      </c>
      <c r="F604" s="2">
        <v>32</v>
      </c>
      <c r="G604" s="2">
        <v>39</v>
      </c>
      <c r="H604" s="2">
        <v>23</v>
      </c>
      <c r="I604" s="2">
        <v>14</v>
      </c>
      <c r="J604" s="2">
        <v>14</v>
      </c>
      <c r="K604" s="2">
        <v>5</v>
      </c>
      <c r="L604" s="2">
        <v>32</v>
      </c>
      <c r="M604" s="2">
        <v>48</v>
      </c>
      <c r="N604" s="2">
        <v>42</v>
      </c>
      <c r="O604" s="2">
        <v>34</v>
      </c>
      <c r="P604" s="2">
        <v>44</v>
      </c>
      <c r="Q604" s="2">
        <v>34</v>
      </c>
      <c r="R604" s="238">
        <v>367</v>
      </c>
      <c r="S604" s="219">
        <f xml:space="preserve"> 12</f>
        <v>12</v>
      </c>
      <c r="T604" s="220">
        <f>SUM( tabConsumo[[#This Row],[QTD.PENDENTE]]:tabConsumo[[#This Row],[09_23]] ) / tabConsumo[[#This Row],[Div]]</f>
        <v>32.166666666666664</v>
      </c>
      <c r="U604" s="221">
        <f xml:space="preserve"> tabConsumo[[#This Row],[Média.A]] + (_xlfn.STDEV.S( tabConsumo[[#This Row],[QTD.PENDENTE]]:tabConsumo[[#This Row],[09_23]] ) * 1)</f>
        <v>45.059717866082927</v>
      </c>
      <c r="V604" s="221">
        <f xml:space="preserve"> tabConsumo[[#This Row],[Média.A]] + (_xlfn.STDEV.S( tabConsumo[[#This Row],[QTD.PENDENTE]]:tabConsumo[[#This Row],[09_23]] ) * 2)</f>
        <v>57.952769065499197</v>
      </c>
      <c r="W604" s="221">
        <f xml:space="preserve"> tabConsumo[[#This Row],[Média.A]] + (_xlfn.STDEV.S( tabConsumo[[#This Row],[QTD.PENDENTE]]:tabConsumo[[#This Row],[09_23]] ) * 3)</f>
        <v>70.84582026491546</v>
      </c>
      <c r="X604" s="5">
        <f t="shared" si="20"/>
        <v>2</v>
      </c>
      <c r="Y604">
        <v>32.166666666666664</v>
      </c>
      <c r="Z604" s="223">
        <f>SUM( tabConsumo[[#This Row],[QTD.PENDENTE]]:tabConsumo[[#This Row],[09_23]] )</f>
        <v>386</v>
      </c>
      <c r="AA604" s="223">
        <f>LARGE(tabConsumo[[#This Row],[10_22]:[09_23]],1)</f>
        <v>48</v>
      </c>
      <c r="AB604" s="146" t="s">
        <v>2238</v>
      </c>
      <c r="AC604" s="3" t="s">
        <v>2086</v>
      </c>
    </row>
    <row r="605" spans="1:29" x14ac:dyDescent="0.3">
      <c r="A605" s="4" t="s">
        <v>1445</v>
      </c>
      <c r="B605" s="3" t="s">
        <v>263</v>
      </c>
      <c r="C605" s="2">
        <v>78303</v>
      </c>
      <c r="D605" s="2">
        <v>17</v>
      </c>
      <c r="F605" s="2">
        <v>0</v>
      </c>
      <c r="G605" s="2">
        <v>0</v>
      </c>
      <c r="H605" s="2">
        <v>3</v>
      </c>
      <c r="I605" s="2">
        <v>1</v>
      </c>
      <c r="J605" s="2">
        <v>1</v>
      </c>
      <c r="K605" s="2">
        <v>0</v>
      </c>
      <c r="L605" s="2">
        <v>1</v>
      </c>
      <c r="M605" s="2">
        <v>0</v>
      </c>
      <c r="N605" s="2">
        <v>0</v>
      </c>
      <c r="O605" s="2">
        <v>0</v>
      </c>
      <c r="P605" s="2">
        <v>0</v>
      </c>
      <c r="Q605" s="2">
        <v>3</v>
      </c>
      <c r="R605" s="238">
        <v>38085</v>
      </c>
      <c r="S605" s="219">
        <v>12</v>
      </c>
      <c r="T605" s="220">
        <f>SUM( tabConsumo[[#This Row],[QTD.PENDENTE]]:tabConsumo[[#This Row],[09_23]] ) / tabConsumo[[#This Row],[Div]]</f>
        <v>0.75</v>
      </c>
      <c r="U605" s="221">
        <f xml:space="preserve"> tabConsumo[[#This Row],[Média.A]] + (_xlfn.STDEV.S( tabConsumo[[#This Row],[QTD.PENDENTE]]:tabConsumo[[#This Row],[09_23]] ) * 1)</f>
        <v>1.8881803659589922</v>
      </c>
      <c r="V605" s="221">
        <f xml:space="preserve"> tabConsumo[[#This Row],[Média.A]] + (_xlfn.STDEV.S( tabConsumo[[#This Row],[QTD.PENDENTE]]:tabConsumo[[#This Row],[09_23]] ) * 2)</f>
        <v>3.0263607319179844</v>
      </c>
      <c r="W605" s="221">
        <f xml:space="preserve"> tabConsumo[[#This Row],[Média.A]] + (_xlfn.STDEV.S( tabConsumo[[#This Row],[QTD.PENDENTE]]:tabConsumo[[#This Row],[09_23]] ) * 3)</f>
        <v>4.1645410978769766</v>
      </c>
      <c r="X605" s="5">
        <f t="shared" si="20"/>
        <v>2</v>
      </c>
      <c r="Y605">
        <v>0.75</v>
      </c>
      <c r="Z605" s="223">
        <f>SUM( tabConsumo[[#This Row],[QTD.PENDENTE]]:tabConsumo[[#This Row],[09_23]] )</f>
        <v>9</v>
      </c>
      <c r="AA605" s="223">
        <f>LARGE(tabConsumo[[#This Row],[10_22]:[09_23]],1)</f>
        <v>3</v>
      </c>
      <c r="AB605" s="146" t="s">
        <v>2238</v>
      </c>
      <c r="AC605" s="3" t="s">
        <v>2086</v>
      </c>
    </row>
    <row r="606" spans="1:29" x14ac:dyDescent="0.3">
      <c r="A606" s="4" t="s">
        <v>1404</v>
      </c>
      <c r="B606" s="3" t="s">
        <v>263</v>
      </c>
      <c r="C606" s="2">
        <v>72184</v>
      </c>
      <c r="D606" s="2">
        <v>5812</v>
      </c>
      <c r="E606" s="2">
        <v>74</v>
      </c>
      <c r="F606" s="2">
        <v>0</v>
      </c>
      <c r="G606" s="2">
        <v>0</v>
      </c>
      <c r="H606" s="2">
        <v>0</v>
      </c>
      <c r="I606" s="2">
        <v>0</v>
      </c>
      <c r="J606" s="2">
        <v>100</v>
      </c>
      <c r="K606" s="2">
        <v>290</v>
      </c>
      <c r="L606" s="2">
        <v>196</v>
      </c>
      <c r="M606" s="2">
        <v>174</v>
      </c>
      <c r="N606" s="2">
        <v>57</v>
      </c>
      <c r="O606" s="2">
        <v>36</v>
      </c>
      <c r="P606" s="2">
        <v>59</v>
      </c>
      <c r="Q606" s="2">
        <v>86</v>
      </c>
      <c r="R606" s="238">
        <v>367</v>
      </c>
      <c r="S606" s="219">
        <f xml:space="preserve"> 12</f>
        <v>12</v>
      </c>
      <c r="T606" s="220">
        <f>SUM( tabConsumo[[#This Row],[QTD.PENDENTE]]:tabConsumo[[#This Row],[09_23]] ) / tabConsumo[[#This Row],[Div]]</f>
        <v>89.333333333333329</v>
      </c>
      <c r="U606" s="221">
        <f xml:space="preserve"> tabConsumo[[#This Row],[Média.A]] + (_xlfn.STDEV.S( tabConsumo[[#This Row],[QTD.PENDENTE]]:tabConsumo[[#This Row],[09_23]] ) * 1)</f>
        <v>178.44526237448864</v>
      </c>
      <c r="V606" s="221">
        <f xml:space="preserve"> tabConsumo[[#This Row],[Média.A]] + (_xlfn.STDEV.S( tabConsumo[[#This Row],[QTD.PENDENTE]]:tabConsumo[[#This Row],[09_23]] ) * 2)</f>
        <v>267.55719141564396</v>
      </c>
      <c r="W606" s="221">
        <f xml:space="preserve"> tabConsumo[[#This Row],[Média.A]] + (_xlfn.STDEV.S( tabConsumo[[#This Row],[QTD.PENDENTE]]:tabConsumo[[#This Row],[09_23]] ) * 3)</f>
        <v>356.66912045679925</v>
      </c>
      <c r="X606" s="5">
        <f t="shared" si="20"/>
        <v>2</v>
      </c>
      <c r="Y606">
        <v>87.416666666666671</v>
      </c>
      <c r="Z606" s="223">
        <f>SUM( tabConsumo[[#This Row],[QTD.PENDENTE]]:tabConsumo[[#This Row],[09_23]] )</f>
        <v>1072</v>
      </c>
      <c r="AA606" s="223">
        <f>LARGE(tabConsumo[[#This Row],[10_22]:[09_23]],1)</f>
        <v>290</v>
      </c>
      <c r="AB606" s="146" t="s">
        <v>2238</v>
      </c>
      <c r="AC606" s="3" t="s">
        <v>2086</v>
      </c>
    </row>
    <row r="607" spans="1:29" x14ac:dyDescent="0.3">
      <c r="A607" s="4" t="s">
        <v>939</v>
      </c>
      <c r="B607" s="3" t="s">
        <v>263</v>
      </c>
      <c r="C607" s="2">
        <v>11590</v>
      </c>
      <c r="D607" s="2">
        <v>0</v>
      </c>
      <c r="E607" s="2">
        <v>250</v>
      </c>
      <c r="F607" s="2">
        <v>176</v>
      </c>
      <c r="G607" s="2">
        <v>228</v>
      </c>
      <c r="H607" s="2">
        <v>185</v>
      </c>
      <c r="I607" s="2">
        <v>119</v>
      </c>
      <c r="J607" s="2">
        <v>211</v>
      </c>
      <c r="K607" s="2">
        <v>2991</v>
      </c>
      <c r="L607" s="2">
        <v>49</v>
      </c>
      <c r="M607" s="2">
        <v>7</v>
      </c>
      <c r="N607" s="2">
        <v>51</v>
      </c>
      <c r="O607" s="2">
        <v>0</v>
      </c>
      <c r="P607" s="2">
        <v>0</v>
      </c>
      <c r="Q607" s="2">
        <v>0</v>
      </c>
      <c r="R607" s="238">
        <v>367</v>
      </c>
      <c r="S607" s="219">
        <f xml:space="preserve"> 12</f>
        <v>12</v>
      </c>
      <c r="T607" s="220">
        <f>SUM( tabConsumo[[#This Row],[QTD.PENDENTE]]:tabConsumo[[#This Row],[09_23]] ) / tabConsumo[[#This Row],[Div]]</f>
        <v>355.58333333333331</v>
      </c>
      <c r="U607" s="221">
        <f xml:space="preserve"> tabConsumo[[#This Row],[Média.A]] + (_xlfn.STDEV.S( tabConsumo[[#This Row],[QTD.PENDENTE]]:tabConsumo[[#This Row],[09_23]] ) * 1)</f>
        <v>1161.2372244725075</v>
      </c>
      <c r="V607" s="221">
        <f xml:space="preserve"> tabConsumo[[#This Row],[Média.A]] + (_xlfn.STDEV.S( tabConsumo[[#This Row],[QTD.PENDENTE]]:tabConsumo[[#This Row],[09_23]] ) * 2)</f>
        <v>1966.8911156116817</v>
      </c>
      <c r="W607" s="221">
        <f xml:space="preserve"> tabConsumo[[#This Row],[Média.A]] + (_xlfn.STDEV.S( tabConsumo[[#This Row],[QTD.PENDENTE]]:tabConsumo[[#This Row],[09_23]] ) * 3)</f>
        <v>2772.5450067508559</v>
      </c>
      <c r="X607" s="5">
        <f t="shared" si="20"/>
        <v>2</v>
      </c>
      <c r="Y607">
        <v>270.16666666666669</v>
      </c>
      <c r="Z607" s="223">
        <f>SUM( tabConsumo[[#This Row],[QTD.PENDENTE]]:tabConsumo[[#This Row],[09_23]] )</f>
        <v>4267</v>
      </c>
      <c r="AA607" s="223">
        <f>LARGE(tabConsumo[[#This Row],[10_22]:[09_23]],1)</f>
        <v>2991</v>
      </c>
      <c r="AB607" s="146" t="s">
        <v>2246</v>
      </c>
      <c r="AC607" s="3" t="s">
        <v>2086</v>
      </c>
    </row>
    <row r="608" spans="1:29" x14ac:dyDescent="0.3">
      <c r="A608" s="4" t="s">
        <v>1433</v>
      </c>
      <c r="B608" s="3" t="s">
        <v>263</v>
      </c>
      <c r="C608" s="2">
        <v>77755</v>
      </c>
      <c r="D608" s="2">
        <v>0</v>
      </c>
      <c r="E608" s="2">
        <v>63</v>
      </c>
      <c r="F608" s="2">
        <v>368</v>
      </c>
      <c r="G608" s="2">
        <v>224</v>
      </c>
      <c r="H608" s="2">
        <v>192</v>
      </c>
      <c r="I608" s="2">
        <v>112</v>
      </c>
      <c r="J608" s="2">
        <v>239</v>
      </c>
      <c r="K608" s="2">
        <v>3685</v>
      </c>
      <c r="L608" s="2">
        <v>216</v>
      </c>
      <c r="M608" s="2">
        <v>251</v>
      </c>
      <c r="N608" s="2">
        <v>299</v>
      </c>
      <c r="O608" s="2">
        <v>220</v>
      </c>
      <c r="P608" s="2">
        <v>212</v>
      </c>
      <c r="Q608" s="2">
        <v>105</v>
      </c>
      <c r="R608" s="238">
        <v>38063</v>
      </c>
      <c r="S608" s="219">
        <v>12</v>
      </c>
      <c r="T608" s="220">
        <f>SUM( tabConsumo[[#This Row],[QTD.PENDENTE]]:tabConsumo[[#This Row],[09_23]] ) / tabConsumo[[#This Row],[Div]]</f>
        <v>515.5</v>
      </c>
      <c r="U608" s="221">
        <f xml:space="preserve"> tabConsumo[[#This Row],[Média.A]] + (_xlfn.STDEV.S( tabConsumo[[#This Row],[QTD.PENDENTE]]:tabConsumo[[#This Row],[09_23]] ) * 1)</f>
        <v>1483.1072590117892</v>
      </c>
      <c r="V608" s="221">
        <f xml:space="preserve"> tabConsumo[[#This Row],[Média.A]] + (_xlfn.STDEV.S( tabConsumo[[#This Row],[QTD.PENDENTE]]:tabConsumo[[#This Row],[09_23]] ) * 2)</f>
        <v>2450.7145180235784</v>
      </c>
      <c r="W608" s="221">
        <f xml:space="preserve"> tabConsumo[[#This Row],[Média.A]] + (_xlfn.STDEV.S( tabConsumo[[#This Row],[QTD.PENDENTE]]:tabConsumo[[#This Row],[09_23]] ) * 3)</f>
        <v>3418.3217770353676</v>
      </c>
      <c r="X608" s="5">
        <f t="shared" si="20"/>
        <v>2</v>
      </c>
      <c r="Y608">
        <v>412.58333333333331</v>
      </c>
      <c r="Z608" s="223">
        <f>SUM( tabConsumo[[#This Row],[QTD.PENDENTE]]:tabConsumo[[#This Row],[09_23]] )</f>
        <v>6186</v>
      </c>
      <c r="AA608" s="223">
        <f>LARGE(tabConsumo[[#This Row],[10_22]:[09_23]],1)</f>
        <v>3685</v>
      </c>
      <c r="AB608" s="146" t="s">
        <v>2238</v>
      </c>
      <c r="AC608" s="3" t="s">
        <v>2086</v>
      </c>
    </row>
    <row r="609" spans="1:29" x14ac:dyDescent="0.3">
      <c r="A609" s="4" t="s">
        <v>1822</v>
      </c>
      <c r="B609" s="3" t="s">
        <v>31</v>
      </c>
      <c r="C609" s="2">
        <v>131937</v>
      </c>
      <c r="D609" s="2">
        <v>15</v>
      </c>
      <c r="E609" s="2">
        <v>59</v>
      </c>
      <c r="F609" s="2">
        <v>169</v>
      </c>
      <c r="G609" s="2">
        <v>134</v>
      </c>
      <c r="H609" s="2">
        <v>98</v>
      </c>
      <c r="I609" s="2">
        <v>76</v>
      </c>
      <c r="J609" s="2">
        <v>105</v>
      </c>
      <c r="K609" s="2">
        <v>3200</v>
      </c>
      <c r="L609" s="2">
        <v>143</v>
      </c>
      <c r="M609" s="2">
        <v>155</v>
      </c>
      <c r="N609" s="2">
        <v>158</v>
      </c>
      <c r="O609" s="2">
        <v>122</v>
      </c>
      <c r="P609" s="2">
        <v>146</v>
      </c>
      <c r="Q609" s="2">
        <v>24</v>
      </c>
      <c r="R609" s="238">
        <v>42590</v>
      </c>
      <c r="S609" s="219">
        <v>12</v>
      </c>
      <c r="T609" s="220">
        <f>SUM( tabConsumo[[#This Row],[QTD.PENDENTE]]:tabConsumo[[#This Row],[09_23]] ) / tabConsumo[[#This Row],[Div]]</f>
        <v>382.41666666666669</v>
      </c>
      <c r="U609" s="221">
        <f xml:space="preserve"> tabConsumo[[#This Row],[Média.A]] + (_xlfn.STDEV.S( tabConsumo[[#This Row],[QTD.PENDENTE]]:tabConsumo[[#This Row],[09_23]] ) * 1)</f>
        <v>1238.8968668659086</v>
      </c>
      <c r="V609" s="221">
        <f xml:space="preserve"> tabConsumo[[#This Row],[Média.A]] + (_xlfn.STDEV.S( tabConsumo[[#This Row],[QTD.PENDENTE]]:tabConsumo[[#This Row],[09_23]] ) * 2)</f>
        <v>2095.3770670651502</v>
      </c>
      <c r="W609" s="221">
        <f xml:space="preserve"> tabConsumo[[#This Row],[Média.A]] + (_xlfn.STDEV.S( tabConsumo[[#This Row],[QTD.PENDENTE]]:tabConsumo[[#This Row],[09_23]] ) * 3)</f>
        <v>2951.8572672643918</v>
      </c>
      <c r="X609" s="5">
        <f t="shared" si="20"/>
        <v>2</v>
      </c>
      <c r="Y609">
        <v>290.33333333333331</v>
      </c>
      <c r="Z609" s="223">
        <f>SUM( tabConsumo[[#This Row],[QTD.PENDENTE]]:tabConsumo[[#This Row],[09_23]] )</f>
        <v>4589</v>
      </c>
      <c r="AA609" s="223">
        <f>LARGE(tabConsumo[[#This Row],[10_22]:[09_23]],1)</f>
        <v>3200</v>
      </c>
      <c r="AB609" s="146" t="s">
        <v>2238</v>
      </c>
      <c r="AC609" s="3" t="s">
        <v>2086</v>
      </c>
    </row>
    <row r="610" spans="1:29" x14ac:dyDescent="0.3">
      <c r="A610" s="4" t="s">
        <v>1986</v>
      </c>
      <c r="B610" s="3" t="s">
        <v>31</v>
      </c>
      <c r="C610" s="2">
        <v>139141</v>
      </c>
      <c r="D610" s="2">
        <v>1708</v>
      </c>
      <c r="E610" s="2">
        <v>102</v>
      </c>
      <c r="F610" s="2">
        <v>164</v>
      </c>
      <c r="G610" s="2">
        <v>133</v>
      </c>
      <c r="H610" s="2">
        <v>98</v>
      </c>
      <c r="I610" s="2">
        <v>73</v>
      </c>
      <c r="J610" s="2">
        <v>111</v>
      </c>
      <c r="K610" s="2">
        <v>2526</v>
      </c>
      <c r="L610" s="2">
        <v>10</v>
      </c>
      <c r="M610" s="2">
        <v>79</v>
      </c>
      <c r="N610" s="2">
        <v>157</v>
      </c>
      <c r="O610" s="2">
        <v>134</v>
      </c>
      <c r="P610" s="2">
        <v>174</v>
      </c>
      <c r="Q610" s="2">
        <v>160</v>
      </c>
      <c r="R610" s="238">
        <v>43881</v>
      </c>
      <c r="S610" s="219">
        <v>12</v>
      </c>
      <c r="T610" s="220">
        <f>SUM( tabConsumo[[#This Row],[QTD.PENDENTE]]:tabConsumo[[#This Row],[09_23]] ) / tabConsumo[[#This Row],[Div]]</f>
        <v>326.75</v>
      </c>
      <c r="U610" s="221">
        <f xml:space="preserve"> tabConsumo[[#This Row],[Média.A]] + (_xlfn.STDEV.S( tabConsumo[[#This Row],[QTD.PENDENTE]]:tabConsumo[[#This Row],[09_23]] ) * 1)</f>
        <v>996.64471044106858</v>
      </c>
      <c r="V610" s="221">
        <f xml:space="preserve"> tabConsumo[[#This Row],[Média.A]] + (_xlfn.STDEV.S( tabConsumo[[#This Row],[QTD.PENDENTE]]:tabConsumo[[#This Row],[09_23]] ) * 2)</f>
        <v>1666.5394208821372</v>
      </c>
      <c r="W610" s="221">
        <f xml:space="preserve"> tabConsumo[[#This Row],[Média.A]] + (_xlfn.STDEV.S( tabConsumo[[#This Row],[QTD.PENDENTE]]:tabConsumo[[#This Row],[09_23]] ) * 3)</f>
        <v>2336.4341313232057</v>
      </c>
      <c r="X610" s="5">
        <f t="shared" si="20"/>
        <v>2</v>
      </c>
      <c r="Y610">
        <v>255.08333333333334</v>
      </c>
      <c r="Z610" s="223">
        <f>SUM( tabConsumo[[#This Row],[QTD.PENDENTE]]:tabConsumo[[#This Row],[09_23]] )</f>
        <v>3921</v>
      </c>
      <c r="AA610" s="223">
        <f>LARGE(tabConsumo[[#This Row],[10_22]:[09_23]],1)</f>
        <v>2526</v>
      </c>
      <c r="AB610" s="146" t="s">
        <v>2238</v>
      </c>
      <c r="AC610" s="3" t="s">
        <v>2086</v>
      </c>
    </row>
    <row r="611" spans="1:29" x14ac:dyDescent="0.3">
      <c r="A611" s="4" t="s">
        <v>1987</v>
      </c>
      <c r="B611" s="3" t="s">
        <v>31</v>
      </c>
      <c r="C611" s="2">
        <v>139142</v>
      </c>
      <c r="D611" s="2">
        <v>1748</v>
      </c>
      <c r="E611" s="2">
        <v>65</v>
      </c>
      <c r="F611" s="2">
        <v>165</v>
      </c>
      <c r="G611" s="2">
        <v>141</v>
      </c>
      <c r="H611" s="2">
        <v>99</v>
      </c>
      <c r="I611" s="2">
        <v>113</v>
      </c>
      <c r="J611" s="2">
        <v>111</v>
      </c>
      <c r="K611" s="2">
        <v>2750</v>
      </c>
      <c r="L611" s="2">
        <v>12</v>
      </c>
      <c r="M611" s="2">
        <v>76</v>
      </c>
      <c r="N611" s="2">
        <v>153</v>
      </c>
      <c r="O611" s="2">
        <v>122</v>
      </c>
      <c r="P611" s="2">
        <v>164</v>
      </c>
      <c r="Q611" s="2">
        <v>149</v>
      </c>
      <c r="R611" s="238">
        <v>43881</v>
      </c>
      <c r="S611" s="219">
        <v>12</v>
      </c>
      <c r="T611" s="220">
        <f>SUM( tabConsumo[[#This Row],[QTD.PENDENTE]]:tabConsumo[[#This Row],[09_23]] ) / tabConsumo[[#This Row],[Div]]</f>
        <v>343.33333333333331</v>
      </c>
      <c r="U611" s="221">
        <f xml:space="preserve"> tabConsumo[[#This Row],[Média.A]] + (_xlfn.STDEV.S( tabConsumo[[#This Row],[QTD.PENDENTE]]:tabConsumo[[#This Row],[09_23]] ) * 1)</f>
        <v>1075.6987318353904</v>
      </c>
      <c r="V611" s="221">
        <f xml:space="preserve"> tabConsumo[[#This Row],[Média.A]] + (_xlfn.STDEV.S( tabConsumo[[#This Row],[QTD.PENDENTE]]:tabConsumo[[#This Row],[09_23]] ) * 2)</f>
        <v>1808.0641303374475</v>
      </c>
      <c r="W611" s="221">
        <f xml:space="preserve"> tabConsumo[[#This Row],[Média.A]] + (_xlfn.STDEV.S( tabConsumo[[#This Row],[QTD.PENDENTE]]:tabConsumo[[#This Row],[09_23]] ) * 3)</f>
        <v>2540.4295288395047</v>
      </c>
      <c r="X611" s="5">
        <f t="shared" si="20"/>
        <v>2</v>
      </c>
      <c r="Y611">
        <v>264.83333333333331</v>
      </c>
      <c r="Z611" s="223">
        <f>SUM( tabConsumo[[#This Row],[QTD.PENDENTE]]:tabConsumo[[#This Row],[09_23]] )</f>
        <v>4120</v>
      </c>
      <c r="AA611" s="223">
        <f>LARGE(tabConsumo[[#This Row],[10_22]:[09_23]],1)</f>
        <v>2750</v>
      </c>
      <c r="AB611" s="146" t="s">
        <v>2238</v>
      </c>
      <c r="AC611" s="3" t="s">
        <v>2086</v>
      </c>
    </row>
    <row r="612" spans="1:29" x14ac:dyDescent="0.3">
      <c r="A612" s="4" t="s">
        <v>1988</v>
      </c>
      <c r="B612" s="3" t="s">
        <v>31</v>
      </c>
      <c r="C612" s="2">
        <v>139143</v>
      </c>
      <c r="D612" s="2">
        <v>252</v>
      </c>
      <c r="E612" s="2">
        <v>3</v>
      </c>
      <c r="F612" s="2">
        <v>160</v>
      </c>
      <c r="G612" s="2">
        <v>140</v>
      </c>
      <c r="H612" s="2">
        <v>99</v>
      </c>
      <c r="I612" s="2">
        <v>72</v>
      </c>
      <c r="J612" s="2">
        <v>111</v>
      </c>
      <c r="K612" s="2">
        <v>4066</v>
      </c>
      <c r="L612" s="2">
        <v>132</v>
      </c>
      <c r="M612" s="2">
        <v>154</v>
      </c>
      <c r="N612" s="2">
        <v>157</v>
      </c>
      <c r="O612" s="2">
        <v>126</v>
      </c>
      <c r="P612" s="2">
        <v>174</v>
      </c>
      <c r="Q612" s="2">
        <v>156</v>
      </c>
      <c r="R612" s="238">
        <v>43881</v>
      </c>
      <c r="S612" s="219">
        <v>12</v>
      </c>
      <c r="T612" s="220">
        <f>SUM( tabConsumo[[#This Row],[QTD.PENDENTE]]:tabConsumo[[#This Row],[09_23]] ) / tabConsumo[[#This Row],[Div]]</f>
        <v>462.5</v>
      </c>
      <c r="U612" s="221">
        <f xml:space="preserve"> tabConsumo[[#This Row],[Média.A]] + (_xlfn.STDEV.S( tabConsumo[[#This Row],[QTD.PENDENTE]]:tabConsumo[[#This Row],[09_23]] ) * 1)</f>
        <v>1556.8691075636884</v>
      </c>
      <c r="V612" s="221">
        <f xml:space="preserve"> tabConsumo[[#This Row],[Média.A]] + (_xlfn.STDEV.S( tabConsumo[[#This Row],[QTD.PENDENTE]]:tabConsumo[[#This Row],[09_23]] ) * 2)</f>
        <v>2651.2382151273769</v>
      </c>
      <c r="W612" s="221">
        <f xml:space="preserve"> tabConsumo[[#This Row],[Média.A]] + (_xlfn.STDEV.S( tabConsumo[[#This Row],[QTD.PENDENTE]]:tabConsumo[[#This Row],[09_23]] ) * 3)</f>
        <v>3745.6073226910653</v>
      </c>
      <c r="X612" s="5">
        <f t="shared" si="20"/>
        <v>2</v>
      </c>
      <c r="Y612">
        <v>344.58333333333331</v>
      </c>
      <c r="Z612" s="223">
        <f>SUM( tabConsumo[[#This Row],[QTD.PENDENTE]]:tabConsumo[[#This Row],[09_23]] )</f>
        <v>5550</v>
      </c>
      <c r="AA612" s="223">
        <f>LARGE(tabConsumo[[#This Row],[10_22]:[09_23]],1)</f>
        <v>4066</v>
      </c>
      <c r="AB612" s="146" t="s">
        <v>2238</v>
      </c>
      <c r="AC612" s="3" t="s">
        <v>2086</v>
      </c>
    </row>
    <row r="613" spans="1:29" x14ac:dyDescent="0.3">
      <c r="A613" s="4" t="s">
        <v>1989</v>
      </c>
      <c r="B613" s="3" t="s">
        <v>31</v>
      </c>
      <c r="C613" s="2">
        <v>139144</v>
      </c>
      <c r="D613" s="2">
        <v>542</v>
      </c>
      <c r="F613" s="2">
        <v>25</v>
      </c>
      <c r="G613" s="2">
        <v>6</v>
      </c>
      <c r="H613" s="2">
        <v>0</v>
      </c>
      <c r="I613" s="2">
        <v>0</v>
      </c>
      <c r="J613" s="2">
        <v>0</v>
      </c>
      <c r="K613" s="2">
        <v>4787</v>
      </c>
      <c r="L613" s="2">
        <v>5</v>
      </c>
      <c r="M613" s="2">
        <v>0</v>
      </c>
      <c r="N613" s="2">
        <v>1</v>
      </c>
      <c r="O613" s="2">
        <v>0</v>
      </c>
      <c r="P613" s="2">
        <v>15</v>
      </c>
      <c r="Q613" s="2">
        <v>0</v>
      </c>
      <c r="R613" s="238">
        <v>43881</v>
      </c>
      <c r="S613" s="219">
        <v>12</v>
      </c>
      <c r="T613" s="220">
        <f>SUM( tabConsumo[[#This Row],[QTD.PENDENTE]]:tabConsumo[[#This Row],[09_23]] ) / tabConsumo[[#This Row],[Div]]</f>
        <v>403.25</v>
      </c>
      <c r="U613" s="221">
        <f xml:space="preserve"> tabConsumo[[#This Row],[Média.A]] + (_xlfn.STDEV.S( tabConsumo[[#This Row],[QTD.PENDENTE]]:tabConsumo[[#This Row],[09_23]] ) * 1)</f>
        <v>1783.7951574715628</v>
      </c>
      <c r="V613" s="221">
        <f xml:space="preserve"> tabConsumo[[#This Row],[Média.A]] + (_xlfn.STDEV.S( tabConsumo[[#This Row],[QTD.PENDENTE]]:tabConsumo[[#This Row],[09_23]] ) * 2)</f>
        <v>3164.3403149431256</v>
      </c>
      <c r="W613" s="221">
        <f xml:space="preserve"> tabConsumo[[#This Row],[Média.A]] + (_xlfn.STDEV.S( tabConsumo[[#This Row],[QTD.PENDENTE]]:tabConsumo[[#This Row],[09_23]] ) * 3)</f>
        <v>4544.8854724146886</v>
      </c>
      <c r="X613" s="5">
        <f t="shared" si="20"/>
        <v>2</v>
      </c>
      <c r="Y613">
        <v>268</v>
      </c>
      <c r="Z613" s="223">
        <f>SUM( tabConsumo[[#This Row],[QTD.PENDENTE]]:tabConsumo[[#This Row],[09_23]] )</f>
        <v>4839</v>
      </c>
      <c r="AA613" s="223">
        <f>LARGE(tabConsumo[[#This Row],[10_22]:[09_23]],1)</f>
        <v>4787</v>
      </c>
      <c r="AB613" s="146" t="s">
        <v>2241</v>
      </c>
      <c r="AC613" s="3" t="s">
        <v>2086</v>
      </c>
    </row>
    <row r="614" spans="1:29" x14ac:dyDescent="0.3">
      <c r="A614" s="4" t="s">
        <v>1084</v>
      </c>
      <c r="B614" s="3" t="s">
        <v>263</v>
      </c>
      <c r="C614" s="2">
        <v>15085</v>
      </c>
      <c r="D614" s="2">
        <v>529</v>
      </c>
      <c r="F614" s="2">
        <v>0</v>
      </c>
      <c r="G614" s="2">
        <v>20</v>
      </c>
      <c r="H614" s="2">
        <v>5</v>
      </c>
      <c r="I614" s="2">
        <v>0</v>
      </c>
      <c r="J614" s="2">
        <v>0</v>
      </c>
      <c r="K614" s="2">
        <v>0</v>
      </c>
      <c r="L614" s="2">
        <v>0</v>
      </c>
      <c r="M614" s="2">
        <v>30</v>
      </c>
      <c r="N614" s="2">
        <v>30</v>
      </c>
      <c r="O614" s="2">
        <v>1</v>
      </c>
      <c r="P614" s="2">
        <v>0</v>
      </c>
      <c r="Q614" s="2">
        <v>0</v>
      </c>
      <c r="R614" s="238">
        <v>367</v>
      </c>
      <c r="S614" s="219">
        <f xml:space="preserve"> 12</f>
        <v>12</v>
      </c>
      <c r="T614" s="220">
        <f>SUM( tabConsumo[[#This Row],[QTD.PENDENTE]]:tabConsumo[[#This Row],[09_23]] ) / tabConsumo[[#This Row],[Div]]</f>
        <v>7.166666666666667</v>
      </c>
      <c r="U614" s="221">
        <f xml:space="preserve"> tabConsumo[[#This Row],[Média.A]] + (_xlfn.STDEV.S( tabConsumo[[#This Row],[QTD.PENDENTE]]:tabConsumo[[#This Row],[09_23]] ) * 1)</f>
        <v>19.263498207749368</v>
      </c>
      <c r="V614" s="221">
        <f xml:space="preserve"> tabConsumo[[#This Row],[Média.A]] + (_xlfn.STDEV.S( tabConsumo[[#This Row],[QTD.PENDENTE]]:tabConsumo[[#This Row],[09_23]] ) * 2)</f>
        <v>31.360329748832072</v>
      </c>
      <c r="W614" s="221">
        <f xml:space="preserve"> tabConsumo[[#This Row],[Média.A]] + (_xlfn.STDEV.S( tabConsumo[[#This Row],[QTD.PENDENTE]]:tabConsumo[[#This Row],[09_23]] ) * 3)</f>
        <v>43.457161289914772</v>
      </c>
      <c r="X614" s="5">
        <f t="shared" si="20"/>
        <v>2</v>
      </c>
      <c r="Y614">
        <v>7.166666666666667</v>
      </c>
      <c r="Z614" s="223">
        <f>SUM( tabConsumo[[#This Row],[QTD.PENDENTE]]:tabConsumo[[#This Row],[09_23]] )</f>
        <v>86</v>
      </c>
      <c r="AA614" s="223">
        <f>LARGE(tabConsumo[[#This Row],[10_22]:[09_23]],1)</f>
        <v>30</v>
      </c>
      <c r="AB614" s="146" t="s">
        <v>2239</v>
      </c>
      <c r="AC614" s="3" t="s">
        <v>2086</v>
      </c>
    </row>
    <row r="615" spans="1:29" x14ac:dyDescent="0.3">
      <c r="A615" s="4" t="s">
        <v>1046</v>
      </c>
      <c r="B615" s="3" t="s">
        <v>263</v>
      </c>
      <c r="C615" s="2">
        <v>13563</v>
      </c>
      <c r="D615" s="2">
        <v>289</v>
      </c>
      <c r="F615" s="2">
        <v>20</v>
      </c>
      <c r="G615" s="2">
        <v>40</v>
      </c>
      <c r="H615" s="2">
        <v>0</v>
      </c>
      <c r="I615" s="2">
        <v>0</v>
      </c>
      <c r="J615" s="2">
        <v>0</v>
      </c>
      <c r="K615" s="2">
        <v>60</v>
      </c>
      <c r="L615" s="2">
        <v>0</v>
      </c>
      <c r="M615" s="2">
        <v>30</v>
      </c>
      <c r="N615" s="2">
        <v>80</v>
      </c>
      <c r="O615" s="2">
        <v>1</v>
      </c>
      <c r="P615" s="2">
        <v>0</v>
      </c>
      <c r="Q615" s="2">
        <v>0</v>
      </c>
      <c r="R615" s="238">
        <v>367</v>
      </c>
      <c r="S615" s="219">
        <f xml:space="preserve"> 12</f>
        <v>12</v>
      </c>
      <c r="T615" s="220">
        <f>SUM( tabConsumo[[#This Row],[QTD.PENDENTE]]:tabConsumo[[#This Row],[09_23]] ) / tabConsumo[[#This Row],[Div]]</f>
        <v>19.25</v>
      </c>
      <c r="U615" s="221">
        <f xml:space="preserve"> tabConsumo[[#This Row],[Média.A]] + (_xlfn.STDEV.S( tabConsumo[[#This Row],[QTD.PENDENTE]]:tabConsumo[[#This Row],[09_23]] ) * 1)</f>
        <v>46.973062273460734</v>
      </c>
      <c r="V615" s="221">
        <f xml:space="preserve"> tabConsumo[[#This Row],[Média.A]] + (_xlfn.STDEV.S( tabConsumo[[#This Row],[QTD.PENDENTE]]:tabConsumo[[#This Row],[09_23]] ) * 2)</f>
        <v>74.696124546921467</v>
      </c>
      <c r="W615" s="221">
        <f xml:space="preserve"> tabConsumo[[#This Row],[Média.A]] + (_xlfn.STDEV.S( tabConsumo[[#This Row],[QTD.PENDENTE]]:tabConsumo[[#This Row],[09_23]] ) * 3)</f>
        <v>102.41918682038221</v>
      </c>
      <c r="X615" s="5">
        <f t="shared" si="20"/>
        <v>2</v>
      </c>
      <c r="Y615">
        <v>18.75</v>
      </c>
      <c r="Z615" s="223">
        <f>SUM( tabConsumo[[#This Row],[QTD.PENDENTE]]:tabConsumo[[#This Row],[09_23]] )</f>
        <v>231</v>
      </c>
      <c r="AA615" s="223">
        <f>LARGE(tabConsumo[[#This Row],[10_22]:[09_23]],1)</f>
        <v>80</v>
      </c>
      <c r="AB615" s="146" t="s">
        <v>2239</v>
      </c>
      <c r="AC615" s="3" t="s">
        <v>2086</v>
      </c>
    </row>
    <row r="616" spans="1:29" x14ac:dyDescent="0.3">
      <c r="A616" s="4" t="s">
        <v>1768</v>
      </c>
      <c r="B616" s="3" t="s">
        <v>560</v>
      </c>
      <c r="C616" s="2">
        <v>125262</v>
      </c>
      <c r="D616" s="2">
        <v>2038.56</v>
      </c>
      <c r="F616" s="2">
        <v>0</v>
      </c>
      <c r="G616" s="2">
        <v>0</v>
      </c>
      <c r="H616" s="2">
        <v>280</v>
      </c>
      <c r="I616" s="2">
        <v>0</v>
      </c>
      <c r="J616" s="2">
        <v>65</v>
      </c>
      <c r="K616" s="2">
        <v>0</v>
      </c>
      <c r="L616" s="2">
        <v>0</v>
      </c>
      <c r="M616" s="2">
        <v>60</v>
      </c>
      <c r="N616" s="2">
        <v>0</v>
      </c>
      <c r="O616" s="2">
        <v>30</v>
      </c>
      <c r="P616" s="2">
        <v>80</v>
      </c>
      <c r="Q616" s="2">
        <v>74</v>
      </c>
      <c r="R616" s="238">
        <v>41366</v>
      </c>
      <c r="S616" s="219">
        <v>12</v>
      </c>
      <c r="T616" s="220">
        <f>SUM( tabConsumo[[#This Row],[QTD.PENDENTE]]:tabConsumo[[#This Row],[09_23]] ) / tabConsumo[[#This Row],[Div]]</f>
        <v>49.083333333333336</v>
      </c>
      <c r="U616" s="221">
        <f xml:space="preserve"> tabConsumo[[#This Row],[Média.A]] + (_xlfn.STDEV.S( tabConsumo[[#This Row],[QTD.PENDENTE]]:tabConsumo[[#This Row],[09_23]] ) * 1)</f>
        <v>128.90752462364028</v>
      </c>
      <c r="V616" s="221">
        <f xml:space="preserve"> tabConsumo[[#This Row],[Média.A]] + (_xlfn.STDEV.S( tabConsumo[[#This Row],[QTD.PENDENTE]]:tabConsumo[[#This Row],[09_23]] ) * 2)</f>
        <v>208.73171591394726</v>
      </c>
      <c r="W616" s="221">
        <f xml:space="preserve"> tabConsumo[[#This Row],[Média.A]] + (_xlfn.STDEV.S( tabConsumo[[#This Row],[QTD.PENDENTE]]:tabConsumo[[#This Row],[09_23]] ) * 3)</f>
        <v>288.5559072042542</v>
      </c>
      <c r="X616" s="5">
        <f t="shared" si="20"/>
        <v>2</v>
      </c>
      <c r="Y616">
        <v>43.083333333333336</v>
      </c>
      <c r="Z616" s="223">
        <f>SUM( tabConsumo[[#This Row],[QTD.PENDENTE]]:tabConsumo[[#This Row],[09_23]] )</f>
        <v>589</v>
      </c>
      <c r="AA616" s="223">
        <f>LARGE(tabConsumo[[#This Row],[10_22]:[09_23]],1)</f>
        <v>280</v>
      </c>
      <c r="AB616" s="146" t="s">
        <v>2238</v>
      </c>
      <c r="AC616" s="3" t="s">
        <v>2086</v>
      </c>
    </row>
    <row r="617" spans="1:29" x14ac:dyDescent="0.3">
      <c r="A617" s="4" t="s">
        <v>1753</v>
      </c>
      <c r="B617" s="3" t="s">
        <v>560</v>
      </c>
      <c r="C617" s="2">
        <v>122818</v>
      </c>
      <c r="D617" s="2">
        <v>2259.25</v>
      </c>
      <c r="F617" s="2">
        <v>0</v>
      </c>
      <c r="G617" s="2">
        <v>0</v>
      </c>
      <c r="H617" s="2">
        <v>280</v>
      </c>
      <c r="I617" s="2">
        <v>0</v>
      </c>
      <c r="J617" s="2">
        <v>65</v>
      </c>
      <c r="K617" s="2">
        <v>0</v>
      </c>
      <c r="L617" s="2">
        <v>0</v>
      </c>
      <c r="M617" s="2">
        <v>60</v>
      </c>
      <c r="N617" s="2">
        <v>0</v>
      </c>
      <c r="O617" s="2">
        <v>30</v>
      </c>
      <c r="P617" s="2">
        <v>80</v>
      </c>
      <c r="Q617" s="2">
        <v>74</v>
      </c>
      <c r="R617" s="238">
        <v>41003</v>
      </c>
      <c r="S617" s="219">
        <v>12</v>
      </c>
      <c r="T617" s="220">
        <f>SUM( tabConsumo[[#This Row],[QTD.PENDENTE]]:tabConsumo[[#This Row],[09_23]] ) / tabConsumo[[#This Row],[Div]]</f>
        <v>49.083333333333336</v>
      </c>
      <c r="U617" s="221">
        <f xml:space="preserve"> tabConsumo[[#This Row],[Média.A]] + (_xlfn.STDEV.S( tabConsumo[[#This Row],[QTD.PENDENTE]]:tabConsumo[[#This Row],[09_23]] ) * 1)</f>
        <v>128.90752462364028</v>
      </c>
      <c r="V617" s="221">
        <f xml:space="preserve"> tabConsumo[[#This Row],[Média.A]] + (_xlfn.STDEV.S( tabConsumo[[#This Row],[QTD.PENDENTE]]:tabConsumo[[#This Row],[09_23]] ) * 2)</f>
        <v>208.73171591394726</v>
      </c>
      <c r="W617" s="221">
        <f xml:space="preserve"> tabConsumo[[#This Row],[Média.A]] + (_xlfn.STDEV.S( tabConsumo[[#This Row],[QTD.PENDENTE]]:tabConsumo[[#This Row],[09_23]] ) * 3)</f>
        <v>288.5559072042542</v>
      </c>
      <c r="X617" s="5">
        <f t="shared" si="20"/>
        <v>2</v>
      </c>
      <c r="Y617">
        <v>43.083333333333336</v>
      </c>
      <c r="Z617" s="223">
        <f>SUM( tabConsumo[[#This Row],[QTD.PENDENTE]]:tabConsumo[[#This Row],[09_23]] )</f>
        <v>589</v>
      </c>
      <c r="AA617" s="223">
        <f>LARGE(tabConsumo[[#This Row],[10_22]:[09_23]],1)</f>
        <v>280</v>
      </c>
      <c r="AB617" s="146" t="s">
        <v>2238</v>
      </c>
      <c r="AC617" s="3" t="s">
        <v>2086</v>
      </c>
    </row>
    <row r="618" spans="1:29" x14ac:dyDescent="0.3">
      <c r="A618" s="4" t="s">
        <v>1582</v>
      </c>
      <c r="B618" s="3" t="s">
        <v>560</v>
      </c>
      <c r="C618" s="2">
        <v>102000</v>
      </c>
      <c r="D618" s="2">
        <v>759</v>
      </c>
      <c r="F618" s="2">
        <v>0</v>
      </c>
      <c r="G618" s="2">
        <v>0</v>
      </c>
      <c r="H618" s="2">
        <v>0</v>
      </c>
      <c r="I618" s="2">
        <v>704</v>
      </c>
      <c r="J618" s="2">
        <v>0</v>
      </c>
      <c r="K618" s="2">
        <v>84</v>
      </c>
      <c r="L618" s="2">
        <v>0</v>
      </c>
      <c r="M618" s="2">
        <v>516</v>
      </c>
      <c r="N618" s="2">
        <v>123</v>
      </c>
      <c r="O618" s="2">
        <v>225</v>
      </c>
      <c r="P618" s="2">
        <v>37</v>
      </c>
      <c r="Q618" s="2">
        <v>0</v>
      </c>
      <c r="R618" s="238">
        <v>39339</v>
      </c>
      <c r="S618" s="219">
        <v>12</v>
      </c>
      <c r="T618" s="220">
        <f>SUM( tabConsumo[[#This Row],[QTD.PENDENTE]]:tabConsumo[[#This Row],[09_23]] ) / tabConsumo[[#This Row],[Div]]</f>
        <v>140.75</v>
      </c>
      <c r="U618" s="221">
        <f xml:space="preserve"> tabConsumo[[#This Row],[Média.A]] + (_xlfn.STDEV.S( tabConsumo[[#This Row],[QTD.PENDENTE]]:tabConsumo[[#This Row],[09_23]] ) * 1)</f>
        <v>373.97331280633944</v>
      </c>
      <c r="V618" s="221">
        <f xml:space="preserve"> tabConsumo[[#This Row],[Média.A]] + (_xlfn.STDEV.S( tabConsumo[[#This Row],[QTD.PENDENTE]]:tabConsumo[[#This Row],[09_23]] ) * 2)</f>
        <v>607.19662561267887</v>
      </c>
      <c r="W618" s="221">
        <f xml:space="preserve"> tabConsumo[[#This Row],[Média.A]] + (_xlfn.STDEV.S( tabConsumo[[#This Row],[QTD.PENDENTE]]:tabConsumo[[#This Row],[09_23]] ) * 3)</f>
        <v>840.41993841901819</v>
      </c>
      <c r="X618" s="5">
        <f t="shared" si="20"/>
        <v>2</v>
      </c>
      <c r="Y618">
        <v>132.66666666666666</v>
      </c>
      <c r="Z618" s="223">
        <f>SUM( tabConsumo[[#This Row],[QTD.PENDENTE]]:tabConsumo[[#This Row],[09_23]] )</f>
        <v>1689</v>
      </c>
      <c r="AA618" s="223">
        <f>LARGE(tabConsumo[[#This Row],[10_22]:[09_23]],1)</f>
        <v>704</v>
      </c>
      <c r="AB618" s="146" t="s">
        <v>2241</v>
      </c>
      <c r="AC618" s="3" t="s">
        <v>2086</v>
      </c>
    </row>
    <row r="619" spans="1:29" x14ac:dyDescent="0.3">
      <c r="A619" s="4" t="s">
        <v>1733</v>
      </c>
      <c r="B619" s="3" t="s">
        <v>560</v>
      </c>
      <c r="C619" s="2">
        <v>118515</v>
      </c>
      <c r="D619" s="2">
        <v>0</v>
      </c>
      <c r="F619" s="2">
        <v>1</v>
      </c>
      <c r="G619" s="2">
        <v>2</v>
      </c>
      <c r="H619" s="2">
        <v>0</v>
      </c>
      <c r="I619" s="2">
        <v>6</v>
      </c>
      <c r="J619" s="2">
        <v>13</v>
      </c>
      <c r="K619" s="2">
        <v>8</v>
      </c>
      <c r="L619" s="2">
        <v>0</v>
      </c>
      <c r="M619" s="2">
        <v>284</v>
      </c>
      <c r="N619" s="2">
        <v>0</v>
      </c>
      <c r="O619" s="2">
        <v>0</v>
      </c>
      <c r="P619" s="2">
        <v>0</v>
      </c>
      <c r="Q619" s="2">
        <v>0</v>
      </c>
      <c r="R619" s="238">
        <v>40498</v>
      </c>
      <c r="S619" s="219">
        <v>12</v>
      </c>
      <c r="T619" s="220">
        <f>SUM( tabConsumo[[#This Row],[QTD.PENDENTE]]:tabConsumo[[#This Row],[09_23]] ) / tabConsumo[[#This Row],[Div]]</f>
        <v>26.166666666666668</v>
      </c>
      <c r="U619" s="221">
        <f xml:space="preserve"> tabConsumo[[#This Row],[Média.A]] + (_xlfn.STDEV.S( tabConsumo[[#This Row],[QTD.PENDENTE]]:tabConsumo[[#This Row],[09_23]] ) * 1)</f>
        <v>107.47062310996243</v>
      </c>
      <c r="V619" s="221">
        <f xml:space="preserve"> tabConsumo[[#This Row],[Média.A]] + (_xlfn.STDEV.S( tabConsumo[[#This Row],[QTD.PENDENTE]]:tabConsumo[[#This Row],[09_23]] ) * 2)</f>
        <v>188.77457955325818</v>
      </c>
      <c r="W619" s="221">
        <f xml:space="preserve"> tabConsumo[[#This Row],[Média.A]] + (_xlfn.STDEV.S( tabConsumo[[#This Row],[QTD.PENDENTE]]:tabConsumo[[#This Row],[09_23]] ) * 3)</f>
        <v>270.07853599655397</v>
      </c>
      <c r="X619" s="5">
        <f t="shared" si="20"/>
        <v>2</v>
      </c>
      <c r="Y619">
        <v>18.166666666666668</v>
      </c>
      <c r="Z619" s="223">
        <f>SUM( tabConsumo[[#This Row],[QTD.PENDENTE]]:tabConsumo[[#This Row],[09_23]] )</f>
        <v>314</v>
      </c>
      <c r="AA619" s="223">
        <f>LARGE(tabConsumo[[#This Row],[10_22]:[09_23]],1)</f>
        <v>284</v>
      </c>
      <c r="AB619" s="146" t="s">
        <v>2244</v>
      </c>
      <c r="AC619" s="3" t="s">
        <v>2086</v>
      </c>
    </row>
    <row r="620" spans="1:29" x14ac:dyDescent="0.3">
      <c r="A620" s="4" t="s">
        <v>1735</v>
      </c>
      <c r="B620" s="3" t="s">
        <v>560</v>
      </c>
      <c r="C620" s="2">
        <v>118577</v>
      </c>
      <c r="D620" s="2">
        <v>0</v>
      </c>
      <c r="E620" s="2">
        <v>68.5</v>
      </c>
      <c r="F620" s="2">
        <v>272</v>
      </c>
      <c r="G620" s="2">
        <v>97</v>
      </c>
      <c r="H620" s="2">
        <v>241</v>
      </c>
      <c r="I620" s="2">
        <v>116.5</v>
      </c>
      <c r="J620" s="2">
        <v>0</v>
      </c>
      <c r="K620" s="2">
        <v>0</v>
      </c>
      <c r="L620" s="2">
        <v>0</v>
      </c>
      <c r="M620" s="2">
        <v>0</v>
      </c>
      <c r="N620" s="2">
        <v>0</v>
      </c>
      <c r="O620" s="2">
        <v>0</v>
      </c>
      <c r="P620" s="2">
        <v>0</v>
      </c>
      <c r="Q620" s="2">
        <v>0</v>
      </c>
      <c r="R620" s="238">
        <v>40501</v>
      </c>
      <c r="S620" s="219">
        <v>12</v>
      </c>
      <c r="T620" s="220">
        <f>SUM( tabConsumo[[#This Row],[QTD.PENDENTE]]:tabConsumo[[#This Row],[09_23]] ) / tabConsumo[[#This Row],[Div]]</f>
        <v>66.25</v>
      </c>
      <c r="U620" s="221">
        <f xml:space="preserve"> tabConsumo[[#This Row],[Média.A]] + (_xlfn.STDEV.S( tabConsumo[[#This Row],[QTD.PENDENTE]]:tabConsumo[[#This Row],[09_23]] ) * 1)</f>
        <v>162.4794100520956</v>
      </c>
      <c r="V620" s="221">
        <f xml:space="preserve"> tabConsumo[[#This Row],[Média.A]] + (_xlfn.STDEV.S( tabConsumo[[#This Row],[QTD.PENDENTE]]:tabConsumo[[#This Row],[09_23]] ) * 2)</f>
        <v>258.7088201041912</v>
      </c>
      <c r="W620" s="221">
        <f xml:space="preserve"> tabConsumo[[#This Row],[Média.A]] + (_xlfn.STDEV.S( tabConsumo[[#This Row],[QTD.PENDENTE]]:tabConsumo[[#This Row],[09_23]] ) * 3)</f>
        <v>354.93823015628681</v>
      </c>
      <c r="X620" s="5">
        <f t="shared" si="20"/>
        <v>2</v>
      </c>
      <c r="Y620">
        <v>65.083333333333329</v>
      </c>
      <c r="Z620" s="223">
        <f>SUM( tabConsumo[[#This Row],[QTD.PENDENTE]]:tabConsumo[[#This Row],[09_23]] )</f>
        <v>795</v>
      </c>
      <c r="AA620" s="223">
        <f>LARGE(tabConsumo[[#This Row],[10_22]:[09_23]],1)</f>
        <v>272</v>
      </c>
      <c r="AB620" s="146" t="s">
        <v>2247</v>
      </c>
      <c r="AC620" s="3" t="s">
        <v>2086</v>
      </c>
    </row>
    <row r="621" spans="1:29" x14ac:dyDescent="0.3">
      <c r="A621" s="4" t="s">
        <v>1717</v>
      </c>
      <c r="B621" s="3" t="s">
        <v>269</v>
      </c>
      <c r="C621" s="2">
        <v>115765</v>
      </c>
      <c r="D621" s="2">
        <v>766</v>
      </c>
      <c r="E621" s="2">
        <v>11</v>
      </c>
      <c r="F621" s="2">
        <v>46</v>
      </c>
      <c r="G621" s="2">
        <v>63</v>
      </c>
      <c r="H621" s="2">
        <v>40</v>
      </c>
      <c r="I621" s="2">
        <v>26</v>
      </c>
      <c r="J621" s="2">
        <v>48</v>
      </c>
      <c r="K621" s="2">
        <v>643</v>
      </c>
      <c r="L621" s="2">
        <v>76</v>
      </c>
      <c r="M621" s="2">
        <v>85</v>
      </c>
      <c r="N621" s="2">
        <v>80</v>
      </c>
      <c r="O621" s="2">
        <v>64</v>
      </c>
      <c r="P621" s="2">
        <v>77</v>
      </c>
      <c r="Q621" s="2">
        <v>69</v>
      </c>
      <c r="R621" s="238">
        <v>40347</v>
      </c>
      <c r="S621" s="219">
        <v>12</v>
      </c>
      <c r="T621" s="220">
        <f>SUM( tabConsumo[[#This Row],[QTD.PENDENTE]]:tabConsumo[[#This Row],[09_23]] ) / tabConsumo[[#This Row],[Div]]</f>
        <v>110.66666666666667</v>
      </c>
      <c r="U621" s="221">
        <f xml:space="preserve"> tabConsumo[[#This Row],[Média.A]] + (_xlfn.STDEV.S( tabConsumo[[#This Row],[QTD.PENDENTE]]:tabConsumo[[#This Row],[09_23]] ) * 1)</f>
        <v>274.66912912472765</v>
      </c>
      <c r="V621" s="221">
        <f xml:space="preserve"> tabConsumo[[#This Row],[Média.A]] + (_xlfn.STDEV.S( tabConsumo[[#This Row],[QTD.PENDENTE]]:tabConsumo[[#This Row],[09_23]] ) * 2)</f>
        <v>438.67159158278861</v>
      </c>
      <c r="W621" s="221">
        <f xml:space="preserve"> tabConsumo[[#This Row],[Média.A]] + (_xlfn.STDEV.S( tabConsumo[[#This Row],[QTD.PENDENTE]]:tabConsumo[[#This Row],[09_23]] ) * 3)</f>
        <v>602.67405404084957</v>
      </c>
      <c r="X621" s="5">
        <f t="shared" si="20"/>
        <v>2</v>
      </c>
      <c r="Y621">
        <v>93.583333333333329</v>
      </c>
      <c r="Z621" s="223">
        <f>SUM( tabConsumo[[#This Row],[QTD.PENDENTE]]:tabConsumo[[#This Row],[09_23]] )</f>
        <v>1328</v>
      </c>
      <c r="AA621" s="223">
        <f>LARGE(tabConsumo[[#This Row],[10_22]:[09_23]],1)</f>
        <v>643</v>
      </c>
      <c r="AB621" s="146" t="s">
        <v>2238</v>
      </c>
      <c r="AC621" s="3" t="s">
        <v>2086</v>
      </c>
    </row>
    <row r="622" spans="1:29" x14ac:dyDescent="0.3">
      <c r="A622" s="4" t="s">
        <v>1530</v>
      </c>
      <c r="B622" s="3" t="s">
        <v>272</v>
      </c>
      <c r="C622" s="2">
        <v>91250</v>
      </c>
      <c r="D622" s="2">
        <v>665</v>
      </c>
      <c r="F622" s="2">
        <v>0</v>
      </c>
      <c r="G622" s="2">
        <v>0</v>
      </c>
      <c r="H622" s="2">
        <v>0</v>
      </c>
      <c r="I622" s="2">
        <v>11</v>
      </c>
      <c r="J622" s="2">
        <v>0</v>
      </c>
      <c r="K622" s="2">
        <v>0</v>
      </c>
      <c r="L622" s="2">
        <v>10</v>
      </c>
      <c r="M622" s="2">
        <v>20</v>
      </c>
      <c r="N622" s="2">
        <v>0</v>
      </c>
      <c r="O622" s="2">
        <v>0</v>
      </c>
      <c r="P622" s="2">
        <v>1</v>
      </c>
      <c r="Q622" s="2">
        <v>0</v>
      </c>
      <c r="R622" s="238">
        <v>38820</v>
      </c>
      <c r="S622" s="219">
        <v>12</v>
      </c>
      <c r="T622" s="220">
        <f>SUM( tabConsumo[[#This Row],[QTD.PENDENTE]]:tabConsumo[[#This Row],[09_23]] ) / tabConsumo[[#This Row],[Div]]</f>
        <v>3.5</v>
      </c>
      <c r="U622" s="221">
        <f xml:space="preserve"> tabConsumo[[#This Row],[Média.A]] + (_xlfn.STDEV.S( tabConsumo[[#This Row],[QTD.PENDENTE]]:tabConsumo[[#This Row],[09_23]] ) * 1)</f>
        <v>10.071287406727709</v>
      </c>
      <c r="V622" s="221">
        <f xml:space="preserve"> tabConsumo[[#This Row],[Média.A]] + (_xlfn.STDEV.S( tabConsumo[[#This Row],[QTD.PENDENTE]]:tabConsumo[[#This Row],[09_23]] ) * 2)</f>
        <v>16.642574813455418</v>
      </c>
      <c r="W622" s="221">
        <f xml:space="preserve"> tabConsumo[[#This Row],[Média.A]] + (_xlfn.STDEV.S( tabConsumo[[#This Row],[QTD.PENDENTE]]:tabConsumo[[#This Row],[09_23]] ) * 3)</f>
        <v>23.213862220183128</v>
      </c>
      <c r="X622" s="5">
        <f t="shared" si="20"/>
        <v>2</v>
      </c>
      <c r="Y622">
        <v>3.1666666666666665</v>
      </c>
      <c r="Z622" s="223">
        <f>SUM( tabConsumo[[#This Row],[QTD.PENDENTE]]:tabConsumo[[#This Row],[09_23]] )</f>
        <v>42</v>
      </c>
      <c r="AA622" s="223">
        <f>LARGE(tabConsumo[[#This Row],[10_22]:[09_23]],1)</f>
        <v>20</v>
      </c>
      <c r="AB622" s="146" t="s">
        <v>2241</v>
      </c>
      <c r="AC622" s="3" t="s">
        <v>2086</v>
      </c>
    </row>
    <row r="623" spans="1:29" x14ac:dyDescent="0.3">
      <c r="A623" s="4" t="s">
        <v>1294</v>
      </c>
      <c r="B623" s="3" t="s">
        <v>272</v>
      </c>
      <c r="C623" s="2">
        <v>49254</v>
      </c>
      <c r="D623" s="2">
        <v>0</v>
      </c>
      <c r="E623" s="2">
        <v>24</v>
      </c>
      <c r="F623" s="2">
        <v>33</v>
      </c>
      <c r="G623" s="2">
        <v>80</v>
      </c>
      <c r="H623" s="2">
        <v>100</v>
      </c>
      <c r="I623" s="2">
        <v>121</v>
      </c>
      <c r="J623" s="2">
        <v>90</v>
      </c>
      <c r="K623" s="2">
        <v>342</v>
      </c>
      <c r="L623" s="2">
        <v>289</v>
      </c>
      <c r="M623" s="2">
        <v>40</v>
      </c>
      <c r="N623" s="2">
        <v>271</v>
      </c>
      <c r="O623" s="2">
        <v>189</v>
      </c>
      <c r="P623" s="2">
        <v>275</v>
      </c>
      <c r="Q623" s="2">
        <v>220</v>
      </c>
      <c r="R623" s="238">
        <v>367</v>
      </c>
      <c r="S623" s="219">
        <f xml:space="preserve"> 12</f>
        <v>12</v>
      </c>
      <c r="T623" s="220">
        <f>SUM( tabConsumo[[#This Row],[QTD.PENDENTE]]:tabConsumo[[#This Row],[09_23]] ) / tabConsumo[[#This Row],[Div]]</f>
        <v>172.83333333333334</v>
      </c>
      <c r="U623" s="221">
        <f xml:space="preserve"> tabConsumo[[#This Row],[Média.A]] + (_xlfn.STDEV.S( tabConsumo[[#This Row],[QTD.PENDENTE]]:tabConsumo[[#This Row],[09_23]] ) * 1)</f>
        <v>282.83152679169228</v>
      </c>
      <c r="V623" s="221">
        <f xml:space="preserve"> tabConsumo[[#This Row],[Média.A]] + (_xlfn.STDEV.S( tabConsumo[[#This Row],[QTD.PENDENTE]]:tabConsumo[[#This Row],[09_23]] ) * 2)</f>
        <v>392.82972025005125</v>
      </c>
      <c r="W623" s="221">
        <f xml:space="preserve"> tabConsumo[[#This Row],[Média.A]] + (_xlfn.STDEV.S( tabConsumo[[#This Row],[QTD.PENDENTE]]:tabConsumo[[#This Row],[09_23]] ) * 3)</f>
        <v>502.82791370841016</v>
      </c>
      <c r="X623" s="5">
        <f t="shared" si="20"/>
        <v>2</v>
      </c>
      <c r="Y623">
        <v>172.83333333333334</v>
      </c>
      <c r="Z623" s="223">
        <f>SUM( tabConsumo[[#This Row],[QTD.PENDENTE]]:tabConsumo[[#This Row],[09_23]] )</f>
        <v>2074</v>
      </c>
      <c r="AA623" s="223">
        <f>LARGE(tabConsumo[[#This Row],[10_22]:[09_23]],1)</f>
        <v>342</v>
      </c>
      <c r="AB623" s="146" t="s">
        <v>2238</v>
      </c>
      <c r="AC623" s="3" t="s">
        <v>2086</v>
      </c>
    </row>
    <row r="624" spans="1:29" x14ac:dyDescent="0.3">
      <c r="A624" s="4" t="s">
        <v>1121</v>
      </c>
      <c r="B624" s="3" t="s">
        <v>263</v>
      </c>
      <c r="C624" s="2">
        <v>16978</v>
      </c>
      <c r="D624" s="2">
        <v>868</v>
      </c>
      <c r="F624" s="2">
        <v>0</v>
      </c>
      <c r="G624" s="2">
        <v>0</v>
      </c>
      <c r="H624" s="2">
        <v>0</v>
      </c>
      <c r="I624" s="2">
        <v>10</v>
      </c>
      <c r="J624" s="2">
        <v>10</v>
      </c>
      <c r="K624" s="2">
        <v>0</v>
      </c>
      <c r="L624" s="2">
        <v>0</v>
      </c>
      <c r="M624" s="2">
        <v>0</v>
      </c>
      <c r="N624" s="2">
        <v>30</v>
      </c>
      <c r="O624" s="2">
        <v>30</v>
      </c>
      <c r="P624" s="2">
        <v>0</v>
      </c>
      <c r="Q624" s="2">
        <v>0</v>
      </c>
      <c r="R624" s="238">
        <v>367</v>
      </c>
      <c r="S624" s="219">
        <f xml:space="preserve"> 12</f>
        <v>12</v>
      </c>
      <c r="T624" s="220">
        <f>SUM( tabConsumo[[#This Row],[QTD.PENDENTE]]:tabConsumo[[#This Row],[09_23]] ) / tabConsumo[[#This Row],[Div]]</f>
        <v>6.666666666666667</v>
      </c>
      <c r="U624" s="221">
        <f xml:space="preserve"> tabConsumo[[#This Row],[Média.A]] + (_xlfn.STDEV.S( tabConsumo[[#This Row],[QTD.PENDENTE]]:tabConsumo[[#This Row],[09_23]] ) * 1)</f>
        <v>18.213672050459181</v>
      </c>
      <c r="V624" s="221">
        <f xml:space="preserve"> tabConsumo[[#This Row],[Média.A]] + (_xlfn.STDEV.S( tabConsumo[[#This Row],[QTD.PENDENTE]]:tabConsumo[[#This Row],[09_23]] ) * 2)</f>
        <v>29.760677434251697</v>
      </c>
      <c r="W624" s="221">
        <f xml:space="preserve"> tabConsumo[[#This Row],[Média.A]] + (_xlfn.STDEV.S( tabConsumo[[#This Row],[QTD.PENDENTE]]:tabConsumo[[#This Row],[09_23]] ) * 3)</f>
        <v>41.307682818044206</v>
      </c>
      <c r="X624" s="5">
        <f t="shared" si="20"/>
        <v>2</v>
      </c>
      <c r="Y624">
        <v>6.5</v>
      </c>
      <c r="Z624" s="223">
        <f>SUM( tabConsumo[[#This Row],[QTD.PENDENTE]]:tabConsumo[[#This Row],[09_23]] )</f>
        <v>80</v>
      </c>
      <c r="AA624" s="223">
        <f>LARGE(tabConsumo[[#This Row],[10_22]:[09_23]],1)</f>
        <v>30</v>
      </c>
      <c r="AB624" s="146" t="s">
        <v>2239</v>
      </c>
      <c r="AC624" s="3" t="s">
        <v>2086</v>
      </c>
    </row>
    <row r="625" spans="1:29" x14ac:dyDescent="0.3">
      <c r="A625" s="4" t="s">
        <v>1120</v>
      </c>
      <c r="B625" s="3" t="s">
        <v>263</v>
      </c>
      <c r="C625" s="2">
        <v>16956</v>
      </c>
      <c r="D625" s="2">
        <v>143</v>
      </c>
      <c r="F625" s="2">
        <v>0</v>
      </c>
      <c r="G625" s="2">
        <v>0</v>
      </c>
      <c r="H625" s="2">
        <v>10</v>
      </c>
      <c r="I625" s="2">
        <v>0</v>
      </c>
      <c r="J625" s="2">
        <v>0</v>
      </c>
      <c r="K625" s="2">
        <v>0</v>
      </c>
      <c r="L625" s="2">
        <v>0</v>
      </c>
      <c r="M625" s="2">
        <v>0</v>
      </c>
      <c r="N625" s="2">
        <v>30</v>
      </c>
      <c r="O625" s="2">
        <v>30</v>
      </c>
      <c r="P625" s="2">
        <v>0</v>
      </c>
      <c r="Q625" s="2">
        <v>0</v>
      </c>
      <c r="R625" s="238">
        <v>367</v>
      </c>
      <c r="S625" s="219">
        <f xml:space="preserve"> 12</f>
        <v>12</v>
      </c>
      <c r="T625" s="220">
        <f>SUM( tabConsumo[[#This Row],[QTD.PENDENTE]]:tabConsumo[[#This Row],[09_23]] ) / tabConsumo[[#This Row],[Div]]</f>
        <v>5.833333333333333</v>
      </c>
      <c r="U625" s="221">
        <f xml:space="preserve"> tabConsumo[[#This Row],[Média.A]] + (_xlfn.STDEV.S( tabConsumo[[#This Row],[QTD.PENDENTE]]:tabConsumo[[#This Row],[09_23]] ) * 1)</f>
        <v>17.478334862146482</v>
      </c>
      <c r="V625" s="221">
        <f xml:space="preserve"> tabConsumo[[#This Row],[Média.A]] + (_xlfn.STDEV.S( tabConsumo[[#This Row],[QTD.PENDENTE]]:tabConsumo[[#This Row],[09_23]] ) * 2)</f>
        <v>29.123336390959633</v>
      </c>
      <c r="W625" s="221">
        <f xml:space="preserve"> tabConsumo[[#This Row],[Média.A]] + (_xlfn.STDEV.S( tabConsumo[[#This Row],[QTD.PENDENTE]]:tabConsumo[[#This Row],[09_23]] ) * 3)</f>
        <v>40.768337919772783</v>
      </c>
      <c r="X625" s="5">
        <f t="shared" si="20"/>
        <v>2</v>
      </c>
      <c r="Y625">
        <v>5.666666666666667</v>
      </c>
      <c r="Z625" s="223">
        <f>SUM( tabConsumo[[#This Row],[QTD.PENDENTE]]:tabConsumo[[#This Row],[09_23]] )</f>
        <v>70</v>
      </c>
      <c r="AA625" s="223">
        <f>LARGE(tabConsumo[[#This Row],[10_22]:[09_23]],1)</f>
        <v>30</v>
      </c>
      <c r="AB625" s="146" t="s">
        <v>2239</v>
      </c>
      <c r="AC625" s="3" t="s">
        <v>2086</v>
      </c>
    </row>
    <row r="626" spans="1:29" x14ac:dyDescent="0.3">
      <c r="A626" s="4" t="s">
        <v>1694</v>
      </c>
      <c r="B626" s="3" t="s">
        <v>31</v>
      </c>
      <c r="C626" s="2">
        <v>112163</v>
      </c>
      <c r="D626" s="2">
        <v>108</v>
      </c>
      <c r="F626" s="2">
        <v>27</v>
      </c>
      <c r="G626" s="2">
        <v>59</v>
      </c>
      <c r="H626" s="2">
        <v>93</v>
      </c>
      <c r="I626" s="2">
        <v>85</v>
      </c>
      <c r="J626" s="2">
        <v>30</v>
      </c>
      <c r="K626" s="2">
        <v>198</v>
      </c>
      <c r="L626" s="2">
        <v>30</v>
      </c>
      <c r="M626" s="2">
        <v>31</v>
      </c>
      <c r="N626" s="2">
        <v>42</v>
      </c>
      <c r="O626" s="2">
        <v>50</v>
      </c>
      <c r="P626" s="2">
        <v>20</v>
      </c>
      <c r="Q626" s="2">
        <v>80</v>
      </c>
      <c r="R626" s="238">
        <v>40045</v>
      </c>
      <c r="S626" s="219">
        <v>12</v>
      </c>
      <c r="T626" s="220">
        <f>SUM( tabConsumo[[#This Row],[QTD.PENDENTE]]:tabConsumo[[#This Row],[09_23]] ) / tabConsumo[[#This Row],[Div]]</f>
        <v>62.083333333333336</v>
      </c>
      <c r="U626" s="221">
        <f xml:space="preserve"> tabConsumo[[#This Row],[Média.A]] + (_xlfn.STDEV.S( tabConsumo[[#This Row],[QTD.PENDENTE]]:tabConsumo[[#This Row],[09_23]] ) * 1)</f>
        <v>111.49893325027773</v>
      </c>
      <c r="V626" s="221">
        <f xml:space="preserve"> tabConsumo[[#This Row],[Média.A]] + (_xlfn.STDEV.S( tabConsumo[[#This Row],[QTD.PENDENTE]]:tabConsumo[[#This Row],[09_23]] ) * 2)</f>
        <v>160.91453316722212</v>
      </c>
      <c r="W626" s="221">
        <f xml:space="preserve"> tabConsumo[[#This Row],[Média.A]] + (_xlfn.STDEV.S( tabConsumo[[#This Row],[QTD.PENDENTE]]:tabConsumo[[#This Row],[09_23]] ) * 3)</f>
        <v>210.33013308416653</v>
      </c>
      <c r="X626" s="5">
        <f t="shared" si="20"/>
        <v>2</v>
      </c>
      <c r="Y626">
        <v>58.916666666666664</v>
      </c>
      <c r="Z626" s="223">
        <f>SUM( tabConsumo[[#This Row],[QTD.PENDENTE]]:tabConsumo[[#This Row],[09_23]] )</f>
        <v>745</v>
      </c>
      <c r="AA626" s="223">
        <f>LARGE(tabConsumo[[#This Row],[10_22]:[09_23]],1)</f>
        <v>198</v>
      </c>
      <c r="AB626" s="146" t="s">
        <v>2238</v>
      </c>
      <c r="AC626" s="3" t="s">
        <v>2086</v>
      </c>
    </row>
    <row r="627" spans="1:29" x14ac:dyDescent="0.3">
      <c r="A627" s="4" t="s">
        <v>1693</v>
      </c>
      <c r="B627" s="3" t="s">
        <v>31</v>
      </c>
      <c r="C627" s="2">
        <v>112162</v>
      </c>
      <c r="D627" s="2">
        <v>163</v>
      </c>
      <c r="F627" s="2">
        <v>10</v>
      </c>
      <c r="G627" s="2">
        <v>0</v>
      </c>
      <c r="H627" s="2">
        <v>0</v>
      </c>
      <c r="I627" s="2">
        <v>0</v>
      </c>
      <c r="J627" s="2">
        <v>0</v>
      </c>
      <c r="K627" s="2">
        <v>1</v>
      </c>
      <c r="L627" s="2">
        <v>0</v>
      </c>
      <c r="M627" s="2">
        <v>11</v>
      </c>
      <c r="N627" s="2">
        <v>0</v>
      </c>
      <c r="O627" s="2">
        <v>50</v>
      </c>
      <c r="P627" s="2">
        <v>20</v>
      </c>
      <c r="Q627" s="2">
        <v>30</v>
      </c>
      <c r="R627" s="238">
        <v>40045</v>
      </c>
      <c r="S627" s="219">
        <v>12</v>
      </c>
      <c r="T627" s="220">
        <f>SUM( tabConsumo[[#This Row],[QTD.PENDENTE]]:tabConsumo[[#This Row],[09_23]] ) / tabConsumo[[#This Row],[Div]]</f>
        <v>10.166666666666666</v>
      </c>
      <c r="U627" s="221">
        <f xml:space="preserve"> tabConsumo[[#This Row],[Média.A]] + (_xlfn.STDEV.S( tabConsumo[[#This Row],[QTD.PENDENTE]]:tabConsumo[[#This Row],[09_23]] ) * 1)</f>
        <v>26.068829660385099</v>
      </c>
      <c r="V627" s="221">
        <f xml:space="preserve"> tabConsumo[[#This Row],[Média.A]] + (_xlfn.STDEV.S( tabConsumo[[#This Row],[QTD.PENDENTE]]:tabConsumo[[#This Row],[09_23]] ) * 2)</f>
        <v>41.970992654103526</v>
      </c>
      <c r="W627" s="221">
        <f xml:space="preserve"> tabConsumo[[#This Row],[Média.A]] + (_xlfn.STDEV.S( tabConsumo[[#This Row],[QTD.PENDENTE]]:tabConsumo[[#This Row],[09_23]] ) * 3)</f>
        <v>57.873155647821953</v>
      </c>
      <c r="X627" s="5">
        <f t="shared" si="20"/>
        <v>2</v>
      </c>
      <c r="Y627">
        <v>9.4166666666666661</v>
      </c>
      <c r="Z627" s="223">
        <f>SUM( tabConsumo[[#This Row],[QTD.PENDENTE]]:tabConsumo[[#This Row],[09_23]] )</f>
        <v>122</v>
      </c>
      <c r="AA627" s="223">
        <f>LARGE(tabConsumo[[#This Row],[10_22]:[09_23]],1)</f>
        <v>50</v>
      </c>
      <c r="AB627" s="146" t="s">
        <v>2238</v>
      </c>
      <c r="AC627" s="3" t="s">
        <v>2086</v>
      </c>
    </row>
    <row r="628" spans="1:29" x14ac:dyDescent="0.3">
      <c r="A628" s="4" t="s">
        <v>1338</v>
      </c>
      <c r="B628" s="3" t="s">
        <v>263</v>
      </c>
      <c r="C628" s="2">
        <v>58706</v>
      </c>
      <c r="D628" s="2">
        <v>0</v>
      </c>
      <c r="E628" s="2">
        <v>5</v>
      </c>
      <c r="F628" s="2">
        <v>56</v>
      </c>
      <c r="G628" s="2">
        <v>15</v>
      </c>
      <c r="H628" s="2">
        <v>32</v>
      </c>
      <c r="I628" s="2">
        <v>18</v>
      </c>
      <c r="J628" s="2">
        <v>45</v>
      </c>
      <c r="K628" s="2">
        <v>64</v>
      </c>
      <c r="L628" s="2">
        <v>54</v>
      </c>
      <c r="M628" s="2">
        <v>18</v>
      </c>
      <c r="N628" s="2">
        <v>45</v>
      </c>
      <c r="O628" s="2">
        <v>32</v>
      </c>
      <c r="P628" s="2">
        <v>28</v>
      </c>
      <c r="Q628" s="2">
        <v>0</v>
      </c>
      <c r="R628" s="238">
        <v>367</v>
      </c>
      <c r="S628" s="219">
        <f xml:space="preserve"> 12</f>
        <v>12</v>
      </c>
      <c r="T628" s="220">
        <f>SUM( tabConsumo[[#This Row],[QTD.PENDENTE]]:tabConsumo[[#This Row],[09_23]] ) / tabConsumo[[#This Row],[Div]]</f>
        <v>34.333333333333336</v>
      </c>
      <c r="U628" s="221">
        <f xml:space="preserve"> tabConsumo[[#This Row],[Média.A]] + (_xlfn.STDEV.S( tabConsumo[[#This Row],[QTD.PENDENTE]]:tabConsumo[[#This Row],[09_23]] ) * 1)</f>
        <v>54.480229766715723</v>
      </c>
      <c r="V628" s="221">
        <f xml:space="preserve"> tabConsumo[[#This Row],[Média.A]] + (_xlfn.STDEV.S( tabConsumo[[#This Row],[QTD.PENDENTE]]:tabConsumo[[#This Row],[09_23]] ) * 2)</f>
        <v>74.627126200098104</v>
      </c>
      <c r="W628" s="221">
        <f xml:space="preserve"> tabConsumo[[#This Row],[Média.A]] + (_xlfn.STDEV.S( tabConsumo[[#This Row],[QTD.PENDENTE]]:tabConsumo[[#This Row],[09_23]] ) * 3)</f>
        <v>94.774022633480485</v>
      </c>
      <c r="X628" s="5">
        <f t="shared" si="20"/>
        <v>2</v>
      </c>
      <c r="Y628">
        <v>34.333333333333336</v>
      </c>
      <c r="Z628" s="223">
        <f>SUM( tabConsumo[[#This Row],[QTD.PENDENTE]]:tabConsumo[[#This Row],[09_23]] )</f>
        <v>412</v>
      </c>
      <c r="AA628" s="223">
        <f>LARGE(tabConsumo[[#This Row],[10_22]:[09_23]],1)</f>
        <v>64</v>
      </c>
      <c r="AB628" s="146" t="s">
        <v>2241</v>
      </c>
      <c r="AC628" s="3" t="s">
        <v>2086</v>
      </c>
    </row>
    <row r="629" spans="1:29" x14ac:dyDescent="0.3">
      <c r="A629" s="4" t="s">
        <v>1903</v>
      </c>
      <c r="B629" s="3" t="s">
        <v>263</v>
      </c>
      <c r="C629" s="2">
        <v>134570</v>
      </c>
      <c r="D629" s="2">
        <v>0</v>
      </c>
      <c r="E629" s="2">
        <v>34</v>
      </c>
      <c r="F629" s="2">
        <v>10</v>
      </c>
      <c r="G629" s="2">
        <v>20</v>
      </c>
      <c r="H629" s="2">
        <v>30</v>
      </c>
      <c r="I629" s="2">
        <v>40</v>
      </c>
      <c r="J629" s="2">
        <v>6</v>
      </c>
      <c r="K629" s="2">
        <v>0</v>
      </c>
      <c r="L629" s="2">
        <v>0</v>
      </c>
      <c r="M629" s="2">
        <v>0</v>
      </c>
      <c r="N629" s="2">
        <v>0</v>
      </c>
      <c r="O629" s="2">
        <v>0</v>
      </c>
      <c r="P629" s="2">
        <v>0</v>
      </c>
      <c r="Q629" s="2">
        <v>0</v>
      </c>
      <c r="R629" s="238">
        <v>43174</v>
      </c>
      <c r="S629" s="219">
        <v>12</v>
      </c>
      <c r="T629" s="220">
        <f>SUM( tabConsumo[[#This Row],[QTD.PENDENTE]]:tabConsumo[[#This Row],[09_23]] ) / tabConsumo[[#This Row],[Div]]</f>
        <v>11.666666666666666</v>
      </c>
      <c r="U629" s="221">
        <f xml:space="preserve"> tabConsumo[[#This Row],[Média.A]] + (_xlfn.STDEV.S( tabConsumo[[#This Row],[QTD.PENDENTE]]:tabConsumo[[#This Row],[09_23]] ) * 1)</f>
        <v>26.6230134028288</v>
      </c>
      <c r="V629" s="221">
        <f xml:space="preserve"> tabConsumo[[#This Row],[Média.A]] + (_xlfn.STDEV.S( tabConsumo[[#This Row],[QTD.PENDENTE]]:tabConsumo[[#This Row],[09_23]] ) * 2)</f>
        <v>41.579360138990936</v>
      </c>
      <c r="W629" s="221">
        <f xml:space="preserve"> tabConsumo[[#This Row],[Média.A]] + (_xlfn.STDEV.S( tabConsumo[[#This Row],[QTD.PENDENTE]]:tabConsumo[[#This Row],[09_23]] ) * 3)</f>
        <v>56.535706875153068</v>
      </c>
      <c r="X629" s="5">
        <f t="shared" si="20"/>
        <v>2</v>
      </c>
      <c r="Y629">
        <v>11.666666666666666</v>
      </c>
      <c r="Z629" s="223">
        <f>SUM( tabConsumo[[#This Row],[QTD.PENDENTE]]:tabConsumo[[#This Row],[09_23]] )</f>
        <v>140</v>
      </c>
      <c r="AA629" s="223">
        <f>LARGE(tabConsumo[[#This Row],[10_22]:[09_23]],1)</f>
        <v>40</v>
      </c>
      <c r="AB629" s="146" t="s">
        <v>2248</v>
      </c>
      <c r="AC629" s="3" t="s">
        <v>2086</v>
      </c>
    </row>
    <row r="630" spans="1:29" x14ac:dyDescent="0.3">
      <c r="A630" s="4" t="s">
        <v>1890</v>
      </c>
      <c r="B630" s="3" t="s">
        <v>263</v>
      </c>
      <c r="C630" s="2">
        <v>134558</v>
      </c>
      <c r="D630" s="2">
        <v>17660</v>
      </c>
      <c r="F630" s="2">
        <v>0</v>
      </c>
      <c r="G630" s="2">
        <v>0</v>
      </c>
      <c r="H630" s="2">
        <v>0</v>
      </c>
      <c r="I630" s="2">
        <v>0</v>
      </c>
      <c r="J630" s="2">
        <v>0</v>
      </c>
      <c r="K630" s="2">
        <v>200</v>
      </c>
      <c r="L630" s="2">
        <v>0</v>
      </c>
      <c r="M630" s="2">
        <v>0</v>
      </c>
      <c r="N630" s="2">
        <v>0</v>
      </c>
      <c r="O630" s="2">
        <v>0</v>
      </c>
      <c r="P630" s="2">
        <v>0</v>
      </c>
      <c r="Q630" s="2">
        <v>0</v>
      </c>
      <c r="R630" s="238">
        <v>43174</v>
      </c>
      <c r="S630" s="219">
        <v>12</v>
      </c>
      <c r="T630" s="220">
        <f>SUM( tabConsumo[[#This Row],[QTD.PENDENTE]]:tabConsumo[[#This Row],[09_23]] ) / tabConsumo[[#This Row],[Div]]</f>
        <v>16.666666666666668</v>
      </c>
      <c r="U630" s="221">
        <f xml:space="preserve"> tabConsumo[[#This Row],[Média.A]] + (_xlfn.STDEV.S( tabConsumo[[#This Row],[QTD.PENDENTE]]:tabConsumo[[#This Row],[09_23]] ) * 1)</f>
        <v>74.401693585629246</v>
      </c>
      <c r="V630" s="221">
        <f xml:space="preserve"> tabConsumo[[#This Row],[Média.A]] + (_xlfn.STDEV.S( tabConsumo[[#This Row],[QTD.PENDENTE]]:tabConsumo[[#This Row],[09_23]] ) * 2)</f>
        <v>132.13672050459181</v>
      </c>
      <c r="W630" s="221">
        <f xml:space="preserve"> tabConsumo[[#This Row],[Média.A]] + (_xlfn.STDEV.S( tabConsumo[[#This Row],[QTD.PENDENTE]]:tabConsumo[[#This Row],[09_23]] ) * 3)</f>
        <v>189.87174742355438</v>
      </c>
      <c r="X630" s="5">
        <f t="shared" si="20"/>
        <v>2</v>
      </c>
      <c r="Y630">
        <v>11</v>
      </c>
      <c r="Z630" s="223">
        <f>SUM( tabConsumo[[#This Row],[QTD.PENDENTE]]:tabConsumo[[#This Row],[09_23]] )</f>
        <v>200</v>
      </c>
      <c r="AA630" s="223">
        <f>LARGE(tabConsumo[[#This Row],[10_22]:[09_23]],1)</f>
        <v>200</v>
      </c>
      <c r="AB630" s="146" t="s">
        <v>2245</v>
      </c>
      <c r="AC630" s="3" t="s">
        <v>2086</v>
      </c>
    </row>
    <row r="631" spans="1:29" x14ac:dyDescent="0.3">
      <c r="A631" s="4" t="s">
        <v>1892</v>
      </c>
      <c r="B631" s="3" t="s">
        <v>263</v>
      </c>
      <c r="C631" s="2">
        <v>134559</v>
      </c>
      <c r="D631" s="2">
        <v>14800</v>
      </c>
      <c r="F631" s="2">
        <v>400</v>
      </c>
      <c r="G631" s="2">
        <v>0</v>
      </c>
      <c r="H631" s="2">
        <v>300</v>
      </c>
      <c r="I631" s="2">
        <v>0</v>
      </c>
      <c r="J631" s="2">
        <v>0</v>
      </c>
      <c r="K631" s="2">
        <v>200</v>
      </c>
      <c r="L631" s="2">
        <v>0</v>
      </c>
      <c r="M631" s="2">
        <v>0</v>
      </c>
      <c r="N631" s="2">
        <v>1000</v>
      </c>
      <c r="O631" s="2">
        <v>0</v>
      </c>
      <c r="P631" s="2">
        <v>1000</v>
      </c>
      <c r="Q631" s="2">
        <v>0</v>
      </c>
      <c r="R631" s="238">
        <v>43174</v>
      </c>
      <c r="S631" s="219">
        <v>12</v>
      </c>
      <c r="T631" s="220">
        <f>SUM( tabConsumo[[#This Row],[QTD.PENDENTE]]:tabConsumo[[#This Row],[09_23]] ) / tabConsumo[[#This Row],[Div]]</f>
        <v>241.66666666666666</v>
      </c>
      <c r="U631" s="221">
        <f xml:space="preserve"> tabConsumo[[#This Row],[Média.A]] + (_xlfn.STDEV.S( tabConsumo[[#This Row],[QTD.PENDENTE]]:tabConsumo[[#This Row],[09_23]] ) * 1)</f>
        <v>621.75836214250444</v>
      </c>
      <c r="V631" s="221">
        <f xml:space="preserve"> tabConsumo[[#This Row],[Média.A]] + (_xlfn.STDEV.S( tabConsumo[[#This Row],[QTD.PENDENTE]]:tabConsumo[[#This Row],[09_23]] ) * 2)</f>
        <v>1001.8500576183421</v>
      </c>
      <c r="W631" s="221">
        <f xml:space="preserve"> tabConsumo[[#This Row],[Média.A]] + (_xlfn.STDEV.S( tabConsumo[[#This Row],[QTD.PENDENTE]]:tabConsumo[[#This Row],[09_23]] ) * 3)</f>
        <v>1381.9417530941801</v>
      </c>
      <c r="X631" s="5">
        <f t="shared" si="20"/>
        <v>2</v>
      </c>
      <c r="Y631">
        <v>241.66666666666666</v>
      </c>
      <c r="Z631" s="223">
        <f>SUM( tabConsumo[[#This Row],[QTD.PENDENTE]]:tabConsumo[[#This Row],[09_23]] )</f>
        <v>2900</v>
      </c>
      <c r="AA631" s="223">
        <f>LARGE(tabConsumo[[#This Row],[10_22]:[09_23]],1)</f>
        <v>1000</v>
      </c>
      <c r="AB631" s="146" t="s">
        <v>2241</v>
      </c>
      <c r="AC631" s="3" t="s">
        <v>2086</v>
      </c>
    </row>
    <row r="632" spans="1:29" x14ac:dyDescent="0.3">
      <c r="A632" s="4" t="s">
        <v>1372</v>
      </c>
      <c r="B632" s="3" t="s">
        <v>263</v>
      </c>
      <c r="C632" s="2">
        <v>64462</v>
      </c>
      <c r="D632" s="2">
        <v>8061</v>
      </c>
      <c r="F632" s="2">
        <v>824</v>
      </c>
      <c r="G632" s="2">
        <v>1000</v>
      </c>
      <c r="H632" s="2">
        <v>560</v>
      </c>
      <c r="I632" s="2">
        <v>565</v>
      </c>
      <c r="J632" s="2">
        <v>590</v>
      </c>
      <c r="K632" s="2">
        <v>100</v>
      </c>
      <c r="L632" s="2">
        <v>500</v>
      </c>
      <c r="M632" s="2">
        <v>200</v>
      </c>
      <c r="N632" s="2">
        <v>0</v>
      </c>
      <c r="O632" s="2">
        <v>0</v>
      </c>
      <c r="P632" s="2">
        <v>0</v>
      </c>
      <c r="Q632" s="2">
        <v>0</v>
      </c>
      <c r="R632" s="238">
        <v>367</v>
      </c>
      <c r="S632" s="219">
        <f xml:space="preserve"> 12</f>
        <v>12</v>
      </c>
      <c r="T632" s="220">
        <f>SUM( tabConsumo[[#This Row],[QTD.PENDENTE]]:tabConsumo[[#This Row],[09_23]] ) / tabConsumo[[#This Row],[Div]]</f>
        <v>361.58333333333331</v>
      </c>
      <c r="U632" s="221">
        <f xml:space="preserve"> tabConsumo[[#This Row],[Média.A]] + (_xlfn.STDEV.S( tabConsumo[[#This Row],[QTD.PENDENTE]]:tabConsumo[[#This Row],[09_23]] ) * 1)</f>
        <v>717.18665122697962</v>
      </c>
      <c r="V632" s="221">
        <f xml:space="preserve"> tabConsumo[[#This Row],[Média.A]] + (_xlfn.STDEV.S( tabConsumo[[#This Row],[QTD.PENDENTE]]:tabConsumo[[#This Row],[09_23]] ) * 2)</f>
        <v>1072.789969120626</v>
      </c>
      <c r="W632" s="221">
        <f xml:space="preserve"> tabConsumo[[#This Row],[Média.A]] + (_xlfn.STDEV.S( tabConsumo[[#This Row],[QTD.PENDENTE]]:tabConsumo[[#This Row],[09_23]] ) * 3)</f>
        <v>1428.3932870142723</v>
      </c>
      <c r="X632" s="5">
        <f t="shared" si="20"/>
        <v>2</v>
      </c>
      <c r="Y632">
        <v>361.58333333333331</v>
      </c>
      <c r="Z632" s="223">
        <f>SUM( tabConsumo[[#This Row],[QTD.PENDENTE]]:tabConsumo[[#This Row],[09_23]] )</f>
        <v>4339</v>
      </c>
      <c r="AA632" s="223">
        <f>LARGE(tabConsumo[[#This Row],[10_22]:[09_23]],1)</f>
        <v>1000</v>
      </c>
      <c r="AB632" s="146" t="s">
        <v>2244</v>
      </c>
      <c r="AC632" s="3" t="s">
        <v>2086</v>
      </c>
    </row>
    <row r="633" spans="1:29" x14ac:dyDescent="0.3">
      <c r="A633" s="4" t="s">
        <v>1992</v>
      </c>
      <c r="B633" s="3" t="s">
        <v>560</v>
      </c>
      <c r="C633" s="2">
        <v>139957</v>
      </c>
      <c r="D633" s="2">
        <v>0</v>
      </c>
      <c r="E633" s="2">
        <v>116</v>
      </c>
      <c r="F633" s="2">
        <v>0</v>
      </c>
      <c r="G633" s="2">
        <v>0</v>
      </c>
      <c r="H633" s="2">
        <v>998</v>
      </c>
      <c r="I633" s="2">
        <v>523</v>
      </c>
      <c r="J633" s="2">
        <v>2</v>
      </c>
      <c r="K633" s="2">
        <v>3</v>
      </c>
      <c r="L633" s="2">
        <v>1</v>
      </c>
      <c r="M633" s="2">
        <v>0</v>
      </c>
      <c r="N633" s="2">
        <v>9</v>
      </c>
      <c r="O633" s="2">
        <v>0</v>
      </c>
      <c r="P633" s="2">
        <v>696</v>
      </c>
      <c r="Q633" s="2">
        <v>292</v>
      </c>
      <c r="R633" s="238">
        <v>44075</v>
      </c>
      <c r="S633" s="219">
        <v>12</v>
      </c>
      <c r="T633" s="220">
        <f>SUM( tabConsumo[[#This Row],[QTD.PENDENTE]]:tabConsumo[[#This Row],[09_23]] ) / tabConsumo[[#This Row],[Div]]</f>
        <v>220</v>
      </c>
      <c r="U633" s="221">
        <f xml:space="preserve"> tabConsumo[[#This Row],[Média.A]] + (_xlfn.STDEV.S( tabConsumo[[#This Row],[QTD.PENDENTE]]:tabConsumo[[#This Row],[09_23]] ) * 1)</f>
        <v>551.24021030526615</v>
      </c>
      <c r="V633" s="221">
        <f xml:space="preserve"> tabConsumo[[#This Row],[Média.A]] + (_xlfn.STDEV.S( tabConsumo[[#This Row],[QTD.PENDENTE]]:tabConsumo[[#This Row],[09_23]] ) * 2)</f>
        <v>882.48042061053218</v>
      </c>
      <c r="W633" s="221">
        <f xml:space="preserve"> tabConsumo[[#This Row],[Média.A]] + (_xlfn.STDEV.S( tabConsumo[[#This Row],[QTD.PENDENTE]]:tabConsumo[[#This Row],[09_23]] ) * 3)</f>
        <v>1213.7206309157982</v>
      </c>
      <c r="X633" s="5">
        <f t="shared" si="20"/>
        <v>2</v>
      </c>
      <c r="Y633">
        <v>210.33333333333334</v>
      </c>
      <c r="Z633" s="223">
        <f>SUM( tabConsumo[[#This Row],[QTD.PENDENTE]]:tabConsumo[[#This Row],[09_23]] )</f>
        <v>2640</v>
      </c>
      <c r="AA633" s="223">
        <f>LARGE(tabConsumo[[#This Row],[10_22]:[09_23]],1)</f>
        <v>998</v>
      </c>
      <c r="AB633" s="146" t="s">
        <v>2238</v>
      </c>
      <c r="AC633" s="3" t="s">
        <v>2086</v>
      </c>
    </row>
    <row r="634" spans="1:29" x14ac:dyDescent="0.3">
      <c r="A634" s="4" t="s">
        <v>1997</v>
      </c>
      <c r="B634" s="3" t="s">
        <v>560</v>
      </c>
      <c r="C634" s="2">
        <v>139958</v>
      </c>
      <c r="D634" s="2">
        <v>0</v>
      </c>
      <c r="E634" s="2">
        <v>15.45</v>
      </c>
      <c r="F634" s="2">
        <v>1677.55</v>
      </c>
      <c r="G634" s="2">
        <v>0</v>
      </c>
      <c r="H634" s="2">
        <v>72</v>
      </c>
      <c r="I634" s="2">
        <v>0</v>
      </c>
      <c r="J634" s="2">
        <v>5</v>
      </c>
      <c r="K634" s="2">
        <v>3</v>
      </c>
      <c r="L634" s="2">
        <v>0</v>
      </c>
      <c r="M634" s="2">
        <v>0</v>
      </c>
      <c r="N634" s="2">
        <v>0</v>
      </c>
      <c r="O634" s="2">
        <v>0</v>
      </c>
      <c r="P634" s="2">
        <v>0</v>
      </c>
      <c r="Q634" s="2">
        <v>0</v>
      </c>
      <c r="R634" s="238">
        <v>44075</v>
      </c>
      <c r="S634" s="219">
        <v>12</v>
      </c>
      <c r="T634" s="220">
        <f>SUM( tabConsumo[[#This Row],[QTD.PENDENTE]]:tabConsumo[[#This Row],[09_23]] ) / tabConsumo[[#This Row],[Div]]</f>
        <v>147.75</v>
      </c>
      <c r="U634" s="221">
        <f xml:space="preserve"> tabConsumo[[#This Row],[Média.A]] + (_xlfn.STDEV.S( tabConsumo[[#This Row],[QTD.PENDENTE]]:tabConsumo[[#This Row],[09_23]] ) * 1)</f>
        <v>611.23505746527553</v>
      </c>
      <c r="V634" s="221">
        <f xml:space="preserve"> tabConsumo[[#This Row],[Média.A]] + (_xlfn.STDEV.S( tabConsumo[[#This Row],[QTD.PENDENTE]]:tabConsumo[[#This Row],[09_23]] ) * 2)</f>
        <v>1074.7201149305511</v>
      </c>
      <c r="W634" s="221">
        <f xml:space="preserve"> tabConsumo[[#This Row],[Média.A]] + (_xlfn.STDEV.S( tabConsumo[[#This Row],[QTD.PENDENTE]]:tabConsumo[[#This Row],[09_23]] ) * 3)</f>
        <v>1538.2051723958266</v>
      </c>
      <c r="X634" s="5">
        <f t="shared" si="20"/>
        <v>2</v>
      </c>
      <c r="Y634">
        <v>97.454166666666666</v>
      </c>
      <c r="Z634" s="223">
        <f>SUM( tabConsumo[[#This Row],[QTD.PENDENTE]]:tabConsumo[[#This Row],[09_23]] )</f>
        <v>1773</v>
      </c>
      <c r="AA634" s="223">
        <f>LARGE(tabConsumo[[#This Row],[10_22]:[09_23]],1)</f>
        <v>1677.55</v>
      </c>
      <c r="AB634" s="146" t="s">
        <v>2245</v>
      </c>
      <c r="AC634" s="3" t="s">
        <v>2086</v>
      </c>
    </row>
    <row r="635" spans="1:29" x14ac:dyDescent="0.3">
      <c r="A635" s="4" t="s">
        <v>1055</v>
      </c>
      <c r="B635" s="3" t="s">
        <v>263</v>
      </c>
      <c r="C635" s="2">
        <v>14056</v>
      </c>
      <c r="D635" s="2">
        <v>72</v>
      </c>
      <c r="F635" s="2">
        <v>1</v>
      </c>
      <c r="G635" s="2">
        <v>1</v>
      </c>
      <c r="H635" s="2">
        <v>0</v>
      </c>
      <c r="I635" s="2">
        <v>1</v>
      </c>
      <c r="J635" s="2">
        <v>1</v>
      </c>
      <c r="K635" s="2">
        <v>0</v>
      </c>
      <c r="L635" s="2">
        <v>0</v>
      </c>
      <c r="M635" s="2">
        <v>0</v>
      </c>
      <c r="N635" s="2">
        <v>2</v>
      </c>
      <c r="O635" s="2">
        <v>0</v>
      </c>
      <c r="P635" s="2">
        <v>51</v>
      </c>
      <c r="Q635" s="2">
        <v>0</v>
      </c>
      <c r="R635" s="238">
        <v>367</v>
      </c>
      <c r="S635" s="219">
        <f xml:space="preserve"> 12</f>
        <v>12</v>
      </c>
      <c r="T635" s="220">
        <f>SUM( tabConsumo[[#This Row],[QTD.PENDENTE]]:tabConsumo[[#This Row],[09_23]] ) / tabConsumo[[#This Row],[Div]]</f>
        <v>4.75</v>
      </c>
      <c r="U635" s="221">
        <f xml:space="preserve"> tabConsumo[[#This Row],[Média.A]] + (_xlfn.STDEV.S( tabConsumo[[#This Row],[QTD.PENDENTE]]:tabConsumo[[#This Row],[09_23]] ) * 1)</f>
        <v>19.329718166623859</v>
      </c>
      <c r="V635" s="221">
        <f xml:space="preserve"> tabConsumo[[#This Row],[Média.A]] + (_xlfn.STDEV.S( tabConsumo[[#This Row],[QTD.PENDENTE]]:tabConsumo[[#This Row],[09_23]] ) * 2)</f>
        <v>33.909436333247719</v>
      </c>
      <c r="W635" s="221">
        <f xml:space="preserve"> tabConsumo[[#This Row],[Média.A]] + (_xlfn.STDEV.S( tabConsumo[[#This Row],[QTD.PENDENTE]]:tabConsumo[[#This Row],[09_23]] ) * 3)</f>
        <v>48.489154499871574</v>
      </c>
      <c r="X635" s="5">
        <f t="shared" si="20"/>
        <v>2</v>
      </c>
      <c r="Y635">
        <v>3.25</v>
      </c>
      <c r="Z635" s="223">
        <f>SUM( tabConsumo[[#This Row],[QTD.PENDENTE]]:tabConsumo[[#This Row],[09_23]] )</f>
        <v>57</v>
      </c>
      <c r="AA635" s="223">
        <f>LARGE(tabConsumo[[#This Row],[10_22]:[09_23]],1)</f>
        <v>51</v>
      </c>
      <c r="AB635" s="146" t="s">
        <v>2241</v>
      </c>
      <c r="AC635" s="3" t="s">
        <v>2086</v>
      </c>
    </row>
    <row r="636" spans="1:29" x14ac:dyDescent="0.3">
      <c r="A636" s="4" t="s">
        <v>1495</v>
      </c>
      <c r="B636" s="3" t="s">
        <v>263</v>
      </c>
      <c r="C636" s="2">
        <v>87247</v>
      </c>
      <c r="D636" s="2">
        <v>347</v>
      </c>
      <c r="F636" s="2">
        <v>0</v>
      </c>
      <c r="G636" s="2">
        <v>4</v>
      </c>
      <c r="H636" s="2">
        <v>10</v>
      </c>
      <c r="I636" s="2">
        <v>3</v>
      </c>
      <c r="J636" s="2">
        <v>0</v>
      </c>
      <c r="K636" s="2">
        <v>20</v>
      </c>
      <c r="L636" s="2">
        <v>0</v>
      </c>
      <c r="M636" s="2">
        <v>0</v>
      </c>
      <c r="N636" s="2">
        <v>2</v>
      </c>
      <c r="O636" s="2">
        <v>0</v>
      </c>
      <c r="P636" s="2">
        <v>0</v>
      </c>
      <c r="Q636" s="2">
        <v>0</v>
      </c>
      <c r="R636" s="238">
        <v>38581</v>
      </c>
      <c r="S636" s="219">
        <v>12</v>
      </c>
      <c r="T636" s="220">
        <f>SUM( tabConsumo[[#This Row],[QTD.PENDENTE]]:tabConsumo[[#This Row],[09_23]] ) / tabConsumo[[#This Row],[Div]]</f>
        <v>3.25</v>
      </c>
      <c r="U636" s="221">
        <f xml:space="preserve"> tabConsumo[[#This Row],[Média.A]] + (_xlfn.STDEV.S( tabConsumo[[#This Row],[QTD.PENDENTE]]:tabConsumo[[#This Row],[09_23]] ) * 1)</f>
        <v>9.2971631215125843</v>
      </c>
      <c r="V636" s="221">
        <f xml:space="preserve"> tabConsumo[[#This Row],[Média.A]] + (_xlfn.STDEV.S( tabConsumo[[#This Row],[QTD.PENDENTE]]:tabConsumo[[#This Row],[09_23]] ) * 2)</f>
        <v>15.344326243025169</v>
      </c>
      <c r="W636" s="221">
        <f xml:space="preserve"> tabConsumo[[#This Row],[Média.A]] + (_xlfn.STDEV.S( tabConsumo[[#This Row],[QTD.PENDENTE]]:tabConsumo[[#This Row],[09_23]] ) * 3)</f>
        <v>21.391489364537755</v>
      </c>
      <c r="X636" s="5">
        <f t="shared" si="20"/>
        <v>2</v>
      </c>
      <c r="Y636">
        <v>2.8333333333333335</v>
      </c>
      <c r="Z636" s="223">
        <f>SUM( tabConsumo[[#This Row],[QTD.PENDENTE]]:tabConsumo[[#This Row],[09_23]] )</f>
        <v>39</v>
      </c>
      <c r="AA636" s="223">
        <f>LARGE(tabConsumo[[#This Row],[10_22]:[09_23]],1)</f>
        <v>20</v>
      </c>
      <c r="AB636" s="146" t="s">
        <v>2246</v>
      </c>
      <c r="AC636" s="3" t="s">
        <v>2086</v>
      </c>
    </row>
    <row r="637" spans="1:29" x14ac:dyDescent="0.3">
      <c r="A637" s="4" t="s">
        <v>1597</v>
      </c>
      <c r="B637" s="3" t="s">
        <v>263</v>
      </c>
      <c r="C637" s="2">
        <v>102832</v>
      </c>
      <c r="D637" s="2">
        <v>75</v>
      </c>
      <c r="F637" s="2">
        <v>0</v>
      </c>
      <c r="G637" s="2">
        <v>10</v>
      </c>
      <c r="H637" s="2">
        <v>0</v>
      </c>
      <c r="I637" s="2">
        <v>13</v>
      </c>
      <c r="J637" s="2">
        <v>12</v>
      </c>
      <c r="K637" s="2">
        <v>5</v>
      </c>
      <c r="L637" s="2">
        <v>0</v>
      </c>
      <c r="M637" s="2">
        <v>50</v>
      </c>
      <c r="N637" s="2">
        <v>0</v>
      </c>
      <c r="O637" s="2">
        <v>0</v>
      </c>
      <c r="P637" s="2">
        <v>0</v>
      </c>
      <c r="Q637" s="2">
        <v>0</v>
      </c>
      <c r="R637" s="238">
        <v>39377</v>
      </c>
      <c r="S637" s="219">
        <v>12</v>
      </c>
      <c r="T637" s="220">
        <f>SUM( tabConsumo[[#This Row],[QTD.PENDENTE]]:tabConsumo[[#This Row],[09_23]] ) / tabConsumo[[#This Row],[Div]]</f>
        <v>7.5</v>
      </c>
      <c r="U637" s="221">
        <f xml:space="preserve"> tabConsumo[[#This Row],[Média.A]] + (_xlfn.STDEV.S( tabConsumo[[#This Row],[QTD.PENDENTE]]:tabConsumo[[#This Row],[09_23]] ) * 1)</f>
        <v>21.843196042977056</v>
      </c>
      <c r="V637" s="221">
        <f xml:space="preserve"> tabConsumo[[#This Row],[Média.A]] + (_xlfn.STDEV.S( tabConsumo[[#This Row],[QTD.PENDENTE]]:tabConsumo[[#This Row],[09_23]] ) * 2)</f>
        <v>36.186392085954111</v>
      </c>
      <c r="W637" s="221">
        <f xml:space="preserve"> tabConsumo[[#This Row],[Média.A]] + (_xlfn.STDEV.S( tabConsumo[[#This Row],[QTD.PENDENTE]]:tabConsumo[[#This Row],[09_23]] ) * 3)</f>
        <v>50.529588128931174</v>
      </c>
      <c r="X637" s="5">
        <f t="shared" si="20"/>
        <v>2</v>
      </c>
      <c r="Y637">
        <v>6.333333333333333</v>
      </c>
      <c r="Z637" s="223">
        <f>SUM( tabConsumo[[#This Row],[QTD.PENDENTE]]:tabConsumo[[#This Row],[09_23]] )</f>
        <v>90</v>
      </c>
      <c r="AA637" s="223">
        <f>LARGE(tabConsumo[[#This Row],[10_22]:[09_23]],1)</f>
        <v>50</v>
      </c>
      <c r="AB637" s="146" t="s">
        <v>2244</v>
      </c>
      <c r="AC637" s="3" t="s">
        <v>2086</v>
      </c>
    </row>
    <row r="638" spans="1:29" x14ac:dyDescent="0.3">
      <c r="A638" s="4" t="s">
        <v>1204</v>
      </c>
      <c r="B638" s="3" t="s">
        <v>320</v>
      </c>
      <c r="C638" s="2">
        <v>24888</v>
      </c>
      <c r="D638" s="2">
        <v>96</v>
      </c>
      <c r="F638" s="2">
        <v>0</v>
      </c>
      <c r="G638" s="2">
        <v>0</v>
      </c>
      <c r="H638" s="2">
        <v>0</v>
      </c>
      <c r="I638" s="2">
        <v>0</v>
      </c>
      <c r="J638" s="2">
        <v>0</v>
      </c>
      <c r="K638" s="2">
        <v>1</v>
      </c>
      <c r="L638" s="2">
        <v>0</v>
      </c>
      <c r="M638" s="2">
        <v>0</v>
      </c>
      <c r="N638" s="2">
        <v>0</v>
      </c>
      <c r="O638" s="2">
        <v>0</v>
      </c>
      <c r="P638" s="2">
        <v>0</v>
      </c>
      <c r="Q638" s="2">
        <v>0</v>
      </c>
      <c r="R638" s="238">
        <v>367</v>
      </c>
      <c r="S638" s="219">
        <f t="shared" ref="S638:S647" si="21" xml:space="preserve"> 12</f>
        <v>12</v>
      </c>
      <c r="T638" s="220">
        <f>SUM( tabConsumo[[#This Row],[QTD.PENDENTE]]:tabConsumo[[#This Row],[09_23]] ) / tabConsumo[[#This Row],[Div]]</f>
        <v>8.3333333333333329E-2</v>
      </c>
      <c r="U638" s="221">
        <f xml:space="preserve"> tabConsumo[[#This Row],[Média.A]] + (_xlfn.STDEV.S( tabConsumo[[#This Row],[QTD.PENDENTE]]:tabConsumo[[#This Row],[09_23]] ) * 1)</f>
        <v>0.37200846792814618</v>
      </c>
      <c r="V638" s="221">
        <f xml:space="preserve"> tabConsumo[[#This Row],[Média.A]] + (_xlfn.STDEV.S( tabConsumo[[#This Row],[QTD.PENDENTE]]:tabConsumo[[#This Row],[09_23]] ) * 2)</f>
        <v>0.6606836025229591</v>
      </c>
      <c r="W638" s="221">
        <f xml:space="preserve"> tabConsumo[[#This Row],[Média.A]] + (_xlfn.STDEV.S( tabConsumo[[#This Row],[QTD.PENDENTE]]:tabConsumo[[#This Row],[09_23]] ) * 3)</f>
        <v>0.94935873711777197</v>
      </c>
      <c r="X638" s="5">
        <f t="shared" si="20"/>
        <v>2</v>
      </c>
      <c r="Y638">
        <v>0</v>
      </c>
      <c r="Z638" s="223">
        <f>SUM( tabConsumo[[#This Row],[QTD.PENDENTE]]:tabConsumo[[#This Row],[09_23]] )</f>
        <v>1</v>
      </c>
      <c r="AA638" s="223">
        <f>LARGE(tabConsumo[[#This Row],[10_22]:[09_23]],1)</f>
        <v>1</v>
      </c>
      <c r="AB638" s="146" t="s">
        <v>2245</v>
      </c>
      <c r="AC638" s="3" t="s">
        <v>2086</v>
      </c>
    </row>
    <row r="639" spans="1:29" x14ac:dyDescent="0.3">
      <c r="A639" s="4" t="s">
        <v>1144</v>
      </c>
      <c r="B639" s="3" t="s">
        <v>320</v>
      </c>
      <c r="C639" s="2">
        <v>18337</v>
      </c>
      <c r="D639" s="2">
        <v>22</v>
      </c>
      <c r="F639" s="2">
        <v>0</v>
      </c>
      <c r="G639" s="2">
        <v>0</v>
      </c>
      <c r="H639" s="2">
        <v>0</v>
      </c>
      <c r="I639" s="2">
        <v>1</v>
      </c>
      <c r="J639" s="2">
        <v>0</v>
      </c>
      <c r="K639" s="2">
        <v>0</v>
      </c>
      <c r="L639" s="2">
        <v>0</v>
      </c>
      <c r="M639" s="2">
        <v>0</v>
      </c>
      <c r="N639" s="2">
        <v>0</v>
      </c>
      <c r="O639" s="2">
        <v>0</v>
      </c>
      <c r="P639" s="2">
        <v>0</v>
      </c>
      <c r="Q639" s="2">
        <v>0</v>
      </c>
      <c r="R639" s="238">
        <v>367</v>
      </c>
      <c r="S639" s="219">
        <f t="shared" si="21"/>
        <v>12</v>
      </c>
      <c r="T639" s="220">
        <f>SUM( tabConsumo[[#This Row],[QTD.PENDENTE]]:tabConsumo[[#This Row],[09_23]] ) / tabConsumo[[#This Row],[Div]]</f>
        <v>8.3333333333333329E-2</v>
      </c>
      <c r="U639" s="221">
        <f xml:space="preserve"> tabConsumo[[#This Row],[Média.A]] + (_xlfn.STDEV.S( tabConsumo[[#This Row],[QTD.PENDENTE]]:tabConsumo[[#This Row],[09_23]] ) * 1)</f>
        <v>0.37200846792814618</v>
      </c>
      <c r="V639" s="221">
        <f xml:space="preserve"> tabConsumo[[#This Row],[Média.A]] + (_xlfn.STDEV.S( tabConsumo[[#This Row],[QTD.PENDENTE]]:tabConsumo[[#This Row],[09_23]] ) * 2)</f>
        <v>0.6606836025229591</v>
      </c>
      <c r="W639" s="221">
        <f xml:space="preserve"> tabConsumo[[#This Row],[Média.A]] + (_xlfn.STDEV.S( tabConsumo[[#This Row],[QTD.PENDENTE]]:tabConsumo[[#This Row],[09_23]] ) * 3)</f>
        <v>0.94935873711777197</v>
      </c>
      <c r="X639" s="5">
        <f t="shared" si="20"/>
        <v>2</v>
      </c>
      <c r="Y639">
        <v>0</v>
      </c>
      <c r="Z639" s="223">
        <f>SUM( tabConsumo[[#This Row],[QTD.PENDENTE]]:tabConsumo[[#This Row],[09_23]] )</f>
        <v>1</v>
      </c>
      <c r="AA639" s="223">
        <f>LARGE(tabConsumo[[#This Row],[10_22]:[09_23]],1)</f>
        <v>1</v>
      </c>
      <c r="AB639" s="146" t="s">
        <v>2247</v>
      </c>
      <c r="AC639" s="3" t="s">
        <v>2086</v>
      </c>
    </row>
    <row r="640" spans="1:29" x14ac:dyDescent="0.3">
      <c r="A640" s="4" t="s">
        <v>1145</v>
      </c>
      <c r="B640" s="3" t="s">
        <v>320</v>
      </c>
      <c r="C640" s="2">
        <v>18346</v>
      </c>
      <c r="D640" s="2">
        <v>250</v>
      </c>
      <c r="F640" s="2">
        <v>0</v>
      </c>
      <c r="G640" s="2">
        <v>0</v>
      </c>
      <c r="H640" s="2">
        <v>0</v>
      </c>
      <c r="I640" s="2">
        <v>1</v>
      </c>
      <c r="J640" s="2">
        <v>3</v>
      </c>
      <c r="K640" s="2">
        <v>4</v>
      </c>
      <c r="L640" s="2">
        <v>0</v>
      </c>
      <c r="M640" s="2">
        <v>0</v>
      </c>
      <c r="N640" s="2">
        <v>0</v>
      </c>
      <c r="O640" s="2">
        <v>0</v>
      </c>
      <c r="P640" s="2">
        <v>0</v>
      </c>
      <c r="Q640" s="2">
        <v>0</v>
      </c>
      <c r="R640" s="238">
        <v>367</v>
      </c>
      <c r="S640" s="219">
        <f t="shared" si="21"/>
        <v>12</v>
      </c>
      <c r="T640" s="220">
        <f>SUM( tabConsumo[[#This Row],[QTD.PENDENTE]]:tabConsumo[[#This Row],[09_23]] ) / tabConsumo[[#This Row],[Div]]</f>
        <v>0.66666666666666663</v>
      </c>
      <c r="U640" s="221">
        <f xml:space="preserve"> tabConsumo[[#This Row],[Média.A]] + (_xlfn.STDEV.S( tabConsumo[[#This Row],[QTD.PENDENTE]]:tabConsumo[[#This Row],[09_23]] ) * 1)</f>
        <v>2.0373555003513504</v>
      </c>
      <c r="V640" s="221">
        <f xml:space="preserve"> tabConsumo[[#This Row],[Média.A]] + (_xlfn.STDEV.S( tabConsumo[[#This Row],[QTD.PENDENTE]]:tabConsumo[[#This Row],[09_23]] ) * 2)</f>
        <v>3.4080443340360342</v>
      </c>
      <c r="W640" s="221">
        <f xml:space="preserve"> tabConsumo[[#This Row],[Média.A]] + (_xlfn.STDEV.S( tabConsumo[[#This Row],[QTD.PENDENTE]]:tabConsumo[[#This Row],[09_23]] ) * 3)</f>
        <v>4.778733167720719</v>
      </c>
      <c r="X640" s="5">
        <f t="shared" si="20"/>
        <v>2</v>
      </c>
      <c r="Y640">
        <v>0.58333333333333337</v>
      </c>
      <c r="Z640" s="223">
        <f>SUM( tabConsumo[[#This Row],[QTD.PENDENTE]]:tabConsumo[[#This Row],[09_23]] )</f>
        <v>8</v>
      </c>
      <c r="AA640" s="223">
        <f>LARGE(tabConsumo[[#This Row],[10_22]:[09_23]],1)</f>
        <v>4</v>
      </c>
      <c r="AB640" s="146" t="s">
        <v>2245</v>
      </c>
      <c r="AC640" s="3" t="s">
        <v>2086</v>
      </c>
    </row>
    <row r="641" spans="1:29" x14ac:dyDescent="0.3">
      <c r="A641" s="4" t="s">
        <v>1146</v>
      </c>
      <c r="B641" s="3" t="s">
        <v>320</v>
      </c>
      <c r="C641" s="2">
        <v>18353</v>
      </c>
      <c r="D641" s="2">
        <v>999</v>
      </c>
      <c r="E641" s="2">
        <v>17</v>
      </c>
      <c r="F641" s="2">
        <v>0</v>
      </c>
      <c r="G641" s="2">
        <v>0</v>
      </c>
      <c r="H641" s="2">
        <v>0</v>
      </c>
      <c r="I641" s="2">
        <v>9</v>
      </c>
      <c r="J641" s="2">
        <v>7</v>
      </c>
      <c r="K641" s="2">
        <v>39</v>
      </c>
      <c r="L641" s="2">
        <v>22</v>
      </c>
      <c r="M641" s="2">
        <v>11</v>
      </c>
      <c r="N641" s="2">
        <v>12</v>
      </c>
      <c r="O641" s="2">
        <v>0</v>
      </c>
      <c r="P641" s="2">
        <v>0</v>
      </c>
      <c r="Q641" s="2">
        <v>0</v>
      </c>
      <c r="R641" s="238">
        <v>367</v>
      </c>
      <c r="S641" s="219">
        <f t="shared" si="21"/>
        <v>12</v>
      </c>
      <c r="T641" s="220">
        <f>SUM( tabConsumo[[#This Row],[QTD.PENDENTE]]:tabConsumo[[#This Row],[09_23]] ) / tabConsumo[[#This Row],[Div]]</f>
        <v>9.75</v>
      </c>
      <c r="U641" s="221">
        <f xml:space="preserve"> tabConsumo[[#This Row],[Média.A]] + (_xlfn.STDEV.S( tabConsumo[[#This Row],[QTD.PENDENTE]]:tabConsumo[[#This Row],[09_23]] ) * 1)</f>
        <v>21.42618659209133</v>
      </c>
      <c r="V641" s="221">
        <f xml:space="preserve"> tabConsumo[[#This Row],[Média.A]] + (_xlfn.STDEV.S( tabConsumo[[#This Row],[QTD.PENDENTE]]:tabConsumo[[#This Row],[09_23]] ) * 2)</f>
        <v>33.10237318418266</v>
      </c>
      <c r="W641" s="221">
        <f xml:space="preserve"> tabConsumo[[#This Row],[Média.A]] + (_xlfn.STDEV.S( tabConsumo[[#This Row],[QTD.PENDENTE]]:tabConsumo[[#This Row],[09_23]] ) * 3)</f>
        <v>44.778559776273994</v>
      </c>
      <c r="X641" s="5">
        <f t="shared" si="20"/>
        <v>2</v>
      </c>
      <c r="Y641">
        <v>9.25</v>
      </c>
      <c r="Z641" s="223">
        <f>SUM( tabConsumo[[#This Row],[QTD.PENDENTE]]:tabConsumo[[#This Row],[09_23]] )</f>
        <v>117</v>
      </c>
      <c r="AA641" s="223">
        <f>LARGE(tabConsumo[[#This Row],[10_22]:[09_23]],1)</f>
        <v>39</v>
      </c>
      <c r="AB641" s="146" t="s">
        <v>2246</v>
      </c>
      <c r="AC641" s="3" t="s">
        <v>2086</v>
      </c>
    </row>
    <row r="642" spans="1:29" x14ac:dyDescent="0.3">
      <c r="A642" s="4" t="s">
        <v>1147</v>
      </c>
      <c r="B642" s="3" t="s">
        <v>320</v>
      </c>
      <c r="C642" s="2">
        <v>18357</v>
      </c>
      <c r="D642" s="2">
        <v>1098</v>
      </c>
      <c r="F642" s="2">
        <v>3</v>
      </c>
      <c r="G642" s="2">
        <v>6</v>
      </c>
      <c r="H642" s="2">
        <v>9</v>
      </c>
      <c r="I642" s="2">
        <v>10</v>
      </c>
      <c r="J642" s="2">
        <v>7</v>
      </c>
      <c r="K642" s="2">
        <v>36</v>
      </c>
      <c r="L642" s="2">
        <v>22</v>
      </c>
      <c r="M642" s="2">
        <v>3</v>
      </c>
      <c r="N642" s="2">
        <v>20</v>
      </c>
      <c r="O642" s="2">
        <v>0</v>
      </c>
      <c r="P642" s="2">
        <v>0</v>
      </c>
      <c r="Q642" s="2">
        <v>30</v>
      </c>
      <c r="R642" s="238">
        <v>367</v>
      </c>
      <c r="S642" s="219">
        <f t="shared" si="21"/>
        <v>12</v>
      </c>
      <c r="T642" s="220">
        <f>SUM( tabConsumo[[#This Row],[QTD.PENDENTE]]:tabConsumo[[#This Row],[09_23]] ) / tabConsumo[[#This Row],[Div]]</f>
        <v>12.166666666666666</v>
      </c>
      <c r="U642" s="221">
        <f xml:space="preserve"> tabConsumo[[#This Row],[Média.A]] + (_xlfn.STDEV.S( tabConsumo[[#This Row],[QTD.PENDENTE]]:tabConsumo[[#This Row],[09_23]] ) * 1)</f>
        <v>24.180547527293399</v>
      </c>
      <c r="V642" s="221">
        <f xml:space="preserve"> tabConsumo[[#This Row],[Média.A]] + (_xlfn.STDEV.S( tabConsumo[[#This Row],[QTD.PENDENTE]]:tabConsumo[[#This Row],[09_23]] ) * 2)</f>
        <v>36.194428387920134</v>
      </c>
      <c r="W642" s="221">
        <f xml:space="preserve"> tabConsumo[[#This Row],[Média.A]] + (_xlfn.STDEV.S( tabConsumo[[#This Row],[QTD.PENDENTE]]:tabConsumo[[#This Row],[09_23]] ) * 3)</f>
        <v>48.208309248546861</v>
      </c>
      <c r="X642" s="5">
        <f t="shared" si="20"/>
        <v>2</v>
      </c>
      <c r="Y642">
        <v>12.166666666666666</v>
      </c>
      <c r="Z642" s="223">
        <f>SUM( tabConsumo[[#This Row],[QTD.PENDENTE]]:tabConsumo[[#This Row],[09_23]] )</f>
        <v>146</v>
      </c>
      <c r="AA642" s="223">
        <f>LARGE(tabConsumo[[#This Row],[10_22]:[09_23]],1)</f>
        <v>36</v>
      </c>
      <c r="AB642" s="146" t="s">
        <v>2238</v>
      </c>
      <c r="AC642" s="3" t="s">
        <v>2086</v>
      </c>
    </row>
    <row r="643" spans="1:29" x14ac:dyDescent="0.3">
      <c r="A643" s="4" t="s">
        <v>1148</v>
      </c>
      <c r="B643" s="3" t="s">
        <v>320</v>
      </c>
      <c r="C643" s="2">
        <v>18358</v>
      </c>
      <c r="D643" s="2">
        <v>189</v>
      </c>
      <c r="F643" s="2">
        <v>9</v>
      </c>
      <c r="G643" s="2">
        <v>16</v>
      </c>
      <c r="H643" s="2">
        <v>10</v>
      </c>
      <c r="I643" s="2">
        <v>0</v>
      </c>
      <c r="J643" s="2">
        <v>7</v>
      </c>
      <c r="K643" s="2">
        <v>21</v>
      </c>
      <c r="L643" s="2">
        <v>22</v>
      </c>
      <c r="M643" s="2">
        <v>18</v>
      </c>
      <c r="N643" s="2">
        <v>20</v>
      </c>
      <c r="O643" s="2">
        <v>0</v>
      </c>
      <c r="P643" s="2">
        <v>40</v>
      </c>
      <c r="Q643" s="2">
        <v>0</v>
      </c>
      <c r="R643" s="238">
        <v>367</v>
      </c>
      <c r="S643" s="219">
        <f t="shared" si="21"/>
        <v>12</v>
      </c>
      <c r="T643" s="220">
        <f>SUM( tabConsumo[[#This Row],[QTD.PENDENTE]]:tabConsumo[[#This Row],[09_23]] ) / tabConsumo[[#This Row],[Div]]</f>
        <v>13.583333333333334</v>
      </c>
      <c r="U643" s="221">
        <f xml:space="preserve"> tabConsumo[[#This Row],[Média.A]] + (_xlfn.STDEV.S( tabConsumo[[#This Row],[QTD.PENDENTE]]:tabConsumo[[#This Row],[09_23]] ) * 1)</f>
        <v>25.341953639948883</v>
      </c>
      <c r="V643" s="221">
        <f xml:space="preserve"> tabConsumo[[#This Row],[Média.A]] + (_xlfn.STDEV.S( tabConsumo[[#This Row],[QTD.PENDENTE]]:tabConsumo[[#This Row],[09_23]] ) * 2)</f>
        <v>37.100573946564431</v>
      </c>
      <c r="W643" s="221">
        <f xml:space="preserve"> tabConsumo[[#This Row],[Média.A]] + (_xlfn.STDEV.S( tabConsumo[[#This Row],[QTD.PENDENTE]]:tabConsumo[[#This Row],[09_23]] ) * 3)</f>
        <v>48.859194253179979</v>
      </c>
      <c r="X643" s="5">
        <f t="shared" ref="X643:X706" si="22" xml:space="preserve"> 2</f>
        <v>2</v>
      </c>
      <c r="Y643">
        <v>13.333333333333334</v>
      </c>
      <c r="Z643" s="223">
        <f>SUM( tabConsumo[[#This Row],[QTD.PENDENTE]]:tabConsumo[[#This Row],[09_23]] )</f>
        <v>163</v>
      </c>
      <c r="AA643" s="223">
        <f>LARGE(tabConsumo[[#This Row],[10_22]:[09_23]],1)</f>
        <v>40</v>
      </c>
      <c r="AB643" s="146" t="s">
        <v>2241</v>
      </c>
      <c r="AC643" s="3" t="s">
        <v>2086</v>
      </c>
    </row>
    <row r="644" spans="1:29" x14ac:dyDescent="0.3">
      <c r="A644" s="4" t="s">
        <v>1054</v>
      </c>
      <c r="B644" s="3" t="s">
        <v>320</v>
      </c>
      <c r="C644" s="2">
        <v>14055</v>
      </c>
      <c r="D644" s="2">
        <v>482</v>
      </c>
      <c r="F644" s="2">
        <v>3</v>
      </c>
      <c r="G644" s="2">
        <v>0</v>
      </c>
      <c r="H644" s="2">
        <v>5</v>
      </c>
      <c r="I644" s="2">
        <v>0</v>
      </c>
      <c r="J644" s="2">
        <v>0</v>
      </c>
      <c r="K644" s="2">
        <v>8</v>
      </c>
      <c r="L644" s="2">
        <v>26</v>
      </c>
      <c r="M644" s="2">
        <v>16</v>
      </c>
      <c r="N644" s="2">
        <v>20</v>
      </c>
      <c r="O644" s="2">
        <v>0</v>
      </c>
      <c r="P644" s="2">
        <v>0</v>
      </c>
      <c r="Q644" s="2">
        <v>0</v>
      </c>
      <c r="R644" s="238">
        <v>367</v>
      </c>
      <c r="S644" s="219">
        <f t="shared" si="21"/>
        <v>12</v>
      </c>
      <c r="T644" s="220">
        <f>SUM( tabConsumo[[#This Row],[QTD.PENDENTE]]:tabConsumo[[#This Row],[09_23]] ) / tabConsumo[[#This Row],[Div]]</f>
        <v>6.5</v>
      </c>
      <c r="U644" s="221">
        <f xml:space="preserve"> tabConsumo[[#This Row],[Média.A]] + (_xlfn.STDEV.S( tabConsumo[[#This Row],[QTD.PENDENTE]]:tabConsumo[[#This Row],[09_23]] ) * 1)</f>
        <v>15.660190549824327</v>
      </c>
      <c r="V644" s="221">
        <f xml:space="preserve"> tabConsumo[[#This Row],[Média.A]] + (_xlfn.STDEV.S( tabConsumo[[#This Row],[QTD.PENDENTE]]:tabConsumo[[#This Row],[09_23]] ) * 2)</f>
        <v>24.820381099648653</v>
      </c>
      <c r="W644" s="221">
        <f xml:space="preserve"> tabConsumo[[#This Row],[Média.A]] + (_xlfn.STDEV.S( tabConsumo[[#This Row],[QTD.PENDENTE]]:tabConsumo[[#This Row],[09_23]] ) * 3)</f>
        <v>33.980571649472978</v>
      </c>
      <c r="X644" s="5">
        <f t="shared" si="22"/>
        <v>2</v>
      </c>
      <c r="Y644">
        <v>6.333333333333333</v>
      </c>
      <c r="Z644" s="223">
        <f>SUM( tabConsumo[[#This Row],[QTD.PENDENTE]]:tabConsumo[[#This Row],[09_23]] )</f>
        <v>78</v>
      </c>
      <c r="AA644" s="223">
        <f>LARGE(tabConsumo[[#This Row],[10_22]:[09_23]],1)</f>
        <v>26</v>
      </c>
      <c r="AB644" s="146" t="s">
        <v>2246</v>
      </c>
      <c r="AC644" s="3" t="s">
        <v>2086</v>
      </c>
    </row>
    <row r="645" spans="1:29" x14ac:dyDescent="0.3">
      <c r="A645" s="4" t="s">
        <v>1167</v>
      </c>
      <c r="B645" s="3" t="s">
        <v>320</v>
      </c>
      <c r="C645" s="2">
        <v>20537</v>
      </c>
      <c r="D645" s="2">
        <v>137</v>
      </c>
      <c r="F645" s="2">
        <v>0</v>
      </c>
      <c r="G645" s="2">
        <v>0</v>
      </c>
      <c r="H645" s="2">
        <v>0</v>
      </c>
      <c r="I645" s="2">
        <v>0</v>
      </c>
      <c r="J645" s="2">
        <v>0</v>
      </c>
      <c r="K645" s="2">
        <v>1</v>
      </c>
      <c r="L645" s="2">
        <v>4</v>
      </c>
      <c r="M645" s="2">
        <v>0</v>
      </c>
      <c r="N645" s="2">
        <v>10</v>
      </c>
      <c r="O645" s="2">
        <v>0</v>
      </c>
      <c r="P645" s="2">
        <v>0</v>
      </c>
      <c r="Q645" s="2">
        <v>0</v>
      </c>
      <c r="R645" s="238">
        <v>367</v>
      </c>
      <c r="S645" s="219">
        <f t="shared" si="21"/>
        <v>12</v>
      </c>
      <c r="T645" s="220">
        <f>SUM( tabConsumo[[#This Row],[QTD.PENDENTE]]:tabConsumo[[#This Row],[09_23]] ) / tabConsumo[[#This Row],[Div]]</f>
        <v>1.25</v>
      </c>
      <c r="U645" s="221">
        <f xml:space="preserve"> tabConsumo[[#This Row],[Média.A]] + (_xlfn.STDEV.S( tabConsumo[[#This Row],[QTD.PENDENTE]]:tabConsumo[[#This Row],[09_23]] ) * 1)</f>
        <v>4.2386147596868655</v>
      </c>
      <c r="V645" s="221">
        <f xml:space="preserve"> tabConsumo[[#This Row],[Média.A]] + (_xlfn.STDEV.S( tabConsumo[[#This Row],[QTD.PENDENTE]]:tabConsumo[[#This Row],[09_23]] ) * 2)</f>
        <v>7.227229519373731</v>
      </c>
      <c r="W645" s="221">
        <f xml:space="preserve"> tabConsumo[[#This Row],[Média.A]] + (_xlfn.STDEV.S( tabConsumo[[#This Row],[QTD.PENDENTE]]:tabConsumo[[#This Row],[09_23]] ) * 3)</f>
        <v>10.215844279060597</v>
      </c>
      <c r="X645" s="5">
        <f t="shared" si="22"/>
        <v>2</v>
      </c>
      <c r="Y645">
        <v>1</v>
      </c>
      <c r="Z645" s="223">
        <f>SUM( tabConsumo[[#This Row],[QTD.PENDENTE]]:tabConsumo[[#This Row],[09_23]] )</f>
        <v>15</v>
      </c>
      <c r="AA645" s="223">
        <f>LARGE(tabConsumo[[#This Row],[10_22]:[09_23]],1)</f>
        <v>10</v>
      </c>
      <c r="AB645" s="146" t="s">
        <v>2246</v>
      </c>
      <c r="AC645" s="3" t="s">
        <v>2086</v>
      </c>
    </row>
    <row r="646" spans="1:29" x14ac:dyDescent="0.3">
      <c r="A646" s="4" t="s">
        <v>1296</v>
      </c>
      <c r="B646" s="3" t="s">
        <v>1264</v>
      </c>
      <c r="C646" s="2">
        <v>49858</v>
      </c>
      <c r="D646" s="2">
        <v>185</v>
      </c>
      <c r="F646" s="2">
        <v>0</v>
      </c>
      <c r="G646" s="2">
        <v>0</v>
      </c>
      <c r="H646" s="2">
        <v>0</v>
      </c>
      <c r="I646" s="2">
        <v>0</v>
      </c>
      <c r="J646" s="2">
        <v>0</v>
      </c>
      <c r="K646" s="2">
        <v>0</v>
      </c>
      <c r="L646" s="2">
        <v>0</v>
      </c>
      <c r="M646" s="2">
        <v>10</v>
      </c>
      <c r="N646" s="2">
        <v>0</v>
      </c>
      <c r="O646" s="2">
        <v>0</v>
      </c>
      <c r="P646" s="2">
        <v>0</v>
      </c>
      <c r="Q646" s="2">
        <v>0</v>
      </c>
      <c r="R646" s="238">
        <v>367</v>
      </c>
      <c r="S646" s="219">
        <f t="shared" si="21"/>
        <v>12</v>
      </c>
      <c r="T646" s="220">
        <f>SUM( tabConsumo[[#This Row],[QTD.PENDENTE]]:tabConsumo[[#This Row],[09_23]] ) / tabConsumo[[#This Row],[Div]]</f>
        <v>0.83333333333333337</v>
      </c>
      <c r="U646" s="221">
        <f xml:space="preserve"> tabConsumo[[#This Row],[Média.A]] + (_xlfn.STDEV.S( tabConsumo[[#This Row],[QTD.PENDENTE]]:tabConsumo[[#This Row],[09_23]] ) * 1)</f>
        <v>3.7200846792814626</v>
      </c>
      <c r="V646" s="221">
        <f xml:space="preserve"> tabConsumo[[#This Row],[Média.A]] + (_xlfn.STDEV.S( tabConsumo[[#This Row],[QTD.PENDENTE]]:tabConsumo[[#This Row],[09_23]] ) * 2)</f>
        <v>6.6068360252295912</v>
      </c>
      <c r="W646" s="221">
        <f xml:space="preserve"> tabConsumo[[#This Row],[Média.A]] + (_xlfn.STDEV.S( tabConsumo[[#This Row],[QTD.PENDENTE]]:tabConsumo[[#This Row],[09_23]] ) * 3)</f>
        <v>9.4935873711777212</v>
      </c>
      <c r="X646" s="5">
        <f t="shared" si="22"/>
        <v>2</v>
      </c>
      <c r="Y646">
        <v>0.5</v>
      </c>
      <c r="Z646" s="223">
        <f>SUM( tabConsumo[[#This Row],[QTD.PENDENTE]]:tabConsumo[[#This Row],[09_23]] )</f>
        <v>10</v>
      </c>
      <c r="AA646" s="223">
        <f>LARGE(tabConsumo[[#This Row],[10_22]:[09_23]],1)</f>
        <v>10</v>
      </c>
      <c r="AB646" s="146" t="s">
        <v>2244</v>
      </c>
      <c r="AC646" s="3" t="s">
        <v>2086</v>
      </c>
    </row>
    <row r="647" spans="1:29" x14ac:dyDescent="0.3">
      <c r="A647" s="4" t="s">
        <v>1263</v>
      </c>
      <c r="B647" s="3" t="s">
        <v>1264</v>
      </c>
      <c r="C647" s="2">
        <v>36031</v>
      </c>
      <c r="D647" s="2">
        <v>2616</v>
      </c>
      <c r="F647" s="2">
        <v>1</v>
      </c>
      <c r="G647" s="2">
        <v>1</v>
      </c>
      <c r="H647" s="2">
        <v>2</v>
      </c>
      <c r="I647" s="2">
        <v>2</v>
      </c>
      <c r="J647" s="2">
        <v>1</v>
      </c>
      <c r="K647" s="2">
        <v>2</v>
      </c>
      <c r="L647" s="2">
        <v>0</v>
      </c>
      <c r="M647" s="2">
        <v>11</v>
      </c>
      <c r="N647" s="2">
        <v>0</v>
      </c>
      <c r="O647" s="2">
        <v>0</v>
      </c>
      <c r="P647" s="2">
        <v>0</v>
      </c>
      <c r="Q647" s="2">
        <v>20</v>
      </c>
      <c r="R647" s="238">
        <v>367</v>
      </c>
      <c r="S647" s="219">
        <f t="shared" si="21"/>
        <v>12</v>
      </c>
      <c r="T647" s="220">
        <f>SUM( tabConsumo[[#This Row],[QTD.PENDENTE]]:tabConsumo[[#This Row],[09_23]] ) / tabConsumo[[#This Row],[Div]]</f>
        <v>3.3333333333333335</v>
      </c>
      <c r="U647" s="221">
        <f xml:space="preserve"> tabConsumo[[#This Row],[Média.A]] + (_xlfn.STDEV.S( tabConsumo[[#This Row],[QTD.PENDENTE]]:tabConsumo[[#This Row],[09_23]] ) * 1)</f>
        <v>9.3836275911410141</v>
      </c>
      <c r="V647" s="221">
        <f xml:space="preserve"> tabConsumo[[#This Row],[Média.A]] + (_xlfn.STDEV.S( tabConsumo[[#This Row],[QTD.PENDENTE]]:tabConsumo[[#This Row],[09_23]] ) * 2)</f>
        <v>15.433921848948696</v>
      </c>
      <c r="W647" s="221">
        <f xml:space="preserve"> tabConsumo[[#This Row],[Média.A]] + (_xlfn.STDEV.S( tabConsumo[[#This Row],[QTD.PENDENTE]]:tabConsumo[[#This Row],[09_23]] ) * 3)</f>
        <v>21.484216106756374</v>
      </c>
      <c r="X647" s="5">
        <f t="shared" si="22"/>
        <v>2</v>
      </c>
      <c r="Y647">
        <v>2.9166666666666665</v>
      </c>
      <c r="Z647" s="223">
        <f>SUM( tabConsumo[[#This Row],[QTD.PENDENTE]]:tabConsumo[[#This Row],[09_23]] )</f>
        <v>40</v>
      </c>
      <c r="AA647" s="223">
        <f>LARGE(tabConsumo[[#This Row],[10_22]:[09_23]],1)</f>
        <v>20</v>
      </c>
      <c r="AB647" s="146" t="s">
        <v>2238</v>
      </c>
      <c r="AC647" s="3" t="s">
        <v>2086</v>
      </c>
    </row>
    <row r="648" spans="1:29" x14ac:dyDescent="0.3">
      <c r="A648" s="4" t="s">
        <v>1982</v>
      </c>
      <c r="B648" s="3" t="s">
        <v>31</v>
      </c>
      <c r="C648" s="2">
        <v>138551</v>
      </c>
      <c r="D648" s="2">
        <v>0</v>
      </c>
      <c r="E648" s="2">
        <v>52</v>
      </c>
      <c r="F648" s="2">
        <v>9</v>
      </c>
      <c r="G648" s="2">
        <v>15</v>
      </c>
      <c r="H648" s="2">
        <v>7</v>
      </c>
      <c r="I648" s="2">
        <v>8</v>
      </c>
      <c r="J648" s="2">
        <v>18</v>
      </c>
      <c r="K648" s="2">
        <v>10</v>
      </c>
      <c r="L648" s="2">
        <v>103</v>
      </c>
      <c r="M648" s="2">
        <v>120</v>
      </c>
      <c r="N648" s="2">
        <v>8</v>
      </c>
      <c r="O648" s="2">
        <v>0</v>
      </c>
      <c r="P648" s="2">
        <v>0</v>
      </c>
      <c r="Q648" s="2">
        <v>0</v>
      </c>
      <c r="R648" s="238">
        <v>43734</v>
      </c>
      <c r="S648" s="219">
        <v>12</v>
      </c>
      <c r="T648" s="220">
        <f>SUM( tabConsumo[[#This Row],[QTD.PENDENTE]]:tabConsumo[[#This Row],[09_23]] ) / tabConsumo[[#This Row],[Div]]</f>
        <v>29.166666666666668</v>
      </c>
      <c r="U648" s="221">
        <f xml:space="preserve"> tabConsumo[[#This Row],[Média.A]] + (_xlfn.STDEV.S( tabConsumo[[#This Row],[QTD.PENDENTE]]:tabConsumo[[#This Row],[09_23]] ) * 1)</f>
        <v>69.163461410040668</v>
      </c>
      <c r="V648" s="221">
        <f xml:space="preserve"> tabConsumo[[#This Row],[Média.A]] + (_xlfn.STDEV.S( tabConsumo[[#This Row],[QTD.PENDENTE]]:tabConsumo[[#This Row],[09_23]] ) * 2)</f>
        <v>109.16025615341466</v>
      </c>
      <c r="W648" s="221">
        <f xml:space="preserve"> tabConsumo[[#This Row],[Média.A]] + (_xlfn.STDEV.S( tabConsumo[[#This Row],[QTD.PENDENTE]]:tabConsumo[[#This Row],[09_23]] ) * 3)</f>
        <v>149.15705089678866</v>
      </c>
      <c r="X648" s="5">
        <f t="shared" si="22"/>
        <v>2</v>
      </c>
      <c r="Y648">
        <v>28.25</v>
      </c>
      <c r="Z648" s="223">
        <f>SUM( tabConsumo[[#This Row],[QTD.PENDENTE]]:tabConsumo[[#This Row],[09_23]] )</f>
        <v>350</v>
      </c>
      <c r="AA648" s="223">
        <f>LARGE(tabConsumo[[#This Row],[10_22]:[09_23]],1)</f>
        <v>120</v>
      </c>
      <c r="AB648" s="146" t="s">
        <v>2246</v>
      </c>
      <c r="AC648" s="3" t="s">
        <v>2086</v>
      </c>
    </row>
    <row r="649" spans="1:29" x14ac:dyDescent="0.3">
      <c r="A649" s="4" t="s">
        <v>1956</v>
      </c>
      <c r="B649" s="3" t="s">
        <v>263</v>
      </c>
      <c r="C649" s="2">
        <v>137053</v>
      </c>
      <c r="D649" s="2">
        <v>16</v>
      </c>
      <c r="F649" s="2">
        <v>0</v>
      </c>
      <c r="G649" s="2">
        <v>0</v>
      </c>
      <c r="H649" s="2">
        <v>0</v>
      </c>
      <c r="I649" s="2">
        <v>0</v>
      </c>
      <c r="J649" s="2">
        <v>0</v>
      </c>
      <c r="K649" s="2">
        <v>0</v>
      </c>
      <c r="L649" s="2">
        <v>0</v>
      </c>
      <c r="M649" s="2">
        <v>1</v>
      </c>
      <c r="N649" s="2">
        <v>0</v>
      </c>
      <c r="O649" s="2">
        <v>0</v>
      </c>
      <c r="P649" s="2">
        <v>0</v>
      </c>
      <c r="Q649" s="2">
        <v>0</v>
      </c>
      <c r="R649" s="238">
        <v>43626</v>
      </c>
      <c r="S649" s="219">
        <v>12</v>
      </c>
      <c r="T649" s="220">
        <f>SUM( tabConsumo[[#This Row],[QTD.PENDENTE]]:tabConsumo[[#This Row],[09_23]] ) / tabConsumo[[#This Row],[Div]]</f>
        <v>8.3333333333333329E-2</v>
      </c>
      <c r="U649" s="221">
        <f xml:space="preserve"> tabConsumo[[#This Row],[Média.A]] + (_xlfn.STDEV.S( tabConsumo[[#This Row],[QTD.PENDENTE]]:tabConsumo[[#This Row],[09_23]] ) * 1)</f>
        <v>0.37200846792814618</v>
      </c>
      <c r="V649" s="221">
        <f xml:space="preserve"> tabConsumo[[#This Row],[Média.A]] + (_xlfn.STDEV.S( tabConsumo[[#This Row],[QTD.PENDENTE]]:tabConsumo[[#This Row],[09_23]] ) * 2)</f>
        <v>0.6606836025229591</v>
      </c>
      <c r="W649" s="221">
        <f xml:space="preserve"> tabConsumo[[#This Row],[Média.A]] + (_xlfn.STDEV.S( tabConsumo[[#This Row],[QTD.PENDENTE]]:tabConsumo[[#This Row],[09_23]] ) * 3)</f>
        <v>0.94935873711777197</v>
      </c>
      <c r="X649" s="5">
        <f t="shared" si="22"/>
        <v>2</v>
      </c>
      <c r="Y649">
        <v>0</v>
      </c>
      <c r="Z649" s="223">
        <f>SUM( tabConsumo[[#This Row],[QTD.PENDENTE]]:tabConsumo[[#This Row],[09_23]] )</f>
        <v>1</v>
      </c>
      <c r="AA649" s="223">
        <f>LARGE(tabConsumo[[#This Row],[10_22]:[09_23]],1)</f>
        <v>1</v>
      </c>
      <c r="AB649" s="146" t="s">
        <v>2244</v>
      </c>
      <c r="AC649" s="3" t="s">
        <v>2086</v>
      </c>
    </row>
    <row r="650" spans="1:29" x14ac:dyDescent="0.3">
      <c r="A650" s="4" t="s">
        <v>1955</v>
      </c>
      <c r="B650" s="3" t="s">
        <v>31</v>
      </c>
      <c r="C650" s="2">
        <v>137019</v>
      </c>
      <c r="D650" s="2">
        <v>472</v>
      </c>
      <c r="E650" s="2">
        <v>20</v>
      </c>
      <c r="F650" s="2">
        <v>0</v>
      </c>
      <c r="G650" s="2">
        <v>0</v>
      </c>
      <c r="H650" s="2">
        <v>0</v>
      </c>
      <c r="I650" s="2">
        <v>0</v>
      </c>
      <c r="J650" s="2">
        <v>0</v>
      </c>
      <c r="K650" s="2">
        <v>0</v>
      </c>
      <c r="L650" s="2">
        <v>0</v>
      </c>
      <c r="M650" s="2">
        <v>0</v>
      </c>
      <c r="N650" s="2">
        <v>0</v>
      </c>
      <c r="O650" s="2">
        <v>3</v>
      </c>
      <c r="P650" s="2">
        <v>0</v>
      </c>
      <c r="Q650" s="2">
        <v>20</v>
      </c>
      <c r="R650" s="238">
        <v>43620</v>
      </c>
      <c r="S650" s="219">
        <v>12</v>
      </c>
      <c r="T650" s="220">
        <f>SUM( tabConsumo[[#This Row],[QTD.PENDENTE]]:tabConsumo[[#This Row],[09_23]] ) / tabConsumo[[#This Row],[Div]]</f>
        <v>3.5833333333333335</v>
      </c>
      <c r="U650" s="221">
        <f xml:space="preserve"> tabConsumo[[#This Row],[Média.A]] + (_xlfn.STDEV.S( tabConsumo[[#This Row],[QTD.PENDENTE]]:tabConsumo[[#This Row],[09_23]] ) * 1)</f>
        <v>11.037466587045838</v>
      </c>
      <c r="V650" s="221">
        <f xml:space="preserve"> tabConsumo[[#This Row],[Média.A]] + (_xlfn.STDEV.S( tabConsumo[[#This Row],[QTD.PENDENTE]]:tabConsumo[[#This Row],[09_23]] ) * 2)</f>
        <v>18.49159984075834</v>
      </c>
      <c r="W650" s="221">
        <f xml:space="preserve"> tabConsumo[[#This Row],[Média.A]] + (_xlfn.STDEV.S( tabConsumo[[#This Row],[QTD.PENDENTE]]:tabConsumo[[#This Row],[09_23]] ) * 3)</f>
        <v>25.945733094470842</v>
      </c>
      <c r="X650" s="5">
        <f t="shared" si="22"/>
        <v>2</v>
      </c>
      <c r="Y650">
        <v>3.4166666666666665</v>
      </c>
      <c r="Z650" s="223">
        <f>SUM( tabConsumo[[#This Row],[QTD.PENDENTE]]:tabConsumo[[#This Row],[09_23]] )</f>
        <v>43</v>
      </c>
      <c r="AA650" s="223">
        <f>LARGE(tabConsumo[[#This Row],[10_22]:[09_23]],1)</f>
        <v>20</v>
      </c>
      <c r="AB650" s="146" t="s">
        <v>2238</v>
      </c>
      <c r="AC650" s="3" t="s">
        <v>2086</v>
      </c>
    </row>
    <row r="651" spans="1:29" x14ac:dyDescent="0.3">
      <c r="A651" s="4" t="s">
        <v>1149</v>
      </c>
      <c r="B651" s="3" t="s">
        <v>263</v>
      </c>
      <c r="C651" s="2">
        <v>19842</v>
      </c>
      <c r="D651" s="2">
        <v>0</v>
      </c>
      <c r="E651" s="2">
        <v>460</v>
      </c>
      <c r="F651" s="2">
        <v>303</v>
      </c>
      <c r="G651" s="2">
        <v>860</v>
      </c>
      <c r="H651" s="2">
        <v>279</v>
      </c>
      <c r="I651" s="2">
        <v>206</v>
      </c>
      <c r="J651" s="2">
        <v>776</v>
      </c>
      <c r="K651" s="2">
        <v>2195</v>
      </c>
      <c r="L651" s="2">
        <v>1362</v>
      </c>
      <c r="M651" s="2">
        <v>1926</v>
      </c>
      <c r="N651" s="2">
        <v>1636</v>
      </c>
      <c r="O651" s="2">
        <v>32</v>
      </c>
      <c r="P651" s="2">
        <v>0</v>
      </c>
      <c r="Q651" s="2">
        <v>0</v>
      </c>
      <c r="R651" s="238">
        <v>367</v>
      </c>
      <c r="S651" s="219">
        <f xml:space="preserve"> 12</f>
        <v>12</v>
      </c>
      <c r="T651" s="220">
        <f>SUM( tabConsumo[[#This Row],[QTD.PENDENTE]]:tabConsumo[[#This Row],[09_23]] ) / tabConsumo[[#This Row],[Div]]</f>
        <v>836.25</v>
      </c>
      <c r="U651" s="221">
        <f xml:space="preserve"> tabConsumo[[#This Row],[Média.A]] + (_xlfn.STDEV.S( tabConsumo[[#This Row],[QTD.PENDENTE]]:tabConsumo[[#This Row],[09_23]] ) * 1)</f>
        <v>1604.3254586994758</v>
      </c>
      <c r="V651" s="221">
        <f xml:space="preserve"> tabConsumo[[#This Row],[Média.A]] + (_xlfn.STDEV.S( tabConsumo[[#This Row],[QTD.PENDENTE]]:tabConsumo[[#This Row],[09_23]] ) * 2)</f>
        <v>2372.4009173989516</v>
      </c>
      <c r="W651" s="221">
        <f xml:space="preserve"> tabConsumo[[#This Row],[Média.A]] + (_xlfn.STDEV.S( tabConsumo[[#This Row],[QTD.PENDENTE]]:tabConsumo[[#This Row],[09_23]] ) * 3)</f>
        <v>3140.4763760984279</v>
      </c>
      <c r="X651" s="5">
        <f t="shared" si="22"/>
        <v>2</v>
      </c>
      <c r="Y651">
        <v>836.25</v>
      </c>
      <c r="Z651" s="223">
        <f>SUM( tabConsumo[[#This Row],[QTD.PENDENTE]]:tabConsumo[[#This Row],[09_23]] )</f>
        <v>10035</v>
      </c>
      <c r="AA651" s="223">
        <f>LARGE(tabConsumo[[#This Row],[10_22]:[09_23]],1)</f>
        <v>2195</v>
      </c>
      <c r="AB651" s="146" t="s">
        <v>2239</v>
      </c>
      <c r="AC651" s="3" t="s">
        <v>2086</v>
      </c>
    </row>
    <row r="652" spans="1:29" x14ac:dyDescent="0.3">
      <c r="A652" s="4" t="s">
        <v>1703</v>
      </c>
      <c r="B652" s="3" t="s">
        <v>31</v>
      </c>
      <c r="C652" s="2">
        <v>114430</v>
      </c>
      <c r="D652" s="2">
        <v>132</v>
      </c>
      <c r="F652" s="2">
        <v>23</v>
      </c>
      <c r="G652" s="2">
        <v>26</v>
      </c>
      <c r="H652" s="2">
        <v>13</v>
      </c>
      <c r="I652" s="2">
        <v>22</v>
      </c>
      <c r="J652" s="2">
        <v>44</v>
      </c>
      <c r="K652" s="2">
        <v>76</v>
      </c>
      <c r="L652" s="2">
        <v>37</v>
      </c>
      <c r="M652" s="2">
        <v>34</v>
      </c>
      <c r="N652" s="2">
        <v>42</v>
      </c>
      <c r="O652" s="2">
        <v>21</v>
      </c>
      <c r="P652" s="2">
        <v>25</v>
      </c>
      <c r="Q652" s="2">
        <v>36</v>
      </c>
      <c r="R652" s="238">
        <v>40249</v>
      </c>
      <c r="S652" s="219">
        <v>12</v>
      </c>
      <c r="T652" s="220">
        <f>SUM( tabConsumo[[#This Row],[QTD.PENDENTE]]:tabConsumo[[#This Row],[09_23]] ) / tabConsumo[[#This Row],[Div]]</f>
        <v>33.25</v>
      </c>
      <c r="U652" s="221">
        <f xml:space="preserve"> tabConsumo[[#This Row],[Média.A]] + (_xlfn.STDEV.S( tabConsumo[[#This Row],[QTD.PENDENTE]]:tabConsumo[[#This Row],[09_23]] ) * 1)</f>
        <v>49.638049969968421</v>
      </c>
      <c r="V652" s="221">
        <f xml:space="preserve"> tabConsumo[[#This Row],[Média.A]] + (_xlfn.STDEV.S( tabConsumo[[#This Row],[QTD.PENDENTE]]:tabConsumo[[#This Row],[09_23]] ) * 2)</f>
        <v>66.026099939936842</v>
      </c>
      <c r="W652" s="221">
        <f xml:space="preserve"> tabConsumo[[#This Row],[Média.A]] + (_xlfn.STDEV.S( tabConsumo[[#This Row],[QTD.PENDENTE]]:tabConsumo[[#This Row],[09_23]] ) * 3)</f>
        <v>82.414149909905248</v>
      </c>
      <c r="X652" s="5">
        <f t="shared" si="22"/>
        <v>2</v>
      </c>
      <c r="Y652">
        <v>32.416666666666664</v>
      </c>
      <c r="Z652" s="223">
        <f>SUM( tabConsumo[[#This Row],[QTD.PENDENTE]]:tabConsumo[[#This Row],[09_23]] )</f>
        <v>399</v>
      </c>
      <c r="AA652" s="223">
        <f>LARGE(tabConsumo[[#This Row],[10_22]:[09_23]],1)</f>
        <v>76</v>
      </c>
      <c r="AB652" s="146" t="s">
        <v>2238</v>
      </c>
      <c r="AC652" s="3" t="s">
        <v>2086</v>
      </c>
    </row>
    <row r="653" spans="1:29" x14ac:dyDescent="0.3">
      <c r="A653" s="4" t="s">
        <v>1624</v>
      </c>
      <c r="B653" s="3" t="s">
        <v>263</v>
      </c>
      <c r="C653" s="2">
        <v>105293</v>
      </c>
      <c r="D653" s="2">
        <v>700</v>
      </c>
      <c r="E653" s="2">
        <v>200</v>
      </c>
      <c r="F653" s="2">
        <v>40</v>
      </c>
      <c r="G653" s="2">
        <v>120</v>
      </c>
      <c r="H653" s="2">
        <v>110</v>
      </c>
      <c r="I653" s="2">
        <v>110</v>
      </c>
      <c r="J653" s="2">
        <v>20</v>
      </c>
      <c r="K653" s="2">
        <v>230</v>
      </c>
      <c r="L653" s="2">
        <v>107</v>
      </c>
      <c r="M653" s="2">
        <v>0</v>
      </c>
      <c r="N653" s="2">
        <v>0</v>
      </c>
      <c r="O653" s="2">
        <v>2</v>
      </c>
      <c r="P653" s="2">
        <v>0</v>
      </c>
      <c r="Q653" s="2">
        <v>0</v>
      </c>
      <c r="R653" s="238">
        <v>39506</v>
      </c>
      <c r="S653" s="219">
        <v>12</v>
      </c>
      <c r="T653" s="220">
        <f>SUM( tabConsumo[[#This Row],[QTD.PENDENTE]]:tabConsumo[[#This Row],[09_23]] ) / tabConsumo[[#This Row],[Div]]</f>
        <v>78.25</v>
      </c>
      <c r="U653" s="221">
        <f xml:space="preserve"> tabConsumo[[#This Row],[Média.A]] + (_xlfn.STDEV.S( tabConsumo[[#This Row],[QTD.PENDENTE]]:tabConsumo[[#This Row],[09_23]] ) * 1)</f>
        <v>158.42081123675234</v>
      </c>
      <c r="V653" s="221">
        <f xml:space="preserve"> tabConsumo[[#This Row],[Média.A]] + (_xlfn.STDEV.S( tabConsumo[[#This Row],[QTD.PENDENTE]]:tabConsumo[[#This Row],[09_23]] ) * 2)</f>
        <v>238.59162247350466</v>
      </c>
      <c r="W653" s="221">
        <f xml:space="preserve"> tabConsumo[[#This Row],[Média.A]] + (_xlfn.STDEV.S( tabConsumo[[#This Row],[QTD.PENDENTE]]:tabConsumo[[#This Row],[09_23]] ) * 3)</f>
        <v>318.76243371025697</v>
      </c>
      <c r="X653" s="5">
        <f t="shared" si="22"/>
        <v>2</v>
      </c>
      <c r="Y653">
        <v>78.25</v>
      </c>
      <c r="Z653" s="223">
        <f>SUM( tabConsumo[[#This Row],[QTD.PENDENTE]]:tabConsumo[[#This Row],[09_23]] )</f>
        <v>939</v>
      </c>
      <c r="AA653" s="223">
        <f>LARGE(tabConsumo[[#This Row],[10_22]:[09_23]],1)</f>
        <v>230</v>
      </c>
      <c r="AB653" s="146" t="s">
        <v>2239</v>
      </c>
      <c r="AC653" s="3" t="s">
        <v>2086</v>
      </c>
    </row>
    <row r="654" spans="1:29" x14ac:dyDescent="0.3">
      <c r="A654" s="4" t="s">
        <v>1924</v>
      </c>
      <c r="B654" s="3" t="s">
        <v>31</v>
      </c>
      <c r="C654" s="2">
        <v>136273</v>
      </c>
      <c r="D654" s="2">
        <v>1588</v>
      </c>
      <c r="F654" s="2">
        <v>150</v>
      </c>
      <c r="G654" s="2">
        <v>110</v>
      </c>
      <c r="H654" s="2">
        <v>50</v>
      </c>
      <c r="I654" s="2">
        <v>0</v>
      </c>
      <c r="J654" s="2">
        <v>0</v>
      </c>
      <c r="K654" s="2">
        <v>20</v>
      </c>
      <c r="L654" s="2">
        <v>300</v>
      </c>
      <c r="M654" s="2">
        <v>0</v>
      </c>
      <c r="N654" s="2">
        <v>0</v>
      </c>
      <c r="O654" s="2">
        <v>300</v>
      </c>
      <c r="P654" s="2">
        <v>0</v>
      </c>
      <c r="Q654" s="2">
        <v>50</v>
      </c>
      <c r="R654" s="238">
        <v>43483</v>
      </c>
      <c r="S654" s="219">
        <v>12</v>
      </c>
      <c r="T654" s="220">
        <f>SUM( tabConsumo[[#This Row],[QTD.PENDENTE]]:tabConsumo[[#This Row],[09_23]] ) / tabConsumo[[#This Row],[Div]]</f>
        <v>81.666666666666671</v>
      </c>
      <c r="U654" s="221">
        <f xml:space="preserve"> tabConsumo[[#This Row],[Média.A]] + (_xlfn.STDEV.S( tabConsumo[[#This Row],[QTD.PENDENTE]]:tabConsumo[[#This Row],[09_23]] ) * 1)</f>
        <v>194.46845044796345</v>
      </c>
      <c r="V654" s="221">
        <f xml:space="preserve"> tabConsumo[[#This Row],[Média.A]] + (_xlfn.STDEV.S( tabConsumo[[#This Row],[QTD.PENDENTE]]:tabConsumo[[#This Row],[09_23]] ) * 2)</f>
        <v>307.27023422926021</v>
      </c>
      <c r="W654" s="221">
        <f xml:space="preserve"> tabConsumo[[#This Row],[Média.A]] + (_xlfn.STDEV.S( tabConsumo[[#This Row],[QTD.PENDENTE]]:tabConsumo[[#This Row],[09_23]] ) * 3)</f>
        <v>420.07201801055697</v>
      </c>
      <c r="X654" s="5">
        <f t="shared" si="22"/>
        <v>2</v>
      </c>
      <c r="Y654">
        <v>81.666666666666671</v>
      </c>
      <c r="Z654" s="223">
        <f>SUM( tabConsumo[[#This Row],[QTD.PENDENTE]]:tabConsumo[[#This Row],[09_23]] )</f>
        <v>980</v>
      </c>
      <c r="AA654" s="223">
        <f>LARGE(tabConsumo[[#This Row],[10_22]:[09_23]],1)</f>
        <v>300</v>
      </c>
      <c r="AB654" s="146" t="s">
        <v>2238</v>
      </c>
      <c r="AC654" s="3" t="s">
        <v>2086</v>
      </c>
    </row>
    <row r="655" spans="1:29" x14ac:dyDescent="0.3">
      <c r="A655" s="4" t="s">
        <v>1659</v>
      </c>
      <c r="B655" s="3" t="s">
        <v>263</v>
      </c>
      <c r="C655" s="2">
        <v>108398</v>
      </c>
      <c r="D655" s="2">
        <v>5</v>
      </c>
      <c r="F655" s="2">
        <v>1</v>
      </c>
      <c r="G655" s="2">
        <v>0</v>
      </c>
      <c r="H655" s="2">
        <v>0</v>
      </c>
      <c r="I655" s="2">
        <v>1</v>
      </c>
      <c r="J655" s="2">
        <v>0</v>
      </c>
      <c r="K655" s="2">
        <v>0</v>
      </c>
      <c r="L655" s="2">
        <v>0</v>
      </c>
      <c r="M655" s="2">
        <v>0</v>
      </c>
      <c r="N655" s="2">
        <v>2</v>
      </c>
      <c r="O655" s="2">
        <v>0</v>
      </c>
      <c r="P655" s="2">
        <v>0</v>
      </c>
      <c r="Q655" s="2">
        <v>0</v>
      </c>
      <c r="R655" s="238">
        <v>39737</v>
      </c>
      <c r="S655" s="219">
        <v>12</v>
      </c>
      <c r="T655" s="220">
        <f>SUM( tabConsumo[[#This Row],[QTD.PENDENTE]]:tabConsumo[[#This Row],[09_23]] ) / tabConsumo[[#This Row],[Div]]</f>
        <v>0.33333333333333331</v>
      </c>
      <c r="U655" s="221">
        <f xml:space="preserve"> tabConsumo[[#This Row],[Média.A]] + (_xlfn.STDEV.S( tabConsumo[[#This Row],[QTD.PENDENTE]]:tabConsumo[[#This Row],[09_23]] ) * 1)</f>
        <v>0.98467228061226297</v>
      </c>
      <c r="V655" s="221">
        <f xml:space="preserve"> tabConsumo[[#This Row],[Média.A]] + (_xlfn.STDEV.S( tabConsumo[[#This Row],[QTD.PENDENTE]]:tabConsumo[[#This Row],[09_23]] ) * 2)</f>
        <v>1.6360112278911925</v>
      </c>
      <c r="W655" s="221">
        <f xml:space="preserve"> tabConsumo[[#This Row],[Média.A]] + (_xlfn.STDEV.S( tabConsumo[[#This Row],[QTD.PENDENTE]]:tabConsumo[[#This Row],[09_23]] ) * 3)</f>
        <v>2.2873501751701224</v>
      </c>
      <c r="X655" s="5">
        <f t="shared" si="22"/>
        <v>2</v>
      </c>
      <c r="Y655">
        <v>0.25</v>
      </c>
      <c r="Z655" s="223">
        <f>SUM( tabConsumo[[#This Row],[QTD.PENDENTE]]:tabConsumo[[#This Row],[09_23]] )</f>
        <v>4</v>
      </c>
      <c r="AA655" s="223">
        <f>LARGE(tabConsumo[[#This Row],[10_22]:[09_23]],1)</f>
        <v>2</v>
      </c>
      <c r="AB655" s="146" t="s">
        <v>2246</v>
      </c>
      <c r="AC655" s="3" t="s">
        <v>2086</v>
      </c>
    </row>
    <row r="656" spans="1:29" x14ac:dyDescent="0.3">
      <c r="A656" s="4" t="s">
        <v>1684</v>
      </c>
      <c r="B656" s="3" t="s">
        <v>31</v>
      </c>
      <c r="C656" s="2">
        <v>111841</v>
      </c>
      <c r="D656" s="2">
        <v>21</v>
      </c>
      <c r="F656" s="2">
        <v>0</v>
      </c>
      <c r="G656" s="2">
        <v>1</v>
      </c>
      <c r="H656" s="2">
        <v>0</v>
      </c>
      <c r="I656" s="2">
        <v>2</v>
      </c>
      <c r="J656" s="2">
        <v>0</v>
      </c>
      <c r="K656" s="2">
        <v>0</v>
      </c>
      <c r="L656" s="2">
        <v>0</v>
      </c>
      <c r="M656" s="2">
        <v>1</v>
      </c>
      <c r="N656" s="2">
        <v>1</v>
      </c>
      <c r="O656" s="2">
        <v>1</v>
      </c>
      <c r="P656" s="2">
        <v>0</v>
      </c>
      <c r="Q656" s="2">
        <v>0</v>
      </c>
      <c r="R656" s="238">
        <v>40015</v>
      </c>
      <c r="S656" s="219">
        <v>12</v>
      </c>
      <c r="T656" s="220">
        <f>SUM( tabConsumo[[#This Row],[QTD.PENDENTE]]:tabConsumo[[#This Row],[09_23]] ) / tabConsumo[[#This Row],[Div]]</f>
        <v>0.5</v>
      </c>
      <c r="U656" s="221">
        <f xml:space="preserve"> tabConsumo[[#This Row],[Média.A]] + (_xlfn.STDEV.S( tabConsumo[[#This Row],[QTD.PENDENTE]]:tabConsumo[[#This Row],[09_23]] ) * 1)</f>
        <v>1.1741998624632419</v>
      </c>
      <c r="V656" s="221">
        <f xml:space="preserve"> tabConsumo[[#This Row],[Média.A]] + (_xlfn.STDEV.S( tabConsumo[[#This Row],[QTD.PENDENTE]]:tabConsumo[[#This Row],[09_23]] ) * 2)</f>
        <v>1.8483997249264841</v>
      </c>
      <c r="W656" s="221">
        <f xml:space="preserve"> tabConsumo[[#This Row],[Média.A]] + (_xlfn.STDEV.S( tabConsumo[[#This Row],[QTD.PENDENTE]]:tabConsumo[[#This Row],[09_23]] ) * 3)</f>
        <v>2.5225995873897262</v>
      </c>
      <c r="X656" s="5">
        <f t="shared" si="22"/>
        <v>2</v>
      </c>
      <c r="Y656">
        <v>0.41666666666666669</v>
      </c>
      <c r="Z656" s="223">
        <f>SUM( tabConsumo[[#This Row],[QTD.PENDENTE]]:tabConsumo[[#This Row],[09_23]] )</f>
        <v>6</v>
      </c>
      <c r="AA656" s="223">
        <f>LARGE(tabConsumo[[#This Row],[10_22]:[09_23]],1)</f>
        <v>2</v>
      </c>
      <c r="AB656" s="146" t="s">
        <v>2239</v>
      </c>
      <c r="AC656" s="3" t="s">
        <v>2086</v>
      </c>
    </row>
    <row r="657" spans="1:29" x14ac:dyDescent="0.3">
      <c r="A657" s="4" t="s">
        <v>1707</v>
      </c>
      <c r="B657" s="3" t="s">
        <v>263</v>
      </c>
      <c r="C657" s="2">
        <v>114773</v>
      </c>
      <c r="D657" s="2">
        <v>11</v>
      </c>
      <c r="F657" s="2">
        <v>1</v>
      </c>
      <c r="G657" s="2">
        <v>2</v>
      </c>
      <c r="H657" s="2">
        <v>0</v>
      </c>
      <c r="I657" s="2">
        <v>2</v>
      </c>
      <c r="J657" s="2">
        <v>0</v>
      </c>
      <c r="K657" s="2">
        <v>0</v>
      </c>
      <c r="L657" s="2">
        <v>0</v>
      </c>
      <c r="M657" s="2">
        <v>0</v>
      </c>
      <c r="N657" s="2">
        <v>2</v>
      </c>
      <c r="O657" s="2">
        <v>0</v>
      </c>
      <c r="P657" s="2">
        <v>2</v>
      </c>
      <c r="Q657" s="2">
        <v>1</v>
      </c>
      <c r="R657" s="238">
        <v>40275</v>
      </c>
      <c r="S657" s="219">
        <v>12</v>
      </c>
      <c r="T657" s="220">
        <f>SUM( tabConsumo[[#This Row],[QTD.PENDENTE]]:tabConsumo[[#This Row],[09_23]] ) / tabConsumo[[#This Row],[Div]]</f>
        <v>0.83333333333333337</v>
      </c>
      <c r="U657" s="221">
        <f xml:space="preserve"> tabConsumo[[#This Row],[Média.A]] + (_xlfn.STDEV.S( tabConsumo[[#This Row],[QTD.PENDENTE]]:tabConsumo[[#This Row],[09_23]] ) * 1)</f>
        <v>1.7707701998944254</v>
      </c>
      <c r="V657" s="221">
        <f xml:space="preserve"> tabConsumo[[#This Row],[Média.A]] + (_xlfn.STDEV.S( tabConsumo[[#This Row],[QTD.PENDENTE]]:tabConsumo[[#This Row],[09_23]] ) * 2)</f>
        <v>2.7082070664555173</v>
      </c>
      <c r="W657" s="221">
        <f xml:space="preserve"> tabConsumo[[#This Row],[Média.A]] + (_xlfn.STDEV.S( tabConsumo[[#This Row],[QTD.PENDENTE]]:tabConsumo[[#This Row],[09_23]] ) * 3)</f>
        <v>3.6456439330166095</v>
      </c>
      <c r="X657" s="5">
        <f t="shared" si="22"/>
        <v>2</v>
      </c>
      <c r="Y657">
        <v>0.83333333333333337</v>
      </c>
      <c r="Z657" s="223">
        <f>SUM( tabConsumo[[#This Row],[QTD.PENDENTE]]:tabConsumo[[#This Row],[09_23]] )</f>
        <v>10</v>
      </c>
      <c r="AA657" s="223">
        <f>LARGE(tabConsumo[[#This Row],[10_22]:[09_23]],1)</f>
        <v>2</v>
      </c>
      <c r="AB657" s="146" t="s">
        <v>2238</v>
      </c>
      <c r="AC657" s="3" t="s">
        <v>2086</v>
      </c>
    </row>
    <row r="658" spans="1:29" x14ac:dyDescent="0.3">
      <c r="A658" s="4" t="s">
        <v>488</v>
      </c>
      <c r="B658" s="3" t="s">
        <v>31</v>
      </c>
      <c r="C658" s="2">
        <v>60110</v>
      </c>
      <c r="D658" s="2">
        <v>0</v>
      </c>
      <c r="F658" s="2">
        <v>0</v>
      </c>
      <c r="G658" s="2">
        <v>4</v>
      </c>
      <c r="H658" s="2">
        <v>0</v>
      </c>
      <c r="I658" s="2">
        <v>0</v>
      </c>
      <c r="J658" s="2">
        <v>0</v>
      </c>
      <c r="K658" s="2">
        <v>0</v>
      </c>
      <c r="L658" s="2">
        <v>0</v>
      </c>
      <c r="M658" s="2">
        <v>0</v>
      </c>
      <c r="N658" s="2">
        <v>0</v>
      </c>
      <c r="O658" s="2">
        <v>0</v>
      </c>
      <c r="P658" s="2">
        <v>0</v>
      </c>
      <c r="Q658" s="2">
        <v>0</v>
      </c>
      <c r="R658" s="238">
        <v>367</v>
      </c>
      <c r="S658" s="219">
        <f t="shared" ref="S658:S664" si="23" xml:space="preserve"> 12</f>
        <v>12</v>
      </c>
      <c r="T658" s="220">
        <f>SUM( tabConsumo[[#This Row],[QTD.PENDENTE]]:tabConsumo[[#This Row],[09_23]] ) / tabConsumo[[#This Row],[Div]]</f>
        <v>0.33333333333333331</v>
      </c>
      <c r="U658" s="221">
        <f xml:space="preserve"> tabConsumo[[#This Row],[Média.A]] + (_xlfn.STDEV.S( tabConsumo[[#This Row],[QTD.PENDENTE]]:tabConsumo[[#This Row],[09_23]] ) * 1)</f>
        <v>1.4880338717125847</v>
      </c>
      <c r="V658" s="221">
        <f xml:space="preserve"> tabConsumo[[#This Row],[Média.A]] + (_xlfn.STDEV.S( tabConsumo[[#This Row],[QTD.PENDENTE]]:tabConsumo[[#This Row],[09_23]] ) * 2)</f>
        <v>2.6427344100918364</v>
      </c>
      <c r="W658" s="221">
        <f xml:space="preserve"> tabConsumo[[#This Row],[Média.A]] + (_xlfn.STDEV.S( tabConsumo[[#This Row],[QTD.PENDENTE]]:tabConsumo[[#This Row],[09_23]] ) * 3)</f>
        <v>3.7974349484710879</v>
      </c>
      <c r="X658" s="5">
        <f t="shared" si="22"/>
        <v>2</v>
      </c>
      <c r="Y658">
        <v>0.16666666666666666</v>
      </c>
      <c r="Z658" s="223">
        <f>SUM( tabConsumo[[#This Row],[QTD.PENDENTE]]:tabConsumo[[#This Row],[09_23]] )</f>
        <v>4</v>
      </c>
      <c r="AA658" s="223">
        <f>LARGE(tabConsumo[[#This Row],[10_22]:[09_23]],1)</f>
        <v>4</v>
      </c>
      <c r="AB658" s="146" t="s">
        <v>2243</v>
      </c>
      <c r="AC658" s="3" t="s">
        <v>2086</v>
      </c>
    </row>
    <row r="659" spans="1:29" x14ac:dyDescent="0.3">
      <c r="A659" s="4" t="s">
        <v>1082</v>
      </c>
      <c r="B659" s="3" t="s">
        <v>263</v>
      </c>
      <c r="C659" s="2">
        <v>15051</v>
      </c>
      <c r="D659" s="2">
        <v>47</v>
      </c>
      <c r="F659" s="2">
        <v>0</v>
      </c>
      <c r="G659" s="2">
        <v>0</v>
      </c>
      <c r="H659" s="2">
        <v>0</v>
      </c>
      <c r="I659" s="2">
        <v>0</v>
      </c>
      <c r="J659" s="2">
        <v>0</v>
      </c>
      <c r="K659" s="2">
        <v>0</v>
      </c>
      <c r="L659" s="2">
        <v>0</v>
      </c>
      <c r="M659" s="2">
        <v>0</v>
      </c>
      <c r="N659" s="2">
        <v>0</v>
      </c>
      <c r="O659" s="2">
        <v>0</v>
      </c>
      <c r="P659" s="2">
        <v>0</v>
      </c>
      <c r="Q659" s="2">
        <v>4</v>
      </c>
      <c r="R659" s="238">
        <v>367</v>
      </c>
      <c r="S659" s="219">
        <f t="shared" si="23"/>
        <v>12</v>
      </c>
      <c r="T659" s="220">
        <f>SUM( tabConsumo[[#This Row],[QTD.PENDENTE]]:tabConsumo[[#This Row],[09_23]] ) / tabConsumo[[#This Row],[Div]]</f>
        <v>0.33333333333333331</v>
      </c>
      <c r="U659" s="221">
        <f xml:space="preserve"> tabConsumo[[#This Row],[Média.A]] + (_xlfn.STDEV.S( tabConsumo[[#This Row],[QTD.PENDENTE]]:tabConsumo[[#This Row],[09_23]] ) * 1)</f>
        <v>1.4880338717125847</v>
      </c>
      <c r="V659" s="221">
        <f xml:space="preserve"> tabConsumo[[#This Row],[Média.A]] + (_xlfn.STDEV.S( tabConsumo[[#This Row],[QTD.PENDENTE]]:tabConsumo[[#This Row],[09_23]] ) * 2)</f>
        <v>2.6427344100918364</v>
      </c>
      <c r="W659" s="221">
        <f xml:space="preserve"> tabConsumo[[#This Row],[Média.A]] + (_xlfn.STDEV.S( tabConsumo[[#This Row],[QTD.PENDENTE]]:tabConsumo[[#This Row],[09_23]] ) * 3)</f>
        <v>3.7974349484710879</v>
      </c>
      <c r="X659" s="5">
        <f t="shared" si="22"/>
        <v>2</v>
      </c>
      <c r="Y659">
        <v>0.16666666666666666</v>
      </c>
      <c r="Z659" s="223">
        <f>SUM( tabConsumo[[#This Row],[QTD.PENDENTE]]:tabConsumo[[#This Row],[09_23]] )</f>
        <v>4</v>
      </c>
      <c r="AA659" s="223">
        <f>LARGE(tabConsumo[[#This Row],[10_22]:[09_23]],1)</f>
        <v>4</v>
      </c>
      <c r="AB659" s="146" t="s">
        <v>2238</v>
      </c>
      <c r="AC659" s="3" t="s">
        <v>2086</v>
      </c>
    </row>
    <row r="660" spans="1:29" x14ac:dyDescent="0.3">
      <c r="A660" s="4" t="s">
        <v>1168</v>
      </c>
      <c r="B660" s="3" t="s">
        <v>263</v>
      </c>
      <c r="C660" s="2">
        <v>20554</v>
      </c>
      <c r="D660" s="2">
        <v>12260</v>
      </c>
      <c r="E660" s="2">
        <v>50</v>
      </c>
      <c r="F660" s="2">
        <v>700</v>
      </c>
      <c r="G660" s="2">
        <v>1110</v>
      </c>
      <c r="H660" s="2">
        <v>1000</v>
      </c>
      <c r="I660" s="2">
        <v>1000</v>
      </c>
      <c r="J660" s="2">
        <v>800</v>
      </c>
      <c r="K660" s="2">
        <v>650</v>
      </c>
      <c r="L660" s="2">
        <v>2100</v>
      </c>
      <c r="M660" s="2">
        <v>0</v>
      </c>
      <c r="N660" s="2">
        <v>500</v>
      </c>
      <c r="O660" s="2">
        <v>130</v>
      </c>
      <c r="P660" s="2">
        <v>0</v>
      </c>
      <c r="Q660" s="2">
        <v>1000</v>
      </c>
      <c r="R660" s="238">
        <v>367</v>
      </c>
      <c r="S660" s="219">
        <f t="shared" si="23"/>
        <v>12</v>
      </c>
      <c r="T660" s="220">
        <f>SUM( tabConsumo[[#This Row],[QTD.PENDENTE]]:tabConsumo[[#This Row],[09_23]] ) / tabConsumo[[#This Row],[Div]]</f>
        <v>753.33333333333337</v>
      </c>
      <c r="U660" s="221">
        <f xml:space="preserve"> tabConsumo[[#This Row],[Média.A]] + (_xlfn.STDEV.S( tabConsumo[[#This Row],[QTD.PENDENTE]]:tabConsumo[[#This Row],[09_23]] ) * 1)</f>
        <v>1343.3702726376364</v>
      </c>
      <c r="V660" s="221">
        <f xml:space="preserve"> tabConsumo[[#This Row],[Média.A]] + (_xlfn.STDEV.S( tabConsumo[[#This Row],[QTD.PENDENTE]]:tabConsumo[[#This Row],[09_23]] ) * 2)</f>
        <v>1933.4072119419393</v>
      </c>
      <c r="W660" s="221">
        <f xml:space="preserve"> tabConsumo[[#This Row],[Média.A]] + (_xlfn.STDEV.S( tabConsumo[[#This Row],[QTD.PENDENTE]]:tabConsumo[[#This Row],[09_23]] ) * 3)</f>
        <v>2523.4441512462427</v>
      </c>
      <c r="X660" s="5">
        <f t="shared" si="22"/>
        <v>2</v>
      </c>
      <c r="Y660">
        <v>739.41666666666663</v>
      </c>
      <c r="Z660" s="223">
        <f>SUM( tabConsumo[[#This Row],[QTD.PENDENTE]]:tabConsumo[[#This Row],[09_23]] )</f>
        <v>9040</v>
      </c>
      <c r="AA660" s="223">
        <f>LARGE(tabConsumo[[#This Row],[10_22]:[09_23]],1)</f>
        <v>2100</v>
      </c>
      <c r="AB660" s="146" t="s">
        <v>2238</v>
      </c>
      <c r="AC660" s="3" t="s">
        <v>2086</v>
      </c>
    </row>
    <row r="661" spans="1:29" x14ac:dyDescent="0.3">
      <c r="A661" s="4" t="s">
        <v>1170</v>
      </c>
      <c r="B661" s="3" t="s">
        <v>263</v>
      </c>
      <c r="C661" s="2">
        <v>20558</v>
      </c>
      <c r="D661" s="2">
        <v>9000</v>
      </c>
      <c r="E661" s="2">
        <v>1728</v>
      </c>
      <c r="F661" s="2">
        <v>1100</v>
      </c>
      <c r="G661" s="2">
        <v>710</v>
      </c>
      <c r="H661" s="2">
        <v>400</v>
      </c>
      <c r="I661" s="2">
        <v>2400</v>
      </c>
      <c r="J661" s="2">
        <v>1000</v>
      </c>
      <c r="K661" s="2">
        <v>950</v>
      </c>
      <c r="L661" s="2">
        <v>1245</v>
      </c>
      <c r="M661" s="2">
        <v>0</v>
      </c>
      <c r="N661" s="2">
        <v>0</v>
      </c>
      <c r="O661" s="2">
        <v>0</v>
      </c>
      <c r="P661" s="2">
        <v>0</v>
      </c>
      <c r="Q661" s="2">
        <v>627</v>
      </c>
      <c r="R661" s="238">
        <v>367</v>
      </c>
      <c r="S661" s="219">
        <f t="shared" si="23"/>
        <v>12</v>
      </c>
      <c r="T661" s="220">
        <f>SUM( tabConsumo[[#This Row],[QTD.PENDENTE]]:tabConsumo[[#This Row],[09_23]] ) / tabConsumo[[#This Row],[Div]]</f>
        <v>846.66666666666663</v>
      </c>
      <c r="U661" s="221">
        <f xml:space="preserve"> tabConsumo[[#This Row],[Média.A]] + (_xlfn.STDEV.S( tabConsumo[[#This Row],[QTD.PENDENTE]]:tabConsumo[[#This Row],[09_23]] ) * 1)</f>
        <v>1584.0780868142683</v>
      </c>
      <c r="V661" s="221">
        <f xml:space="preserve"> tabConsumo[[#This Row],[Média.A]] + (_xlfn.STDEV.S( tabConsumo[[#This Row],[QTD.PENDENTE]]:tabConsumo[[#This Row],[09_23]] ) * 2)</f>
        <v>2321.4895069618697</v>
      </c>
      <c r="W661" s="221">
        <f xml:space="preserve"> tabConsumo[[#This Row],[Média.A]] + (_xlfn.STDEV.S( tabConsumo[[#This Row],[QTD.PENDENTE]]:tabConsumo[[#This Row],[09_23]] ) * 3)</f>
        <v>3058.9009271094715</v>
      </c>
      <c r="X661" s="5">
        <f t="shared" si="22"/>
        <v>2</v>
      </c>
      <c r="Y661">
        <v>840.08333333333337</v>
      </c>
      <c r="Z661" s="223">
        <f>SUM( tabConsumo[[#This Row],[QTD.PENDENTE]]:tabConsumo[[#This Row],[09_23]] )</f>
        <v>10160</v>
      </c>
      <c r="AA661" s="223">
        <f>LARGE(tabConsumo[[#This Row],[10_22]:[09_23]],1)</f>
        <v>2400</v>
      </c>
      <c r="AB661" s="146" t="s">
        <v>2238</v>
      </c>
      <c r="AC661" s="3" t="s">
        <v>2086</v>
      </c>
    </row>
    <row r="662" spans="1:29" x14ac:dyDescent="0.3">
      <c r="A662" s="4" t="s">
        <v>1171</v>
      </c>
      <c r="B662" s="3" t="s">
        <v>263</v>
      </c>
      <c r="C662" s="2">
        <v>20576</v>
      </c>
      <c r="D662" s="2">
        <v>7415</v>
      </c>
      <c r="F662" s="2">
        <v>300</v>
      </c>
      <c r="G662" s="2">
        <v>900</v>
      </c>
      <c r="H662" s="2">
        <v>0</v>
      </c>
      <c r="I662" s="2">
        <v>100</v>
      </c>
      <c r="J662" s="2">
        <v>350</v>
      </c>
      <c r="K662" s="2">
        <v>500</v>
      </c>
      <c r="L662" s="2">
        <v>2650</v>
      </c>
      <c r="M662" s="2">
        <v>100</v>
      </c>
      <c r="N662" s="2">
        <v>0</v>
      </c>
      <c r="O662" s="2">
        <v>0</v>
      </c>
      <c r="P662" s="2">
        <v>0</v>
      </c>
      <c r="Q662" s="2">
        <v>0</v>
      </c>
      <c r="R662" s="238">
        <v>367</v>
      </c>
      <c r="S662" s="219">
        <f t="shared" si="23"/>
        <v>12</v>
      </c>
      <c r="T662" s="220">
        <f>SUM( tabConsumo[[#This Row],[QTD.PENDENTE]]:tabConsumo[[#This Row],[09_23]] ) / tabConsumo[[#This Row],[Div]]</f>
        <v>408.33333333333331</v>
      </c>
      <c r="U662" s="221">
        <f xml:space="preserve"> tabConsumo[[#This Row],[Média.A]] + (_xlfn.STDEV.S( tabConsumo[[#This Row],[QTD.PENDENTE]]:tabConsumo[[#This Row],[09_23]] ) * 1)</f>
        <v>1165.9712095744512</v>
      </c>
      <c r="V662" s="221">
        <f xml:space="preserve"> tabConsumo[[#This Row],[Média.A]] + (_xlfn.STDEV.S( tabConsumo[[#This Row],[QTD.PENDENTE]]:tabConsumo[[#This Row],[09_23]] ) * 2)</f>
        <v>1923.609085815569</v>
      </c>
      <c r="W662" s="221">
        <f xml:space="preserve"> tabConsumo[[#This Row],[Média.A]] + (_xlfn.STDEV.S( tabConsumo[[#This Row],[QTD.PENDENTE]]:tabConsumo[[#This Row],[09_23]] ) * 3)</f>
        <v>2681.2469620566872</v>
      </c>
      <c r="X662" s="5">
        <f t="shared" si="22"/>
        <v>2</v>
      </c>
      <c r="Y662">
        <v>347.75</v>
      </c>
      <c r="Z662" s="223">
        <f>SUM( tabConsumo[[#This Row],[QTD.PENDENTE]]:tabConsumo[[#This Row],[09_23]] )</f>
        <v>4900</v>
      </c>
      <c r="AA662" s="223">
        <f>LARGE(tabConsumo[[#This Row],[10_22]:[09_23]],1)</f>
        <v>2650</v>
      </c>
      <c r="AB662" s="146" t="s">
        <v>2244</v>
      </c>
      <c r="AC662" s="3" t="s">
        <v>2086</v>
      </c>
    </row>
    <row r="663" spans="1:29" x14ac:dyDescent="0.3">
      <c r="A663" s="4" t="s">
        <v>1172</v>
      </c>
      <c r="B663" s="3" t="s">
        <v>263</v>
      </c>
      <c r="C663" s="2">
        <v>20583</v>
      </c>
      <c r="D663" s="2">
        <v>13063</v>
      </c>
      <c r="E663" s="2">
        <v>50</v>
      </c>
      <c r="F663" s="2">
        <v>100</v>
      </c>
      <c r="G663" s="2">
        <v>600</v>
      </c>
      <c r="H663" s="2">
        <v>50</v>
      </c>
      <c r="I663" s="2">
        <v>50</v>
      </c>
      <c r="J663" s="2">
        <v>50</v>
      </c>
      <c r="K663" s="2">
        <v>0</v>
      </c>
      <c r="L663" s="2">
        <v>2100</v>
      </c>
      <c r="M663" s="2">
        <v>0</v>
      </c>
      <c r="N663" s="2">
        <v>0</v>
      </c>
      <c r="O663" s="2">
        <v>0</v>
      </c>
      <c r="P663" s="2">
        <v>0</v>
      </c>
      <c r="Q663" s="2">
        <v>0</v>
      </c>
      <c r="R663" s="238">
        <v>367</v>
      </c>
      <c r="S663" s="219">
        <f t="shared" si="23"/>
        <v>12</v>
      </c>
      <c r="T663" s="220">
        <f>SUM( tabConsumo[[#This Row],[QTD.PENDENTE]]:tabConsumo[[#This Row],[09_23]] ) / tabConsumo[[#This Row],[Div]]</f>
        <v>250</v>
      </c>
      <c r="U663" s="221">
        <f xml:space="preserve"> tabConsumo[[#This Row],[Média.A]] + (_xlfn.STDEV.S( tabConsumo[[#This Row],[QTD.PENDENTE]]:tabConsumo[[#This Row],[09_23]] ) * 1)</f>
        <v>834.35807427839904</v>
      </c>
      <c r="V663" s="221">
        <f xml:space="preserve"> tabConsumo[[#This Row],[Média.A]] + (_xlfn.STDEV.S( tabConsumo[[#This Row],[QTD.PENDENTE]]:tabConsumo[[#This Row],[09_23]] ) * 2)</f>
        <v>1418.7161485567981</v>
      </c>
      <c r="W663" s="221">
        <f xml:space="preserve"> tabConsumo[[#This Row],[Média.A]] + (_xlfn.STDEV.S( tabConsumo[[#This Row],[QTD.PENDENTE]]:tabConsumo[[#This Row],[09_23]] ) * 3)</f>
        <v>2003.0742228351971</v>
      </c>
      <c r="X663" s="5">
        <f t="shared" si="22"/>
        <v>2</v>
      </c>
      <c r="Y663">
        <v>193.16666666666666</v>
      </c>
      <c r="Z663" s="223">
        <f>SUM( tabConsumo[[#This Row],[QTD.PENDENTE]]:tabConsumo[[#This Row],[09_23]] )</f>
        <v>3000</v>
      </c>
      <c r="AA663" s="223">
        <f>LARGE(tabConsumo[[#This Row],[10_22]:[09_23]],1)</f>
        <v>2100</v>
      </c>
      <c r="AB663" s="146" t="s">
        <v>2240</v>
      </c>
      <c r="AC663" s="3" t="s">
        <v>2086</v>
      </c>
    </row>
    <row r="664" spans="1:29" x14ac:dyDescent="0.3">
      <c r="A664" s="4" t="s">
        <v>1173</v>
      </c>
      <c r="B664" s="3" t="s">
        <v>263</v>
      </c>
      <c r="C664" s="2">
        <v>20584</v>
      </c>
      <c r="D664" s="2">
        <v>24460</v>
      </c>
      <c r="E664" s="2">
        <v>50</v>
      </c>
      <c r="F664" s="2">
        <v>0</v>
      </c>
      <c r="G664" s="2">
        <v>50</v>
      </c>
      <c r="H664" s="2">
        <v>100</v>
      </c>
      <c r="I664" s="2">
        <v>0</v>
      </c>
      <c r="J664" s="2">
        <v>100</v>
      </c>
      <c r="K664" s="2">
        <v>100</v>
      </c>
      <c r="L664" s="2">
        <v>1000</v>
      </c>
      <c r="M664" s="2">
        <v>0</v>
      </c>
      <c r="N664" s="2">
        <v>500</v>
      </c>
      <c r="O664" s="2">
        <v>0</v>
      </c>
      <c r="P664" s="2">
        <v>0</v>
      </c>
      <c r="Q664" s="2">
        <v>0</v>
      </c>
      <c r="R664" s="238">
        <v>367</v>
      </c>
      <c r="S664" s="219">
        <f t="shared" si="23"/>
        <v>12</v>
      </c>
      <c r="T664" s="220">
        <f>SUM( tabConsumo[[#This Row],[QTD.PENDENTE]]:tabConsumo[[#This Row],[09_23]] ) / tabConsumo[[#This Row],[Div]]</f>
        <v>158.33333333333334</v>
      </c>
      <c r="U664" s="221">
        <f xml:space="preserve"> tabConsumo[[#This Row],[Média.A]] + (_xlfn.STDEV.S( tabConsumo[[#This Row],[QTD.PENDENTE]]:tabConsumo[[#This Row],[09_23]] ) * 1)</f>
        <v>448.06132247540381</v>
      </c>
      <c r="V664" s="221">
        <f xml:space="preserve"> tabConsumo[[#This Row],[Média.A]] + (_xlfn.STDEV.S( tabConsumo[[#This Row],[QTD.PENDENTE]]:tabConsumo[[#This Row],[09_23]] ) * 2)</f>
        <v>737.78931161747425</v>
      </c>
      <c r="W664" s="221">
        <f xml:space="preserve"> tabConsumo[[#This Row],[Média.A]] + (_xlfn.STDEV.S( tabConsumo[[#This Row],[QTD.PENDENTE]]:tabConsumo[[#This Row],[09_23]] ) * 3)</f>
        <v>1027.5173007595447</v>
      </c>
      <c r="X664" s="5">
        <f t="shared" si="22"/>
        <v>2</v>
      </c>
      <c r="Y664">
        <v>136.41666666666666</v>
      </c>
      <c r="Z664" s="223">
        <f>SUM( tabConsumo[[#This Row],[QTD.PENDENTE]]:tabConsumo[[#This Row],[09_23]] )</f>
        <v>1900</v>
      </c>
      <c r="AA664" s="223">
        <f>LARGE(tabConsumo[[#This Row],[10_22]:[09_23]],1)</f>
        <v>1000</v>
      </c>
      <c r="AB664" s="146" t="s">
        <v>2246</v>
      </c>
      <c r="AC664" s="3" t="s">
        <v>2086</v>
      </c>
    </row>
    <row r="665" spans="1:29" x14ac:dyDescent="0.3">
      <c r="A665" s="4" t="s">
        <v>1501</v>
      </c>
      <c r="B665" s="3" t="s">
        <v>263</v>
      </c>
      <c r="C665" s="2">
        <v>87699</v>
      </c>
      <c r="D665" s="2">
        <v>86</v>
      </c>
      <c r="F665" s="2">
        <v>0</v>
      </c>
      <c r="G665" s="2">
        <v>0</v>
      </c>
      <c r="H665" s="2">
        <v>0</v>
      </c>
      <c r="I665" s="2">
        <v>1</v>
      </c>
      <c r="J665" s="2">
        <v>0</v>
      </c>
      <c r="K665" s="2">
        <v>0</v>
      </c>
      <c r="L665" s="2">
        <v>0</v>
      </c>
      <c r="M665" s="2">
        <v>0</v>
      </c>
      <c r="N665" s="2">
        <v>1</v>
      </c>
      <c r="O665" s="2">
        <v>0</v>
      </c>
      <c r="P665" s="2">
        <v>1</v>
      </c>
      <c r="Q665" s="2">
        <v>0</v>
      </c>
      <c r="R665" s="238">
        <v>38611</v>
      </c>
      <c r="S665" s="219">
        <v>12</v>
      </c>
      <c r="T665" s="220">
        <f>SUM( tabConsumo[[#This Row],[QTD.PENDENTE]]:tabConsumo[[#This Row],[09_23]] ) / tabConsumo[[#This Row],[Div]]</f>
        <v>0.25</v>
      </c>
      <c r="U665" s="221">
        <f xml:space="preserve"> tabConsumo[[#This Row],[Média.A]] + (_xlfn.STDEV.S( tabConsumo[[#This Row],[QTD.PENDENTE]]:tabConsumo[[#This Row],[09_23]] ) * 1)</f>
        <v>0.70226701686664539</v>
      </c>
      <c r="V665" s="221">
        <f xml:space="preserve"> tabConsumo[[#This Row],[Média.A]] + (_xlfn.STDEV.S( tabConsumo[[#This Row],[QTD.PENDENTE]]:tabConsumo[[#This Row],[09_23]] ) * 2)</f>
        <v>1.1545340337332908</v>
      </c>
      <c r="W665" s="221">
        <f xml:space="preserve"> tabConsumo[[#This Row],[Média.A]] + (_xlfn.STDEV.S( tabConsumo[[#This Row],[QTD.PENDENTE]]:tabConsumo[[#This Row],[09_23]] ) * 3)</f>
        <v>1.6068010505999364</v>
      </c>
      <c r="X665" s="5">
        <f t="shared" si="22"/>
        <v>2</v>
      </c>
      <c r="Y665">
        <v>0.25</v>
      </c>
      <c r="Z665" s="223">
        <f>SUM( tabConsumo[[#This Row],[QTD.PENDENTE]]:tabConsumo[[#This Row],[09_23]] )</f>
        <v>3</v>
      </c>
      <c r="AA665" s="223">
        <f>LARGE(tabConsumo[[#This Row],[10_22]:[09_23]],1)</f>
        <v>1</v>
      </c>
      <c r="AB665" s="146" t="s">
        <v>2241</v>
      </c>
      <c r="AC665" s="3" t="s">
        <v>2086</v>
      </c>
    </row>
    <row r="666" spans="1:29" x14ac:dyDescent="0.3">
      <c r="A666" s="4" t="s">
        <v>1498</v>
      </c>
      <c r="B666" s="3" t="s">
        <v>263</v>
      </c>
      <c r="C666" s="2">
        <v>87698</v>
      </c>
      <c r="D666" s="2">
        <v>10</v>
      </c>
      <c r="E666" s="2">
        <v>3</v>
      </c>
      <c r="F666" s="2">
        <v>1</v>
      </c>
      <c r="G666" s="2">
        <v>0</v>
      </c>
      <c r="H666" s="2">
        <v>1</v>
      </c>
      <c r="I666" s="2">
        <v>2</v>
      </c>
      <c r="J666" s="2">
        <v>0</v>
      </c>
      <c r="K666" s="2">
        <v>0</v>
      </c>
      <c r="L666" s="2">
        <v>0</v>
      </c>
      <c r="M666" s="2">
        <v>0</v>
      </c>
      <c r="N666" s="2">
        <v>4</v>
      </c>
      <c r="O666" s="2">
        <v>2</v>
      </c>
      <c r="P666" s="2">
        <v>3</v>
      </c>
      <c r="Q666" s="2">
        <v>2</v>
      </c>
      <c r="R666" s="238">
        <v>38611</v>
      </c>
      <c r="S666" s="219">
        <v>12</v>
      </c>
      <c r="T666" s="220">
        <f>SUM( tabConsumo[[#This Row],[QTD.PENDENTE]]:tabConsumo[[#This Row],[09_23]] ) / tabConsumo[[#This Row],[Div]]</f>
        <v>1.5</v>
      </c>
      <c r="U666" s="221">
        <f xml:space="preserve"> tabConsumo[[#This Row],[Média.A]] + (_xlfn.STDEV.S( tabConsumo[[#This Row],[QTD.PENDENTE]]:tabConsumo[[#This Row],[09_23]] ) * 1)</f>
        <v>2.886750490563073</v>
      </c>
      <c r="V666" s="221">
        <f xml:space="preserve"> tabConsumo[[#This Row],[Média.A]] + (_xlfn.STDEV.S( tabConsumo[[#This Row],[QTD.PENDENTE]]:tabConsumo[[#This Row],[09_23]] ) * 2)</f>
        <v>4.273500981126146</v>
      </c>
      <c r="W666" s="221">
        <f xml:space="preserve"> tabConsumo[[#This Row],[Média.A]] + (_xlfn.STDEV.S( tabConsumo[[#This Row],[QTD.PENDENTE]]:tabConsumo[[#This Row],[09_23]] ) * 3)</f>
        <v>5.6602514716892181</v>
      </c>
      <c r="X666" s="5">
        <f t="shared" si="22"/>
        <v>2</v>
      </c>
      <c r="Y666">
        <v>1.5</v>
      </c>
      <c r="Z666" s="223">
        <f>SUM( tabConsumo[[#This Row],[QTD.PENDENTE]]:tabConsumo[[#This Row],[09_23]] )</f>
        <v>18</v>
      </c>
      <c r="AA666" s="223">
        <f>LARGE(tabConsumo[[#This Row],[10_22]:[09_23]],1)</f>
        <v>4</v>
      </c>
      <c r="AB666" s="146" t="s">
        <v>2238</v>
      </c>
      <c r="AC666" s="3" t="s">
        <v>2086</v>
      </c>
    </row>
    <row r="667" spans="1:29" x14ac:dyDescent="0.3">
      <c r="A667" s="4" t="s">
        <v>1257</v>
      </c>
      <c r="B667" s="3" t="s">
        <v>263</v>
      </c>
      <c r="C667" s="2">
        <v>35224</v>
      </c>
      <c r="D667" s="2">
        <v>20</v>
      </c>
      <c r="E667" s="2">
        <v>18</v>
      </c>
      <c r="F667" s="2">
        <v>1</v>
      </c>
      <c r="G667" s="2">
        <v>2</v>
      </c>
      <c r="H667" s="2">
        <v>3</v>
      </c>
      <c r="I667" s="2">
        <v>4</v>
      </c>
      <c r="J667" s="2">
        <v>0</v>
      </c>
      <c r="K667" s="2">
        <v>2</v>
      </c>
      <c r="L667" s="2">
        <v>6</v>
      </c>
      <c r="M667" s="2">
        <v>1</v>
      </c>
      <c r="N667" s="2">
        <v>0</v>
      </c>
      <c r="O667" s="2">
        <v>0</v>
      </c>
      <c r="P667" s="2">
        <v>2</v>
      </c>
      <c r="Q667" s="2">
        <v>0</v>
      </c>
      <c r="R667" s="238">
        <v>367</v>
      </c>
      <c r="S667" s="219">
        <f t="shared" ref="S667:S673" si="24" xml:space="preserve"> 12</f>
        <v>12</v>
      </c>
      <c r="T667" s="220">
        <f>SUM( tabConsumo[[#This Row],[QTD.PENDENTE]]:tabConsumo[[#This Row],[09_23]] ) / tabConsumo[[#This Row],[Div]]</f>
        <v>3.25</v>
      </c>
      <c r="U667" s="221">
        <f xml:space="preserve"> tabConsumo[[#This Row],[Média.A]] + (_xlfn.STDEV.S( tabConsumo[[#This Row],[QTD.PENDENTE]]:tabConsumo[[#This Row],[09_23]] ) * 1)</f>
        <v>8.0976798574163293</v>
      </c>
      <c r="V667" s="221">
        <f xml:space="preserve"> tabConsumo[[#This Row],[Média.A]] + (_xlfn.STDEV.S( tabConsumo[[#This Row],[QTD.PENDENTE]]:tabConsumo[[#This Row],[09_23]] ) * 2)</f>
        <v>12.945359714832659</v>
      </c>
      <c r="W667" s="221">
        <f xml:space="preserve"> tabConsumo[[#This Row],[Média.A]] + (_xlfn.STDEV.S( tabConsumo[[#This Row],[QTD.PENDENTE]]:tabConsumo[[#This Row],[09_23]] ) * 3)</f>
        <v>17.793039572248986</v>
      </c>
      <c r="X667" s="5">
        <f t="shared" si="22"/>
        <v>2</v>
      </c>
      <c r="Y667">
        <v>3.25</v>
      </c>
      <c r="Z667" s="223">
        <f>SUM( tabConsumo[[#This Row],[QTD.PENDENTE]]:tabConsumo[[#This Row],[09_23]] )</f>
        <v>39</v>
      </c>
      <c r="AA667" s="223">
        <f>LARGE(tabConsumo[[#This Row],[10_22]:[09_23]],1)</f>
        <v>6</v>
      </c>
      <c r="AB667" s="146" t="s">
        <v>2241</v>
      </c>
      <c r="AC667" s="3" t="s">
        <v>2086</v>
      </c>
    </row>
    <row r="668" spans="1:29" x14ac:dyDescent="0.3">
      <c r="A668" s="4" t="s">
        <v>1208</v>
      </c>
      <c r="B668" s="3" t="s">
        <v>263</v>
      </c>
      <c r="C668" s="2">
        <v>25756</v>
      </c>
      <c r="D668" s="2">
        <v>116</v>
      </c>
      <c r="F668" s="2">
        <v>2</v>
      </c>
      <c r="G668" s="2">
        <v>5</v>
      </c>
      <c r="H668" s="2">
        <v>0</v>
      </c>
      <c r="I668" s="2">
        <v>4</v>
      </c>
      <c r="J668" s="2">
        <v>5</v>
      </c>
      <c r="K668" s="2">
        <v>6</v>
      </c>
      <c r="L668" s="2">
        <v>10</v>
      </c>
      <c r="M668" s="2">
        <v>23</v>
      </c>
      <c r="N668" s="2">
        <v>0</v>
      </c>
      <c r="O668" s="2">
        <v>0</v>
      </c>
      <c r="P668" s="2">
        <v>0</v>
      </c>
      <c r="Q668" s="2">
        <v>0</v>
      </c>
      <c r="R668" s="238">
        <v>367</v>
      </c>
      <c r="S668" s="219">
        <f t="shared" si="24"/>
        <v>12</v>
      </c>
      <c r="T668" s="220">
        <f>SUM( tabConsumo[[#This Row],[QTD.PENDENTE]]:tabConsumo[[#This Row],[09_23]] ) / tabConsumo[[#This Row],[Div]]</f>
        <v>4.583333333333333</v>
      </c>
      <c r="U668" s="221">
        <f xml:space="preserve"> tabConsumo[[#This Row],[Média.A]] + (_xlfn.STDEV.S( tabConsumo[[#This Row],[QTD.PENDENTE]]:tabConsumo[[#This Row],[09_23]] ) * 1)</f>
        <v>11.209155180584823</v>
      </c>
      <c r="V668" s="221">
        <f xml:space="preserve"> tabConsumo[[#This Row],[Média.A]] + (_xlfn.STDEV.S( tabConsumo[[#This Row],[QTD.PENDENTE]]:tabConsumo[[#This Row],[09_23]] ) * 2)</f>
        <v>17.834977027836313</v>
      </c>
      <c r="W668" s="221">
        <f xml:space="preserve"> tabConsumo[[#This Row],[Média.A]] + (_xlfn.STDEV.S( tabConsumo[[#This Row],[QTD.PENDENTE]]:tabConsumo[[#This Row],[09_23]] ) * 3)</f>
        <v>24.460798875087804</v>
      </c>
      <c r="X668" s="5">
        <f t="shared" si="22"/>
        <v>2</v>
      </c>
      <c r="Y668">
        <v>4.083333333333333</v>
      </c>
      <c r="Z668" s="223">
        <f>SUM( tabConsumo[[#This Row],[QTD.PENDENTE]]:tabConsumo[[#This Row],[09_23]] )</f>
        <v>55</v>
      </c>
      <c r="AA668" s="223">
        <f>LARGE(tabConsumo[[#This Row],[10_22]:[09_23]],1)</f>
        <v>23</v>
      </c>
      <c r="AB668" s="146" t="s">
        <v>2244</v>
      </c>
      <c r="AC668" s="3" t="s">
        <v>2086</v>
      </c>
    </row>
    <row r="669" spans="1:29" x14ac:dyDescent="0.3">
      <c r="A669" s="4" t="s">
        <v>1227</v>
      </c>
      <c r="B669" s="3" t="s">
        <v>263</v>
      </c>
      <c r="C669" s="2">
        <v>27760</v>
      </c>
      <c r="D669" s="2">
        <v>48</v>
      </c>
      <c r="F669" s="2">
        <v>3</v>
      </c>
      <c r="G669" s="2">
        <v>3</v>
      </c>
      <c r="H669" s="2">
        <v>6</v>
      </c>
      <c r="I669" s="2">
        <v>0</v>
      </c>
      <c r="J669" s="2">
        <v>0</v>
      </c>
      <c r="K669" s="2">
        <v>1</v>
      </c>
      <c r="L669" s="2">
        <v>7</v>
      </c>
      <c r="M669" s="2">
        <v>1</v>
      </c>
      <c r="N669" s="2">
        <v>20</v>
      </c>
      <c r="O669" s="2">
        <v>0</v>
      </c>
      <c r="P669" s="2">
        <v>0</v>
      </c>
      <c r="Q669" s="2">
        <v>0</v>
      </c>
      <c r="R669" s="238">
        <v>367</v>
      </c>
      <c r="S669" s="219">
        <f t="shared" si="24"/>
        <v>12</v>
      </c>
      <c r="T669" s="220">
        <f>SUM( tabConsumo[[#This Row],[QTD.PENDENTE]]:tabConsumo[[#This Row],[09_23]] ) / tabConsumo[[#This Row],[Div]]</f>
        <v>3.4166666666666665</v>
      </c>
      <c r="U669" s="221">
        <f xml:space="preserve"> tabConsumo[[#This Row],[Média.A]] + (_xlfn.STDEV.S( tabConsumo[[#This Row],[QTD.PENDENTE]]:tabConsumo[[#This Row],[09_23]] ) * 1)</f>
        <v>9.176375203063488</v>
      </c>
      <c r="V669" s="221">
        <f xml:space="preserve"> tabConsumo[[#This Row],[Média.A]] + (_xlfn.STDEV.S( tabConsumo[[#This Row],[QTD.PENDENTE]]:tabConsumo[[#This Row],[09_23]] ) * 2)</f>
        <v>14.93608373946031</v>
      </c>
      <c r="W669" s="221">
        <f xml:space="preserve"> tabConsumo[[#This Row],[Média.A]] + (_xlfn.STDEV.S( tabConsumo[[#This Row],[QTD.PENDENTE]]:tabConsumo[[#This Row],[09_23]] ) * 3)</f>
        <v>20.695792275857134</v>
      </c>
      <c r="X669" s="5">
        <f t="shared" si="22"/>
        <v>2</v>
      </c>
      <c r="Y669">
        <v>2.9166666666666665</v>
      </c>
      <c r="Z669" s="223">
        <f>SUM( tabConsumo[[#This Row],[QTD.PENDENTE]]:tabConsumo[[#This Row],[09_23]] )</f>
        <v>41</v>
      </c>
      <c r="AA669" s="223">
        <f>LARGE(tabConsumo[[#This Row],[10_22]:[09_23]],1)</f>
        <v>20</v>
      </c>
      <c r="AB669" s="146" t="s">
        <v>2246</v>
      </c>
      <c r="AC669" s="3" t="s">
        <v>2086</v>
      </c>
    </row>
    <row r="670" spans="1:29" x14ac:dyDescent="0.3">
      <c r="A670" s="4" t="s">
        <v>1207</v>
      </c>
      <c r="B670" s="3" t="s">
        <v>263</v>
      </c>
      <c r="C670" s="2">
        <v>25630</v>
      </c>
      <c r="D670" s="2">
        <v>124</v>
      </c>
      <c r="F670" s="2">
        <v>2</v>
      </c>
      <c r="G670" s="2">
        <v>9</v>
      </c>
      <c r="H670" s="2">
        <v>5</v>
      </c>
      <c r="I670" s="2">
        <v>6</v>
      </c>
      <c r="J670" s="2">
        <v>4</v>
      </c>
      <c r="K670" s="2">
        <v>3</v>
      </c>
      <c r="L670" s="2">
        <v>18</v>
      </c>
      <c r="M670" s="2">
        <v>10</v>
      </c>
      <c r="N670" s="2">
        <v>0</v>
      </c>
      <c r="O670" s="2">
        <v>0</v>
      </c>
      <c r="P670" s="2">
        <v>10</v>
      </c>
      <c r="Q670" s="2">
        <v>0</v>
      </c>
      <c r="R670" s="238">
        <v>367</v>
      </c>
      <c r="S670" s="219">
        <f t="shared" si="24"/>
        <v>12</v>
      </c>
      <c r="T670" s="220">
        <f>SUM( tabConsumo[[#This Row],[QTD.PENDENTE]]:tabConsumo[[#This Row],[09_23]] ) / tabConsumo[[#This Row],[Div]]</f>
        <v>5.583333333333333</v>
      </c>
      <c r="U670" s="221">
        <f xml:space="preserve"> tabConsumo[[#This Row],[Média.A]] + (_xlfn.STDEV.S( tabConsumo[[#This Row],[QTD.PENDENTE]]:tabConsumo[[#This Row],[09_23]] ) * 1)</f>
        <v>10.984651915331845</v>
      </c>
      <c r="V670" s="221">
        <f xml:space="preserve"> tabConsumo[[#This Row],[Média.A]] + (_xlfn.STDEV.S( tabConsumo[[#This Row],[QTD.PENDENTE]]:tabConsumo[[#This Row],[09_23]] ) * 2)</f>
        <v>16.385970497330359</v>
      </c>
      <c r="W670" s="221">
        <f xml:space="preserve"> tabConsumo[[#This Row],[Média.A]] + (_xlfn.STDEV.S( tabConsumo[[#This Row],[QTD.PENDENTE]]:tabConsumo[[#This Row],[09_23]] ) * 3)</f>
        <v>21.787289079328872</v>
      </c>
      <c r="X670" s="5">
        <f t="shared" si="22"/>
        <v>2</v>
      </c>
      <c r="Y670">
        <v>5.416666666666667</v>
      </c>
      <c r="Z670" s="223">
        <f>SUM( tabConsumo[[#This Row],[QTD.PENDENTE]]:tabConsumo[[#This Row],[09_23]] )</f>
        <v>67</v>
      </c>
      <c r="AA670" s="223">
        <f>LARGE(tabConsumo[[#This Row],[10_22]:[09_23]],1)</f>
        <v>18</v>
      </c>
      <c r="AB670" s="146" t="s">
        <v>2241</v>
      </c>
      <c r="AC670" s="3" t="s">
        <v>2086</v>
      </c>
    </row>
    <row r="671" spans="1:29" x14ac:dyDescent="0.3">
      <c r="A671" s="4" t="s">
        <v>1013</v>
      </c>
      <c r="B671" s="3" t="s">
        <v>263</v>
      </c>
      <c r="C671" s="2">
        <v>13120</v>
      </c>
      <c r="D671" s="2">
        <v>54</v>
      </c>
      <c r="F671" s="2">
        <v>0</v>
      </c>
      <c r="G671" s="2">
        <v>1</v>
      </c>
      <c r="H671" s="2">
        <v>4</v>
      </c>
      <c r="I671" s="2">
        <v>1</v>
      </c>
      <c r="J671" s="2">
        <v>0</v>
      </c>
      <c r="K671" s="2">
        <v>0</v>
      </c>
      <c r="L671" s="2">
        <v>8</v>
      </c>
      <c r="M671" s="2">
        <v>10</v>
      </c>
      <c r="N671" s="2">
        <v>0</v>
      </c>
      <c r="O671" s="2">
        <v>0</v>
      </c>
      <c r="P671" s="2">
        <v>0</v>
      </c>
      <c r="Q671" s="2">
        <v>0</v>
      </c>
      <c r="R671" s="238">
        <v>367</v>
      </c>
      <c r="S671" s="219">
        <f t="shared" si="24"/>
        <v>12</v>
      </c>
      <c r="T671" s="220">
        <f>SUM( tabConsumo[[#This Row],[QTD.PENDENTE]]:tabConsumo[[#This Row],[09_23]] ) / tabConsumo[[#This Row],[Div]]</f>
        <v>2</v>
      </c>
      <c r="U671" s="221">
        <f xml:space="preserve"> tabConsumo[[#This Row],[Média.A]] + (_xlfn.STDEV.S( tabConsumo[[#This Row],[QTD.PENDENTE]]:tabConsumo[[#This Row],[09_23]] ) * 1)</f>
        <v>5.490246149173176</v>
      </c>
      <c r="V671" s="221">
        <f xml:space="preserve"> tabConsumo[[#This Row],[Média.A]] + (_xlfn.STDEV.S( tabConsumo[[#This Row],[QTD.PENDENTE]]:tabConsumo[[#This Row],[09_23]] ) * 2)</f>
        <v>8.980492298346352</v>
      </c>
      <c r="W671" s="221">
        <f xml:space="preserve"> tabConsumo[[#This Row],[Média.A]] + (_xlfn.STDEV.S( tabConsumo[[#This Row],[QTD.PENDENTE]]:tabConsumo[[#This Row],[09_23]] ) * 3)</f>
        <v>12.470738447519526</v>
      </c>
      <c r="X671" s="5">
        <f t="shared" si="22"/>
        <v>2</v>
      </c>
      <c r="Y671">
        <v>1.8333333333333333</v>
      </c>
      <c r="Z671" s="223">
        <f>SUM( tabConsumo[[#This Row],[QTD.PENDENTE]]:tabConsumo[[#This Row],[09_23]] )</f>
        <v>24</v>
      </c>
      <c r="AA671" s="223">
        <f>LARGE(tabConsumo[[#This Row],[10_22]:[09_23]],1)</f>
        <v>10</v>
      </c>
      <c r="AB671" s="146" t="s">
        <v>2244</v>
      </c>
      <c r="AC671" s="3" t="s">
        <v>2086</v>
      </c>
    </row>
    <row r="672" spans="1:29" x14ac:dyDescent="0.3">
      <c r="A672" s="4" t="s">
        <v>1012</v>
      </c>
      <c r="B672" s="3" t="s">
        <v>263</v>
      </c>
      <c r="C672" s="2">
        <v>13117</v>
      </c>
      <c r="D672" s="2">
        <v>104</v>
      </c>
      <c r="F672" s="2">
        <v>1</v>
      </c>
      <c r="G672" s="2">
        <v>1</v>
      </c>
      <c r="H672" s="2">
        <v>0</v>
      </c>
      <c r="I672" s="2">
        <v>2</v>
      </c>
      <c r="J672" s="2">
        <v>0</v>
      </c>
      <c r="K672" s="2">
        <v>1</v>
      </c>
      <c r="L672" s="2">
        <v>1</v>
      </c>
      <c r="M672" s="2">
        <v>17</v>
      </c>
      <c r="N672" s="2">
        <v>0</v>
      </c>
      <c r="O672" s="2">
        <v>0</v>
      </c>
      <c r="P672" s="2">
        <v>0</v>
      </c>
      <c r="Q672" s="2">
        <v>0</v>
      </c>
      <c r="R672" s="238">
        <v>367</v>
      </c>
      <c r="S672" s="219">
        <f t="shared" si="24"/>
        <v>12</v>
      </c>
      <c r="T672" s="220">
        <f>SUM( tabConsumo[[#This Row],[QTD.PENDENTE]]:tabConsumo[[#This Row],[09_23]] ) / tabConsumo[[#This Row],[Div]]</f>
        <v>1.9166666666666667</v>
      </c>
      <c r="U672" s="221">
        <f xml:space="preserve"> tabConsumo[[#This Row],[Média.A]] + (_xlfn.STDEV.S( tabConsumo[[#This Row],[QTD.PENDENTE]]:tabConsumo[[#This Row],[09_23]] ) * 1)</f>
        <v>6.7117082976042175</v>
      </c>
      <c r="V672" s="221">
        <f xml:space="preserve"> tabConsumo[[#This Row],[Média.A]] + (_xlfn.STDEV.S( tabConsumo[[#This Row],[QTD.PENDENTE]]:tabConsumo[[#This Row],[09_23]] ) * 2)</f>
        <v>11.506749928541767</v>
      </c>
      <c r="W672" s="221">
        <f xml:space="preserve"> tabConsumo[[#This Row],[Média.A]] + (_xlfn.STDEV.S( tabConsumo[[#This Row],[QTD.PENDENTE]]:tabConsumo[[#This Row],[09_23]] ) * 3)</f>
        <v>16.301791559479319</v>
      </c>
      <c r="X672" s="5">
        <f t="shared" si="22"/>
        <v>2</v>
      </c>
      <c r="Y672">
        <v>1.4166666666666667</v>
      </c>
      <c r="Z672" s="223">
        <f>SUM( tabConsumo[[#This Row],[QTD.PENDENTE]]:tabConsumo[[#This Row],[09_23]] )</f>
        <v>23</v>
      </c>
      <c r="AA672" s="223">
        <f>LARGE(tabConsumo[[#This Row],[10_22]:[09_23]],1)</f>
        <v>17</v>
      </c>
      <c r="AB672" s="146" t="s">
        <v>2244</v>
      </c>
      <c r="AC672" s="3" t="s">
        <v>2086</v>
      </c>
    </row>
    <row r="673" spans="1:29" x14ac:dyDescent="0.3">
      <c r="A673" s="4" t="s">
        <v>1010</v>
      </c>
      <c r="B673" s="3" t="s">
        <v>263</v>
      </c>
      <c r="C673" s="2">
        <v>13116</v>
      </c>
      <c r="D673" s="2">
        <v>40</v>
      </c>
      <c r="F673" s="2">
        <v>1</v>
      </c>
      <c r="G673" s="2">
        <v>1</v>
      </c>
      <c r="H673" s="2">
        <v>0</v>
      </c>
      <c r="I673" s="2">
        <v>0</v>
      </c>
      <c r="J673" s="2">
        <v>0</v>
      </c>
      <c r="K673" s="2">
        <v>0</v>
      </c>
      <c r="L673" s="2">
        <v>6</v>
      </c>
      <c r="M673" s="2">
        <v>0</v>
      </c>
      <c r="N673" s="2">
        <v>20</v>
      </c>
      <c r="O673" s="2">
        <v>0</v>
      </c>
      <c r="P673" s="2">
        <v>0</v>
      </c>
      <c r="Q673" s="2">
        <v>0</v>
      </c>
      <c r="R673" s="238">
        <v>367</v>
      </c>
      <c r="S673" s="219">
        <f t="shared" si="24"/>
        <v>12</v>
      </c>
      <c r="T673" s="220">
        <f>SUM( tabConsumo[[#This Row],[QTD.PENDENTE]]:tabConsumo[[#This Row],[09_23]] ) / tabConsumo[[#This Row],[Div]]</f>
        <v>2.3333333333333335</v>
      </c>
      <c r="U673" s="221">
        <f xml:space="preserve"> tabConsumo[[#This Row],[Média.A]] + (_xlfn.STDEV.S( tabConsumo[[#This Row],[QTD.PENDENTE]]:tabConsumo[[#This Row],[09_23]] ) * 1)</f>
        <v>8.1538820942997674</v>
      </c>
      <c r="V673" s="221">
        <f xml:space="preserve"> tabConsumo[[#This Row],[Média.A]] + (_xlfn.STDEV.S( tabConsumo[[#This Row],[QTD.PENDENTE]]:tabConsumo[[#This Row],[09_23]] ) * 2)</f>
        <v>13.974430855266201</v>
      </c>
      <c r="W673" s="221">
        <f xml:space="preserve"> tabConsumo[[#This Row],[Média.A]] + (_xlfn.STDEV.S( tabConsumo[[#This Row],[QTD.PENDENTE]]:tabConsumo[[#This Row],[09_23]] ) * 3)</f>
        <v>19.794979616232634</v>
      </c>
      <c r="X673" s="5">
        <f t="shared" si="22"/>
        <v>2</v>
      </c>
      <c r="Y673">
        <v>1.75</v>
      </c>
      <c r="Z673" s="223">
        <f>SUM( tabConsumo[[#This Row],[QTD.PENDENTE]]:tabConsumo[[#This Row],[09_23]] )</f>
        <v>28</v>
      </c>
      <c r="AA673" s="223">
        <f>LARGE(tabConsumo[[#This Row],[10_22]:[09_23]],1)</f>
        <v>20</v>
      </c>
      <c r="AB673" s="146" t="s">
        <v>2246</v>
      </c>
      <c r="AC673" s="3" t="s">
        <v>2086</v>
      </c>
    </row>
    <row r="674" spans="1:29" x14ac:dyDescent="0.3">
      <c r="A674" s="4" t="s">
        <v>1698</v>
      </c>
      <c r="B674" s="3" t="s">
        <v>263</v>
      </c>
      <c r="C674" s="2">
        <v>113581</v>
      </c>
      <c r="D674" s="2">
        <v>729</v>
      </c>
      <c r="F674" s="2">
        <v>48</v>
      </c>
      <c r="G674" s="2">
        <v>21</v>
      </c>
      <c r="H674" s="2">
        <v>36</v>
      </c>
      <c r="I674" s="2">
        <v>24</v>
      </c>
      <c r="J674" s="2">
        <v>39</v>
      </c>
      <c r="K674" s="2">
        <v>72</v>
      </c>
      <c r="L674" s="2">
        <v>31</v>
      </c>
      <c r="M674" s="2">
        <v>0</v>
      </c>
      <c r="N674" s="2">
        <v>20</v>
      </c>
      <c r="O674" s="2">
        <v>20</v>
      </c>
      <c r="P674" s="2">
        <v>90</v>
      </c>
      <c r="Q674" s="2">
        <v>0</v>
      </c>
      <c r="R674" s="238">
        <v>40143</v>
      </c>
      <c r="S674" s="219">
        <v>12</v>
      </c>
      <c r="T674" s="220">
        <f>SUM( tabConsumo[[#This Row],[QTD.PENDENTE]]:tabConsumo[[#This Row],[09_23]] ) / tabConsumo[[#This Row],[Div]]</f>
        <v>33.416666666666664</v>
      </c>
      <c r="U674" s="221">
        <f xml:space="preserve"> tabConsumo[[#This Row],[Média.A]] + (_xlfn.STDEV.S( tabConsumo[[#This Row],[QTD.PENDENTE]]:tabConsumo[[#This Row],[09_23]] ) * 1)</f>
        <v>60.016250851158702</v>
      </c>
      <c r="V674" s="221">
        <f xml:space="preserve"> tabConsumo[[#This Row],[Média.A]] + (_xlfn.STDEV.S( tabConsumo[[#This Row],[QTD.PENDENTE]]:tabConsumo[[#This Row],[09_23]] ) * 2)</f>
        <v>86.615835035650733</v>
      </c>
      <c r="W674" s="221">
        <f xml:space="preserve"> tabConsumo[[#This Row],[Média.A]] + (_xlfn.STDEV.S( tabConsumo[[#This Row],[QTD.PENDENTE]]:tabConsumo[[#This Row],[09_23]] ) * 3)</f>
        <v>113.21541922014276</v>
      </c>
      <c r="X674" s="5">
        <f t="shared" si="22"/>
        <v>2</v>
      </c>
      <c r="Y674">
        <v>33.083333333333336</v>
      </c>
      <c r="Z674" s="223">
        <f>SUM( tabConsumo[[#This Row],[QTD.PENDENTE]]:tabConsumo[[#This Row],[09_23]] )</f>
        <v>401</v>
      </c>
      <c r="AA674" s="223">
        <f>LARGE(tabConsumo[[#This Row],[10_22]:[09_23]],1)</f>
        <v>90</v>
      </c>
      <c r="AB674" s="146" t="s">
        <v>2241</v>
      </c>
      <c r="AC674" s="3" t="s">
        <v>2086</v>
      </c>
    </row>
    <row r="675" spans="1:29" x14ac:dyDescent="0.3">
      <c r="A675" s="4" t="s">
        <v>1921</v>
      </c>
      <c r="B675" s="3" t="s">
        <v>31</v>
      </c>
      <c r="C675" s="2">
        <v>135703</v>
      </c>
      <c r="D675" s="2">
        <v>6143</v>
      </c>
      <c r="F675" s="2">
        <v>459</v>
      </c>
      <c r="G675" s="2">
        <v>572</v>
      </c>
      <c r="H675" s="2">
        <v>523</v>
      </c>
      <c r="I675" s="2">
        <v>274</v>
      </c>
      <c r="J675" s="2">
        <v>600</v>
      </c>
      <c r="K675" s="2">
        <v>4720</v>
      </c>
      <c r="L675" s="2">
        <v>579</v>
      </c>
      <c r="M675" s="2">
        <v>486</v>
      </c>
      <c r="N675" s="2">
        <v>401</v>
      </c>
      <c r="O675" s="2">
        <v>483</v>
      </c>
      <c r="P675" s="2">
        <v>521</v>
      </c>
      <c r="Q675" s="2">
        <v>514</v>
      </c>
      <c r="R675" s="238">
        <v>43333</v>
      </c>
      <c r="S675" s="219">
        <v>12</v>
      </c>
      <c r="T675" s="220">
        <f>SUM( tabConsumo[[#This Row],[QTD.PENDENTE]]:tabConsumo[[#This Row],[09_23]] ) / tabConsumo[[#This Row],[Div]]</f>
        <v>844.33333333333337</v>
      </c>
      <c r="U675" s="221">
        <f xml:space="preserve"> tabConsumo[[#This Row],[Média.A]] + (_xlfn.STDEV.S( tabConsumo[[#This Row],[QTD.PENDENTE]]:tabConsumo[[#This Row],[09_23]] ) * 1)</f>
        <v>2068.0106774172395</v>
      </c>
      <c r="V675" s="221">
        <f xml:space="preserve"> tabConsumo[[#This Row],[Média.A]] + (_xlfn.STDEV.S( tabConsumo[[#This Row],[QTD.PENDENTE]]:tabConsumo[[#This Row],[09_23]] ) * 2)</f>
        <v>3291.6880215011456</v>
      </c>
      <c r="W675" s="221">
        <f xml:space="preserve"> tabConsumo[[#This Row],[Média.A]] + (_xlfn.STDEV.S( tabConsumo[[#This Row],[QTD.PENDENTE]]:tabConsumo[[#This Row],[09_23]] ) * 3)</f>
        <v>4515.3653655850512</v>
      </c>
      <c r="X675" s="5">
        <f t="shared" si="22"/>
        <v>2</v>
      </c>
      <c r="Y675">
        <v>725.25</v>
      </c>
      <c r="Z675" s="223">
        <f>SUM( tabConsumo[[#This Row],[QTD.PENDENTE]]:tabConsumo[[#This Row],[09_23]] )</f>
        <v>10132</v>
      </c>
      <c r="AA675" s="223">
        <f>LARGE(tabConsumo[[#This Row],[10_22]:[09_23]],1)</f>
        <v>4720</v>
      </c>
      <c r="AB675" s="146" t="s">
        <v>2238</v>
      </c>
      <c r="AC675" s="3" t="s">
        <v>2086</v>
      </c>
    </row>
    <row r="676" spans="1:29" x14ac:dyDescent="0.3">
      <c r="A676" s="4" t="s">
        <v>1700</v>
      </c>
      <c r="B676" s="3" t="s">
        <v>611</v>
      </c>
      <c r="C676" s="2">
        <v>113846</v>
      </c>
      <c r="D676" s="2">
        <v>2255</v>
      </c>
      <c r="F676" s="2">
        <v>225</v>
      </c>
      <c r="G676" s="2">
        <v>40</v>
      </c>
      <c r="H676" s="2">
        <v>137</v>
      </c>
      <c r="I676" s="2">
        <v>155</v>
      </c>
      <c r="J676" s="2">
        <v>5</v>
      </c>
      <c r="K676" s="2">
        <v>16</v>
      </c>
      <c r="L676" s="2">
        <v>10</v>
      </c>
      <c r="M676" s="2">
        <v>0</v>
      </c>
      <c r="N676" s="2">
        <v>0</v>
      </c>
      <c r="O676" s="2">
        <v>40</v>
      </c>
      <c r="P676" s="2">
        <v>300</v>
      </c>
      <c r="Q676" s="2">
        <v>140</v>
      </c>
      <c r="R676" s="238">
        <v>40198</v>
      </c>
      <c r="S676" s="219">
        <v>12</v>
      </c>
      <c r="T676" s="220">
        <f>SUM( tabConsumo[[#This Row],[QTD.PENDENTE]]:tabConsumo[[#This Row],[09_23]] ) / tabConsumo[[#This Row],[Div]]</f>
        <v>89</v>
      </c>
      <c r="U676" s="221">
        <f xml:space="preserve"> tabConsumo[[#This Row],[Média.A]] + (_xlfn.STDEV.S( tabConsumo[[#This Row],[QTD.PENDENTE]]:tabConsumo[[#This Row],[09_23]] ) * 1)</f>
        <v>189.70117810992716</v>
      </c>
      <c r="V676" s="221">
        <f xml:space="preserve"> tabConsumo[[#This Row],[Média.A]] + (_xlfn.STDEV.S( tabConsumo[[#This Row],[QTD.PENDENTE]]:tabConsumo[[#This Row],[09_23]] ) * 2)</f>
        <v>290.40235621985431</v>
      </c>
      <c r="W676" s="221">
        <f xml:space="preserve"> tabConsumo[[#This Row],[Média.A]] + (_xlfn.STDEV.S( tabConsumo[[#This Row],[QTD.PENDENTE]]:tabConsumo[[#This Row],[09_23]] ) * 3)</f>
        <v>391.1035343297815</v>
      </c>
      <c r="X676" s="5">
        <f t="shared" si="22"/>
        <v>2</v>
      </c>
      <c r="Y676">
        <v>88.166666666666671</v>
      </c>
      <c r="Z676" s="223">
        <f>SUM( tabConsumo[[#This Row],[QTD.PENDENTE]]:tabConsumo[[#This Row],[09_23]] )</f>
        <v>1068</v>
      </c>
      <c r="AA676" s="223">
        <f>LARGE(tabConsumo[[#This Row],[10_22]:[09_23]],1)</f>
        <v>300</v>
      </c>
      <c r="AB676" s="146" t="s">
        <v>2238</v>
      </c>
      <c r="AC676" s="3" t="s">
        <v>2086</v>
      </c>
    </row>
    <row r="677" spans="1:29" x14ac:dyDescent="0.3">
      <c r="A677" s="4" t="s">
        <v>1307</v>
      </c>
      <c r="B677" s="3" t="s">
        <v>611</v>
      </c>
      <c r="C677" s="2">
        <v>53446</v>
      </c>
      <c r="D677" s="2">
        <v>1853</v>
      </c>
      <c r="F677" s="2">
        <v>100</v>
      </c>
      <c r="G677" s="2">
        <v>44</v>
      </c>
      <c r="H677" s="2">
        <v>283</v>
      </c>
      <c r="I677" s="2">
        <v>482</v>
      </c>
      <c r="J677" s="2">
        <v>50</v>
      </c>
      <c r="K677" s="2">
        <v>50</v>
      </c>
      <c r="L677" s="2">
        <v>13</v>
      </c>
      <c r="M677" s="2">
        <v>0</v>
      </c>
      <c r="N677" s="2">
        <v>30</v>
      </c>
      <c r="O677" s="2">
        <v>40</v>
      </c>
      <c r="P677" s="2">
        <v>180</v>
      </c>
      <c r="Q677" s="2">
        <v>130</v>
      </c>
      <c r="R677" s="238">
        <v>367</v>
      </c>
      <c r="S677" s="219">
        <f xml:space="preserve"> 12</f>
        <v>12</v>
      </c>
      <c r="T677" s="220">
        <f>SUM( tabConsumo[[#This Row],[QTD.PENDENTE]]:tabConsumo[[#This Row],[09_23]] ) / tabConsumo[[#This Row],[Div]]</f>
        <v>116.83333333333333</v>
      </c>
      <c r="U677" s="221">
        <f xml:space="preserve"> tabConsumo[[#This Row],[Média.A]] + (_xlfn.STDEV.S( tabConsumo[[#This Row],[QTD.PENDENTE]]:tabConsumo[[#This Row],[09_23]] ) * 1)</f>
        <v>257.4545740238255</v>
      </c>
      <c r="V677" s="221">
        <f xml:space="preserve"> tabConsumo[[#This Row],[Média.A]] + (_xlfn.STDEV.S( tabConsumo[[#This Row],[QTD.PENDENTE]]:tabConsumo[[#This Row],[09_23]] ) * 2)</f>
        <v>398.07581471431769</v>
      </c>
      <c r="W677" s="221">
        <f xml:space="preserve"> tabConsumo[[#This Row],[Média.A]] + (_xlfn.STDEV.S( tabConsumo[[#This Row],[QTD.PENDENTE]]:tabConsumo[[#This Row],[09_23]] ) * 3)</f>
        <v>538.69705540480993</v>
      </c>
      <c r="X677" s="5">
        <f t="shared" si="22"/>
        <v>2</v>
      </c>
      <c r="Y677">
        <v>109.83333333333333</v>
      </c>
      <c r="Z677" s="223">
        <f>SUM( tabConsumo[[#This Row],[QTD.PENDENTE]]:tabConsumo[[#This Row],[09_23]] )</f>
        <v>1402</v>
      </c>
      <c r="AA677" s="223">
        <f>LARGE(tabConsumo[[#This Row],[10_22]:[09_23]],1)</f>
        <v>482</v>
      </c>
      <c r="AB677" s="146" t="s">
        <v>2238</v>
      </c>
      <c r="AC677" s="3" t="s">
        <v>2086</v>
      </c>
    </row>
    <row r="678" spans="1:29" x14ac:dyDescent="0.3">
      <c r="A678" s="4" t="s">
        <v>1333</v>
      </c>
      <c r="B678" s="3" t="s">
        <v>611</v>
      </c>
      <c r="C678" s="2">
        <v>57598</v>
      </c>
      <c r="D678" s="2">
        <v>160</v>
      </c>
      <c r="E678" s="2">
        <v>30</v>
      </c>
      <c r="F678" s="2">
        <v>220</v>
      </c>
      <c r="G678" s="2">
        <v>90</v>
      </c>
      <c r="H678" s="2">
        <v>111</v>
      </c>
      <c r="I678" s="2">
        <v>160</v>
      </c>
      <c r="J678" s="2">
        <v>0</v>
      </c>
      <c r="K678" s="2">
        <v>83</v>
      </c>
      <c r="L678" s="2">
        <v>10</v>
      </c>
      <c r="M678" s="2">
        <v>40</v>
      </c>
      <c r="N678" s="2">
        <v>0</v>
      </c>
      <c r="O678" s="2">
        <v>40</v>
      </c>
      <c r="P678" s="2">
        <v>105</v>
      </c>
      <c r="Q678" s="2">
        <v>170</v>
      </c>
      <c r="R678" s="238">
        <v>367</v>
      </c>
      <c r="S678" s="219">
        <f xml:space="preserve"> 12</f>
        <v>12</v>
      </c>
      <c r="T678" s="220">
        <f>SUM( tabConsumo[[#This Row],[QTD.PENDENTE]]:tabConsumo[[#This Row],[09_23]] ) / tabConsumo[[#This Row],[Div]]</f>
        <v>88.25</v>
      </c>
      <c r="U678" s="221">
        <f xml:space="preserve"> tabConsumo[[#This Row],[Média.A]] + (_xlfn.STDEV.S( tabConsumo[[#This Row],[QTD.PENDENTE]]:tabConsumo[[#This Row],[09_23]] ) * 1)</f>
        <v>158.46824950896001</v>
      </c>
      <c r="V678" s="221">
        <f xml:space="preserve"> tabConsumo[[#This Row],[Média.A]] + (_xlfn.STDEV.S( tabConsumo[[#This Row],[QTD.PENDENTE]]:tabConsumo[[#This Row],[09_23]] ) * 2)</f>
        <v>228.68649901792003</v>
      </c>
      <c r="W678" s="221">
        <f xml:space="preserve"> tabConsumo[[#This Row],[Média.A]] + (_xlfn.STDEV.S( tabConsumo[[#This Row],[QTD.PENDENTE]]:tabConsumo[[#This Row],[09_23]] ) * 3)</f>
        <v>298.90474852688004</v>
      </c>
      <c r="X678" s="5">
        <f t="shared" si="22"/>
        <v>2</v>
      </c>
      <c r="Y678">
        <v>88.25</v>
      </c>
      <c r="Z678" s="223">
        <f>SUM( tabConsumo[[#This Row],[QTD.PENDENTE]]:tabConsumo[[#This Row],[09_23]] )</f>
        <v>1059</v>
      </c>
      <c r="AA678" s="223">
        <f>LARGE(tabConsumo[[#This Row],[10_22]:[09_23]],1)</f>
        <v>220</v>
      </c>
      <c r="AB678" s="146" t="s">
        <v>2238</v>
      </c>
      <c r="AC678" s="3" t="s">
        <v>2086</v>
      </c>
    </row>
    <row r="679" spans="1:29" x14ac:dyDescent="0.3">
      <c r="A679" s="4" t="s">
        <v>1652</v>
      </c>
      <c r="B679" s="3" t="s">
        <v>31</v>
      </c>
      <c r="C679" s="2">
        <v>107483</v>
      </c>
      <c r="D679" s="2">
        <v>51</v>
      </c>
      <c r="F679" s="2">
        <v>19</v>
      </c>
      <c r="G679" s="2">
        <v>11</v>
      </c>
      <c r="H679" s="2">
        <v>18</v>
      </c>
      <c r="I679" s="2">
        <v>2</v>
      </c>
      <c r="J679" s="2">
        <v>0</v>
      </c>
      <c r="K679" s="2">
        <v>26</v>
      </c>
      <c r="L679" s="2">
        <v>20</v>
      </c>
      <c r="M679" s="2">
        <v>20</v>
      </c>
      <c r="N679" s="2">
        <v>10</v>
      </c>
      <c r="O679" s="2">
        <v>92</v>
      </c>
      <c r="P679" s="2">
        <v>50</v>
      </c>
      <c r="Q679" s="2">
        <v>0</v>
      </c>
      <c r="R679" s="238">
        <v>39679</v>
      </c>
      <c r="S679" s="219">
        <v>12</v>
      </c>
      <c r="T679" s="220">
        <f>SUM( tabConsumo[[#This Row],[QTD.PENDENTE]]:tabConsumo[[#This Row],[09_23]] ) / tabConsumo[[#This Row],[Div]]</f>
        <v>22.333333333333332</v>
      </c>
      <c r="U679" s="221">
        <f xml:space="preserve"> tabConsumo[[#This Row],[Média.A]] + (_xlfn.STDEV.S( tabConsumo[[#This Row],[QTD.PENDENTE]]:tabConsumo[[#This Row],[09_23]] ) * 1)</f>
        <v>48.20832418386604</v>
      </c>
      <c r="V679" s="221">
        <f xml:space="preserve"> tabConsumo[[#This Row],[Média.A]] + (_xlfn.STDEV.S( tabConsumo[[#This Row],[QTD.PENDENTE]]:tabConsumo[[#This Row],[09_23]] ) * 2)</f>
        <v>74.083315034398751</v>
      </c>
      <c r="W679" s="221">
        <f xml:space="preserve"> tabConsumo[[#This Row],[Média.A]] + (_xlfn.STDEV.S( tabConsumo[[#This Row],[QTD.PENDENTE]]:tabConsumo[[#This Row],[09_23]] ) * 3)</f>
        <v>99.958305884931463</v>
      </c>
      <c r="X679" s="5">
        <f t="shared" si="22"/>
        <v>2</v>
      </c>
      <c r="Y679">
        <v>20.833333333333332</v>
      </c>
      <c r="Z679" s="223">
        <f>SUM( tabConsumo[[#This Row],[QTD.PENDENTE]]:tabConsumo[[#This Row],[09_23]] )</f>
        <v>268</v>
      </c>
      <c r="AA679" s="223">
        <f>LARGE(tabConsumo[[#This Row],[10_22]:[09_23]],1)</f>
        <v>92</v>
      </c>
      <c r="AB679" s="146" t="s">
        <v>2241</v>
      </c>
      <c r="AC679" s="3" t="s">
        <v>2086</v>
      </c>
    </row>
    <row r="680" spans="1:29" x14ac:dyDescent="0.3">
      <c r="A680" s="4" t="s">
        <v>1634</v>
      </c>
      <c r="B680" s="3" t="s">
        <v>263</v>
      </c>
      <c r="C680" s="2">
        <v>106131</v>
      </c>
      <c r="D680" s="2">
        <v>1</v>
      </c>
      <c r="F680" s="2">
        <v>0</v>
      </c>
      <c r="G680" s="2">
        <v>3</v>
      </c>
      <c r="H680" s="2">
        <v>0</v>
      </c>
      <c r="I680" s="2">
        <v>2</v>
      </c>
      <c r="J680" s="2">
        <v>3</v>
      </c>
      <c r="K680" s="2">
        <v>1</v>
      </c>
      <c r="L680" s="2">
        <v>6</v>
      </c>
      <c r="M680" s="2">
        <v>0</v>
      </c>
      <c r="N680" s="2">
        <v>0</v>
      </c>
      <c r="O680" s="2">
        <v>0</v>
      </c>
      <c r="P680" s="2">
        <v>0</v>
      </c>
      <c r="Q680" s="2">
        <v>0</v>
      </c>
      <c r="R680" s="238">
        <v>39562</v>
      </c>
      <c r="S680" s="219">
        <v>12</v>
      </c>
      <c r="T680" s="220">
        <f>SUM( tabConsumo[[#This Row],[QTD.PENDENTE]]:tabConsumo[[#This Row],[09_23]] ) / tabConsumo[[#This Row],[Div]]</f>
        <v>1.25</v>
      </c>
      <c r="U680" s="221">
        <f xml:space="preserve"> tabConsumo[[#This Row],[Média.A]] + (_xlfn.STDEV.S( tabConsumo[[#This Row],[QTD.PENDENTE]]:tabConsumo[[#This Row],[09_23]] ) * 1)</f>
        <v>3.1628750375000738</v>
      </c>
      <c r="V680" s="221">
        <f xml:space="preserve"> tabConsumo[[#This Row],[Média.A]] + (_xlfn.STDEV.S( tabConsumo[[#This Row],[QTD.PENDENTE]]:tabConsumo[[#This Row],[09_23]] ) * 2)</f>
        <v>5.0757500750001476</v>
      </c>
      <c r="W680" s="221">
        <f xml:space="preserve"> tabConsumo[[#This Row],[Média.A]] + (_xlfn.STDEV.S( tabConsumo[[#This Row],[QTD.PENDENTE]]:tabConsumo[[#This Row],[09_23]] ) * 3)</f>
        <v>6.9886251125002214</v>
      </c>
      <c r="X680" s="5">
        <f t="shared" si="22"/>
        <v>2</v>
      </c>
      <c r="Y680">
        <v>1.1666666666666667</v>
      </c>
      <c r="Z680" s="223">
        <f>SUM( tabConsumo[[#This Row],[QTD.PENDENTE]]:tabConsumo[[#This Row],[09_23]] )</f>
        <v>15</v>
      </c>
      <c r="AA680" s="223">
        <f>LARGE(tabConsumo[[#This Row],[10_22]:[09_23]],1)</f>
        <v>6</v>
      </c>
      <c r="AB680" s="146" t="s">
        <v>2240</v>
      </c>
      <c r="AC680" s="3" t="s">
        <v>2086</v>
      </c>
    </row>
    <row r="681" spans="1:29" x14ac:dyDescent="0.3">
      <c r="A681" s="4" t="s">
        <v>1631</v>
      </c>
      <c r="B681" s="3" t="s">
        <v>263</v>
      </c>
      <c r="C681" s="2">
        <v>106129</v>
      </c>
      <c r="D681" s="2">
        <v>1</v>
      </c>
      <c r="F681" s="2">
        <v>0</v>
      </c>
      <c r="G681" s="2">
        <v>5</v>
      </c>
      <c r="H681" s="2">
        <v>4</v>
      </c>
      <c r="I681" s="2">
        <v>0</v>
      </c>
      <c r="J681" s="2">
        <v>0</v>
      </c>
      <c r="K681" s="2">
        <v>0</v>
      </c>
      <c r="L681" s="2">
        <v>6</v>
      </c>
      <c r="M681" s="2">
        <v>0</v>
      </c>
      <c r="N681" s="2">
        <v>0</v>
      </c>
      <c r="O681" s="2">
        <v>0</v>
      </c>
      <c r="P681" s="2">
        <v>0</v>
      </c>
      <c r="Q681" s="2">
        <v>0</v>
      </c>
      <c r="R681" s="238">
        <v>39562</v>
      </c>
      <c r="S681" s="219">
        <v>12</v>
      </c>
      <c r="T681" s="220">
        <f>SUM( tabConsumo[[#This Row],[QTD.PENDENTE]]:tabConsumo[[#This Row],[09_23]] ) / tabConsumo[[#This Row],[Div]]</f>
        <v>1.25</v>
      </c>
      <c r="U681" s="221">
        <f xml:space="preserve"> tabConsumo[[#This Row],[Média.A]] + (_xlfn.STDEV.S( tabConsumo[[#This Row],[QTD.PENDENTE]]:tabConsumo[[#This Row],[09_23]] ) * 1)</f>
        <v>3.5511854652449344</v>
      </c>
      <c r="V681" s="221">
        <f xml:space="preserve"> tabConsumo[[#This Row],[Média.A]] + (_xlfn.STDEV.S( tabConsumo[[#This Row],[QTD.PENDENTE]]:tabConsumo[[#This Row],[09_23]] ) * 2)</f>
        <v>5.8523709304898688</v>
      </c>
      <c r="W681" s="221">
        <f xml:space="preserve"> tabConsumo[[#This Row],[Média.A]] + (_xlfn.STDEV.S( tabConsumo[[#This Row],[QTD.PENDENTE]]:tabConsumo[[#This Row],[09_23]] ) * 3)</f>
        <v>8.1535563957348032</v>
      </c>
      <c r="X681" s="5">
        <f t="shared" si="22"/>
        <v>2</v>
      </c>
      <c r="Y681">
        <v>1.1666666666666667</v>
      </c>
      <c r="Z681" s="223">
        <f>SUM( tabConsumo[[#This Row],[QTD.PENDENTE]]:tabConsumo[[#This Row],[09_23]] )</f>
        <v>15</v>
      </c>
      <c r="AA681" s="223">
        <f>LARGE(tabConsumo[[#This Row],[10_22]:[09_23]],1)</f>
        <v>6</v>
      </c>
      <c r="AB681" s="146" t="s">
        <v>2240</v>
      </c>
      <c r="AC681" s="3" t="s">
        <v>2086</v>
      </c>
    </row>
    <row r="682" spans="1:29" x14ac:dyDescent="0.3">
      <c r="A682" s="4" t="s">
        <v>1633</v>
      </c>
      <c r="B682" s="3" t="s">
        <v>263</v>
      </c>
      <c r="C682" s="2">
        <v>106130</v>
      </c>
      <c r="D682" s="2">
        <v>2</v>
      </c>
      <c r="F682" s="2">
        <v>0</v>
      </c>
      <c r="G682" s="2">
        <v>3</v>
      </c>
      <c r="H682" s="2">
        <v>0</v>
      </c>
      <c r="I682" s="2">
        <v>3</v>
      </c>
      <c r="J682" s="2">
        <v>0</v>
      </c>
      <c r="K682" s="2">
        <v>0</v>
      </c>
      <c r="L682" s="2">
        <v>6</v>
      </c>
      <c r="M682" s="2">
        <v>0</v>
      </c>
      <c r="N682" s="2">
        <v>0</v>
      </c>
      <c r="O682" s="2">
        <v>0</v>
      </c>
      <c r="P682" s="2">
        <v>0</v>
      </c>
      <c r="Q682" s="2">
        <v>0</v>
      </c>
      <c r="R682" s="238">
        <v>39562</v>
      </c>
      <c r="S682" s="219">
        <v>12</v>
      </c>
      <c r="T682" s="220">
        <f>SUM( tabConsumo[[#This Row],[QTD.PENDENTE]]:tabConsumo[[#This Row],[09_23]] ) / tabConsumo[[#This Row],[Div]]</f>
        <v>1</v>
      </c>
      <c r="U682" s="221">
        <f xml:space="preserve"> tabConsumo[[#This Row],[Média.A]] + (_xlfn.STDEV.S( tabConsumo[[#This Row],[QTD.PENDENTE]]:tabConsumo[[#This Row],[09_23]] ) * 1)</f>
        <v>2.9540168418367889</v>
      </c>
      <c r="V682" s="221">
        <f xml:space="preserve"> tabConsumo[[#This Row],[Média.A]] + (_xlfn.STDEV.S( tabConsumo[[#This Row],[QTD.PENDENTE]]:tabConsumo[[#This Row],[09_23]] ) * 2)</f>
        <v>4.9080336836735778</v>
      </c>
      <c r="W682" s="221">
        <f xml:space="preserve"> tabConsumo[[#This Row],[Média.A]] + (_xlfn.STDEV.S( tabConsumo[[#This Row],[QTD.PENDENTE]]:tabConsumo[[#This Row],[09_23]] ) * 3)</f>
        <v>6.8620505255103668</v>
      </c>
      <c r="X682" s="5">
        <f t="shared" si="22"/>
        <v>2</v>
      </c>
      <c r="Y682">
        <v>0.83333333333333337</v>
      </c>
      <c r="Z682" s="223">
        <f>SUM( tabConsumo[[#This Row],[QTD.PENDENTE]]:tabConsumo[[#This Row],[09_23]] )</f>
        <v>12</v>
      </c>
      <c r="AA682" s="223">
        <f>LARGE(tabConsumo[[#This Row],[10_22]:[09_23]],1)</f>
        <v>6</v>
      </c>
      <c r="AB682" s="146" t="s">
        <v>2240</v>
      </c>
      <c r="AC682" s="3" t="s">
        <v>2086</v>
      </c>
    </row>
    <row r="683" spans="1:29" x14ac:dyDescent="0.3">
      <c r="A683" s="4" t="s">
        <v>1394</v>
      </c>
      <c r="B683" s="3" t="s">
        <v>263</v>
      </c>
      <c r="C683" s="2">
        <v>65173</v>
      </c>
      <c r="D683" s="2">
        <v>50</v>
      </c>
      <c r="F683" s="2">
        <v>5</v>
      </c>
      <c r="G683" s="2">
        <v>4</v>
      </c>
      <c r="H683" s="2">
        <v>1</v>
      </c>
      <c r="I683" s="2">
        <v>6</v>
      </c>
      <c r="J683" s="2">
        <v>2</v>
      </c>
      <c r="K683" s="2">
        <v>11</v>
      </c>
      <c r="L683" s="2">
        <v>19</v>
      </c>
      <c r="M683" s="2">
        <v>30</v>
      </c>
      <c r="N683" s="2">
        <v>0</v>
      </c>
      <c r="O683" s="2">
        <v>0</v>
      </c>
      <c r="P683" s="2">
        <v>0</v>
      </c>
      <c r="Q683" s="2">
        <v>54</v>
      </c>
      <c r="R683" s="238">
        <v>367</v>
      </c>
      <c r="S683" s="219">
        <f xml:space="preserve"> 12</f>
        <v>12</v>
      </c>
      <c r="T683" s="220">
        <f>SUM( tabConsumo[[#This Row],[QTD.PENDENTE]]:tabConsumo[[#This Row],[09_23]] ) / tabConsumo[[#This Row],[Div]]</f>
        <v>11</v>
      </c>
      <c r="U683" s="221">
        <f xml:space="preserve"> tabConsumo[[#This Row],[Média.A]] + (_xlfn.STDEV.S( tabConsumo[[#This Row],[QTD.PENDENTE]]:tabConsumo[[#This Row],[09_23]] ) * 1)</f>
        <v>27.31507947212695</v>
      </c>
      <c r="V683" s="221">
        <f xml:space="preserve"> tabConsumo[[#This Row],[Média.A]] + (_xlfn.STDEV.S( tabConsumo[[#This Row],[QTD.PENDENTE]]:tabConsumo[[#This Row],[09_23]] ) * 2)</f>
        <v>43.6301589442539</v>
      </c>
      <c r="W683" s="221">
        <f xml:space="preserve"> tabConsumo[[#This Row],[Média.A]] + (_xlfn.STDEV.S( tabConsumo[[#This Row],[QTD.PENDENTE]]:tabConsumo[[#This Row],[09_23]] ) * 3)</f>
        <v>59.945238416380846</v>
      </c>
      <c r="X683" s="5">
        <f t="shared" si="22"/>
        <v>2</v>
      </c>
      <c r="Y683">
        <v>10.083333333333334</v>
      </c>
      <c r="Z683" s="223">
        <f>SUM( tabConsumo[[#This Row],[QTD.PENDENTE]]:tabConsumo[[#This Row],[09_23]] )</f>
        <v>132</v>
      </c>
      <c r="AA683" s="223">
        <f>LARGE(tabConsumo[[#This Row],[10_22]:[09_23]],1)</f>
        <v>54</v>
      </c>
      <c r="AB683" s="146" t="s">
        <v>2238</v>
      </c>
      <c r="AC683" s="3" t="s">
        <v>2086</v>
      </c>
    </row>
    <row r="684" spans="1:29" x14ac:dyDescent="0.3">
      <c r="A684" s="4" t="s">
        <v>1083</v>
      </c>
      <c r="B684" s="3" t="s">
        <v>263</v>
      </c>
      <c r="C684" s="2">
        <v>15066</v>
      </c>
      <c r="D684" s="2">
        <v>129</v>
      </c>
      <c r="F684" s="2">
        <v>0</v>
      </c>
      <c r="G684" s="2">
        <v>0</v>
      </c>
      <c r="H684" s="2">
        <v>0</v>
      </c>
      <c r="I684" s="2">
        <v>0</v>
      </c>
      <c r="J684" s="2">
        <v>30</v>
      </c>
      <c r="K684" s="2">
        <v>20</v>
      </c>
      <c r="L684" s="2">
        <v>10</v>
      </c>
      <c r="M684" s="2">
        <v>35</v>
      </c>
      <c r="N684" s="2">
        <v>0</v>
      </c>
      <c r="O684" s="2">
        <v>0</v>
      </c>
      <c r="P684" s="2">
        <v>50</v>
      </c>
      <c r="Q684" s="2">
        <v>0</v>
      </c>
      <c r="R684" s="238">
        <v>367</v>
      </c>
      <c r="S684" s="219">
        <f xml:space="preserve"> 12</f>
        <v>12</v>
      </c>
      <c r="T684" s="220">
        <f>SUM( tabConsumo[[#This Row],[QTD.PENDENTE]]:tabConsumo[[#This Row],[09_23]] ) / tabConsumo[[#This Row],[Div]]</f>
        <v>12.083333333333334</v>
      </c>
      <c r="U684" s="221">
        <f xml:space="preserve"> tabConsumo[[#This Row],[Média.A]] + (_xlfn.STDEV.S( tabConsumo[[#This Row],[QTD.PENDENTE]]:tabConsumo[[#This Row],[09_23]] ) * 1)</f>
        <v>29.594152499745505</v>
      </c>
      <c r="V684" s="221">
        <f xml:space="preserve"> tabConsumo[[#This Row],[Média.A]] + (_xlfn.STDEV.S( tabConsumo[[#This Row],[QTD.PENDENTE]]:tabConsumo[[#This Row],[09_23]] ) * 2)</f>
        <v>47.104971666157681</v>
      </c>
      <c r="W684" s="221">
        <f xml:space="preserve"> tabConsumo[[#This Row],[Média.A]] + (_xlfn.STDEV.S( tabConsumo[[#This Row],[QTD.PENDENTE]]:tabConsumo[[#This Row],[09_23]] ) * 3)</f>
        <v>64.615790832569843</v>
      </c>
      <c r="X684" s="5">
        <f t="shared" si="22"/>
        <v>2</v>
      </c>
      <c r="Y684">
        <v>11.833333333333334</v>
      </c>
      <c r="Z684" s="223">
        <f>SUM( tabConsumo[[#This Row],[QTD.PENDENTE]]:tabConsumo[[#This Row],[09_23]] )</f>
        <v>145</v>
      </c>
      <c r="AA684" s="223">
        <f>LARGE(tabConsumo[[#This Row],[10_22]:[09_23]],1)</f>
        <v>50</v>
      </c>
      <c r="AB684" s="146" t="s">
        <v>2241</v>
      </c>
      <c r="AC684" s="3" t="s">
        <v>2086</v>
      </c>
    </row>
    <row r="685" spans="1:29" x14ac:dyDescent="0.3">
      <c r="A685" s="4" t="s">
        <v>1311</v>
      </c>
      <c r="B685" s="3" t="s">
        <v>263</v>
      </c>
      <c r="C685" s="2">
        <v>53849</v>
      </c>
      <c r="D685" s="2">
        <v>20</v>
      </c>
      <c r="E685" s="2">
        <v>15</v>
      </c>
      <c r="F685" s="2">
        <v>0</v>
      </c>
      <c r="G685" s="2">
        <v>5</v>
      </c>
      <c r="H685" s="2">
        <v>5</v>
      </c>
      <c r="I685" s="2">
        <v>0</v>
      </c>
      <c r="J685" s="2">
        <v>4</v>
      </c>
      <c r="K685" s="2">
        <v>18</v>
      </c>
      <c r="L685" s="2">
        <v>10</v>
      </c>
      <c r="M685" s="2">
        <v>0</v>
      </c>
      <c r="N685" s="2">
        <v>0</v>
      </c>
      <c r="O685" s="2">
        <v>0</v>
      </c>
      <c r="P685" s="2">
        <v>35</v>
      </c>
      <c r="Q685" s="2">
        <v>0</v>
      </c>
      <c r="R685" s="238">
        <v>367</v>
      </c>
      <c r="S685" s="219">
        <f xml:space="preserve"> 12</f>
        <v>12</v>
      </c>
      <c r="T685" s="220">
        <f>SUM( tabConsumo[[#This Row],[QTD.PENDENTE]]:tabConsumo[[#This Row],[09_23]] ) / tabConsumo[[#This Row],[Div]]</f>
        <v>7.666666666666667</v>
      </c>
      <c r="U685" s="221">
        <f xml:space="preserve"> tabConsumo[[#This Row],[Média.A]] + (_xlfn.STDEV.S( tabConsumo[[#This Row],[QTD.PENDENTE]]:tabConsumo[[#This Row],[09_23]] ) * 1)</f>
        <v>18.030558619512199</v>
      </c>
      <c r="V685" s="221">
        <f xml:space="preserve"> tabConsumo[[#This Row],[Média.A]] + (_xlfn.STDEV.S( tabConsumo[[#This Row],[QTD.PENDENTE]]:tabConsumo[[#This Row],[09_23]] ) * 2)</f>
        <v>28.394450572357734</v>
      </c>
      <c r="W685" s="221">
        <f xml:space="preserve"> tabConsumo[[#This Row],[Média.A]] + (_xlfn.STDEV.S( tabConsumo[[#This Row],[QTD.PENDENTE]]:tabConsumo[[#This Row],[09_23]] ) * 3)</f>
        <v>38.758342525203261</v>
      </c>
      <c r="X685" s="5">
        <f t="shared" si="22"/>
        <v>2</v>
      </c>
      <c r="Y685">
        <v>7.083333333333333</v>
      </c>
      <c r="Z685" s="223">
        <f>SUM( tabConsumo[[#This Row],[QTD.PENDENTE]]:tabConsumo[[#This Row],[09_23]] )</f>
        <v>92</v>
      </c>
      <c r="AA685" s="223">
        <f>LARGE(tabConsumo[[#This Row],[10_22]:[09_23]],1)</f>
        <v>35</v>
      </c>
      <c r="AB685" s="146" t="s">
        <v>2241</v>
      </c>
      <c r="AC685" s="3" t="s">
        <v>2086</v>
      </c>
    </row>
    <row r="686" spans="1:29" x14ac:dyDescent="0.3">
      <c r="A686" s="4" t="s">
        <v>1719</v>
      </c>
      <c r="B686" s="3" t="s">
        <v>263</v>
      </c>
      <c r="C686" s="2">
        <v>115805</v>
      </c>
      <c r="D686" s="2">
        <v>155</v>
      </c>
      <c r="F686" s="2">
        <v>1</v>
      </c>
      <c r="G686" s="2">
        <v>10</v>
      </c>
      <c r="H686" s="2">
        <v>0</v>
      </c>
      <c r="I686" s="2">
        <v>14</v>
      </c>
      <c r="J686" s="2">
        <v>35</v>
      </c>
      <c r="K686" s="2">
        <v>29</v>
      </c>
      <c r="L686" s="2">
        <v>21</v>
      </c>
      <c r="M686" s="2">
        <v>60</v>
      </c>
      <c r="N686" s="2">
        <v>0</v>
      </c>
      <c r="O686" s="2">
        <v>24</v>
      </c>
      <c r="P686" s="2">
        <v>50</v>
      </c>
      <c r="Q686" s="2">
        <v>12</v>
      </c>
      <c r="R686" s="238">
        <v>40352</v>
      </c>
      <c r="S686" s="219">
        <v>12</v>
      </c>
      <c r="T686" s="220">
        <f>SUM( tabConsumo[[#This Row],[QTD.PENDENTE]]:tabConsumo[[#This Row],[09_23]] ) / tabConsumo[[#This Row],[Div]]</f>
        <v>21.333333333333332</v>
      </c>
      <c r="U686" s="221">
        <f xml:space="preserve"> tabConsumo[[#This Row],[Média.A]] + (_xlfn.STDEV.S( tabConsumo[[#This Row],[QTD.PENDENTE]]:tabConsumo[[#This Row],[09_23]] ) * 1)</f>
        <v>40.786462706887662</v>
      </c>
      <c r="V686" s="221">
        <f xml:space="preserve"> tabConsumo[[#This Row],[Média.A]] + (_xlfn.STDEV.S( tabConsumo[[#This Row],[QTD.PENDENTE]]:tabConsumo[[#This Row],[09_23]] ) * 2)</f>
        <v>60.239592080441994</v>
      </c>
      <c r="W686" s="221">
        <f xml:space="preserve"> tabConsumo[[#This Row],[Média.A]] + (_xlfn.STDEV.S( tabConsumo[[#This Row],[QTD.PENDENTE]]:tabConsumo[[#This Row],[09_23]] ) * 3)</f>
        <v>79.692721453996327</v>
      </c>
      <c r="X686" s="5">
        <f t="shared" si="22"/>
        <v>2</v>
      </c>
      <c r="Y686">
        <v>21.333333333333332</v>
      </c>
      <c r="Z686" s="223">
        <f>SUM( tabConsumo[[#This Row],[QTD.PENDENTE]]:tabConsumo[[#This Row],[09_23]] )</f>
        <v>256</v>
      </c>
      <c r="AA686" s="223">
        <f>LARGE(tabConsumo[[#This Row],[10_22]:[09_23]],1)</f>
        <v>60</v>
      </c>
      <c r="AB686" s="146" t="s">
        <v>2238</v>
      </c>
      <c r="AC686" s="3" t="s">
        <v>2086</v>
      </c>
    </row>
    <row r="687" spans="1:29" x14ac:dyDescent="0.3">
      <c r="A687" s="4" t="s">
        <v>1484</v>
      </c>
      <c r="B687" s="3" t="s">
        <v>263</v>
      </c>
      <c r="C687" s="2">
        <v>81807</v>
      </c>
      <c r="D687" s="2">
        <v>31</v>
      </c>
      <c r="F687" s="2">
        <v>0</v>
      </c>
      <c r="G687" s="2">
        <v>0</v>
      </c>
      <c r="H687" s="2">
        <v>0</v>
      </c>
      <c r="I687" s="2">
        <v>0</v>
      </c>
      <c r="J687" s="2">
        <v>0</v>
      </c>
      <c r="K687" s="2">
        <v>6</v>
      </c>
      <c r="L687" s="2">
        <v>0</v>
      </c>
      <c r="M687" s="2">
        <v>0</v>
      </c>
      <c r="N687" s="2">
        <v>0</v>
      </c>
      <c r="O687" s="2">
        <v>0</v>
      </c>
      <c r="P687" s="2">
        <v>0</v>
      </c>
      <c r="Q687" s="2">
        <v>0</v>
      </c>
      <c r="R687" s="238">
        <v>38246</v>
      </c>
      <c r="S687" s="219">
        <v>12</v>
      </c>
      <c r="T687" s="220">
        <f>SUM( tabConsumo[[#This Row],[QTD.PENDENTE]]:tabConsumo[[#This Row],[09_23]] ) / tabConsumo[[#This Row],[Div]]</f>
        <v>0.5</v>
      </c>
      <c r="U687" s="221">
        <f xml:space="preserve"> tabConsumo[[#This Row],[Média.A]] + (_xlfn.STDEV.S( tabConsumo[[#This Row],[QTD.PENDENTE]]:tabConsumo[[#This Row],[09_23]] ) * 1)</f>
        <v>2.2320508075688772</v>
      </c>
      <c r="V687" s="221">
        <f xml:space="preserve"> tabConsumo[[#This Row],[Média.A]] + (_xlfn.STDEV.S( tabConsumo[[#This Row],[QTD.PENDENTE]]:tabConsumo[[#This Row],[09_23]] ) * 2)</f>
        <v>3.9641016151377544</v>
      </c>
      <c r="W687" s="221">
        <f xml:space="preserve"> tabConsumo[[#This Row],[Média.A]] + (_xlfn.STDEV.S( tabConsumo[[#This Row],[QTD.PENDENTE]]:tabConsumo[[#This Row],[09_23]] ) * 3)</f>
        <v>5.696152422706632</v>
      </c>
      <c r="X687" s="5">
        <f t="shared" si="22"/>
        <v>2</v>
      </c>
      <c r="Y687">
        <v>0.25</v>
      </c>
      <c r="Z687" s="223">
        <f>SUM( tabConsumo[[#This Row],[QTD.PENDENTE]]:tabConsumo[[#This Row],[09_23]] )</f>
        <v>6</v>
      </c>
      <c r="AA687" s="223">
        <f>LARGE(tabConsumo[[#This Row],[10_22]:[09_23]],1)</f>
        <v>6</v>
      </c>
      <c r="AB687" s="146" t="s">
        <v>2245</v>
      </c>
      <c r="AC687" s="3" t="s">
        <v>2086</v>
      </c>
    </row>
    <row r="688" spans="1:29" x14ac:dyDescent="0.3">
      <c r="A688" s="4" t="s">
        <v>1934</v>
      </c>
      <c r="B688" s="3" t="s">
        <v>31</v>
      </c>
      <c r="C688" s="2">
        <v>136818</v>
      </c>
      <c r="D688" s="2">
        <v>1161</v>
      </c>
      <c r="F688" s="2">
        <v>0</v>
      </c>
      <c r="G688" s="2">
        <v>0</v>
      </c>
      <c r="H688" s="2">
        <v>0</v>
      </c>
      <c r="I688" s="2">
        <v>0</v>
      </c>
      <c r="J688" s="2">
        <v>0</v>
      </c>
      <c r="K688" s="2">
        <v>21</v>
      </c>
      <c r="L688" s="2">
        <v>0</v>
      </c>
      <c r="M688" s="2">
        <v>0</v>
      </c>
      <c r="N688" s="2">
        <v>0</v>
      </c>
      <c r="O688" s="2">
        <v>0</v>
      </c>
      <c r="P688" s="2">
        <v>0</v>
      </c>
      <c r="Q688" s="2">
        <v>0</v>
      </c>
      <c r="R688" s="238">
        <v>43572</v>
      </c>
      <c r="S688" s="219">
        <v>12</v>
      </c>
      <c r="T688" s="220">
        <f>SUM( tabConsumo[[#This Row],[QTD.PENDENTE]]:tabConsumo[[#This Row],[09_23]] ) / tabConsumo[[#This Row],[Div]]</f>
        <v>1.75</v>
      </c>
      <c r="U688" s="221">
        <f xml:space="preserve"> tabConsumo[[#This Row],[Média.A]] + (_xlfn.STDEV.S( tabConsumo[[#This Row],[QTD.PENDENTE]]:tabConsumo[[#This Row],[09_23]] ) * 1)</f>
        <v>7.8121778264910704</v>
      </c>
      <c r="V688" s="221">
        <f xml:space="preserve"> tabConsumo[[#This Row],[Média.A]] + (_xlfn.STDEV.S( tabConsumo[[#This Row],[QTD.PENDENTE]]:tabConsumo[[#This Row],[09_23]] ) * 2)</f>
        <v>13.874355652982141</v>
      </c>
      <c r="W688" s="221">
        <f xml:space="preserve"> tabConsumo[[#This Row],[Média.A]] + (_xlfn.STDEV.S( tabConsumo[[#This Row],[QTD.PENDENTE]]:tabConsumo[[#This Row],[09_23]] ) * 3)</f>
        <v>19.936533479473212</v>
      </c>
      <c r="X688" s="5">
        <f t="shared" si="22"/>
        <v>2</v>
      </c>
      <c r="Y688">
        <v>1.0833333333333333</v>
      </c>
      <c r="Z688" s="223">
        <f>SUM( tabConsumo[[#This Row],[QTD.PENDENTE]]:tabConsumo[[#This Row],[09_23]] )</f>
        <v>21</v>
      </c>
      <c r="AA688" s="223">
        <f>LARGE(tabConsumo[[#This Row],[10_22]:[09_23]],1)</f>
        <v>21</v>
      </c>
      <c r="AB688" s="146" t="s">
        <v>2245</v>
      </c>
      <c r="AC688" s="3" t="s">
        <v>2086</v>
      </c>
    </row>
    <row r="689" spans="1:29" x14ac:dyDescent="0.3">
      <c r="A689" s="4" t="s">
        <v>1882</v>
      </c>
      <c r="B689" s="3" t="s">
        <v>560</v>
      </c>
      <c r="C689" s="2">
        <v>134544</v>
      </c>
      <c r="D689" s="2">
        <v>2655.3</v>
      </c>
      <c r="F689" s="2">
        <v>109</v>
      </c>
      <c r="G689" s="2">
        <v>217</v>
      </c>
      <c r="H689" s="2">
        <v>217</v>
      </c>
      <c r="I689" s="2">
        <v>93</v>
      </c>
      <c r="J689" s="2">
        <v>4</v>
      </c>
      <c r="K689" s="2">
        <v>31</v>
      </c>
      <c r="L689" s="2">
        <v>2</v>
      </c>
      <c r="M689" s="2">
        <v>20</v>
      </c>
      <c r="N689" s="2">
        <v>0</v>
      </c>
      <c r="O689" s="2">
        <v>10</v>
      </c>
      <c r="P689" s="2">
        <v>102</v>
      </c>
      <c r="Q689" s="2">
        <v>68</v>
      </c>
      <c r="R689" s="238">
        <v>43172</v>
      </c>
      <c r="S689" s="219">
        <v>12</v>
      </c>
      <c r="T689" s="220">
        <f>SUM( tabConsumo[[#This Row],[QTD.PENDENTE]]:tabConsumo[[#This Row],[09_23]] ) / tabConsumo[[#This Row],[Div]]</f>
        <v>72.75</v>
      </c>
      <c r="U689" s="221">
        <f xml:space="preserve"> tabConsumo[[#This Row],[Média.A]] + (_xlfn.STDEV.S( tabConsumo[[#This Row],[QTD.PENDENTE]]:tabConsumo[[#This Row],[09_23]] ) * 1)</f>
        <v>151.20453228694717</v>
      </c>
      <c r="V689" s="221">
        <f xml:space="preserve"> tabConsumo[[#This Row],[Média.A]] + (_xlfn.STDEV.S( tabConsumo[[#This Row],[QTD.PENDENTE]]:tabConsumo[[#This Row],[09_23]] ) * 2)</f>
        <v>229.65906457389434</v>
      </c>
      <c r="W689" s="221">
        <f xml:space="preserve"> tabConsumo[[#This Row],[Média.A]] + (_xlfn.STDEV.S( tabConsumo[[#This Row],[QTD.PENDENTE]]:tabConsumo[[#This Row],[09_23]] ) * 3)</f>
        <v>308.11359686084154</v>
      </c>
      <c r="X689" s="5">
        <f t="shared" si="22"/>
        <v>2</v>
      </c>
      <c r="Y689">
        <v>72.75</v>
      </c>
      <c r="Z689" s="223">
        <f>SUM( tabConsumo[[#This Row],[QTD.PENDENTE]]:tabConsumo[[#This Row],[09_23]] )</f>
        <v>873</v>
      </c>
      <c r="AA689" s="223">
        <f>LARGE(tabConsumo[[#This Row],[10_22]:[09_23]],1)</f>
        <v>217</v>
      </c>
      <c r="AB689" s="146" t="s">
        <v>2238</v>
      </c>
      <c r="AC689" s="3" t="s">
        <v>2086</v>
      </c>
    </row>
    <row r="690" spans="1:29" x14ac:dyDescent="0.3">
      <c r="A690" s="4" t="s">
        <v>1435</v>
      </c>
      <c r="B690" s="3" t="s">
        <v>263</v>
      </c>
      <c r="C690" s="2">
        <v>77788</v>
      </c>
      <c r="D690" s="2">
        <v>776</v>
      </c>
      <c r="F690" s="2">
        <v>15</v>
      </c>
      <c r="G690" s="2">
        <v>0</v>
      </c>
      <c r="H690" s="2">
        <v>0</v>
      </c>
      <c r="I690" s="2">
        <v>4</v>
      </c>
      <c r="J690" s="2">
        <v>8</v>
      </c>
      <c r="K690" s="2">
        <v>0</v>
      </c>
      <c r="L690" s="2">
        <v>0</v>
      </c>
      <c r="M690" s="2">
        <v>4</v>
      </c>
      <c r="N690" s="2">
        <v>18</v>
      </c>
      <c r="O690" s="2">
        <v>0</v>
      </c>
      <c r="P690" s="2">
        <v>0</v>
      </c>
      <c r="Q690" s="2">
        <v>0</v>
      </c>
      <c r="R690" s="238">
        <v>38064</v>
      </c>
      <c r="S690" s="219">
        <v>12</v>
      </c>
      <c r="T690" s="220">
        <f>SUM( tabConsumo[[#This Row],[QTD.PENDENTE]]:tabConsumo[[#This Row],[09_23]] ) / tabConsumo[[#This Row],[Div]]</f>
        <v>4.083333333333333</v>
      </c>
      <c r="U690" s="221">
        <f xml:space="preserve"> tabConsumo[[#This Row],[Média.A]] + (_xlfn.STDEV.S( tabConsumo[[#This Row],[QTD.PENDENTE]]:tabConsumo[[#This Row],[09_23]] ) * 1)</f>
        <v>10.443126545142164</v>
      </c>
      <c r="V690" s="221">
        <f xml:space="preserve"> tabConsumo[[#This Row],[Média.A]] + (_xlfn.STDEV.S( tabConsumo[[#This Row],[QTD.PENDENTE]]:tabConsumo[[#This Row],[09_23]] ) * 2)</f>
        <v>16.802919756950995</v>
      </c>
      <c r="W690" s="221">
        <f xml:space="preserve"> tabConsumo[[#This Row],[Média.A]] + (_xlfn.STDEV.S( tabConsumo[[#This Row],[QTD.PENDENTE]]:tabConsumo[[#This Row],[09_23]] ) * 3)</f>
        <v>23.162712968759827</v>
      </c>
      <c r="X690" s="5">
        <f t="shared" si="22"/>
        <v>2</v>
      </c>
      <c r="Y690">
        <v>3.9166666666666665</v>
      </c>
      <c r="Z690" s="223">
        <f>SUM( tabConsumo[[#This Row],[QTD.PENDENTE]]:tabConsumo[[#This Row],[09_23]] )</f>
        <v>49</v>
      </c>
      <c r="AA690" s="223">
        <f>LARGE(tabConsumo[[#This Row],[10_22]:[09_23]],1)</f>
        <v>18</v>
      </c>
      <c r="AB690" s="146" t="s">
        <v>2246</v>
      </c>
      <c r="AC690" s="3" t="s">
        <v>2086</v>
      </c>
    </row>
    <row r="691" spans="1:29" x14ac:dyDescent="0.3">
      <c r="A691" s="4" t="s">
        <v>1439</v>
      </c>
      <c r="B691" s="3" t="s">
        <v>263</v>
      </c>
      <c r="C691" s="2">
        <v>77823</v>
      </c>
      <c r="D691" s="2">
        <v>37</v>
      </c>
      <c r="F691" s="2">
        <v>4</v>
      </c>
      <c r="G691" s="2">
        <v>0</v>
      </c>
      <c r="H691" s="2">
        <v>13</v>
      </c>
      <c r="I691" s="2">
        <v>3</v>
      </c>
      <c r="J691" s="2">
        <v>0</v>
      </c>
      <c r="K691" s="2">
        <v>1</v>
      </c>
      <c r="L691" s="2">
        <v>0</v>
      </c>
      <c r="M691" s="2">
        <v>0</v>
      </c>
      <c r="N691" s="2">
        <v>0</v>
      </c>
      <c r="O691" s="2">
        <v>0</v>
      </c>
      <c r="P691" s="2">
        <v>3</v>
      </c>
      <c r="Q691" s="2">
        <v>0</v>
      </c>
      <c r="R691" s="238">
        <v>38065</v>
      </c>
      <c r="S691" s="219">
        <v>12</v>
      </c>
      <c r="T691" s="220">
        <f>SUM( tabConsumo[[#This Row],[QTD.PENDENTE]]:tabConsumo[[#This Row],[09_23]] ) / tabConsumo[[#This Row],[Div]]</f>
        <v>2</v>
      </c>
      <c r="U691" s="221">
        <f xml:space="preserve"> tabConsumo[[#This Row],[Média.A]] + (_xlfn.STDEV.S( tabConsumo[[#This Row],[QTD.PENDENTE]]:tabConsumo[[#This Row],[09_23]] ) * 1)</f>
        <v>5.7658754867650872</v>
      </c>
      <c r="V691" s="221">
        <f xml:space="preserve"> tabConsumo[[#This Row],[Média.A]] + (_xlfn.STDEV.S( tabConsumo[[#This Row],[QTD.PENDENTE]]:tabConsumo[[#This Row],[09_23]] ) * 2)</f>
        <v>9.5317509735301744</v>
      </c>
      <c r="W691" s="221">
        <f xml:space="preserve"> tabConsumo[[#This Row],[Média.A]] + (_xlfn.STDEV.S( tabConsumo[[#This Row],[QTD.PENDENTE]]:tabConsumo[[#This Row],[09_23]] ) * 3)</f>
        <v>13.297626460295263</v>
      </c>
      <c r="X691" s="5">
        <f t="shared" si="22"/>
        <v>2</v>
      </c>
      <c r="Y691">
        <v>1.6666666666666667</v>
      </c>
      <c r="Z691" s="223">
        <f>SUM( tabConsumo[[#This Row],[QTD.PENDENTE]]:tabConsumo[[#This Row],[09_23]] )</f>
        <v>24</v>
      </c>
      <c r="AA691" s="223">
        <f>LARGE(tabConsumo[[#This Row],[10_22]:[09_23]],1)</f>
        <v>13</v>
      </c>
      <c r="AB691" s="146" t="s">
        <v>2241</v>
      </c>
      <c r="AC691" s="3" t="s">
        <v>2086</v>
      </c>
    </row>
    <row r="692" spans="1:29" x14ac:dyDescent="0.3">
      <c r="A692" s="4" t="s">
        <v>1403</v>
      </c>
      <c r="B692" s="3" t="s">
        <v>263</v>
      </c>
      <c r="C692" s="2">
        <v>71874</v>
      </c>
      <c r="D692" s="2">
        <v>126</v>
      </c>
      <c r="F692" s="2">
        <v>0</v>
      </c>
      <c r="G692" s="2">
        <v>0</v>
      </c>
      <c r="H692" s="2">
        <v>0</v>
      </c>
      <c r="I692" s="2">
        <v>0</v>
      </c>
      <c r="J692" s="2">
        <v>0</v>
      </c>
      <c r="K692" s="2">
        <v>0</v>
      </c>
      <c r="L692" s="2">
        <v>0</v>
      </c>
      <c r="M692" s="2">
        <v>5</v>
      </c>
      <c r="N692" s="2">
        <v>0</v>
      </c>
      <c r="O692" s="2">
        <v>0</v>
      </c>
      <c r="P692" s="2">
        <v>0</v>
      </c>
      <c r="Q692" s="2">
        <v>0</v>
      </c>
      <c r="R692" s="238">
        <v>367</v>
      </c>
      <c r="S692" s="219">
        <f xml:space="preserve"> 12</f>
        <v>12</v>
      </c>
      <c r="T692" s="220">
        <f>SUM( tabConsumo[[#This Row],[QTD.PENDENTE]]:tabConsumo[[#This Row],[09_23]] ) / tabConsumo[[#This Row],[Div]]</f>
        <v>0.41666666666666669</v>
      </c>
      <c r="U692" s="221">
        <f xml:space="preserve"> tabConsumo[[#This Row],[Média.A]] + (_xlfn.STDEV.S( tabConsumo[[#This Row],[QTD.PENDENTE]]:tabConsumo[[#This Row],[09_23]] ) * 1)</f>
        <v>1.8600423396407313</v>
      </c>
      <c r="V692" s="221">
        <f xml:space="preserve"> tabConsumo[[#This Row],[Média.A]] + (_xlfn.STDEV.S( tabConsumo[[#This Row],[QTD.PENDENTE]]:tabConsumo[[#This Row],[09_23]] ) * 2)</f>
        <v>3.3034180126147956</v>
      </c>
      <c r="W692" s="221">
        <f xml:space="preserve"> tabConsumo[[#This Row],[Média.A]] + (_xlfn.STDEV.S( tabConsumo[[#This Row],[QTD.PENDENTE]]:tabConsumo[[#This Row],[09_23]] ) * 3)</f>
        <v>4.7467936855888606</v>
      </c>
      <c r="X692" s="5">
        <f t="shared" si="22"/>
        <v>2</v>
      </c>
      <c r="Y692">
        <v>0.25</v>
      </c>
      <c r="Z692" s="223">
        <f>SUM( tabConsumo[[#This Row],[QTD.PENDENTE]]:tabConsumo[[#This Row],[09_23]] )</f>
        <v>5</v>
      </c>
      <c r="AA692" s="223">
        <f>LARGE(tabConsumo[[#This Row],[10_22]:[09_23]],1)</f>
        <v>5</v>
      </c>
      <c r="AB692" s="146" t="s">
        <v>2244</v>
      </c>
      <c r="AC692" s="3" t="s">
        <v>2086</v>
      </c>
    </row>
    <row r="693" spans="1:29" x14ac:dyDescent="0.3">
      <c r="A693" s="4" t="s">
        <v>1265</v>
      </c>
      <c r="B693" s="3" t="s">
        <v>263</v>
      </c>
      <c r="C693" s="2">
        <v>36399</v>
      </c>
      <c r="D693" s="2">
        <v>143</v>
      </c>
      <c r="F693" s="2">
        <v>0</v>
      </c>
      <c r="G693" s="2">
        <v>0</v>
      </c>
      <c r="H693" s="2">
        <v>0</v>
      </c>
      <c r="I693" s="2">
        <v>0</v>
      </c>
      <c r="J693" s="2">
        <v>20</v>
      </c>
      <c r="K693" s="2">
        <v>0</v>
      </c>
      <c r="L693" s="2">
        <v>0</v>
      </c>
      <c r="M693" s="2">
        <v>20</v>
      </c>
      <c r="N693" s="2">
        <v>0</v>
      </c>
      <c r="O693" s="2">
        <v>0</v>
      </c>
      <c r="P693" s="2">
        <v>0</v>
      </c>
      <c r="Q693" s="2">
        <v>0</v>
      </c>
      <c r="R693" s="238">
        <v>367</v>
      </c>
      <c r="S693" s="219">
        <f xml:space="preserve"> 12</f>
        <v>12</v>
      </c>
      <c r="T693" s="220">
        <f>SUM( tabConsumo[[#This Row],[QTD.PENDENTE]]:tabConsumo[[#This Row],[09_23]] ) / tabConsumo[[#This Row],[Div]]</f>
        <v>3.3333333333333335</v>
      </c>
      <c r="U693" s="221">
        <f xml:space="preserve"> tabConsumo[[#This Row],[Média.A]] + (_xlfn.STDEV.S( tabConsumo[[#This Row],[QTD.PENDENTE]]:tabConsumo[[#This Row],[09_23]] ) * 1)</f>
        <v>11.118322774948563</v>
      </c>
      <c r="V693" s="221">
        <f xml:space="preserve"> tabConsumo[[#This Row],[Média.A]] + (_xlfn.STDEV.S( tabConsumo[[#This Row],[QTD.PENDENTE]]:tabConsumo[[#This Row],[09_23]] ) * 2)</f>
        <v>18.903312216563791</v>
      </c>
      <c r="W693" s="221">
        <f xml:space="preserve"> tabConsumo[[#This Row],[Média.A]] + (_xlfn.STDEV.S( tabConsumo[[#This Row],[QTD.PENDENTE]]:tabConsumo[[#This Row],[09_23]] ) * 3)</f>
        <v>26.688301658179018</v>
      </c>
      <c r="X693" s="5">
        <f t="shared" si="22"/>
        <v>2</v>
      </c>
      <c r="Y693">
        <v>3</v>
      </c>
      <c r="Z693" s="223">
        <f>SUM( tabConsumo[[#This Row],[QTD.PENDENTE]]:tabConsumo[[#This Row],[09_23]] )</f>
        <v>40</v>
      </c>
      <c r="AA693" s="223">
        <f>LARGE(tabConsumo[[#This Row],[10_22]:[09_23]],1)</f>
        <v>20</v>
      </c>
      <c r="AB693" s="146" t="s">
        <v>2244</v>
      </c>
      <c r="AC693" s="3" t="s">
        <v>2086</v>
      </c>
    </row>
    <row r="694" spans="1:29" x14ac:dyDescent="0.3">
      <c r="A694" s="4" t="s">
        <v>1730</v>
      </c>
      <c r="B694" s="3" t="s">
        <v>263</v>
      </c>
      <c r="C694" s="2">
        <v>118246</v>
      </c>
      <c r="D694" s="2">
        <v>60</v>
      </c>
      <c r="F694" s="2">
        <v>0</v>
      </c>
      <c r="G694" s="2">
        <v>0</v>
      </c>
      <c r="H694" s="2">
        <v>0</v>
      </c>
      <c r="I694" s="2">
        <v>0</v>
      </c>
      <c r="J694" s="2">
        <v>0</v>
      </c>
      <c r="K694" s="2">
        <v>0</v>
      </c>
      <c r="L694" s="2">
        <v>0</v>
      </c>
      <c r="M694" s="2">
        <v>5</v>
      </c>
      <c r="N694" s="2">
        <v>0</v>
      </c>
      <c r="O694" s="2">
        <v>0</v>
      </c>
      <c r="P694" s="2">
        <v>0</v>
      </c>
      <c r="Q694" s="2">
        <v>0</v>
      </c>
      <c r="R694" s="238">
        <v>40466</v>
      </c>
      <c r="S694" s="219">
        <v>12</v>
      </c>
      <c r="T694" s="220">
        <f>SUM( tabConsumo[[#This Row],[QTD.PENDENTE]]:tabConsumo[[#This Row],[09_23]] ) / tabConsumo[[#This Row],[Div]]</f>
        <v>0.41666666666666669</v>
      </c>
      <c r="U694" s="221">
        <f xml:space="preserve"> tabConsumo[[#This Row],[Média.A]] + (_xlfn.STDEV.S( tabConsumo[[#This Row],[QTD.PENDENTE]]:tabConsumo[[#This Row],[09_23]] ) * 1)</f>
        <v>1.8600423396407313</v>
      </c>
      <c r="V694" s="221">
        <f xml:space="preserve"> tabConsumo[[#This Row],[Média.A]] + (_xlfn.STDEV.S( tabConsumo[[#This Row],[QTD.PENDENTE]]:tabConsumo[[#This Row],[09_23]] ) * 2)</f>
        <v>3.3034180126147956</v>
      </c>
      <c r="W694" s="221">
        <f xml:space="preserve"> tabConsumo[[#This Row],[Média.A]] + (_xlfn.STDEV.S( tabConsumo[[#This Row],[QTD.PENDENTE]]:tabConsumo[[#This Row],[09_23]] ) * 3)</f>
        <v>4.7467936855888606</v>
      </c>
      <c r="X694" s="5">
        <f t="shared" si="22"/>
        <v>2</v>
      </c>
      <c r="Y694">
        <v>0.25</v>
      </c>
      <c r="Z694" s="223">
        <f>SUM( tabConsumo[[#This Row],[QTD.PENDENTE]]:tabConsumo[[#This Row],[09_23]] )</f>
        <v>5</v>
      </c>
      <c r="AA694" s="223">
        <f>LARGE(tabConsumo[[#This Row],[10_22]:[09_23]],1)</f>
        <v>5</v>
      </c>
      <c r="AB694" s="146" t="s">
        <v>2244</v>
      </c>
      <c r="AC694" s="3" t="s">
        <v>2086</v>
      </c>
    </row>
    <row r="695" spans="1:29" x14ac:dyDescent="0.3">
      <c r="A695" s="4" t="s">
        <v>1728</v>
      </c>
      <c r="B695" s="3" t="s">
        <v>263</v>
      </c>
      <c r="C695" s="2">
        <v>118244</v>
      </c>
      <c r="D695" s="2">
        <v>173</v>
      </c>
      <c r="F695" s="2">
        <v>0</v>
      </c>
      <c r="G695" s="2">
        <v>0</v>
      </c>
      <c r="H695" s="2">
        <v>0</v>
      </c>
      <c r="I695" s="2">
        <v>0</v>
      </c>
      <c r="J695" s="2">
        <v>0</v>
      </c>
      <c r="K695" s="2">
        <v>0</v>
      </c>
      <c r="L695" s="2">
        <v>0</v>
      </c>
      <c r="M695" s="2">
        <v>5</v>
      </c>
      <c r="N695" s="2">
        <v>0</v>
      </c>
      <c r="O695" s="2">
        <v>0</v>
      </c>
      <c r="P695" s="2">
        <v>0</v>
      </c>
      <c r="Q695" s="2">
        <v>0</v>
      </c>
      <c r="R695" s="238">
        <v>40466</v>
      </c>
      <c r="S695" s="219">
        <v>12</v>
      </c>
      <c r="T695" s="220">
        <f>SUM( tabConsumo[[#This Row],[QTD.PENDENTE]]:tabConsumo[[#This Row],[09_23]] ) / tabConsumo[[#This Row],[Div]]</f>
        <v>0.41666666666666669</v>
      </c>
      <c r="U695" s="221">
        <f xml:space="preserve"> tabConsumo[[#This Row],[Média.A]] + (_xlfn.STDEV.S( tabConsumo[[#This Row],[QTD.PENDENTE]]:tabConsumo[[#This Row],[09_23]] ) * 1)</f>
        <v>1.8600423396407313</v>
      </c>
      <c r="V695" s="221">
        <f xml:space="preserve"> tabConsumo[[#This Row],[Média.A]] + (_xlfn.STDEV.S( tabConsumo[[#This Row],[QTD.PENDENTE]]:tabConsumo[[#This Row],[09_23]] ) * 2)</f>
        <v>3.3034180126147956</v>
      </c>
      <c r="W695" s="221">
        <f xml:space="preserve"> tabConsumo[[#This Row],[Média.A]] + (_xlfn.STDEV.S( tabConsumo[[#This Row],[QTD.PENDENTE]]:tabConsumo[[#This Row],[09_23]] ) * 3)</f>
        <v>4.7467936855888606</v>
      </c>
      <c r="X695" s="5">
        <f t="shared" si="22"/>
        <v>2</v>
      </c>
      <c r="Y695">
        <v>0.25</v>
      </c>
      <c r="Z695" s="223">
        <f>SUM( tabConsumo[[#This Row],[QTD.PENDENTE]]:tabConsumo[[#This Row],[09_23]] )</f>
        <v>5</v>
      </c>
      <c r="AA695" s="223">
        <f>LARGE(tabConsumo[[#This Row],[10_22]:[09_23]],1)</f>
        <v>5</v>
      </c>
      <c r="AB695" s="146" t="s">
        <v>2244</v>
      </c>
      <c r="AC695" s="3" t="s">
        <v>2086</v>
      </c>
    </row>
    <row r="696" spans="1:29" x14ac:dyDescent="0.3">
      <c r="A696" s="4" t="s">
        <v>1729</v>
      </c>
      <c r="B696" s="3" t="s">
        <v>263</v>
      </c>
      <c r="C696" s="2">
        <v>118245</v>
      </c>
      <c r="D696" s="2">
        <v>33</v>
      </c>
      <c r="F696" s="2">
        <v>0</v>
      </c>
      <c r="G696" s="2">
        <v>0</v>
      </c>
      <c r="H696" s="2">
        <v>0</v>
      </c>
      <c r="I696" s="2">
        <v>0</v>
      </c>
      <c r="J696" s="2">
        <v>0</v>
      </c>
      <c r="K696" s="2">
        <v>0</v>
      </c>
      <c r="L696" s="2">
        <v>0</v>
      </c>
      <c r="M696" s="2">
        <v>5</v>
      </c>
      <c r="N696" s="2">
        <v>0</v>
      </c>
      <c r="O696" s="2">
        <v>0</v>
      </c>
      <c r="P696" s="2">
        <v>0</v>
      </c>
      <c r="Q696" s="2">
        <v>0</v>
      </c>
      <c r="R696" s="238">
        <v>40466</v>
      </c>
      <c r="S696" s="219">
        <v>12</v>
      </c>
      <c r="T696" s="220">
        <f>SUM( tabConsumo[[#This Row],[QTD.PENDENTE]]:tabConsumo[[#This Row],[09_23]] ) / tabConsumo[[#This Row],[Div]]</f>
        <v>0.41666666666666669</v>
      </c>
      <c r="U696" s="221">
        <f xml:space="preserve"> tabConsumo[[#This Row],[Média.A]] + (_xlfn.STDEV.S( tabConsumo[[#This Row],[QTD.PENDENTE]]:tabConsumo[[#This Row],[09_23]] ) * 1)</f>
        <v>1.8600423396407313</v>
      </c>
      <c r="V696" s="221">
        <f xml:space="preserve"> tabConsumo[[#This Row],[Média.A]] + (_xlfn.STDEV.S( tabConsumo[[#This Row],[QTD.PENDENTE]]:tabConsumo[[#This Row],[09_23]] ) * 2)</f>
        <v>3.3034180126147956</v>
      </c>
      <c r="W696" s="221">
        <f xml:space="preserve"> tabConsumo[[#This Row],[Média.A]] + (_xlfn.STDEV.S( tabConsumo[[#This Row],[QTD.PENDENTE]]:tabConsumo[[#This Row],[09_23]] ) * 3)</f>
        <v>4.7467936855888606</v>
      </c>
      <c r="X696" s="5">
        <f t="shared" si="22"/>
        <v>2</v>
      </c>
      <c r="Y696">
        <v>0.25</v>
      </c>
      <c r="Z696" s="223">
        <f>SUM( tabConsumo[[#This Row],[QTD.PENDENTE]]:tabConsumo[[#This Row],[09_23]] )</f>
        <v>5</v>
      </c>
      <c r="AA696" s="223">
        <f>LARGE(tabConsumo[[#This Row],[10_22]:[09_23]],1)</f>
        <v>5</v>
      </c>
      <c r="AB696" s="146" t="s">
        <v>2244</v>
      </c>
      <c r="AC696" s="3" t="s">
        <v>2086</v>
      </c>
    </row>
    <row r="697" spans="1:29" x14ac:dyDescent="0.3">
      <c r="A697" s="4" t="s">
        <v>1336</v>
      </c>
      <c r="B697" s="3" t="s">
        <v>263</v>
      </c>
      <c r="C697" s="2">
        <v>58436</v>
      </c>
      <c r="D697" s="2">
        <v>427</v>
      </c>
      <c r="F697" s="2">
        <v>0</v>
      </c>
      <c r="G697" s="2">
        <v>0</v>
      </c>
      <c r="H697" s="2">
        <v>0</v>
      </c>
      <c r="I697" s="2">
        <v>1</v>
      </c>
      <c r="J697" s="2">
        <v>0</v>
      </c>
      <c r="K697" s="2">
        <v>14</v>
      </c>
      <c r="L697" s="2">
        <v>0</v>
      </c>
      <c r="M697" s="2">
        <v>0</v>
      </c>
      <c r="N697" s="2">
        <v>0</v>
      </c>
      <c r="O697" s="2">
        <v>0</v>
      </c>
      <c r="P697" s="2">
        <v>0</v>
      </c>
      <c r="Q697" s="2">
        <v>0</v>
      </c>
      <c r="R697" s="238">
        <v>367</v>
      </c>
      <c r="S697" s="219">
        <f xml:space="preserve"> 12</f>
        <v>12</v>
      </c>
      <c r="T697" s="220">
        <f>SUM( tabConsumo[[#This Row],[QTD.PENDENTE]]:tabConsumo[[#This Row],[09_23]] ) / tabConsumo[[#This Row],[Div]]</f>
        <v>1.25</v>
      </c>
      <c r="U697" s="221">
        <f xml:space="preserve"> tabConsumo[[#This Row],[Média.A]] + (_xlfn.STDEV.S( tabConsumo[[#This Row],[QTD.PENDENTE]]:tabConsumo[[#This Row],[09_23]] ) * 1)</f>
        <v>5.2754869835270179</v>
      </c>
      <c r="V697" s="221">
        <f xml:space="preserve"> tabConsumo[[#This Row],[Média.A]] + (_xlfn.STDEV.S( tabConsumo[[#This Row],[QTD.PENDENTE]]:tabConsumo[[#This Row],[09_23]] ) * 2)</f>
        <v>9.3009739670540359</v>
      </c>
      <c r="W697" s="221">
        <f xml:space="preserve"> tabConsumo[[#This Row],[Média.A]] + (_xlfn.STDEV.S( tabConsumo[[#This Row],[QTD.PENDENTE]]:tabConsumo[[#This Row],[09_23]] ) * 3)</f>
        <v>13.326460950581055</v>
      </c>
      <c r="X697" s="5">
        <f t="shared" si="22"/>
        <v>2</v>
      </c>
      <c r="Y697">
        <v>0.83333333333333337</v>
      </c>
      <c r="Z697" s="223">
        <f>SUM( tabConsumo[[#This Row],[QTD.PENDENTE]]:tabConsumo[[#This Row],[09_23]] )</f>
        <v>15</v>
      </c>
      <c r="AA697" s="223">
        <f>LARGE(tabConsumo[[#This Row],[10_22]:[09_23]],1)</f>
        <v>14</v>
      </c>
      <c r="AB697" s="146" t="s">
        <v>2245</v>
      </c>
      <c r="AC697" s="3" t="s">
        <v>2086</v>
      </c>
    </row>
    <row r="698" spans="1:29" x14ac:dyDescent="0.3">
      <c r="A698" s="4" t="s">
        <v>971</v>
      </c>
      <c r="B698" s="3" t="s">
        <v>263</v>
      </c>
      <c r="C698" s="2">
        <v>12847</v>
      </c>
      <c r="D698" s="2">
        <v>947</v>
      </c>
      <c r="F698" s="2">
        <v>121</v>
      </c>
      <c r="G698" s="2">
        <v>95</v>
      </c>
      <c r="H698" s="2">
        <v>61</v>
      </c>
      <c r="I698" s="2">
        <v>33</v>
      </c>
      <c r="J698" s="2">
        <v>71</v>
      </c>
      <c r="K698" s="2">
        <v>3950</v>
      </c>
      <c r="L698" s="2">
        <v>35</v>
      </c>
      <c r="M698" s="2">
        <v>89</v>
      </c>
      <c r="N698" s="2">
        <v>83</v>
      </c>
      <c r="O698" s="2">
        <v>67</v>
      </c>
      <c r="P698" s="2">
        <v>69</v>
      </c>
      <c r="Q698" s="2">
        <v>66</v>
      </c>
      <c r="R698" s="238">
        <v>367</v>
      </c>
      <c r="S698" s="219">
        <f xml:space="preserve"> 12</f>
        <v>12</v>
      </c>
      <c r="T698" s="220">
        <f>SUM( tabConsumo[[#This Row],[QTD.PENDENTE]]:tabConsumo[[#This Row],[09_23]] ) / tabConsumo[[#This Row],[Div]]</f>
        <v>395</v>
      </c>
      <c r="U698" s="221">
        <f xml:space="preserve"> tabConsumo[[#This Row],[Média.A]] + (_xlfn.STDEV.S( tabConsumo[[#This Row],[QTD.PENDENTE]]:tabConsumo[[#This Row],[09_23]] ) * 1)</f>
        <v>1514.7953546803258</v>
      </c>
      <c r="V698" s="221">
        <f xml:space="preserve"> tabConsumo[[#This Row],[Média.A]] + (_xlfn.STDEV.S( tabConsumo[[#This Row],[QTD.PENDENTE]]:tabConsumo[[#This Row],[09_23]] ) * 2)</f>
        <v>2634.5907093606515</v>
      </c>
      <c r="W698" s="221">
        <f xml:space="preserve"> tabConsumo[[#This Row],[Média.A]] + (_xlfn.STDEV.S( tabConsumo[[#This Row],[QTD.PENDENTE]]:tabConsumo[[#This Row],[09_23]] ) * 3)</f>
        <v>3754.3860640409775</v>
      </c>
      <c r="X698" s="5">
        <f t="shared" si="22"/>
        <v>2</v>
      </c>
      <c r="Y698">
        <v>285.33333333333331</v>
      </c>
      <c r="Z698" s="223">
        <f>SUM( tabConsumo[[#This Row],[QTD.PENDENTE]]:tabConsumo[[#This Row],[09_23]] )</f>
        <v>4740</v>
      </c>
      <c r="AA698" s="223">
        <f>LARGE(tabConsumo[[#This Row],[10_22]:[09_23]],1)</f>
        <v>3950</v>
      </c>
      <c r="AB698" s="146" t="s">
        <v>2238</v>
      </c>
      <c r="AC698" s="3" t="s">
        <v>2086</v>
      </c>
    </row>
    <row r="699" spans="1:29" x14ac:dyDescent="0.3">
      <c r="A699" s="4" t="s">
        <v>1192</v>
      </c>
      <c r="B699" s="3" t="s">
        <v>263</v>
      </c>
      <c r="C699" s="2">
        <v>24204</v>
      </c>
      <c r="D699" s="2">
        <v>0</v>
      </c>
      <c r="E699" s="2">
        <v>19</v>
      </c>
      <c r="F699" s="2">
        <v>49</v>
      </c>
      <c r="G699" s="2">
        <v>71</v>
      </c>
      <c r="H699" s="2">
        <v>51</v>
      </c>
      <c r="I699" s="2">
        <v>72</v>
      </c>
      <c r="J699" s="2">
        <v>53</v>
      </c>
      <c r="K699" s="2">
        <v>88</v>
      </c>
      <c r="L699" s="2">
        <v>100</v>
      </c>
      <c r="M699" s="2">
        <v>70</v>
      </c>
      <c r="N699" s="2">
        <v>70</v>
      </c>
      <c r="O699" s="2">
        <v>51</v>
      </c>
      <c r="P699" s="2">
        <v>102</v>
      </c>
      <c r="Q699" s="2">
        <v>0</v>
      </c>
      <c r="R699" s="238">
        <v>367</v>
      </c>
      <c r="S699" s="219">
        <f xml:space="preserve"> 12</f>
        <v>12</v>
      </c>
      <c r="T699" s="220">
        <f>SUM( tabConsumo[[#This Row],[QTD.PENDENTE]]:tabConsumo[[#This Row],[09_23]] ) / tabConsumo[[#This Row],[Div]]</f>
        <v>66.333333333333329</v>
      </c>
      <c r="U699" s="221">
        <f xml:space="preserve"> tabConsumo[[#This Row],[Média.A]] + (_xlfn.STDEV.S( tabConsumo[[#This Row],[QTD.PENDENTE]]:tabConsumo[[#This Row],[09_23]] ) * 1)</f>
        <v>95.497106083539038</v>
      </c>
      <c r="V699" s="221">
        <f xml:space="preserve"> tabConsumo[[#This Row],[Média.A]] + (_xlfn.STDEV.S( tabConsumo[[#This Row],[QTD.PENDENTE]]:tabConsumo[[#This Row],[09_23]] ) * 2)</f>
        <v>124.66087883374476</v>
      </c>
      <c r="W699" s="221">
        <f xml:space="preserve"> tabConsumo[[#This Row],[Média.A]] + (_xlfn.STDEV.S( tabConsumo[[#This Row],[QTD.PENDENTE]]:tabConsumo[[#This Row],[09_23]] ) * 3)</f>
        <v>153.82465158395047</v>
      </c>
      <c r="X699" s="5">
        <f t="shared" si="22"/>
        <v>2</v>
      </c>
      <c r="Y699">
        <v>66.333333333333329</v>
      </c>
      <c r="Z699" s="223">
        <f>SUM( tabConsumo[[#This Row],[QTD.PENDENTE]]:tabConsumo[[#This Row],[09_23]] )</f>
        <v>796</v>
      </c>
      <c r="AA699" s="223">
        <f>LARGE(tabConsumo[[#This Row],[10_22]:[09_23]],1)</f>
        <v>102</v>
      </c>
      <c r="AB699" s="146" t="s">
        <v>2241</v>
      </c>
      <c r="AC699" s="3" t="s">
        <v>2086</v>
      </c>
    </row>
    <row r="700" spans="1:29" x14ac:dyDescent="0.3">
      <c r="A700" s="4" t="s">
        <v>2037</v>
      </c>
      <c r="B700" s="3" t="s">
        <v>263</v>
      </c>
      <c r="C700" s="2">
        <v>141418</v>
      </c>
      <c r="D700" s="2">
        <v>857</v>
      </c>
      <c r="F700" s="2">
        <v>74</v>
      </c>
      <c r="G700" s="2">
        <v>37</v>
      </c>
      <c r="H700" s="2">
        <v>17</v>
      </c>
      <c r="I700" s="2">
        <v>64</v>
      </c>
      <c r="J700" s="2">
        <v>45</v>
      </c>
      <c r="K700" s="2">
        <v>78</v>
      </c>
      <c r="L700" s="2">
        <v>43</v>
      </c>
      <c r="M700" s="2">
        <v>48</v>
      </c>
      <c r="N700" s="2">
        <v>50</v>
      </c>
      <c r="O700" s="2">
        <v>62</v>
      </c>
      <c r="P700" s="2">
        <v>60</v>
      </c>
      <c r="Q700" s="2">
        <v>45</v>
      </c>
      <c r="R700" s="238">
        <v>44362</v>
      </c>
      <c r="S700" s="219">
        <v>12</v>
      </c>
      <c r="T700" s="220">
        <f>SUM( tabConsumo[[#This Row],[QTD.PENDENTE]]:tabConsumo[[#This Row],[09_23]] ) / tabConsumo[[#This Row],[Div]]</f>
        <v>51.916666666666664</v>
      </c>
      <c r="U700" s="221">
        <f xml:space="preserve"> tabConsumo[[#This Row],[Média.A]] + (_xlfn.STDEV.S( tabConsumo[[#This Row],[QTD.PENDENTE]]:tabConsumo[[#This Row],[09_23]] ) * 1)</f>
        <v>68.749849984330041</v>
      </c>
      <c r="V700" s="221">
        <f xml:space="preserve"> tabConsumo[[#This Row],[Média.A]] + (_xlfn.STDEV.S( tabConsumo[[#This Row],[QTD.PENDENTE]]:tabConsumo[[#This Row],[09_23]] ) * 2)</f>
        <v>85.583033301993424</v>
      </c>
      <c r="W700" s="221">
        <f xml:space="preserve"> tabConsumo[[#This Row],[Média.A]] + (_xlfn.STDEV.S( tabConsumo[[#This Row],[QTD.PENDENTE]]:tabConsumo[[#This Row],[09_23]] ) * 3)</f>
        <v>102.41621661965681</v>
      </c>
      <c r="X700" s="5">
        <f t="shared" si="22"/>
        <v>2</v>
      </c>
      <c r="Y700">
        <v>51.916666666666664</v>
      </c>
      <c r="Z700" s="223">
        <f>SUM( tabConsumo[[#This Row],[QTD.PENDENTE]]:tabConsumo[[#This Row],[09_23]] )</f>
        <v>623</v>
      </c>
      <c r="AA700" s="223">
        <f>LARGE(tabConsumo[[#This Row],[10_22]:[09_23]],1)</f>
        <v>78</v>
      </c>
      <c r="AB700" s="146" t="s">
        <v>2238</v>
      </c>
      <c r="AC700" s="3" t="s">
        <v>2086</v>
      </c>
    </row>
    <row r="701" spans="1:29" x14ac:dyDescent="0.3">
      <c r="A701" s="4" t="s">
        <v>1962</v>
      </c>
      <c r="B701" s="3" t="s">
        <v>653</v>
      </c>
      <c r="C701" s="2">
        <v>138352</v>
      </c>
      <c r="D701" s="2">
        <v>81</v>
      </c>
      <c r="F701" s="2">
        <v>7</v>
      </c>
      <c r="G701" s="2">
        <v>11</v>
      </c>
      <c r="H701" s="2">
        <v>10</v>
      </c>
      <c r="I701" s="2">
        <v>14</v>
      </c>
      <c r="J701" s="2">
        <v>13</v>
      </c>
      <c r="K701" s="2">
        <v>17</v>
      </c>
      <c r="L701" s="2">
        <v>2</v>
      </c>
      <c r="M701" s="2">
        <v>11</v>
      </c>
      <c r="N701" s="2">
        <v>14</v>
      </c>
      <c r="O701" s="2">
        <v>2</v>
      </c>
      <c r="P701" s="2">
        <v>15</v>
      </c>
      <c r="Q701" s="2">
        <v>21</v>
      </c>
      <c r="R701" s="238">
        <v>43696</v>
      </c>
      <c r="S701" s="219">
        <v>12</v>
      </c>
      <c r="T701" s="220">
        <f>SUM( tabConsumo[[#This Row],[QTD.PENDENTE]]:tabConsumo[[#This Row],[09_23]] ) / tabConsumo[[#This Row],[Div]]</f>
        <v>11.416666666666666</v>
      </c>
      <c r="U701" s="221">
        <f xml:space="preserve"> tabConsumo[[#This Row],[Média.A]] + (_xlfn.STDEV.S( tabConsumo[[#This Row],[QTD.PENDENTE]]:tabConsumo[[#This Row],[09_23]] ) * 1)</f>
        <v>17.064809295134467</v>
      </c>
      <c r="V701" s="221">
        <f xml:space="preserve"> tabConsumo[[#This Row],[Média.A]] + (_xlfn.STDEV.S( tabConsumo[[#This Row],[QTD.PENDENTE]]:tabConsumo[[#This Row],[09_23]] ) * 2)</f>
        <v>22.712951923602269</v>
      </c>
      <c r="W701" s="221">
        <f xml:space="preserve"> tabConsumo[[#This Row],[Média.A]] + (_xlfn.STDEV.S( tabConsumo[[#This Row],[QTD.PENDENTE]]:tabConsumo[[#This Row],[09_23]] ) * 3)</f>
        <v>28.361094552070071</v>
      </c>
      <c r="X701" s="5">
        <f t="shared" si="22"/>
        <v>2</v>
      </c>
      <c r="Y701">
        <v>11.416666666666666</v>
      </c>
      <c r="Z701" s="223">
        <f>SUM( tabConsumo[[#This Row],[QTD.PENDENTE]]:tabConsumo[[#This Row],[09_23]] )</f>
        <v>137</v>
      </c>
      <c r="AA701" s="223">
        <f>LARGE(tabConsumo[[#This Row],[10_22]:[09_23]],1)</f>
        <v>21</v>
      </c>
      <c r="AB701" s="146" t="s">
        <v>2238</v>
      </c>
      <c r="AC701" s="3" t="s">
        <v>2086</v>
      </c>
    </row>
    <row r="702" spans="1:29" x14ac:dyDescent="0.3">
      <c r="A702" s="4" t="s">
        <v>1531</v>
      </c>
      <c r="B702" s="3" t="s">
        <v>31</v>
      </c>
      <c r="C702" s="2">
        <v>91669</v>
      </c>
      <c r="D702" s="2">
        <v>668</v>
      </c>
      <c r="F702" s="2">
        <v>488</v>
      </c>
      <c r="G702" s="2">
        <v>560</v>
      </c>
      <c r="H702" s="2">
        <v>328</v>
      </c>
      <c r="I702" s="2">
        <v>80</v>
      </c>
      <c r="J702" s="2">
        <v>411</v>
      </c>
      <c r="K702" s="2">
        <v>1256</v>
      </c>
      <c r="L702" s="2">
        <v>514</v>
      </c>
      <c r="M702" s="2">
        <v>626</v>
      </c>
      <c r="N702" s="2">
        <v>605</v>
      </c>
      <c r="O702" s="2">
        <v>538</v>
      </c>
      <c r="P702" s="2">
        <v>566</v>
      </c>
      <c r="Q702" s="2">
        <v>576</v>
      </c>
      <c r="R702" s="238">
        <v>38847</v>
      </c>
      <c r="S702" s="219">
        <v>12</v>
      </c>
      <c r="T702" s="220">
        <f>SUM( tabConsumo[[#This Row],[QTD.PENDENTE]]:tabConsumo[[#This Row],[09_23]] ) / tabConsumo[[#This Row],[Div]]</f>
        <v>545.66666666666663</v>
      </c>
      <c r="U702" s="221">
        <f xml:space="preserve"> tabConsumo[[#This Row],[Média.A]] + (_xlfn.STDEV.S( tabConsumo[[#This Row],[QTD.PENDENTE]]:tabConsumo[[#This Row],[09_23]] ) * 1)</f>
        <v>815.82363562876435</v>
      </c>
      <c r="V702" s="221">
        <f xml:space="preserve"> tabConsumo[[#This Row],[Média.A]] + (_xlfn.STDEV.S( tabConsumo[[#This Row],[QTD.PENDENTE]]:tabConsumo[[#This Row],[09_23]] ) * 2)</f>
        <v>1085.9806045908622</v>
      </c>
      <c r="W702" s="221">
        <f xml:space="preserve"> tabConsumo[[#This Row],[Média.A]] + (_xlfn.STDEV.S( tabConsumo[[#This Row],[QTD.PENDENTE]]:tabConsumo[[#This Row],[09_23]] ) * 3)</f>
        <v>1356.13757355296</v>
      </c>
      <c r="X702" s="5">
        <f t="shared" si="22"/>
        <v>2</v>
      </c>
      <c r="Y702">
        <v>531.41666666666663</v>
      </c>
      <c r="Z702" s="223">
        <f>SUM( tabConsumo[[#This Row],[QTD.PENDENTE]]:tabConsumo[[#This Row],[09_23]] )</f>
        <v>6548</v>
      </c>
      <c r="AA702" s="223">
        <f>LARGE(tabConsumo[[#This Row],[10_22]:[09_23]],1)</f>
        <v>1256</v>
      </c>
      <c r="AB702" s="146" t="s">
        <v>2238</v>
      </c>
      <c r="AC702" s="3" t="s">
        <v>2086</v>
      </c>
    </row>
    <row r="703" spans="1:29" x14ac:dyDescent="0.3">
      <c r="A703" s="4" t="s">
        <v>1670</v>
      </c>
      <c r="B703" s="3" t="s">
        <v>1671</v>
      </c>
      <c r="C703" s="2">
        <v>110578</v>
      </c>
      <c r="D703" s="2">
        <v>140</v>
      </c>
      <c r="F703" s="2">
        <v>14</v>
      </c>
      <c r="G703" s="2">
        <v>17</v>
      </c>
      <c r="H703" s="2">
        <v>25</v>
      </c>
      <c r="I703" s="2">
        <v>30</v>
      </c>
      <c r="J703" s="2">
        <v>18</v>
      </c>
      <c r="K703" s="2">
        <v>20</v>
      </c>
      <c r="L703" s="2">
        <v>24</v>
      </c>
      <c r="M703" s="2">
        <v>14</v>
      </c>
      <c r="N703" s="2">
        <v>16</v>
      </c>
      <c r="O703" s="2">
        <v>18</v>
      </c>
      <c r="P703" s="2">
        <v>10</v>
      </c>
      <c r="Q703" s="2">
        <v>14</v>
      </c>
      <c r="R703" s="238">
        <v>39916</v>
      </c>
      <c r="S703" s="219">
        <v>12</v>
      </c>
      <c r="T703" s="220">
        <f>SUM( tabConsumo[[#This Row],[QTD.PENDENTE]]:tabConsumo[[#This Row],[09_23]] ) / tabConsumo[[#This Row],[Div]]</f>
        <v>18.333333333333332</v>
      </c>
      <c r="U703" s="221">
        <f xml:space="preserve"> tabConsumo[[#This Row],[Média.A]] + (_xlfn.STDEV.S( tabConsumo[[#This Row],[QTD.PENDENTE]]:tabConsumo[[#This Row],[09_23]] ) * 1)</f>
        <v>23.963339523114094</v>
      </c>
      <c r="V703" s="221">
        <f xml:space="preserve"> tabConsumo[[#This Row],[Média.A]] + (_xlfn.STDEV.S( tabConsumo[[#This Row],[QTD.PENDENTE]]:tabConsumo[[#This Row],[09_23]] ) * 2)</f>
        <v>29.593345712894855</v>
      </c>
      <c r="W703" s="221">
        <f xml:space="preserve"> tabConsumo[[#This Row],[Média.A]] + (_xlfn.STDEV.S( tabConsumo[[#This Row],[QTD.PENDENTE]]:tabConsumo[[#This Row],[09_23]] ) * 3)</f>
        <v>35.223351902675617</v>
      </c>
      <c r="X703" s="5">
        <f t="shared" si="22"/>
        <v>2</v>
      </c>
      <c r="Y703">
        <v>18.25</v>
      </c>
      <c r="Z703" s="223">
        <f>SUM( tabConsumo[[#This Row],[QTD.PENDENTE]]:tabConsumo[[#This Row],[09_23]] )</f>
        <v>220</v>
      </c>
      <c r="AA703" s="223">
        <f>LARGE(tabConsumo[[#This Row],[10_22]:[09_23]],1)</f>
        <v>30</v>
      </c>
      <c r="AB703" s="146" t="s">
        <v>2238</v>
      </c>
      <c r="AC703" s="3" t="s">
        <v>2086</v>
      </c>
    </row>
    <row r="704" spans="1:29" x14ac:dyDescent="0.3">
      <c r="A704" s="4" t="s">
        <v>1490</v>
      </c>
      <c r="B704" s="3" t="s">
        <v>31</v>
      </c>
      <c r="C704" s="2">
        <v>83627</v>
      </c>
      <c r="D704" s="2">
        <v>39672</v>
      </c>
      <c r="E704" s="2">
        <v>560</v>
      </c>
      <c r="F704" s="2">
        <v>10044</v>
      </c>
      <c r="G704" s="2">
        <v>9430</v>
      </c>
      <c r="H704" s="2">
        <v>6880</v>
      </c>
      <c r="I704" s="2">
        <v>6400</v>
      </c>
      <c r="J704" s="2">
        <v>10742</v>
      </c>
      <c r="K704" s="2">
        <v>12121</v>
      </c>
      <c r="L704" s="2">
        <v>10265</v>
      </c>
      <c r="M704" s="2">
        <v>9276</v>
      </c>
      <c r="N704" s="2">
        <v>8680</v>
      </c>
      <c r="O704" s="2">
        <v>7779</v>
      </c>
      <c r="P704" s="2">
        <v>7961</v>
      </c>
      <c r="Q704" s="2">
        <v>10404</v>
      </c>
      <c r="R704" s="238">
        <v>38369</v>
      </c>
      <c r="S704" s="219">
        <v>12</v>
      </c>
      <c r="T704" s="220">
        <f>SUM( tabConsumo[[#This Row],[QTD.PENDENTE]]:tabConsumo[[#This Row],[09_23]] ) / tabConsumo[[#This Row],[Div]]</f>
        <v>9211.8333333333339</v>
      </c>
      <c r="U704" s="221">
        <f xml:space="preserve"> tabConsumo[[#This Row],[Média.A]] + (_xlfn.STDEV.S( tabConsumo[[#This Row],[QTD.PENDENTE]]:tabConsumo[[#This Row],[09_23]] ) * 1)</f>
        <v>12093.53254716089</v>
      </c>
      <c r="V704" s="221">
        <f xml:space="preserve"> tabConsumo[[#This Row],[Média.A]] + (_xlfn.STDEV.S( tabConsumo[[#This Row],[QTD.PENDENTE]]:tabConsumo[[#This Row],[09_23]] ) * 2)</f>
        <v>14975.231760988447</v>
      </c>
      <c r="W704" s="221">
        <f xml:space="preserve"> tabConsumo[[#This Row],[Média.A]] + (_xlfn.STDEV.S( tabConsumo[[#This Row],[QTD.PENDENTE]]:tabConsumo[[#This Row],[09_23]] ) * 3)</f>
        <v>17856.930974816001</v>
      </c>
      <c r="X704" s="5">
        <f t="shared" si="22"/>
        <v>2</v>
      </c>
      <c r="Y704">
        <v>9211.8333333333339</v>
      </c>
      <c r="Z704" s="223">
        <f>SUM( tabConsumo[[#This Row],[QTD.PENDENTE]]:tabConsumo[[#This Row],[09_23]] )</f>
        <v>110542</v>
      </c>
      <c r="AA704" s="223">
        <f>LARGE(tabConsumo[[#This Row],[10_22]:[09_23]],1)</f>
        <v>12121</v>
      </c>
      <c r="AB704" s="146" t="s">
        <v>2238</v>
      </c>
      <c r="AC704" s="3" t="s">
        <v>2086</v>
      </c>
    </row>
    <row r="705" spans="1:29" x14ac:dyDescent="0.3">
      <c r="A705" s="4" t="s">
        <v>893</v>
      </c>
      <c r="B705" s="3" t="s">
        <v>31</v>
      </c>
      <c r="C705" s="2">
        <v>9413</v>
      </c>
      <c r="D705" s="2">
        <v>5316</v>
      </c>
      <c r="E705" s="2">
        <v>100</v>
      </c>
      <c r="F705" s="2">
        <v>1100</v>
      </c>
      <c r="G705" s="2">
        <v>2442</v>
      </c>
      <c r="H705" s="2">
        <v>1362</v>
      </c>
      <c r="I705" s="2">
        <v>1741</v>
      </c>
      <c r="J705" s="2">
        <v>2205</v>
      </c>
      <c r="K705" s="2">
        <v>1720</v>
      </c>
      <c r="L705" s="2">
        <v>2223</v>
      </c>
      <c r="M705" s="2">
        <v>1735</v>
      </c>
      <c r="N705" s="2">
        <v>1879</v>
      </c>
      <c r="O705" s="2">
        <v>963</v>
      </c>
      <c r="P705" s="2">
        <v>1036</v>
      </c>
      <c r="Q705" s="2">
        <v>2740</v>
      </c>
      <c r="R705" s="238">
        <v>367</v>
      </c>
      <c r="S705" s="219">
        <f xml:space="preserve"> 12</f>
        <v>12</v>
      </c>
      <c r="T705" s="220">
        <f>SUM( tabConsumo[[#This Row],[QTD.PENDENTE]]:tabConsumo[[#This Row],[09_23]] ) / tabConsumo[[#This Row],[Div]]</f>
        <v>1770.5</v>
      </c>
      <c r="U705" s="221">
        <f xml:space="preserve"> tabConsumo[[#This Row],[Média.A]] + (_xlfn.STDEV.S( tabConsumo[[#This Row],[QTD.PENDENTE]]:tabConsumo[[#This Row],[09_23]] ) * 1)</f>
        <v>2486.8723874046914</v>
      </c>
      <c r="V705" s="221">
        <f xml:space="preserve"> tabConsumo[[#This Row],[Média.A]] + (_xlfn.STDEV.S( tabConsumo[[#This Row],[QTD.PENDENTE]]:tabConsumo[[#This Row],[09_23]] ) * 2)</f>
        <v>3203.2447748093828</v>
      </c>
      <c r="W705" s="221">
        <f xml:space="preserve"> tabConsumo[[#This Row],[Média.A]] + (_xlfn.STDEV.S( tabConsumo[[#This Row],[QTD.PENDENTE]]:tabConsumo[[#This Row],[09_23]] ) * 3)</f>
        <v>3919.6171622140746</v>
      </c>
      <c r="X705" s="5">
        <f t="shared" si="22"/>
        <v>2</v>
      </c>
      <c r="Y705">
        <v>1770.5</v>
      </c>
      <c r="Z705" s="223">
        <f>SUM( tabConsumo[[#This Row],[QTD.PENDENTE]]:tabConsumo[[#This Row],[09_23]] )</f>
        <v>21246</v>
      </c>
      <c r="AA705" s="223">
        <f>LARGE(tabConsumo[[#This Row],[10_22]:[09_23]],1)</f>
        <v>2740</v>
      </c>
      <c r="AB705" s="146" t="s">
        <v>2238</v>
      </c>
      <c r="AC705" s="3" t="s">
        <v>2086</v>
      </c>
    </row>
    <row r="706" spans="1:29" x14ac:dyDescent="0.3">
      <c r="A706" s="4" t="s">
        <v>1851</v>
      </c>
      <c r="B706" s="3" t="s">
        <v>31</v>
      </c>
      <c r="C706" s="2">
        <v>133191</v>
      </c>
      <c r="D706" s="2">
        <v>178050</v>
      </c>
      <c r="F706" s="2">
        <v>73035</v>
      </c>
      <c r="G706" s="2">
        <v>3862</v>
      </c>
      <c r="H706" s="2">
        <v>246270</v>
      </c>
      <c r="I706" s="2">
        <v>720</v>
      </c>
      <c r="J706" s="2">
        <v>1910</v>
      </c>
      <c r="K706" s="2">
        <v>4440</v>
      </c>
      <c r="L706" s="2">
        <v>2500</v>
      </c>
      <c r="M706" s="2">
        <v>3180</v>
      </c>
      <c r="N706" s="2">
        <v>2780</v>
      </c>
      <c r="O706" s="2">
        <v>2470</v>
      </c>
      <c r="P706" s="2">
        <v>2451</v>
      </c>
      <c r="Q706" s="2">
        <v>3070</v>
      </c>
      <c r="R706" s="238">
        <v>42968</v>
      </c>
      <c r="S706" s="219">
        <v>12</v>
      </c>
      <c r="T706" s="220">
        <f>SUM( tabConsumo[[#This Row],[QTD.PENDENTE]]:tabConsumo[[#This Row],[09_23]] ) / tabConsumo[[#This Row],[Div]]</f>
        <v>28890.666666666668</v>
      </c>
      <c r="U706" s="221">
        <f xml:space="preserve"> tabConsumo[[#This Row],[Média.A]] + (_xlfn.STDEV.S( tabConsumo[[#This Row],[QTD.PENDENTE]]:tabConsumo[[#This Row],[09_23]] ) * 1)</f>
        <v>100274.00813094711</v>
      </c>
      <c r="V706" s="221">
        <f xml:space="preserve"> tabConsumo[[#This Row],[Média.A]] + (_xlfn.STDEV.S( tabConsumo[[#This Row],[QTD.PENDENTE]]:tabConsumo[[#This Row],[09_23]] ) * 2)</f>
        <v>171657.34959522754</v>
      </c>
      <c r="W706" s="221">
        <f xml:space="preserve"> tabConsumo[[#This Row],[Média.A]] + (_xlfn.STDEV.S( tabConsumo[[#This Row],[QTD.PENDENTE]]:tabConsumo[[#This Row],[09_23]] ) * 3)</f>
        <v>243040.69105950798</v>
      </c>
      <c r="X706" s="5">
        <f t="shared" si="22"/>
        <v>2</v>
      </c>
      <c r="Y706">
        <v>22672.916666666668</v>
      </c>
      <c r="Z706" s="223">
        <f>SUM( tabConsumo[[#This Row],[QTD.PENDENTE]]:tabConsumo[[#This Row],[09_23]] )</f>
        <v>346688</v>
      </c>
      <c r="AA706" s="223">
        <f>LARGE(tabConsumo[[#This Row],[10_22]:[09_23]],1)</f>
        <v>246270</v>
      </c>
      <c r="AB706" s="146" t="s">
        <v>2238</v>
      </c>
      <c r="AC706" s="3" t="s">
        <v>2086</v>
      </c>
    </row>
    <row r="707" spans="1:29" x14ac:dyDescent="0.3">
      <c r="A707" s="4" t="s">
        <v>1056</v>
      </c>
      <c r="B707" s="3" t="s">
        <v>31</v>
      </c>
      <c r="C707" s="2">
        <v>14121</v>
      </c>
      <c r="D707" s="2">
        <v>4343</v>
      </c>
      <c r="E707" s="2">
        <v>100</v>
      </c>
      <c r="F707" s="2">
        <v>180</v>
      </c>
      <c r="G707" s="2">
        <v>590</v>
      </c>
      <c r="H707" s="2">
        <v>480</v>
      </c>
      <c r="I707" s="2">
        <v>681</v>
      </c>
      <c r="J707" s="2">
        <v>760</v>
      </c>
      <c r="K707" s="2">
        <v>520</v>
      </c>
      <c r="L707" s="2">
        <v>691</v>
      </c>
      <c r="M707" s="2">
        <v>531</v>
      </c>
      <c r="N707" s="2">
        <v>762</v>
      </c>
      <c r="O707" s="2">
        <v>50</v>
      </c>
      <c r="P707" s="2">
        <v>836</v>
      </c>
      <c r="Q707" s="2">
        <v>810</v>
      </c>
      <c r="R707" s="238">
        <v>367</v>
      </c>
      <c r="S707" s="219">
        <f xml:space="preserve"> 12</f>
        <v>12</v>
      </c>
      <c r="T707" s="220">
        <f>SUM( tabConsumo[[#This Row],[QTD.PENDENTE]]:tabConsumo[[#This Row],[09_23]] ) / tabConsumo[[#This Row],[Div]]</f>
        <v>582.58333333333337</v>
      </c>
      <c r="U707" s="221">
        <f xml:space="preserve"> tabConsumo[[#This Row],[Média.A]] + (_xlfn.STDEV.S( tabConsumo[[#This Row],[QTD.PENDENTE]]:tabConsumo[[#This Row],[09_23]] ) * 1)</f>
        <v>851.94961241758006</v>
      </c>
      <c r="V707" s="221">
        <f xml:space="preserve"> tabConsumo[[#This Row],[Média.A]] + (_xlfn.STDEV.S( tabConsumo[[#This Row],[QTD.PENDENTE]]:tabConsumo[[#This Row],[09_23]] ) * 2)</f>
        <v>1121.3158915018269</v>
      </c>
      <c r="W707" s="221">
        <f xml:space="preserve"> tabConsumo[[#This Row],[Média.A]] + (_xlfn.STDEV.S( tabConsumo[[#This Row],[QTD.PENDENTE]]:tabConsumo[[#This Row],[09_23]] ) * 3)</f>
        <v>1390.6821705860734</v>
      </c>
      <c r="X707" s="5">
        <f t="shared" ref="X707:X770" si="25" xml:space="preserve"> 2</f>
        <v>2</v>
      </c>
      <c r="Y707">
        <v>582.58333333333337</v>
      </c>
      <c r="Z707" s="223">
        <f>SUM( tabConsumo[[#This Row],[QTD.PENDENTE]]:tabConsumo[[#This Row],[09_23]] )</f>
        <v>6991</v>
      </c>
      <c r="AA707" s="223">
        <f>LARGE(tabConsumo[[#This Row],[10_22]:[09_23]],1)</f>
        <v>836</v>
      </c>
      <c r="AB707" s="146" t="s">
        <v>2238</v>
      </c>
      <c r="AC707" s="3" t="s">
        <v>2086</v>
      </c>
    </row>
    <row r="708" spans="1:29" x14ac:dyDescent="0.3">
      <c r="A708" s="4" t="s">
        <v>1665</v>
      </c>
      <c r="B708" s="3" t="s">
        <v>31</v>
      </c>
      <c r="C708" s="2">
        <v>109251</v>
      </c>
      <c r="D708" s="2">
        <v>259</v>
      </c>
      <c r="F708" s="2">
        <v>0</v>
      </c>
      <c r="G708" s="2">
        <v>0</v>
      </c>
      <c r="H708" s="2">
        <v>0</v>
      </c>
      <c r="I708" s="2">
        <v>0</v>
      </c>
      <c r="J708" s="2">
        <v>0</v>
      </c>
      <c r="K708" s="2">
        <v>0</v>
      </c>
      <c r="L708" s="2">
        <v>0</v>
      </c>
      <c r="M708" s="2">
        <v>0</v>
      </c>
      <c r="N708" s="2">
        <v>0</v>
      </c>
      <c r="O708" s="2">
        <v>0</v>
      </c>
      <c r="P708" s="2">
        <v>151</v>
      </c>
      <c r="Q708" s="2">
        <v>18</v>
      </c>
      <c r="R708" s="238">
        <v>39832</v>
      </c>
      <c r="S708" s="219">
        <v>12</v>
      </c>
      <c r="T708" s="220">
        <f>SUM( tabConsumo[[#This Row],[QTD.PENDENTE]]:tabConsumo[[#This Row],[09_23]] ) / tabConsumo[[#This Row],[Div]]</f>
        <v>14.083333333333334</v>
      </c>
      <c r="U708" s="221">
        <f xml:space="preserve"> tabConsumo[[#This Row],[Média.A]] + (_xlfn.STDEV.S( tabConsumo[[#This Row],[QTD.PENDENTE]]:tabConsumo[[#This Row],[09_23]] ) * 1)</f>
        <v>57.510300935867079</v>
      </c>
      <c r="V708" s="221">
        <f xml:space="preserve"> tabConsumo[[#This Row],[Média.A]] + (_xlfn.STDEV.S( tabConsumo[[#This Row],[QTD.PENDENTE]]:tabConsumo[[#This Row],[09_23]] ) * 2)</f>
        <v>100.93726853840082</v>
      </c>
      <c r="W708" s="221">
        <f xml:space="preserve"> tabConsumo[[#This Row],[Média.A]] + (_xlfn.STDEV.S( tabConsumo[[#This Row],[QTD.PENDENTE]]:tabConsumo[[#This Row],[09_23]] ) * 3)</f>
        <v>144.36423614093457</v>
      </c>
      <c r="X708" s="5">
        <f t="shared" si="25"/>
        <v>2</v>
      </c>
      <c r="Y708">
        <v>9.8333333333333339</v>
      </c>
      <c r="Z708" s="223">
        <f>SUM( tabConsumo[[#This Row],[QTD.PENDENTE]]:tabConsumo[[#This Row],[09_23]] )</f>
        <v>169</v>
      </c>
      <c r="AA708" s="223">
        <f>LARGE(tabConsumo[[#This Row],[10_22]:[09_23]],1)</f>
        <v>151</v>
      </c>
      <c r="AB708" s="146" t="s">
        <v>2238</v>
      </c>
      <c r="AC708" s="3" t="s">
        <v>2086</v>
      </c>
    </row>
    <row r="709" spans="1:29" x14ac:dyDescent="0.3">
      <c r="A709" s="4" t="s">
        <v>1471</v>
      </c>
      <c r="B709" s="3" t="s">
        <v>267</v>
      </c>
      <c r="C709" s="2">
        <v>81152</v>
      </c>
      <c r="D709" s="2">
        <v>609</v>
      </c>
      <c r="F709" s="2">
        <v>0</v>
      </c>
      <c r="G709" s="2">
        <v>1</v>
      </c>
      <c r="H709" s="2">
        <v>4</v>
      </c>
      <c r="I709" s="2">
        <v>3</v>
      </c>
      <c r="J709" s="2">
        <v>0</v>
      </c>
      <c r="K709" s="2">
        <v>1</v>
      </c>
      <c r="L709" s="2">
        <v>1</v>
      </c>
      <c r="M709" s="2">
        <v>1</v>
      </c>
      <c r="N709" s="2">
        <v>1</v>
      </c>
      <c r="O709" s="2">
        <v>1</v>
      </c>
      <c r="P709" s="2">
        <v>2</v>
      </c>
      <c r="Q709" s="2">
        <v>2</v>
      </c>
      <c r="R709" s="238">
        <v>38208</v>
      </c>
      <c r="S709" s="219">
        <v>12</v>
      </c>
      <c r="T709" s="220">
        <f>SUM( tabConsumo[[#This Row],[QTD.PENDENTE]]:tabConsumo[[#This Row],[09_23]] ) / tabConsumo[[#This Row],[Div]]</f>
        <v>1.4166666666666667</v>
      </c>
      <c r="U709" s="221">
        <f xml:space="preserve"> tabConsumo[[#This Row],[Média.A]] + (_xlfn.STDEV.S( tabConsumo[[#This Row],[QTD.PENDENTE]]:tabConsumo[[#This Row],[09_23]] ) * 1)</f>
        <v>2.581166819547982</v>
      </c>
      <c r="V709" s="221">
        <f xml:space="preserve"> tabConsumo[[#This Row],[Média.A]] + (_xlfn.STDEV.S( tabConsumo[[#This Row],[QTD.PENDENTE]]:tabConsumo[[#This Row],[09_23]] ) * 2)</f>
        <v>3.745666972429297</v>
      </c>
      <c r="W709" s="221">
        <f xml:space="preserve"> tabConsumo[[#This Row],[Média.A]] + (_xlfn.STDEV.S( tabConsumo[[#This Row],[QTD.PENDENTE]]:tabConsumo[[#This Row],[09_23]] ) * 3)</f>
        <v>4.9101671253106121</v>
      </c>
      <c r="X709" s="5">
        <f t="shared" si="25"/>
        <v>2</v>
      </c>
      <c r="Y709">
        <v>1.3333333333333333</v>
      </c>
      <c r="Z709" s="223">
        <f>SUM( tabConsumo[[#This Row],[QTD.PENDENTE]]:tabConsumo[[#This Row],[09_23]] )</f>
        <v>17</v>
      </c>
      <c r="AA709" s="223">
        <f>LARGE(tabConsumo[[#This Row],[10_22]:[09_23]],1)</f>
        <v>4</v>
      </c>
      <c r="AB709" s="146" t="s">
        <v>2238</v>
      </c>
      <c r="AC709" s="3" t="s">
        <v>2086</v>
      </c>
    </row>
    <row r="710" spans="1:29" x14ac:dyDescent="0.3">
      <c r="A710" s="4" t="s">
        <v>1577</v>
      </c>
      <c r="B710" s="3" t="s">
        <v>320</v>
      </c>
      <c r="C710" s="2">
        <v>100907</v>
      </c>
      <c r="D710" s="2">
        <v>103</v>
      </c>
      <c r="F710" s="2">
        <v>0</v>
      </c>
      <c r="G710" s="2">
        <v>20</v>
      </c>
      <c r="H710" s="2">
        <v>7</v>
      </c>
      <c r="I710" s="2">
        <v>13</v>
      </c>
      <c r="J710" s="2">
        <v>19</v>
      </c>
      <c r="K710" s="2">
        <v>11</v>
      </c>
      <c r="L710" s="2">
        <v>16</v>
      </c>
      <c r="M710" s="2">
        <v>13</v>
      </c>
      <c r="N710" s="2">
        <v>7</v>
      </c>
      <c r="O710" s="2">
        <v>7</v>
      </c>
      <c r="P710" s="2">
        <v>15</v>
      </c>
      <c r="Q710" s="2">
        <v>5</v>
      </c>
      <c r="R710" s="238">
        <v>39281</v>
      </c>
      <c r="S710" s="219">
        <v>12</v>
      </c>
      <c r="T710" s="220">
        <f>SUM( tabConsumo[[#This Row],[QTD.PENDENTE]]:tabConsumo[[#This Row],[09_23]] ) / tabConsumo[[#This Row],[Div]]</f>
        <v>11.083333333333334</v>
      </c>
      <c r="U710" s="221">
        <f xml:space="preserve"> tabConsumo[[#This Row],[Média.A]] + (_xlfn.STDEV.S( tabConsumo[[#This Row],[QTD.PENDENTE]]:tabConsumo[[#This Row],[09_23]] ) * 1)</f>
        <v>17.105388756123091</v>
      </c>
      <c r="V710" s="221">
        <f xml:space="preserve"> tabConsumo[[#This Row],[Média.A]] + (_xlfn.STDEV.S( tabConsumo[[#This Row],[QTD.PENDENTE]]:tabConsumo[[#This Row],[09_23]] ) * 2)</f>
        <v>23.127444178912846</v>
      </c>
      <c r="W710" s="221">
        <f xml:space="preserve"> tabConsumo[[#This Row],[Média.A]] + (_xlfn.STDEV.S( tabConsumo[[#This Row],[QTD.PENDENTE]]:tabConsumo[[#This Row],[09_23]] ) * 3)</f>
        <v>29.149499601702608</v>
      </c>
      <c r="X710" s="5">
        <f t="shared" si="25"/>
        <v>2</v>
      </c>
      <c r="Y710">
        <v>11.083333333333334</v>
      </c>
      <c r="Z710" s="223">
        <f>SUM( tabConsumo[[#This Row],[QTD.PENDENTE]]:tabConsumo[[#This Row],[09_23]] )</f>
        <v>133</v>
      </c>
      <c r="AA710" s="223">
        <f>LARGE(tabConsumo[[#This Row],[10_22]:[09_23]],1)</f>
        <v>20</v>
      </c>
      <c r="AB710" s="146" t="s">
        <v>2238</v>
      </c>
      <c r="AC710" s="3" t="s">
        <v>2086</v>
      </c>
    </row>
    <row r="711" spans="1:29" x14ac:dyDescent="0.3">
      <c r="A711" s="4" t="s">
        <v>1314</v>
      </c>
      <c r="B711" s="3" t="s">
        <v>263</v>
      </c>
      <c r="C711" s="2">
        <v>54019</v>
      </c>
      <c r="D711" s="2">
        <v>455</v>
      </c>
      <c r="F711" s="2">
        <v>40</v>
      </c>
      <c r="G711" s="2">
        <v>90</v>
      </c>
      <c r="H711" s="2">
        <v>20</v>
      </c>
      <c r="I711" s="2">
        <v>105</v>
      </c>
      <c r="J711" s="2">
        <v>64</v>
      </c>
      <c r="K711" s="2">
        <v>4</v>
      </c>
      <c r="L711" s="2">
        <v>35</v>
      </c>
      <c r="M711" s="2">
        <v>0</v>
      </c>
      <c r="N711" s="2">
        <v>10</v>
      </c>
      <c r="O711" s="2">
        <v>0</v>
      </c>
      <c r="P711" s="2">
        <v>60</v>
      </c>
      <c r="Q711" s="2">
        <v>0</v>
      </c>
      <c r="R711" s="238">
        <v>367</v>
      </c>
      <c r="S711" s="219">
        <f xml:space="preserve"> 12</f>
        <v>12</v>
      </c>
      <c r="T711" s="220">
        <f>SUM( tabConsumo[[#This Row],[QTD.PENDENTE]]:tabConsumo[[#This Row],[09_23]] ) / tabConsumo[[#This Row],[Div]]</f>
        <v>35.666666666666664</v>
      </c>
      <c r="U711" s="221">
        <f xml:space="preserve"> tabConsumo[[#This Row],[Média.A]] + (_xlfn.STDEV.S( tabConsumo[[#This Row],[QTD.PENDENTE]]:tabConsumo[[#This Row],[09_23]] ) * 1)</f>
        <v>72.466699604728348</v>
      </c>
      <c r="V711" s="221">
        <f xml:space="preserve"> tabConsumo[[#This Row],[Média.A]] + (_xlfn.STDEV.S( tabConsumo[[#This Row],[QTD.PENDENTE]]:tabConsumo[[#This Row],[09_23]] ) * 2)</f>
        <v>109.26673254279001</v>
      </c>
      <c r="W711" s="221">
        <f xml:space="preserve"> tabConsumo[[#This Row],[Média.A]] + (_xlfn.STDEV.S( tabConsumo[[#This Row],[QTD.PENDENTE]]:tabConsumo[[#This Row],[09_23]] ) * 3)</f>
        <v>146.0667654808517</v>
      </c>
      <c r="X711" s="5">
        <f t="shared" si="25"/>
        <v>2</v>
      </c>
      <c r="Y711">
        <v>35.666666666666664</v>
      </c>
      <c r="Z711" s="223">
        <f>SUM( tabConsumo[[#This Row],[QTD.PENDENTE]]:tabConsumo[[#This Row],[09_23]] )</f>
        <v>428</v>
      </c>
      <c r="AA711" s="223">
        <f>LARGE(tabConsumo[[#This Row],[10_22]:[09_23]],1)</f>
        <v>105</v>
      </c>
      <c r="AB711" s="146" t="s">
        <v>2241</v>
      </c>
      <c r="AC711" s="3" t="s">
        <v>2086</v>
      </c>
    </row>
    <row r="712" spans="1:29" x14ac:dyDescent="0.3">
      <c r="A712" s="4" t="s">
        <v>1657</v>
      </c>
      <c r="B712" s="3" t="s">
        <v>263</v>
      </c>
      <c r="C712" s="2">
        <v>107926</v>
      </c>
      <c r="D712" s="2">
        <v>4424</v>
      </c>
      <c r="F712" s="2">
        <v>500</v>
      </c>
      <c r="G712" s="2">
        <v>2060</v>
      </c>
      <c r="H712" s="2">
        <v>0</v>
      </c>
      <c r="I712" s="2">
        <v>0</v>
      </c>
      <c r="J712" s="2">
        <v>0</v>
      </c>
      <c r="K712" s="2">
        <v>0</v>
      </c>
      <c r="L712" s="2">
        <v>500</v>
      </c>
      <c r="M712" s="2">
        <v>0</v>
      </c>
      <c r="N712" s="2">
        <v>16</v>
      </c>
      <c r="O712" s="2">
        <v>0</v>
      </c>
      <c r="P712" s="2">
        <v>0</v>
      </c>
      <c r="Q712" s="2">
        <v>1000</v>
      </c>
      <c r="R712" s="238">
        <v>39710</v>
      </c>
      <c r="S712" s="219">
        <v>12</v>
      </c>
      <c r="T712" s="220">
        <f>SUM( tabConsumo[[#This Row],[QTD.PENDENTE]]:tabConsumo[[#This Row],[09_23]] ) / tabConsumo[[#This Row],[Div]]</f>
        <v>339.66666666666669</v>
      </c>
      <c r="U712" s="221">
        <f xml:space="preserve"> tabConsumo[[#This Row],[Média.A]] + (_xlfn.STDEV.S( tabConsumo[[#This Row],[QTD.PENDENTE]]:tabConsumo[[#This Row],[09_23]] ) * 1)</f>
        <v>969.19568734703853</v>
      </c>
      <c r="V712" s="221">
        <f xml:space="preserve"> tabConsumo[[#This Row],[Média.A]] + (_xlfn.STDEV.S( tabConsumo[[#This Row],[QTD.PENDENTE]]:tabConsumo[[#This Row],[09_23]] ) * 2)</f>
        <v>1598.7247080274103</v>
      </c>
      <c r="W712" s="221">
        <f xml:space="preserve"> tabConsumo[[#This Row],[Média.A]] + (_xlfn.STDEV.S( tabConsumo[[#This Row],[QTD.PENDENTE]]:tabConsumo[[#This Row],[09_23]] ) * 3)</f>
        <v>2228.2537287077821</v>
      </c>
      <c r="X712" s="5">
        <f t="shared" si="25"/>
        <v>2</v>
      </c>
      <c r="Y712">
        <v>301.16666666666669</v>
      </c>
      <c r="Z712" s="223">
        <f>SUM( tabConsumo[[#This Row],[QTD.PENDENTE]]:tabConsumo[[#This Row],[09_23]] )</f>
        <v>4076</v>
      </c>
      <c r="AA712" s="223">
        <f>LARGE(tabConsumo[[#This Row],[10_22]:[09_23]],1)</f>
        <v>2060</v>
      </c>
      <c r="AB712" s="146" t="s">
        <v>2238</v>
      </c>
      <c r="AC712" s="3" t="s">
        <v>2086</v>
      </c>
    </row>
    <row r="713" spans="1:29" x14ac:dyDescent="0.3">
      <c r="A713" s="4" t="s">
        <v>1387</v>
      </c>
      <c r="B713" s="3" t="s">
        <v>263</v>
      </c>
      <c r="C713" s="2">
        <v>64646</v>
      </c>
      <c r="D713" s="2">
        <v>1080</v>
      </c>
      <c r="F713" s="2">
        <v>0</v>
      </c>
      <c r="G713" s="2">
        <v>0</v>
      </c>
      <c r="H713" s="2">
        <v>40</v>
      </c>
      <c r="I713" s="2">
        <v>120</v>
      </c>
      <c r="J713" s="2">
        <v>0</v>
      </c>
      <c r="K713" s="2">
        <v>0</v>
      </c>
      <c r="L713" s="2">
        <v>500</v>
      </c>
      <c r="M713" s="2">
        <v>0</v>
      </c>
      <c r="N713" s="2">
        <v>0</v>
      </c>
      <c r="O713" s="2">
        <v>0</v>
      </c>
      <c r="P713" s="2">
        <v>0</v>
      </c>
      <c r="Q713" s="2">
        <v>0</v>
      </c>
      <c r="R713" s="238">
        <v>367</v>
      </c>
      <c r="S713" s="219">
        <f xml:space="preserve"> 12</f>
        <v>12</v>
      </c>
      <c r="T713" s="220">
        <f>SUM( tabConsumo[[#This Row],[QTD.PENDENTE]]:tabConsumo[[#This Row],[09_23]] ) / tabConsumo[[#This Row],[Div]]</f>
        <v>55</v>
      </c>
      <c r="U713" s="221">
        <f xml:space="preserve"> tabConsumo[[#This Row],[Média.A]] + (_xlfn.STDEV.S( tabConsumo[[#This Row],[QTD.PENDENTE]]:tabConsumo[[#This Row],[09_23]] ) * 1)</f>
        <v>199.50542613278637</v>
      </c>
      <c r="V713" s="221">
        <f xml:space="preserve"> tabConsumo[[#This Row],[Média.A]] + (_xlfn.STDEV.S( tabConsumo[[#This Row],[QTD.PENDENTE]]:tabConsumo[[#This Row],[09_23]] ) * 2)</f>
        <v>344.01085226557274</v>
      </c>
      <c r="W713" s="221">
        <f xml:space="preserve"> tabConsumo[[#This Row],[Média.A]] + (_xlfn.STDEV.S( tabConsumo[[#This Row],[QTD.PENDENTE]]:tabConsumo[[#This Row],[09_23]] ) * 3)</f>
        <v>488.51627839835908</v>
      </c>
      <c r="X713" s="5">
        <f t="shared" si="25"/>
        <v>2</v>
      </c>
      <c r="Y713">
        <v>42</v>
      </c>
      <c r="Z713" s="223">
        <f>SUM( tabConsumo[[#This Row],[QTD.PENDENTE]]:tabConsumo[[#This Row],[09_23]] )</f>
        <v>660</v>
      </c>
      <c r="AA713" s="223">
        <f>LARGE(tabConsumo[[#This Row],[10_22]:[09_23]],1)</f>
        <v>500</v>
      </c>
      <c r="AB713" s="146" t="s">
        <v>2240</v>
      </c>
      <c r="AC713" s="3" t="s">
        <v>2086</v>
      </c>
    </row>
    <row r="714" spans="1:29" x14ac:dyDescent="0.3">
      <c r="A714" s="4" t="s">
        <v>1750</v>
      </c>
      <c r="B714" s="3" t="s">
        <v>31</v>
      </c>
      <c r="C714" s="2">
        <v>121126</v>
      </c>
      <c r="D714" s="2">
        <v>0</v>
      </c>
      <c r="E714" s="2">
        <v>17776</v>
      </c>
      <c r="F714" s="2">
        <v>14950</v>
      </c>
      <c r="G714" s="2">
        <v>14151</v>
      </c>
      <c r="H714" s="2">
        <v>4599</v>
      </c>
      <c r="I714" s="2">
        <v>800</v>
      </c>
      <c r="J714" s="2">
        <v>8</v>
      </c>
      <c r="K714" s="2">
        <v>0</v>
      </c>
      <c r="L714" s="2">
        <v>0</v>
      </c>
      <c r="M714" s="2">
        <v>0</v>
      </c>
      <c r="N714" s="2">
        <v>0</v>
      </c>
      <c r="O714" s="2">
        <v>0</v>
      </c>
      <c r="P714" s="2">
        <v>0</v>
      </c>
      <c r="Q714" s="2">
        <v>0</v>
      </c>
      <c r="R714" s="238">
        <v>40814</v>
      </c>
      <c r="S714" s="219">
        <v>12</v>
      </c>
      <c r="T714" s="220">
        <f>SUM( tabConsumo[[#This Row],[QTD.PENDENTE]]:tabConsumo[[#This Row],[09_23]] ) / tabConsumo[[#This Row],[Div]]</f>
        <v>4357</v>
      </c>
      <c r="U714" s="221">
        <f xml:space="preserve"> tabConsumo[[#This Row],[Média.A]] + (_xlfn.STDEV.S( tabConsumo[[#This Row],[QTD.PENDENTE]]:tabConsumo[[#This Row],[09_23]] ) * 1)</f>
        <v>11134.733997511677</v>
      </c>
      <c r="V714" s="221">
        <f xml:space="preserve"> tabConsumo[[#This Row],[Média.A]] + (_xlfn.STDEV.S( tabConsumo[[#This Row],[QTD.PENDENTE]]:tabConsumo[[#This Row],[09_23]] ) * 2)</f>
        <v>17912.467995023355</v>
      </c>
      <c r="W714" s="221">
        <f xml:space="preserve"> tabConsumo[[#This Row],[Média.A]] + (_xlfn.STDEV.S( tabConsumo[[#This Row],[QTD.PENDENTE]]:tabConsumo[[#This Row],[09_23]] ) * 3)</f>
        <v>24690.201992535036</v>
      </c>
      <c r="X714" s="5">
        <f t="shared" si="25"/>
        <v>2</v>
      </c>
      <c r="Y714">
        <v>4357</v>
      </c>
      <c r="Z714" s="223">
        <f>SUM( tabConsumo[[#This Row],[QTD.PENDENTE]]:tabConsumo[[#This Row],[09_23]] )</f>
        <v>52284</v>
      </c>
      <c r="AA714" s="223">
        <f>LARGE(tabConsumo[[#This Row],[10_22]:[09_23]],1)</f>
        <v>14950</v>
      </c>
      <c r="AB714" s="146" t="s">
        <v>2248</v>
      </c>
      <c r="AC714" s="3" t="s">
        <v>2086</v>
      </c>
    </row>
    <row r="715" spans="1:29" x14ac:dyDescent="0.3">
      <c r="A715" s="4" t="s">
        <v>1431</v>
      </c>
      <c r="B715" s="3" t="s">
        <v>263</v>
      </c>
      <c r="C715" s="2">
        <v>77562</v>
      </c>
      <c r="D715" s="2">
        <v>0</v>
      </c>
      <c r="E715" s="2">
        <v>183</v>
      </c>
      <c r="F715" s="2">
        <v>499</v>
      </c>
      <c r="G715" s="2">
        <v>481</v>
      </c>
      <c r="H715" s="2">
        <v>281</v>
      </c>
      <c r="I715" s="2">
        <v>633</v>
      </c>
      <c r="J715" s="2">
        <v>100</v>
      </c>
      <c r="K715" s="2">
        <v>559</v>
      </c>
      <c r="L715" s="2">
        <v>220</v>
      </c>
      <c r="M715" s="2">
        <v>865</v>
      </c>
      <c r="N715" s="2">
        <v>90</v>
      </c>
      <c r="O715" s="2">
        <v>370</v>
      </c>
      <c r="P715" s="2">
        <v>431</v>
      </c>
      <c r="Q715" s="2">
        <v>0</v>
      </c>
      <c r="R715" s="238">
        <v>38056</v>
      </c>
      <c r="S715" s="219">
        <v>12</v>
      </c>
      <c r="T715" s="220">
        <f>SUM( tabConsumo[[#This Row],[QTD.PENDENTE]]:tabConsumo[[#This Row],[09_23]] ) / tabConsumo[[#This Row],[Div]]</f>
        <v>392.66666666666669</v>
      </c>
      <c r="U715" s="221">
        <f xml:space="preserve"> tabConsumo[[#This Row],[Média.A]] + (_xlfn.STDEV.S( tabConsumo[[#This Row],[QTD.PENDENTE]]:tabConsumo[[#This Row],[09_23]] ) * 1)</f>
        <v>640.22966046306567</v>
      </c>
      <c r="V715" s="221">
        <f xml:space="preserve"> tabConsumo[[#This Row],[Média.A]] + (_xlfn.STDEV.S( tabConsumo[[#This Row],[QTD.PENDENTE]]:tabConsumo[[#This Row],[09_23]] ) * 2)</f>
        <v>887.79265425946471</v>
      </c>
      <c r="W715" s="221">
        <f xml:space="preserve"> tabConsumo[[#This Row],[Média.A]] + (_xlfn.STDEV.S( tabConsumo[[#This Row],[QTD.PENDENTE]]:tabConsumo[[#This Row],[09_23]] ) * 3)</f>
        <v>1135.3556480558636</v>
      </c>
      <c r="X715" s="5">
        <f t="shared" si="25"/>
        <v>2</v>
      </c>
      <c r="Y715">
        <v>392.66666666666669</v>
      </c>
      <c r="Z715" s="223">
        <f>SUM( tabConsumo[[#This Row],[QTD.PENDENTE]]:tabConsumo[[#This Row],[09_23]] )</f>
        <v>4712</v>
      </c>
      <c r="AA715" s="223">
        <f>LARGE(tabConsumo[[#This Row],[10_22]:[09_23]],1)</f>
        <v>865</v>
      </c>
      <c r="AB715" s="146" t="s">
        <v>2241</v>
      </c>
      <c r="AC715" s="3" t="s">
        <v>2086</v>
      </c>
    </row>
    <row r="716" spans="1:29" x14ac:dyDescent="0.3">
      <c r="A716" s="4" t="s">
        <v>1519</v>
      </c>
      <c r="B716" s="3" t="s">
        <v>287</v>
      </c>
      <c r="C716" s="2">
        <v>88839</v>
      </c>
      <c r="D716" s="2">
        <v>51</v>
      </c>
      <c r="F716" s="2">
        <v>10</v>
      </c>
      <c r="G716" s="2">
        <v>1</v>
      </c>
      <c r="H716" s="2">
        <v>5</v>
      </c>
      <c r="I716" s="2">
        <v>6</v>
      </c>
      <c r="J716" s="2">
        <v>0</v>
      </c>
      <c r="K716" s="2">
        <v>10</v>
      </c>
      <c r="L716" s="2">
        <v>2</v>
      </c>
      <c r="M716" s="2">
        <v>2</v>
      </c>
      <c r="N716" s="2">
        <v>1</v>
      </c>
      <c r="O716" s="2">
        <v>0</v>
      </c>
      <c r="P716" s="2">
        <v>0</v>
      </c>
      <c r="Q716" s="2">
        <v>4</v>
      </c>
      <c r="R716" s="238">
        <v>38663</v>
      </c>
      <c r="S716" s="219">
        <v>12</v>
      </c>
      <c r="T716" s="220">
        <f>SUM( tabConsumo[[#This Row],[QTD.PENDENTE]]:tabConsumo[[#This Row],[09_23]] ) / tabConsumo[[#This Row],[Div]]</f>
        <v>3.4166666666666665</v>
      </c>
      <c r="U716" s="221">
        <f xml:space="preserve"> tabConsumo[[#This Row],[Média.A]] + (_xlfn.STDEV.S( tabConsumo[[#This Row],[QTD.PENDENTE]]:tabConsumo[[#This Row],[09_23]] ) * 1)</f>
        <v>7.0712611183207219</v>
      </c>
      <c r="V716" s="221">
        <f xml:space="preserve"> tabConsumo[[#This Row],[Média.A]] + (_xlfn.STDEV.S( tabConsumo[[#This Row],[QTD.PENDENTE]]:tabConsumo[[#This Row],[09_23]] ) * 2)</f>
        <v>10.725855569974778</v>
      </c>
      <c r="W716" s="221">
        <f xml:space="preserve"> tabConsumo[[#This Row],[Média.A]] + (_xlfn.STDEV.S( tabConsumo[[#This Row],[QTD.PENDENTE]]:tabConsumo[[#This Row],[09_23]] ) * 3)</f>
        <v>14.380450021628832</v>
      </c>
      <c r="X716" s="5">
        <f t="shared" si="25"/>
        <v>2</v>
      </c>
      <c r="Y716">
        <v>3.4166666666666665</v>
      </c>
      <c r="Z716" s="223">
        <f>SUM( tabConsumo[[#This Row],[QTD.PENDENTE]]:tabConsumo[[#This Row],[09_23]] )</f>
        <v>41</v>
      </c>
      <c r="AA716" s="223">
        <f>LARGE(tabConsumo[[#This Row],[10_22]:[09_23]],1)</f>
        <v>10</v>
      </c>
      <c r="AB716" s="146" t="s">
        <v>2238</v>
      </c>
      <c r="AC716" s="3" t="s">
        <v>2086</v>
      </c>
    </row>
    <row r="717" spans="1:29" x14ac:dyDescent="0.3">
      <c r="A717" s="4" t="s">
        <v>1792</v>
      </c>
      <c r="B717" s="3" t="s">
        <v>301</v>
      </c>
      <c r="C717" s="2">
        <v>128288</v>
      </c>
      <c r="D717" s="2">
        <v>0</v>
      </c>
      <c r="E717" s="2">
        <v>2</v>
      </c>
      <c r="F717" s="2">
        <v>1</v>
      </c>
      <c r="G717" s="2">
        <v>1</v>
      </c>
      <c r="H717" s="2">
        <v>3</v>
      </c>
      <c r="I717" s="2">
        <v>0</v>
      </c>
      <c r="J717" s="2">
        <v>10</v>
      </c>
      <c r="K717" s="2">
        <v>0</v>
      </c>
      <c r="L717" s="2">
        <v>0</v>
      </c>
      <c r="M717" s="2">
        <v>0</v>
      </c>
      <c r="N717" s="2">
        <v>0</v>
      </c>
      <c r="O717" s="2">
        <v>0</v>
      </c>
      <c r="P717" s="2">
        <v>0</v>
      </c>
      <c r="Q717" s="2">
        <v>0</v>
      </c>
      <c r="R717" s="238">
        <v>41830</v>
      </c>
      <c r="S717" s="219">
        <v>12</v>
      </c>
      <c r="T717" s="220">
        <f>SUM( tabConsumo[[#This Row],[QTD.PENDENTE]]:tabConsumo[[#This Row],[09_23]] ) / tabConsumo[[#This Row],[Div]]</f>
        <v>1.4166666666666667</v>
      </c>
      <c r="U717" s="221">
        <f xml:space="preserve"> tabConsumo[[#This Row],[Média.A]] + (_xlfn.STDEV.S( tabConsumo[[#This Row],[QTD.PENDENTE]]:tabConsumo[[#This Row],[09_23]] ) * 1)</f>
        <v>4.1970927546555616</v>
      </c>
      <c r="V717" s="221">
        <f xml:space="preserve"> tabConsumo[[#This Row],[Média.A]] + (_xlfn.STDEV.S( tabConsumo[[#This Row],[QTD.PENDENTE]]:tabConsumo[[#This Row],[09_23]] ) * 2)</f>
        <v>6.9775188426444572</v>
      </c>
      <c r="W717" s="221">
        <f xml:space="preserve"> tabConsumo[[#This Row],[Média.A]] + (_xlfn.STDEV.S( tabConsumo[[#This Row],[QTD.PENDENTE]]:tabConsumo[[#This Row],[09_23]] ) * 3)</f>
        <v>9.7579449306333519</v>
      </c>
      <c r="X717" s="5">
        <f t="shared" si="25"/>
        <v>2</v>
      </c>
      <c r="Y717">
        <v>1.0833333333333333</v>
      </c>
      <c r="Z717" s="223">
        <f>SUM( tabConsumo[[#This Row],[QTD.PENDENTE]]:tabConsumo[[#This Row],[09_23]] )</f>
        <v>17</v>
      </c>
      <c r="AA717" s="223">
        <f>LARGE(tabConsumo[[#This Row],[10_22]:[09_23]],1)</f>
        <v>10</v>
      </c>
      <c r="AB717" s="146" t="s">
        <v>2248</v>
      </c>
      <c r="AC717" s="3" t="s">
        <v>2086</v>
      </c>
    </row>
    <row r="718" spans="1:29" x14ac:dyDescent="0.3">
      <c r="A718" s="4" t="s">
        <v>1358</v>
      </c>
      <c r="B718" s="3" t="s">
        <v>263</v>
      </c>
      <c r="C718" s="2">
        <v>63031</v>
      </c>
      <c r="D718" s="2">
        <v>0</v>
      </c>
      <c r="F718" s="2">
        <v>83</v>
      </c>
      <c r="G718" s="2">
        <v>68</v>
      </c>
      <c r="H718" s="2">
        <v>12</v>
      </c>
      <c r="I718" s="2">
        <v>51</v>
      </c>
      <c r="J718" s="2">
        <v>86</v>
      </c>
      <c r="K718" s="2">
        <v>123</v>
      </c>
      <c r="L718" s="2">
        <v>104</v>
      </c>
      <c r="M718" s="2">
        <v>104</v>
      </c>
      <c r="N718" s="2">
        <v>150</v>
      </c>
      <c r="O718" s="2">
        <v>0</v>
      </c>
      <c r="P718" s="2">
        <v>102</v>
      </c>
      <c r="Q718" s="2">
        <v>542</v>
      </c>
      <c r="R718" s="238">
        <v>367</v>
      </c>
      <c r="S718" s="219">
        <f xml:space="preserve"> 12</f>
        <v>12</v>
      </c>
      <c r="T718" s="220">
        <f>SUM( tabConsumo[[#This Row],[QTD.PENDENTE]]:tabConsumo[[#This Row],[09_23]] ) / tabConsumo[[#This Row],[Div]]</f>
        <v>118.75</v>
      </c>
      <c r="U718" s="221">
        <f xml:space="preserve"> tabConsumo[[#This Row],[Média.A]] + (_xlfn.STDEV.S( tabConsumo[[#This Row],[QTD.PENDENTE]]:tabConsumo[[#This Row],[09_23]] ) * 1)</f>
        <v>258.83576918185776</v>
      </c>
      <c r="V718" s="221">
        <f xml:space="preserve"> tabConsumo[[#This Row],[Média.A]] + (_xlfn.STDEV.S( tabConsumo[[#This Row],[QTD.PENDENTE]]:tabConsumo[[#This Row],[09_23]] ) * 2)</f>
        <v>398.92153836371551</v>
      </c>
      <c r="W718" s="221">
        <f xml:space="preserve"> tabConsumo[[#This Row],[Média.A]] + (_xlfn.STDEV.S( tabConsumo[[#This Row],[QTD.PENDENTE]]:tabConsumo[[#This Row],[09_23]] ) * 3)</f>
        <v>539.00730754557321</v>
      </c>
      <c r="X718" s="5">
        <f t="shared" si="25"/>
        <v>2</v>
      </c>
      <c r="Y718">
        <v>106.75</v>
      </c>
      <c r="Z718" s="223">
        <f>SUM( tabConsumo[[#This Row],[QTD.PENDENTE]]:tabConsumo[[#This Row],[09_23]] )</f>
        <v>1425</v>
      </c>
      <c r="AA718" s="223">
        <f>LARGE(tabConsumo[[#This Row],[10_22]:[09_23]],1)</f>
        <v>542</v>
      </c>
      <c r="AB718" s="146" t="s">
        <v>2238</v>
      </c>
      <c r="AC718" s="3" t="s">
        <v>2086</v>
      </c>
    </row>
    <row r="719" spans="1:29" x14ac:dyDescent="0.3">
      <c r="A719" s="4" t="s">
        <v>1576</v>
      </c>
      <c r="B719" s="3" t="s">
        <v>290</v>
      </c>
      <c r="C719" s="2">
        <v>100802</v>
      </c>
      <c r="D719" s="2">
        <v>794</v>
      </c>
      <c r="E719" s="2">
        <v>7</v>
      </c>
      <c r="F719" s="2">
        <v>173</v>
      </c>
      <c r="G719" s="2">
        <v>84</v>
      </c>
      <c r="H719" s="2">
        <v>174</v>
      </c>
      <c r="I719" s="2">
        <v>215</v>
      </c>
      <c r="J719" s="2">
        <v>0</v>
      </c>
      <c r="K719" s="2">
        <v>0</v>
      </c>
      <c r="L719" s="2">
        <v>0</v>
      </c>
      <c r="M719" s="2">
        <v>0</v>
      </c>
      <c r="N719" s="2">
        <v>0</v>
      </c>
      <c r="O719" s="2">
        <v>0</v>
      </c>
      <c r="P719" s="2">
        <v>98</v>
      </c>
      <c r="Q719" s="2">
        <v>84</v>
      </c>
      <c r="R719" s="238">
        <v>39275</v>
      </c>
      <c r="S719" s="219">
        <v>12</v>
      </c>
      <c r="T719" s="220">
        <f>SUM( tabConsumo[[#This Row],[QTD.PENDENTE]]:tabConsumo[[#This Row],[09_23]] ) / tabConsumo[[#This Row],[Div]]</f>
        <v>69.583333333333329</v>
      </c>
      <c r="U719" s="221">
        <f xml:space="preserve"> tabConsumo[[#This Row],[Média.A]] + (_xlfn.STDEV.S( tabConsumo[[#This Row],[QTD.PENDENTE]]:tabConsumo[[#This Row],[09_23]] ) * 1)</f>
        <v>149.45943932062033</v>
      </c>
      <c r="V719" s="221">
        <f xml:space="preserve"> tabConsumo[[#This Row],[Média.A]] + (_xlfn.STDEV.S( tabConsumo[[#This Row],[QTD.PENDENTE]]:tabConsumo[[#This Row],[09_23]] ) * 2)</f>
        <v>229.33554530790735</v>
      </c>
      <c r="W719" s="221">
        <f xml:space="preserve"> tabConsumo[[#This Row],[Média.A]] + (_xlfn.STDEV.S( tabConsumo[[#This Row],[QTD.PENDENTE]]:tabConsumo[[#This Row],[09_23]] ) * 3)</f>
        <v>309.21165129519432</v>
      </c>
      <c r="X719" s="5">
        <f t="shared" si="25"/>
        <v>2</v>
      </c>
      <c r="Y719">
        <v>69.583333333333329</v>
      </c>
      <c r="Z719" s="223">
        <f>SUM( tabConsumo[[#This Row],[QTD.PENDENTE]]:tabConsumo[[#This Row],[09_23]] )</f>
        <v>835</v>
      </c>
      <c r="AA719" s="223">
        <f>LARGE(tabConsumo[[#This Row],[10_22]:[09_23]],1)</f>
        <v>215</v>
      </c>
      <c r="AB719" s="146" t="s">
        <v>2238</v>
      </c>
      <c r="AC719" s="3" t="s">
        <v>2086</v>
      </c>
    </row>
    <row r="720" spans="1:29" x14ac:dyDescent="0.3">
      <c r="A720" s="4" t="s">
        <v>1183</v>
      </c>
      <c r="B720" s="3" t="s">
        <v>1070</v>
      </c>
      <c r="C720" s="2">
        <v>23778</v>
      </c>
      <c r="D720" s="2">
        <v>41</v>
      </c>
      <c r="F720" s="2">
        <v>14</v>
      </c>
      <c r="G720" s="2">
        <v>9</v>
      </c>
      <c r="H720" s="2">
        <v>5</v>
      </c>
      <c r="I720" s="2">
        <v>8</v>
      </c>
      <c r="J720" s="2">
        <v>8</v>
      </c>
      <c r="K720" s="2">
        <v>11</v>
      </c>
      <c r="L720" s="2">
        <v>10</v>
      </c>
      <c r="M720" s="2">
        <v>15</v>
      </c>
      <c r="N720" s="2">
        <v>16</v>
      </c>
      <c r="O720" s="2">
        <v>22</v>
      </c>
      <c r="P720" s="2">
        <v>56</v>
      </c>
      <c r="Q720" s="2">
        <v>11</v>
      </c>
      <c r="R720" s="238">
        <v>367</v>
      </c>
      <c r="S720" s="219">
        <f xml:space="preserve"> 12</f>
        <v>12</v>
      </c>
      <c r="T720" s="220">
        <f>SUM( tabConsumo[[#This Row],[QTD.PENDENTE]]:tabConsumo[[#This Row],[09_23]] ) / tabConsumo[[#This Row],[Div]]</f>
        <v>15.416666666666666</v>
      </c>
      <c r="U720" s="221">
        <f xml:space="preserve"> tabConsumo[[#This Row],[Média.A]] + (_xlfn.STDEV.S( tabConsumo[[#This Row],[QTD.PENDENTE]]:tabConsumo[[#This Row],[09_23]] ) * 1)</f>
        <v>28.970990588194326</v>
      </c>
      <c r="V720" s="221">
        <f xml:space="preserve"> tabConsumo[[#This Row],[Média.A]] + (_xlfn.STDEV.S( tabConsumo[[#This Row],[QTD.PENDENTE]]:tabConsumo[[#This Row],[09_23]] ) * 2)</f>
        <v>42.525314509721987</v>
      </c>
      <c r="W720" s="221">
        <f xml:space="preserve"> tabConsumo[[#This Row],[Média.A]] + (_xlfn.STDEV.S( tabConsumo[[#This Row],[QTD.PENDENTE]]:tabConsumo[[#This Row],[09_23]] ) * 3)</f>
        <v>56.079638431249641</v>
      </c>
      <c r="X720" s="5">
        <f t="shared" si="25"/>
        <v>2</v>
      </c>
      <c r="Y720">
        <v>14.25</v>
      </c>
      <c r="Z720" s="223">
        <f>SUM( tabConsumo[[#This Row],[QTD.PENDENTE]]:tabConsumo[[#This Row],[09_23]] )</f>
        <v>185</v>
      </c>
      <c r="AA720" s="223">
        <f>LARGE(tabConsumo[[#This Row],[10_22]:[09_23]],1)</f>
        <v>56</v>
      </c>
      <c r="AB720" s="146" t="s">
        <v>2238</v>
      </c>
      <c r="AC720" s="3" t="s">
        <v>2086</v>
      </c>
    </row>
    <row r="721" spans="1:29" x14ac:dyDescent="0.3">
      <c r="A721" s="4" t="s">
        <v>1075</v>
      </c>
      <c r="B721" s="3" t="s">
        <v>263</v>
      </c>
      <c r="C721" s="2">
        <v>14831</v>
      </c>
      <c r="D721" s="2">
        <v>380</v>
      </c>
      <c r="F721" s="2">
        <v>33</v>
      </c>
      <c r="G721" s="2">
        <v>15</v>
      </c>
      <c r="H721" s="2">
        <v>19</v>
      </c>
      <c r="I721" s="2">
        <v>109</v>
      </c>
      <c r="J721" s="2">
        <v>0</v>
      </c>
      <c r="K721" s="2">
        <v>5</v>
      </c>
      <c r="L721" s="2">
        <v>40</v>
      </c>
      <c r="M721" s="2">
        <v>0</v>
      </c>
      <c r="N721" s="2">
        <v>15</v>
      </c>
      <c r="O721" s="2">
        <v>0</v>
      </c>
      <c r="P721" s="2">
        <v>0</v>
      </c>
      <c r="Q721" s="2">
        <v>50</v>
      </c>
      <c r="R721" s="238">
        <v>367</v>
      </c>
      <c r="S721" s="219">
        <f xml:space="preserve"> 12</f>
        <v>12</v>
      </c>
      <c r="T721" s="220">
        <f>SUM( tabConsumo[[#This Row],[QTD.PENDENTE]]:tabConsumo[[#This Row],[09_23]] ) / tabConsumo[[#This Row],[Div]]</f>
        <v>23.833333333333332</v>
      </c>
      <c r="U721" s="221">
        <f xml:space="preserve"> tabConsumo[[#This Row],[Média.A]] + (_xlfn.STDEV.S( tabConsumo[[#This Row],[QTD.PENDENTE]]:tabConsumo[[#This Row],[09_23]] ) * 1)</f>
        <v>55.584735115798232</v>
      </c>
      <c r="V721" s="221">
        <f xml:space="preserve"> tabConsumo[[#This Row],[Média.A]] + (_xlfn.STDEV.S( tabConsumo[[#This Row],[QTD.PENDENTE]]:tabConsumo[[#This Row],[09_23]] ) * 2)</f>
        <v>87.336136898263135</v>
      </c>
      <c r="W721" s="221">
        <f xml:space="preserve"> tabConsumo[[#This Row],[Média.A]] + (_xlfn.STDEV.S( tabConsumo[[#This Row],[QTD.PENDENTE]]:tabConsumo[[#This Row],[09_23]] ) * 3)</f>
        <v>119.08753868072803</v>
      </c>
      <c r="X721" s="5">
        <f t="shared" si="25"/>
        <v>2</v>
      </c>
      <c r="Y721">
        <v>22</v>
      </c>
      <c r="Z721" s="223">
        <f>SUM( tabConsumo[[#This Row],[QTD.PENDENTE]]:tabConsumo[[#This Row],[09_23]] )</f>
        <v>286</v>
      </c>
      <c r="AA721" s="223">
        <f>LARGE(tabConsumo[[#This Row],[10_22]:[09_23]],1)</f>
        <v>109</v>
      </c>
      <c r="AB721" s="146" t="s">
        <v>2238</v>
      </c>
      <c r="AC721" s="3" t="s">
        <v>2086</v>
      </c>
    </row>
    <row r="722" spans="1:29" x14ac:dyDescent="0.3">
      <c r="A722" s="4" t="s">
        <v>1852</v>
      </c>
      <c r="B722" s="3" t="s">
        <v>263</v>
      </c>
      <c r="C722" s="2">
        <v>133301</v>
      </c>
      <c r="D722" s="2">
        <v>0</v>
      </c>
      <c r="E722" s="2">
        <v>1478</v>
      </c>
      <c r="F722" s="2">
        <v>630</v>
      </c>
      <c r="G722" s="2">
        <v>280</v>
      </c>
      <c r="H722" s="2">
        <v>650</v>
      </c>
      <c r="I722" s="2">
        <v>612</v>
      </c>
      <c r="J722" s="2">
        <v>0</v>
      </c>
      <c r="K722" s="2">
        <v>0</v>
      </c>
      <c r="L722" s="2">
        <v>0</v>
      </c>
      <c r="M722" s="2">
        <v>0</v>
      </c>
      <c r="N722" s="2">
        <v>0</v>
      </c>
      <c r="O722" s="2">
        <v>0</v>
      </c>
      <c r="P722" s="2">
        <v>0</v>
      </c>
      <c r="Q722" s="2">
        <v>0</v>
      </c>
      <c r="R722" s="238">
        <v>42978</v>
      </c>
      <c r="S722" s="219">
        <v>12</v>
      </c>
      <c r="T722" s="220">
        <f>SUM( tabConsumo[[#This Row],[QTD.PENDENTE]]:tabConsumo[[#This Row],[09_23]] ) / tabConsumo[[#This Row],[Div]]</f>
        <v>304.16666666666669</v>
      </c>
      <c r="U722" s="221">
        <f xml:space="preserve"> tabConsumo[[#This Row],[Média.A]] + (_xlfn.STDEV.S( tabConsumo[[#This Row],[QTD.PENDENTE]]:tabConsumo[[#This Row],[09_23]] ) * 1)</f>
        <v>754.35369332820767</v>
      </c>
      <c r="V722" s="221">
        <f xml:space="preserve"> tabConsumo[[#This Row],[Média.A]] + (_xlfn.STDEV.S( tabConsumo[[#This Row],[QTD.PENDENTE]]:tabConsumo[[#This Row],[09_23]] ) * 2)</f>
        <v>1204.5407199897486</v>
      </c>
      <c r="W722" s="221">
        <f xml:space="preserve"> tabConsumo[[#This Row],[Média.A]] + (_xlfn.STDEV.S( tabConsumo[[#This Row],[QTD.PENDENTE]]:tabConsumo[[#This Row],[09_23]] ) * 3)</f>
        <v>1654.7277466512896</v>
      </c>
      <c r="X722" s="5">
        <f t="shared" si="25"/>
        <v>2</v>
      </c>
      <c r="Y722">
        <v>304.16666666666669</v>
      </c>
      <c r="Z722" s="223">
        <f>SUM( tabConsumo[[#This Row],[QTD.PENDENTE]]:tabConsumo[[#This Row],[09_23]] )</f>
        <v>3650</v>
      </c>
      <c r="AA722" s="223">
        <f>LARGE(tabConsumo[[#This Row],[10_22]:[09_23]],1)</f>
        <v>650</v>
      </c>
      <c r="AB722" s="146" t="s">
        <v>2247</v>
      </c>
      <c r="AC722" s="3" t="s">
        <v>2086</v>
      </c>
    </row>
    <row r="723" spans="1:29" x14ac:dyDescent="0.3">
      <c r="A723" s="4" t="s">
        <v>1442</v>
      </c>
      <c r="B723" s="3" t="s">
        <v>267</v>
      </c>
      <c r="C723" s="2">
        <v>78057</v>
      </c>
      <c r="D723" s="2">
        <v>0</v>
      </c>
      <c r="E723" s="2">
        <v>715</v>
      </c>
      <c r="F723" s="2">
        <v>0</v>
      </c>
      <c r="G723" s="2">
        <v>3</v>
      </c>
      <c r="H723" s="2">
        <v>0</v>
      </c>
      <c r="I723" s="2">
        <v>0</v>
      </c>
      <c r="J723" s="2">
        <v>5</v>
      </c>
      <c r="K723" s="2">
        <v>0</v>
      </c>
      <c r="L723" s="2">
        <v>1</v>
      </c>
      <c r="M723" s="2">
        <v>285</v>
      </c>
      <c r="N723" s="2">
        <v>0</v>
      </c>
      <c r="O723" s="2">
        <v>0</v>
      </c>
      <c r="P723" s="2">
        <v>0</v>
      </c>
      <c r="Q723" s="2">
        <v>0</v>
      </c>
      <c r="R723" s="238">
        <v>38072</v>
      </c>
      <c r="S723" s="219">
        <v>12</v>
      </c>
      <c r="T723" s="220">
        <f>SUM( tabConsumo[[#This Row],[QTD.PENDENTE]]:tabConsumo[[#This Row],[09_23]] ) / tabConsumo[[#This Row],[Div]]</f>
        <v>84.083333333333329</v>
      </c>
      <c r="U723" s="221">
        <f xml:space="preserve"> tabConsumo[[#This Row],[Média.A]] + (_xlfn.STDEV.S( tabConsumo[[#This Row],[QTD.PENDENTE]]:tabConsumo[[#This Row],[09_23]] ) * 1)</f>
        <v>291.0799268888548</v>
      </c>
      <c r="V723" s="221">
        <f xml:space="preserve"> tabConsumo[[#This Row],[Média.A]] + (_xlfn.STDEV.S( tabConsumo[[#This Row],[QTD.PENDENTE]]:tabConsumo[[#This Row],[09_23]] ) * 2)</f>
        <v>498.07652044437623</v>
      </c>
      <c r="W723" s="221">
        <f xml:space="preserve"> tabConsumo[[#This Row],[Média.A]] + (_xlfn.STDEV.S( tabConsumo[[#This Row],[QTD.PENDENTE]]:tabConsumo[[#This Row],[09_23]] ) * 3)</f>
        <v>705.07311399989771</v>
      </c>
      <c r="X723" s="5">
        <f t="shared" si="25"/>
        <v>2</v>
      </c>
      <c r="Y723">
        <v>84.083333333333329</v>
      </c>
      <c r="Z723" s="223">
        <f>SUM( tabConsumo[[#This Row],[QTD.PENDENTE]]:tabConsumo[[#This Row],[09_23]] )</f>
        <v>1009</v>
      </c>
      <c r="AA723" s="223">
        <f>LARGE(tabConsumo[[#This Row],[10_22]:[09_23]],1)</f>
        <v>285</v>
      </c>
      <c r="AB723" s="146" t="s">
        <v>2244</v>
      </c>
      <c r="AC723" s="3" t="s">
        <v>2086</v>
      </c>
    </row>
    <row r="724" spans="1:29" x14ac:dyDescent="0.3">
      <c r="A724" s="4" t="s">
        <v>1731</v>
      </c>
      <c r="B724" s="3" t="s">
        <v>272</v>
      </c>
      <c r="C724" s="2">
        <v>118427</v>
      </c>
      <c r="D724" s="2">
        <v>0</v>
      </c>
      <c r="F724" s="2">
        <v>311</v>
      </c>
      <c r="G724" s="2">
        <v>1252</v>
      </c>
      <c r="H724" s="2">
        <v>1250</v>
      </c>
      <c r="I724" s="2">
        <v>496</v>
      </c>
      <c r="J724" s="2">
        <v>347</v>
      </c>
      <c r="K724" s="2">
        <v>540</v>
      </c>
      <c r="L724" s="2">
        <v>285</v>
      </c>
      <c r="M724" s="2">
        <v>230</v>
      </c>
      <c r="N724" s="2">
        <v>75</v>
      </c>
      <c r="O724" s="2">
        <v>0</v>
      </c>
      <c r="P724" s="2">
        <v>31</v>
      </c>
      <c r="Q724" s="2">
        <v>0</v>
      </c>
      <c r="R724" s="238">
        <v>40490</v>
      </c>
      <c r="S724" s="219">
        <v>12</v>
      </c>
      <c r="T724" s="220">
        <f>SUM( tabConsumo[[#This Row],[QTD.PENDENTE]]:tabConsumo[[#This Row],[09_23]] ) / tabConsumo[[#This Row],[Div]]</f>
        <v>401.41666666666669</v>
      </c>
      <c r="U724" s="221">
        <f xml:space="preserve"> tabConsumo[[#This Row],[Média.A]] + (_xlfn.STDEV.S( tabConsumo[[#This Row],[QTD.PENDENTE]]:tabConsumo[[#This Row],[09_23]] ) * 1)</f>
        <v>837.49807239757195</v>
      </c>
      <c r="V724" s="221">
        <f xml:space="preserve"> tabConsumo[[#This Row],[Média.A]] + (_xlfn.STDEV.S( tabConsumo[[#This Row],[QTD.PENDENTE]]:tabConsumo[[#This Row],[09_23]] ) * 2)</f>
        <v>1273.5794781284771</v>
      </c>
      <c r="W724" s="221">
        <f xml:space="preserve"> tabConsumo[[#This Row],[Média.A]] + (_xlfn.STDEV.S( tabConsumo[[#This Row],[QTD.PENDENTE]]:tabConsumo[[#This Row],[09_23]] ) * 3)</f>
        <v>1709.6608838593825</v>
      </c>
      <c r="X724" s="5">
        <f t="shared" si="25"/>
        <v>2</v>
      </c>
      <c r="Y724">
        <v>401.41666666666669</v>
      </c>
      <c r="Z724" s="223">
        <f>SUM( tabConsumo[[#This Row],[QTD.PENDENTE]]:tabConsumo[[#This Row],[09_23]] )</f>
        <v>4817</v>
      </c>
      <c r="AA724" s="223">
        <f>LARGE(tabConsumo[[#This Row],[10_22]:[09_23]],1)</f>
        <v>1252</v>
      </c>
      <c r="AB724" s="146" t="s">
        <v>2241</v>
      </c>
      <c r="AC724" s="3" t="s">
        <v>2086</v>
      </c>
    </row>
    <row r="725" spans="1:29" x14ac:dyDescent="0.3">
      <c r="A725" s="4" t="s">
        <v>1683</v>
      </c>
      <c r="B725" s="3" t="s">
        <v>263</v>
      </c>
      <c r="C725" s="2">
        <v>111806</v>
      </c>
      <c r="D725" s="2">
        <v>0</v>
      </c>
      <c r="E725" s="2">
        <v>399</v>
      </c>
      <c r="F725" s="2">
        <v>226</v>
      </c>
      <c r="G725" s="2">
        <v>60</v>
      </c>
      <c r="H725" s="2">
        <v>385</v>
      </c>
      <c r="I725" s="2">
        <v>493</v>
      </c>
      <c r="J725" s="2">
        <v>42</v>
      </c>
      <c r="K725" s="2">
        <v>0</v>
      </c>
      <c r="L725" s="2">
        <v>0</v>
      </c>
      <c r="M725" s="2">
        <v>0</v>
      </c>
      <c r="N725" s="2">
        <v>9</v>
      </c>
      <c r="O725" s="2">
        <v>0</v>
      </c>
      <c r="P725" s="2">
        <v>0</v>
      </c>
      <c r="Q725" s="2">
        <v>0</v>
      </c>
      <c r="R725" s="238">
        <v>40011</v>
      </c>
      <c r="S725" s="219">
        <v>12</v>
      </c>
      <c r="T725" s="220">
        <f>SUM( tabConsumo[[#This Row],[QTD.PENDENTE]]:tabConsumo[[#This Row],[09_23]] ) / tabConsumo[[#This Row],[Div]]</f>
        <v>134.5</v>
      </c>
      <c r="U725" s="221">
        <f xml:space="preserve"> tabConsumo[[#This Row],[Média.A]] + (_xlfn.STDEV.S( tabConsumo[[#This Row],[QTD.PENDENTE]]:tabConsumo[[#This Row],[09_23]] ) * 1)</f>
        <v>318.57690700440321</v>
      </c>
      <c r="V725" s="221">
        <f xml:space="preserve"> tabConsumo[[#This Row],[Média.A]] + (_xlfn.STDEV.S( tabConsumo[[#This Row],[QTD.PENDENTE]]:tabConsumo[[#This Row],[09_23]] ) * 2)</f>
        <v>502.65381400880636</v>
      </c>
      <c r="W725" s="221">
        <f xml:space="preserve"> tabConsumo[[#This Row],[Média.A]] + (_xlfn.STDEV.S( tabConsumo[[#This Row],[QTD.PENDENTE]]:tabConsumo[[#This Row],[09_23]] ) * 3)</f>
        <v>686.73072101320952</v>
      </c>
      <c r="X725" s="5">
        <f t="shared" si="25"/>
        <v>2</v>
      </c>
      <c r="Y725">
        <v>134.5</v>
      </c>
      <c r="Z725" s="223">
        <f>SUM( tabConsumo[[#This Row],[QTD.PENDENTE]]:tabConsumo[[#This Row],[09_23]] )</f>
        <v>1614</v>
      </c>
      <c r="AA725" s="223">
        <f>LARGE(tabConsumo[[#This Row],[10_22]:[09_23]],1)</f>
        <v>493</v>
      </c>
      <c r="AB725" s="146" t="s">
        <v>2246</v>
      </c>
      <c r="AC725" s="3" t="s">
        <v>2086</v>
      </c>
    </row>
    <row r="726" spans="1:29" x14ac:dyDescent="0.3">
      <c r="A726" s="4" t="s">
        <v>1795</v>
      </c>
      <c r="B726" s="3" t="s">
        <v>31</v>
      </c>
      <c r="C726" s="2">
        <v>128816</v>
      </c>
      <c r="D726" s="2">
        <v>805</v>
      </c>
      <c r="F726" s="2">
        <v>0</v>
      </c>
      <c r="G726" s="2">
        <v>0</v>
      </c>
      <c r="H726" s="2">
        <v>0</v>
      </c>
      <c r="I726" s="2">
        <v>185</v>
      </c>
      <c r="J726" s="2">
        <v>0</v>
      </c>
      <c r="K726" s="2">
        <v>0</v>
      </c>
      <c r="L726" s="2">
        <v>0</v>
      </c>
      <c r="M726" s="2">
        <v>0</v>
      </c>
      <c r="N726" s="2">
        <v>0</v>
      </c>
      <c r="O726" s="2">
        <v>0</v>
      </c>
      <c r="P726" s="2">
        <v>0</v>
      </c>
      <c r="Q726" s="2">
        <v>0</v>
      </c>
      <c r="R726" s="238">
        <v>41926</v>
      </c>
      <c r="S726" s="219">
        <v>12</v>
      </c>
      <c r="T726" s="220">
        <f>SUM( tabConsumo[[#This Row],[QTD.PENDENTE]]:tabConsumo[[#This Row],[09_23]] ) / tabConsumo[[#This Row],[Div]]</f>
        <v>15.416666666666666</v>
      </c>
      <c r="U726" s="221">
        <f xml:space="preserve"> tabConsumo[[#This Row],[Média.A]] + (_xlfn.STDEV.S( tabConsumo[[#This Row],[QTD.PENDENTE]]:tabConsumo[[#This Row],[09_23]] ) * 1)</f>
        <v>68.821566566707048</v>
      </c>
      <c r="V726" s="221">
        <f xml:space="preserve"> tabConsumo[[#This Row],[Média.A]] + (_xlfn.STDEV.S( tabConsumo[[#This Row],[QTD.PENDENTE]]:tabConsumo[[#This Row],[09_23]] ) * 2)</f>
        <v>122.22646646674744</v>
      </c>
      <c r="W726" s="221">
        <f xml:space="preserve"> tabConsumo[[#This Row],[Média.A]] + (_xlfn.STDEV.S( tabConsumo[[#This Row],[QTD.PENDENTE]]:tabConsumo[[#This Row],[09_23]] ) * 3)</f>
        <v>175.6313663667878</v>
      </c>
      <c r="X726" s="5">
        <f t="shared" si="25"/>
        <v>2</v>
      </c>
      <c r="Y726">
        <v>10.166666666666666</v>
      </c>
      <c r="Z726" s="223">
        <f>SUM( tabConsumo[[#This Row],[QTD.PENDENTE]]:tabConsumo[[#This Row],[09_23]] )</f>
        <v>185</v>
      </c>
      <c r="AA726" s="223">
        <f>LARGE(tabConsumo[[#This Row],[10_22]:[09_23]],1)</f>
        <v>185</v>
      </c>
      <c r="AB726" s="146" t="s">
        <v>2247</v>
      </c>
      <c r="AC726" s="3" t="s">
        <v>2086</v>
      </c>
    </row>
    <row r="727" spans="1:29" x14ac:dyDescent="0.3">
      <c r="A727" s="4" t="s">
        <v>1794</v>
      </c>
      <c r="B727" s="3" t="s">
        <v>31</v>
      </c>
      <c r="C727" s="2">
        <v>128815</v>
      </c>
      <c r="D727" s="2">
        <v>2191</v>
      </c>
      <c r="F727" s="2">
        <v>450</v>
      </c>
      <c r="G727" s="2">
        <v>210</v>
      </c>
      <c r="H727" s="2">
        <v>730</v>
      </c>
      <c r="I727" s="2">
        <v>784</v>
      </c>
      <c r="J727" s="2">
        <v>220</v>
      </c>
      <c r="K727" s="2">
        <v>220</v>
      </c>
      <c r="L727" s="2">
        <v>470</v>
      </c>
      <c r="M727" s="2">
        <v>150</v>
      </c>
      <c r="N727" s="2">
        <v>0</v>
      </c>
      <c r="O727" s="2">
        <v>0</v>
      </c>
      <c r="P727" s="2">
        <v>0</v>
      </c>
      <c r="Q727" s="2">
        <v>0</v>
      </c>
      <c r="R727" s="238">
        <v>41926</v>
      </c>
      <c r="S727" s="219">
        <v>12</v>
      </c>
      <c r="T727" s="220">
        <f>SUM( tabConsumo[[#This Row],[QTD.PENDENTE]]:tabConsumo[[#This Row],[09_23]] ) / tabConsumo[[#This Row],[Div]]</f>
        <v>269.5</v>
      </c>
      <c r="U727" s="221">
        <f xml:space="preserve"> tabConsumo[[#This Row],[Média.A]] + (_xlfn.STDEV.S( tabConsumo[[#This Row],[QTD.PENDENTE]]:tabConsumo[[#This Row],[09_23]] ) * 1)</f>
        <v>549.56379143460742</v>
      </c>
      <c r="V727" s="221">
        <f xml:space="preserve"> tabConsumo[[#This Row],[Média.A]] + (_xlfn.STDEV.S( tabConsumo[[#This Row],[QTD.PENDENTE]]:tabConsumo[[#This Row],[09_23]] ) * 2)</f>
        <v>829.62758286921485</v>
      </c>
      <c r="W727" s="221">
        <f xml:space="preserve"> tabConsumo[[#This Row],[Média.A]] + (_xlfn.STDEV.S( tabConsumo[[#This Row],[QTD.PENDENTE]]:tabConsumo[[#This Row],[09_23]] ) * 3)</f>
        <v>1109.6913743038222</v>
      </c>
      <c r="X727" s="5">
        <f t="shared" si="25"/>
        <v>2</v>
      </c>
      <c r="Y727">
        <v>269.5</v>
      </c>
      <c r="Z727" s="223">
        <f>SUM( tabConsumo[[#This Row],[QTD.PENDENTE]]:tabConsumo[[#This Row],[09_23]] )</f>
        <v>3234</v>
      </c>
      <c r="AA727" s="223">
        <f>LARGE(tabConsumo[[#This Row],[10_22]:[09_23]],1)</f>
        <v>784</v>
      </c>
      <c r="AB727" s="146" t="s">
        <v>2244</v>
      </c>
      <c r="AC727" s="3" t="s">
        <v>2086</v>
      </c>
    </row>
    <row r="728" spans="1:29" x14ac:dyDescent="0.3">
      <c r="A728" s="4" t="s">
        <v>1080</v>
      </c>
      <c r="B728" s="3" t="s">
        <v>263</v>
      </c>
      <c r="C728" s="2">
        <v>14977</v>
      </c>
      <c r="D728" s="2">
        <v>178</v>
      </c>
      <c r="F728" s="2">
        <v>12</v>
      </c>
      <c r="G728" s="2">
        <v>5</v>
      </c>
      <c r="H728" s="2">
        <v>4</v>
      </c>
      <c r="I728" s="2">
        <v>12</v>
      </c>
      <c r="J728" s="2">
        <v>13</v>
      </c>
      <c r="K728" s="2">
        <v>14</v>
      </c>
      <c r="L728" s="2">
        <v>15</v>
      </c>
      <c r="M728" s="2">
        <v>0</v>
      </c>
      <c r="N728" s="2">
        <v>0</v>
      </c>
      <c r="O728" s="2">
        <v>0</v>
      </c>
      <c r="P728" s="2">
        <v>2</v>
      </c>
      <c r="Q728" s="2">
        <v>20</v>
      </c>
      <c r="R728" s="238">
        <v>367</v>
      </c>
      <c r="S728" s="219">
        <f xml:space="preserve"> 12</f>
        <v>12</v>
      </c>
      <c r="T728" s="220">
        <f>SUM( tabConsumo[[#This Row],[QTD.PENDENTE]]:tabConsumo[[#This Row],[09_23]] ) / tabConsumo[[#This Row],[Div]]</f>
        <v>8.0833333333333339</v>
      </c>
      <c r="U728" s="221">
        <f xml:space="preserve"> tabConsumo[[#This Row],[Média.A]] + (_xlfn.STDEV.S( tabConsumo[[#This Row],[QTD.PENDENTE]]:tabConsumo[[#This Row],[09_23]] ) * 1)</f>
        <v>15.082792186875102</v>
      </c>
      <c r="V728" s="221">
        <f xml:space="preserve"> tabConsumo[[#This Row],[Média.A]] + (_xlfn.STDEV.S( tabConsumo[[#This Row],[QTD.PENDENTE]]:tabConsumo[[#This Row],[09_23]] ) * 2)</f>
        <v>22.082251040416871</v>
      </c>
      <c r="W728" s="221">
        <f xml:space="preserve"> tabConsumo[[#This Row],[Média.A]] + (_xlfn.STDEV.S( tabConsumo[[#This Row],[QTD.PENDENTE]]:tabConsumo[[#This Row],[09_23]] ) * 3)</f>
        <v>29.081709893958639</v>
      </c>
      <c r="X728" s="5">
        <f t="shared" si="25"/>
        <v>2</v>
      </c>
      <c r="Y728">
        <v>8.0833333333333339</v>
      </c>
      <c r="Z728" s="223">
        <f>SUM( tabConsumo[[#This Row],[QTD.PENDENTE]]:tabConsumo[[#This Row],[09_23]] )</f>
        <v>97</v>
      </c>
      <c r="AA728" s="223">
        <f>LARGE(tabConsumo[[#This Row],[10_22]:[09_23]],1)</f>
        <v>20</v>
      </c>
      <c r="AB728" s="146" t="s">
        <v>2238</v>
      </c>
      <c r="AC728" s="3" t="s">
        <v>2086</v>
      </c>
    </row>
    <row r="729" spans="1:29" x14ac:dyDescent="0.3">
      <c r="A729" s="4" t="s">
        <v>627</v>
      </c>
      <c r="B729" s="3" t="s">
        <v>263</v>
      </c>
      <c r="C729" s="2">
        <v>102443</v>
      </c>
      <c r="D729" s="2">
        <v>210</v>
      </c>
      <c r="F729" s="2">
        <v>0</v>
      </c>
      <c r="G729" s="2">
        <v>0</v>
      </c>
      <c r="H729" s="2">
        <v>3</v>
      </c>
      <c r="I729" s="2">
        <v>0</v>
      </c>
      <c r="J729" s="2">
        <v>0</v>
      </c>
      <c r="K729" s="2">
        <v>0</v>
      </c>
      <c r="L729" s="2">
        <v>0</v>
      </c>
      <c r="M729" s="2">
        <v>0</v>
      </c>
      <c r="N729" s="2">
        <v>0</v>
      </c>
      <c r="O729" s="2">
        <v>0</v>
      </c>
      <c r="P729" s="2">
        <v>0</v>
      </c>
      <c r="Q729" s="2">
        <v>0</v>
      </c>
      <c r="R729" s="238">
        <v>39360</v>
      </c>
      <c r="S729" s="219">
        <v>12</v>
      </c>
      <c r="T729" s="220">
        <f>SUM( tabConsumo[[#This Row],[QTD.PENDENTE]]:tabConsumo[[#This Row],[09_23]] ) / tabConsumo[[#This Row],[Div]]</f>
        <v>0.25</v>
      </c>
      <c r="U729" s="221">
        <f xml:space="preserve"> tabConsumo[[#This Row],[Média.A]] + (_xlfn.STDEV.S( tabConsumo[[#This Row],[QTD.PENDENTE]]:tabConsumo[[#This Row],[09_23]] ) * 1)</f>
        <v>1.1160254037844386</v>
      </c>
      <c r="V729" s="221">
        <f xml:space="preserve"> tabConsumo[[#This Row],[Média.A]] + (_xlfn.STDEV.S( tabConsumo[[#This Row],[QTD.PENDENTE]]:tabConsumo[[#This Row],[09_23]] ) * 2)</f>
        <v>1.9820508075688772</v>
      </c>
      <c r="W729" s="221">
        <f xml:space="preserve"> tabConsumo[[#This Row],[Média.A]] + (_xlfn.STDEV.S( tabConsumo[[#This Row],[QTD.PENDENTE]]:tabConsumo[[#This Row],[09_23]] ) * 3)</f>
        <v>2.848076211353316</v>
      </c>
      <c r="X729" s="5">
        <f t="shared" si="25"/>
        <v>2</v>
      </c>
      <c r="Y729">
        <v>8.3333333333333329E-2</v>
      </c>
      <c r="Z729" s="223">
        <f>SUM( tabConsumo[[#This Row],[QTD.PENDENTE]]:tabConsumo[[#This Row],[09_23]] )</f>
        <v>3</v>
      </c>
      <c r="AA729" s="223">
        <f>LARGE(tabConsumo[[#This Row],[10_22]:[09_23]],1)</f>
        <v>3</v>
      </c>
      <c r="AB729" s="146" t="s">
        <v>2249</v>
      </c>
      <c r="AC729" s="3" t="s">
        <v>2086</v>
      </c>
    </row>
    <row r="730" spans="1:29" x14ac:dyDescent="0.3">
      <c r="A730" s="4" t="s">
        <v>1454</v>
      </c>
      <c r="B730" s="3" t="s">
        <v>263</v>
      </c>
      <c r="C730" s="2">
        <v>78509</v>
      </c>
      <c r="D730" s="2">
        <v>9</v>
      </c>
      <c r="E730" s="2">
        <v>1</v>
      </c>
      <c r="F730" s="2">
        <v>2</v>
      </c>
      <c r="G730" s="2">
        <v>2</v>
      </c>
      <c r="H730" s="2">
        <v>1</v>
      </c>
      <c r="I730" s="2">
        <v>3</v>
      </c>
      <c r="J730" s="2">
        <v>3</v>
      </c>
      <c r="K730" s="2">
        <v>0</v>
      </c>
      <c r="L730" s="2">
        <v>1</v>
      </c>
      <c r="M730" s="2">
        <v>0</v>
      </c>
      <c r="N730" s="2">
        <v>0</v>
      </c>
      <c r="O730" s="2">
        <v>0</v>
      </c>
      <c r="P730" s="2">
        <v>0</v>
      </c>
      <c r="Q730" s="2">
        <v>4</v>
      </c>
      <c r="R730" s="238">
        <v>38100</v>
      </c>
      <c r="S730" s="219">
        <v>12</v>
      </c>
      <c r="T730" s="220">
        <f>SUM( tabConsumo[[#This Row],[QTD.PENDENTE]]:tabConsumo[[#This Row],[09_23]] ) / tabConsumo[[#This Row],[Div]]</f>
        <v>1.4166666666666667</v>
      </c>
      <c r="U730" s="221">
        <f xml:space="preserve"> tabConsumo[[#This Row],[Média.A]] + (_xlfn.STDEV.S( tabConsumo[[#This Row],[QTD.PENDENTE]]:tabConsumo[[#This Row],[09_23]] ) * 1)</f>
        <v>2.7941411301090557</v>
      </c>
      <c r="V730" s="221">
        <f xml:space="preserve"> tabConsumo[[#This Row],[Média.A]] + (_xlfn.STDEV.S( tabConsumo[[#This Row],[QTD.PENDENTE]]:tabConsumo[[#This Row],[09_23]] ) * 2)</f>
        <v>4.1716155935514445</v>
      </c>
      <c r="W730" s="221">
        <f xml:space="preserve"> tabConsumo[[#This Row],[Média.A]] + (_xlfn.STDEV.S( tabConsumo[[#This Row],[QTD.PENDENTE]]:tabConsumo[[#This Row],[09_23]] ) * 3)</f>
        <v>5.5490900569938342</v>
      </c>
      <c r="X730" s="5">
        <f t="shared" si="25"/>
        <v>2</v>
      </c>
      <c r="Y730">
        <v>1.4166666666666667</v>
      </c>
      <c r="Z730" s="223">
        <f>SUM( tabConsumo[[#This Row],[QTD.PENDENTE]]:tabConsumo[[#This Row],[09_23]] )</f>
        <v>17</v>
      </c>
      <c r="AA730" s="223">
        <f>LARGE(tabConsumo[[#This Row],[10_22]:[09_23]],1)</f>
        <v>4</v>
      </c>
      <c r="AB730" s="146" t="s">
        <v>2238</v>
      </c>
      <c r="AC730" s="3" t="s">
        <v>2086</v>
      </c>
    </row>
    <row r="731" spans="1:29" x14ac:dyDescent="0.3">
      <c r="A731" s="4" t="s">
        <v>1178</v>
      </c>
      <c r="B731" s="3" t="s">
        <v>263</v>
      </c>
      <c r="C731" s="2">
        <v>23607</v>
      </c>
      <c r="D731" s="2">
        <v>575</v>
      </c>
      <c r="F731" s="2">
        <v>0</v>
      </c>
      <c r="G731" s="2">
        <v>0</v>
      </c>
      <c r="H731" s="2">
        <v>0</v>
      </c>
      <c r="I731" s="2">
        <v>0</v>
      </c>
      <c r="J731" s="2">
        <v>0</v>
      </c>
      <c r="K731" s="2">
        <v>0</v>
      </c>
      <c r="L731" s="2">
        <v>0</v>
      </c>
      <c r="M731" s="2">
        <v>0</v>
      </c>
      <c r="N731" s="2">
        <v>0</v>
      </c>
      <c r="O731" s="2">
        <v>50</v>
      </c>
      <c r="P731" s="2">
        <v>0</v>
      </c>
      <c r="Q731" s="2">
        <v>0</v>
      </c>
      <c r="R731" s="238">
        <v>367</v>
      </c>
      <c r="S731" s="219">
        <f t="shared" ref="S731:S743" si="26" xml:space="preserve"> 12</f>
        <v>12</v>
      </c>
      <c r="T731" s="220">
        <f>SUM( tabConsumo[[#This Row],[QTD.PENDENTE]]:tabConsumo[[#This Row],[09_23]] ) / tabConsumo[[#This Row],[Div]]</f>
        <v>4.166666666666667</v>
      </c>
      <c r="U731" s="221">
        <f xml:space="preserve"> tabConsumo[[#This Row],[Média.A]] + (_xlfn.STDEV.S( tabConsumo[[#This Row],[QTD.PENDENTE]]:tabConsumo[[#This Row],[09_23]] ) * 1)</f>
        <v>18.600423396407312</v>
      </c>
      <c r="V731" s="221">
        <f xml:space="preserve"> tabConsumo[[#This Row],[Média.A]] + (_xlfn.STDEV.S( tabConsumo[[#This Row],[QTD.PENDENTE]]:tabConsumo[[#This Row],[09_23]] ) * 2)</f>
        <v>33.034180126147952</v>
      </c>
      <c r="W731" s="221">
        <f xml:space="preserve"> tabConsumo[[#This Row],[Média.A]] + (_xlfn.STDEV.S( tabConsumo[[#This Row],[QTD.PENDENTE]]:tabConsumo[[#This Row],[09_23]] ) * 3)</f>
        <v>47.467936855888595</v>
      </c>
      <c r="X731" s="5">
        <f t="shared" si="25"/>
        <v>2</v>
      </c>
      <c r="Y731">
        <v>2.75</v>
      </c>
      <c r="Z731" s="223">
        <f>SUM( tabConsumo[[#This Row],[QTD.PENDENTE]]:tabConsumo[[#This Row],[09_23]] )</f>
        <v>50</v>
      </c>
      <c r="AA731" s="223">
        <f>LARGE(tabConsumo[[#This Row],[10_22]:[09_23]],1)</f>
        <v>50</v>
      </c>
      <c r="AB731" s="146" t="s">
        <v>2239</v>
      </c>
      <c r="AC731" s="3" t="s">
        <v>2086</v>
      </c>
    </row>
    <row r="732" spans="1:29" x14ac:dyDescent="0.3">
      <c r="A732" s="4" t="s">
        <v>1004</v>
      </c>
      <c r="B732" s="3" t="s">
        <v>263</v>
      </c>
      <c r="C732" s="2">
        <v>13094</v>
      </c>
      <c r="D732" s="2">
        <v>323</v>
      </c>
      <c r="F732" s="2">
        <v>15</v>
      </c>
      <c r="G732" s="2">
        <v>0</v>
      </c>
      <c r="H732" s="2">
        <v>30</v>
      </c>
      <c r="I732" s="2">
        <v>95</v>
      </c>
      <c r="J732" s="2">
        <v>253</v>
      </c>
      <c r="K732" s="2">
        <v>50</v>
      </c>
      <c r="L732" s="2">
        <v>50</v>
      </c>
      <c r="M732" s="2">
        <v>0</v>
      </c>
      <c r="N732" s="2">
        <v>100</v>
      </c>
      <c r="O732" s="2">
        <v>50</v>
      </c>
      <c r="P732" s="2">
        <v>0</v>
      </c>
      <c r="Q732" s="2">
        <v>100</v>
      </c>
      <c r="R732" s="238">
        <v>367</v>
      </c>
      <c r="S732" s="219">
        <f t="shared" si="26"/>
        <v>12</v>
      </c>
      <c r="T732" s="220">
        <f>SUM( tabConsumo[[#This Row],[QTD.PENDENTE]]:tabConsumo[[#This Row],[09_23]] ) / tabConsumo[[#This Row],[Div]]</f>
        <v>61.916666666666664</v>
      </c>
      <c r="U732" s="221">
        <f xml:space="preserve"> tabConsumo[[#This Row],[Média.A]] + (_xlfn.STDEV.S( tabConsumo[[#This Row],[QTD.PENDENTE]]:tabConsumo[[#This Row],[09_23]] ) * 1)</f>
        <v>133.04709530861905</v>
      </c>
      <c r="V732" s="221">
        <f xml:space="preserve"> tabConsumo[[#This Row],[Média.A]] + (_xlfn.STDEV.S( tabConsumo[[#This Row],[QTD.PENDENTE]]:tabConsumo[[#This Row],[09_23]] ) * 2)</f>
        <v>204.17752395057141</v>
      </c>
      <c r="W732" s="221">
        <f xml:space="preserve"> tabConsumo[[#This Row],[Média.A]] + (_xlfn.STDEV.S( tabConsumo[[#This Row],[QTD.PENDENTE]]:tabConsumo[[#This Row],[09_23]] ) * 3)</f>
        <v>275.3079525925238</v>
      </c>
      <c r="X732" s="5">
        <f t="shared" si="25"/>
        <v>2</v>
      </c>
      <c r="Y732">
        <v>57.833333333333336</v>
      </c>
      <c r="Z732" s="223">
        <f>SUM( tabConsumo[[#This Row],[QTD.PENDENTE]]:tabConsumo[[#This Row],[09_23]] )</f>
        <v>743</v>
      </c>
      <c r="AA732" s="223">
        <f>LARGE(tabConsumo[[#This Row],[10_22]:[09_23]],1)</f>
        <v>253</v>
      </c>
      <c r="AB732" s="146" t="s">
        <v>2238</v>
      </c>
      <c r="AC732" s="3" t="s">
        <v>2086</v>
      </c>
    </row>
    <row r="733" spans="1:29" x14ac:dyDescent="0.3">
      <c r="A733" s="4" t="s">
        <v>1034</v>
      </c>
      <c r="B733" s="3" t="s">
        <v>263</v>
      </c>
      <c r="C733" s="2">
        <v>13517</v>
      </c>
      <c r="D733" s="2">
        <v>362</v>
      </c>
      <c r="F733" s="2">
        <v>8</v>
      </c>
      <c r="G733" s="2">
        <v>6</v>
      </c>
      <c r="H733" s="2">
        <v>7</v>
      </c>
      <c r="I733" s="2">
        <v>1</v>
      </c>
      <c r="J733" s="2">
        <v>0</v>
      </c>
      <c r="K733" s="2">
        <v>0</v>
      </c>
      <c r="L733" s="2">
        <v>11</v>
      </c>
      <c r="M733" s="2">
        <v>0</v>
      </c>
      <c r="N733" s="2">
        <v>0</v>
      </c>
      <c r="O733" s="2">
        <v>10</v>
      </c>
      <c r="P733" s="2">
        <v>0</v>
      </c>
      <c r="Q733" s="2">
        <v>0</v>
      </c>
      <c r="R733" s="238">
        <v>367</v>
      </c>
      <c r="S733" s="219">
        <f t="shared" si="26"/>
        <v>12</v>
      </c>
      <c r="T733" s="220">
        <f>SUM( tabConsumo[[#This Row],[QTD.PENDENTE]]:tabConsumo[[#This Row],[09_23]] ) / tabConsumo[[#This Row],[Div]]</f>
        <v>3.5833333333333335</v>
      </c>
      <c r="U733" s="221">
        <f xml:space="preserve"> tabConsumo[[#This Row],[Média.A]] + (_xlfn.STDEV.S( tabConsumo[[#This Row],[QTD.PENDENTE]]:tabConsumo[[#This Row],[09_23]] ) * 1)</f>
        <v>8.0240198759410148</v>
      </c>
      <c r="V733" s="221">
        <f xml:space="preserve"> tabConsumo[[#This Row],[Média.A]] + (_xlfn.STDEV.S( tabConsumo[[#This Row],[QTD.PENDENTE]]:tabConsumo[[#This Row],[09_23]] ) * 2)</f>
        <v>12.464706418548698</v>
      </c>
      <c r="W733" s="221">
        <f xml:space="preserve"> tabConsumo[[#This Row],[Média.A]] + (_xlfn.STDEV.S( tabConsumo[[#This Row],[QTD.PENDENTE]]:tabConsumo[[#This Row],[09_23]] ) * 3)</f>
        <v>16.905392961156377</v>
      </c>
      <c r="X733" s="5">
        <f t="shared" si="25"/>
        <v>2</v>
      </c>
      <c r="Y733">
        <v>3.5833333333333335</v>
      </c>
      <c r="Z733" s="223">
        <f>SUM( tabConsumo[[#This Row],[QTD.PENDENTE]]:tabConsumo[[#This Row],[09_23]] )</f>
        <v>43</v>
      </c>
      <c r="AA733" s="223">
        <f>LARGE(tabConsumo[[#This Row],[10_22]:[09_23]],1)</f>
        <v>11</v>
      </c>
      <c r="AB733" s="146" t="s">
        <v>2239</v>
      </c>
      <c r="AC733" s="3" t="s">
        <v>2086</v>
      </c>
    </row>
    <row r="734" spans="1:29" x14ac:dyDescent="0.3">
      <c r="A734" s="4" t="s">
        <v>1035</v>
      </c>
      <c r="B734" s="3" t="s">
        <v>263</v>
      </c>
      <c r="C734" s="2">
        <v>13518</v>
      </c>
      <c r="D734" s="2">
        <v>175</v>
      </c>
      <c r="F734" s="2">
        <v>0</v>
      </c>
      <c r="G734" s="2">
        <v>8</v>
      </c>
      <c r="H734" s="2">
        <v>9</v>
      </c>
      <c r="I734" s="2">
        <v>2</v>
      </c>
      <c r="J734" s="2">
        <v>0</v>
      </c>
      <c r="K734" s="2">
        <v>5</v>
      </c>
      <c r="L734" s="2">
        <v>15</v>
      </c>
      <c r="M734" s="2">
        <v>0</v>
      </c>
      <c r="N734" s="2">
        <v>0</v>
      </c>
      <c r="O734" s="2">
        <v>0</v>
      </c>
      <c r="P734" s="2">
        <v>0</v>
      </c>
      <c r="Q734" s="2">
        <v>0</v>
      </c>
      <c r="R734" s="238">
        <v>367</v>
      </c>
      <c r="S734" s="219">
        <f t="shared" si="26"/>
        <v>12</v>
      </c>
      <c r="T734" s="220">
        <f>SUM( tabConsumo[[#This Row],[QTD.PENDENTE]]:tabConsumo[[#This Row],[09_23]] ) / tabConsumo[[#This Row],[Div]]</f>
        <v>3.25</v>
      </c>
      <c r="U734" s="221">
        <f xml:space="preserve"> tabConsumo[[#This Row],[Média.A]] + (_xlfn.STDEV.S( tabConsumo[[#This Row],[QTD.PENDENTE]]:tabConsumo[[#This Row],[09_23]] ) * 1)</f>
        <v>8.2249371855331006</v>
      </c>
      <c r="V734" s="221">
        <f xml:space="preserve"> tabConsumo[[#This Row],[Média.A]] + (_xlfn.STDEV.S( tabConsumo[[#This Row],[QTD.PENDENTE]]:tabConsumo[[#This Row],[09_23]] ) * 2)</f>
        <v>13.199874371066199</v>
      </c>
      <c r="W734" s="221">
        <f xml:space="preserve"> tabConsumo[[#This Row],[Média.A]] + (_xlfn.STDEV.S( tabConsumo[[#This Row],[QTD.PENDENTE]]:tabConsumo[[#This Row],[09_23]] ) * 3)</f>
        <v>18.174811556599298</v>
      </c>
      <c r="X734" s="5">
        <f t="shared" si="25"/>
        <v>2</v>
      </c>
      <c r="Y734">
        <v>3.0833333333333335</v>
      </c>
      <c r="Z734" s="223">
        <f>SUM( tabConsumo[[#This Row],[QTD.PENDENTE]]:tabConsumo[[#This Row],[09_23]] )</f>
        <v>39</v>
      </c>
      <c r="AA734" s="223">
        <f>LARGE(tabConsumo[[#This Row],[10_22]:[09_23]],1)</f>
        <v>15</v>
      </c>
      <c r="AB734" s="146" t="s">
        <v>2240</v>
      </c>
      <c r="AC734" s="3" t="s">
        <v>2086</v>
      </c>
    </row>
    <row r="735" spans="1:29" x14ac:dyDescent="0.3">
      <c r="A735" s="4" t="s">
        <v>1006</v>
      </c>
      <c r="B735" s="3" t="s">
        <v>263</v>
      </c>
      <c r="C735" s="2">
        <v>13095</v>
      </c>
      <c r="D735" s="2">
        <v>232</v>
      </c>
      <c r="F735" s="2">
        <v>11</v>
      </c>
      <c r="G735" s="2">
        <v>21</v>
      </c>
      <c r="H735" s="2">
        <v>8</v>
      </c>
      <c r="I735" s="2">
        <v>4</v>
      </c>
      <c r="J735" s="2">
        <v>2</v>
      </c>
      <c r="K735" s="2">
        <v>9</v>
      </c>
      <c r="L735" s="2">
        <v>19</v>
      </c>
      <c r="M735" s="2">
        <v>0</v>
      </c>
      <c r="N735" s="2">
        <v>0</v>
      </c>
      <c r="O735" s="2">
        <v>0</v>
      </c>
      <c r="P735" s="2">
        <v>0</v>
      </c>
      <c r="Q735" s="2">
        <v>20</v>
      </c>
      <c r="R735" s="238">
        <v>367</v>
      </c>
      <c r="S735" s="219">
        <f t="shared" si="26"/>
        <v>12</v>
      </c>
      <c r="T735" s="220">
        <f>SUM( tabConsumo[[#This Row],[QTD.PENDENTE]]:tabConsumo[[#This Row],[09_23]] ) / tabConsumo[[#This Row],[Div]]</f>
        <v>7.833333333333333</v>
      </c>
      <c r="U735" s="221">
        <f xml:space="preserve"> tabConsumo[[#This Row],[Média.A]] + (_xlfn.STDEV.S( tabConsumo[[#This Row],[QTD.PENDENTE]]:tabConsumo[[#This Row],[09_23]] ) * 1)</f>
        <v>16.099731178424829</v>
      </c>
      <c r="V735" s="221">
        <f xml:space="preserve"> tabConsumo[[#This Row],[Média.A]] + (_xlfn.STDEV.S( tabConsumo[[#This Row],[QTD.PENDENTE]]:tabConsumo[[#This Row],[09_23]] ) * 2)</f>
        <v>24.366129023516326</v>
      </c>
      <c r="W735" s="221">
        <f xml:space="preserve"> tabConsumo[[#This Row],[Média.A]] + (_xlfn.STDEV.S( tabConsumo[[#This Row],[QTD.PENDENTE]]:tabConsumo[[#This Row],[09_23]] ) * 3)</f>
        <v>32.632526868607826</v>
      </c>
      <c r="X735" s="5">
        <f t="shared" si="25"/>
        <v>2</v>
      </c>
      <c r="Y735">
        <v>7.833333333333333</v>
      </c>
      <c r="Z735" s="223">
        <f>SUM( tabConsumo[[#This Row],[QTD.PENDENTE]]:tabConsumo[[#This Row],[09_23]] )</f>
        <v>94</v>
      </c>
      <c r="AA735" s="223">
        <f>LARGE(tabConsumo[[#This Row],[10_22]:[09_23]],1)</f>
        <v>21</v>
      </c>
      <c r="AB735" s="146" t="s">
        <v>2238</v>
      </c>
      <c r="AC735" s="3" t="s">
        <v>2086</v>
      </c>
    </row>
    <row r="736" spans="1:29" x14ac:dyDescent="0.3">
      <c r="A736" s="4" t="s">
        <v>1008</v>
      </c>
      <c r="B736" s="3" t="s">
        <v>263</v>
      </c>
      <c r="C736" s="2">
        <v>13102</v>
      </c>
      <c r="D736" s="2">
        <v>24</v>
      </c>
      <c r="E736" s="2">
        <v>2</v>
      </c>
      <c r="F736" s="2">
        <v>0</v>
      </c>
      <c r="G736" s="2">
        <v>3</v>
      </c>
      <c r="H736" s="2">
        <v>0</v>
      </c>
      <c r="I736" s="2">
        <v>4</v>
      </c>
      <c r="J736" s="2">
        <v>0</v>
      </c>
      <c r="K736" s="2">
        <v>1</v>
      </c>
      <c r="L736" s="2">
        <v>18</v>
      </c>
      <c r="M736" s="2">
        <v>0</v>
      </c>
      <c r="N736" s="2">
        <v>0</v>
      </c>
      <c r="O736" s="2">
        <v>0</v>
      </c>
      <c r="P736" s="2">
        <v>0</v>
      </c>
      <c r="Q736" s="2">
        <v>0</v>
      </c>
      <c r="R736" s="238">
        <v>367</v>
      </c>
      <c r="S736" s="219">
        <f t="shared" si="26"/>
        <v>12</v>
      </c>
      <c r="T736" s="220">
        <f>SUM( tabConsumo[[#This Row],[QTD.PENDENTE]]:tabConsumo[[#This Row],[09_23]] ) / tabConsumo[[#This Row],[Div]]</f>
        <v>2.3333333333333335</v>
      </c>
      <c r="U736" s="221">
        <f xml:space="preserve"> tabConsumo[[#This Row],[Média.A]] + (_xlfn.STDEV.S( tabConsumo[[#This Row],[QTD.PENDENTE]]:tabConsumo[[#This Row],[09_23]] ) * 1)</f>
        <v>7.2804899888637582</v>
      </c>
      <c r="V736" s="221">
        <f xml:space="preserve"> tabConsumo[[#This Row],[Média.A]] + (_xlfn.STDEV.S( tabConsumo[[#This Row],[QTD.PENDENTE]]:tabConsumo[[#This Row],[09_23]] ) * 2)</f>
        <v>12.227646644394182</v>
      </c>
      <c r="W736" s="221">
        <f xml:space="preserve"> tabConsumo[[#This Row],[Média.A]] + (_xlfn.STDEV.S( tabConsumo[[#This Row],[QTD.PENDENTE]]:tabConsumo[[#This Row],[09_23]] ) * 3)</f>
        <v>17.174803299924605</v>
      </c>
      <c r="X736" s="5">
        <f t="shared" si="25"/>
        <v>2</v>
      </c>
      <c r="Y736">
        <v>1.8333333333333333</v>
      </c>
      <c r="Z736" s="223">
        <f>SUM( tabConsumo[[#This Row],[QTD.PENDENTE]]:tabConsumo[[#This Row],[09_23]] )</f>
        <v>28</v>
      </c>
      <c r="AA736" s="223">
        <f>LARGE(tabConsumo[[#This Row],[10_22]:[09_23]],1)</f>
        <v>18</v>
      </c>
      <c r="AB736" s="146" t="s">
        <v>2240</v>
      </c>
      <c r="AC736" s="3" t="s">
        <v>2086</v>
      </c>
    </row>
    <row r="737" spans="1:29" x14ac:dyDescent="0.3">
      <c r="A737" s="4" t="s">
        <v>1341</v>
      </c>
      <c r="B737" s="3" t="s">
        <v>263</v>
      </c>
      <c r="C737" s="2">
        <v>59069</v>
      </c>
      <c r="D737" s="2">
        <v>117</v>
      </c>
      <c r="F737" s="2">
        <v>0</v>
      </c>
      <c r="G737" s="2">
        <v>19</v>
      </c>
      <c r="H737" s="2">
        <v>0</v>
      </c>
      <c r="I737" s="2">
        <v>3</v>
      </c>
      <c r="J737" s="2">
        <v>6</v>
      </c>
      <c r="K737" s="2">
        <v>5</v>
      </c>
      <c r="L737" s="2">
        <v>15</v>
      </c>
      <c r="M737" s="2">
        <v>0</v>
      </c>
      <c r="N737" s="2">
        <v>0</v>
      </c>
      <c r="O737" s="2">
        <v>0</v>
      </c>
      <c r="P737" s="2">
        <v>0</v>
      </c>
      <c r="Q737" s="2">
        <v>0</v>
      </c>
      <c r="R737" s="238">
        <v>367</v>
      </c>
      <c r="S737" s="219">
        <f t="shared" si="26"/>
        <v>12</v>
      </c>
      <c r="T737" s="220">
        <f>SUM( tabConsumo[[#This Row],[QTD.PENDENTE]]:tabConsumo[[#This Row],[09_23]] ) / tabConsumo[[#This Row],[Div]]</f>
        <v>4</v>
      </c>
      <c r="U737" s="221">
        <f xml:space="preserve"> tabConsumo[[#This Row],[Média.A]] + (_xlfn.STDEV.S( tabConsumo[[#This Row],[QTD.PENDENTE]]:tabConsumo[[#This Row],[09_23]] ) * 1)</f>
        <v>10.494753127087909</v>
      </c>
      <c r="V737" s="221">
        <f xml:space="preserve"> tabConsumo[[#This Row],[Média.A]] + (_xlfn.STDEV.S( tabConsumo[[#This Row],[QTD.PENDENTE]]:tabConsumo[[#This Row],[09_23]] ) * 2)</f>
        <v>16.989506254175819</v>
      </c>
      <c r="W737" s="221">
        <f xml:space="preserve"> tabConsumo[[#This Row],[Média.A]] + (_xlfn.STDEV.S( tabConsumo[[#This Row],[QTD.PENDENTE]]:tabConsumo[[#This Row],[09_23]] ) * 3)</f>
        <v>23.484259381263726</v>
      </c>
      <c r="X737" s="5">
        <f t="shared" si="25"/>
        <v>2</v>
      </c>
      <c r="Y737">
        <v>3.75</v>
      </c>
      <c r="Z737" s="223">
        <f>SUM( tabConsumo[[#This Row],[QTD.PENDENTE]]:tabConsumo[[#This Row],[09_23]] )</f>
        <v>48</v>
      </c>
      <c r="AA737" s="223">
        <f>LARGE(tabConsumo[[#This Row],[10_22]:[09_23]],1)</f>
        <v>19</v>
      </c>
      <c r="AB737" s="146" t="s">
        <v>2240</v>
      </c>
      <c r="AC737" s="3" t="s">
        <v>2086</v>
      </c>
    </row>
    <row r="738" spans="1:29" x14ac:dyDescent="0.3">
      <c r="A738" s="4" t="s">
        <v>997</v>
      </c>
      <c r="B738" s="3" t="s">
        <v>263</v>
      </c>
      <c r="C738" s="2">
        <v>13068</v>
      </c>
      <c r="D738" s="2">
        <v>163</v>
      </c>
      <c r="F738" s="2">
        <v>6</v>
      </c>
      <c r="G738" s="2">
        <v>1</v>
      </c>
      <c r="H738" s="2">
        <v>7</v>
      </c>
      <c r="I738" s="2">
        <v>0</v>
      </c>
      <c r="J738" s="2">
        <v>0</v>
      </c>
      <c r="K738" s="2">
        <v>2</v>
      </c>
      <c r="L738" s="2">
        <v>20</v>
      </c>
      <c r="M738" s="2">
        <v>0</v>
      </c>
      <c r="N738" s="2">
        <v>0</v>
      </c>
      <c r="O738" s="2">
        <v>0</v>
      </c>
      <c r="P738" s="2">
        <v>0</v>
      </c>
      <c r="Q738" s="2">
        <v>0</v>
      </c>
      <c r="R738" s="238">
        <v>367</v>
      </c>
      <c r="S738" s="219">
        <f t="shared" si="26"/>
        <v>12</v>
      </c>
      <c r="T738" s="220">
        <f>SUM( tabConsumo[[#This Row],[QTD.PENDENTE]]:tabConsumo[[#This Row],[09_23]] ) / tabConsumo[[#This Row],[Div]]</f>
        <v>3</v>
      </c>
      <c r="U738" s="221">
        <f xml:space="preserve"> tabConsumo[[#This Row],[Média.A]] + (_xlfn.STDEV.S( tabConsumo[[#This Row],[QTD.PENDENTE]]:tabConsumo[[#This Row],[09_23]] ) * 1)</f>
        <v>8.8929850438697642</v>
      </c>
      <c r="V738" s="221">
        <f xml:space="preserve"> tabConsumo[[#This Row],[Média.A]] + (_xlfn.STDEV.S( tabConsumo[[#This Row],[QTD.PENDENTE]]:tabConsumo[[#This Row],[09_23]] ) * 2)</f>
        <v>14.785970087739528</v>
      </c>
      <c r="W738" s="221">
        <f xml:space="preserve"> tabConsumo[[#This Row],[Média.A]] + (_xlfn.STDEV.S( tabConsumo[[#This Row],[QTD.PENDENTE]]:tabConsumo[[#This Row],[09_23]] ) * 3)</f>
        <v>20.678955131609293</v>
      </c>
      <c r="X738" s="5">
        <f t="shared" si="25"/>
        <v>2</v>
      </c>
      <c r="Y738">
        <v>2.5</v>
      </c>
      <c r="Z738" s="223">
        <f>SUM( tabConsumo[[#This Row],[QTD.PENDENTE]]:tabConsumo[[#This Row],[09_23]] )</f>
        <v>36</v>
      </c>
      <c r="AA738" s="223">
        <f>LARGE(tabConsumo[[#This Row],[10_22]:[09_23]],1)</f>
        <v>20</v>
      </c>
      <c r="AB738" s="146" t="s">
        <v>2240</v>
      </c>
      <c r="AC738" s="3" t="s">
        <v>2086</v>
      </c>
    </row>
    <row r="739" spans="1:29" x14ac:dyDescent="0.3">
      <c r="A739" s="4" t="s">
        <v>1389</v>
      </c>
      <c r="B739" s="3" t="s">
        <v>263</v>
      </c>
      <c r="C739" s="2">
        <v>64648</v>
      </c>
      <c r="D739" s="2">
        <v>14</v>
      </c>
      <c r="F739" s="2">
        <v>0</v>
      </c>
      <c r="G739" s="2">
        <v>0</v>
      </c>
      <c r="H739" s="2">
        <v>1</v>
      </c>
      <c r="I739" s="2">
        <v>0</v>
      </c>
      <c r="J739" s="2">
        <v>1</v>
      </c>
      <c r="K739" s="2">
        <v>1</v>
      </c>
      <c r="L739" s="2">
        <v>0</v>
      </c>
      <c r="M739" s="2">
        <v>0</v>
      </c>
      <c r="N739" s="2">
        <v>0</v>
      </c>
      <c r="O739" s="2">
        <v>0</v>
      </c>
      <c r="P739" s="2">
        <v>0</v>
      </c>
      <c r="Q739" s="2">
        <v>0</v>
      </c>
      <c r="R739" s="238">
        <v>367</v>
      </c>
      <c r="S739" s="219">
        <f t="shared" si="26"/>
        <v>12</v>
      </c>
      <c r="T739" s="220">
        <f>SUM( tabConsumo[[#This Row],[QTD.PENDENTE]]:tabConsumo[[#This Row],[09_23]] ) / tabConsumo[[#This Row],[Div]]</f>
        <v>0.25</v>
      </c>
      <c r="U739" s="221">
        <f xml:space="preserve"> tabConsumo[[#This Row],[Média.A]] + (_xlfn.STDEV.S( tabConsumo[[#This Row],[QTD.PENDENTE]]:tabConsumo[[#This Row],[09_23]] ) * 1)</f>
        <v>0.70226701686664539</v>
      </c>
      <c r="V739" s="221">
        <f xml:space="preserve"> tabConsumo[[#This Row],[Média.A]] + (_xlfn.STDEV.S( tabConsumo[[#This Row],[QTD.PENDENTE]]:tabConsumo[[#This Row],[09_23]] ) * 2)</f>
        <v>1.1545340337332908</v>
      </c>
      <c r="W739" s="221">
        <f xml:space="preserve"> tabConsumo[[#This Row],[Média.A]] + (_xlfn.STDEV.S( tabConsumo[[#This Row],[QTD.PENDENTE]]:tabConsumo[[#This Row],[09_23]] ) * 3)</f>
        <v>1.6068010505999364</v>
      </c>
      <c r="X739" s="5">
        <f t="shared" si="25"/>
        <v>2</v>
      </c>
      <c r="Y739">
        <v>0.25</v>
      </c>
      <c r="Z739" s="223">
        <f>SUM( tabConsumo[[#This Row],[QTD.PENDENTE]]:tabConsumo[[#This Row],[09_23]] )</f>
        <v>3</v>
      </c>
      <c r="AA739" s="223">
        <f>LARGE(tabConsumo[[#This Row],[10_22]:[09_23]],1)</f>
        <v>1</v>
      </c>
      <c r="AB739" s="146" t="s">
        <v>2245</v>
      </c>
      <c r="AC739" s="3" t="s">
        <v>2086</v>
      </c>
    </row>
    <row r="740" spans="1:29" x14ac:dyDescent="0.3">
      <c r="A740" s="4" t="s">
        <v>998</v>
      </c>
      <c r="B740" s="3" t="s">
        <v>263</v>
      </c>
      <c r="C740" s="2">
        <v>13072</v>
      </c>
      <c r="D740" s="2">
        <v>275</v>
      </c>
      <c r="F740" s="2">
        <v>32</v>
      </c>
      <c r="G740" s="2">
        <v>25</v>
      </c>
      <c r="H740" s="2">
        <v>45</v>
      </c>
      <c r="I740" s="2">
        <v>10</v>
      </c>
      <c r="J740" s="2">
        <v>42</v>
      </c>
      <c r="K740" s="2">
        <v>43</v>
      </c>
      <c r="L740" s="2">
        <v>35</v>
      </c>
      <c r="M740" s="2">
        <v>0</v>
      </c>
      <c r="N740" s="2">
        <v>0</v>
      </c>
      <c r="O740" s="2">
        <v>20</v>
      </c>
      <c r="P740" s="2">
        <v>0</v>
      </c>
      <c r="Q740" s="2">
        <v>30</v>
      </c>
      <c r="R740" s="238">
        <v>367</v>
      </c>
      <c r="S740" s="219">
        <f t="shared" si="26"/>
        <v>12</v>
      </c>
      <c r="T740" s="220">
        <f>SUM( tabConsumo[[#This Row],[QTD.PENDENTE]]:tabConsumo[[#This Row],[09_23]] ) / tabConsumo[[#This Row],[Div]]</f>
        <v>23.5</v>
      </c>
      <c r="U740" s="221">
        <f xml:space="preserve"> tabConsumo[[#This Row],[Média.A]] + (_xlfn.STDEV.S( tabConsumo[[#This Row],[QTD.PENDENTE]]:tabConsumo[[#This Row],[09_23]] ) * 1)</f>
        <v>40.781098449935513</v>
      </c>
      <c r="V740" s="221">
        <f xml:space="preserve"> tabConsumo[[#This Row],[Média.A]] + (_xlfn.STDEV.S( tabConsumo[[#This Row],[QTD.PENDENTE]]:tabConsumo[[#This Row],[09_23]] ) * 2)</f>
        <v>58.062196899871026</v>
      </c>
      <c r="W740" s="221">
        <f xml:space="preserve"> tabConsumo[[#This Row],[Média.A]] + (_xlfn.STDEV.S( tabConsumo[[#This Row],[QTD.PENDENTE]]:tabConsumo[[#This Row],[09_23]] ) * 3)</f>
        <v>75.343295349806539</v>
      </c>
      <c r="X740" s="5">
        <f t="shared" si="25"/>
        <v>2</v>
      </c>
      <c r="Y740">
        <v>23.5</v>
      </c>
      <c r="Z740" s="223">
        <f>SUM( tabConsumo[[#This Row],[QTD.PENDENTE]]:tabConsumo[[#This Row],[09_23]] )</f>
        <v>282</v>
      </c>
      <c r="AA740" s="223">
        <f>LARGE(tabConsumo[[#This Row],[10_22]:[09_23]],1)</f>
        <v>45</v>
      </c>
      <c r="AB740" s="146" t="s">
        <v>2238</v>
      </c>
      <c r="AC740" s="3" t="s">
        <v>2086</v>
      </c>
    </row>
    <row r="741" spans="1:29" x14ac:dyDescent="0.3">
      <c r="A741" s="4" t="s">
        <v>1356</v>
      </c>
      <c r="B741" s="3" t="s">
        <v>263</v>
      </c>
      <c r="C741" s="2">
        <v>61200</v>
      </c>
      <c r="D741" s="2">
        <v>69</v>
      </c>
      <c r="F741" s="2">
        <v>0</v>
      </c>
      <c r="G741" s="2">
        <v>13</v>
      </c>
      <c r="H741" s="2">
        <v>8</v>
      </c>
      <c r="I741" s="2">
        <v>0</v>
      </c>
      <c r="J741" s="2">
        <v>8</v>
      </c>
      <c r="K741" s="2">
        <v>6</v>
      </c>
      <c r="L741" s="2">
        <v>15</v>
      </c>
      <c r="M741" s="2">
        <v>0</v>
      </c>
      <c r="N741" s="2">
        <v>0</v>
      </c>
      <c r="O741" s="2">
        <v>0</v>
      </c>
      <c r="P741" s="2">
        <v>0</v>
      </c>
      <c r="Q741" s="2">
        <v>0</v>
      </c>
      <c r="R741" s="238">
        <v>367</v>
      </c>
      <c r="S741" s="219">
        <f t="shared" si="26"/>
        <v>12</v>
      </c>
      <c r="T741" s="220">
        <f>SUM( tabConsumo[[#This Row],[QTD.PENDENTE]]:tabConsumo[[#This Row],[09_23]] ) / tabConsumo[[#This Row],[Div]]</f>
        <v>4.166666666666667</v>
      </c>
      <c r="U741" s="221">
        <f xml:space="preserve"> tabConsumo[[#This Row],[Média.A]] + (_xlfn.STDEV.S( tabConsumo[[#This Row],[QTD.PENDENTE]]:tabConsumo[[#This Row],[09_23]] ) * 1)</f>
        <v>9.8047406984508179</v>
      </c>
      <c r="V741" s="221">
        <f xml:space="preserve"> tabConsumo[[#This Row],[Média.A]] + (_xlfn.STDEV.S( tabConsumo[[#This Row],[QTD.PENDENTE]]:tabConsumo[[#This Row],[09_23]] ) * 2)</f>
        <v>15.442814730234968</v>
      </c>
      <c r="W741" s="221">
        <f xml:space="preserve"> tabConsumo[[#This Row],[Média.A]] + (_xlfn.STDEV.S( tabConsumo[[#This Row],[QTD.PENDENTE]]:tabConsumo[[#This Row],[09_23]] ) * 3)</f>
        <v>21.080888762019118</v>
      </c>
      <c r="X741" s="5">
        <f t="shared" si="25"/>
        <v>2</v>
      </c>
      <c r="Y741">
        <v>4.166666666666667</v>
      </c>
      <c r="Z741" s="223">
        <f>SUM( tabConsumo[[#This Row],[QTD.PENDENTE]]:tabConsumo[[#This Row],[09_23]] )</f>
        <v>50</v>
      </c>
      <c r="AA741" s="223">
        <f>LARGE(tabConsumo[[#This Row],[10_22]:[09_23]],1)</f>
        <v>15</v>
      </c>
      <c r="AB741" s="146" t="s">
        <v>2240</v>
      </c>
      <c r="AC741" s="3" t="s">
        <v>2086</v>
      </c>
    </row>
    <row r="742" spans="1:29" x14ac:dyDescent="0.3">
      <c r="A742" s="4" t="s">
        <v>1369</v>
      </c>
      <c r="B742" s="3" t="s">
        <v>560</v>
      </c>
      <c r="C742" s="2">
        <v>64044</v>
      </c>
      <c r="D742" s="2">
        <v>320</v>
      </c>
      <c r="F742" s="2">
        <v>140</v>
      </c>
      <c r="G742" s="2">
        <v>0</v>
      </c>
      <c r="H742" s="2">
        <v>0</v>
      </c>
      <c r="I742" s="2">
        <v>0</v>
      </c>
      <c r="J742" s="2">
        <v>10</v>
      </c>
      <c r="K742" s="2">
        <v>0</v>
      </c>
      <c r="L742" s="2">
        <v>0</v>
      </c>
      <c r="M742" s="2">
        <v>0</v>
      </c>
      <c r="N742" s="2">
        <v>20</v>
      </c>
      <c r="O742" s="2">
        <v>0</v>
      </c>
      <c r="P742" s="2">
        <v>0</v>
      </c>
      <c r="Q742" s="2">
        <v>0</v>
      </c>
      <c r="R742" s="238">
        <v>367</v>
      </c>
      <c r="S742" s="219">
        <f t="shared" si="26"/>
        <v>12</v>
      </c>
      <c r="T742" s="220">
        <f>SUM( tabConsumo[[#This Row],[QTD.PENDENTE]]:tabConsumo[[#This Row],[09_23]] ) / tabConsumo[[#This Row],[Div]]</f>
        <v>14.166666666666666</v>
      </c>
      <c r="U742" s="221">
        <f xml:space="preserve"> tabConsumo[[#This Row],[Média.A]] + (_xlfn.STDEV.S( tabConsumo[[#This Row],[QTD.PENDENTE]]:tabConsumo[[#This Row],[09_23]] ) * 1)</f>
        <v>54.270698051719883</v>
      </c>
      <c r="V742" s="221">
        <f xml:space="preserve"> tabConsumo[[#This Row],[Média.A]] + (_xlfn.STDEV.S( tabConsumo[[#This Row],[QTD.PENDENTE]]:tabConsumo[[#This Row],[09_23]] ) * 2)</f>
        <v>94.374729436773109</v>
      </c>
      <c r="W742" s="221">
        <f xml:space="preserve"> tabConsumo[[#This Row],[Média.A]] + (_xlfn.STDEV.S( tabConsumo[[#This Row],[QTD.PENDENTE]]:tabConsumo[[#This Row],[09_23]] ) * 3)</f>
        <v>134.47876082182631</v>
      </c>
      <c r="X742" s="5">
        <f t="shared" si="25"/>
        <v>2</v>
      </c>
      <c r="Y742">
        <v>10.333333333333334</v>
      </c>
      <c r="Z742" s="223">
        <f>SUM( tabConsumo[[#This Row],[QTD.PENDENTE]]:tabConsumo[[#This Row],[09_23]] )</f>
        <v>170</v>
      </c>
      <c r="AA742" s="223">
        <f>LARGE(tabConsumo[[#This Row],[10_22]:[09_23]],1)</f>
        <v>140</v>
      </c>
      <c r="AB742" s="146" t="s">
        <v>2246</v>
      </c>
      <c r="AC742" s="3" t="s">
        <v>2086</v>
      </c>
    </row>
    <row r="743" spans="1:29" x14ac:dyDescent="0.3">
      <c r="A743" s="4" t="s">
        <v>1324</v>
      </c>
      <c r="B743" s="3" t="s">
        <v>560</v>
      </c>
      <c r="C743" s="2">
        <v>54680</v>
      </c>
      <c r="D743" s="2">
        <v>130</v>
      </c>
      <c r="F743" s="2">
        <v>0</v>
      </c>
      <c r="G743" s="2">
        <v>0</v>
      </c>
      <c r="H743" s="2">
        <v>0</v>
      </c>
      <c r="I743" s="2">
        <v>41</v>
      </c>
      <c r="J743" s="2">
        <v>0</v>
      </c>
      <c r="K743" s="2">
        <v>70</v>
      </c>
      <c r="L743" s="2">
        <v>0</v>
      </c>
      <c r="M743" s="2">
        <v>0</v>
      </c>
      <c r="N743" s="2">
        <v>40</v>
      </c>
      <c r="O743" s="2">
        <v>0</v>
      </c>
      <c r="P743" s="2">
        <v>0</v>
      </c>
      <c r="Q743" s="2">
        <v>0</v>
      </c>
      <c r="R743" s="238">
        <v>367</v>
      </c>
      <c r="S743" s="219">
        <f t="shared" si="26"/>
        <v>12</v>
      </c>
      <c r="T743" s="220">
        <f>SUM( tabConsumo[[#This Row],[QTD.PENDENTE]]:tabConsumo[[#This Row],[09_23]] ) / tabConsumo[[#This Row],[Div]]</f>
        <v>12.583333333333334</v>
      </c>
      <c r="U743" s="221">
        <f xml:space="preserve"> tabConsumo[[#This Row],[Média.A]] + (_xlfn.STDEV.S( tabConsumo[[#This Row],[QTD.PENDENTE]]:tabConsumo[[#This Row],[09_23]] ) * 1)</f>
        <v>36.478781105710908</v>
      </c>
      <c r="V743" s="221">
        <f xml:space="preserve"> tabConsumo[[#This Row],[Média.A]] + (_xlfn.STDEV.S( tabConsumo[[#This Row],[QTD.PENDENTE]]:tabConsumo[[#This Row],[09_23]] ) * 2)</f>
        <v>60.374228878088481</v>
      </c>
      <c r="W743" s="221">
        <f xml:space="preserve"> tabConsumo[[#This Row],[Média.A]] + (_xlfn.STDEV.S( tabConsumo[[#This Row],[QTD.PENDENTE]]:tabConsumo[[#This Row],[09_23]] ) * 3)</f>
        <v>84.269676650466053</v>
      </c>
      <c r="X743" s="5">
        <f t="shared" si="25"/>
        <v>2</v>
      </c>
      <c r="Y743">
        <v>11.75</v>
      </c>
      <c r="Z743" s="223">
        <f>SUM( tabConsumo[[#This Row],[QTD.PENDENTE]]:tabConsumo[[#This Row],[09_23]] )</f>
        <v>151</v>
      </c>
      <c r="AA743" s="223">
        <f>LARGE(tabConsumo[[#This Row],[10_22]:[09_23]],1)</f>
        <v>70</v>
      </c>
      <c r="AB743" s="146" t="s">
        <v>2246</v>
      </c>
      <c r="AC743" s="3" t="s">
        <v>2086</v>
      </c>
    </row>
    <row r="744" spans="1:29" x14ac:dyDescent="0.3">
      <c r="A744" s="4" t="s">
        <v>1856</v>
      </c>
      <c r="B744" s="3" t="s">
        <v>260</v>
      </c>
      <c r="C744" s="2">
        <v>133433</v>
      </c>
      <c r="D744" s="2">
        <v>153</v>
      </c>
      <c r="F744" s="2">
        <v>0</v>
      </c>
      <c r="G744" s="2">
        <v>0</v>
      </c>
      <c r="H744" s="2">
        <v>1</v>
      </c>
      <c r="I744" s="2">
        <v>0</v>
      </c>
      <c r="J744" s="2">
        <v>0</v>
      </c>
      <c r="K744" s="2">
        <v>6</v>
      </c>
      <c r="L744" s="2">
        <v>0</v>
      </c>
      <c r="M744" s="2">
        <v>0</v>
      </c>
      <c r="N744" s="2">
        <v>0</v>
      </c>
      <c r="O744" s="2">
        <v>4</v>
      </c>
      <c r="P744" s="2">
        <v>0</v>
      </c>
      <c r="Q744" s="2">
        <v>0</v>
      </c>
      <c r="R744" s="238">
        <v>42996</v>
      </c>
      <c r="S744" s="219">
        <v>12</v>
      </c>
      <c r="T744" s="220">
        <f>SUM( tabConsumo[[#This Row],[QTD.PENDENTE]]:tabConsumo[[#This Row],[09_23]] ) / tabConsumo[[#This Row],[Div]]</f>
        <v>0.91666666666666663</v>
      </c>
      <c r="U744" s="221">
        <f xml:space="preserve"> tabConsumo[[#This Row],[Média.A]] + (_xlfn.STDEV.S( tabConsumo[[#This Row],[QTD.PENDENTE]]:tabConsumo[[#This Row],[09_23]] ) * 1)</f>
        <v>2.8918920086251863</v>
      </c>
      <c r="V744" s="221">
        <f xml:space="preserve"> tabConsumo[[#This Row],[Média.A]] + (_xlfn.STDEV.S( tabConsumo[[#This Row],[QTD.PENDENTE]]:tabConsumo[[#This Row],[09_23]] ) * 2)</f>
        <v>4.8671173505837064</v>
      </c>
      <c r="W744" s="221">
        <f xml:space="preserve"> tabConsumo[[#This Row],[Média.A]] + (_xlfn.STDEV.S( tabConsumo[[#This Row],[QTD.PENDENTE]]:tabConsumo[[#This Row],[09_23]] ) * 3)</f>
        <v>6.8423426925422257</v>
      </c>
      <c r="X744" s="5">
        <f t="shared" si="25"/>
        <v>2</v>
      </c>
      <c r="Y744">
        <v>0.75</v>
      </c>
      <c r="Z744" s="223">
        <f>SUM( tabConsumo[[#This Row],[QTD.PENDENTE]]:tabConsumo[[#This Row],[09_23]] )</f>
        <v>11</v>
      </c>
      <c r="AA744" s="223">
        <f>LARGE(tabConsumo[[#This Row],[10_22]:[09_23]],1)</f>
        <v>6</v>
      </c>
      <c r="AB744" s="146" t="s">
        <v>2239</v>
      </c>
      <c r="AC744" s="3" t="s">
        <v>2086</v>
      </c>
    </row>
    <row r="745" spans="1:29" x14ac:dyDescent="0.3">
      <c r="A745" s="4" t="s">
        <v>1462</v>
      </c>
      <c r="B745" s="3" t="s">
        <v>263</v>
      </c>
      <c r="C745" s="2">
        <v>80298</v>
      </c>
      <c r="D745" s="2">
        <v>35</v>
      </c>
      <c r="F745" s="2">
        <v>2</v>
      </c>
      <c r="G745" s="2">
        <v>0</v>
      </c>
      <c r="H745" s="2">
        <v>2</v>
      </c>
      <c r="I745" s="2">
        <v>0</v>
      </c>
      <c r="J745" s="2">
        <v>2</v>
      </c>
      <c r="K745" s="2">
        <v>0</v>
      </c>
      <c r="L745" s="2">
        <v>0</v>
      </c>
      <c r="M745" s="2">
        <v>0</v>
      </c>
      <c r="N745" s="2">
        <v>2</v>
      </c>
      <c r="O745" s="2">
        <v>0</v>
      </c>
      <c r="P745" s="2">
        <v>0</v>
      </c>
      <c r="Q745" s="2">
        <v>0</v>
      </c>
      <c r="R745" s="238">
        <v>38166</v>
      </c>
      <c r="S745" s="219">
        <v>12</v>
      </c>
      <c r="T745" s="220">
        <f>SUM( tabConsumo[[#This Row],[QTD.PENDENTE]]:tabConsumo[[#This Row],[09_23]] ) / tabConsumo[[#This Row],[Div]]</f>
        <v>0.66666666666666663</v>
      </c>
      <c r="U745" s="221">
        <f xml:space="preserve"> tabConsumo[[#This Row],[Média.A]] + (_xlfn.STDEV.S( tabConsumo[[#This Row],[QTD.PENDENTE]]:tabConsumo[[#This Row],[09_23]] ) * 1)</f>
        <v>1.6513985945013285</v>
      </c>
      <c r="V745" s="221">
        <f xml:space="preserve"> tabConsumo[[#This Row],[Média.A]] + (_xlfn.STDEV.S( tabConsumo[[#This Row],[QTD.PENDENTE]]:tabConsumo[[#This Row],[09_23]] ) * 2)</f>
        <v>2.6361305223359905</v>
      </c>
      <c r="W745" s="221">
        <f xml:space="preserve"> tabConsumo[[#This Row],[Média.A]] + (_xlfn.STDEV.S( tabConsumo[[#This Row],[QTD.PENDENTE]]:tabConsumo[[#This Row],[09_23]] ) * 3)</f>
        <v>3.6208624501706521</v>
      </c>
      <c r="X745" s="5">
        <f t="shared" si="25"/>
        <v>2</v>
      </c>
      <c r="Y745">
        <v>0.66666666666666663</v>
      </c>
      <c r="Z745" s="223">
        <f>SUM( tabConsumo[[#This Row],[QTD.PENDENTE]]:tabConsumo[[#This Row],[09_23]] )</f>
        <v>8</v>
      </c>
      <c r="AA745" s="223">
        <f>LARGE(tabConsumo[[#This Row],[10_22]:[09_23]],1)</f>
        <v>2</v>
      </c>
      <c r="AB745" s="146" t="s">
        <v>2246</v>
      </c>
      <c r="AC745" s="3" t="s">
        <v>2086</v>
      </c>
    </row>
    <row r="746" spans="1:29" x14ac:dyDescent="0.3">
      <c r="A746" s="4" t="s">
        <v>466</v>
      </c>
      <c r="B746" s="3" t="s">
        <v>263</v>
      </c>
      <c r="C746" s="2">
        <v>50476</v>
      </c>
      <c r="D746" s="2">
        <v>571</v>
      </c>
      <c r="F746" s="2">
        <v>0</v>
      </c>
      <c r="G746" s="2">
        <v>0</v>
      </c>
      <c r="H746" s="2">
        <v>11</v>
      </c>
      <c r="I746" s="2">
        <v>0</v>
      </c>
      <c r="J746" s="2">
        <v>0</v>
      </c>
      <c r="K746" s="2">
        <v>0</v>
      </c>
      <c r="L746" s="2">
        <v>0</v>
      </c>
      <c r="M746" s="2">
        <v>0</v>
      </c>
      <c r="N746" s="2">
        <v>0</v>
      </c>
      <c r="O746" s="2">
        <v>0</v>
      </c>
      <c r="P746" s="2">
        <v>0</v>
      </c>
      <c r="Q746" s="2">
        <v>0</v>
      </c>
      <c r="R746" s="238">
        <v>367</v>
      </c>
      <c r="S746" s="219">
        <f xml:space="preserve"> 12</f>
        <v>12</v>
      </c>
      <c r="T746" s="220">
        <f>SUM( tabConsumo[[#This Row],[QTD.PENDENTE]]:tabConsumo[[#This Row],[09_23]] ) / tabConsumo[[#This Row],[Div]]</f>
        <v>0.91666666666666663</v>
      </c>
      <c r="U746" s="221">
        <f xml:space="preserve"> tabConsumo[[#This Row],[Média.A]] + (_xlfn.STDEV.S( tabConsumo[[#This Row],[QTD.PENDENTE]]:tabConsumo[[#This Row],[09_23]] ) * 1)</f>
        <v>4.0920931472096083</v>
      </c>
      <c r="V746" s="221">
        <f xml:space="preserve"> tabConsumo[[#This Row],[Média.A]] + (_xlfn.STDEV.S( tabConsumo[[#This Row],[QTD.PENDENTE]]:tabConsumo[[#This Row],[09_23]] ) * 2)</f>
        <v>7.2675196277525504</v>
      </c>
      <c r="W746" s="221">
        <f xml:space="preserve"> tabConsumo[[#This Row],[Média.A]] + (_xlfn.STDEV.S( tabConsumo[[#This Row],[QTD.PENDENTE]]:tabConsumo[[#This Row],[09_23]] ) * 3)</f>
        <v>10.442946108295491</v>
      </c>
      <c r="X746" s="5">
        <f t="shared" si="25"/>
        <v>2</v>
      </c>
      <c r="Y746">
        <v>0.58333333333333337</v>
      </c>
      <c r="Z746" s="223">
        <f>SUM( tabConsumo[[#This Row],[QTD.PENDENTE]]:tabConsumo[[#This Row],[09_23]] )</f>
        <v>11</v>
      </c>
      <c r="AA746" s="223">
        <f>LARGE(tabConsumo[[#This Row],[10_22]:[09_23]],1)</f>
        <v>11</v>
      </c>
      <c r="AB746" s="146" t="s">
        <v>2249</v>
      </c>
      <c r="AC746" s="3" t="s">
        <v>2086</v>
      </c>
    </row>
    <row r="747" spans="1:29" x14ac:dyDescent="0.3">
      <c r="A747" s="4" t="s">
        <v>1273</v>
      </c>
      <c r="B747" s="3" t="s">
        <v>263</v>
      </c>
      <c r="C747" s="2">
        <v>40086</v>
      </c>
      <c r="D747" s="2">
        <v>927</v>
      </c>
      <c r="F747" s="2">
        <v>0</v>
      </c>
      <c r="G747" s="2">
        <v>0</v>
      </c>
      <c r="H747" s="2">
        <v>24</v>
      </c>
      <c r="I747" s="2">
        <v>0</v>
      </c>
      <c r="J747" s="2">
        <v>0</v>
      </c>
      <c r="K747" s="2">
        <v>0</v>
      </c>
      <c r="L747" s="2">
        <v>0</v>
      </c>
      <c r="M747" s="2">
        <v>0</v>
      </c>
      <c r="N747" s="2">
        <v>0</v>
      </c>
      <c r="O747" s="2">
        <v>0</v>
      </c>
      <c r="P747" s="2">
        <v>0</v>
      </c>
      <c r="Q747" s="2">
        <v>0</v>
      </c>
      <c r="R747" s="238">
        <v>367</v>
      </c>
      <c r="S747" s="219">
        <f xml:space="preserve"> 12</f>
        <v>12</v>
      </c>
      <c r="T747" s="220">
        <f>SUM( tabConsumo[[#This Row],[QTD.PENDENTE]]:tabConsumo[[#This Row],[09_23]] ) / tabConsumo[[#This Row],[Div]]</f>
        <v>2</v>
      </c>
      <c r="U747" s="221">
        <f xml:space="preserve"> tabConsumo[[#This Row],[Média.A]] + (_xlfn.STDEV.S( tabConsumo[[#This Row],[QTD.PENDENTE]]:tabConsumo[[#This Row],[09_23]] ) * 1)</f>
        <v>8.9282032302755088</v>
      </c>
      <c r="V747" s="221">
        <f xml:space="preserve"> tabConsumo[[#This Row],[Média.A]] + (_xlfn.STDEV.S( tabConsumo[[#This Row],[QTD.PENDENTE]]:tabConsumo[[#This Row],[09_23]] ) * 2)</f>
        <v>15.856406460551018</v>
      </c>
      <c r="W747" s="221">
        <f xml:space="preserve"> tabConsumo[[#This Row],[Média.A]] + (_xlfn.STDEV.S( tabConsumo[[#This Row],[QTD.PENDENTE]]:tabConsumo[[#This Row],[09_23]] ) * 3)</f>
        <v>22.784609690826528</v>
      </c>
      <c r="X747" s="5">
        <f t="shared" si="25"/>
        <v>2</v>
      </c>
      <c r="Y747">
        <v>1.25</v>
      </c>
      <c r="Z747" s="223">
        <f>SUM( tabConsumo[[#This Row],[QTD.PENDENTE]]:tabConsumo[[#This Row],[09_23]] )</f>
        <v>24</v>
      </c>
      <c r="AA747" s="223">
        <f>LARGE(tabConsumo[[#This Row],[10_22]:[09_23]],1)</f>
        <v>24</v>
      </c>
      <c r="AB747" s="146" t="s">
        <v>2249</v>
      </c>
      <c r="AC747" s="3" t="s">
        <v>2086</v>
      </c>
    </row>
    <row r="748" spans="1:29" x14ac:dyDescent="0.3">
      <c r="A748" s="4" t="s">
        <v>1701</v>
      </c>
      <c r="B748" s="3" t="s">
        <v>263</v>
      </c>
      <c r="C748" s="2">
        <v>114297</v>
      </c>
      <c r="D748" s="2">
        <v>4224</v>
      </c>
      <c r="F748" s="2">
        <v>0</v>
      </c>
      <c r="G748" s="2">
        <v>15</v>
      </c>
      <c r="H748" s="2">
        <v>28</v>
      </c>
      <c r="I748" s="2">
        <v>0</v>
      </c>
      <c r="J748" s="2">
        <v>10</v>
      </c>
      <c r="K748" s="2">
        <v>0</v>
      </c>
      <c r="L748" s="2">
        <v>0</v>
      </c>
      <c r="M748" s="2">
        <v>0</v>
      </c>
      <c r="N748" s="2">
        <v>0</v>
      </c>
      <c r="O748" s="2">
        <v>0</v>
      </c>
      <c r="P748" s="2">
        <v>0</v>
      </c>
      <c r="Q748" s="2">
        <v>0</v>
      </c>
      <c r="R748" s="238">
        <v>40240</v>
      </c>
      <c r="S748" s="219">
        <v>12</v>
      </c>
      <c r="T748" s="220">
        <f>SUM( tabConsumo[[#This Row],[QTD.PENDENTE]]:tabConsumo[[#This Row],[09_23]] ) / tabConsumo[[#This Row],[Div]]</f>
        <v>4.416666666666667</v>
      </c>
      <c r="U748" s="221">
        <f xml:space="preserve"> tabConsumo[[#This Row],[Média.A]] + (_xlfn.STDEV.S( tabConsumo[[#This Row],[QTD.PENDENTE]]:tabConsumo[[#This Row],[09_23]] ) * 1)</f>
        <v>13.33506780071972</v>
      </c>
      <c r="V748" s="221">
        <f xml:space="preserve"> tabConsumo[[#This Row],[Média.A]] + (_xlfn.STDEV.S( tabConsumo[[#This Row],[QTD.PENDENTE]]:tabConsumo[[#This Row],[09_23]] ) * 2)</f>
        <v>22.253468934772773</v>
      </c>
      <c r="W748" s="221">
        <f xml:space="preserve"> tabConsumo[[#This Row],[Média.A]] + (_xlfn.STDEV.S( tabConsumo[[#This Row],[QTD.PENDENTE]]:tabConsumo[[#This Row],[09_23]] ) * 3)</f>
        <v>31.171870068825825</v>
      </c>
      <c r="X748" s="5">
        <f t="shared" si="25"/>
        <v>2</v>
      </c>
      <c r="Y748">
        <v>3.9166666666666665</v>
      </c>
      <c r="Z748" s="223">
        <f>SUM( tabConsumo[[#This Row],[QTD.PENDENTE]]:tabConsumo[[#This Row],[09_23]] )</f>
        <v>53</v>
      </c>
      <c r="AA748" s="223">
        <f>LARGE(tabConsumo[[#This Row],[10_22]:[09_23]],1)</f>
        <v>28</v>
      </c>
      <c r="AB748" s="146" t="s">
        <v>2248</v>
      </c>
      <c r="AC748" s="3" t="s">
        <v>2086</v>
      </c>
    </row>
    <row r="749" spans="1:29" x14ac:dyDescent="0.3">
      <c r="A749" s="4" t="s">
        <v>1421</v>
      </c>
      <c r="B749" s="3" t="s">
        <v>263</v>
      </c>
      <c r="C749" s="2">
        <v>76218</v>
      </c>
      <c r="D749" s="2">
        <v>36</v>
      </c>
      <c r="F749" s="2">
        <v>0</v>
      </c>
      <c r="G749" s="2">
        <v>0</v>
      </c>
      <c r="H749" s="2">
        <v>0</v>
      </c>
      <c r="I749" s="2">
        <v>0</v>
      </c>
      <c r="J749" s="2">
        <v>0</v>
      </c>
      <c r="K749" s="2">
        <v>0</v>
      </c>
      <c r="L749" s="2">
        <v>4</v>
      </c>
      <c r="M749" s="2">
        <v>0</v>
      </c>
      <c r="N749" s="2">
        <v>0</v>
      </c>
      <c r="O749" s="2">
        <v>0</v>
      </c>
      <c r="P749" s="2">
        <v>0</v>
      </c>
      <c r="Q749" s="2">
        <v>0</v>
      </c>
      <c r="R749" s="238">
        <v>37956</v>
      </c>
      <c r="S749" s="219">
        <v>12</v>
      </c>
      <c r="T749" s="220">
        <f>SUM( tabConsumo[[#This Row],[QTD.PENDENTE]]:tabConsumo[[#This Row],[09_23]] ) / tabConsumo[[#This Row],[Div]]</f>
        <v>0.33333333333333331</v>
      </c>
      <c r="U749" s="221">
        <f xml:space="preserve"> tabConsumo[[#This Row],[Média.A]] + (_xlfn.STDEV.S( tabConsumo[[#This Row],[QTD.PENDENTE]]:tabConsumo[[#This Row],[09_23]] ) * 1)</f>
        <v>1.4880338717125847</v>
      </c>
      <c r="V749" s="221">
        <f xml:space="preserve"> tabConsumo[[#This Row],[Média.A]] + (_xlfn.STDEV.S( tabConsumo[[#This Row],[QTD.PENDENTE]]:tabConsumo[[#This Row],[09_23]] ) * 2)</f>
        <v>2.6427344100918364</v>
      </c>
      <c r="W749" s="221">
        <f xml:space="preserve"> tabConsumo[[#This Row],[Média.A]] + (_xlfn.STDEV.S( tabConsumo[[#This Row],[QTD.PENDENTE]]:tabConsumo[[#This Row],[09_23]] ) * 3)</f>
        <v>3.7974349484710879</v>
      </c>
      <c r="X749" s="5">
        <f t="shared" si="25"/>
        <v>2</v>
      </c>
      <c r="Y749">
        <v>0.16666666666666666</v>
      </c>
      <c r="Z749" s="223">
        <f>SUM( tabConsumo[[#This Row],[QTD.PENDENTE]]:tabConsumo[[#This Row],[09_23]] )</f>
        <v>4</v>
      </c>
      <c r="AA749" s="223">
        <f>LARGE(tabConsumo[[#This Row],[10_22]:[09_23]],1)</f>
        <v>4</v>
      </c>
      <c r="AB749" s="146" t="s">
        <v>2240</v>
      </c>
      <c r="AC749" s="3" t="s">
        <v>2086</v>
      </c>
    </row>
    <row r="750" spans="1:29" x14ac:dyDescent="0.3">
      <c r="A750" s="4" t="s">
        <v>1635</v>
      </c>
      <c r="B750" s="3" t="s">
        <v>263</v>
      </c>
      <c r="C750" s="2">
        <v>106375</v>
      </c>
      <c r="D750" s="2">
        <v>1000</v>
      </c>
      <c r="E750" s="2">
        <v>41</v>
      </c>
      <c r="F750" s="2">
        <v>23</v>
      </c>
      <c r="G750" s="2">
        <v>91</v>
      </c>
      <c r="H750" s="2">
        <v>20</v>
      </c>
      <c r="I750" s="2">
        <v>33</v>
      </c>
      <c r="J750" s="2">
        <v>68</v>
      </c>
      <c r="K750" s="2">
        <v>232</v>
      </c>
      <c r="L750" s="2">
        <v>24</v>
      </c>
      <c r="M750" s="2">
        <v>9</v>
      </c>
      <c r="N750" s="2">
        <v>0</v>
      </c>
      <c r="O750" s="2">
        <v>0</v>
      </c>
      <c r="P750" s="2">
        <v>0</v>
      </c>
      <c r="Q750" s="2">
        <v>0</v>
      </c>
      <c r="R750" s="238">
        <v>39580</v>
      </c>
      <c r="S750" s="219">
        <v>12</v>
      </c>
      <c r="T750" s="220">
        <f>SUM( tabConsumo[[#This Row],[QTD.PENDENTE]]:tabConsumo[[#This Row],[09_23]] ) / tabConsumo[[#This Row],[Div]]</f>
        <v>45.083333333333336</v>
      </c>
      <c r="U750" s="221">
        <f xml:space="preserve"> tabConsumo[[#This Row],[Média.A]] + (_xlfn.STDEV.S( tabConsumo[[#This Row],[QTD.PENDENTE]]:tabConsumo[[#This Row],[09_23]] ) * 1)</f>
        <v>108.70400405904751</v>
      </c>
      <c r="V750" s="221">
        <f xml:space="preserve"> tabConsumo[[#This Row],[Média.A]] + (_xlfn.STDEV.S( tabConsumo[[#This Row],[QTD.PENDENTE]]:tabConsumo[[#This Row],[09_23]] ) * 2)</f>
        <v>172.32467478476167</v>
      </c>
      <c r="W750" s="221">
        <f xml:space="preserve"> tabConsumo[[#This Row],[Média.A]] + (_xlfn.STDEV.S( tabConsumo[[#This Row],[QTD.PENDENTE]]:tabConsumo[[#This Row],[09_23]] ) * 3)</f>
        <v>235.94534551047585</v>
      </c>
      <c r="X750" s="5">
        <f t="shared" si="25"/>
        <v>2</v>
      </c>
      <c r="Y750">
        <v>40.083333333333336</v>
      </c>
      <c r="Z750" s="223">
        <f>SUM( tabConsumo[[#This Row],[QTD.PENDENTE]]:tabConsumo[[#This Row],[09_23]] )</f>
        <v>541</v>
      </c>
      <c r="AA750" s="223">
        <f>LARGE(tabConsumo[[#This Row],[10_22]:[09_23]],1)</f>
        <v>232</v>
      </c>
      <c r="AB750" s="146" t="s">
        <v>2244</v>
      </c>
      <c r="AC750" s="3" t="s">
        <v>2086</v>
      </c>
    </row>
    <row r="751" spans="1:29" x14ac:dyDescent="0.3">
      <c r="A751" s="4" t="s">
        <v>1636</v>
      </c>
      <c r="B751" s="3" t="s">
        <v>263</v>
      </c>
      <c r="C751" s="2">
        <v>106376</v>
      </c>
      <c r="D751" s="2">
        <v>1001</v>
      </c>
      <c r="F751" s="2">
        <v>47</v>
      </c>
      <c r="G751" s="2">
        <v>126</v>
      </c>
      <c r="H751" s="2">
        <v>167</v>
      </c>
      <c r="I751" s="2">
        <v>66</v>
      </c>
      <c r="J751" s="2">
        <v>22</v>
      </c>
      <c r="K751" s="2">
        <v>131</v>
      </c>
      <c r="L751" s="2">
        <v>222</v>
      </c>
      <c r="M751" s="2">
        <v>323</v>
      </c>
      <c r="N751" s="2">
        <v>90</v>
      </c>
      <c r="O751" s="2">
        <v>252</v>
      </c>
      <c r="P751" s="2">
        <v>120</v>
      </c>
      <c r="Q751" s="2">
        <v>300</v>
      </c>
      <c r="R751" s="238">
        <v>39580</v>
      </c>
      <c r="S751" s="219">
        <v>12</v>
      </c>
      <c r="T751" s="220">
        <f>SUM( tabConsumo[[#This Row],[QTD.PENDENTE]]:tabConsumo[[#This Row],[09_23]] ) / tabConsumo[[#This Row],[Div]]</f>
        <v>155.5</v>
      </c>
      <c r="U751" s="221">
        <f xml:space="preserve"> tabConsumo[[#This Row],[Média.A]] + (_xlfn.STDEV.S( tabConsumo[[#This Row],[QTD.PENDENTE]]:tabConsumo[[#This Row],[09_23]] ) * 1)</f>
        <v>254.32445409549564</v>
      </c>
      <c r="V751" s="221">
        <f xml:space="preserve"> tabConsumo[[#This Row],[Média.A]] + (_xlfn.STDEV.S( tabConsumo[[#This Row],[QTD.PENDENTE]]:tabConsumo[[#This Row],[09_23]] ) * 2)</f>
        <v>353.14890819099128</v>
      </c>
      <c r="W751" s="221">
        <f xml:space="preserve"> tabConsumo[[#This Row],[Média.A]] + (_xlfn.STDEV.S( tabConsumo[[#This Row],[QTD.PENDENTE]]:tabConsumo[[#This Row],[09_23]] ) * 3)</f>
        <v>451.97336228648697</v>
      </c>
      <c r="X751" s="5">
        <f t="shared" si="25"/>
        <v>2</v>
      </c>
      <c r="Y751">
        <v>155.5</v>
      </c>
      <c r="Z751" s="223">
        <f>SUM( tabConsumo[[#This Row],[QTD.PENDENTE]]:tabConsumo[[#This Row],[09_23]] )</f>
        <v>1866</v>
      </c>
      <c r="AA751" s="223">
        <f>LARGE(tabConsumo[[#This Row],[10_22]:[09_23]],1)</f>
        <v>323</v>
      </c>
      <c r="AB751" s="146" t="s">
        <v>2238</v>
      </c>
      <c r="AC751" s="3" t="s">
        <v>2086</v>
      </c>
    </row>
    <row r="752" spans="1:29" x14ac:dyDescent="0.3">
      <c r="A752" s="4" t="s">
        <v>1695</v>
      </c>
      <c r="B752" s="3" t="s">
        <v>31</v>
      </c>
      <c r="C752" s="2">
        <v>112494</v>
      </c>
      <c r="D752" s="2">
        <v>376</v>
      </c>
      <c r="F752" s="2">
        <v>0</v>
      </c>
      <c r="G752" s="2">
        <v>9</v>
      </c>
      <c r="H752" s="2">
        <v>0</v>
      </c>
      <c r="I752" s="2">
        <v>28</v>
      </c>
      <c r="J752" s="2">
        <v>0</v>
      </c>
      <c r="K752" s="2">
        <v>0</v>
      </c>
      <c r="L752" s="2">
        <v>0</v>
      </c>
      <c r="M752" s="2">
        <v>0</v>
      </c>
      <c r="N752" s="2">
        <v>20</v>
      </c>
      <c r="O752" s="2">
        <v>0</v>
      </c>
      <c r="P752" s="2">
        <v>0</v>
      </c>
      <c r="Q752" s="2">
        <v>0</v>
      </c>
      <c r="R752" s="238">
        <v>40064</v>
      </c>
      <c r="S752" s="219">
        <v>12</v>
      </c>
      <c r="T752" s="220">
        <f>SUM( tabConsumo[[#This Row],[QTD.PENDENTE]]:tabConsumo[[#This Row],[09_23]] ) / tabConsumo[[#This Row],[Div]]</f>
        <v>4.75</v>
      </c>
      <c r="U752" s="221">
        <f xml:space="preserve"> tabConsumo[[#This Row],[Média.A]] + (_xlfn.STDEV.S( tabConsumo[[#This Row],[QTD.PENDENTE]]:tabConsumo[[#This Row],[09_23]] ) * 1)</f>
        <v>14.257174324496404</v>
      </c>
      <c r="V752" s="221">
        <f xml:space="preserve"> tabConsumo[[#This Row],[Média.A]] + (_xlfn.STDEV.S( tabConsumo[[#This Row],[QTD.PENDENTE]]:tabConsumo[[#This Row],[09_23]] ) * 2)</f>
        <v>23.764348648992808</v>
      </c>
      <c r="W752" s="221">
        <f xml:space="preserve"> tabConsumo[[#This Row],[Média.A]] + (_xlfn.STDEV.S( tabConsumo[[#This Row],[QTD.PENDENTE]]:tabConsumo[[#This Row],[09_23]] ) * 3)</f>
        <v>33.271522973489212</v>
      </c>
      <c r="X752" s="5">
        <f t="shared" si="25"/>
        <v>2</v>
      </c>
      <c r="Y752">
        <v>4.333333333333333</v>
      </c>
      <c r="Z752" s="223">
        <f>SUM( tabConsumo[[#This Row],[QTD.PENDENTE]]:tabConsumo[[#This Row],[09_23]] )</f>
        <v>57</v>
      </c>
      <c r="AA752" s="223">
        <f>LARGE(tabConsumo[[#This Row],[10_22]:[09_23]],1)</f>
        <v>28</v>
      </c>
      <c r="AB752" s="146" t="s">
        <v>2246</v>
      </c>
      <c r="AC752" s="3" t="s">
        <v>2086</v>
      </c>
    </row>
    <row r="753" spans="1:29" x14ac:dyDescent="0.3">
      <c r="A753" s="4" t="s">
        <v>1697</v>
      </c>
      <c r="B753" s="3" t="s">
        <v>31</v>
      </c>
      <c r="C753" s="2">
        <v>113242</v>
      </c>
      <c r="D753" s="2">
        <v>100</v>
      </c>
      <c r="F753" s="2">
        <v>0</v>
      </c>
      <c r="G753" s="2">
        <v>6</v>
      </c>
      <c r="H753" s="2">
        <v>0</v>
      </c>
      <c r="I753" s="2">
        <v>21</v>
      </c>
      <c r="J753" s="2">
        <v>0</v>
      </c>
      <c r="K753" s="2">
        <v>0</v>
      </c>
      <c r="L753" s="2">
        <v>0</v>
      </c>
      <c r="M753" s="2">
        <v>0</v>
      </c>
      <c r="N753" s="2">
        <v>32</v>
      </c>
      <c r="O753" s="2">
        <v>0</v>
      </c>
      <c r="P753" s="2">
        <v>0</v>
      </c>
      <c r="Q753" s="2">
        <v>0</v>
      </c>
      <c r="R753" s="238">
        <v>40113</v>
      </c>
      <c r="S753" s="219">
        <v>12</v>
      </c>
      <c r="T753" s="220">
        <f>SUM( tabConsumo[[#This Row],[QTD.PENDENTE]]:tabConsumo[[#This Row],[09_23]] ) / tabConsumo[[#This Row],[Div]]</f>
        <v>4.916666666666667</v>
      </c>
      <c r="U753" s="221">
        <f xml:space="preserve"> tabConsumo[[#This Row],[Média.A]] + (_xlfn.STDEV.S( tabConsumo[[#This Row],[QTD.PENDENTE]]:tabConsumo[[#This Row],[09_23]] ) * 1)</f>
        <v>15.40872715702476</v>
      </c>
      <c r="V753" s="221">
        <f xml:space="preserve"> tabConsumo[[#This Row],[Média.A]] + (_xlfn.STDEV.S( tabConsumo[[#This Row],[QTD.PENDENTE]]:tabConsumo[[#This Row],[09_23]] ) * 2)</f>
        <v>25.900787647382856</v>
      </c>
      <c r="W753" s="221">
        <f xml:space="preserve"> tabConsumo[[#This Row],[Média.A]] + (_xlfn.STDEV.S( tabConsumo[[#This Row],[QTD.PENDENTE]]:tabConsumo[[#This Row],[09_23]] ) * 3)</f>
        <v>36.392848137740948</v>
      </c>
      <c r="X753" s="5">
        <f t="shared" si="25"/>
        <v>2</v>
      </c>
      <c r="Y753">
        <v>4.333333333333333</v>
      </c>
      <c r="Z753" s="223">
        <f>SUM( tabConsumo[[#This Row],[QTD.PENDENTE]]:tabConsumo[[#This Row],[09_23]] )</f>
        <v>59</v>
      </c>
      <c r="AA753" s="223">
        <f>LARGE(tabConsumo[[#This Row],[10_22]:[09_23]],1)</f>
        <v>32</v>
      </c>
      <c r="AB753" s="146" t="s">
        <v>2246</v>
      </c>
      <c r="AC753" s="3" t="s">
        <v>2086</v>
      </c>
    </row>
    <row r="754" spans="1:29" x14ac:dyDescent="0.3">
      <c r="A754" s="4" t="s">
        <v>1677</v>
      </c>
      <c r="B754" s="3" t="s">
        <v>263</v>
      </c>
      <c r="C754" s="2">
        <v>110892</v>
      </c>
      <c r="D754" s="2">
        <v>154</v>
      </c>
      <c r="F754" s="2">
        <v>0</v>
      </c>
      <c r="G754" s="2">
        <v>6</v>
      </c>
      <c r="H754" s="2">
        <v>0</v>
      </c>
      <c r="I754" s="2">
        <v>19</v>
      </c>
      <c r="J754" s="2">
        <v>0</v>
      </c>
      <c r="K754" s="2">
        <v>0</v>
      </c>
      <c r="L754" s="2">
        <v>0</v>
      </c>
      <c r="M754" s="2">
        <v>0</v>
      </c>
      <c r="N754" s="2">
        <v>10</v>
      </c>
      <c r="O754" s="2">
        <v>0</v>
      </c>
      <c r="P754" s="2">
        <v>0</v>
      </c>
      <c r="Q754" s="2">
        <v>0</v>
      </c>
      <c r="R754" s="238">
        <v>39944</v>
      </c>
      <c r="S754" s="219">
        <v>12</v>
      </c>
      <c r="T754" s="220">
        <f>SUM( tabConsumo[[#This Row],[QTD.PENDENTE]]:tabConsumo[[#This Row],[09_23]] ) / tabConsumo[[#This Row],[Div]]</f>
        <v>2.9166666666666665</v>
      </c>
      <c r="U754" s="221">
        <f xml:space="preserve"> tabConsumo[[#This Row],[Média.A]] + (_xlfn.STDEV.S( tabConsumo[[#This Row],[QTD.PENDENTE]]:tabConsumo[[#This Row],[09_23]] ) * 1)</f>
        <v>8.9084539752679284</v>
      </c>
      <c r="V754" s="221">
        <f xml:space="preserve"> tabConsumo[[#This Row],[Média.A]] + (_xlfn.STDEV.S( tabConsumo[[#This Row],[QTD.PENDENTE]]:tabConsumo[[#This Row],[09_23]] ) * 2)</f>
        <v>14.900241283869191</v>
      </c>
      <c r="W754" s="221">
        <f xml:space="preserve"> tabConsumo[[#This Row],[Média.A]] + (_xlfn.STDEV.S( tabConsumo[[#This Row],[QTD.PENDENTE]]:tabConsumo[[#This Row],[09_23]] ) * 3)</f>
        <v>20.892028592470457</v>
      </c>
      <c r="X754" s="5">
        <f t="shared" si="25"/>
        <v>2</v>
      </c>
      <c r="Y754">
        <v>2.5</v>
      </c>
      <c r="Z754" s="223">
        <f>SUM( tabConsumo[[#This Row],[QTD.PENDENTE]]:tabConsumo[[#This Row],[09_23]] )</f>
        <v>35</v>
      </c>
      <c r="AA754" s="223">
        <f>LARGE(tabConsumo[[#This Row],[10_22]:[09_23]],1)</f>
        <v>19</v>
      </c>
      <c r="AB754" s="146" t="s">
        <v>2246</v>
      </c>
      <c r="AC754" s="3" t="s">
        <v>2086</v>
      </c>
    </row>
    <row r="755" spans="1:29" x14ac:dyDescent="0.3">
      <c r="A755" s="4" t="s">
        <v>1678</v>
      </c>
      <c r="B755" s="3" t="s">
        <v>263</v>
      </c>
      <c r="C755" s="2">
        <v>110893</v>
      </c>
      <c r="D755" s="2">
        <v>119</v>
      </c>
      <c r="F755" s="2">
        <v>0</v>
      </c>
      <c r="G755" s="2">
        <v>0</v>
      </c>
      <c r="H755" s="2">
        <v>10</v>
      </c>
      <c r="I755" s="2">
        <v>5</v>
      </c>
      <c r="J755" s="2">
        <v>0</v>
      </c>
      <c r="K755" s="2">
        <v>0</v>
      </c>
      <c r="L755" s="2">
        <v>0</v>
      </c>
      <c r="M755" s="2">
        <v>0</v>
      </c>
      <c r="N755" s="2">
        <v>20</v>
      </c>
      <c r="O755" s="2">
        <v>0</v>
      </c>
      <c r="P755" s="2">
        <v>0</v>
      </c>
      <c r="Q755" s="2">
        <v>0</v>
      </c>
      <c r="R755" s="238">
        <v>39944</v>
      </c>
      <c r="S755" s="219">
        <v>12</v>
      </c>
      <c r="T755" s="220">
        <f>SUM( tabConsumo[[#This Row],[QTD.PENDENTE]]:tabConsumo[[#This Row],[09_23]] ) / tabConsumo[[#This Row],[Div]]</f>
        <v>2.9166666666666665</v>
      </c>
      <c r="U755" s="221">
        <f xml:space="preserve"> tabConsumo[[#This Row],[Média.A]] + (_xlfn.STDEV.S( tabConsumo[[#This Row],[QTD.PENDENTE]]:tabConsumo[[#This Row],[09_23]] ) * 1)</f>
        <v>9.1172287135273944</v>
      </c>
      <c r="V755" s="221">
        <f xml:space="preserve"> tabConsumo[[#This Row],[Média.A]] + (_xlfn.STDEV.S( tabConsumo[[#This Row],[QTD.PENDENTE]]:tabConsumo[[#This Row],[09_23]] ) * 2)</f>
        <v>15.317790760388121</v>
      </c>
      <c r="W755" s="221">
        <f xml:space="preserve"> tabConsumo[[#This Row],[Média.A]] + (_xlfn.STDEV.S( tabConsumo[[#This Row],[QTD.PENDENTE]]:tabConsumo[[#This Row],[09_23]] ) * 3)</f>
        <v>21.518352807248849</v>
      </c>
      <c r="X755" s="5">
        <f t="shared" si="25"/>
        <v>2</v>
      </c>
      <c r="Y755">
        <v>2.5</v>
      </c>
      <c r="Z755" s="223">
        <f>SUM( tabConsumo[[#This Row],[QTD.PENDENTE]]:tabConsumo[[#This Row],[09_23]] )</f>
        <v>35</v>
      </c>
      <c r="AA755" s="223">
        <f>LARGE(tabConsumo[[#This Row],[10_22]:[09_23]],1)</f>
        <v>20</v>
      </c>
      <c r="AB755" s="146" t="s">
        <v>2246</v>
      </c>
      <c r="AC755" s="3" t="s">
        <v>2086</v>
      </c>
    </row>
    <row r="756" spans="1:29" x14ac:dyDescent="0.3">
      <c r="A756" s="4" t="s">
        <v>1603</v>
      </c>
      <c r="B756" s="3" t="s">
        <v>263</v>
      </c>
      <c r="C756" s="2">
        <v>103344</v>
      </c>
      <c r="D756" s="2">
        <v>516</v>
      </c>
      <c r="F756" s="2">
        <v>0</v>
      </c>
      <c r="G756" s="2">
        <v>0</v>
      </c>
      <c r="H756" s="2">
        <v>0</v>
      </c>
      <c r="I756" s="2">
        <v>10</v>
      </c>
      <c r="J756" s="2">
        <v>0</v>
      </c>
      <c r="K756" s="2">
        <v>0</v>
      </c>
      <c r="L756" s="2">
        <v>0</v>
      </c>
      <c r="M756" s="2">
        <v>0</v>
      </c>
      <c r="N756" s="2">
        <v>0</v>
      </c>
      <c r="O756" s="2">
        <v>10</v>
      </c>
      <c r="P756" s="2">
        <v>0</v>
      </c>
      <c r="Q756" s="2">
        <v>0</v>
      </c>
      <c r="R756" s="238">
        <v>39400</v>
      </c>
      <c r="S756" s="219">
        <v>12</v>
      </c>
      <c r="T756" s="220">
        <f>SUM( tabConsumo[[#This Row],[QTD.PENDENTE]]:tabConsumo[[#This Row],[09_23]] ) / tabConsumo[[#This Row],[Div]]</f>
        <v>1.6666666666666667</v>
      </c>
      <c r="U756" s="221">
        <f xml:space="preserve"> tabConsumo[[#This Row],[Média.A]] + (_xlfn.STDEV.S( tabConsumo[[#This Row],[QTD.PENDENTE]]:tabConsumo[[#This Row],[09_23]] ) * 1)</f>
        <v>5.5591613874742816</v>
      </c>
      <c r="V756" s="221">
        <f xml:space="preserve"> tabConsumo[[#This Row],[Média.A]] + (_xlfn.STDEV.S( tabConsumo[[#This Row],[QTD.PENDENTE]]:tabConsumo[[#This Row],[09_23]] ) * 2)</f>
        <v>9.4516561082818953</v>
      </c>
      <c r="W756" s="221">
        <f xml:space="preserve"> tabConsumo[[#This Row],[Média.A]] + (_xlfn.STDEV.S( tabConsumo[[#This Row],[QTD.PENDENTE]]:tabConsumo[[#This Row],[09_23]] ) * 3)</f>
        <v>13.344150829089509</v>
      </c>
      <c r="X756" s="5">
        <f t="shared" si="25"/>
        <v>2</v>
      </c>
      <c r="Y756">
        <v>1.5</v>
      </c>
      <c r="Z756" s="223">
        <f>SUM( tabConsumo[[#This Row],[QTD.PENDENTE]]:tabConsumo[[#This Row],[09_23]] )</f>
        <v>20</v>
      </c>
      <c r="AA756" s="223">
        <f>LARGE(tabConsumo[[#This Row],[10_22]:[09_23]],1)</f>
        <v>10</v>
      </c>
      <c r="AB756" s="146" t="s">
        <v>2239</v>
      </c>
      <c r="AC756" s="3" t="s">
        <v>2086</v>
      </c>
    </row>
    <row r="757" spans="1:29" x14ac:dyDescent="0.3">
      <c r="A757" s="4" t="s">
        <v>1102</v>
      </c>
      <c r="B757" s="3" t="s">
        <v>263</v>
      </c>
      <c r="C757" s="2">
        <v>15648</v>
      </c>
      <c r="D757" s="2">
        <v>36</v>
      </c>
      <c r="F757" s="2">
        <v>0</v>
      </c>
      <c r="G757" s="2">
        <v>0</v>
      </c>
      <c r="H757" s="2">
        <v>12</v>
      </c>
      <c r="I757" s="2">
        <v>10</v>
      </c>
      <c r="J757" s="2">
        <v>0</v>
      </c>
      <c r="K757" s="2">
        <v>0</v>
      </c>
      <c r="L757" s="2">
        <v>0</v>
      </c>
      <c r="M757" s="2">
        <v>0</v>
      </c>
      <c r="N757" s="2">
        <v>0</v>
      </c>
      <c r="O757" s="2">
        <v>0</v>
      </c>
      <c r="P757" s="2">
        <v>0</v>
      </c>
      <c r="Q757" s="2">
        <v>0</v>
      </c>
      <c r="R757" s="238">
        <v>367</v>
      </c>
      <c r="S757" s="219">
        <f t="shared" ref="S757:S764" si="27" xml:space="preserve"> 12</f>
        <v>12</v>
      </c>
      <c r="T757" s="220">
        <f>SUM( tabConsumo[[#This Row],[QTD.PENDENTE]]:tabConsumo[[#This Row],[09_23]] ) / tabConsumo[[#This Row],[Div]]</f>
        <v>1.8333333333333333</v>
      </c>
      <c r="U757" s="221">
        <f xml:space="preserve"> tabConsumo[[#This Row],[Média.A]] + (_xlfn.STDEV.S( tabConsumo[[#This Row],[QTD.PENDENTE]]:tabConsumo[[#This Row],[09_23]] ) * 1)</f>
        <v>6.136256934229765</v>
      </c>
      <c r="V757" s="221">
        <f xml:space="preserve"> tabConsumo[[#This Row],[Média.A]] + (_xlfn.STDEV.S( tabConsumo[[#This Row],[QTD.PENDENTE]]:tabConsumo[[#This Row],[09_23]] ) * 2)</f>
        <v>10.439180535126198</v>
      </c>
      <c r="W757" s="221">
        <f xml:space="preserve"> tabConsumo[[#This Row],[Média.A]] + (_xlfn.STDEV.S( tabConsumo[[#This Row],[QTD.PENDENTE]]:tabConsumo[[#This Row],[09_23]] ) * 3)</f>
        <v>14.742104136022631</v>
      </c>
      <c r="X757" s="5">
        <f t="shared" si="25"/>
        <v>2</v>
      </c>
      <c r="Y757">
        <v>1.6666666666666667</v>
      </c>
      <c r="Z757" s="223">
        <f>SUM( tabConsumo[[#This Row],[QTD.PENDENTE]]:tabConsumo[[#This Row],[09_23]] )</f>
        <v>22</v>
      </c>
      <c r="AA757" s="223">
        <f>LARGE(tabConsumo[[#This Row],[10_22]:[09_23]],1)</f>
        <v>12</v>
      </c>
      <c r="AB757" s="146" t="s">
        <v>2247</v>
      </c>
      <c r="AC757" s="3" t="s">
        <v>2086</v>
      </c>
    </row>
    <row r="758" spans="1:29" x14ac:dyDescent="0.3">
      <c r="A758" s="4" t="s">
        <v>1104</v>
      </c>
      <c r="B758" s="3" t="s">
        <v>263</v>
      </c>
      <c r="C758" s="2">
        <v>15656</v>
      </c>
      <c r="D758" s="2">
        <v>136</v>
      </c>
      <c r="F758" s="2">
        <v>0</v>
      </c>
      <c r="G758" s="2">
        <v>0</v>
      </c>
      <c r="H758" s="2">
        <v>0</v>
      </c>
      <c r="I758" s="2">
        <v>5</v>
      </c>
      <c r="J758" s="2">
        <v>0</v>
      </c>
      <c r="K758" s="2">
        <v>0</v>
      </c>
      <c r="L758" s="2">
        <v>0</v>
      </c>
      <c r="M758" s="2">
        <v>0</v>
      </c>
      <c r="N758" s="2">
        <v>10</v>
      </c>
      <c r="O758" s="2">
        <v>0</v>
      </c>
      <c r="P758" s="2">
        <v>0</v>
      </c>
      <c r="Q758" s="2">
        <v>0</v>
      </c>
      <c r="R758" s="238">
        <v>367</v>
      </c>
      <c r="S758" s="219">
        <f t="shared" si="27"/>
        <v>12</v>
      </c>
      <c r="T758" s="220">
        <f>SUM( tabConsumo[[#This Row],[QTD.PENDENTE]]:tabConsumo[[#This Row],[09_23]] ) / tabConsumo[[#This Row],[Div]]</f>
        <v>1.25</v>
      </c>
      <c r="U758" s="221">
        <f xml:space="preserve"> tabConsumo[[#This Row],[Média.A]] + (_xlfn.STDEV.S( tabConsumo[[#This Row],[QTD.PENDENTE]]:tabConsumo[[#This Row],[09_23]] ) * 1)</f>
        <v>4.3579078025403053</v>
      </c>
      <c r="V758" s="221">
        <f xml:space="preserve"> tabConsumo[[#This Row],[Média.A]] + (_xlfn.STDEV.S( tabConsumo[[#This Row],[QTD.PENDENTE]]:tabConsumo[[#This Row],[09_23]] ) * 2)</f>
        <v>7.4658156050806106</v>
      </c>
      <c r="W758" s="221">
        <f xml:space="preserve"> tabConsumo[[#This Row],[Média.A]] + (_xlfn.STDEV.S( tabConsumo[[#This Row],[QTD.PENDENTE]]:tabConsumo[[#This Row],[09_23]] ) * 3)</f>
        <v>10.573723407620916</v>
      </c>
      <c r="X758" s="5">
        <f t="shared" si="25"/>
        <v>2</v>
      </c>
      <c r="Y758">
        <v>1</v>
      </c>
      <c r="Z758" s="223">
        <f>SUM( tabConsumo[[#This Row],[QTD.PENDENTE]]:tabConsumo[[#This Row],[09_23]] )</f>
        <v>15</v>
      </c>
      <c r="AA758" s="223">
        <f>LARGE(tabConsumo[[#This Row],[10_22]:[09_23]],1)</f>
        <v>10</v>
      </c>
      <c r="AB758" s="146" t="s">
        <v>2246</v>
      </c>
      <c r="AC758" s="3" t="s">
        <v>2086</v>
      </c>
    </row>
    <row r="759" spans="1:29" x14ac:dyDescent="0.3">
      <c r="A759" s="4" t="s">
        <v>1108</v>
      </c>
      <c r="B759" s="3" t="s">
        <v>263</v>
      </c>
      <c r="C759" s="2">
        <v>15673</v>
      </c>
      <c r="D759" s="2">
        <v>100</v>
      </c>
      <c r="F759" s="2">
        <v>0</v>
      </c>
      <c r="G759" s="2">
        <v>6</v>
      </c>
      <c r="H759" s="2">
        <v>12</v>
      </c>
      <c r="I759" s="2">
        <v>20</v>
      </c>
      <c r="J759" s="2">
        <v>0</v>
      </c>
      <c r="K759" s="2">
        <v>0</v>
      </c>
      <c r="L759" s="2">
        <v>0</v>
      </c>
      <c r="M759" s="2">
        <v>0</v>
      </c>
      <c r="N759" s="2">
        <v>20</v>
      </c>
      <c r="O759" s="2">
        <v>0</v>
      </c>
      <c r="P759" s="2">
        <v>0</v>
      </c>
      <c r="Q759" s="2">
        <v>8</v>
      </c>
      <c r="R759" s="238">
        <v>367</v>
      </c>
      <c r="S759" s="219">
        <f t="shared" si="27"/>
        <v>12</v>
      </c>
      <c r="T759" s="220">
        <f>SUM( tabConsumo[[#This Row],[QTD.PENDENTE]]:tabConsumo[[#This Row],[09_23]] ) / tabConsumo[[#This Row],[Div]]</f>
        <v>5.5</v>
      </c>
      <c r="U759" s="221">
        <f xml:space="preserve"> tabConsumo[[#This Row],[Média.A]] + (_xlfn.STDEV.S( tabConsumo[[#This Row],[QTD.PENDENTE]]:tabConsumo[[#This Row],[09_23]] ) * 1)</f>
        <v>13.368233023309038</v>
      </c>
      <c r="V759" s="221">
        <f xml:space="preserve"> tabConsumo[[#This Row],[Média.A]] + (_xlfn.STDEV.S( tabConsumo[[#This Row],[QTD.PENDENTE]]:tabConsumo[[#This Row],[09_23]] ) * 2)</f>
        <v>21.236466046618077</v>
      </c>
      <c r="W759" s="221">
        <f xml:space="preserve"> tabConsumo[[#This Row],[Média.A]] + (_xlfn.STDEV.S( tabConsumo[[#This Row],[QTD.PENDENTE]]:tabConsumo[[#This Row],[09_23]] ) * 3)</f>
        <v>29.104699069927118</v>
      </c>
      <c r="X759" s="5">
        <f t="shared" si="25"/>
        <v>2</v>
      </c>
      <c r="Y759">
        <v>5.5</v>
      </c>
      <c r="Z759" s="223">
        <f>SUM( tabConsumo[[#This Row],[QTD.PENDENTE]]:tabConsumo[[#This Row],[09_23]] )</f>
        <v>66</v>
      </c>
      <c r="AA759" s="223">
        <f>LARGE(tabConsumo[[#This Row],[10_22]:[09_23]],1)</f>
        <v>20</v>
      </c>
      <c r="AB759" s="146" t="s">
        <v>2238</v>
      </c>
      <c r="AC759" s="3" t="s">
        <v>2086</v>
      </c>
    </row>
    <row r="760" spans="1:29" x14ac:dyDescent="0.3">
      <c r="A760" s="4" t="s">
        <v>1105</v>
      </c>
      <c r="B760" s="3" t="s">
        <v>263</v>
      </c>
      <c r="C760" s="2">
        <v>15664</v>
      </c>
      <c r="D760" s="2">
        <v>54</v>
      </c>
      <c r="F760" s="2">
        <v>0</v>
      </c>
      <c r="G760" s="2">
        <v>9</v>
      </c>
      <c r="H760" s="2">
        <v>0</v>
      </c>
      <c r="I760" s="2">
        <v>0</v>
      </c>
      <c r="J760" s="2">
        <v>0</v>
      </c>
      <c r="K760" s="2">
        <v>0</v>
      </c>
      <c r="L760" s="2">
        <v>0</v>
      </c>
      <c r="M760" s="2">
        <v>0</v>
      </c>
      <c r="N760" s="2">
        <v>0</v>
      </c>
      <c r="O760" s="2">
        <v>0</v>
      </c>
      <c r="P760" s="2">
        <v>0</v>
      </c>
      <c r="Q760" s="2">
        <v>0</v>
      </c>
      <c r="R760" s="238">
        <v>367</v>
      </c>
      <c r="S760" s="219">
        <f t="shared" si="27"/>
        <v>12</v>
      </c>
      <c r="T760" s="220">
        <f>SUM( tabConsumo[[#This Row],[QTD.PENDENTE]]:tabConsumo[[#This Row],[09_23]] ) / tabConsumo[[#This Row],[Div]]</f>
        <v>0.75</v>
      </c>
      <c r="U760" s="221">
        <f xml:space="preserve"> tabConsumo[[#This Row],[Média.A]] + (_xlfn.STDEV.S( tabConsumo[[#This Row],[QTD.PENDENTE]]:tabConsumo[[#This Row],[09_23]] ) * 1)</f>
        <v>3.348076211353316</v>
      </c>
      <c r="V760" s="221">
        <f xml:space="preserve"> tabConsumo[[#This Row],[Média.A]] + (_xlfn.STDEV.S( tabConsumo[[#This Row],[QTD.PENDENTE]]:tabConsumo[[#This Row],[09_23]] ) * 2)</f>
        <v>5.946152422706632</v>
      </c>
      <c r="W760" s="221">
        <f xml:space="preserve"> tabConsumo[[#This Row],[Média.A]] + (_xlfn.STDEV.S( tabConsumo[[#This Row],[QTD.PENDENTE]]:tabConsumo[[#This Row],[09_23]] ) * 3)</f>
        <v>8.544228634059948</v>
      </c>
      <c r="X760" s="5">
        <f t="shared" si="25"/>
        <v>2</v>
      </c>
      <c r="Y760">
        <v>0.41666666666666669</v>
      </c>
      <c r="Z760" s="223">
        <f>SUM( tabConsumo[[#This Row],[QTD.PENDENTE]]:tabConsumo[[#This Row],[09_23]] )</f>
        <v>9</v>
      </c>
      <c r="AA760" s="223">
        <f>LARGE(tabConsumo[[#This Row],[10_22]:[09_23]],1)</f>
        <v>9</v>
      </c>
      <c r="AB760" s="146" t="s">
        <v>2243</v>
      </c>
      <c r="AC760" s="3" t="s">
        <v>2086</v>
      </c>
    </row>
    <row r="761" spans="1:29" x14ac:dyDescent="0.3">
      <c r="A761" s="4" t="s">
        <v>1106</v>
      </c>
      <c r="B761" s="3" t="s">
        <v>263</v>
      </c>
      <c r="C761" s="2">
        <v>15668</v>
      </c>
      <c r="D761" s="2">
        <v>239</v>
      </c>
      <c r="F761" s="2">
        <v>0</v>
      </c>
      <c r="G761" s="2">
        <v>0</v>
      </c>
      <c r="H761" s="2">
        <v>10</v>
      </c>
      <c r="I761" s="2">
        <v>0</v>
      </c>
      <c r="J761" s="2">
        <v>0</v>
      </c>
      <c r="K761" s="2">
        <v>0</v>
      </c>
      <c r="L761" s="2">
        <v>0</v>
      </c>
      <c r="M761" s="2">
        <v>0</v>
      </c>
      <c r="N761" s="2">
        <v>0</v>
      </c>
      <c r="O761" s="2">
        <v>0</v>
      </c>
      <c r="P761" s="2">
        <v>5</v>
      </c>
      <c r="Q761" s="2">
        <v>0</v>
      </c>
      <c r="R761" s="238">
        <v>367</v>
      </c>
      <c r="S761" s="219">
        <f t="shared" si="27"/>
        <v>12</v>
      </c>
      <c r="T761" s="220">
        <f>SUM( tabConsumo[[#This Row],[QTD.PENDENTE]]:tabConsumo[[#This Row],[09_23]] ) / tabConsumo[[#This Row],[Div]]</f>
        <v>1.25</v>
      </c>
      <c r="U761" s="221">
        <f xml:space="preserve"> tabConsumo[[#This Row],[Média.A]] + (_xlfn.STDEV.S( tabConsumo[[#This Row],[QTD.PENDENTE]]:tabConsumo[[#This Row],[09_23]] ) * 1)</f>
        <v>4.3579078025403053</v>
      </c>
      <c r="V761" s="221">
        <f xml:space="preserve"> tabConsumo[[#This Row],[Média.A]] + (_xlfn.STDEV.S( tabConsumo[[#This Row],[QTD.PENDENTE]]:tabConsumo[[#This Row],[09_23]] ) * 2)</f>
        <v>7.4658156050806106</v>
      </c>
      <c r="W761" s="221">
        <f xml:space="preserve"> tabConsumo[[#This Row],[Média.A]] + (_xlfn.STDEV.S( tabConsumo[[#This Row],[QTD.PENDENTE]]:tabConsumo[[#This Row],[09_23]] ) * 3)</f>
        <v>10.573723407620916</v>
      </c>
      <c r="X761" s="5">
        <f t="shared" si="25"/>
        <v>2</v>
      </c>
      <c r="Y761">
        <v>1</v>
      </c>
      <c r="Z761" s="223">
        <f>SUM( tabConsumo[[#This Row],[QTD.PENDENTE]]:tabConsumo[[#This Row],[09_23]] )</f>
        <v>15</v>
      </c>
      <c r="AA761" s="223">
        <f>LARGE(tabConsumo[[#This Row],[10_22]:[09_23]],1)</f>
        <v>10</v>
      </c>
      <c r="AB761" s="146" t="s">
        <v>2241</v>
      </c>
      <c r="AC761" s="3" t="s">
        <v>2086</v>
      </c>
    </row>
    <row r="762" spans="1:29" x14ac:dyDescent="0.3">
      <c r="A762" s="4" t="s">
        <v>1107</v>
      </c>
      <c r="B762" s="3" t="s">
        <v>263</v>
      </c>
      <c r="C762" s="2">
        <v>15672</v>
      </c>
      <c r="D762" s="2">
        <v>0</v>
      </c>
      <c r="E762" s="2">
        <v>28</v>
      </c>
      <c r="F762" s="2">
        <v>0</v>
      </c>
      <c r="G762" s="2">
        <v>0</v>
      </c>
      <c r="H762" s="2">
        <v>10</v>
      </c>
      <c r="I762" s="2">
        <v>26</v>
      </c>
      <c r="J762" s="2">
        <v>0</v>
      </c>
      <c r="K762" s="2">
        <v>0</v>
      </c>
      <c r="L762" s="2">
        <v>0</v>
      </c>
      <c r="M762" s="2">
        <v>0</v>
      </c>
      <c r="N762" s="2">
        <v>0</v>
      </c>
      <c r="O762" s="2">
        <v>0</v>
      </c>
      <c r="P762" s="2">
        <v>0</v>
      </c>
      <c r="Q762" s="2">
        <v>0</v>
      </c>
      <c r="R762" s="238">
        <v>367</v>
      </c>
      <c r="S762" s="219">
        <f t="shared" si="27"/>
        <v>12</v>
      </c>
      <c r="T762" s="220">
        <f>SUM( tabConsumo[[#This Row],[QTD.PENDENTE]]:tabConsumo[[#This Row],[09_23]] ) / tabConsumo[[#This Row],[Div]]</f>
        <v>5.333333333333333</v>
      </c>
      <c r="U762" s="221">
        <f xml:space="preserve"> tabConsumo[[#This Row],[Média.A]] + (_xlfn.STDEV.S( tabConsumo[[#This Row],[QTD.PENDENTE]]:tabConsumo[[#This Row],[09_23]] ) * 1)</f>
        <v>15.51879305509306</v>
      </c>
      <c r="V762" s="221">
        <f xml:space="preserve"> tabConsumo[[#This Row],[Média.A]] + (_xlfn.STDEV.S( tabConsumo[[#This Row],[QTD.PENDENTE]]:tabConsumo[[#This Row],[09_23]] ) * 2)</f>
        <v>25.704252776852787</v>
      </c>
      <c r="W762" s="221">
        <f xml:space="preserve"> tabConsumo[[#This Row],[Média.A]] + (_xlfn.STDEV.S( tabConsumo[[#This Row],[QTD.PENDENTE]]:tabConsumo[[#This Row],[09_23]] ) * 3)</f>
        <v>35.889712498612518</v>
      </c>
      <c r="X762" s="5">
        <f t="shared" si="25"/>
        <v>2</v>
      </c>
      <c r="Y762">
        <v>5.25</v>
      </c>
      <c r="Z762" s="223">
        <f>SUM( tabConsumo[[#This Row],[QTD.PENDENTE]]:tabConsumo[[#This Row],[09_23]] )</f>
        <v>64</v>
      </c>
      <c r="AA762" s="223">
        <f>LARGE(tabConsumo[[#This Row],[10_22]:[09_23]],1)</f>
        <v>26</v>
      </c>
      <c r="AB762" s="146" t="s">
        <v>2247</v>
      </c>
      <c r="AC762" s="3" t="s">
        <v>2086</v>
      </c>
    </row>
    <row r="763" spans="1:29" x14ac:dyDescent="0.3">
      <c r="A763" s="4" t="s">
        <v>1109</v>
      </c>
      <c r="B763" s="3" t="s">
        <v>263</v>
      </c>
      <c r="C763" s="2">
        <v>15680</v>
      </c>
      <c r="D763" s="2">
        <v>482</v>
      </c>
      <c r="F763" s="2">
        <v>0</v>
      </c>
      <c r="G763" s="2">
        <v>6</v>
      </c>
      <c r="H763" s="2">
        <v>10</v>
      </c>
      <c r="I763" s="2">
        <v>0</v>
      </c>
      <c r="J763" s="2">
        <v>0</v>
      </c>
      <c r="K763" s="2">
        <v>0</v>
      </c>
      <c r="L763" s="2">
        <v>0</v>
      </c>
      <c r="M763" s="2">
        <v>0</v>
      </c>
      <c r="N763" s="2">
        <v>30</v>
      </c>
      <c r="O763" s="2">
        <v>0</v>
      </c>
      <c r="P763" s="2">
        <v>0</v>
      </c>
      <c r="Q763" s="2">
        <v>0</v>
      </c>
      <c r="R763" s="238">
        <v>367</v>
      </c>
      <c r="S763" s="219">
        <f t="shared" si="27"/>
        <v>12</v>
      </c>
      <c r="T763" s="220">
        <f>SUM( tabConsumo[[#This Row],[QTD.PENDENTE]]:tabConsumo[[#This Row],[09_23]] ) / tabConsumo[[#This Row],[Div]]</f>
        <v>3.8333333333333335</v>
      </c>
      <c r="U763" s="221">
        <f xml:space="preserve"> tabConsumo[[#This Row],[Média.A]] + (_xlfn.STDEV.S( tabConsumo[[#This Row],[QTD.PENDENTE]]:tabConsumo[[#This Row],[09_23]] ) * 1)</f>
        <v>12.673667894395779</v>
      </c>
      <c r="V763" s="221">
        <f xml:space="preserve"> tabConsumo[[#This Row],[Média.A]] + (_xlfn.STDEV.S( tabConsumo[[#This Row],[QTD.PENDENTE]]:tabConsumo[[#This Row],[09_23]] ) * 2)</f>
        <v>21.514002455458222</v>
      </c>
      <c r="W763" s="221">
        <f xml:space="preserve"> tabConsumo[[#This Row],[Média.A]] + (_xlfn.STDEV.S( tabConsumo[[#This Row],[QTD.PENDENTE]]:tabConsumo[[#This Row],[09_23]] ) * 3)</f>
        <v>30.354337016520667</v>
      </c>
      <c r="X763" s="5">
        <f t="shared" si="25"/>
        <v>2</v>
      </c>
      <c r="Y763">
        <v>3.0833333333333335</v>
      </c>
      <c r="Z763" s="223">
        <f>SUM( tabConsumo[[#This Row],[QTD.PENDENTE]]:tabConsumo[[#This Row],[09_23]] )</f>
        <v>46</v>
      </c>
      <c r="AA763" s="223">
        <f>LARGE(tabConsumo[[#This Row],[10_22]:[09_23]],1)</f>
        <v>30</v>
      </c>
      <c r="AB763" s="146" t="s">
        <v>2246</v>
      </c>
      <c r="AC763" s="3" t="s">
        <v>2086</v>
      </c>
    </row>
    <row r="764" spans="1:29" x14ac:dyDescent="0.3">
      <c r="A764" s="4" t="s">
        <v>1239</v>
      </c>
      <c r="B764" s="3" t="s">
        <v>263</v>
      </c>
      <c r="C764" s="2">
        <v>29952</v>
      </c>
      <c r="D764" s="2">
        <v>1256</v>
      </c>
      <c r="E764" s="2">
        <v>234</v>
      </c>
      <c r="F764" s="2">
        <v>251</v>
      </c>
      <c r="G764" s="2">
        <v>276</v>
      </c>
      <c r="H764" s="2">
        <v>444</v>
      </c>
      <c r="I764" s="2">
        <v>136</v>
      </c>
      <c r="J764" s="2">
        <v>242</v>
      </c>
      <c r="K764" s="2">
        <v>1902</v>
      </c>
      <c r="L764" s="2">
        <v>77</v>
      </c>
      <c r="M764" s="2">
        <v>327</v>
      </c>
      <c r="N764" s="2">
        <v>294</v>
      </c>
      <c r="O764" s="2">
        <v>285</v>
      </c>
      <c r="P764" s="2">
        <v>318</v>
      </c>
      <c r="Q764" s="2">
        <v>270</v>
      </c>
      <c r="R764" s="238">
        <v>367</v>
      </c>
      <c r="S764" s="219">
        <f t="shared" si="27"/>
        <v>12</v>
      </c>
      <c r="T764" s="220">
        <f>SUM( tabConsumo[[#This Row],[QTD.PENDENTE]]:tabConsumo[[#This Row],[09_23]] ) / tabConsumo[[#This Row],[Div]]</f>
        <v>421.33333333333331</v>
      </c>
      <c r="U764" s="221">
        <f xml:space="preserve"> tabConsumo[[#This Row],[Média.A]] + (_xlfn.STDEV.S( tabConsumo[[#This Row],[QTD.PENDENTE]]:tabConsumo[[#This Row],[09_23]] ) * 1)</f>
        <v>884.46406749278958</v>
      </c>
      <c r="V764" s="221">
        <f xml:space="preserve"> tabConsumo[[#This Row],[Média.A]] + (_xlfn.STDEV.S( tabConsumo[[#This Row],[QTD.PENDENTE]]:tabConsumo[[#This Row],[09_23]] ) * 2)</f>
        <v>1347.5948016522457</v>
      </c>
      <c r="W764" s="221">
        <f xml:space="preserve"> tabConsumo[[#This Row],[Média.A]] + (_xlfn.STDEV.S( tabConsumo[[#This Row],[QTD.PENDENTE]]:tabConsumo[[#This Row],[09_23]] ) * 3)</f>
        <v>1810.725535811702</v>
      </c>
      <c r="X764" s="5">
        <f t="shared" si="25"/>
        <v>2</v>
      </c>
      <c r="Y764">
        <v>375.08333333333331</v>
      </c>
      <c r="Z764" s="223">
        <f>SUM( tabConsumo[[#This Row],[QTD.PENDENTE]]:tabConsumo[[#This Row],[09_23]] )</f>
        <v>5056</v>
      </c>
      <c r="AA764" s="223">
        <f>LARGE(tabConsumo[[#This Row],[10_22]:[09_23]],1)</f>
        <v>1902</v>
      </c>
      <c r="AB764" s="146" t="s">
        <v>2238</v>
      </c>
      <c r="AC764" s="3" t="s">
        <v>2086</v>
      </c>
    </row>
    <row r="765" spans="1:29" x14ac:dyDescent="0.3">
      <c r="A765" s="4" t="s">
        <v>1978</v>
      </c>
      <c r="B765" s="3" t="s">
        <v>31</v>
      </c>
      <c r="C765" s="2">
        <v>138471</v>
      </c>
      <c r="D765" s="2">
        <v>4448</v>
      </c>
      <c r="E765" s="2">
        <v>144</v>
      </c>
      <c r="F765" s="2">
        <v>735</v>
      </c>
      <c r="G765" s="2">
        <v>714</v>
      </c>
      <c r="H765" s="2">
        <v>188</v>
      </c>
      <c r="I765" s="2">
        <v>173</v>
      </c>
      <c r="J765" s="2">
        <v>454</v>
      </c>
      <c r="K765" s="2">
        <v>4848</v>
      </c>
      <c r="L765" s="2">
        <v>570</v>
      </c>
      <c r="M765" s="2">
        <v>491</v>
      </c>
      <c r="N765" s="2">
        <v>606</v>
      </c>
      <c r="O765" s="2">
        <v>613</v>
      </c>
      <c r="P765" s="2">
        <v>571</v>
      </c>
      <c r="Q765" s="2">
        <v>527</v>
      </c>
      <c r="R765" s="238">
        <v>43720</v>
      </c>
      <c r="S765" s="219">
        <v>12</v>
      </c>
      <c r="T765" s="220">
        <f>SUM( tabConsumo[[#This Row],[QTD.PENDENTE]]:tabConsumo[[#This Row],[09_23]] ) / tabConsumo[[#This Row],[Div]]</f>
        <v>886.16666666666663</v>
      </c>
      <c r="U765" s="221">
        <f xml:space="preserve"> tabConsumo[[#This Row],[Média.A]] + (_xlfn.STDEV.S( tabConsumo[[#This Row],[QTD.PENDENTE]]:tabConsumo[[#This Row],[09_23]] ) * 1)</f>
        <v>2112.9304988691001</v>
      </c>
      <c r="V765" s="221">
        <f xml:space="preserve"> tabConsumo[[#This Row],[Média.A]] + (_xlfn.STDEV.S( tabConsumo[[#This Row],[QTD.PENDENTE]]:tabConsumo[[#This Row],[09_23]] ) * 2)</f>
        <v>3339.6943310715333</v>
      </c>
      <c r="W765" s="221">
        <f xml:space="preserve"> tabConsumo[[#This Row],[Média.A]] + (_xlfn.STDEV.S( tabConsumo[[#This Row],[QTD.PENDENTE]]:tabConsumo[[#This Row],[09_23]] ) * 3)</f>
        <v>4566.4581632739673</v>
      </c>
      <c r="X765" s="5">
        <f t="shared" si="25"/>
        <v>2</v>
      </c>
      <c r="Y765">
        <v>760.41666666666663</v>
      </c>
      <c r="Z765" s="223">
        <f>SUM( tabConsumo[[#This Row],[QTD.PENDENTE]]:tabConsumo[[#This Row],[09_23]] )</f>
        <v>10634</v>
      </c>
      <c r="AA765" s="223">
        <f>LARGE(tabConsumo[[#This Row],[10_22]:[09_23]],1)</f>
        <v>4848</v>
      </c>
      <c r="AB765" s="146" t="s">
        <v>2238</v>
      </c>
      <c r="AC765" s="3" t="s">
        <v>2086</v>
      </c>
    </row>
    <row r="766" spans="1:29" x14ac:dyDescent="0.3">
      <c r="A766" s="4" t="s">
        <v>1666</v>
      </c>
      <c r="B766" s="3" t="s">
        <v>1667</v>
      </c>
      <c r="C766" s="2">
        <v>109848</v>
      </c>
      <c r="D766" s="2">
        <v>7</v>
      </c>
      <c r="F766" s="2">
        <v>13</v>
      </c>
      <c r="G766" s="2">
        <v>25</v>
      </c>
      <c r="H766" s="2">
        <v>18</v>
      </c>
      <c r="I766" s="2">
        <v>0</v>
      </c>
      <c r="J766" s="2">
        <v>2</v>
      </c>
      <c r="K766" s="2">
        <v>5</v>
      </c>
      <c r="L766" s="2">
        <v>0</v>
      </c>
      <c r="M766" s="2">
        <v>0</v>
      </c>
      <c r="N766" s="2">
        <v>0</v>
      </c>
      <c r="O766" s="2">
        <v>0</v>
      </c>
      <c r="P766" s="2">
        <v>0</v>
      </c>
      <c r="Q766" s="2">
        <v>0</v>
      </c>
      <c r="R766" s="238">
        <v>39857</v>
      </c>
      <c r="S766" s="219">
        <v>12</v>
      </c>
      <c r="T766" s="220">
        <f>SUM( tabConsumo[[#This Row],[QTD.PENDENTE]]:tabConsumo[[#This Row],[09_23]] ) / tabConsumo[[#This Row],[Div]]</f>
        <v>5.25</v>
      </c>
      <c r="U766" s="221">
        <f xml:space="preserve"> tabConsumo[[#This Row],[Média.A]] + (_xlfn.STDEV.S( tabConsumo[[#This Row],[QTD.PENDENTE]]:tabConsumo[[#This Row],[09_23]] ) * 1)</f>
        <v>13.864206025777737</v>
      </c>
      <c r="V766" s="221">
        <f xml:space="preserve"> tabConsumo[[#This Row],[Média.A]] + (_xlfn.STDEV.S( tabConsumo[[#This Row],[QTD.PENDENTE]]:tabConsumo[[#This Row],[09_23]] ) * 2)</f>
        <v>22.478412051555473</v>
      </c>
      <c r="W766" s="221">
        <f xml:space="preserve"> tabConsumo[[#This Row],[Média.A]] + (_xlfn.STDEV.S( tabConsumo[[#This Row],[QTD.PENDENTE]]:tabConsumo[[#This Row],[09_23]] ) * 3)</f>
        <v>31.09261807733321</v>
      </c>
      <c r="X766" s="5">
        <f t="shared" si="25"/>
        <v>2</v>
      </c>
      <c r="Y766">
        <v>5</v>
      </c>
      <c r="Z766" s="223">
        <f>SUM( tabConsumo[[#This Row],[QTD.PENDENTE]]:tabConsumo[[#This Row],[09_23]] )</f>
        <v>63</v>
      </c>
      <c r="AA766" s="223">
        <f>LARGE(tabConsumo[[#This Row],[10_22]:[09_23]],1)</f>
        <v>25</v>
      </c>
      <c r="AB766" s="146" t="s">
        <v>2245</v>
      </c>
      <c r="AC766" s="3" t="s">
        <v>2086</v>
      </c>
    </row>
    <row r="767" spans="1:29" x14ac:dyDescent="0.3">
      <c r="A767" s="4" t="s">
        <v>1791</v>
      </c>
      <c r="B767" s="3" t="s">
        <v>287</v>
      </c>
      <c r="C767" s="2">
        <v>128287</v>
      </c>
      <c r="D767" s="2">
        <v>677</v>
      </c>
      <c r="E767" s="2">
        <v>24</v>
      </c>
      <c r="F767" s="2">
        <v>74</v>
      </c>
      <c r="G767" s="2">
        <v>50</v>
      </c>
      <c r="H767" s="2">
        <v>42</v>
      </c>
      <c r="I767" s="2">
        <v>68</v>
      </c>
      <c r="J767" s="2">
        <v>26</v>
      </c>
      <c r="K767" s="2">
        <v>23</v>
      </c>
      <c r="L767" s="2">
        <v>0</v>
      </c>
      <c r="M767" s="2">
        <v>0</v>
      </c>
      <c r="N767" s="2">
        <v>0</v>
      </c>
      <c r="O767" s="2">
        <v>0</v>
      </c>
      <c r="P767" s="2">
        <v>0</v>
      </c>
      <c r="Q767" s="2">
        <v>7</v>
      </c>
      <c r="R767" s="238">
        <v>41828</v>
      </c>
      <c r="S767" s="219">
        <v>12</v>
      </c>
      <c r="T767" s="220">
        <f>SUM( tabConsumo[[#This Row],[QTD.PENDENTE]]:tabConsumo[[#This Row],[09_23]] ) / tabConsumo[[#This Row],[Div]]</f>
        <v>26.166666666666668</v>
      </c>
      <c r="U767" s="221">
        <f xml:space="preserve"> tabConsumo[[#This Row],[Média.A]] + (_xlfn.STDEV.S( tabConsumo[[#This Row],[QTD.PENDENTE]]:tabConsumo[[#This Row],[09_23]] ) * 1)</f>
        <v>52.952378510378402</v>
      </c>
      <c r="V767" s="221">
        <f xml:space="preserve"> tabConsumo[[#This Row],[Média.A]] + (_xlfn.STDEV.S( tabConsumo[[#This Row],[QTD.PENDENTE]]:tabConsumo[[#This Row],[09_23]] ) * 2)</f>
        <v>79.738090354090133</v>
      </c>
      <c r="W767" s="221">
        <f xml:space="preserve"> tabConsumo[[#This Row],[Média.A]] + (_xlfn.STDEV.S( tabConsumo[[#This Row],[QTD.PENDENTE]]:tabConsumo[[#This Row],[09_23]] ) * 3)</f>
        <v>106.52380219780187</v>
      </c>
      <c r="X767" s="5">
        <f t="shared" si="25"/>
        <v>2</v>
      </c>
      <c r="Y767">
        <v>26.166666666666668</v>
      </c>
      <c r="Z767" s="223">
        <f>SUM( tabConsumo[[#This Row],[QTD.PENDENTE]]:tabConsumo[[#This Row],[09_23]] )</f>
        <v>314</v>
      </c>
      <c r="AA767" s="223">
        <f>LARGE(tabConsumo[[#This Row],[10_22]:[09_23]],1)</f>
        <v>74</v>
      </c>
      <c r="AB767" s="146" t="s">
        <v>2238</v>
      </c>
      <c r="AC767" s="3" t="s">
        <v>2086</v>
      </c>
    </row>
    <row r="768" spans="1:29" x14ac:dyDescent="0.3">
      <c r="A768" s="4" t="s">
        <v>1110</v>
      </c>
      <c r="B768" s="3" t="s">
        <v>263</v>
      </c>
      <c r="C768" s="2">
        <v>15813</v>
      </c>
      <c r="D768" s="2">
        <v>1765</v>
      </c>
      <c r="F768" s="2">
        <v>1635</v>
      </c>
      <c r="G768" s="2">
        <v>50</v>
      </c>
      <c r="H768" s="2">
        <v>520</v>
      </c>
      <c r="I768" s="2">
        <v>615</v>
      </c>
      <c r="J768" s="2">
        <v>565</v>
      </c>
      <c r="K768" s="2">
        <v>515</v>
      </c>
      <c r="L768" s="2">
        <v>85</v>
      </c>
      <c r="M768" s="2">
        <v>950</v>
      </c>
      <c r="N768" s="2">
        <v>1350</v>
      </c>
      <c r="O768" s="2">
        <v>200</v>
      </c>
      <c r="P768" s="2">
        <v>0</v>
      </c>
      <c r="Q768" s="2">
        <v>400</v>
      </c>
      <c r="R768" s="238">
        <v>367</v>
      </c>
      <c r="S768" s="219">
        <f xml:space="preserve"> 12</f>
        <v>12</v>
      </c>
      <c r="T768" s="220">
        <f>SUM( tabConsumo[[#This Row],[QTD.PENDENTE]]:tabConsumo[[#This Row],[09_23]] ) / tabConsumo[[#This Row],[Div]]</f>
        <v>573.75</v>
      </c>
      <c r="U768" s="221">
        <f xml:space="preserve"> tabConsumo[[#This Row],[Média.A]] + (_xlfn.STDEV.S( tabConsumo[[#This Row],[QTD.PENDENTE]]:tabConsumo[[#This Row],[09_23]] ) * 1)</f>
        <v>1086.3863454996854</v>
      </c>
      <c r="V768" s="221">
        <f xml:space="preserve"> tabConsumo[[#This Row],[Média.A]] + (_xlfn.STDEV.S( tabConsumo[[#This Row],[QTD.PENDENTE]]:tabConsumo[[#This Row],[09_23]] ) * 2)</f>
        <v>1599.0226909993705</v>
      </c>
      <c r="W768" s="221">
        <f xml:space="preserve"> tabConsumo[[#This Row],[Média.A]] + (_xlfn.STDEV.S( tabConsumo[[#This Row],[QTD.PENDENTE]]:tabConsumo[[#This Row],[09_23]] ) * 3)</f>
        <v>2111.6590364990557</v>
      </c>
      <c r="X768" s="5">
        <f t="shared" si="25"/>
        <v>2</v>
      </c>
      <c r="Y768">
        <v>570.75</v>
      </c>
      <c r="Z768" s="223">
        <f>SUM( tabConsumo[[#This Row],[QTD.PENDENTE]]:tabConsumo[[#This Row],[09_23]] )</f>
        <v>6885</v>
      </c>
      <c r="AA768" s="223">
        <f>LARGE(tabConsumo[[#This Row],[10_22]:[09_23]],1)</f>
        <v>1635</v>
      </c>
      <c r="AB768" s="146" t="s">
        <v>2238</v>
      </c>
      <c r="AC768" s="3" t="s">
        <v>2086</v>
      </c>
    </row>
    <row r="769" spans="1:29" x14ac:dyDescent="0.3">
      <c r="A769" s="4" t="s">
        <v>1738</v>
      </c>
      <c r="B769" s="3" t="s">
        <v>335</v>
      </c>
      <c r="C769" s="2">
        <v>119318</v>
      </c>
      <c r="D769" s="2">
        <v>0</v>
      </c>
      <c r="E769" s="2">
        <v>4</v>
      </c>
      <c r="F769" s="2">
        <v>9</v>
      </c>
      <c r="G769" s="2">
        <v>16</v>
      </c>
      <c r="H769" s="2">
        <v>4</v>
      </c>
      <c r="I769" s="2">
        <v>8</v>
      </c>
      <c r="J769" s="2">
        <v>10</v>
      </c>
      <c r="K769" s="2">
        <v>31</v>
      </c>
      <c r="L769" s="2">
        <v>25</v>
      </c>
      <c r="M769" s="2">
        <v>26</v>
      </c>
      <c r="N769" s="2">
        <v>22</v>
      </c>
      <c r="O769" s="2">
        <v>17</v>
      </c>
      <c r="P769" s="2">
        <v>0</v>
      </c>
      <c r="Q769" s="2">
        <v>0</v>
      </c>
      <c r="R769" s="238">
        <v>40598</v>
      </c>
      <c r="S769" s="219">
        <v>12</v>
      </c>
      <c r="T769" s="220">
        <f>SUM( tabConsumo[[#This Row],[QTD.PENDENTE]]:tabConsumo[[#This Row],[09_23]] ) / tabConsumo[[#This Row],[Div]]</f>
        <v>14.333333333333334</v>
      </c>
      <c r="U769" s="221">
        <f xml:space="preserve"> tabConsumo[[#This Row],[Média.A]] + (_xlfn.STDEV.S( tabConsumo[[#This Row],[QTD.PENDENTE]]:tabConsumo[[#This Row],[09_23]] ) * 1)</f>
        <v>24.710823766588753</v>
      </c>
      <c r="V769" s="221">
        <f xml:space="preserve"> tabConsumo[[#This Row],[Média.A]] + (_xlfn.STDEV.S( tabConsumo[[#This Row],[QTD.PENDENTE]]:tabConsumo[[#This Row],[09_23]] ) * 2)</f>
        <v>35.08831419984417</v>
      </c>
      <c r="W769" s="221">
        <f xml:space="preserve"> tabConsumo[[#This Row],[Média.A]] + (_xlfn.STDEV.S( tabConsumo[[#This Row],[QTD.PENDENTE]]:tabConsumo[[#This Row],[09_23]] ) * 3)</f>
        <v>45.465804633099587</v>
      </c>
      <c r="X769" s="5">
        <f t="shared" si="25"/>
        <v>2</v>
      </c>
      <c r="Y769">
        <v>14.333333333333334</v>
      </c>
      <c r="Z769" s="223">
        <f>SUM( tabConsumo[[#This Row],[QTD.PENDENTE]]:tabConsumo[[#This Row],[09_23]] )</f>
        <v>172</v>
      </c>
      <c r="AA769" s="223">
        <f>LARGE(tabConsumo[[#This Row],[10_22]:[09_23]],1)</f>
        <v>31</v>
      </c>
      <c r="AB769" s="146" t="s">
        <v>2239</v>
      </c>
      <c r="AC769" s="3" t="s">
        <v>2086</v>
      </c>
    </row>
    <row r="770" spans="1:29" x14ac:dyDescent="0.3">
      <c r="A770" s="4" t="s">
        <v>1069</v>
      </c>
      <c r="B770" s="3" t="s">
        <v>1070</v>
      </c>
      <c r="C770" s="2">
        <v>14737</v>
      </c>
      <c r="D770" s="2">
        <v>20</v>
      </c>
      <c r="F770" s="2">
        <v>3</v>
      </c>
      <c r="G770" s="2">
        <v>0</v>
      </c>
      <c r="H770" s="2">
        <v>0</v>
      </c>
      <c r="I770" s="2">
        <v>2</v>
      </c>
      <c r="J770" s="2">
        <v>2</v>
      </c>
      <c r="K770" s="2">
        <v>3</v>
      </c>
      <c r="L770" s="2">
        <v>0</v>
      </c>
      <c r="M770" s="2">
        <v>0</v>
      </c>
      <c r="N770" s="2">
        <v>0</v>
      </c>
      <c r="O770" s="2">
        <v>0</v>
      </c>
      <c r="P770" s="2">
        <v>13</v>
      </c>
      <c r="Q770" s="2">
        <v>0</v>
      </c>
      <c r="R770" s="238">
        <v>367</v>
      </c>
      <c r="S770" s="219">
        <f xml:space="preserve"> 12</f>
        <v>12</v>
      </c>
      <c r="T770" s="220">
        <f>SUM( tabConsumo[[#This Row],[QTD.PENDENTE]]:tabConsumo[[#This Row],[09_23]] ) / tabConsumo[[#This Row],[Div]]</f>
        <v>1.9166666666666667</v>
      </c>
      <c r="U770" s="221">
        <f xml:space="preserve"> tabConsumo[[#This Row],[Média.A]] + (_xlfn.STDEV.S( tabConsumo[[#This Row],[QTD.PENDENTE]]:tabConsumo[[#This Row],[09_23]] ) * 1)</f>
        <v>5.620677596685228</v>
      </c>
      <c r="V770" s="221">
        <f xml:space="preserve"> tabConsumo[[#This Row],[Média.A]] + (_xlfn.STDEV.S( tabConsumo[[#This Row],[QTD.PENDENTE]]:tabConsumo[[#This Row],[09_23]] ) * 2)</f>
        <v>9.32468852670379</v>
      </c>
      <c r="W770" s="221">
        <f xml:space="preserve"> tabConsumo[[#This Row],[Média.A]] + (_xlfn.STDEV.S( tabConsumo[[#This Row],[QTD.PENDENTE]]:tabConsumo[[#This Row],[09_23]] ) * 3)</f>
        <v>13.02869945672235</v>
      </c>
      <c r="X770" s="5">
        <f t="shared" si="25"/>
        <v>2</v>
      </c>
      <c r="Y770">
        <v>1.5833333333333333</v>
      </c>
      <c r="Z770" s="223">
        <f>SUM( tabConsumo[[#This Row],[QTD.PENDENTE]]:tabConsumo[[#This Row],[09_23]] )</f>
        <v>23</v>
      </c>
      <c r="AA770" s="223">
        <f>LARGE(tabConsumo[[#This Row],[10_22]:[09_23]],1)</f>
        <v>13</v>
      </c>
      <c r="AB770" s="146" t="s">
        <v>2241</v>
      </c>
      <c r="AC770" s="3" t="s">
        <v>2086</v>
      </c>
    </row>
    <row r="771" spans="1:29" x14ac:dyDescent="0.3">
      <c r="A771" s="4" t="s">
        <v>1497</v>
      </c>
      <c r="B771" s="3" t="s">
        <v>1070</v>
      </c>
      <c r="C771" s="2">
        <v>87586</v>
      </c>
      <c r="D771" s="2">
        <v>0</v>
      </c>
      <c r="F771" s="2">
        <v>11</v>
      </c>
      <c r="G771" s="2">
        <v>0</v>
      </c>
      <c r="H771" s="2">
        <v>0</v>
      </c>
      <c r="I771" s="2">
        <v>0</v>
      </c>
      <c r="J771" s="2">
        <v>0</v>
      </c>
      <c r="K771" s="2">
        <v>0</v>
      </c>
      <c r="L771" s="2">
        <v>0</v>
      </c>
      <c r="M771" s="2">
        <v>0</v>
      </c>
      <c r="N771" s="2">
        <v>0</v>
      </c>
      <c r="O771" s="2">
        <v>0</v>
      </c>
      <c r="P771" s="2">
        <v>15</v>
      </c>
      <c r="Q771" s="2">
        <v>0</v>
      </c>
      <c r="R771" s="238">
        <v>38603</v>
      </c>
      <c r="S771" s="219">
        <v>12</v>
      </c>
      <c r="T771" s="220">
        <f>SUM( tabConsumo[[#This Row],[QTD.PENDENTE]]:tabConsumo[[#This Row],[09_23]] ) / tabConsumo[[#This Row],[Div]]</f>
        <v>2.1666666666666665</v>
      </c>
      <c r="U771" s="221">
        <f xml:space="preserve"> tabConsumo[[#This Row],[Média.A]] + (_xlfn.STDEV.S( tabConsumo[[#This Row],[QTD.PENDENTE]]:tabConsumo[[#This Row],[09_23]] ) * 1)</f>
        <v>7.2982681061135501</v>
      </c>
      <c r="V771" s="221">
        <f xml:space="preserve"> tabConsumo[[#This Row],[Média.A]] + (_xlfn.STDEV.S( tabConsumo[[#This Row],[QTD.PENDENTE]]:tabConsumo[[#This Row],[09_23]] ) * 2)</f>
        <v>12.429869545560434</v>
      </c>
      <c r="W771" s="221">
        <f xml:space="preserve"> tabConsumo[[#This Row],[Média.A]] + (_xlfn.STDEV.S( tabConsumo[[#This Row],[QTD.PENDENTE]]:tabConsumo[[#This Row],[09_23]] ) * 3)</f>
        <v>17.561470985007318</v>
      </c>
      <c r="X771" s="5">
        <f t="shared" ref="X771:X834" si="28" xml:space="preserve"> 2</f>
        <v>2</v>
      </c>
      <c r="Y771">
        <v>1.9166666666666667</v>
      </c>
      <c r="Z771" s="223">
        <f>SUM( tabConsumo[[#This Row],[QTD.PENDENTE]]:tabConsumo[[#This Row],[09_23]] )</f>
        <v>26</v>
      </c>
      <c r="AA771" s="223">
        <f>LARGE(tabConsumo[[#This Row],[10_22]:[09_23]],1)</f>
        <v>15</v>
      </c>
      <c r="AB771" s="146" t="s">
        <v>2241</v>
      </c>
      <c r="AC771" s="3" t="s">
        <v>2086</v>
      </c>
    </row>
    <row r="772" spans="1:29" x14ac:dyDescent="0.3">
      <c r="A772" s="4" t="s">
        <v>1174</v>
      </c>
      <c r="B772" s="3" t="s">
        <v>1070</v>
      </c>
      <c r="C772" s="2">
        <v>20760</v>
      </c>
      <c r="D772" s="2">
        <v>0</v>
      </c>
      <c r="E772" s="2">
        <v>1</v>
      </c>
      <c r="F772" s="2">
        <v>12</v>
      </c>
      <c r="G772" s="2">
        <v>0</v>
      </c>
      <c r="H772" s="2">
        <v>7</v>
      </c>
      <c r="I772" s="2">
        <v>25</v>
      </c>
      <c r="J772" s="2">
        <v>16</v>
      </c>
      <c r="K772" s="2">
        <v>15</v>
      </c>
      <c r="L772" s="2">
        <v>9</v>
      </c>
      <c r="M772" s="2">
        <v>0</v>
      </c>
      <c r="N772" s="2">
        <v>5</v>
      </c>
      <c r="O772" s="2">
        <v>8</v>
      </c>
      <c r="P772" s="2">
        <v>35</v>
      </c>
      <c r="Q772" s="2">
        <v>10</v>
      </c>
      <c r="R772" s="238">
        <v>367</v>
      </c>
      <c r="S772" s="219">
        <f xml:space="preserve"> 12</f>
        <v>12</v>
      </c>
      <c r="T772" s="220">
        <f>SUM( tabConsumo[[#This Row],[QTD.PENDENTE]]:tabConsumo[[#This Row],[09_23]] ) / tabConsumo[[#This Row],[Div]]</f>
        <v>11.916666666666666</v>
      </c>
      <c r="U772" s="221">
        <f xml:space="preserve"> tabConsumo[[#This Row],[Média.A]] + (_xlfn.STDEV.S( tabConsumo[[#This Row],[QTD.PENDENTE]]:tabConsumo[[#This Row],[09_23]] ) * 1)</f>
        <v>22.007917002147067</v>
      </c>
      <c r="V772" s="221">
        <f xml:space="preserve"> tabConsumo[[#This Row],[Média.A]] + (_xlfn.STDEV.S( tabConsumo[[#This Row],[QTD.PENDENTE]]:tabConsumo[[#This Row],[09_23]] ) * 2)</f>
        <v>32.09916733762747</v>
      </c>
      <c r="W772" s="221">
        <f xml:space="preserve"> tabConsumo[[#This Row],[Média.A]] + (_xlfn.STDEV.S( tabConsumo[[#This Row],[QTD.PENDENTE]]:tabConsumo[[#This Row],[09_23]] ) * 3)</f>
        <v>42.190417673107866</v>
      </c>
      <c r="X772" s="5">
        <f t="shared" si="28"/>
        <v>2</v>
      </c>
      <c r="Y772">
        <v>11.666666666666666</v>
      </c>
      <c r="Z772" s="223">
        <f>SUM( tabConsumo[[#This Row],[QTD.PENDENTE]]:tabConsumo[[#This Row],[09_23]] )</f>
        <v>143</v>
      </c>
      <c r="AA772" s="223">
        <f>LARGE(tabConsumo[[#This Row],[10_22]:[09_23]],1)</f>
        <v>35</v>
      </c>
      <c r="AB772" s="146" t="s">
        <v>2238</v>
      </c>
      <c r="AC772" s="3" t="s">
        <v>2086</v>
      </c>
    </row>
    <row r="773" spans="1:29" x14ac:dyDescent="0.3">
      <c r="A773" s="4" t="s">
        <v>1174</v>
      </c>
      <c r="B773" s="3" t="s">
        <v>1070</v>
      </c>
      <c r="C773" s="2">
        <v>69229</v>
      </c>
      <c r="D773" s="2">
        <v>46</v>
      </c>
      <c r="F773" s="2">
        <v>9</v>
      </c>
      <c r="G773" s="2">
        <v>25</v>
      </c>
      <c r="H773" s="2">
        <v>0</v>
      </c>
      <c r="I773" s="2">
        <v>0</v>
      </c>
      <c r="J773" s="2">
        <v>3</v>
      </c>
      <c r="K773" s="2">
        <v>0</v>
      </c>
      <c r="L773" s="2">
        <v>0</v>
      </c>
      <c r="M773" s="2">
        <v>0</v>
      </c>
      <c r="N773" s="2">
        <v>1</v>
      </c>
      <c r="O773" s="2">
        <v>8</v>
      </c>
      <c r="P773" s="2">
        <v>28</v>
      </c>
      <c r="Q773" s="2">
        <v>0</v>
      </c>
      <c r="R773" s="238">
        <v>367</v>
      </c>
      <c r="S773" s="219">
        <f xml:space="preserve"> 12</f>
        <v>12</v>
      </c>
      <c r="T773" s="220">
        <f>SUM( tabConsumo[[#This Row],[QTD.PENDENTE]]:tabConsumo[[#This Row],[09_23]] ) / tabConsumo[[#This Row],[Div]]</f>
        <v>6.166666666666667</v>
      </c>
      <c r="U773" s="221">
        <f xml:space="preserve"> tabConsumo[[#This Row],[Média.A]] + (_xlfn.STDEV.S( tabConsumo[[#This Row],[QTD.PENDENTE]]:tabConsumo[[#This Row],[09_23]] ) * 1)</f>
        <v>16.201454641356001</v>
      </c>
      <c r="V773" s="221">
        <f xml:space="preserve"> tabConsumo[[#This Row],[Média.A]] + (_xlfn.STDEV.S( tabConsumo[[#This Row],[QTD.PENDENTE]]:tabConsumo[[#This Row],[09_23]] ) * 2)</f>
        <v>26.236242616045338</v>
      </c>
      <c r="W773" s="221">
        <f xml:space="preserve"> tabConsumo[[#This Row],[Média.A]] + (_xlfn.STDEV.S( tabConsumo[[#This Row],[QTD.PENDENTE]]:tabConsumo[[#This Row],[09_23]] ) * 3)</f>
        <v>36.271030590734668</v>
      </c>
      <c r="X773" s="5">
        <f t="shared" si="28"/>
        <v>2</v>
      </c>
      <c r="Y773">
        <v>6</v>
      </c>
      <c r="Z773" s="223">
        <f>SUM( tabConsumo[[#This Row],[QTD.PENDENTE]]:tabConsumo[[#This Row],[09_23]] )</f>
        <v>74</v>
      </c>
      <c r="AA773" s="223">
        <f>LARGE(tabConsumo[[#This Row],[10_22]:[09_23]],1)</f>
        <v>28</v>
      </c>
      <c r="AB773" s="146" t="s">
        <v>2241</v>
      </c>
      <c r="AC773" s="3" t="s">
        <v>2086</v>
      </c>
    </row>
    <row r="774" spans="1:29" x14ac:dyDescent="0.3">
      <c r="A774" s="4" t="s">
        <v>1175</v>
      </c>
      <c r="B774" s="3" t="s">
        <v>1070</v>
      </c>
      <c r="C774" s="2">
        <v>20763</v>
      </c>
      <c r="D774" s="2">
        <v>0</v>
      </c>
      <c r="F774" s="2">
        <v>0</v>
      </c>
      <c r="G774" s="2">
        <v>8</v>
      </c>
      <c r="H774" s="2">
        <v>0</v>
      </c>
      <c r="I774" s="2">
        <v>0</v>
      </c>
      <c r="J774" s="2">
        <v>1</v>
      </c>
      <c r="K774" s="2">
        <v>2</v>
      </c>
      <c r="L774" s="2">
        <v>1</v>
      </c>
      <c r="M774" s="2">
        <v>0</v>
      </c>
      <c r="N774" s="2">
        <v>6</v>
      </c>
      <c r="O774" s="2">
        <v>2</v>
      </c>
      <c r="P774" s="2">
        <v>17</v>
      </c>
      <c r="Q774" s="2">
        <v>0</v>
      </c>
      <c r="R774" s="238">
        <v>367</v>
      </c>
      <c r="S774" s="219">
        <f xml:space="preserve"> 12</f>
        <v>12</v>
      </c>
      <c r="T774" s="220">
        <f>SUM( tabConsumo[[#This Row],[QTD.PENDENTE]]:tabConsumo[[#This Row],[09_23]] ) / tabConsumo[[#This Row],[Div]]</f>
        <v>3.0833333333333335</v>
      </c>
      <c r="U774" s="221">
        <f xml:space="preserve"> tabConsumo[[#This Row],[Média.A]] + (_xlfn.STDEV.S( tabConsumo[[#This Row],[QTD.PENDENTE]]:tabConsumo[[#This Row],[09_23]] ) * 1)</f>
        <v>8.1726864505295804</v>
      </c>
      <c r="V774" s="221">
        <f xml:space="preserve"> tabConsumo[[#This Row],[Média.A]] + (_xlfn.STDEV.S( tabConsumo[[#This Row],[QTD.PENDENTE]]:tabConsumo[[#This Row],[09_23]] ) * 2)</f>
        <v>13.262039567725827</v>
      </c>
      <c r="W774" s="221">
        <f xml:space="preserve"> tabConsumo[[#This Row],[Média.A]] + (_xlfn.STDEV.S( tabConsumo[[#This Row],[QTD.PENDENTE]]:tabConsumo[[#This Row],[09_23]] ) * 3)</f>
        <v>18.351392684922072</v>
      </c>
      <c r="X774" s="5">
        <f t="shared" si="28"/>
        <v>2</v>
      </c>
      <c r="Y774">
        <v>2.75</v>
      </c>
      <c r="Z774" s="223">
        <f>SUM( tabConsumo[[#This Row],[QTD.PENDENTE]]:tabConsumo[[#This Row],[09_23]] )</f>
        <v>37</v>
      </c>
      <c r="AA774" s="223">
        <f>LARGE(tabConsumo[[#This Row],[10_22]:[09_23]],1)</f>
        <v>17</v>
      </c>
      <c r="AB774" s="146" t="s">
        <v>2241</v>
      </c>
      <c r="AC774" s="3" t="s">
        <v>2086</v>
      </c>
    </row>
    <row r="775" spans="1:29" x14ac:dyDescent="0.3">
      <c r="A775" s="4" t="s">
        <v>2040</v>
      </c>
      <c r="B775" s="3" t="s">
        <v>287</v>
      </c>
      <c r="C775" s="2">
        <v>141608</v>
      </c>
      <c r="D775" s="2">
        <v>55</v>
      </c>
      <c r="F775" s="2">
        <v>0</v>
      </c>
      <c r="G775" s="2">
        <v>0</v>
      </c>
      <c r="H775" s="2">
        <v>0</v>
      </c>
      <c r="I775" s="2">
        <v>4</v>
      </c>
      <c r="J775" s="2">
        <v>0</v>
      </c>
      <c r="K775" s="2">
        <v>1</v>
      </c>
      <c r="L775" s="2">
        <v>0</v>
      </c>
      <c r="M775" s="2">
        <v>3</v>
      </c>
      <c r="N775" s="2">
        <v>0</v>
      </c>
      <c r="O775" s="2">
        <v>0</v>
      </c>
      <c r="P775" s="2">
        <v>21</v>
      </c>
      <c r="Q775" s="2">
        <v>4</v>
      </c>
      <c r="R775" s="238">
        <v>44371</v>
      </c>
      <c r="S775" s="219">
        <v>12</v>
      </c>
      <c r="T775" s="220">
        <f>SUM( tabConsumo[[#This Row],[QTD.PENDENTE]]:tabConsumo[[#This Row],[09_23]] ) / tabConsumo[[#This Row],[Div]]</f>
        <v>2.75</v>
      </c>
      <c r="U775" s="221">
        <f xml:space="preserve"> tabConsumo[[#This Row],[Média.A]] + (_xlfn.STDEV.S( tabConsumo[[#This Row],[QTD.PENDENTE]]:tabConsumo[[#This Row],[09_23]] ) * 1)</f>
        <v>8.7215233323743213</v>
      </c>
      <c r="V775" s="221">
        <f xml:space="preserve"> tabConsumo[[#This Row],[Média.A]] + (_xlfn.STDEV.S( tabConsumo[[#This Row],[QTD.PENDENTE]]:tabConsumo[[#This Row],[09_23]] ) * 2)</f>
        <v>14.693046664748641</v>
      </c>
      <c r="W775" s="221">
        <f xml:space="preserve"> tabConsumo[[#This Row],[Média.A]] + (_xlfn.STDEV.S( tabConsumo[[#This Row],[QTD.PENDENTE]]:tabConsumo[[#This Row],[09_23]] ) * 3)</f>
        <v>20.66456999712296</v>
      </c>
      <c r="X775" s="5">
        <f t="shared" si="28"/>
        <v>2</v>
      </c>
      <c r="Y775">
        <v>2.1666666666666665</v>
      </c>
      <c r="Z775" s="223">
        <f>SUM( tabConsumo[[#This Row],[QTD.PENDENTE]]:tabConsumo[[#This Row],[09_23]] )</f>
        <v>33</v>
      </c>
      <c r="AA775" s="223">
        <f>LARGE(tabConsumo[[#This Row],[10_22]:[09_23]],1)</f>
        <v>21</v>
      </c>
      <c r="AB775" s="146" t="s">
        <v>2238</v>
      </c>
      <c r="AC775" s="3" t="s">
        <v>2086</v>
      </c>
    </row>
    <row r="776" spans="1:29" x14ac:dyDescent="0.3">
      <c r="A776" s="4" t="s">
        <v>1334</v>
      </c>
      <c r="B776" s="3" t="s">
        <v>287</v>
      </c>
      <c r="C776" s="2">
        <v>57900</v>
      </c>
      <c r="D776" s="2">
        <v>30</v>
      </c>
      <c r="E776" s="2">
        <v>1</v>
      </c>
      <c r="F776" s="2">
        <v>3</v>
      </c>
      <c r="G776" s="2">
        <v>1</v>
      </c>
      <c r="H776" s="2">
        <v>10</v>
      </c>
      <c r="I776" s="2">
        <v>5</v>
      </c>
      <c r="J776" s="2">
        <v>5</v>
      </c>
      <c r="K776" s="2">
        <v>1</v>
      </c>
      <c r="L776" s="2">
        <v>3</v>
      </c>
      <c r="M776" s="2">
        <v>0</v>
      </c>
      <c r="N776" s="2">
        <v>0</v>
      </c>
      <c r="O776" s="2">
        <v>0</v>
      </c>
      <c r="P776" s="2">
        <v>0</v>
      </c>
      <c r="Q776" s="2">
        <v>0</v>
      </c>
      <c r="R776" s="238">
        <v>367</v>
      </c>
      <c r="S776" s="219">
        <f xml:space="preserve"> 12</f>
        <v>12</v>
      </c>
      <c r="T776" s="220">
        <f>SUM( tabConsumo[[#This Row],[QTD.PENDENTE]]:tabConsumo[[#This Row],[09_23]] ) / tabConsumo[[#This Row],[Div]]</f>
        <v>2.4166666666666665</v>
      </c>
      <c r="U776" s="221">
        <f xml:space="preserve"> tabConsumo[[#This Row],[Média.A]] + (_xlfn.STDEV.S( tabConsumo[[#This Row],[QTD.PENDENTE]]:tabConsumo[[#This Row],[09_23]] ) * 1)</f>
        <v>5.3930695894871565</v>
      </c>
      <c r="V776" s="221">
        <f xml:space="preserve"> tabConsumo[[#This Row],[Média.A]] + (_xlfn.STDEV.S( tabConsumo[[#This Row],[QTD.PENDENTE]]:tabConsumo[[#This Row],[09_23]] ) * 2)</f>
        <v>8.369472512307647</v>
      </c>
      <c r="W776" s="221">
        <f xml:space="preserve"> tabConsumo[[#This Row],[Média.A]] + (_xlfn.STDEV.S( tabConsumo[[#This Row],[QTD.PENDENTE]]:tabConsumo[[#This Row],[09_23]] ) * 3)</f>
        <v>11.345875435128137</v>
      </c>
      <c r="X776" s="5">
        <f t="shared" si="28"/>
        <v>2</v>
      </c>
      <c r="Y776">
        <v>2.25</v>
      </c>
      <c r="Z776" s="223">
        <f>SUM( tabConsumo[[#This Row],[QTD.PENDENTE]]:tabConsumo[[#This Row],[09_23]] )</f>
        <v>29</v>
      </c>
      <c r="AA776" s="223">
        <f>LARGE(tabConsumo[[#This Row],[10_22]:[09_23]],1)</f>
        <v>10</v>
      </c>
      <c r="AB776" s="146" t="s">
        <v>2240</v>
      </c>
      <c r="AC776" s="3" t="s">
        <v>2086</v>
      </c>
    </row>
    <row r="777" spans="1:29" x14ac:dyDescent="0.3">
      <c r="A777" s="4" t="s">
        <v>2042</v>
      </c>
      <c r="B777" s="3" t="s">
        <v>301</v>
      </c>
      <c r="C777" s="2">
        <v>141679</v>
      </c>
      <c r="D777" s="2">
        <v>143</v>
      </c>
      <c r="F777" s="2">
        <v>0</v>
      </c>
      <c r="G777" s="2">
        <v>0</v>
      </c>
      <c r="H777" s="2">
        <v>3</v>
      </c>
      <c r="I777" s="2">
        <v>8</v>
      </c>
      <c r="J777" s="2">
        <v>0</v>
      </c>
      <c r="K777" s="2">
        <v>14</v>
      </c>
      <c r="L777" s="2">
        <v>7</v>
      </c>
      <c r="M777" s="2">
        <v>3</v>
      </c>
      <c r="N777" s="2">
        <v>7</v>
      </c>
      <c r="O777" s="2">
        <v>3</v>
      </c>
      <c r="P777" s="2">
        <v>6</v>
      </c>
      <c r="Q777" s="2">
        <v>2</v>
      </c>
      <c r="R777" s="238">
        <v>44375</v>
      </c>
      <c r="S777" s="219">
        <v>12</v>
      </c>
      <c r="T777" s="220">
        <f>SUM( tabConsumo[[#This Row],[QTD.PENDENTE]]:tabConsumo[[#This Row],[09_23]] ) / tabConsumo[[#This Row],[Div]]</f>
        <v>4.416666666666667</v>
      </c>
      <c r="U777" s="221">
        <f xml:space="preserve"> tabConsumo[[#This Row],[Média.A]] + (_xlfn.STDEV.S( tabConsumo[[#This Row],[QTD.PENDENTE]]:tabConsumo[[#This Row],[09_23]] ) * 1)</f>
        <v>8.5827272286437264</v>
      </c>
      <c r="V777" s="221">
        <f xml:space="preserve"> tabConsumo[[#This Row],[Média.A]] + (_xlfn.STDEV.S( tabConsumo[[#This Row],[QTD.PENDENTE]]:tabConsumo[[#This Row],[09_23]] ) * 2)</f>
        <v>12.748787790620785</v>
      </c>
      <c r="W777" s="221">
        <f xml:space="preserve"> tabConsumo[[#This Row],[Média.A]] + (_xlfn.STDEV.S( tabConsumo[[#This Row],[QTD.PENDENTE]]:tabConsumo[[#This Row],[09_23]] ) * 3)</f>
        <v>16.914848352597843</v>
      </c>
      <c r="X777" s="5">
        <f t="shared" si="28"/>
        <v>2</v>
      </c>
      <c r="Y777">
        <v>4.25</v>
      </c>
      <c r="Z777" s="223">
        <f>SUM( tabConsumo[[#This Row],[QTD.PENDENTE]]:tabConsumo[[#This Row],[09_23]] )</f>
        <v>53</v>
      </c>
      <c r="AA777" s="223">
        <f>LARGE(tabConsumo[[#This Row],[10_22]:[09_23]],1)</f>
        <v>14</v>
      </c>
      <c r="AB777" s="146" t="s">
        <v>2238</v>
      </c>
      <c r="AC777" s="3" t="s">
        <v>2086</v>
      </c>
    </row>
    <row r="778" spans="1:29" x14ac:dyDescent="0.3">
      <c r="A778" s="4" t="s">
        <v>2043</v>
      </c>
      <c r="B778" s="3" t="s">
        <v>301</v>
      </c>
      <c r="C778" s="2">
        <v>141680</v>
      </c>
      <c r="D778" s="2">
        <v>430</v>
      </c>
      <c r="F778" s="2">
        <v>71</v>
      </c>
      <c r="G778" s="2">
        <v>14</v>
      </c>
      <c r="H778" s="2">
        <v>4</v>
      </c>
      <c r="I778" s="2">
        <v>83</v>
      </c>
      <c r="J778" s="2">
        <v>42</v>
      </c>
      <c r="K778" s="2">
        <v>22</v>
      </c>
      <c r="L778" s="2">
        <v>31</v>
      </c>
      <c r="M778" s="2">
        <v>105</v>
      </c>
      <c r="N778" s="2">
        <v>72</v>
      </c>
      <c r="O778" s="2">
        <v>111</v>
      </c>
      <c r="P778" s="2">
        <v>139</v>
      </c>
      <c r="Q778" s="2">
        <v>72</v>
      </c>
      <c r="R778" s="238">
        <v>44375</v>
      </c>
      <c r="S778" s="219">
        <v>12</v>
      </c>
      <c r="T778" s="220">
        <f>SUM( tabConsumo[[#This Row],[QTD.PENDENTE]]:tabConsumo[[#This Row],[09_23]] ) / tabConsumo[[#This Row],[Div]]</f>
        <v>63.833333333333336</v>
      </c>
      <c r="U778" s="221">
        <f xml:space="preserve"> tabConsumo[[#This Row],[Média.A]] + (_xlfn.STDEV.S( tabConsumo[[#This Row],[QTD.PENDENTE]]:tabConsumo[[#This Row],[09_23]] ) * 1)</f>
        <v>105.92594407189264</v>
      </c>
      <c r="V778" s="221">
        <f xml:space="preserve"> tabConsumo[[#This Row],[Média.A]] + (_xlfn.STDEV.S( tabConsumo[[#This Row],[QTD.PENDENTE]]:tabConsumo[[#This Row],[09_23]] ) * 2)</f>
        <v>148.01855481045195</v>
      </c>
      <c r="W778" s="221">
        <f xml:space="preserve"> tabConsumo[[#This Row],[Média.A]] + (_xlfn.STDEV.S( tabConsumo[[#This Row],[QTD.PENDENTE]]:tabConsumo[[#This Row],[09_23]] ) * 3)</f>
        <v>190.11116554901128</v>
      </c>
      <c r="X778" s="5">
        <f t="shared" si="28"/>
        <v>2</v>
      </c>
      <c r="Y778">
        <v>63.833333333333336</v>
      </c>
      <c r="Z778" s="223">
        <f>SUM( tabConsumo[[#This Row],[QTD.PENDENTE]]:tabConsumo[[#This Row],[09_23]] )</f>
        <v>766</v>
      </c>
      <c r="AA778" s="223">
        <f>LARGE(tabConsumo[[#This Row],[10_22]:[09_23]],1)</f>
        <v>139</v>
      </c>
      <c r="AB778" s="146" t="s">
        <v>2238</v>
      </c>
      <c r="AC778" s="3" t="s">
        <v>2086</v>
      </c>
    </row>
    <row r="779" spans="1:29" x14ac:dyDescent="0.3">
      <c r="A779" s="4" t="s">
        <v>2035</v>
      </c>
      <c r="B779" s="3" t="s">
        <v>301</v>
      </c>
      <c r="C779" s="2">
        <v>141268</v>
      </c>
      <c r="D779" s="2">
        <v>354</v>
      </c>
      <c r="F779" s="2">
        <v>111</v>
      </c>
      <c r="G779" s="2">
        <v>77</v>
      </c>
      <c r="H779" s="2">
        <v>81</v>
      </c>
      <c r="I779" s="2">
        <v>168</v>
      </c>
      <c r="J779" s="2">
        <v>58</v>
      </c>
      <c r="K779" s="2">
        <v>60</v>
      </c>
      <c r="L779" s="2">
        <v>27</v>
      </c>
      <c r="M779" s="2">
        <v>44</v>
      </c>
      <c r="N779" s="2">
        <v>54</v>
      </c>
      <c r="O779" s="2">
        <v>82</v>
      </c>
      <c r="P779" s="2">
        <v>96</v>
      </c>
      <c r="Q779" s="2">
        <v>74</v>
      </c>
      <c r="R779" s="238">
        <v>44355</v>
      </c>
      <c r="S779" s="219">
        <v>12</v>
      </c>
      <c r="T779" s="220">
        <f>SUM( tabConsumo[[#This Row],[QTD.PENDENTE]]:tabConsumo[[#This Row],[09_23]] ) / tabConsumo[[#This Row],[Div]]</f>
        <v>77.666666666666671</v>
      </c>
      <c r="U779" s="221">
        <f xml:space="preserve"> tabConsumo[[#This Row],[Média.A]] + (_xlfn.STDEV.S( tabConsumo[[#This Row],[QTD.PENDENTE]]:tabConsumo[[#This Row],[09_23]] ) * 1)</f>
        <v>114.11172702115675</v>
      </c>
      <c r="V779" s="221">
        <f xml:space="preserve"> tabConsumo[[#This Row],[Média.A]] + (_xlfn.STDEV.S( tabConsumo[[#This Row],[QTD.PENDENTE]]:tabConsumo[[#This Row],[09_23]] ) * 2)</f>
        <v>150.55678737564682</v>
      </c>
      <c r="W779" s="221">
        <f xml:space="preserve"> tabConsumo[[#This Row],[Média.A]] + (_xlfn.STDEV.S( tabConsumo[[#This Row],[QTD.PENDENTE]]:tabConsumo[[#This Row],[09_23]] ) * 3)</f>
        <v>187.00184773013692</v>
      </c>
      <c r="X779" s="5">
        <f t="shared" si="28"/>
        <v>2</v>
      </c>
      <c r="Y779">
        <v>76.166666666666671</v>
      </c>
      <c r="Z779" s="223">
        <f>SUM( tabConsumo[[#This Row],[QTD.PENDENTE]]:tabConsumo[[#This Row],[09_23]] )</f>
        <v>932</v>
      </c>
      <c r="AA779" s="223">
        <f>LARGE(tabConsumo[[#This Row],[10_22]:[09_23]],1)</f>
        <v>168</v>
      </c>
      <c r="AB779" s="146" t="s">
        <v>2238</v>
      </c>
      <c r="AC779" s="3" t="s">
        <v>2086</v>
      </c>
    </row>
    <row r="780" spans="1:29" x14ac:dyDescent="0.3">
      <c r="A780" s="4" t="s">
        <v>2044</v>
      </c>
      <c r="B780" s="3" t="s">
        <v>301</v>
      </c>
      <c r="C780" s="2">
        <v>141681</v>
      </c>
      <c r="D780" s="2">
        <v>113</v>
      </c>
      <c r="F780" s="2">
        <v>1</v>
      </c>
      <c r="G780" s="2">
        <v>0</v>
      </c>
      <c r="H780" s="2">
        <v>0</v>
      </c>
      <c r="I780" s="2">
        <v>1</v>
      </c>
      <c r="J780" s="2">
        <v>0</v>
      </c>
      <c r="K780" s="2">
        <v>5</v>
      </c>
      <c r="L780" s="2">
        <v>4</v>
      </c>
      <c r="M780" s="2">
        <v>0</v>
      </c>
      <c r="N780" s="2">
        <v>8</v>
      </c>
      <c r="O780" s="2">
        <v>1</v>
      </c>
      <c r="P780" s="2">
        <v>6</v>
      </c>
      <c r="Q780" s="2">
        <v>0</v>
      </c>
      <c r="R780" s="238">
        <v>44375</v>
      </c>
      <c r="S780" s="219">
        <v>12</v>
      </c>
      <c r="T780" s="220">
        <f>SUM( tabConsumo[[#This Row],[QTD.PENDENTE]]:tabConsumo[[#This Row],[09_23]] ) / tabConsumo[[#This Row],[Div]]</f>
        <v>2.1666666666666665</v>
      </c>
      <c r="U780" s="221">
        <f xml:space="preserve"> tabConsumo[[#This Row],[Média.A]] + (_xlfn.STDEV.S( tabConsumo[[#This Row],[QTD.PENDENTE]]:tabConsumo[[#This Row],[09_23]] ) * 1)</f>
        <v>4.9897318394349064</v>
      </c>
      <c r="V780" s="221">
        <f xml:space="preserve"> tabConsumo[[#This Row],[Média.A]] + (_xlfn.STDEV.S( tabConsumo[[#This Row],[QTD.PENDENTE]]:tabConsumo[[#This Row],[09_23]] ) * 2)</f>
        <v>7.8127970122031449</v>
      </c>
      <c r="W780" s="221">
        <f xml:space="preserve"> tabConsumo[[#This Row],[Média.A]] + (_xlfn.STDEV.S( tabConsumo[[#This Row],[QTD.PENDENTE]]:tabConsumo[[#This Row],[09_23]] ) * 3)</f>
        <v>10.635862184971385</v>
      </c>
      <c r="X780" s="5">
        <f t="shared" si="28"/>
        <v>2</v>
      </c>
      <c r="Y780">
        <v>2.0833333333333335</v>
      </c>
      <c r="Z780" s="223">
        <f>SUM( tabConsumo[[#This Row],[QTD.PENDENTE]]:tabConsumo[[#This Row],[09_23]] )</f>
        <v>26</v>
      </c>
      <c r="AA780" s="223">
        <f>LARGE(tabConsumo[[#This Row],[10_22]:[09_23]],1)</f>
        <v>8</v>
      </c>
      <c r="AB780" s="146" t="s">
        <v>2241</v>
      </c>
      <c r="AC780" s="3" t="s">
        <v>2086</v>
      </c>
    </row>
    <row r="781" spans="1:29" x14ac:dyDescent="0.3">
      <c r="A781" s="4" t="s">
        <v>2032</v>
      </c>
      <c r="B781" s="3" t="s">
        <v>301</v>
      </c>
      <c r="C781" s="2">
        <v>141265</v>
      </c>
      <c r="D781" s="2">
        <v>74</v>
      </c>
      <c r="F781" s="2">
        <v>11</v>
      </c>
      <c r="G781" s="2">
        <v>0</v>
      </c>
      <c r="H781" s="2">
        <v>0</v>
      </c>
      <c r="I781" s="2">
        <v>5</v>
      </c>
      <c r="J781" s="2">
        <v>12</v>
      </c>
      <c r="K781" s="2">
        <v>11</v>
      </c>
      <c r="L781" s="2">
        <v>5</v>
      </c>
      <c r="M781" s="2">
        <v>18</v>
      </c>
      <c r="N781" s="2">
        <v>20</v>
      </c>
      <c r="O781" s="2">
        <v>9</v>
      </c>
      <c r="P781" s="2">
        <v>0</v>
      </c>
      <c r="Q781" s="2">
        <v>2</v>
      </c>
      <c r="R781" s="238">
        <v>44355</v>
      </c>
      <c r="S781" s="219">
        <v>12</v>
      </c>
      <c r="T781" s="220">
        <f>SUM( tabConsumo[[#This Row],[QTD.PENDENTE]]:tabConsumo[[#This Row],[09_23]] ) / tabConsumo[[#This Row],[Div]]</f>
        <v>7.75</v>
      </c>
      <c r="U781" s="221">
        <f xml:space="preserve"> tabConsumo[[#This Row],[Média.A]] + (_xlfn.STDEV.S( tabConsumo[[#This Row],[QTD.PENDENTE]]:tabConsumo[[#This Row],[09_23]] ) * 1)</f>
        <v>14.653556395734803</v>
      </c>
      <c r="V781" s="221">
        <f xml:space="preserve"> tabConsumo[[#This Row],[Média.A]] + (_xlfn.STDEV.S( tabConsumo[[#This Row],[QTD.PENDENTE]]:tabConsumo[[#This Row],[09_23]] ) * 2)</f>
        <v>21.557112791469606</v>
      </c>
      <c r="W781" s="221">
        <f xml:space="preserve"> tabConsumo[[#This Row],[Média.A]] + (_xlfn.STDEV.S( tabConsumo[[#This Row],[QTD.PENDENTE]]:tabConsumo[[#This Row],[09_23]] ) * 3)</f>
        <v>28.46066918720441</v>
      </c>
      <c r="X781" s="5">
        <f t="shared" si="28"/>
        <v>2</v>
      </c>
      <c r="Y781">
        <v>7.75</v>
      </c>
      <c r="Z781" s="223">
        <f>SUM( tabConsumo[[#This Row],[QTD.PENDENTE]]:tabConsumo[[#This Row],[09_23]] )</f>
        <v>93</v>
      </c>
      <c r="AA781" s="223">
        <f>LARGE(tabConsumo[[#This Row],[10_22]:[09_23]],1)</f>
        <v>20</v>
      </c>
      <c r="AB781" s="146" t="s">
        <v>2238</v>
      </c>
      <c r="AC781" s="3" t="s">
        <v>2086</v>
      </c>
    </row>
    <row r="782" spans="1:29" x14ac:dyDescent="0.3">
      <c r="A782" s="4" t="s">
        <v>2034</v>
      </c>
      <c r="B782" s="3" t="s">
        <v>301</v>
      </c>
      <c r="C782" s="2">
        <v>141266</v>
      </c>
      <c r="D782" s="2">
        <v>109</v>
      </c>
      <c r="F782" s="2">
        <v>2</v>
      </c>
      <c r="G782" s="2">
        <v>1</v>
      </c>
      <c r="H782" s="2">
        <v>0</v>
      </c>
      <c r="I782" s="2">
        <v>0</v>
      </c>
      <c r="J782" s="2">
        <v>0</v>
      </c>
      <c r="K782" s="2">
        <v>22</v>
      </c>
      <c r="L782" s="2">
        <v>6</v>
      </c>
      <c r="M782" s="2">
        <v>3</v>
      </c>
      <c r="N782" s="2">
        <v>8</v>
      </c>
      <c r="O782" s="2">
        <v>3</v>
      </c>
      <c r="P782" s="2">
        <v>6</v>
      </c>
      <c r="Q782" s="2">
        <v>16</v>
      </c>
      <c r="R782" s="238">
        <v>44355</v>
      </c>
      <c r="S782" s="219">
        <v>12</v>
      </c>
      <c r="T782" s="220">
        <f>SUM( tabConsumo[[#This Row],[QTD.PENDENTE]]:tabConsumo[[#This Row],[09_23]] ) / tabConsumo[[#This Row],[Div]]</f>
        <v>5.583333333333333</v>
      </c>
      <c r="U782" s="221">
        <f xml:space="preserve"> tabConsumo[[#This Row],[Média.A]] + (_xlfn.STDEV.S( tabConsumo[[#This Row],[QTD.PENDENTE]]:tabConsumo[[#This Row],[09_23]] ) * 1)</f>
        <v>12.491277815572385</v>
      </c>
      <c r="V782" s="221">
        <f xml:space="preserve"> tabConsumo[[#This Row],[Média.A]] + (_xlfn.STDEV.S( tabConsumo[[#This Row],[QTD.PENDENTE]]:tabConsumo[[#This Row],[09_23]] ) * 2)</f>
        <v>19.399222297811438</v>
      </c>
      <c r="W782" s="221">
        <f xml:space="preserve"> tabConsumo[[#This Row],[Média.A]] + (_xlfn.STDEV.S( tabConsumo[[#This Row],[QTD.PENDENTE]]:tabConsumo[[#This Row],[09_23]] ) * 3)</f>
        <v>26.30716678005049</v>
      </c>
      <c r="X782" s="5">
        <f t="shared" si="28"/>
        <v>2</v>
      </c>
      <c r="Y782">
        <v>5.333333333333333</v>
      </c>
      <c r="Z782" s="223">
        <f>SUM( tabConsumo[[#This Row],[QTD.PENDENTE]]:tabConsumo[[#This Row],[09_23]] )</f>
        <v>67</v>
      </c>
      <c r="AA782" s="223">
        <f>LARGE(tabConsumo[[#This Row],[10_22]:[09_23]],1)</f>
        <v>22</v>
      </c>
      <c r="AB782" s="146" t="s">
        <v>2238</v>
      </c>
      <c r="AC782" s="3" t="s">
        <v>2086</v>
      </c>
    </row>
    <row r="783" spans="1:29" x14ac:dyDescent="0.3">
      <c r="A783" s="4" t="s">
        <v>1641</v>
      </c>
      <c r="B783" s="3" t="s">
        <v>335</v>
      </c>
      <c r="C783" s="2">
        <v>106697</v>
      </c>
      <c r="D783" s="2">
        <v>856</v>
      </c>
      <c r="E783" s="2">
        <v>2</v>
      </c>
      <c r="F783" s="2">
        <v>477</v>
      </c>
      <c r="G783" s="2">
        <v>395</v>
      </c>
      <c r="H783" s="2">
        <v>320</v>
      </c>
      <c r="I783" s="2">
        <v>88</v>
      </c>
      <c r="J783" s="2">
        <v>327</v>
      </c>
      <c r="K783" s="2">
        <v>1483</v>
      </c>
      <c r="L783" s="2">
        <v>263</v>
      </c>
      <c r="M783" s="2">
        <v>337</v>
      </c>
      <c r="N783" s="2">
        <v>348</v>
      </c>
      <c r="O783" s="2">
        <v>310</v>
      </c>
      <c r="P783" s="2">
        <v>369</v>
      </c>
      <c r="Q783" s="2">
        <v>417</v>
      </c>
      <c r="R783" s="238">
        <v>39598</v>
      </c>
      <c r="S783" s="219">
        <v>12</v>
      </c>
      <c r="T783" s="220">
        <f>SUM( tabConsumo[[#This Row],[QTD.PENDENTE]]:tabConsumo[[#This Row],[09_23]] ) / tabConsumo[[#This Row],[Div]]</f>
        <v>428</v>
      </c>
      <c r="U783" s="221">
        <f xml:space="preserve"> tabConsumo[[#This Row],[Média.A]] + (_xlfn.STDEV.S( tabConsumo[[#This Row],[QTD.PENDENTE]]:tabConsumo[[#This Row],[09_23]] ) * 1)</f>
        <v>779.28299644267383</v>
      </c>
      <c r="V783" s="221">
        <f xml:space="preserve"> tabConsumo[[#This Row],[Média.A]] + (_xlfn.STDEV.S( tabConsumo[[#This Row],[QTD.PENDENTE]]:tabConsumo[[#This Row],[09_23]] ) * 2)</f>
        <v>1130.5659928853477</v>
      </c>
      <c r="W783" s="221">
        <f xml:space="preserve"> tabConsumo[[#This Row],[Média.A]] + (_xlfn.STDEV.S( tabConsumo[[#This Row],[QTD.PENDENTE]]:tabConsumo[[#This Row],[09_23]] ) * 3)</f>
        <v>1481.8489893280216</v>
      </c>
      <c r="X783" s="5">
        <f t="shared" si="28"/>
        <v>2</v>
      </c>
      <c r="Y783">
        <v>398.58333333333331</v>
      </c>
      <c r="Z783" s="223">
        <f>SUM( tabConsumo[[#This Row],[QTD.PENDENTE]]:tabConsumo[[#This Row],[09_23]] )</f>
        <v>5136</v>
      </c>
      <c r="AA783" s="223">
        <f>LARGE(tabConsumo[[#This Row],[10_22]:[09_23]],1)</f>
        <v>1483</v>
      </c>
      <c r="AB783" s="146" t="s">
        <v>2238</v>
      </c>
      <c r="AC783" s="3" t="s">
        <v>2086</v>
      </c>
    </row>
    <row r="784" spans="1:29" x14ac:dyDescent="0.3">
      <c r="A784" s="4" t="s">
        <v>1455</v>
      </c>
      <c r="B784" s="3" t="s">
        <v>653</v>
      </c>
      <c r="C784" s="2">
        <v>78641</v>
      </c>
      <c r="D784" s="2">
        <v>0</v>
      </c>
      <c r="E784" s="2">
        <v>16</v>
      </c>
      <c r="F784" s="2">
        <v>429</v>
      </c>
      <c r="G784" s="2">
        <v>360</v>
      </c>
      <c r="H784" s="2">
        <v>331</v>
      </c>
      <c r="I784" s="2">
        <v>88</v>
      </c>
      <c r="J784" s="2">
        <v>262</v>
      </c>
      <c r="K784" s="2">
        <v>1431</v>
      </c>
      <c r="L784" s="2">
        <v>242</v>
      </c>
      <c r="M784" s="2">
        <v>334</v>
      </c>
      <c r="N784" s="2">
        <v>292</v>
      </c>
      <c r="O784" s="2">
        <v>230</v>
      </c>
      <c r="P784" s="2">
        <v>328</v>
      </c>
      <c r="Q784" s="2">
        <v>351</v>
      </c>
      <c r="R784" s="238">
        <v>38104</v>
      </c>
      <c r="S784" s="219">
        <v>12</v>
      </c>
      <c r="T784" s="220">
        <f>SUM( tabConsumo[[#This Row],[QTD.PENDENTE]]:tabConsumo[[#This Row],[09_23]] ) / tabConsumo[[#This Row],[Div]]</f>
        <v>391.16666666666669</v>
      </c>
      <c r="U784" s="221">
        <f xml:space="preserve"> tabConsumo[[#This Row],[Média.A]] + (_xlfn.STDEV.S( tabConsumo[[#This Row],[QTD.PENDENTE]]:tabConsumo[[#This Row],[09_23]] ) * 1)</f>
        <v>731.7275915974983</v>
      </c>
      <c r="V784" s="221">
        <f xml:space="preserve"> tabConsumo[[#This Row],[Média.A]] + (_xlfn.STDEV.S( tabConsumo[[#This Row],[QTD.PENDENTE]]:tabConsumo[[#This Row],[09_23]] ) * 2)</f>
        <v>1072.2885165283301</v>
      </c>
      <c r="W784" s="221">
        <f xml:space="preserve"> tabConsumo[[#This Row],[Média.A]] + (_xlfn.STDEV.S( tabConsumo[[#This Row],[QTD.PENDENTE]]:tabConsumo[[#This Row],[09_23]] ) * 3)</f>
        <v>1412.8494414591617</v>
      </c>
      <c r="X784" s="5">
        <f t="shared" si="28"/>
        <v>2</v>
      </c>
      <c r="Y784">
        <v>361.25</v>
      </c>
      <c r="Z784" s="223">
        <f>SUM( tabConsumo[[#This Row],[QTD.PENDENTE]]:tabConsumo[[#This Row],[09_23]] )</f>
        <v>4694</v>
      </c>
      <c r="AA784" s="223">
        <f>LARGE(tabConsumo[[#This Row],[10_22]:[09_23]],1)</f>
        <v>1431</v>
      </c>
      <c r="AB784" s="146" t="s">
        <v>2238</v>
      </c>
      <c r="AC784" s="3" t="s">
        <v>2086</v>
      </c>
    </row>
    <row r="785" spans="1:29" x14ac:dyDescent="0.3">
      <c r="A785" s="4" t="s">
        <v>1457</v>
      </c>
      <c r="B785" s="3" t="s">
        <v>653</v>
      </c>
      <c r="C785" s="2">
        <v>78642</v>
      </c>
      <c r="D785" s="2">
        <v>134</v>
      </c>
      <c r="E785" s="2">
        <v>2</v>
      </c>
      <c r="F785" s="2">
        <v>383</v>
      </c>
      <c r="G785" s="2">
        <v>294</v>
      </c>
      <c r="H785" s="2">
        <v>272</v>
      </c>
      <c r="I785" s="2">
        <v>99</v>
      </c>
      <c r="J785" s="2">
        <v>262</v>
      </c>
      <c r="K785" s="2">
        <v>1401</v>
      </c>
      <c r="L785" s="2">
        <v>250</v>
      </c>
      <c r="M785" s="2">
        <v>293</v>
      </c>
      <c r="N785" s="2">
        <v>309</v>
      </c>
      <c r="O785" s="2">
        <v>218</v>
      </c>
      <c r="P785" s="2">
        <v>313</v>
      </c>
      <c r="Q785" s="2">
        <v>364</v>
      </c>
      <c r="R785" s="238">
        <v>38104</v>
      </c>
      <c r="S785" s="219">
        <v>12</v>
      </c>
      <c r="T785" s="220">
        <f>SUM( tabConsumo[[#This Row],[QTD.PENDENTE]]:tabConsumo[[#This Row],[09_23]] ) / tabConsumo[[#This Row],[Div]]</f>
        <v>371.66666666666669</v>
      </c>
      <c r="U785" s="221">
        <f xml:space="preserve"> tabConsumo[[#This Row],[Média.A]] + (_xlfn.STDEV.S( tabConsumo[[#This Row],[QTD.PENDENTE]]:tabConsumo[[#This Row],[09_23]] ) * 1)</f>
        <v>705.83914247780172</v>
      </c>
      <c r="V785" s="221">
        <f xml:space="preserve"> tabConsumo[[#This Row],[Média.A]] + (_xlfn.STDEV.S( tabConsumo[[#This Row],[QTD.PENDENTE]]:tabConsumo[[#This Row],[09_23]] ) * 2)</f>
        <v>1040.0116182889367</v>
      </c>
      <c r="W785" s="221">
        <f xml:space="preserve"> tabConsumo[[#This Row],[Média.A]] + (_xlfn.STDEV.S( tabConsumo[[#This Row],[QTD.PENDENTE]]:tabConsumo[[#This Row],[09_23]] ) * 3)</f>
        <v>1374.1840941000717</v>
      </c>
      <c r="X785" s="5">
        <f t="shared" si="28"/>
        <v>2</v>
      </c>
      <c r="Y785">
        <v>341.58333333333331</v>
      </c>
      <c r="Z785" s="223">
        <f>SUM( tabConsumo[[#This Row],[QTD.PENDENTE]]:tabConsumo[[#This Row],[09_23]] )</f>
        <v>4460</v>
      </c>
      <c r="AA785" s="223">
        <f>LARGE(tabConsumo[[#This Row],[10_22]:[09_23]],1)</f>
        <v>1401</v>
      </c>
      <c r="AB785" s="146" t="s">
        <v>2238</v>
      </c>
      <c r="AC785" s="3" t="s">
        <v>2086</v>
      </c>
    </row>
    <row r="786" spans="1:29" x14ac:dyDescent="0.3">
      <c r="A786" s="4" t="s">
        <v>1458</v>
      </c>
      <c r="B786" s="3" t="s">
        <v>653</v>
      </c>
      <c r="C786" s="2">
        <v>78643</v>
      </c>
      <c r="D786" s="2">
        <v>0</v>
      </c>
      <c r="E786" s="2">
        <v>2</v>
      </c>
      <c r="F786" s="2">
        <v>487</v>
      </c>
      <c r="G786" s="2">
        <v>385</v>
      </c>
      <c r="H786" s="2">
        <v>311</v>
      </c>
      <c r="I786" s="2">
        <v>93</v>
      </c>
      <c r="J786" s="2">
        <v>322</v>
      </c>
      <c r="K786" s="2">
        <v>1486</v>
      </c>
      <c r="L786" s="2">
        <v>289</v>
      </c>
      <c r="M786" s="2">
        <v>306</v>
      </c>
      <c r="N786" s="2">
        <v>348</v>
      </c>
      <c r="O786" s="2">
        <v>307</v>
      </c>
      <c r="P786" s="2">
        <v>327</v>
      </c>
      <c r="Q786" s="2">
        <v>411</v>
      </c>
      <c r="R786" s="238">
        <v>38104</v>
      </c>
      <c r="S786" s="219">
        <v>12</v>
      </c>
      <c r="T786" s="220">
        <f>SUM( tabConsumo[[#This Row],[QTD.PENDENTE]]:tabConsumo[[#This Row],[09_23]] ) / tabConsumo[[#This Row],[Div]]</f>
        <v>422.83333333333331</v>
      </c>
      <c r="U786" s="221">
        <f xml:space="preserve"> tabConsumo[[#This Row],[Média.A]] + (_xlfn.STDEV.S( tabConsumo[[#This Row],[QTD.PENDENTE]]:tabConsumo[[#This Row],[09_23]] ) * 1)</f>
        <v>775.27561811562805</v>
      </c>
      <c r="V786" s="221">
        <f xml:space="preserve"> tabConsumo[[#This Row],[Média.A]] + (_xlfn.STDEV.S( tabConsumo[[#This Row],[QTD.PENDENTE]]:tabConsumo[[#This Row],[09_23]] ) * 2)</f>
        <v>1127.7179028979226</v>
      </c>
      <c r="W786" s="221">
        <f xml:space="preserve"> tabConsumo[[#This Row],[Média.A]] + (_xlfn.STDEV.S( tabConsumo[[#This Row],[QTD.PENDENTE]]:tabConsumo[[#This Row],[09_23]] ) * 3)</f>
        <v>1480.1601876802172</v>
      </c>
      <c r="X786" s="5">
        <f t="shared" si="28"/>
        <v>2</v>
      </c>
      <c r="Y786">
        <v>392.91666666666669</v>
      </c>
      <c r="Z786" s="223">
        <f>SUM( tabConsumo[[#This Row],[QTD.PENDENTE]]:tabConsumo[[#This Row],[09_23]] )</f>
        <v>5074</v>
      </c>
      <c r="AA786" s="223">
        <f>LARGE(tabConsumo[[#This Row],[10_22]:[09_23]],1)</f>
        <v>1486</v>
      </c>
      <c r="AB786" s="146" t="s">
        <v>2238</v>
      </c>
      <c r="AC786" s="3" t="s">
        <v>2086</v>
      </c>
    </row>
    <row r="787" spans="1:29" x14ac:dyDescent="0.3">
      <c r="A787" s="4" t="s">
        <v>1459</v>
      </c>
      <c r="B787" s="3" t="s">
        <v>653</v>
      </c>
      <c r="C787" s="2">
        <v>78646</v>
      </c>
      <c r="D787" s="2">
        <v>315</v>
      </c>
      <c r="E787" s="2">
        <v>15</v>
      </c>
      <c r="F787" s="2">
        <v>501</v>
      </c>
      <c r="G787" s="2">
        <v>488</v>
      </c>
      <c r="H787" s="2">
        <v>363</v>
      </c>
      <c r="I787" s="2">
        <v>97</v>
      </c>
      <c r="J787" s="2">
        <v>313</v>
      </c>
      <c r="K787" s="2">
        <v>1514</v>
      </c>
      <c r="L787" s="2">
        <v>275</v>
      </c>
      <c r="M787" s="2">
        <v>322</v>
      </c>
      <c r="N787" s="2">
        <v>358</v>
      </c>
      <c r="O787" s="2">
        <v>315</v>
      </c>
      <c r="P787" s="2">
        <v>382</v>
      </c>
      <c r="Q787" s="2">
        <v>594</v>
      </c>
      <c r="R787" s="238">
        <v>38104</v>
      </c>
      <c r="S787" s="219">
        <v>12</v>
      </c>
      <c r="T787" s="220">
        <f>SUM( tabConsumo[[#This Row],[QTD.PENDENTE]]:tabConsumo[[#This Row],[09_23]] ) / tabConsumo[[#This Row],[Div]]</f>
        <v>461.41666666666669</v>
      </c>
      <c r="U787" s="221">
        <f xml:space="preserve"> tabConsumo[[#This Row],[Média.A]] + (_xlfn.STDEV.S( tabConsumo[[#This Row],[QTD.PENDENTE]]:tabConsumo[[#This Row],[09_23]] ) * 1)</f>
        <v>822.87608383048916</v>
      </c>
      <c r="V787" s="221">
        <f xml:space="preserve"> tabConsumo[[#This Row],[Média.A]] + (_xlfn.STDEV.S( tabConsumo[[#This Row],[QTD.PENDENTE]]:tabConsumo[[#This Row],[09_23]] ) * 2)</f>
        <v>1184.3355009943116</v>
      </c>
      <c r="W787" s="221">
        <f xml:space="preserve"> tabConsumo[[#This Row],[Média.A]] + (_xlfn.STDEV.S( tabConsumo[[#This Row],[QTD.PENDENTE]]:tabConsumo[[#This Row],[09_23]] ) * 3)</f>
        <v>1545.7949181581341</v>
      </c>
      <c r="X787" s="5">
        <f t="shared" si="28"/>
        <v>2</v>
      </c>
      <c r="Y787">
        <v>433.91666666666669</v>
      </c>
      <c r="Z787" s="223">
        <f>SUM( tabConsumo[[#This Row],[QTD.PENDENTE]]:tabConsumo[[#This Row],[09_23]] )</f>
        <v>5537</v>
      </c>
      <c r="AA787" s="223">
        <f>LARGE(tabConsumo[[#This Row],[10_22]:[09_23]],1)</f>
        <v>1514</v>
      </c>
      <c r="AB787" s="146" t="s">
        <v>2238</v>
      </c>
      <c r="AC787" s="3" t="s">
        <v>2086</v>
      </c>
    </row>
    <row r="788" spans="1:29" x14ac:dyDescent="0.3">
      <c r="A788" s="4" t="s">
        <v>1469</v>
      </c>
      <c r="B788" s="3" t="s">
        <v>653</v>
      </c>
      <c r="C788" s="2">
        <v>80874</v>
      </c>
      <c r="D788" s="2">
        <v>366</v>
      </c>
      <c r="E788" s="2">
        <v>2</v>
      </c>
      <c r="F788" s="2">
        <v>492</v>
      </c>
      <c r="G788" s="2">
        <v>414</v>
      </c>
      <c r="H788" s="2">
        <v>363</v>
      </c>
      <c r="I788" s="2">
        <v>95</v>
      </c>
      <c r="J788" s="2">
        <v>343</v>
      </c>
      <c r="K788" s="2">
        <v>1513</v>
      </c>
      <c r="L788" s="2">
        <v>304</v>
      </c>
      <c r="M788" s="2">
        <v>355</v>
      </c>
      <c r="N788" s="2">
        <v>363</v>
      </c>
      <c r="O788" s="2">
        <v>336</v>
      </c>
      <c r="P788" s="2">
        <v>382</v>
      </c>
      <c r="Q788" s="2">
        <v>436</v>
      </c>
      <c r="R788" s="238">
        <v>38196</v>
      </c>
      <c r="S788" s="219">
        <v>12</v>
      </c>
      <c r="T788" s="220">
        <f>SUM( tabConsumo[[#This Row],[QTD.PENDENTE]]:tabConsumo[[#This Row],[09_23]] ) / tabConsumo[[#This Row],[Div]]</f>
        <v>449.83333333333331</v>
      </c>
      <c r="U788" s="221">
        <f xml:space="preserve"> tabConsumo[[#This Row],[Média.A]] + (_xlfn.STDEV.S( tabConsumo[[#This Row],[QTD.PENDENTE]]:tabConsumo[[#This Row],[09_23]] ) * 1)</f>
        <v>805.59382248442728</v>
      </c>
      <c r="V788" s="221">
        <f xml:space="preserve"> tabConsumo[[#This Row],[Média.A]] + (_xlfn.STDEV.S( tabConsumo[[#This Row],[QTD.PENDENTE]]:tabConsumo[[#This Row],[09_23]] ) * 2)</f>
        <v>1161.3543116355213</v>
      </c>
      <c r="W788" s="221">
        <f xml:space="preserve"> tabConsumo[[#This Row],[Média.A]] + (_xlfn.STDEV.S( tabConsumo[[#This Row],[QTD.PENDENTE]]:tabConsumo[[#This Row],[09_23]] ) * 3)</f>
        <v>1517.1148007866152</v>
      </c>
      <c r="X788" s="5">
        <f t="shared" si="28"/>
        <v>2</v>
      </c>
      <c r="Y788">
        <v>420.5</v>
      </c>
      <c r="Z788" s="223">
        <f>SUM( tabConsumo[[#This Row],[QTD.PENDENTE]]:tabConsumo[[#This Row],[09_23]] )</f>
        <v>5398</v>
      </c>
      <c r="AA788" s="223">
        <f>LARGE(tabConsumo[[#This Row],[10_22]:[09_23]],1)</f>
        <v>1513</v>
      </c>
      <c r="AB788" s="146" t="s">
        <v>2238</v>
      </c>
      <c r="AC788" s="3" t="s">
        <v>2086</v>
      </c>
    </row>
    <row r="789" spans="1:29" x14ac:dyDescent="0.3">
      <c r="A789" s="4" t="s">
        <v>1468</v>
      </c>
      <c r="B789" s="3" t="s">
        <v>653</v>
      </c>
      <c r="C789" s="2">
        <v>80872</v>
      </c>
      <c r="D789" s="2">
        <v>0</v>
      </c>
      <c r="E789" s="2">
        <v>332</v>
      </c>
      <c r="F789" s="2">
        <v>420</v>
      </c>
      <c r="G789" s="2">
        <v>369</v>
      </c>
      <c r="H789" s="2">
        <v>314</v>
      </c>
      <c r="I789" s="2">
        <v>76</v>
      </c>
      <c r="J789" s="2">
        <v>334</v>
      </c>
      <c r="K789" s="2">
        <v>1474</v>
      </c>
      <c r="L789" s="2">
        <v>284</v>
      </c>
      <c r="M789" s="2">
        <v>328</v>
      </c>
      <c r="N789" s="2">
        <v>295</v>
      </c>
      <c r="O789" s="2">
        <v>11</v>
      </c>
      <c r="P789" s="2">
        <v>0</v>
      </c>
      <c r="Q789" s="2">
        <v>0</v>
      </c>
      <c r="R789" s="238">
        <v>38196</v>
      </c>
      <c r="S789" s="219">
        <v>12</v>
      </c>
      <c r="T789" s="220">
        <f>SUM( tabConsumo[[#This Row],[QTD.PENDENTE]]:tabConsumo[[#This Row],[09_23]] ) / tabConsumo[[#This Row],[Div]]</f>
        <v>353.08333333333331</v>
      </c>
      <c r="U789" s="221">
        <f xml:space="preserve"> tabConsumo[[#This Row],[Média.A]] + (_xlfn.STDEV.S( tabConsumo[[#This Row],[QTD.PENDENTE]]:tabConsumo[[#This Row],[09_23]] ) * 1)</f>
        <v>730.11548526436377</v>
      </c>
      <c r="V789" s="221">
        <f xml:space="preserve"> tabConsumo[[#This Row],[Média.A]] + (_xlfn.STDEV.S( tabConsumo[[#This Row],[QTD.PENDENTE]]:tabConsumo[[#This Row],[09_23]] ) * 2)</f>
        <v>1107.1476371953941</v>
      </c>
      <c r="W789" s="221">
        <f xml:space="preserve"> tabConsumo[[#This Row],[Média.A]] + (_xlfn.STDEV.S( tabConsumo[[#This Row],[QTD.PENDENTE]]:tabConsumo[[#This Row],[09_23]] ) * 3)</f>
        <v>1484.1797891264243</v>
      </c>
      <c r="X789" s="5">
        <f t="shared" si="28"/>
        <v>2</v>
      </c>
      <c r="Y789">
        <v>322.5</v>
      </c>
      <c r="Z789" s="223">
        <f>SUM( tabConsumo[[#This Row],[QTD.PENDENTE]]:tabConsumo[[#This Row],[09_23]] )</f>
        <v>4237</v>
      </c>
      <c r="AA789" s="223">
        <f>LARGE(tabConsumo[[#This Row],[10_22]:[09_23]],1)</f>
        <v>1474</v>
      </c>
      <c r="AB789" s="146" t="s">
        <v>2239</v>
      </c>
      <c r="AC789" s="3" t="s">
        <v>2086</v>
      </c>
    </row>
    <row r="790" spans="1:29" x14ac:dyDescent="0.3">
      <c r="A790" s="4" t="s">
        <v>2045</v>
      </c>
      <c r="B790" s="3" t="s">
        <v>287</v>
      </c>
      <c r="C790" s="2">
        <v>141786</v>
      </c>
      <c r="D790" s="2">
        <v>243</v>
      </c>
      <c r="F790" s="2">
        <v>1</v>
      </c>
      <c r="G790" s="2">
        <v>8</v>
      </c>
      <c r="H790" s="2">
        <v>2</v>
      </c>
      <c r="I790" s="2">
        <v>4</v>
      </c>
      <c r="J790" s="2">
        <v>4</v>
      </c>
      <c r="K790" s="2">
        <v>4</v>
      </c>
      <c r="L790" s="2">
        <v>0</v>
      </c>
      <c r="M790" s="2">
        <v>2</v>
      </c>
      <c r="N790" s="2">
        <v>0</v>
      </c>
      <c r="O790" s="2">
        <v>2</v>
      </c>
      <c r="P790" s="2">
        <v>0</v>
      </c>
      <c r="Q790" s="2">
        <v>2</v>
      </c>
      <c r="R790" s="238">
        <v>44375</v>
      </c>
      <c r="S790" s="219">
        <v>12</v>
      </c>
      <c r="T790" s="220">
        <f>SUM( tabConsumo[[#This Row],[QTD.PENDENTE]]:tabConsumo[[#This Row],[09_23]] ) / tabConsumo[[#This Row],[Div]]</f>
        <v>2.4166666666666665</v>
      </c>
      <c r="U790" s="221">
        <f xml:space="preserve"> tabConsumo[[#This Row],[Média.A]] + (_xlfn.STDEV.S( tabConsumo[[#This Row],[QTD.PENDENTE]]:tabConsumo[[#This Row],[09_23]] ) * 1)</f>
        <v>4.7309831113346394</v>
      </c>
      <c r="V790" s="221">
        <f xml:space="preserve"> tabConsumo[[#This Row],[Média.A]] + (_xlfn.STDEV.S( tabConsumo[[#This Row],[QTD.PENDENTE]]:tabConsumo[[#This Row],[09_23]] ) * 2)</f>
        <v>7.0452995560026128</v>
      </c>
      <c r="W790" s="221">
        <f xml:space="preserve"> tabConsumo[[#This Row],[Média.A]] + (_xlfn.STDEV.S( tabConsumo[[#This Row],[QTD.PENDENTE]]:tabConsumo[[#This Row],[09_23]] ) * 3)</f>
        <v>9.3596160006705844</v>
      </c>
      <c r="X790" s="5">
        <f t="shared" si="28"/>
        <v>2</v>
      </c>
      <c r="Y790">
        <v>2.3333333333333335</v>
      </c>
      <c r="Z790" s="223">
        <f>SUM( tabConsumo[[#This Row],[QTD.PENDENTE]]:tabConsumo[[#This Row],[09_23]] )</f>
        <v>29</v>
      </c>
      <c r="AA790" s="223">
        <f>LARGE(tabConsumo[[#This Row],[10_22]:[09_23]],1)</f>
        <v>8</v>
      </c>
      <c r="AB790" s="146" t="s">
        <v>2238</v>
      </c>
      <c r="AC790" s="3" t="s">
        <v>2086</v>
      </c>
    </row>
    <row r="791" spans="1:29" x14ac:dyDescent="0.3">
      <c r="A791" s="4" t="s">
        <v>2046</v>
      </c>
      <c r="B791" s="3" t="s">
        <v>287</v>
      </c>
      <c r="C791" s="2">
        <v>141787</v>
      </c>
      <c r="D791" s="2">
        <v>271</v>
      </c>
      <c r="F791" s="2">
        <v>11</v>
      </c>
      <c r="G791" s="2">
        <v>16</v>
      </c>
      <c r="H791" s="2">
        <v>1</v>
      </c>
      <c r="I791" s="2">
        <v>39</v>
      </c>
      <c r="J791" s="2">
        <v>72</v>
      </c>
      <c r="K791" s="2">
        <v>29</v>
      </c>
      <c r="L791" s="2">
        <v>22</v>
      </c>
      <c r="M791" s="2">
        <v>28</v>
      </c>
      <c r="N791" s="2">
        <v>32</v>
      </c>
      <c r="O791" s="2">
        <v>28</v>
      </c>
      <c r="P791" s="2">
        <v>22</v>
      </c>
      <c r="Q791" s="2">
        <v>33</v>
      </c>
      <c r="R791" s="238">
        <v>44375</v>
      </c>
      <c r="S791" s="219">
        <v>12</v>
      </c>
      <c r="T791" s="220">
        <f>SUM( tabConsumo[[#This Row],[QTD.PENDENTE]]:tabConsumo[[#This Row],[09_23]] ) / tabConsumo[[#This Row],[Div]]</f>
        <v>27.75</v>
      </c>
      <c r="U791" s="221">
        <f xml:space="preserve"> tabConsumo[[#This Row],[Média.A]] + (_xlfn.STDEV.S( tabConsumo[[#This Row],[QTD.PENDENTE]]:tabConsumo[[#This Row],[09_23]] ) * 1)</f>
        <v>45.15493660378624</v>
      </c>
      <c r="V791" s="221">
        <f xml:space="preserve"> tabConsumo[[#This Row],[Média.A]] + (_xlfn.STDEV.S( tabConsumo[[#This Row],[QTD.PENDENTE]]:tabConsumo[[#This Row],[09_23]] ) * 2)</f>
        <v>62.559873207572487</v>
      </c>
      <c r="W791" s="221">
        <f xml:space="preserve"> tabConsumo[[#This Row],[Média.A]] + (_xlfn.STDEV.S( tabConsumo[[#This Row],[QTD.PENDENTE]]:tabConsumo[[#This Row],[09_23]] ) * 3)</f>
        <v>79.964809811358734</v>
      </c>
      <c r="X791" s="5">
        <f t="shared" si="28"/>
        <v>2</v>
      </c>
      <c r="Y791">
        <v>26.916666666666668</v>
      </c>
      <c r="Z791" s="223">
        <f>SUM( tabConsumo[[#This Row],[QTD.PENDENTE]]:tabConsumo[[#This Row],[09_23]] )</f>
        <v>333</v>
      </c>
      <c r="AA791" s="223">
        <f>LARGE(tabConsumo[[#This Row],[10_22]:[09_23]],1)</f>
        <v>72</v>
      </c>
      <c r="AB791" s="146" t="s">
        <v>2238</v>
      </c>
      <c r="AC791" s="3" t="s">
        <v>2086</v>
      </c>
    </row>
    <row r="792" spans="1:29" x14ac:dyDescent="0.3">
      <c r="A792" s="4" t="s">
        <v>2041</v>
      </c>
      <c r="B792" s="3" t="s">
        <v>287</v>
      </c>
      <c r="C792" s="2">
        <v>141615</v>
      </c>
      <c r="D792" s="2">
        <v>61</v>
      </c>
      <c r="F792" s="2">
        <v>3</v>
      </c>
      <c r="G792" s="2">
        <v>2</v>
      </c>
      <c r="H792" s="2">
        <v>2</v>
      </c>
      <c r="I792" s="2">
        <v>12</v>
      </c>
      <c r="J792" s="2">
        <v>2</v>
      </c>
      <c r="K792" s="2">
        <v>4</v>
      </c>
      <c r="L792" s="2">
        <v>1</v>
      </c>
      <c r="M792" s="2">
        <v>1</v>
      </c>
      <c r="N792" s="2">
        <v>2</v>
      </c>
      <c r="O792" s="2">
        <v>0</v>
      </c>
      <c r="P792" s="2">
        <v>10</v>
      </c>
      <c r="Q792" s="2">
        <v>24</v>
      </c>
      <c r="R792" s="238">
        <v>44371</v>
      </c>
      <c r="S792" s="219">
        <v>12</v>
      </c>
      <c r="T792" s="220">
        <f>SUM( tabConsumo[[#This Row],[QTD.PENDENTE]]:tabConsumo[[#This Row],[09_23]] ) / tabConsumo[[#This Row],[Div]]</f>
        <v>5.25</v>
      </c>
      <c r="U792" s="221">
        <f xml:space="preserve"> tabConsumo[[#This Row],[Média.A]] + (_xlfn.STDEV.S( tabConsumo[[#This Row],[QTD.PENDENTE]]:tabConsumo[[#This Row],[09_23]] ) * 1)</f>
        <v>12.206030738601118</v>
      </c>
      <c r="V792" s="221">
        <f xml:space="preserve"> tabConsumo[[#This Row],[Média.A]] + (_xlfn.STDEV.S( tabConsumo[[#This Row],[QTD.PENDENTE]]:tabConsumo[[#This Row],[09_23]] ) * 2)</f>
        <v>19.162061477202236</v>
      </c>
      <c r="W792" s="221">
        <f xml:space="preserve"> tabConsumo[[#This Row],[Média.A]] + (_xlfn.STDEV.S( tabConsumo[[#This Row],[QTD.PENDENTE]]:tabConsumo[[#This Row],[09_23]] ) * 3)</f>
        <v>26.118092215803358</v>
      </c>
      <c r="X792" s="5">
        <f t="shared" si="28"/>
        <v>2</v>
      </c>
      <c r="Y792">
        <v>4.833333333333333</v>
      </c>
      <c r="Z792" s="223">
        <f>SUM( tabConsumo[[#This Row],[QTD.PENDENTE]]:tabConsumo[[#This Row],[09_23]] )</f>
        <v>63</v>
      </c>
      <c r="AA792" s="223">
        <f>LARGE(tabConsumo[[#This Row],[10_22]:[09_23]],1)</f>
        <v>24</v>
      </c>
      <c r="AB792" s="146" t="s">
        <v>2238</v>
      </c>
      <c r="AC792" s="3" t="s">
        <v>2086</v>
      </c>
    </row>
    <row r="793" spans="1:29" x14ac:dyDescent="0.3">
      <c r="A793" s="4" t="s">
        <v>973</v>
      </c>
      <c r="B793" s="3" t="s">
        <v>287</v>
      </c>
      <c r="C793" s="2">
        <v>12877</v>
      </c>
      <c r="D793" s="2">
        <v>500</v>
      </c>
      <c r="F793" s="2">
        <v>64</v>
      </c>
      <c r="G793" s="2">
        <v>53</v>
      </c>
      <c r="H793" s="2">
        <v>51</v>
      </c>
      <c r="I793" s="2">
        <v>53</v>
      </c>
      <c r="J793" s="2">
        <v>8</v>
      </c>
      <c r="K793" s="2">
        <v>56</v>
      </c>
      <c r="L793" s="2">
        <v>14</v>
      </c>
      <c r="M793" s="2">
        <v>20</v>
      </c>
      <c r="N793" s="2">
        <v>49</v>
      </c>
      <c r="O793" s="2">
        <v>26</v>
      </c>
      <c r="P793" s="2">
        <v>0</v>
      </c>
      <c r="Q793" s="2">
        <v>0</v>
      </c>
      <c r="R793" s="238">
        <v>367</v>
      </c>
      <c r="S793" s="219">
        <f xml:space="preserve"> 12</f>
        <v>12</v>
      </c>
      <c r="T793" s="220">
        <f>SUM( tabConsumo[[#This Row],[QTD.PENDENTE]]:tabConsumo[[#This Row],[09_23]] ) / tabConsumo[[#This Row],[Div]]</f>
        <v>32.833333333333336</v>
      </c>
      <c r="U793" s="221">
        <f xml:space="preserve"> tabConsumo[[#This Row],[Média.A]] + (_xlfn.STDEV.S( tabConsumo[[#This Row],[QTD.PENDENTE]]:tabConsumo[[#This Row],[09_23]] ) * 1)</f>
        <v>56.673076061251635</v>
      </c>
      <c r="V793" s="221">
        <f xml:space="preserve"> tabConsumo[[#This Row],[Média.A]] + (_xlfn.STDEV.S( tabConsumo[[#This Row],[QTD.PENDENTE]]:tabConsumo[[#This Row],[09_23]] ) * 2)</f>
        <v>80.512818789169927</v>
      </c>
      <c r="W793" s="221">
        <f xml:space="preserve"> tabConsumo[[#This Row],[Média.A]] + (_xlfn.STDEV.S( tabConsumo[[#This Row],[QTD.PENDENTE]]:tabConsumo[[#This Row],[09_23]] ) * 3)</f>
        <v>104.35256151708822</v>
      </c>
      <c r="X793" s="5">
        <f t="shared" si="28"/>
        <v>2</v>
      </c>
      <c r="Y793">
        <v>32.833333333333336</v>
      </c>
      <c r="Z793" s="223">
        <f>SUM( tabConsumo[[#This Row],[QTD.PENDENTE]]:tabConsumo[[#This Row],[09_23]] )</f>
        <v>394</v>
      </c>
      <c r="AA793" s="223">
        <f>LARGE(tabConsumo[[#This Row],[10_22]:[09_23]],1)</f>
        <v>64</v>
      </c>
      <c r="AB793" s="146" t="s">
        <v>2239</v>
      </c>
      <c r="AC793" s="3" t="s">
        <v>2086</v>
      </c>
    </row>
    <row r="794" spans="1:29" x14ac:dyDescent="0.3">
      <c r="A794" s="4" t="s">
        <v>507</v>
      </c>
      <c r="B794" s="3" t="s">
        <v>287</v>
      </c>
      <c r="C794" s="2">
        <v>64821</v>
      </c>
      <c r="D794" s="2">
        <v>18</v>
      </c>
      <c r="F794" s="2">
        <v>0</v>
      </c>
      <c r="G794" s="2">
        <v>0</v>
      </c>
      <c r="H794" s="2">
        <v>0</v>
      </c>
      <c r="I794" s="2">
        <v>0</v>
      </c>
      <c r="J794" s="2">
        <v>0</v>
      </c>
      <c r="K794" s="2">
        <v>1</v>
      </c>
      <c r="L794" s="2">
        <v>0</v>
      </c>
      <c r="M794" s="2">
        <v>0</v>
      </c>
      <c r="N794" s="2">
        <v>2</v>
      </c>
      <c r="O794" s="2">
        <v>0</v>
      </c>
      <c r="P794" s="2">
        <v>2</v>
      </c>
      <c r="Q794" s="2">
        <v>0</v>
      </c>
      <c r="R794" s="238">
        <v>367</v>
      </c>
      <c r="S794" s="219">
        <f xml:space="preserve"> 12</f>
        <v>12</v>
      </c>
      <c r="T794" s="220">
        <f>SUM( tabConsumo[[#This Row],[QTD.PENDENTE]]:tabConsumo[[#This Row],[09_23]] ) / tabConsumo[[#This Row],[Div]]</f>
        <v>0.41666666666666669</v>
      </c>
      <c r="U794" s="221">
        <f xml:space="preserve"> tabConsumo[[#This Row],[Média.A]] + (_xlfn.STDEV.S( tabConsumo[[#This Row],[QTD.PENDENTE]]:tabConsumo[[#This Row],[09_23]] ) * 1)</f>
        <v>1.2096281277654257</v>
      </c>
      <c r="V794" s="221">
        <f xml:space="preserve"> tabConsumo[[#This Row],[Média.A]] + (_xlfn.STDEV.S( tabConsumo[[#This Row],[QTD.PENDENTE]]:tabConsumo[[#This Row],[09_23]] ) * 2)</f>
        <v>2.0025895888641849</v>
      </c>
      <c r="W794" s="221">
        <f xml:space="preserve"> tabConsumo[[#This Row],[Média.A]] + (_xlfn.STDEV.S( tabConsumo[[#This Row],[QTD.PENDENTE]]:tabConsumo[[#This Row],[09_23]] ) * 3)</f>
        <v>2.7955510499629437</v>
      </c>
      <c r="X794" s="5">
        <f t="shared" si="28"/>
        <v>2</v>
      </c>
      <c r="Y794">
        <v>0.41666666666666669</v>
      </c>
      <c r="Z794" s="223">
        <f>SUM( tabConsumo[[#This Row],[QTD.PENDENTE]]:tabConsumo[[#This Row],[09_23]] )</f>
        <v>5</v>
      </c>
      <c r="AA794" s="223">
        <f>LARGE(tabConsumo[[#This Row],[10_22]:[09_23]],1)</f>
        <v>2</v>
      </c>
      <c r="AB794" s="146" t="s">
        <v>2241</v>
      </c>
      <c r="AC794" s="3" t="s">
        <v>2086</v>
      </c>
    </row>
    <row r="795" spans="1:29" x14ac:dyDescent="0.3">
      <c r="A795" s="4" t="s">
        <v>1810</v>
      </c>
      <c r="B795" s="3" t="s">
        <v>269</v>
      </c>
      <c r="C795" s="2">
        <v>130695</v>
      </c>
      <c r="D795" s="2">
        <v>2080</v>
      </c>
      <c r="E795" s="2">
        <v>29</v>
      </c>
      <c r="F795" s="2">
        <v>289</v>
      </c>
      <c r="G795" s="2">
        <v>321</v>
      </c>
      <c r="H795" s="2">
        <v>1244</v>
      </c>
      <c r="I795" s="2">
        <v>127</v>
      </c>
      <c r="J795" s="2">
        <v>274</v>
      </c>
      <c r="K795" s="2">
        <v>420</v>
      </c>
      <c r="L795" s="2">
        <v>335</v>
      </c>
      <c r="M795" s="2">
        <v>353</v>
      </c>
      <c r="N795" s="2">
        <v>334</v>
      </c>
      <c r="O795" s="2">
        <v>255</v>
      </c>
      <c r="P795" s="2">
        <v>337</v>
      </c>
      <c r="Q795" s="2">
        <v>374</v>
      </c>
      <c r="R795" s="238">
        <v>42230</v>
      </c>
      <c r="S795" s="219">
        <v>12</v>
      </c>
      <c r="T795" s="220">
        <f>SUM( tabConsumo[[#This Row],[QTD.PENDENTE]]:tabConsumo[[#This Row],[09_23]] ) / tabConsumo[[#This Row],[Div]]</f>
        <v>391</v>
      </c>
      <c r="U795" s="221">
        <f xml:space="preserve"> tabConsumo[[#This Row],[Média.A]] + (_xlfn.STDEV.S( tabConsumo[[#This Row],[QTD.PENDENTE]]:tabConsumo[[#This Row],[09_23]] ) * 1)</f>
        <v>676.1831170606182</v>
      </c>
      <c r="V795" s="221">
        <f xml:space="preserve"> tabConsumo[[#This Row],[Média.A]] + (_xlfn.STDEV.S( tabConsumo[[#This Row],[QTD.PENDENTE]]:tabConsumo[[#This Row],[09_23]] ) * 2)</f>
        <v>961.3662341212364</v>
      </c>
      <c r="W795" s="221">
        <f xml:space="preserve"> tabConsumo[[#This Row],[Média.A]] + (_xlfn.STDEV.S( tabConsumo[[#This Row],[QTD.PENDENTE]]:tabConsumo[[#This Row],[09_23]] ) * 3)</f>
        <v>1246.5493511818545</v>
      </c>
      <c r="X795" s="5">
        <f t="shared" si="28"/>
        <v>2</v>
      </c>
      <c r="Y795">
        <v>367.41666666666669</v>
      </c>
      <c r="Z795" s="223">
        <f>SUM( tabConsumo[[#This Row],[QTD.PENDENTE]]:tabConsumo[[#This Row],[09_23]] )</f>
        <v>4692</v>
      </c>
      <c r="AA795" s="223">
        <f>LARGE(tabConsumo[[#This Row],[10_22]:[09_23]],1)</f>
        <v>1244</v>
      </c>
      <c r="AB795" s="146" t="s">
        <v>2238</v>
      </c>
      <c r="AC795" s="3" t="s">
        <v>2086</v>
      </c>
    </row>
    <row r="796" spans="1:29" x14ac:dyDescent="0.3">
      <c r="A796" s="4" t="s">
        <v>1688</v>
      </c>
      <c r="B796" s="3" t="s">
        <v>31</v>
      </c>
      <c r="C796" s="2">
        <v>112155</v>
      </c>
      <c r="D796" s="2">
        <v>0</v>
      </c>
      <c r="E796" s="2">
        <v>8</v>
      </c>
      <c r="F796" s="2">
        <v>0</v>
      </c>
      <c r="G796" s="2">
        <v>0</v>
      </c>
      <c r="H796" s="2">
        <v>23</v>
      </c>
      <c r="I796" s="2">
        <v>15</v>
      </c>
      <c r="J796" s="2">
        <v>0</v>
      </c>
      <c r="K796" s="2">
        <v>30</v>
      </c>
      <c r="L796" s="2">
        <v>62</v>
      </c>
      <c r="M796" s="2">
        <v>0</v>
      </c>
      <c r="N796" s="2">
        <v>100</v>
      </c>
      <c r="O796" s="2">
        <v>0</v>
      </c>
      <c r="P796" s="2">
        <v>22</v>
      </c>
      <c r="Q796" s="2">
        <v>0</v>
      </c>
      <c r="R796" s="238">
        <v>40045</v>
      </c>
      <c r="S796" s="219">
        <v>12</v>
      </c>
      <c r="T796" s="220">
        <f>SUM( tabConsumo[[#This Row],[QTD.PENDENTE]]:tabConsumo[[#This Row],[09_23]] ) / tabConsumo[[#This Row],[Div]]</f>
        <v>21.666666666666668</v>
      </c>
      <c r="U796" s="221">
        <f xml:space="preserve"> tabConsumo[[#This Row],[Média.A]] + (_xlfn.STDEV.S( tabConsumo[[#This Row],[QTD.PENDENTE]]:tabConsumo[[#This Row],[09_23]] ) * 1)</f>
        <v>51.730487670213989</v>
      </c>
      <c r="V796" s="221">
        <f xml:space="preserve"> tabConsumo[[#This Row],[Média.A]] + (_xlfn.STDEV.S( tabConsumo[[#This Row],[QTD.PENDENTE]]:tabConsumo[[#This Row],[09_23]] ) * 2)</f>
        <v>81.794308673761321</v>
      </c>
      <c r="W796" s="221">
        <f xml:space="preserve"> tabConsumo[[#This Row],[Média.A]] + (_xlfn.STDEV.S( tabConsumo[[#This Row],[QTD.PENDENTE]]:tabConsumo[[#This Row],[09_23]] ) * 3)</f>
        <v>111.85812967730864</v>
      </c>
      <c r="X796" s="5">
        <f t="shared" si="28"/>
        <v>2</v>
      </c>
      <c r="Y796">
        <v>20.083333333333332</v>
      </c>
      <c r="Z796" s="223">
        <f>SUM( tabConsumo[[#This Row],[QTD.PENDENTE]]:tabConsumo[[#This Row],[09_23]] )</f>
        <v>260</v>
      </c>
      <c r="AA796" s="223">
        <f>LARGE(tabConsumo[[#This Row],[10_22]:[09_23]],1)</f>
        <v>100</v>
      </c>
      <c r="AB796" s="146" t="s">
        <v>2241</v>
      </c>
      <c r="AC796" s="3" t="s">
        <v>2086</v>
      </c>
    </row>
    <row r="797" spans="1:29" x14ac:dyDescent="0.3">
      <c r="A797" s="4" t="s">
        <v>1737</v>
      </c>
      <c r="B797" s="3" t="s">
        <v>31</v>
      </c>
      <c r="C797" s="2">
        <v>119181</v>
      </c>
      <c r="D797" s="2">
        <v>610</v>
      </c>
      <c r="F797" s="2">
        <v>17</v>
      </c>
      <c r="G797" s="2">
        <v>55</v>
      </c>
      <c r="H797" s="2">
        <v>25</v>
      </c>
      <c r="I797" s="2">
        <v>44</v>
      </c>
      <c r="J797" s="2">
        <v>20</v>
      </c>
      <c r="K797" s="2">
        <v>166</v>
      </c>
      <c r="L797" s="2">
        <v>30</v>
      </c>
      <c r="M797" s="2">
        <v>30</v>
      </c>
      <c r="N797" s="2">
        <v>0</v>
      </c>
      <c r="O797" s="2">
        <v>50</v>
      </c>
      <c r="P797" s="2">
        <v>40</v>
      </c>
      <c r="Q797" s="2">
        <v>30</v>
      </c>
      <c r="R797" s="238">
        <v>40581</v>
      </c>
      <c r="S797" s="219">
        <v>12</v>
      </c>
      <c r="T797" s="220">
        <f>SUM( tabConsumo[[#This Row],[QTD.PENDENTE]]:tabConsumo[[#This Row],[09_23]] ) / tabConsumo[[#This Row],[Div]]</f>
        <v>42.25</v>
      </c>
      <c r="U797" s="221">
        <f xml:space="preserve"> tabConsumo[[#This Row],[Média.A]] + (_xlfn.STDEV.S( tabConsumo[[#This Row],[QTD.PENDENTE]]:tabConsumo[[#This Row],[09_23]] ) * 1)</f>
        <v>84.03978779123392</v>
      </c>
      <c r="V797" s="221">
        <f xml:space="preserve"> tabConsumo[[#This Row],[Média.A]] + (_xlfn.STDEV.S( tabConsumo[[#This Row],[QTD.PENDENTE]]:tabConsumo[[#This Row],[09_23]] ) * 2)</f>
        <v>125.82957558246784</v>
      </c>
      <c r="W797" s="221">
        <f xml:space="preserve"> tabConsumo[[#This Row],[Média.A]] + (_xlfn.STDEV.S( tabConsumo[[#This Row],[QTD.PENDENTE]]:tabConsumo[[#This Row],[09_23]] ) * 3)</f>
        <v>167.61936337370176</v>
      </c>
      <c r="X797" s="5">
        <f t="shared" si="28"/>
        <v>2</v>
      </c>
      <c r="Y797">
        <v>38.833333333333336</v>
      </c>
      <c r="Z797" s="223">
        <f>SUM( tabConsumo[[#This Row],[QTD.PENDENTE]]:tabConsumo[[#This Row],[09_23]] )</f>
        <v>507</v>
      </c>
      <c r="AA797" s="223">
        <f>LARGE(tabConsumo[[#This Row],[10_22]:[09_23]],1)</f>
        <v>166</v>
      </c>
      <c r="AB797" s="146" t="s">
        <v>2238</v>
      </c>
      <c r="AC797" s="3" t="s">
        <v>2086</v>
      </c>
    </row>
    <row r="798" spans="1:29" x14ac:dyDescent="0.3">
      <c r="A798" s="4" t="s">
        <v>1689</v>
      </c>
      <c r="B798" s="3" t="s">
        <v>31</v>
      </c>
      <c r="C798" s="2">
        <v>112156</v>
      </c>
      <c r="D798" s="2">
        <v>112</v>
      </c>
      <c r="F798" s="2">
        <v>10</v>
      </c>
      <c r="G798" s="2">
        <v>45</v>
      </c>
      <c r="H798" s="2">
        <v>15</v>
      </c>
      <c r="I798" s="2">
        <v>10</v>
      </c>
      <c r="J798" s="2">
        <v>40</v>
      </c>
      <c r="K798" s="2">
        <v>245</v>
      </c>
      <c r="L798" s="2">
        <v>20</v>
      </c>
      <c r="M798" s="2">
        <v>30</v>
      </c>
      <c r="N798" s="2">
        <v>2</v>
      </c>
      <c r="O798" s="2">
        <v>50</v>
      </c>
      <c r="P798" s="2">
        <v>30</v>
      </c>
      <c r="Q798" s="2">
        <v>1</v>
      </c>
      <c r="R798" s="238">
        <v>40045</v>
      </c>
      <c r="S798" s="219">
        <v>12</v>
      </c>
      <c r="T798" s="220">
        <f>SUM( tabConsumo[[#This Row],[QTD.PENDENTE]]:tabConsumo[[#This Row],[09_23]] ) / tabConsumo[[#This Row],[Div]]</f>
        <v>41.5</v>
      </c>
      <c r="U798" s="221">
        <f xml:space="preserve"> tabConsumo[[#This Row],[Média.A]] + (_xlfn.STDEV.S( tabConsumo[[#This Row],[QTD.PENDENTE]]:tabConsumo[[#This Row],[09_23]] ) * 1)</f>
        <v>107.63553576489035</v>
      </c>
      <c r="V798" s="221">
        <f xml:space="preserve"> tabConsumo[[#This Row],[Média.A]] + (_xlfn.STDEV.S( tabConsumo[[#This Row],[QTD.PENDENTE]]:tabConsumo[[#This Row],[09_23]] ) * 2)</f>
        <v>173.7710715297807</v>
      </c>
      <c r="W798" s="221">
        <f xml:space="preserve"> tabConsumo[[#This Row],[Média.A]] + (_xlfn.STDEV.S( tabConsumo[[#This Row],[QTD.PENDENTE]]:tabConsumo[[#This Row],[09_23]] ) * 3)</f>
        <v>239.90660729467106</v>
      </c>
      <c r="X798" s="5">
        <f t="shared" si="28"/>
        <v>2</v>
      </c>
      <c r="Y798">
        <v>35.5</v>
      </c>
      <c r="Z798" s="223">
        <f>SUM( tabConsumo[[#This Row],[QTD.PENDENTE]]:tabConsumo[[#This Row],[09_23]] )</f>
        <v>498</v>
      </c>
      <c r="AA798" s="223">
        <f>LARGE(tabConsumo[[#This Row],[10_22]:[09_23]],1)</f>
        <v>245</v>
      </c>
      <c r="AB798" s="146" t="s">
        <v>2238</v>
      </c>
      <c r="AC798" s="3" t="s">
        <v>2086</v>
      </c>
    </row>
    <row r="799" spans="1:29" x14ac:dyDescent="0.3">
      <c r="A799" s="4" t="s">
        <v>1922</v>
      </c>
      <c r="B799" s="3" t="s">
        <v>31</v>
      </c>
      <c r="C799" s="2">
        <v>136082</v>
      </c>
      <c r="D799" s="2">
        <v>0</v>
      </c>
      <c r="E799" s="2">
        <v>290</v>
      </c>
      <c r="F799" s="2">
        <v>100</v>
      </c>
      <c r="G799" s="2">
        <v>14</v>
      </c>
      <c r="H799" s="2">
        <v>62</v>
      </c>
      <c r="I799" s="2">
        <v>67</v>
      </c>
      <c r="J799" s="2">
        <v>26</v>
      </c>
      <c r="K799" s="2">
        <v>0</v>
      </c>
      <c r="L799" s="2">
        <v>0</v>
      </c>
      <c r="M799" s="2">
        <v>0</v>
      </c>
      <c r="N799" s="2">
        <v>12</v>
      </c>
      <c r="O799" s="2">
        <v>0</v>
      </c>
      <c r="P799" s="2">
        <v>0</v>
      </c>
      <c r="Q799" s="2">
        <v>0</v>
      </c>
      <c r="R799" s="238">
        <v>43446</v>
      </c>
      <c r="S799" s="219">
        <v>12</v>
      </c>
      <c r="T799" s="220">
        <f>SUM( tabConsumo[[#This Row],[QTD.PENDENTE]]:tabConsumo[[#This Row],[09_23]] ) / tabConsumo[[#This Row],[Div]]</f>
        <v>47.583333333333336</v>
      </c>
      <c r="U799" s="221">
        <f xml:space="preserve"> tabConsumo[[#This Row],[Média.A]] + (_xlfn.STDEV.S( tabConsumo[[#This Row],[QTD.PENDENTE]]:tabConsumo[[#This Row],[09_23]] ) * 1)</f>
        <v>128.39634954819559</v>
      </c>
      <c r="V799" s="221">
        <f xml:space="preserve"> tabConsumo[[#This Row],[Média.A]] + (_xlfn.STDEV.S( tabConsumo[[#This Row],[QTD.PENDENTE]]:tabConsumo[[#This Row],[09_23]] ) * 2)</f>
        <v>209.20936576305786</v>
      </c>
      <c r="W799" s="221">
        <f xml:space="preserve"> tabConsumo[[#This Row],[Média.A]] + (_xlfn.STDEV.S( tabConsumo[[#This Row],[QTD.PENDENTE]]:tabConsumo[[#This Row],[09_23]] ) * 3)</f>
        <v>290.02238197792008</v>
      </c>
      <c r="X799" s="5">
        <f t="shared" si="28"/>
        <v>2</v>
      </c>
      <c r="Y799">
        <v>47.583333333333336</v>
      </c>
      <c r="Z799" s="223">
        <f>SUM( tabConsumo[[#This Row],[QTD.PENDENTE]]:tabConsumo[[#This Row],[09_23]] )</f>
        <v>571</v>
      </c>
      <c r="AA799" s="223">
        <f>LARGE(tabConsumo[[#This Row],[10_22]:[09_23]],1)</f>
        <v>100</v>
      </c>
      <c r="AB799" s="146" t="s">
        <v>2246</v>
      </c>
      <c r="AC799" s="3" t="s">
        <v>2086</v>
      </c>
    </row>
    <row r="800" spans="1:29" x14ac:dyDescent="0.3">
      <c r="A800" s="4" t="s">
        <v>1923</v>
      </c>
      <c r="B800" s="3" t="s">
        <v>31</v>
      </c>
      <c r="C800" s="2">
        <v>136083</v>
      </c>
      <c r="D800" s="2">
        <v>436</v>
      </c>
      <c r="F800" s="2">
        <v>0</v>
      </c>
      <c r="G800" s="2">
        <v>4</v>
      </c>
      <c r="H800" s="2">
        <v>0</v>
      </c>
      <c r="I800" s="2">
        <v>20</v>
      </c>
      <c r="J800" s="2">
        <v>20</v>
      </c>
      <c r="K800" s="2">
        <v>4</v>
      </c>
      <c r="L800" s="2">
        <v>0</v>
      </c>
      <c r="M800" s="2">
        <v>0</v>
      </c>
      <c r="N800" s="2">
        <v>62</v>
      </c>
      <c r="O800" s="2">
        <v>0</v>
      </c>
      <c r="P800" s="2">
        <v>0</v>
      </c>
      <c r="Q800" s="2">
        <v>0</v>
      </c>
      <c r="R800" s="238">
        <v>43446</v>
      </c>
      <c r="S800" s="219">
        <v>12</v>
      </c>
      <c r="T800" s="220">
        <f>SUM( tabConsumo[[#This Row],[QTD.PENDENTE]]:tabConsumo[[#This Row],[09_23]] ) / tabConsumo[[#This Row],[Div]]</f>
        <v>9.1666666666666661</v>
      </c>
      <c r="U800" s="221">
        <f xml:space="preserve"> tabConsumo[[#This Row],[Média.A]] + (_xlfn.STDEV.S( tabConsumo[[#This Row],[QTD.PENDENTE]]:tabConsumo[[#This Row],[09_23]] ) * 1)</f>
        <v>27.426574728435277</v>
      </c>
      <c r="V800" s="221">
        <f xml:space="preserve"> tabConsumo[[#This Row],[Média.A]] + (_xlfn.STDEV.S( tabConsumo[[#This Row],[QTD.PENDENTE]]:tabConsumo[[#This Row],[09_23]] ) * 2)</f>
        <v>45.68648279020389</v>
      </c>
      <c r="W800" s="221">
        <f xml:space="preserve"> tabConsumo[[#This Row],[Média.A]] + (_xlfn.STDEV.S( tabConsumo[[#This Row],[QTD.PENDENTE]]:tabConsumo[[#This Row],[09_23]] ) * 3)</f>
        <v>63.946390851972502</v>
      </c>
      <c r="X800" s="5">
        <f t="shared" si="28"/>
        <v>2</v>
      </c>
      <c r="Y800">
        <v>7.75</v>
      </c>
      <c r="Z800" s="223">
        <f>SUM( tabConsumo[[#This Row],[QTD.PENDENTE]]:tabConsumo[[#This Row],[09_23]] )</f>
        <v>110</v>
      </c>
      <c r="AA800" s="223">
        <f>LARGE(tabConsumo[[#This Row],[10_22]:[09_23]],1)</f>
        <v>62</v>
      </c>
      <c r="AB800" s="146" t="s">
        <v>2246</v>
      </c>
      <c r="AC800" s="3" t="s">
        <v>2086</v>
      </c>
    </row>
    <row r="801" spans="1:29" x14ac:dyDescent="0.3">
      <c r="A801" s="4" t="s">
        <v>741</v>
      </c>
      <c r="B801" s="3" t="s">
        <v>263</v>
      </c>
      <c r="C801" s="2">
        <v>119087</v>
      </c>
      <c r="D801" s="2">
        <v>255</v>
      </c>
      <c r="F801" s="2">
        <v>0</v>
      </c>
      <c r="G801" s="2">
        <v>0</v>
      </c>
      <c r="H801" s="2">
        <v>0</v>
      </c>
      <c r="I801" s="2">
        <v>0</v>
      </c>
      <c r="J801" s="2">
        <v>0</v>
      </c>
      <c r="K801" s="2">
        <v>0</v>
      </c>
      <c r="L801" s="2">
        <v>0</v>
      </c>
      <c r="M801" s="2">
        <v>30</v>
      </c>
      <c r="N801" s="2">
        <v>0</v>
      </c>
      <c r="O801" s="2">
        <v>0</v>
      </c>
      <c r="P801" s="2">
        <v>0</v>
      </c>
      <c r="Q801" s="2">
        <v>0</v>
      </c>
      <c r="R801" s="238">
        <v>40575</v>
      </c>
      <c r="S801" s="219">
        <v>12</v>
      </c>
      <c r="T801" s="220">
        <f>SUM( tabConsumo[[#This Row],[QTD.PENDENTE]]:tabConsumo[[#This Row],[09_23]] ) / tabConsumo[[#This Row],[Div]]</f>
        <v>2.5</v>
      </c>
      <c r="U801" s="221">
        <f xml:space="preserve"> tabConsumo[[#This Row],[Média.A]] + (_xlfn.STDEV.S( tabConsumo[[#This Row],[QTD.PENDENTE]]:tabConsumo[[#This Row],[09_23]] ) * 1)</f>
        <v>11.160254037844387</v>
      </c>
      <c r="V801" s="221">
        <f xml:space="preserve"> tabConsumo[[#This Row],[Média.A]] + (_xlfn.STDEV.S( tabConsumo[[#This Row],[QTD.PENDENTE]]:tabConsumo[[#This Row],[09_23]] ) * 2)</f>
        <v>19.820508075688775</v>
      </c>
      <c r="W801" s="221">
        <f xml:space="preserve"> tabConsumo[[#This Row],[Média.A]] + (_xlfn.STDEV.S( tabConsumo[[#This Row],[QTD.PENDENTE]]:tabConsumo[[#This Row],[09_23]] ) * 3)</f>
        <v>28.48076211353316</v>
      </c>
      <c r="X801" s="5">
        <f t="shared" si="28"/>
        <v>2</v>
      </c>
      <c r="Y801">
        <v>1.5833333333333333</v>
      </c>
      <c r="Z801" s="223">
        <f>SUM( tabConsumo[[#This Row],[QTD.PENDENTE]]:tabConsumo[[#This Row],[09_23]] )</f>
        <v>30</v>
      </c>
      <c r="AA801" s="223">
        <f>LARGE(tabConsumo[[#This Row],[10_22]:[09_23]],1)</f>
        <v>30</v>
      </c>
      <c r="AB801" s="146" t="s">
        <v>2244</v>
      </c>
      <c r="AC801" s="3" t="s">
        <v>2086</v>
      </c>
    </row>
    <row r="802" spans="1:29" x14ac:dyDescent="0.3">
      <c r="A802" s="4" t="s">
        <v>1726</v>
      </c>
      <c r="B802" s="3" t="s">
        <v>31</v>
      </c>
      <c r="C802" s="2">
        <v>116874</v>
      </c>
      <c r="D802" s="2">
        <v>203</v>
      </c>
      <c r="F802" s="2">
        <v>87</v>
      </c>
      <c r="G802" s="2">
        <v>80</v>
      </c>
      <c r="H802" s="2">
        <v>95</v>
      </c>
      <c r="I802" s="2">
        <v>373</v>
      </c>
      <c r="J802" s="2">
        <v>128</v>
      </c>
      <c r="K802" s="2">
        <v>98</v>
      </c>
      <c r="L802" s="2">
        <v>140</v>
      </c>
      <c r="M802" s="2">
        <v>100</v>
      </c>
      <c r="N802" s="2">
        <v>170</v>
      </c>
      <c r="O802" s="2">
        <v>300</v>
      </c>
      <c r="P802" s="2">
        <v>90</v>
      </c>
      <c r="Q802" s="2">
        <v>90</v>
      </c>
      <c r="R802" s="238">
        <v>40406</v>
      </c>
      <c r="S802" s="219">
        <v>12</v>
      </c>
      <c r="T802" s="220">
        <f>SUM( tabConsumo[[#This Row],[QTD.PENDENTE]]:tabConsumo[[#This Row],[09_23]] ) / tabConsumo[[#This Row],[Div]]</f>
        <v>145.91666666666666</v>
      </c>
      <c r="U802" s="221">
        <f xml:space="preserve"> tabConsumo[[#This Row],[Média.A]] + (_xlfn.STDEV.S( tabConsumo[[#This Row],[QTD.PENDENTE]]:tabConsumo[[#This Row],[09_23]] ) * 1)</f>
        <v>239.9722192390532</v>
      </c>
      <c r="V802" s="221">
        <f xml:space="preserve"> tabConsumo[[#This Row],[Média.A]] + (_xlfn.STDEV.S( tabConsumo[[#This Row],[QTD.PENDENTE]]:tabConsumo[[#This Row],[09_23]] ) * 2)</f>
        <v>334.02777181143972</v>
      </c>
      <c r="W802" s="221">
        <f xml:space="preserve"> tabConsumo[[#This Row],[Média.A]] + (_xlfn.STDEV.S( tabConsumo[[#This Row],[QTD.PENDENTE]]:tabConsumo[[#This Row],[09_23]] ) * 3)</f>
        <v>428.08332438382627</v>
      </c>
      <c r="X802" s="5">
        <f t="shared" si="28"/>
        <v>2</v>
      </c>
      <c r="Y802">
        <v>142.66666666666666</v>
      </c>
      <c r="Z802" s="223">
        <f>SUM( tabConsumo[[#This Row],[QTD.PENDENTE]]:tabConsumo[[#This Row],[09_23]] )</f>
        <v>1751</v>
      </c>
      <c r="AA802" s="223">
        <f>LARGE(tabConsumo[[#This Row],[10_22]:[09_23]],1)</f>
        <v>373</v>
      </c>
      <c r="AB802" s="146" t="s">
        <v>2238</v>
      </c>
      <c r="AC802" s="3" t="s">
        <v>2086</v>
      </c>
    </row>
    <row r="803" spans="1:29" x14ac:dyDescent="0.3">
      <c r="A803" s="4" t="s">
        <v>1686</v>
      </c>
      <c r="B803" s="3" t="s">
        <v>31</v>
      </c>
      <c r="C803" s="2">
        <v>112154</v>
      </c>
      <c r="D803" s="2">
        <v>0</v>
      </c>
      <c r="E803" s="2">
        <v>27</v>
      </c>
      <c r="F803" s="2">
        <v>15</v>
      </c>
      <c r="G803" s="2">
        <v>20</v>
      </c>
      <c r="H803" s="2">
        <v>60</v>
      </c>
      <c r="I803" s="2">
        <v>80</v>
      </c>
      <c r="J803" s="2">
        <v>30</v>
      </c>
      <c r="K803" s="2">
        <v>30</v>
      </c>
      <c r="L803" s="2">
        <v>114</v>
      </c>
      <c r="M803" s="2">
        <v>0</v>
      </c>
      <c r="N803" s="2">
        <v>0</v>
      </c>
      <c r="O803" s="2">
        <v>0</v>
      </c>
      <c r="P803" s="2">
        <v>45</v>
      </c>
      <c r="Q803" s="2">
        <v>23</v>
      </c>
      <c r="R803" s="238">
        <v>40045</v>
      </c>
      <c r="S803" s="219">
        <v>12</v>
      </c>
      <c r="T803" s="220">
        <f>SUM( tabConsumo[[#This Row],[QTD.PENDENTE]]:tabConsumo[[#This Row],[09_23]] ) / tabConsumo[[#This Row],[Div]]</f>
        <v>37</v>
      </c>
      <c r="U803" s="221">
        <f xml:space="preserve"> tabConsumo[[#This Row],[Média.A]] + (_xlfn.STDEV.S( tabConsumo[[#This Row],[QTD.PENDENTE]]:tabConsumo[[#This Row],[09_23]] ) * 1)</f>
        <v>70.590291637729081</v>
      </c>
      <c r="V803" s="221">
        <f xml:space="preserve"> tabConsumo[[#This Row],[Média.A]] + (_xlfn.STDEV.S( tabConsumo[[#This Row],[QTD.PENDENTE]]:tabConsumo[[#This Row],[09_23]] ) * 2)</f>
        <v>104.18058327545816</v>
      </c>
      <c r="W803" s="221">
        <f xml:space="preserve"> tabConsumo[[#This Row],[Média.A]] + (_xlfn.STDEV.S( tabConsumo[[#This Row],[QTD.PENDENTE]]:tabConsumo[[#This Row],[09_23]] ) * 3)</f>
        <v>137.77087491318724</v>
      </c>
      <c r="X803" s="5">
        <f t="shared" si="28"/>
        <v>2</v>
      </c>
      <c r="Y803">
        <v>36.166666666666664</v>
      </c>
      <c r="Z803" s="223">
        <f>SUM( tabConsumo[[#This Row],[QTD.PENDENTE]]:tabConsumo[[#This Row],[09_23]] )</f>
        <v>444</v>
      </c>
      <c r="AA803" s="223">
        <f>LARGE(tabConsumo[[#This Row],[10_22]:[09_23]],1)</f>
        <v>114</v>
      </c>
      <c r="AB803" s="146" t="s">
        <v>2238</v>
      </c>
      <c r="AC803" s="3" t="s">
        <v>2086</v>
      </c>
    </row>
    <row r="804" spans="1:29" x14ac:dyDescent="0.3">
      <c r="A804" s="4" t="s">
        <v>1690</v>
      </c>
      <c r="B804" s="3" t="s">
        <v>31</v>
      </c>
      <c r="C804" s="2">
        <v>112157</v>
      </c>
      <c r="D804" s="2">
        <v>53</v>
      </c>
      <c r="F804" s="2">
        <v>0</v>
      </c>
      <c r="G804" s="2">
        <v>0</v>
      </c>
      <c r="H804" s="2">
        <v>0</v>
      </c>
      <c r="I804" s="2">
        <v>0</v>
      </c>
      <c r="J804" s="2">
        <v>0</v>
      </c>
      <c r="K804" s="2">
        <v>2</v>
      </c>
      <c r="L804" s="2">
        <v>0</v>
      </c>
      <c r="M804" s="2">
        <v>2</v>
      </c>
      <c r="N804" s="2">
        <v>20</v>
      </c>
      <c r="O804" s="2">
        <v>0</v>
      </c>
      <c r="P804" s="2">
        <v>40</v>
      </c>
      <c r="Q804" s="2">
        <v>0</v>
      </c>
      <c r="R804" s="238">
        <v>40045</v>
      </c>
      <c r="S804" s="219">
        <v>12</v>
      </c>
      <c r="T804" s="220">
        <f>SUM( tabConsumo[[#This Row],[QTD.PENDENTE]]:tabConsumo[[#This Row],[09_23]] ) / tabConsumo[[#This Row],[Div]]</f>
        <v>5.333333333333333</v>
      </c>
      <c r="U804" s="221">
        <f xml:space="preserve"> tabConsumo[[#This Row],[Média.A]] + (_xlfn.STDEV.S( tabConsumo[[#This Row],[QTD.PENDENTE]]:tabConsumo[[#This Row],[09_23]] ) * 1)</f>
        <v>17.642482431266608</v>
      </c>
      <c r="V804" s="221">
        <f xml:space="preserve"> tabConsumo[[#This Row],[Média.A]] + (_xlfn.STDEV.S( tabConsumo[[#This Row],[QTD.PENDENTE]]:tabConsumo[[#This Row],[09_23]] ) * 2)</f>
        <v>29.951631529199879</v>
      </c>
      <c r="W804" s="221">
        <f xml:space="preserve"> tabConsumo[[#This Row],[Média.A]] + (_xlfn.STDEV.S( tabConsumo[[#This Row],[QTD.PENDENTE]]:tabConsumo[[#This Row],[09_23]] ) * 3)</f>
        <v>42.260780627133158</v>
      </c>
      <c r="X804" s="5">
        <f t="shared" si="28"/>
        <v>2</v>
      </c>
      <c r="Y804">
        <v>4.416666666666667</v>
      </c>
      <c r="Z804" s="223">
        <f>SUM( tabConsumo[[#This Row],[QTD.PENDENTE]]:tabConsumo[[#This Row],[09_23]] )</f>
        <v>64</v>
      </c>
      <c r="AA804" s="223">
        <f>LARGE(tabConsumo[[#This Row],[10_22]:[09_23]],1)</f>
        <v>40</v>
      </c>
      <c r="AB804" s="146" t="s">
        <v>2241</v>
      </c>
      <c r="AC804" s="3" t="s">
        <v>2086</v>
      </c>
    </row>
    <row r="805" spans="1:29" x14ac:dyDescent="0.3">
      <c r="A805" s="4" t="s">
        <v>1905</v>
      </c>
      <c r="B805" s="3" t="s">
        <v>263</v>
      </c>
      <c r="C805" s="2">
        <v>134581</v>
      </c>
      <c r="D805" s="2">
        <v>10</v>
      </c>
      <c r="E805" s="2">
        <v>21</v>
      </c>
      <c r="F805" s="2">
        <v>7</v>
      </c>
      <c r="G805" s="2">
        <v>1</v>
      </c>
      <c r="H805" s="2">
        <v>4</v>
      </c>
      <c r="I805" s="2">
        <v>2</v>
      </c>
      <c r="J805" s="2">
        <v>4</v>
      </c>
      <c r="K805" s="2">
        <v>12</v>
      </c>
      <c r="L805" s="2">
        <v>22</v>
      </c>
      <c r="M805" s="2">
        <v>0</v>
      </c>
      <c r="N805" s="2">
        <v>0</v>
      </c>
      <c r="O805" s="2">
        <v>0</v>
      </c>
      <c r="P805" s="2">
        <v>0</v>
      </c>
      <c r="Q805" s="2">
        <v>10</v>
      </c>
      <c r="R805" s="238">
        <v>43174</v>
      </c>
      <c r="S805" s="219">
        <v>12</v>
      </c>
      <c r="T805" s="220">
        <f>SUM( tabConsumo[[#This Row],[QTD.PENDENTE]]:tabConsumo[[#This Row],[09_23]] ) / tabConsumo[[#This Row],[Div]]</f>
        <v>6.916666666666667</v>
      </c>
      <c r="U805" s="221">
        <f xml:space="preserve"> tabConsumo[[#This Row],[Média.A]] + (_xlfn.STDEV.S( tabConsumo[[#This Row],[QTD.PENDENTE]]:tabConsumo[[#This Row],[09_23]] ) * 1)</f>
        <v>14.689894884278505</v>
      </c>
      <c r="V805" s="221">
        <f xml:space="preserve"> tabConsumo[[#This Row],[Média.A]] + (_xlfn.STDEV.S( tabConsumo[[#This Row],[QTD.PENDENTE]]:tabConsumo[[#This Row],[09_23]] ) * 2)</f>
        <v>22.463123101890346</v>
      </c>
      <c r="W805" s="221">
        <f xml:space="preserve"> tabConsumo[[#This Row],[Média.A]] + (_xlfn.STDEV.S( tabConsumo[[#This Row],[QTD.PENDENTE]]:tabConsumo[[#This Row],[09_23]] ) * 3)</f>
        <v>30.236351319502187</v>
      </c>
      <c r="X805" s="5">
        <f t="shared" si="28"/>
        <v>2</v>
      </c>
      <c r="Y805">
        <v>6.916666666666667</v>
      </c>
      <c r="Z805" s="223">
        <f>SUM( tabConsumo[[#This Row],[QTD.PENDENTE]]:tabConsumo[[#This Row],[09_23]] )</f>
        <v>83</v>
      </c>
      <c r="AA805" s="223">
        <f>LARGE(tabConsumo[[#This Row],[10_22]:[09_23]],1)</f>
        <v>22</v>
      </c>
      <c r="AB805" s="146" t="s">
        <v>2238</v>
      </c>
      <c r="AC805" s="3" t="s">
        <v>2086</v>
      </c>
    </row>
    <row r="806" spans="1:29" x14ac:dyDescent="0.3">
      <c r="A806" s="4" t="s">
        <v>1906</v>
      </c>
      <c r="B806" s="3" t="s">
        <v>263</v>
      </c>
      <c r="C806" s="2">
        <v>134582</v>
      </c>
      <c r="D806" s="2">
        <v>57</v>
      </c>
      <c r="F806" s="2">
        <v>7</v>
      </c>
      <c r="G806" s="2">
        <v>3</v>
      </c>
      <c r="H806" s="2">
        <v>4</v>
      </c>
      <c r="I806" s="2">
        <v>9</v>
      </c>
      <c r="J806" s="2">
        <v>9</v>
      </c>
      <c r="K806" s="2">
        <v>7</v>
      </c>
      <c r="L806" s="2">
        <v>21</v>
      </c>
      <c r="M806" s="2">
        <v>0</v>
      </c>
      <c r="N806" s="2">
        <v>10</v>
      </c>
      <c r="O806" s="2">
        <v>6</v>
      </c>
      <c r="P806" s="2">
        <v>10</v>
      </c>
      <c r="Q806" s="2">
        <v>10</v>
      </c>
      <c r="R806" s="238">
        <v>43174</v>
      </c>
      <c r="S806" s="219">
        <v>12</v>
      </c>
      <c r="T806" s="220">
        <f>SUM( tabConsumo[[#This Row],[QTD.PENDENTE]]:tabConsumo[[#This Row],[09_23]] ) / tabConsumo[[#This Row],[Div]]</f>
        <v>8</v>
      </c>
      <c r="U806" s="221">
        <f xml:space="preserve"> tabConsumo[[#This Row],[Média.A]] + (_xlfn.STDEV.S( tabConsumo[[#This Row],[QTD.PENDENTE]]:tabConsumo[[#This Row],[09_23]] ) * 1)</f>
        <v>13.169842621131973</v>
      </c>
      <c r="V806" s="221">
        <f xml:space="preserve"> tabConsumo[[#This Row],[Média.A]] + (_xlfn.STDEV.S( tabConsumo[[#This Row],[QTD.PENDENTE]]:tabConsumo[[#This Row],[09_23]] ) * 2)</f>
        <v>18.339685242263947</v>
      </c>
      <c r="W806" s="221">
        <f xml:space="preserve"> tabConsumo[[#This Row],[Média.A]] + (_xlfn.STDEV.S( tabConsumo[[#This Row],[QTD.PENDENTE]]:tabConsumo[[#This Row],[09_23]] ) * 3)</f>
        <v>23.509527863395924</v>
      </c>
      <c r="X806" s="5">
        <f t="shared" si="28"/>
        <v>2</v>
      </c>
      <c r="Y806">
        <v>7.75</v>
      </c>
      <c r="Z806" s="223">
        <f>SUM( tabConsumo[[#This Row],[QTD.PENDENTE]]:tabConsumo[[#This Row],[09_23]] )</f>
        <v>96</v>
      </c>
      <c r="AA806" s="223">
        <f>LARGE(tabConsumo[[#This Row],[10_22]:[09_23]],1)</f>
        <v>21</v>
      </c>
      <c r="AB806" s="146" t="s">
        <v>2238</v>
      </c>
      <c r="AC806" s="3" t="s">
        <v>2086</v>
      </c>
    </row>
    <row r="807" spans="1:29" x14ac:dyDescent="0.3">
      <c r="A807" s="4" t="s">
        <v>1918</v>
      </c>
      <c r="B807" s="3" t="s">
        <v>263</v>
      </c>
      <c r="C807" s="2">
        <v>135414</v>
      </c>
      <c r="D807" s="2">
        <v>432</v>
      </c>
      <c r="E807" s="2">
        <v>71</v>
      </c>
      <c r="F807" s="2">
        <v>32</v>
      </c>
      <c r="G807" s="2">
        <v>17</v>
      </c>
      <c r="H807" s="2">
        <v>0</v>
      </c>
      <c r="I807" s="2">
        <v>0</v>
      </c>
      <c r="J807" s="2">
        <v>0</v>
      </c>
      <c r="K807" s="2">
        <v>0</v>
      </c>
      <c r="L807" s="2">
        <v>0</v>
      </c>
      <c r="M807" s="2">
        <v>25</v>
      </c>
      <c r="N807" s="2">
        <v>53</v>
      </c>
      <c r="O807" s="2">
        <v>0</v>
      </c>
      <c r="P807" s="2">
        <v>30</v>
      </c>
      <c r="Q807" s="2">
        <v>30</v>
      </c>
      <c r="R807" s="238">
        <v>43294</v>
      </c>
      <c r="S807" s="219">
        <v>12</v>
      </c>
      <c r="T807" s="220">
        <f>SUM( tabConsumo[[#This Row],[QTD.PENDENTE]]:tabConsumo[[#This Row],[09_23]] ) / tabConsumo[[#This Row],[Div]]</f>
        <v>21.5</v>
      </c>
      <c r="U807" s="221">
        <f xml:space="preserve"> tabConsumo[[#This Row],[Média.A]] + (_xlfn.STDEV.S( tabConsumo[[#This Row],[QTD.PENDENTE]]:tabConsumo[[#This Row],[09_23]] ) * 1)</f>
        <v>44.715821307340363</v>
      </c>
      <c r="V807" s="221">
        <f xml:space="preserve"> tabConsumo[[#This Row],[Média.A]] + (_xlfn.STDEV.S( tabConsumo[[#This Row],[QTD.PENDENTE]]:tabConsumo[[#This Row],[09_23]] ) * 2)</f>
        <v>67.931642614680726</v>
      </c>
      <c r="W807" s="221">
        <f xml:space="preserve"> tabConsumo[[#This Row],[Média.A]] + (_xlfn.STDEV.S( tabConsumo[[#This Row],[QTD.PENDENTE]]:tabConsumo[[#This Row],[09_23]] ) * 3)</f>
        <v>91.147463922021103</v>
      </c>
      <c r="X807" s="5">
        <f t="shared" si="28"/>
        <v>2</v>
      </c>
      <c r="Y807">
        <v>21.5</v>
      </c>
      <c r="Z807" s="223">
        <f>SUM( tabConsumo[[#This Row],[QTD.PENDENTE]]:tabConsumo[[#This Row],[09_23]] )</f>
        <v>258</v>
      </c>
      <c r="AA807" s="223">
        <f>LARGE(tabConsumo[[#This Row],[10_22]:[09_23]],1)</f>
        <v>53</v>
      </c>
      <c r="AB807" s="146" t="s">
        <v>2238</v>
      </c>
      <c r="AC807" s="3" t="s">
        <v>2086</v>
      </c>
    </row>
    <row r="808" spans="1:29" x14ac:dyDescent="0.3">
      <c r="A808" s="4" t="s">
        <v>1014</v>
      </c>
      <c r="B808" s="3" t="s">
        <v>263</v>
      </c>
      <c r="C808" s="2">
        <v>13161</v>
      </c>
      <c r="D808" s="2">
        <v>0</v>
      </c>
      <c r="F808" s="2">
        <v>11</v>
      </c>
      <c r="G808" s="2">
        <v>4</v>
      </c>
      <c r="H808" s="2">
        <v>10</v>
      </c>
      <c r="I808" s="2">
        <v>18</v>
      </c>
      <c r="J808" s="2">
        <v>41</v>
      </c>
      <c r="K808" s="2">
        <v>46</v>
      </c>
      <c r="L808" s="2">
        <v>47</v>
      </c>
      <c r="M808" s="2">
        <v>30</v>
      </c>
      <c r="N808" s="2">
        <v>30</v>
      </c>
      <c r="O808" s="2">
        <v>0</v>
      </c>
      <c r="P808" s="2">
        <v>32</v>
      </c>
      <c r="Q808" s="2">
        <v>124</v>
      </c>
      <c r="R808" s="238">
        <v>367</v>
      </c>
      <c r="S808" s="219">
        <f xml:space="preserve"> 12</f>
        <v>12</v>
      </c>
      <c r="T808" s="220">
        <f>SUM( tabConsumo[[#This Row],[QTD.PENDENTE]]:tabConsumo[[#This Row],[09_23]] ) / tabConsumo[[#This Row],[Div]]</f>
        <v>32.75</v>
      </c>
      <c r="U808" s="221">
        <f xml:space="preserve"> tabConsumo[[#This Row],[Média.A]] + (_xlfn.STDEV.S( tabConsumo[[#This Row],[QTD.PENDENTE]]:tabConsumo[[#This Row],[09_23]] ) * 1)</f>
        <v>65.63582175843068</v>
      </c>
      <c r="V808" s="221">
        <f xml:space="preserve"> tabConsumo[[#This Row],[Média.A]] + (_xlfn.STDEV.S( tabConsumo[[#This Row],[QTD.PENDENTE]]:tabConsumo[[#This Row],[09_23]] ) * 2)</f>
        <v>98.52164351686136</v>
      </c>
      <c r="W808" s="221">
        <f xml:space="preserve"> tabConsumo[[#This Row],[Média.A]] + (_xlfn.STDEV.S( tabConsumo[[#This Row],[QTD.PENDENTE]]:tabConsumo[[#This Row],[09_23]] ) * 3)</f>
        <v>131.40746527529205</v>
      </c>
      <c r="X808" s="5">
        <f t="shared" si="28"/>
        <v>2</v>
      </c>
      <c r="Y808">
        <v>30.583333333333332</v>
      </c>
      <c r="Z808" s="223">
        <f>SUM( tabConsumo[[#This Row],[QTD.PENDENTE]]:tabConsumo[[#This Row],[09_23]] )</f>
        <v>393</v>
      </c>
      <c r="AA808" s="223">
        <f>LARGE(tabConsumo[[#This Row],[10_22]:[09_23]],1)</f>
        <v>124</v>
      </c>
      <c r="AB808" s="146" t="s">
        <v>2238</v>
      </c>
      <c r="AC808" s="3" t="s">
        <v>2086</v>
      </c>
    </row>
    <row r="809" spans="1:29" x14ac:dyDescent="0.3">
      <c r="A809" s="4" t="s">
        <v>1016</v>
      </c>
      <c r="B809" s="3" t="s">
        <v>263</v>
      </c>
      <c r="C809" s="2">
        <v>13165</v>
      </c>
      <c r="D809" s="2">
        <v>45</v>
      </c>
      <c r="E809" s="2">
        <v>10</v>
      </c>
      <c r="F809" s="2">
        <v>29</v>
      </c>
      <c r="G809" s="2">
        <v>35</v>
      </c>
      <c r="H809" s="2">
        <v>20</v>
      </c>
      <c r="I809" s="2">
        <v>33</v>
      </c>
      <c r="J809" s="2">
        <v>40</v>
      </c>
      <c r="K809" s="2">
        <v>80</v>
      </c>
      <c r="L809" s="2">
        <v>65</v>
      </c>
      <c r="M809" s="2">
        <v>40</v>
      </c>
      <c r="N809" s="2">
        <v>50</v>
      </c>
      <c r="O809" s="2">
        <v>20</v>
      </c>
      <c r="P809" s="2">
        <v>105</v>
      </c>
      <c r="Q809" s="2">
        <v>72</v>
      </c>
      <c r="R809" s="238">
        <v>367</v>
      </c>
      <c r="S809" s="219">
        <f xml:space="preserve"> 12</f>
        <v>12</v>
      </c>
      <c r="T809" s="220">
        <f>SUM( tabConsumo[[#This Row],[QTD.PENDENTE]]:tabConsumo[[#This Row],[09_23]] ) / tabConsumo[[#This Row],[Div]]</f>
        <v>49.916666666666664</v>
      </c>
      <c r="U809" s="221">
        <f xml:space="preserve"> tabConsumo[[#This Row],[Média.A]] + (_xlfn.STDEV.S( tabConsumo[[#This Row],[QTD.PENDENTE]]:tabConsumo[[#This Row],[09_23]] ) * 1)</f>
        <v>77.285936351423018</v>
      </c>
      <c r="V809" s="221">
        <f xml:space="preserve"> tabConsumo[[#This Row],[Média.A]] + (_xlfn.STDEV.S( tabConsumo[[#This Row],[QTD.PENDENTE]]:tabConsumo[[#This Row],[09_23]] ) * 2)</f>
        <v>104.65520603617938</v>
      </c>
      <c r="W809" s="221">
        <f xml:space="preserve"> tabConsumo[[#This Row],[Média.A]] + (_xlfn.STDEV.S( tabConsumo[[#This Row],[QTD.PENDENTE]]:tabConsumo[[#This Row],[09_23]] ) * 3)</f>
        <v>132.02447572093573</v>
      </c>
      <c r="X809" s="5">
        <f t="shared" si="28"/>
        <v>2</v>
      </c>
      <c r="Y809">
        <v>49.833333333333336</v>
      </c>
      <c r="Z809" s="223">
        <f>SUM( tabConsumo[[#This Row],[QTD.PENDENTE]]:tabConsumo[[#This Row],[09_23]] )</f>
        <v>599</v>
      </c>
      <c r="AA809" s="223">
        <f>LARGE(tabConsumo[[#This Row],[10_22]:[09_23]],1)</f>
        <v>105</v>
      </c>
      <c r="AB809" s="146" t="s">
        <v>2238</v>
      </c>
      <c r="AC809" s="3" t="s">
        <v>2086</v>
      </c>
    </row>
    <row r="810" spans="1:29" x14ac:dyDescent="0.3">
      <c r="A810" s="4" t="s">
        <v>2038</v>
      </c>
      <c r="B810" s="3" t="s">
        <v>31</v>
      </c>
      <c r="C810" s="2">
        <v>141429</v>
      </c>
      <c r="D810" s="2">
        <v>607</v>
      </c>
      <c r="F810" s="2">
        <v>28</v>
      </c>
      <c r="G810" s="2">
        <v>23</v>
      </c>
      <c r="H810" s="2">
        <v>7</v>
      </c>
      <c r="I810" s="2">
        <v>33</v>
      </c>
      <c r="J810" s="2">
        <v>24</v>
      </c>
      <c r="K810" s="2">
        <v>25</v>
      </c>
      <c r="L810" s="2">
        <v>48</v>
      </c>
      <c r="M810" s="2">
        <v>25</v>
      </c>
      <c r="N810" s="2">
        <v>76</v>
      </c>
      <c r="O810" s="2">
        <v>0</v>
      </c>
      <c r="P810" s="2">
        <v>70</v>
      </c>
      <c r="Q810" s="2">
        <v>40</v>
      </c>
      <c r="R810" s="238">
        <v>44362</v>
      </c>
      <c r="S810" s="219">
        <v>12</v>
      </c>
      <c r="T810" s="220">
        <f>SUM( tabConsumo[[#This Row],[QTD.PENDENTE]]:tabConsumo[[#This Row],[09_23]] ) / tabConsumo[[#This Row],[Div]]</f>
        <v>33.25</v>
      </c>
      <c r="U810" s="221">
        <f xml:space="preserve"> tabConsumo[[#This Row],[Média.A]] + (_xlfn.STDEV.S( tabConsumo[[#This Row],[QTD.PENDENTE]]:tabConsumo[[#This Row],[09_23]] ) * 1)</f>
        <v>55.793392501008924</v>
      </c>
      <c r="V810" s="221">
        <f xml:space="preserve"> tabConsumo[[#This Row],[Média.A]] + (_xlfn.STDEV.S( tabConsumo[[#This Row],[QTD.PENDENTE]]:tabConsumo[[#This Row],[09_23]] ) * 2)</f>
        <v>78.336785002017848</v>
      </c>
      <c r="W810" s="221">
        <f xml:space="preserve"> tabConsumo[[#This Row],[Média.A]] + (_xlfn.STDEV.S( tabConsumo[[#This Row],[QTD.PENDENTE]]:tabConsumo[[#This Row],[09_23]] ) * 3)</f>
        <v>100.88017750302677</v>
      </c>
      <c r="X810" s="5">
        <f t="shared" si="28"/>
        <v>2</v>
      </c>
      <c r="Y810">
        <v>33.25</v>
      </c>
      <c r="Z810" s="223">
        <f>SUM( tabConsumo[[#This Row],[QTD.PENDENTE]]:tabConsumo[[#This Row],[09_23]] )</f>
        <v>399</v>
      </c>
      <c r="AA810" s="223">
        <f>LARGE(tabConsumo[[#This Row],[10_22]:[09_23]],1)</f>
        <v>76</v>
      </c>
      <c r="AB810" s="146" t="s">
        <v>2238</v>
      </c>
      <c r="AC810" s="3" t="s">
        <v>2086</v>
      </c>
    </row>
    <row r="811" spans="1:29" x14ac:dyDescent="0.3">
      <c r="A811" s="4" t="s">
        <v>1682</v>
      </c>
      <c r="B811" s="3" t="s">
        <v>263</v>
      </c>
      <c r="C811" s="2">
        <v>111524</v>
      </c>
      <c r="D811" s="2">
        <v>89</v>
      </c>
      <c r="F811" s="2">
        <v>14</v>
      </c>
      <c r="G811" s="2">
        <v>23</v>
      </c>
      <c r="H811" s="2">
        <v>22</v>
      </c>
      <c r="I811" s="2">
        <v>17</v>
      </c>
      <c r="J811" s="2">
        <v>25</v>
      </c>
      <c r="K811" s="2">
        <v>45</v>
      </c>
      <c r="L811" s="2">
        <v>32</v>
      </c>
      <c r="M811" s="2">
        <v>60</v>
      </c>
      <c r="N811" s="2">
        <v>0</v>
      </c>
      <c r="O811" s="2">
        <v>0</v>
      </c>
      <c r="P811" s="2">
        <v>80</v>
      </c>
      <c r="Q811" s="2">
        <v>88</v>
      </c>
      <c r="R811" s="238">
        <v>39988</v>
      </c>
      <c r="S811" s="219">
        <v>12</v>
      </c>
      <c r="T811" s="220">
        <f>SUM( tabConsumo[[#This Row],[QTD.PENDENTE]]:tabConsumo[[#This Row],[09_23]] ) / tabConsumo[[#This Row],[Div]]</f>
        <v>33.833333333333336</v>
      </c>
      <c r="U811" s="221">
        <f xml:space="preserve"> tabConsumo[[#This Row],[Média.A]] + (_xlfn.STDEV.S( tabConsumo[[#This Row],[QTD.PENDENTE]]:tabConsumo[[#This Row],[09_23]] ) * 1)</f>
        <v>62.721309231882401</v>
      </c>
      <c r="V811" s="221">
        <f xml:space="preserve"> tabConsumo[[#This Row],[Média.A]] + (_xlfn.STDEV.S( tabConsumo[[#This Row],[QTD.PENDENTE]]:tabConsumo[[#This Row],[09_23]] ) * 2)</f>
        <v>91.609285130431459</v>
      </c>
      <c r="W811" s="221">
        <f xml:space="preserve"> tabConsumo[[#This Row],[Média.A]] + (_xlfn.STDEV.S( tabConsumo[[#This Row],[QTD.PENDENTE]]:tabConsumo[[#This Row],[09_23]] ) * 3)</f>
        <v>120.49726102898052</v>
      </c>
      <c r="X811" s="5">
        <f t="shared" si="28"/>
        <v>2</v>
      </c>
      <c r="Y811">
        <v>33.833333333333336</v>
      </c>
      <c r="Z811" s="223">
        <f>SUM( tabConsumo[[#This Row],[QTD.PENDENTE]]:tabConsumo[[#This Row],[09_23]] )</f>
        <v>406</v>
      </c>
      <c r="AA811" s="223">
        <f>LARGE(tabConsumo[[#This Row],[10_22]:[09_23]],1)</f>
        <v>88</v>
      </c>
      <c r="AB811" s="146" t="s">
        <v>2238</v>
      </c>
      <c r="AC811" s="3" t="s">
        <v>2086</v>
      </c>
    </row>
    <row r="812" spans="1:29" x14ac:dyDescent="0.3">
      <c r="A812" s="4" t="s">
        <v>1216</v>
      </c>
      <c r="B812" s="3" t="s">
        <v>263</v>
      </c>
      <c r="C812" s="2">
        <v>27136</v>
      </c>
      <c r="D812" s="2">
        <v>34548</v>
      </c>
      <c r="E812" s="2">
        <v>33671</v>
      </c>
      <c r="F812" s="2">
        <v>26306</v>
      </c>
      <c r="G812" s="2">
        <v>0</v>
      </c>
      <c r="H812" s="2">
        <v>0</v>
      </c>
      <c r="I812" s="2">
        <v>32</v>
      </c>
      <c r="J812" s="2">
        <v>0</v>
      </c>
      <c r="K812" s="2">
        <v>0</v>
      </c>
      <c r="L812" s="2">
        <v>0</v>
      </c>
      <c r="M812" s="2">
        <v>0</v>
      </c>
      <c r="N812" s="2">
        <v>15000</v>
      </c>
      <c r="O812" s="2">
        <v>39614</v>
      </c>
      <c r="P812" s="2">
        <v>42501</v>
      </c>
      <c r="Q812" s="2">
        <v>4048</v>
      </c>
      <c r="R812" s="238">
        <v>367</v>
      </c>
      <c r="S812" s="219">
        <f xml:space="preserve"> 12</f>
        <v>12</v>
      </c>
      <c r="T812" s="220">
        <f>SUM( tabConsumo[[#This Row],[QTD.PENDENTE]]:tabConsumo[[#This Row],[09_23]] ) / tabConsumo[[#This Row],[Div]]</f>
        <v>13431</v>
      </c>
      <c r="U812" s="221">
        <f xml:space="preserve"> tabConsumo[[#This Row],[Média.A]] + (_xlfn.STDEV.S( tabConsumo[[#This Row],[QTD.PENDENTE]]:tabConsumo[[#This Row],[09_23]] ) * 1)</f>
        <v>30373.420974416818</v>
      </c>
      <c r="V812" s="221">
        <f xml:space="preserve"> tabConsumo[[#This Row],[Média.A]] + (_xlfn.STDEV.S( tabConsumo[[#This Row],[QTD.PENDENTE]]:tabConsumo[[#This Row],[09_23]] ) * 2)</f>
        <v>47315.841948833637</v>
      </c>
      <c r="W812" s="221">
        <f xml:space="preserve"> tabConsumo[[#This Row],[Média.A]] + (_xlfn.STDEV.S( tabConsumo[[#This Row],[QTD.PENDENTE]]:tabConsumo[[#This Row],[09_23]] ) * 3)</f>
        <v>64258.262923250455</v>
      </c>
      <c r="X812" s="5">
        <f t="shared" si="28"/>
        <v>2</v>
      </c>
      <c r="Y812">
        <v>13431</v>
      </c>
      <c r="Z812" s="223">
        <f>SUM( tabConsumo[[#This Row],[QTD.PENDENTE]]:tabConsumo[[#This Row],[09_23]] )</f>
        <v>161172</v>
      </c>
      <c r="AA812" s="223">
        <f>LARGE(tabConsumo[[#This Row],[10_22]:[09_23]],1)</f>
        <v>42501</v>
      </c>
      <c r="AB812" s="146" t="s">
        <v>2238</v>
      </c>
      <c r="AC812" s="3" t="s">
        <v>2086</v>
      </c>
    </row>
    <row r="813" spans="1:29" x14ac:dyDescent="0.3">
      <c r="A813" s="4" t="s">
        <v>1861</v>
      </c>
      <c r="B813" s="3" t="s">
        <v>31</v>
      </c>
      <c r="C813" s="2">
        <v>133791</v>
      </c>
      <c r="D813" s="2">
        <v>1529</v>
      </c>
      <c r="F813" s="2">
        <v>17</v>
      </c>
      <c r="G813" s="2">
        <v>34</v>
      </c>
      <c r="H813" s="2">
        <v>59</v>
      </c>
      <c r="I813" s="2">
        <v>12</v>
      </c>
      <c r="J813" s="2">
        <v>35</v>
      </c>
      <c r="K813" s="2">
        <v>162</v>
      </c>
      <c r="L813" s="2">
        <v>135</v>
      </c>
      <c r="M813" s="2">
        <v>75</v>
      </c>
      <c r="N813" s="2">
        <v>69</v>
      </c>
      <c r="O813" s="2">
        <v>50</v>
      </c>
      <c r="P813" s="2">
        <v>35</v>
      </c>
      <c r="Q813" s="2">
        <v>50</v>
      </c>
      <c r="R813" s="238">
        <v>43038</v>
      </c>
      <c r="S813" s="219">
        <v>12</v>
      </c>
      <c r="T813" s="220">
        <f>SUM( tabConsumo[[#This Row],[QTD.PENDENTE]]:tabConsumo[[#This Row],[09_23]] ) / tabConsumo[[#This Row],[Div]]</f>
        <v>61.083333333333336</v>
      </c>
      <c r="U813" s="221">
        <f xml:space="preserve"> tabConsumo[[#This Row],[Média.A]] + (_xlfn.STDEV.S( tabConsumo[[#This Row],[QTD.PENDENTE]]:tabConsumo[[#This Row],[09_23]] ) * 1)</f>
        <v>106.41134661296857</v>
      </c>
      <c r="V813" s="221">
        <f xml:space="preserve"> tabConsumo[[#This Row],[Média.A]] + (_xlfn.STDEV.S( tabConsumo[[#This Row],[QTD.PENDENTE]]:tabConsumo[[#This Row],[09_23]] ) * 2)</f>
        <v>151.7393598926038</v>
      </c>
      <c r="W813" s="221">
        <f xml:space="preserve"> tabConsumo[[#This Row],[Média.A]] + (_xlfn.STDEV.S( tabConsumo[[#This Row],[QTD.PENDENTE]]:tabConsumo[[#This Row],[09_23]] ) * 3)</f>
        <v>197.06737317223903</v>
      </c>
      <c r="X813" s="5">
        <f t="shared" si="28"/>
        <v>2</v>
      </c>
      <c r="Y813">
        <v>60.166666666666664</v>
      </c>
      <c r="Z813" s="223">
        <f>SUM( tabConsumo[[#This Row],[QTD.PENDENTE]]:tabConsumo[[#This Row],[09_23]] )</f>
        <v>733</v>
      </c>
      <c r="AA813" s="223">
        <f>LARGE(tabConsumo[[#This Row],[10_22]:[09_23]],1)</f>
        <v>162</v>
      </c>
      <c r="AB813" s="146" t="s">
        <v>2238</v>
      </c>
      <c r="AC813" s="3" t="s">
        <v>2086</v>
      </c>
    </row>
    <row r="814" spans="1:29" x14ac:dyDescent="0.3">
      <c r="A814" s="4" t="s">
        <v>1230</v>
      </c>
      <c r="B814" s="3" t="s">
        <v>263</v>
      </c>
      <c r="C814" s="2">
        <v>28093</v>
      </c>
      <c r="D814" s="2">
        <v>178</v>
      </c>
      <c r="F814" s="2">
        <v>3</v>
      </c>
      <c r="G814" s="2">
        <v>0</v>
      </c>
      <c r="H814" s="2">
        <v>0</v>
      </c>
      <c r="I814" s="2">
        <v>0</v>
      </c>
      <c r="J814" s="2">
        <v>0</v>
      </c>
      <c r="K814" s="2">
        <v>0</v>
      </c>
      <c r="L814" s="2">
        <v>0</v>
      </c>
      <c r="M814" s="2">
        <v>0</v>
      </c>
      <c r="N814" s="2">
        <v>0</v>
      </c>
      <c r="O814" s="2">
        <v>0</v>
      </c>
      <c r="P814" s="2">
        <v>0</v>
      </c>
      <c r="Q814" s="2">
        <v>0</v>
      </c>
      <c r="R814" s="238">
        <v>367</v>
      </c>
      <c r="S814" s="219">
        <f xml:space="preserve"> 12</f>
        <v>12</v>
      </c>
      <c r="T814" s="220">
        <f>SUM( tabConsumo[[#This Row],[QTD.PENDENTE]]:tabConsumo[[#This Row],[09_23]] ) / tabConsumo[[#This Row],[Div]]</f>
        <v>0.25</v>
      </c>
      <c r="U814" s="221">
        <f xml:space="preserve"> tabConsumo[[#This Row],[Média.A]] + (_xlfn.STDEV.S( tabConsumo[[#This Row],[QTD.PENDENTE]]:tabConsumo[[#This Row],[09_23]] ) * 1)</f>
        <v>1.1160254037844386</v>
      </c>
      <c r="V814" s="221">
        <f xml:space="preserve"> tabConsumo[[#This Row],[Média.A]] + (_xlfn.STDEV.S( tabConsumo[[#This Row],[QTD.PENDENTE]]:tabConsumo[[#This Row],[09_23]] ) * 2)</f>
        <v>1.9820508075688772</v>
      </c>
      <c r="W814" s="221">
        <f xml:space="preserve"> tabConsumo[[#This Row],[Média.A]] + (_xlfn.STDEV.S( tabConsumo[[#This Row],[QTD.PENDENTE]]:tabConsumo[[#This Row],[09_23]] ) * 3)</f>
        <v>2.848076211353316</v>
      </c>
      <c r="X814" s="5">
        <f t="shared" si="28"/>
        <v>2</v>
      </c>
      <c r="Y814">
        <v>8.3333333333333329E-2</v>
      </c>
      <c r="Z814" s="223">
        <f>SUM( tabConsumo[[#This Row],[QTD.PENDENTE]]:tabConsumo[[#This Row],[09_23]] )</f>
        <v>3</v>
      </c>
      <c r="AA814" s="223">
        <f>LARGE(tabConsumo[[#This Row],[10_22]:[09_23]],1)</f>
        <v>3</v>
      </c>
      <c r="AB814" s="146" t="s">
        <v>2242</v>
      </c>
      <c r="AC814" s="3" t="s">
        <v>2086</v>
      </c>
    </row>
    <row r="815" spans="1:29" x14ac:dyDescent="0.3">
      <c r="A815" s="4" t="s">
        <v>1596</v>
      </c>
      <c r="B815" s="3" t="s">
        <v>263</v>
      </c>
      <c r="C815" s="2">
        <v>102822</v>
      </c>
      <c r="D815" s="2">
        <v>60</v>
      </c>
      <c r="F815" s="2">
        <v>1</v>
      </c>
      <c r="G815" s="2">
        <v>0</v>
      </c>
      <c r="H815" s="2">
        <v>3</v>
      </c>
      <c r="I815" s="2">
        <v>2</v>
      </c>
      <c r="J815" s="2">
        <v>1</v>
      </c>
      <c r="K815" s="2">
        <v>0</v>
      </c>
      <c r="L815" s="2">
        <v>0</v>
      </c>
      <c r="M815" s="2">
        <v>0</v>
      </c>
      <c r="N815" s="2">
        <v>0</v>
      </c>
      <c r="O815" s="2">
        <v>0</v>
      </c>
      <c r="P815" s="2">
        <v>0</v>
      </c>
      <c r="Q815" s="2">
        <v>0</v>
      </c>
      <c r="R815" s="238">
        <v>39374</v>
      </c>
      <c r="S815" s="219">
        <v>12</v>
      </c>
      <c r="T815" s="220">
        <f>SUM( tabConsumo[[#This Row],[QTD.PENDENTE]]:tabConsumo[[#This Row],[09_23]] ) / tabConsumo[[#This Row],[Div]]</f>
        <v>0.58333333333333337</v>
      </c>
      <c r="U815" s="221">
        <f xml:space="preserve"> tabConsumo[[#This Row],[Média.A]] + (_xlfn.STDEV.S( tabConsumo[[#This Row],[QTD.PENDENTE]]:tabConsumo[[#This Row],[09_23]] ) * 1)</f>
        <v>1.5795382532289555</v>
      </c>
      <c r="V815" s="221">
        <f xml:space="preserve"> tabConsumo[[#This Row],[Média.A]] + (_xlfn.STDEV.S( tabConsumo[[#This Row],[QTD.PENDENTE]]:tabConsumo[[#This Row],[09_23]] ) * 2)</f>
        <v>2.5757431731245775</v>
      </c>
      <c r="W815" s="221">
        <f xml:space="preserve"> tabConsumo[[#This Row],[Média.A]] + (_xlfn.STDEV.S( tabConsumo[[#This Row],[QTD.PENDENTE]]:tabConsumo[[#This Row],[09_23]] ) * 3)</f>
        <v>3.5719480930201994</v>
      </c>
      <c r="X815" s="5">
        <f t="shared" si="28"/>
        <v>2</v>
      </c>
      <c r="Y815">
        <v>0.5</v>
      </c>
      <c r="Z815" s="223">
        <f>SUM( tabConsumo[[#This Row],[QTD.PENDENTE]]:tabConsumo[[#This Row],[09_23]] )</f>
        <v>7</v>
      </c>
      <c r="AA815" s="223">
        <f>LARGE(tabConsumo[[#This Row],[10_22]:[09_23]],1)</f>
        <v>3</v>
      </c>
      <c r="AB815" s="146" t="s">
        <v>2248</v>
      </c>
      <c r="AC815" s="3" t="s">
        <v>2086</v>
      </c>
    </row>
    <row r="816" spans="1:29" x14ac:dyDescent="0.3">
      <c r="A816" s="4" t="s">
        <v>972</v>
      </c>
      <c r="B816" s="3" t="s">
        <v>263</v>
      </c>
      <c r="C816" s="2">
        <v>12856</v>
      </c>
      <c r="D816" s="2">
        <v>5332</v>
      </c>
      <c r="F816" s="2">
        <v>153</v>
      </c>
      <c r="G816" s="2">
        <v>146</v>
      </c>
      <c r="H816" s="2">
        <v>119</v>
      </c>
      <c r="I816" s="2">
        <v>93</v>
      </c>
      <c r="J816" s="2">
        <v>145</v>
      </c>
      <c r="K816" s="2">
        <v>1716</v>
      </c>
      <c r="L816" s="2">
        <v>125</v>
      </c>
      <c r="M816" s="2">
        <v>77</v>
      </c>
      <c r="N816" s="2">
        <v>141</v>
      </c>
      <c r="O816" s="2">
        <v>146</v>
      </c>
      <c r="P816" s="2">
        <v>138</v>
      </c>
      <c r="Q816" s="2">
        <v>132</v>
      </c>
      <c r="R816" s="238">
        <v>367</v>
      </c>
      <c r="S816" s="219">
        <f xml:space="preserve"> 12</f>
        <v>12</v>
      </c>
      <c r="T816" s="220">
        <f>SUM( tabConsumo[[#This Row],[QTD.PENDENTE]]:tabConsumo[[#This Row],[09_23]] ) / tabConsumo[[#This Row],[Div]]</f>
        <v>260.91666666666669</v>
      </c>
      <c r="U816" s="221">
        <f xml:space="preserve"> tabConsumo[[#This Row],[Média.A]] + (_xlfn.STDEV.S( tabConsumo[[#This Row],[QTD.PENDENTE]]:tabConsumo[[#This Row],[09_23]] ) * 1)</f>
        <v>719.71994364896659</v>
      </c>
      <c r="V816" s="221">
        <f xml:space="preserve"> tabConsumo[[#This Row],[Média.A]] + (_xlfn.STDEV.S( tabConsumo[[#This Row],[QTD.PENDENTE]]:tabConsumo[[#This Row],[09_23]] ) * 2)</f>
        <v>1178.5232206312664</v>
      </c>
      <c r="W816" s="221">
        <f xml:space="preserve"> tabConsumo[[#This Row],[Média.A]] + (_xlfn.STDEV.S( tabConsumo[[#This Row],[QTD.PENDENTE]]:tabConsumo[[#This Row],[09_23]] ) * 3)</f>
        <v>1637.3264976135663</v>
      </c>
      <c r="X816" s="5">
        <f t="shared" si="28"/>
        <v>2</v>
      </c>
      <c r="Y816">
        <v>216.08333333333334</v>
      </c>
      <c r="Z816" s="223">
        <f>SUM( tabConsumo[[#This Row],[QTD.PENDENTE]]:tabConsumo[[#This Row],[09_23]] )</f>
        <v>3131</v>
      </c>
      <c r="AA816" s="223">
        <f>LARGE(tabConsumo[[#This Row],[10_22]:[09_23]],1)</f>
        <v>1716</v>
      </c>
      <c r="AB816" s="146" t="s">
        <v>2238</v>
      </c>
      <c r="AC816" s="3" t="s">
        <v>2086</v>
      </c>
    </row>
    <row r="817" spans="1:29" x14ac:dyDescent="0.3">
      <c r="A817" s="4" t="s">
        <v>1583</v>
      </c>
      <c r="B817" s="3" t="s">
        <v>345</v>
      </c>
      <c r="C817" s="2">
        <v>102276</v>
      </c>
      <c r="D817" s="2">
        <v>232</v>
      </c>
      <c r="F817" s="2">
        <v>25</v>
      </c>
      <c r="G817" s="2">
        <v>0</v>
      </c>
      <c r="H817" s="2">
        <v>0</v>
      </c>
      <c r="I817" s="2">
        <v>0</v>
      </c>
      <c r="J817" s="2">
        <v>0</v>
      </c>
      <c r="K817" s="2">
        <v>0</v>
      </c>
      <c r="L817" s="2">
        <v>0</v>
      </c>
      <c r="M817" s="2">
        <v>0</v>
      </c>
      <c r="N817" s="2">
        <v>0</v>
      </c>
      <c r="O817" s="2">
        <v>2</v>
      </c>
      <c r="P817" s="2">
        <v>20</v>
      </c>
      <c r="Q817" s="2">
        <v>4</v>
      </c>
      <c r="R817" s="238">
        <v>39352</v>
      </c>
      <c r="S817" s="219">
        <v>12</v>
      </c>
      <c r="T817" s="220">
        <f>SUM( tabConsumo[[#This Row],[QTD.PENDENTE]]:tabConsumo[[#This Row],[09_23]] ) / tabConsumo[[#This Row],[Div]]</f>
        <v>4.25</v>
      </c>
      <c r="U817" s="221">
        <f xml:space="preserve"> tabConsumo[[#This Row],[Média.A]] + (_xlfn.STDEV.S( tabConsumo[[#This Row],[QTD.PENDENTE]]:tabConsumo[[#This Row],[09_23]] ) * 1)</f>
        <v>12.927295347368013</v>
      </c>
      <c r="V817" s="221">
        <f xml:space="preserve"> tabConsumo[[#This Row],[Média.A]] + (_xlfn.STDEV.S( tabConsumo[[#This Row],[QTD.PENDENTE]]:tabConsumo[[#This Row],[09_23]] ) * 2)</f>
        <v>21.604590694736025</v>
      </c>
      <c r="W817" s="221">
        <f xml:space="preserve"> tabConsumo[[#This Row],[Média.A]] + (_xlfn.STDEV.S( tabConsumo[[#This Row],[QTD.PENDENTE]]:tabConsumo[[#This Row],[09_23]] ) * 3)</f>
        <v>30.281886042104038</v>
      </c>
      <c r="X817" s="5">
        <f t="shared" si="28"/>
        <v>2</v>
      </c>
      <c r="Y817">
        <v>3.9166666666666665</v>
      </c>
      <c r="Z817" s="223">
        <f>SUM( tabConsumo[[#This Row],[QTD.PENDENTE]]:tabConsumo[[#This Row],[09_23]] )</f>
        <v>51</v>
      </c>
      <c r="AA817" s="223">
        <f>LARGE(tabConsumo[[#This Row],[10_22]:[09_23]],1)</f>
        <v>25</v>
      </c>
      <c r="AB817" s="146" t="s">
        <v>2238</v>
      </c>
      <c r="AC817" s="3" t="s">
        <v>2086</v>
      </c>
    </row>
    <row r="818" spans="1:29" x14ac:dyDescent="0.3">
      <c r="A818" s="4" t="s">
        <v>1586</v>
      </c>
      <c r="B818" s="3" t="s">
        <v>345</v>
      </c>
      <c r="C818" s="2">
        <v>102279</v>
      </c>
      <c r="D818" s="2">
        <v>314</v>
      </c>
      <c r="E818" s="2">
        <v>20</v>
      </c>
      <c r="F818" s="2">
        <v>5</v>
      </c>
      <c r="G818" s="2">
        <v>0</v>
      </c>
      <c r="H818" s="2">
        <v>0</v>
      </c>
      <c r="I818" s="2">
        <v>0</v>
      </c>
      <c r="J818" s="2">
        <v>0</v>
      </c>
      <c r="K818" s="2">
        <v>10</v>
      </c>
      <c r="L818" s="2">
        <v>0</v>
      </c>
      <c r="M818" s="2">
        <v>10</v>
      </c>
      <c r="N818" s="2">
        <v>0</v>
      </c>
      <c r="O818" s="2">
        <v>0</v>
      </c>
      <c r="P818" s="2">
        <v>10</v>
      </c>
      <c r="Q818" s="2">
        <v>6</v>
      </c>
      <c r="R818" s="238">
        <v>39352</v>
      </c>
      <c r="S818" s="219">
        <v>12</v>
      </c>
      <c r="T818" s="220">
        <f>SUM( tabConsumo[[#This Row],[QTD.PENDENTE]]:tabConsumo[[#This Row],[09_23]] ) / tabConsumo[[#This Row],[Div]]</f>
        <v>5.083333333333333</v>
      </c>
      <c r="U818" s="221">
        <f xml:space="preserve"> tabConsumo[[#This Row],[Média.A]] + (_xlfn.STDEV.S( tabConsumo[[#This Row],[QTD.PENDENTE]]:tabConsumo[[#This Row],[09_23]] ) * 1)</f>
        <v>11.373333537157063</v>
      </c>
      <c r="V818" s="221">
        <f xml:space="preserve"> tabConsumo[[#This Row],[Média.A]] + (_xlfn.STDEV.S( tabConsumo[[#This Row],[QTD.PENDENTE]]:tabConsumo[[#This Row],[09_23]] ) * 2)</f>
        <v>17.663333740980793</v>
      </c>
      <c r="W818" s="221">
        <f xml:space="preserve"> tabConsumo[[#This Row],[Média.A]] + (_xlfn.STDEV.S( tabConsumo[[#This Row],[QTD.PENDENTE]]:tabConsumo[[#This Row],[09_23]] ) * 3)</f>
        <v>23.95333394480452</v>
      </c>
      <c r="X818" s="5">
        <f t="shared" si="28"/>
        <v>2</v>
      </c>
      <c r="Y818">
        <v>5.083333333333333</v>
      </c>
      <c r="Z818" s="223">
        <f>SUM( tabConsumo[[#This Row],[QTD.PENDENTE]]:tabConsumo[[#This Row],[09_23]] )</f>
        <v>61</v>
      </c>
      <c r="AA818" s="223">
        <f>LARGE(tabConsumo[[#This Row],[10_22]:[09_23]],1)</f>
        <v>10</v>
      </c>
      <c r="AB818" s="146" t="s">
        <v>2238</v>
      </c>
      <c r="AC818" s="3" t="s">
        <v>2086</v>
      </c>
    </row>
    <row r="819" spans="1:29" x14ac:dyDescent="0.3">
      <c r="A819" s="4" t="s">
        <v>1578</v>
      </c>
      <c r="B819" s="3" t="s">
        <v>345</v>
      </c>
      <c r="C819" s="2">
        <v>101867</v>
      </c>
      <c r="D819" s="2">
        <v>37</v>
      </c>
      <c r="F819" s="2">
        <v>0</v>
      </c>
      <c r="G819" s="2">
        <v>0</v>
      </c>
      <c r="H819" s="2">
        <v>0</v>
      </c>
      <c r="I819" s="2">
        <v>0</v>
      </c>
      <c r="J819" s="2">
        <v>1</v>
      </c>
      <c r="K819" s="2">
        <v>20</v>
      </c>
      <c r="L819" s="2">
        <v>0</v>
      </c>
      <c r="M819" s="2">
        <v>0</v>
      </c>
      <c r="N819" s="2">
        <v>0</v>
      </c>
      <c r="O819" s="2">
        <v>0</v>
      </c>
      <c r="P819" s="2">
        <v>40</v>
      </c>
      <c r="Q819" s="2">
        <v>4</v>
      </c>
      <c r="R819" s="238">
        <v>39328</v>
      </c>
      <c r="S819" s="219">
        <v>12</v>
      </c>
      <c r="T819" s="220">
        <f>SUM( tabConsumo[[#This Row],[QTD.PENDENTE]]:tabConsumo[[#This Row],[09_23]] ) / tabConsumo[[#This Row],[Div]]</f>
        <v>5.416666666666667</v>
      </c>
      <c r="U819" s="221">
        <f xml:space="preserve"> tabConsumo[[#This Row],[Média.A]] + (_xlfn.STDEV.S( tabConsumo[[#This Row],[QTD.PENDENTE]]:tabConsumo[[#This Row],[09_23]] ) * 1)</f>
        <v>17.719351764077746</v>
      </c>
      <c r="V819" s="221">
        <f xml:space="preserve"> tabConsumo[[#This Row],[Média.A]] + (_xlfn.STDEV.S( tabConsumo[[#This Row],[QTD.PENDENTE]]:tabConsumo[[#This Row],[09_23]] ) * 2)</f>
        <v>30.022036861488825</v>
      </c>
      <c r="W819" s="221">
        <f xml:space="preserve"> tabConsumo[[#This Row],[Média.A]] + (_xlfn.STDEV.S( tabConsumo[[#This Row],[QTD.PENDENTE]]:tabConsumo[[#This Row],[09_23]] ) * 3)</f>
        <v>42.3247219588999</v>
      </c>
      <c r="X819" s="5">
        <f t="shared" si="28"/>
        <v>2</v>
      </c>
      <c r="Y819">
        <v>4.583333333333333</v>
      </c>
      <c r="Z819" s="223">
        <f>SUM( tabConsumo[[#This Row],[QTD.PENDENTE]]:tabConsumo[[#This Row],[09_23]] )</f>
        <v>65</v>
      </c>
      <c r="AA819" s="223">
        <f>LARGE(tabConsumo[[#This Row],[10_22]:[09_23]],1)</f>
        <v>40</v>
      </c>
      <c r="AB819" s="146" t="s">
        <v>2238</v>
      </c>
      <c r="AC819" s="3" t="s">
        <v>2086</v>
      </c>
    </row>
    <row r="820" spans="1:29" x14ac:dyDescent="0.3">
      <c r="A820" s="4" t="s">
        <v>1747</v>
      </c>
      <c r="B820" s="3" t="s">
        <v>345</v>
      </c>
      <c r="C820" s="2">
        <v>121054</v>
      </c>
      <c r="D820" s="2">
        <v>95</v>
      </c>
      <c r="F820" s="2">
        <v>0</v>
      </c>
      <c r="G820" s="2">
        <v>0</v>
      </c>
      <c r="H820" s="2">
        <v>0</v>
      </c>
      <c r="I820" s="2">
        <v>0</v>
      </c>
      <c r="J820" s="2">
        <v>0</v>
      </c>
      <c r="K820" s="2">
        <v>0</v>
      </c>
      <c r="L820" s="2">
        <v>0</v>
      </c>
      <c r="M820" s="2">
        <v>0</v>
      </c>
      <c r="N820" s="2">
        <v>0</v>
      </c>
      <c r="O820" s="2">
        <v>1</v>
      </c>
      <c r="P820" s="2">
        <v>0</v>
      </c>
      <c r="Q820" s="2">
        <v>0</v>
      </c>
      <c r="R820" s="238">
        <v>40805</v>
      </c>
      <c r="S820" s="219">
        <v>12</v>
      </c>
      <c r="T820" s="220">
        <f>SUM( tabConsumo[[#This Row],[QTD.PENDENTE]]:tabConsumo[[#This Row],[09_23]] ) / tabConsumo[[#This Row],[Div]]</f>
        <v>8.3333333333333329E-2</v>
      </c>
      <c r="U820" s="221">
        <f xml:space="preserve"> tabConsumo[[#This Row],[Média.A]] + (_xlfn.STDEV.S( tabConsumo[[#This Row],[QTD.PENDENTE]]:tabConsumo[[#This Row],[09_23]] ) * 1)</f>
        <v>0.37200846792814618</v>
      </c>
      <c r="V820" s="221">
        <f xml:space="preserve"> tabConsumo[[#This Row],[Média.A]] + (_xlfn.STDEV.S( tabConsumo[[#This Row],[QTD.PENDENTE]]:tabConsumo[[#This Row],[09_23]] ) * 2)</f>
        <v>0.6606836025229591</v>
      </c>
      <c r="W820" s="221">
        <f xml:space="preserve"> tabConsumo[[#This Row],[Média.A]] + (_xlfn.STDEV.S( tabConsumo[[#This Row],[QTD.PENDENTE]]:tabConsumo[[#This Row],[09_23]] ) * 3)</f>
        <v>0.94935873711777197</v>
      </c>
      <c r="X820" s="5">
        <f t="shared" si="28"/>
        <v>2</v>
      </c>
      <c r="Y820">
        <v>0</v>
      </c>
      <c r="Z820" s="223">
        <f>SUM( tabConsumo[[#This Row],[QTD.PENDENTE]]:tabConsumo[[#This Row],[09_23]] )</f>
        <v>1</v>
      </c>
      <c r="AA820" s="223">
        <f>LARGE(tabConsumo[[#This Row],[10_22]:[09_23]],1)</f>
        <v>1</v>
      </c>
      <c r="AB820" s="146" t="s">
        <v>2239</v>
      </c>
      <c r="AC820" s="3" t="s">
        <v>2086</v>
      </c>
    </row>
    <row r="821" spans="1:29" x14ac:dyDescent="0.3">
      <c r="A821" s="4" t="s">
        <v>1579</v>
      </c>
      <c r="B821" s="3" t="s">
        <v>345</v>
      </c>
      <c r="C821" s="2">
        <v>101868</v>
      </c>
      <c r="D821" s="2">
        <v>1232</v>
      </c>
      <c r="F821" s="2">
        <v>8</v>
      </c>
      <c r="G821" s="2">
        <v>0</v>
      </c>
      <c r="H821" s="2">
        <v>1</v>
      </c>
      <c r="I821" s="2">
        <v>0</v>
      </c>
      <c r="J821" s="2">
        <v>3</v>
      </c>
      <c r="K821" s="2">
        <v>6</v>
      </c>
      <c r="L821" s="2">
        <v>0</v>
      </c>
      <c r="M821" s="2">
        <v>0</v>
      </c>
      <c r="N821" s="2">
        <v>15</v>
      </c>
      <c r="O821" s="2">
        <v>0</v>
      </c>
      <c r="P821" s="2">
        <v>0</v>
      </c>
      <c r="Q821" s="2">
        <v>7</v>
      </c>
      <c r="R821" s="238">
        <v>39328</v>
      </c>
      <c r="S821" s="219">
        <v>12</v>
      </c>
      <c r="T821" s="220">
        <f>SUM( tabConsumo[[#This Row],[QTD.PENDENTE]]:tabConsumo[[#This Row],[09_23]] ) / tabConsumo[[#This Row],[Div]]</f>
        <v>3.3333333333333335</v>
      </c>
      <c r="U821" s="221">
        <f xml:space="preserve"> tabConsumo[[#This Row],[Média.A]] + (_xlfn.STDEV.S( tabConsumo[[#This Row],[QTD.PENDENTE]]:tabConsumo[[#This Row],[09_23]] ) * 1)</f>
        <v>8.1069984648521736</v>
      </c>
      <c r="V821" s="221">
        <f xml:space="preserve"> tabConsumo[[#This Row],[Média.A]] + (_xlfn.STDEV.S( tabConsumo[[#This Row],[QTD.PENDENTE]]:tabConsumo[[#This Row],[09_23]] ) * 2)</f>
        <v>12.880663596371015</v>
      </c>
      <c r="W821" s="221">
        <f xml:space="preserve"> tabConsumo[[#This Row],[Média.A]] + (_xlfn.STDEV.S( tabConsumo[[#This Row],[QTD.PENDENTE]]:tabConsumo[[#This Row],[09_23]] ) * 3)</f>
        <v>17.654328727889855</v>
      </c>
      <c r="X821" s="5">
        <f t="shared" si="28"/>
        <v>2</v>
      </c>
      <c r="Y821">
        <v>3.0833333333333335</v>
      </c>
      <c r="Z821" s="223">
        <f>SUM( tabConsumo[[#This Row],[QTD.PENDENTE]]:tabConsumo[[#This Row],[09_23]] )</f>
        <v>40</v>
      </c>
      <c r="AA821" s="223">
        <f>LARGE(tabConsumo[[#This Row],[10_22]:[09_23]],1)</f>
        <v>15</v>
      </c>
      <c r="AB821" s="146" t="s">
        <v>2238</v>
      </c>
      <c r="AC821" s="3" t="s">
        <v>2086</v>
      </c>
    </row>
    <row r="822" spans="1:29" x14ac:dyDescent="0.3">
      <c r="A822" s="4" t="s">
        <v>1320</v>
      </c>
      <c r="B822" s="3" t="s">
        <v>345</v>
      </c>
      <c r="C822" s="2">
        <v>54550</v>
      </c>
      <c r="D822" s="2">
        <v>655</v>
      </c>
      <c r="F822" s="2">
        <v>11</v>
      </c>
      <c r="G822" s="2">
        <v>40</v>
      </c>
      <c r="H822" s="2">
        <v>112</v>
      </c>
      <c r="I822" s="2">
        <v>70</v>
      </c>
      <c r="J822" s="2">
        <v>6</v>
      </c>
      <c r="K822" s="2">
        <v>0</v>
      </c>
      <c r="L822" s="2">
        <v>60</v>
      </c>
      <c r="M822" s="2">
        <v>0</v>
      </c>
      <c r="N822" s="2">
        <v>100</v>
      </c>
      <c r="O822" s="2">
        <v>0</v>
      </c>
      <c r="P822" s="2">
        <v>60</v>
      </c>
      <c r="Q822" s="2">
        <v>0</v>
      </c>
      <c r="R822" s="238">
        <v>367</v>
      </c>
      <c r="S822" s="219">
        <f t="shared" ref="S822:S831" si="29" xml:space="preserve"> 12</f>
        <v>12</v>
      </c>
      <c r="T822" s="220">
        <f>SUM( tabConsumo[[#This Row],[QTD.PENDENTE]]:tabConsumo[[#This Row],[09_23]] ) / tabConsumo[[#This Row],[Div]]</f>
        <v>38.25</v>
      </c>
      <c r="U822" s="221">
        <f xml:space="preserve"> tabConsumo[[#This Row],[Média.A]] + (_xlfn.STDEV.S( tabConsumo[[#This Row],[QTD.PENDENTE]]:tabConsumo[[#This Row],[09_23]] ) * 1)</f>
        <v>79.639776954746168</v>
      </c>
      <c r="V822" s="221">
        <f xml:space="preserve"> tabConsumo[[#This Row],[Média.A]] + (_xlfn.STDEV.S( tabConsumo[[#This Row],[QTD.PENDENTE]]:tabConsumo[[#This Row],[09_23]] ) * 2)</f>
        <v>121.02955390949232</v>
      </c>
      <c r="W822" s="221">
        <f xml:space="preserve"> tabConsumo[[#This Row],[Média.A]] + (_xlfn.STDEV.S( tabConsumo[[#This Row],[QTD.PENDENTE]]:tabConsumo[[#This Row],[09_23]] ) * 3)</f>
        <v>162.41933086423847</v>
      </c>
      <c r="X822" s="5">
        <f t="shared" si="28"/>
        <v>2</v>
      </c>
      <c r="Y822">
        <v>38.25</v>
      </c>
      <c r="Z822" s="223">
        <f>SUM( tabConsumo[[#This Row],[QTD.PENDENTE]]:tabConsumo[[#This Row],[09_23]] )</f>
        <v>459</v>
      </c>
      <c r="AA822" s="223">
        <f>LARGE(tabConsumo[[#This Row],[10_22]:[09_23]],1)</f>
        <v>112</v>
      </c>
      <c r="AB822" s="146" t="s">
        <v>2241</v>
      </c>
      <c r="AC822" s="3" t="s">
        <v>2086</v>
      </c>
    </row>
    <row r="823" spans="1:29" x14ac:dyDescent="0.3">
      <c r="A823" s="4" t="s">
        <v>1321</v>
      </c>
      <c r="B823" s="3" t="s">
        <v>345</v>
      </c>
      <c r="C823" s="2">
        <v>54552</v>
      </c>
      <c r="D823" s="2">
        <v>805</v>
      </c>
      <c r="F823" s="2">
        <v>0</v>
      </c>
      <c r="G823" s="2">
        <v>0</v>
      </c>
      <c r="H823" s="2">
        <v>144</v>
      </c>
      <c r="I823" s="2">
        <v>40</v>
      </c>
      <c r="J823" s="2">
        <v>5</v>
      </c>
      <c r="K823" s="2">
        <v>0</v>
      </c>
      <c r="L823" s="2">
        <v>80</v>
      </c>
      <c r="M823" s="2">
        <v>0</v>
      </c>
      <c r="N823" s="2">
        <v>0</v>
      </c>
      <c r="O823" s="2">
        <v>0</v>
      </c>
      <c r="P823" s="2">
        <v>0</v>
      </c>
      <c r="Q823" s="2">
        <v>0</v>
      </c>
      <c r="R823" s="238">
        <v>367</v>
      </c>
      <c r="S823" s="219">
        <f t="shared" si="29"/>
        <v>12</v>
      </c>
      <c r="T823" s="220">
        <f>SUM( tabConsumo[[#This Row],[QTD.PENDENTE]]:tabConsumo[[#This Row],[09_23]] ) / tabConsumo[[#This Row],[Div]]</f>
        <v>22.416666666666668</v>
      </c>
      <c r="U823" s="221">
        <f xml:space="preserve"> tabConsumo[[#This Row],[Média.A]] + (_xlfn.STDEV.S( tabConsumo[[#This Row],[QTD.PENDENTE]]:tabConsumo[[#This Row],[09_23]] ) * 1)</f>
        <v>67.874855914556534</v>
      </c>
      <c r="V823" s="221">
        <f xml:space="preserve"> tabConsumo[[#This Row],[Média.A]] + (_xlfn.STDEV.S( tabConsumo[[#This Row],[QTD.PENDENTE]]:tabConsumo[[#This Row],[09_23]] ) * 2)</f>
        <v>113.33304516244641</v>
      </c>
      <c r="W823" s="221">
        <f xml:space="preserve"> tabConsumo[[#This Row],[Média.A]] + (_xlfn.STDEV.S( tabConsumo[[#This Row],[QTD.PENDENTE]]:tabConsumo[[#This Row],[09_23]] ) * 3)</f>
        <v>158.79123441033627</v>
      </c>
      <c r="X823" s="5">
        <f t="shared" si="28"/>
        <v>2</v>
      </c>
      <c r="Y823">
        <v>19.833333333333332</v>
      </c>
      <c r="Z823" s="223">
        <f>SUM( tabConsumo[[#This Row],[QTD.PENDENTE]]:tabConsumo[[#This Row],[09_23]] )</f>
        <v>269</v>
      </c>
      <c r="AA823" s="223">
        <f>LARGE(tabConsumo[[#This Row],[10_22]:[09_23]],1)</f>
        <v>144</v>
      </c>
      <c r="AB823" s="146" t="s">
        <v>2240</v>
      </c>
      <c r="AC823" s="3" t="s">
        <v>2086</v>
      </c>
    </row>
    <row r="824" spans="1:29" x14ac:dyDescent="0.3">
      <c r="A824" s="4" t="s">
        <v>1286</v>
      </c>
      <c r="B824" s="3" t="s">
        <v>345</v>
      </c>
      <c r="C824" s="2">
        <v>44398</v>
      </c>
      <c r="D824" s="2">
        <v>1070</v>
      </c>
      <c r="F824" s="2">
        <v>0</v>
      </c>
      <c r="G824" s="2">
        <v>0</v>
      </c>
      <c r="H824" s="2">
        <v>0</v>
      </c>
      <c r="I824" s="2">
        <v>0</v>
      </c>
      <c r="J824" s="2">
        <v>0</v>
      </c>
      <c r="K824" s="2">
        <v>0</v>
      </c>
      <c r="L824" s="2">
        <v>0</v>
      </c>
      <c r="M824" s="2">
        <v>190</v>
      </c>
      <c r="N824" s="2">
        <v>212</v>
      </c>
      <c r="O824" s="2">
        <v>0</v>
      </c>
      <c r="P824" s="2">
        <v>160</v>
      </c>
      <c r="Q824" s="2">
        <v>0</v>
      </c>
      <c r="R824" s="238">
        <v>367</v>
      </c>
      <c r="S824" s="219">
        <f t="shared" si="29"/>
        <v>12</v>
      </c>
      <c r="T824" s="220">
        <f>SUM( tabConsumo[[#This Row],[QTD.PENDENTE]]:tabConsumo[[#This Row],[09_23]] ) / tabConsumo[[#This Row],[Div]]</f>
        <v>46.833333333333336</v>
      </c>
      <c r="U824" s="221">
        <f xml:space="preserve"> tabConsumo[[#This Row],[Média.A]] + (_xlfn.STDEV.S( tabConsumo[[#This Row],[QTD.PENDENTE]]:tabConsumo[[#This Row],[09_23]] ) * 1)</f>
        <v>132.28596064900759</v>
      </c>
      <c r="V824" s="221">
        <f xml:space="preserve"> tabConsumo[[#This Row],[Média.A]] + (_xlfn.STDEV.S( tabConsumo[[#This Row],[QTD.PENDENTE]]:tabConsumo[[#This Row],[09_23]] ) * 2)</f>
        <v>217.73858796468184</v>
      </c>
      <c r="W824" s="221">
        <f xml:space="preserve"> tabConsumo[[#This Row],[Média.A]] + (_xlfn.STDEV.S( tabConsumo[[#This Row],[QTD.PENDENTE]]:tabConsumo[[#This Row],[09_23]] ) * 3)</f>
        <v>303.19121528035606</v>
      </c>
      <c r="X824" s="5">
        <f t="shared" si="28"/>
        <v>2</v>
      </c>
      <c r="Y824">
        <v>46.833333333333336</v>
      </c>
      <c r="Z824" s="223">
        <f>SUM( tabConsumo[[#This Row],[QTD.PENDENTE]]:tabConsumo[[#This Row],[09_23]] )</f>
        <v>562</v>
      </c>
      <c r="AA824" s="223">
        <f>LARGE(tabConsumo[[#This Row],[10_22]:[09_23]],1)</f>
        <v>212</v>
      </c>
      <c r="AB824" s="146" t="s">
        <v>2241</v>
      </c>
      <c r="AC824" s="3" t="s">
        <v>2086</v>
      </c>
    </row>
    <row r="825" spans="1:29" x14ac:dyDescent="0.3">
      <c r="A825" s="4" t="s">
        <v>1344</v>
      </c>
      <c r="B825" s="3" t="s">
        <v>345</v>
      </c>
      <c r="C825" s="2">
        <v>59097</v>
      </c>
      <c r="D825" s="2">
        <v>0</v>
      </c>
      <c r="E825" s="2">
        <v>5</v>
      </c>
      <c r="F825" s="2">
        <v>7</v>
      </c>
      <c r="G825" s="2">
        <v>24</v>
      </c>
      <c r="H825" s="2">
        <v>2</v>
      </c>
      <c r="I825" s="2">
        <v>16</v>
      </c>
      <c r="J825" s="2">
        <v>6</v>
      </c>
      <c r="K825" s="2">
        <v>6</v>
      </c>
      <c r="L825" s="2">
        <v>0</v>
      </c>
      <c r="M825" s="2">
        <v>2</v>
      </c>
      <c r="N825" s="2">
        <v>0</v>
      </c>
      <c r="O825" s="2">
        <v>0</v>
      </c>
      <c r="P825" s="2">
        <v>0</v>
      </c>
      <c r="Q825" s="2">
        <v>0</v>
      </c>
      <c r="R825" s="238">
        <v>367</v>
      </c>
      <c r="S825" s="219">
        <f t="shared" si="29"/>
        <v>12</v>
      </c>
      <c r="T825" s="220">
        <f>SUM( tabConsumo[[#This Row],[QTD.PENDENTE]]:tabConsumo[[#This Row],[09_23]] ) / tabConsumo[[#This Row],[Div]]</f>
        <v>5.666666666666667</v>
      </c>
      <c r="U825" s="221">
        <f xml:space="preserve"> tabConsumo[[#This Row],[Média.A]] + (_xlfn.STDEV.S( tabConsumo[[#This Row],[QTD.PENDENTE]]:tabConsumo[[#This Row],[09_23]] ) * 1)</f>
        <v>12.914124222640419</v>
      </c>
      <c r="V825" s="221">
        <f xml:space="preserve"> tabConsumo[[#This Row],[Média.A]] + (_xlfn.STDEV.S( tabConsumo[[#This Row],[QTD.PENDENTE]]:tabConsumo[[#This Row],[09_23]] ) * 2)</f>
        <v>20.16158177861417</v>
      </c>
      <c r="W825" s="221">
        <f xml:space="preserve"> tabConsumo[[#This Row],[Média.A]] + (_xlfn.STDEV.S( tabConsumo[[#This Row],[QTD.PENDENTE]]:tabConsumo[[#This Row],[09_23]] ) * 3)</f>
        <v>27.409039334587924</v>
      </c>
      <c r="X825" s="5">
        <f t="shared" si="28"/>
        <v>2</v>
      </c>
      <c r="Y825">
        <v>5.333333333333333</v>
      </c>
      <c r="Z825" s="223">
        <f>SUM( tabConsumo[[#This Row],[QTD.PENDENTE]]:tabConsumo[[#This Row],[09_23]] )</f>
        <v>68</v>
      </c>
      <c r="AA825" s="223">
        <f>LARGE(tabConsumo[[#This Row],[10_22]:[09_23]],1)</f>
        <v>24</v>
      </c>
      <c r="AB825" s="146" t="s">
        <v>2244</v>
      </c>
      <c r="AC825" s="3" t="s">
        <v>2086</v>
      </c>
    </row>
    <row r="826" spans="1:29" x14ac:dyDescent="0.3">
      <c r="A826" s="4" t="s">
        <v>1228</v>
      </c>
      <c r="B826" s="3" t="s">
        <v>345</v>
      </c>
      <c r="C826" s="2">
        <v>27761</v>
      </c>
      <c r="D826" s="2">
        <v>52</v>
      </c>
      <c r="F826" s="2">
        <v>0</v>
      </c>
      <c r="G826" s="2">
        <v>0</v>
      </c>
      <c r="H826" s="2">
        <v>0</v>
      </c>
      <c r="I826" s="2">
        <v>0</v>
      </c>
      <c r="J826" s="2">
        <v>0</v>
      </c>
      <c r="K826" s="2">
        <v>0</v>
      </c>
      <c r="L826" s="2">
        <v>0</v>
      </c>
      <c r="M826" s="2">
        <v>0</v>
      </c>
      <c r="N826" s="2">
        <v>2</v>
      </c>
      <c r="O826" s="2">
        <v>0</v>
      </c>
      <c r="P826" s="2">
        <v>0</v>
      </c>
      <c r="Q826" s="2">
        <v>0</v>
      </c>
      <c r="R826" s="238">
        <v>367</v>
      </c>
      <c r="S826" s="219">
        <f t="shared" si="29"/>
        <v>12</v>
      </c>
      <c r="T826" s="220">
        <f>SUM( tabConsumo[[#This Row],[QTD.PENDENTE]]:tabConsumo[[#This Row],[09_23]] ) / tabConsumo[[#This Row],[Div]]</f>
        <v>0.16666666666666666</v>
      </c>
      <c r="U826" s="221">
        <f xml:space="preserve"> tabConsumo[[#This Row],[Média.A]] + (_xlfn.STDEV.S( tabConsumo[[#This Row],[QTD.PENDENTE]]:tabConsumo[[#This Row],[09_23]] ) * 1)</f>
        <v>0.74401693585629236</v>
      </c>
      <c r="V826" s="221">
        <f xml:space="preserve"> tabConsumo[[#This Row],[Média.A]] + (_xlfn.STDEV.S( tabConsumo[[#This Row],[QTD.PENDENTE]]:tabConsumo[[#This Row],[09_23]] ) * 2)</f>
        <v>1.3213672050459182</v>
      </c>
      <c r="W826" s="221">
        <f xml:space="preserve"> tabConsumo[[#This Row],[Média.A]] + (_xlfn.STDEV.S( tabConsumo[[#This Row],[QTD.PENDENTE]]:tabConsumo[[#This Row],[09_23]] ) * 3)</f>
        <v>1.8987174742355439</v>
      </c>
      <c r="X826" s="5">
        <f t="shared" si="28"/>
        <v>2</v>
      </c>
      <c r="Y826">
        <v>8.3333333333333329E-2</v>
      </c>
      <c r="Z826" s="223">
        <f>SUM( tabConsumo[[#This Row],[QTD.PENDENTE]]:tabConsumo[[#This Row],[09_23]] )</f>
        <v>2</v>
      </c>
      <c r="AA826" s="223">
        <f>LARGE(tabConsumo[[#This Row],[10_22]:[09_23]],1)</f>
        <v>2</v>
      </c>
      <c r="AB826" s="146" t="s">
        <v>2246</v>
      </c>
      <c r="AC826" s="3" t="s">
        <v>2086</v>
      </c>
    </row>
    <row r="827" spans="1:29" x14ac:dyDescent="0.3">
      <c r="A827" s="4" t="s">
        <v>1042</v>
      </c>
      <c r="B827" s="3" t="s">
        <v>345</v>
      </c>
      <c r="C827" s="2">
        <v>13559</v>
      </c>
      <c r="D827" s="2">
        <v>190</v>
      </c>
      <c r="E827" s="2">
        <v>30</v>
      </c>
      <c r="F827" s="2">
        <v>27</v>
      </c>
      <c r="G827" s="2">
        <v>18</v>
      </c>
      <c r="H827" s="2">
        <v>12</v>
      </c>
      <c r="I827" s="2">
        <v>15</v>
      </c>
      <c r="J827" s="2">
        <v>17</v>
      </c>
      <c r="K827" s="2">
        <v>54</v>
      </c>
      <c r="L827" s="2">
        <v>9</v>
      </c>
      <c r="M827" s="2">
        <v>0</v>
      </c>
      <c r="N827" s="2">
        <v>0</v>
      </c>
      <c r="O827" s="2">
        <v>0</v>
      </c>
      <c r="P827" s="2">
        <v>0</v>
      </c>
      <c r="Q827" s="2">
        <v>10</v>
      </c>
      <c r="R827" s="238">
        <v>367</v>
      </c>
      <c r="S827" s="219">
        <f t="shared" si="29"/>
        <v>12</v>
      </c>
      <c r="T827" s="220">
        <f>SUM( tabConsumo[[#This Row],[QTD.PENDENTE]]:tabConsumo[[#This Row],[09_23]] ) / tabConsumo[[#This Row],[Div]]</f>
        <v>16</v>
      </c>
      <c r="U827" s="221">
        <f xml:space="preserve"> tabConsumo[[#This Row],[Média.A]] + (_xlfn.STDEV.S( tabConsumo[[#This Row],[QTD.PENDENTE]]:tabConsumo[[#This Row],[09_23]] ) * 1)</f>
        <v>31.471230537968673</v>
      </c>
      <c r="V827" s="221">
        <f xml:space="preserve"> tabConsumo[[#This Row],[Média.A]] + (_xlfn.STDEV.S( tabConsumo[[#This Row],[QTD.PENDENTE]]:tabConsumo[[#This Row],[09_23]] ) * 2)</f>
        <v>46.942461075937345</v>
      </c>
      <c r="W827" s="221">
        <f xml:space="preserve"> tabConsumo[[#This Row],[Média.A]] + (_xlfn.STDEV.S( tabConsumo[[#This Row],[QTD.PENDENTE]]:tabConsumo[[#This Row],[09_23]] ) * 3)</f>
        <v>62.413691613906011</v>
      </c>
      <c r="X827" s="5">
        <f t="shared" si="28"/>
        <v>2</v>
      </c>
      <c r="Y827">
        <v>15.333333333333334</v>
      </c>
      <c r="Z827" s="223">
        <f>SUM( tabConsumo[[#This Row],[QTD.PENDENTE]]:tabConsumo[[#This Row],[09_23]] )</f>
        <v>192</v>
      </c>
      <c r="AA827" s="223">
        <f>LARGE(tabConsumo[[#This Row],[10_22]:[09_23]],1)</f>
        <v>54</v>
      </c>
      <c r="AB827" s="146" t="s">
        <v>2238</v>
      </c>
      <c r="AC827" s="3" t="s">
        <v>2086</v>
      </c>
    </row>
    <row r="828" spans="1:29" x14ac:dyDescent="0.3">
      <c r="A828" s="4" t="s">
        <v>1045</v>
      </c>
      <c r="B828" s="3" t="s">
        <v>345</v>
      </c>
      <c r="C828" s="2">
        <v>13562</v>
      </c>
      <c r="D828" s="2">
        <v>308</v>
      </c>
      <c r="F828" s="2">
        <v>22</v>
      </c>
      <c r="G828" s="2">
        <v>30</v>
      </c>
      <c r="H828" s="2">
        <v>53</v>
      </c>
      <c r="I828" s="2">
        <v>25</v>
      </c>
      <c r="J828" s="2">
        <v>42</v>
      </c>
      <c r="K828" s="2">
        <v>59</v>
      </c>
      <c r="L828" s="2">
        <v>61</v>
      </c>
      <c r="M828" s="2">
        <v>30</v>
      </c>
      <c r="N828" s="2">
        <v>25</v>
      </c>
      <c r="O828" s="2">
        <v>22</v>
      </c>
      <c r="P828" s="2">
        <v>40</v>
      </c>
      <c r="Q828" s="2">
        <v>30</v>
      </c>
      <c r="R828" s="238">
        <v>367</v>
      </c>
      <c r="S828" s="219">
        <f t="shared" si="29"/>
        <v>12</v>
      </c>
      <c r="T828" s="220">
        <f>SUM( tabConsumo[[#This Row],[QTD.PENDENTE]]:tabConsumo[[#This Row],[09_23]] ) / tabConsumo[[#This Row],[Div]]</f>
        <v>36.583333333333336</v>
      </c>
      <c r="U828" s="221">
        <f xml:space="preserve"> tabConsumo[[#This Row],[Média.A]] + (_xlfn.STDEV.S( tabConsumo[[#This Row],[QTD.PENDENTE]]:tabConsumo[[#This Row],[09_23]] ) * 1)</f>
        <v>50.830874322655816</v>
      </c>
      <c r="V828" s="221">
        <f xml:space="preserve"> tabConsumo[[#This Row],[Média.A]] + (_xlfn.STDEV.S( tabConsumo[[#This Row],[QTD.PENDENTE]]:tabConsumo[[#This Row],[09_23]] ) * 2)</f>
        <v>65.07841531197829</v>
      </c>
      <c r="W828" s="221">
        <f xml:space="preserve"> tabConsumo[[#This Row],[Média.A]] + (_xlfn.STDEV.S( tabConsumo[[#This Row],[QTD.PENDENTE]]:tabConsumo[[#This Row],[09_23]] ) * 3)</f>
        <v>79.325956301300778</v>
      </c>
      <c r="X828" s="5">
        <f t="shared" si="28"/>
        <v>2</v>
      </c>
      <c r="Y828">
        <v>36.583333333333336</v>
      </c>
      <c r="Z828" s="223">
        <f>SUM( tabConsumo[[#This Row],[QTD.PENDENTE]]:tabConsumo[[#This Row],[09_23]] )</f>
        <v>439</v>
      </c>
      <c r="AA828" s="223">
        <f>LARGE(tabConsumo[[#This Row],[10_22]:[09_23]],1)</f>
        <v>61</v>
      </c>
      <c r="AB828" s="146" t="s">
        <v>2238</v>
      </c>
      <c r="AC828" s="3" t="s">
        <v>2086</v>
      </c>
    </row>
    <row r="829" spans="1:29" x14ac:dyDescent="0.3">
      <c r="A829" s="4" t="s">
        <v>1043</v>
      </c>
      <c r="B829" s="3" t="s">
        <v>345</v>
      </c>
      <c r="C829" s="2">
        <v>13560</v>
      </c>
      <c r="D829" s="2">
        <v>62</v>
      </c>
      <c r="F829" s="2">
        <v>4</v>
      </c>
      <c r="G829" s="2">
        <v>0</v>
      </c>
      <c r="H829" s="2">
        <v>2</v>
      </c>
      <c r="I829" s="2">
        <v>4</v>
      </c>
      <c r="J829" s="2">
        <v>2</v>
      </c>
      <c r="K829" s="2">
        <v>2</v>
      </c>
      <c r="L829" s="2">
        <v>6</v>
      </c>
      <c r="M829" s="2">
        <v>0</v>
      </c>
      <c r="N829" s="2">
        <v>0</v>
      </c>
      <c r="O829" s="2">
        <v>0</v>
      </c>
      <c r="P829" s="2">
        <v>0</v>
      </c>
      <c r="Q829" s="2">
        <v>0</v>
      </c>
      <c r="R829" s="238">
        <v>367</v>
      </c>
      <c r="S829" s="219">
        <f t="shared" si="29"/>
        <v>12</v>
      </c>
      <c r="T829" s="220">
        <f>SUM( tabConsumo[[#This Row],[QTD.PENDENTE]]:tabConsumo[[#This Row],[09_23]] ) / tabConsumo[[#This Row],[Div]]</f>
        <v>1.6666666666666667</v>
      </c>
      <c r="U829" s="221">
        <f xml:space="preserve"> tabConsumo[[#This Row],[Média.A]] + (_xlfn.STDEV.S( tabConsumo[[#This Row],[QTD.PENDENTE]]:tabConsumo[[#This Row],[09_23]] ) * 1)</f>
        <v>3.726381268844416</v>
      </c>
      <c r="V829" s="221">
        <f xml:space="preserve"> tabConsumo[[#This Row],[Média.A]] + (_xlfn.STDEV.S( tabConsumo[[#This Row],[QTD.PENDENTE]]:tabConsumo[[#This Row],[09_23]] ) * 2)</f>
        <v>5.786095871022165</v>
      </c>
      <c r="W829" s="221">
        <f xml:space="preserve"> tabConsumo[[#This Row],[Média.A]] + (_xlfn.STDEV.S( tabConsumo[[#This Row],[QTD.PENDENTE]]:tabConsumo[[#This Row],[09_23]] ) * 3)</f>
        <v>7.8458104731999141</v>
      </c>
      <c r="X829" s="5">
        <f t="shared" si="28"/>
        <v>2</v>
      </c>
      <c r="Y829">
        <v>1.5833333333333333</v>
      </c>
      <c r="Z829" s="223">
        <f>SUM( tabConsumo[[#This Row],[QTD.PENDENTE]]:tabConsumo[[#This Row],[09_23]] )</f>
        <v>20</v>
      </c>
      <c r="AA829" s="223">
        <f>LARGE(tabConsumo[[#This Row],[10_22]:[09_23]],1)</f>
        <v>6</v>
      </c>
      <c r="AB829" s="146" t="s">
        <v>2240</v>
      </c>
      <c r="AC829" s="3" t="s">
        <v>2086</v>
      </c>
    </row>
    <row r="830" spans="1:29" x14ac:dyDescent="0.3">
      <c r="A830" s="4" t="s">
        <v>1044</v>
      </c>
      <c r="B830" s="3" t="s">
        <v>345</v>
      </c>
      <c r="C830" s="2">
        <v>13561</v>
      </c>
      <c r="D830" s="2">
        <v>54</v>
      </c>
      <c r="E830" s="2">
        <v>4</v>
      </c>
      <c r="F830" s="2">
        <v>12</v>
      </c>
      <c r="G830" s="2">
        <v>17</v>
      </c>
      <c r="H830" s="2">
        <v>14</v>
      </c>
      <c r="I830" s="2">
        <v>2</v>
      </c>
      <c r="J830" s="2">
        <v>3</v>
      </c>
      <c r="K830" s="2">
        <v>16</v>
      </c>
      <c r="L830" s="2">
        <v>9</v>
      </c>
      <c r="M830" s="2">
        <v>10</v>
      </c>
      <c r="N830" s="2">
        <v>0</v>
      </c>
      <c r="O830" s="2">
        <v>0</v>
      </c>
      <c r="P830" s="2">
        <v>0</v>
      </c>
      <c r="Q830" s="2">
        <v>14</v>
      </c>
      <c r="R830" s="238">
        <v>367</v>
      </c>
      <c r="S830" s="219">
        <f t="shared" si="29"/>
        <v>12</v>
      </c>
      <c r="T830" s="220">
        <f>SUM( tabConsumo[[#This Row],[QTD.PENDENTE]]:tabConsumo[[#This Row],[09_23]] ) / tabConsumo[[#This Row],[Div]]</f>
        <v>8.4166666666666661</v>
      </c>
      <c r="U830" s="221">
        <f xml:space="preserve"> tabConsumo[[#This Row],[Média.A]] + (_xlfn.STDEV.S( tabConsumo[[#This Row],[QTD.PENDENTE]]:tabConsumo[[#This Row],[09_23]] ) * 1)</f>
        <v>14.912227280832905</v>
      </c>
      <c r="V830" s="221">
        <f xml:space="preserve"> tabConsumo[[#This Row],[Média.A]] + (_xlfn.STDEV.S( tabConsumo[[#This Row],[QTD.PENDENTE]]:tabConsumo[[#This Row],[09_23]] ) * 2)</f>
        <v>21.407787894999146</v>
      </c>
      <c r="W830" s="221">
        <f xml:space="preserve"> tabConsumo[[#This Row],[Média.A]] + (_xlfn.STDEV.S( tabConsumo[[#This Row],[QTD.PENDENTE]]:tabConsumo[[#This Row],[09_23]] ) * 3)</f>
        <v>27.903348509165383</v>
      </c>
      <c r="X830" s="5">
        <f t="shared" si="28"/>
        <v>2</v>
      </c>
      <c r="Y830">
        <v>8.4166666666666661</v>
      </c>
      <c r="Z830" s="223">
        <f>SUM( tabConsumo[[#This Row],[QTD.PENDENTE]]:tabConsumo[[#This Row],[09_23]] )</f>
        <v>101</v>
      </c>
      <c r="AA830" s="223">
        <f>LARGE(tabConsumo[[#This Row],[10_22]:[09_23]],1)</f>
        <v>17</v>
      </c>
      <c r="AB830" s="146" t="s">
        <v>2238</v>
      </c>
      <c r="AC830" s="3" t="s">
        <v>2086</v>
      </c>
    </row>
    <row r="831" spans="1:29" x14ac:dyDescent="0.3">
      <c r="A831" s="4" t="s">
        <v>1040</v>
      </c>
      <c r="B831" s="3" t="s">
        <v>345</v>
      </c>
      <c r="C831" s="2">
        <v>13558</v>
      </c>
      <c r="D831" s="2">
        <v>106</v>
      </c>
      <c r="F831" s="2">
        <v>2</v>
      </c>
      <c r="G831" s="2">
        <v>2</v>
      </c>
      <c r="H831" s="2">
        <v>6</v>
      </c>
      <c r="I831" s="2">
        <v>3</v>
      </c>
      <c r="J831" s="2">
        <v>0</v>
      </c>
      <c r="K831" s="2">
        <v>15</v>
      </c>
      <c r="L831" s="2">
        <v>6</v>
      </c>
      <c r="M831" s="2">
        <v>12</v>
      </c>
      <c r="N831" s="2">
        <v>0</v>
      </c>
      <c r="O831" s="2">
        <v>3</v>
      </c>
      <c r="P831" s="2">
        <v>0</v>
      </c>
      <c r="Q831" s="2">
        <v>6</v>
      </c>
      <c r="R831" s="238">
        <v>367</v>
      </c>
      <c r="S831" s="219">
        <f t="shared" si="29"/>
        <v>12</v>
      </c>
      <c r="T831" s="220">
        <f>SUM( tabConsumo[[#This Row],[QTD.PENDENTE]]:tabConsumo[[#This Row],[09_23]] ) / tabConsumo[[#This Row],[Div]]</f>
        <v>4.583333333333333</v>
      </c>
      <c r="U831" s="221">
        <f xml:space="preserve"> tabConsumo[[#This Row],[Média.A]] + (_xlfn.STDEV.S( tabConsumo[[#This Row],[QTD.PENDENTE]]:tabConsumo[[#This Row],[09_23]] ) * 1)</f>
        <v>9.3593783562163928</v>
      </c>
      <c r="V831" s="221">
        <f xml:space="preserve"> tabConsumo[[#This Row],[Média.A]] + (_xlfn.STDEV.S( tabConsumo[[#This Row],[QTD.PENDENTE]]:tabConsumo[[#This Row],[09_23]] ) * 2)</f>
        <v>14.135423379099453</v>
      </c>
      <c r="W831" s="221">
        <f xml:space="preserve"> tabConsumo[[#This Row],[Média.A]] + (_xlfn.STDEV.S( tabConsumo[[#This Row],[QTD.PENDENTE]]:tabConsumo[[#This Row],[09_23]] ) * 3)</f>
        <v>18.911468401982514</v>
      </c>
      <c r="X831" s="5">
        <f t="shared" si="28"/>
        <v>2</v>
      </c>
      <c r="Y831">
        <v>4.5</v>
      </c>
      <c r="Z831" s="223">
        <f>SUM( tabConsumo[[#This Row],[QTD.PENDENTE]]:tabConsumo[[#This Row],[09_23]] )</f>
        <v>55</v>
      </c>
      <c r="AA831" s="223">
        <f>LARGE(tabConsumo[[#This Row],[10_22]:[09_23]],1)</f>
        <v>15</v>
      </c>
      <c r="AB831" s="146" t="s">
        <v>2238</v>
      </c>
      <c r="AC831" s="3" t="s">
        <v>2086</v>
      </c>
    </row>
    <row r="832" spans="1:29" x14ac:dyDescent="0.3">
      <c r="A832" s="4" t="s">
        <v>1708</v>
      </c>
      <c r="B832" s="3" t="s">
        <v>31</v>
      </c>
      <c r="C832" s="2">
        <v>114822</v>
      </c>
      <c r="D832" s="2">
        <v>39</v>
      </c>
      <c r="F832" s="2">
        <v>3</v>
      </c>
      <c r="G832" s="2">
        <v>0</v>
      </c>
      <c r="H832" s="2">
        <v>0</v>
      </c>
      <c r="I832" s="2">
        <v>0</v>
      </c>
      <c r="J832" s="2">
        <v>0</v>
      </c>
      <c r="K832" s="2">
        <v>10</v>
      </c>
      <c r="L832" s="2">
        <v>8</v>
      </c>
      <c r="M832" s="2">
        <v>0</v>
      </c>
      <c r="N832" s="2">
        <v>0</v>
      </c>
      <c r="O832" s="2">
        <v>0</v>
      </c>
      <c r="P832" s="2">
        <v>3</v>
      </c>
      <c r="Q832" s="2">
        <v>0</v>
      </c>
      <c r="R832" s="238">
        <v>40277</v>
      </c>
      <c r="S832" s="219">
        <v>12</v>
      </c>
      <c r="T832" s="220">
        <f>SUM( tabConsumo[[#This Row],[QTD.PENDENTE]]:tabConsumo[[#This Row],[09_23]] ) / tabConsumo[[#This Row],[Div]]</f>
        <v>2</v>
      </c>
      <c r="U832" s="221">
        <f xml:space="preserve"> tabConsumo[[#This Row],[Média.A]] + (_xlfn.STDEV.S( tabConsumo[[#This Row],[QTD.PENDENTE]]:tabConsumo[[#This Row],[09_23]] ) * 1)</f>
        <v>5.490246149173176</v>
      </c>
      <c r="V832" s="221">
        <f xml:space="preserve"> tabConsumo[[#This Row],[Média.A]] + (_xlfn.STDEV.S( tabConsumo[[#This Row],[QTD.PENDENTE]]:tabConsumo[[#This Row],[09_23]] ) * 2)</f>
        <v>8.980492298346352</v>
      </c>
      <c r="W832" s="221">
        <f xml:space="preserve"> tabConsumo[[#This Row],[Média.A]] + (_xlfn.STDEV.S( tabConsumo[[#This Row],[QTD.PENDENTE]]:tabConsumo[[#This Row],[09_23]] ) * 3)</f>
        <v>12.470738447519526</v>
      </c>
      <c r="X832" s="5">
        <f t="shared" si="28"/>
        <v>2</v>
      </c>
      <c r="Y832">
        <v>1.8333333333333333</v>
      </c>
      <c r="Z832" s="223">
        <f>SUM( tabConsumo[[#This Row],[QTD.PENDENTE]]:tabConsumo[[#This Row],[09_23]] )</f>
        <v>24</v>
      </c>
      <c r="AA832" s="223">
        <f>LARGE(tabConsumo[[#This Row],[10_22]:[09_23]],1)</f>
        <v>10</v>
      </c>
      <c r="AB832" s="146" t="s">
        <v>2241</v>
      </c>
      <c r="AC832" s="3" t="s">
        <v>2086</v>
      </c>
    </row>
    <row r="833" spans="1:29" x14ac:dyDescent="0.3">
      <c r="A833" s="4" t="s">
        <v>1349</v>
      </c>
      <c r="B833" s="3" t="s">
        <v>263</v>
      </c>
      <c r="C833" s="2">
        <v>60116</v>
      </c>
      <c r="D833" s="2">
        <v>141</v>
      </c>
      <c r="F833" s="2">
        <v>7</v>
      </c>
      <c r="G833" s="2">
        <v>2</v>
      </c>
      <c r="H833" s="2">
        <v>12</v>
      </c>
      <c r="I833" s="2">
        <v>9</v>
      </c>
      <c r="J833" s="2">
        <v>4</v>
      </c>
      <c r="K833" s="2">
        <v>14</v>
      </c>
      <c r="L833" s="2">
        <v>12</v>
      </c>
      <c r="M833" s="2">
        <v>0</v>
      </c>
      <c r="N833" s="2">
        <v>10</v>
      </c>
      <c r="O833" s="2">
        <v>10</v>
      </c>
      <c r="P833" s="2">
        <v>0</v>
      </c>
      <c r="Q833" s="2">
        <v>10</v>
      </c>
      <c r="R833" s="238">
        <v>367</v>
      </c>
      <c r="S833" s="219">
        <f xml:space="preserve"> 12</f>
        <v>12</v>
      </c>
      <c r="T833" s="220">
        <f>SUM( tabConsumo[[#This Row],[QTD.PENDENTE]]:tabConsumo[[#This Row],[09_23]] ) / tabConsumo[[#This Row],[Div]]</f>
        <v>7.5</v>
      </c>
      <c r="U833" s="221">
        <f xml:space="preserve"> tabConsumo[[#This Row],[Média.A]] + (_xlfn.STDEV.S( tabConsumo[[#This Row],[QTD.PENDENTE]]:tabConsumo[[#This Row],[09_23]] ) * 1)</f>
        <v>12.352365870939098</v>
      </c>
      <c r="V833" s="221">
        <f xml:space="preserve"> tabConsumo[[#This Row],[Média.A]] + (_xlfn.STDEV.S( tabConsumo[[#This Row],[QTD.PENDENTE]]:tabConsumo[[#This Row],[09_23]] ) * 2)</f>
        <v>17.204731741878195</v>
      </c>
      <c r="W833" s="221">
        <f xml:space="preserve"> tabConsumo[[#This Row],[Média.A]] + (_xlfn.STDEV.S( tabConsumo[[#This Row],[QTD.PENDENTE]]:tabConsumo[[#This Row],[09_23]] ) * 3)</f>
        <v>22.057097612817294</v>
      </c>
      <c r="X833" s="5">
        <f t="shared" si="28"/>
        <v>2</v>
      </c>
      <c r="Y833">
        <v>7.5</v>
      </c>
      <c r="Z833" s="223">
        <f>SUM( tabConsumo[[#This Row],[QTD.PENDENTE]]:tabConsumo[[#This Row],[09_23]] )</f>
        <v>90</v>
      </c>
      <c r="AA833" s="223">
        <f>LARGE(tabConsumo[[#This Row],[10_22]:[09_23]],1)</f>
        <v>14</v>
      </c>
      <c r="AB833" s="146" t="s">
        <v>2238</v>
      </c>
      <c r="AC833" s="3" t="s">
        <v>2086</v>
      </c>
    </row>
    <row r="834" spans="1:29" x14ac:dyDescent="0.3">
      <c r="A834" s="4" t="s">
        <v>1370</v>
      </c>
      <c r="B834" s="3" t="s">
        <v>345</v>
      </c>
      <c r="C834" s="2">
        <v>64253</v>
      </c>
      <c r="D834" s="2">
        <v>1590</v>
      </c>
      <c r="F834" s="2">
        <v>94</v>
      </c>
      <c r="G834" s="2">
        <v>0</v>
      </c>
      <c r="H834" s="2">
        <v>0</v>
      </c>
      <c r="I834" s="2">
        <v>0</v>
      </c>
      <c r="J834" s="2">
        <v>0</v>
      </c>
      <c r="K834" s="2">
        <v>352</v>
      </c>
      <c r="L834" s="2">
        <v>176</v>
      </c>
      <c r="M834" s="2">
        <v>176</v>
      </c>
      <c r="N834" s="2">
        <v>170</v>
      </c>
      <c r="O834" s="2">
        <v>0</v>
      </c>
      <c r="P834" s="2">
        <v>352</v>
      </c>
      <c r="Q834" s="2">
        <v>0</v>
      </c>
      <c r="R834" s="238">
        <v>367</v>
      </c>
      <c r="S834" s="219">
        <f xml:space="preserve"> 12</f>
        <v>12</v>
      </c>
      <c r="T834" s="220">
        <f>SUM( tabConsumo[[#This Row],[QTD.PENDENTE]]:tabConsumo[[#This Row],[09_23]] ) / tabConsumo[[#This Row],[Div]]</f>
        <v>110</v>
      </c>
      <c r="U834" s="221">
        <f xml:space="preserve"> tabConsumo[[#This Row],[Média.A]] + (_xlfn.STDEV.S( tabConsumo[[#This Row],[QTD.PENDENTE]]:tabConsumo[[#This Row],[09_23]] ) * 1)</f>
        <v>245.61174526767752</v>
      </c>
      <c r="V834" s="221">
        <f xml:space="preserve"> tabConsumo[[#This Row],[Média.A]] + (_xlfn.STDEV.S( tabConsumo[[#This Row],[QTD.PENDENTE]]:tabConsumo[[#This Row],[09_23]] ) * 2)</f>
        <v>381.22349053535504</v>
      </c>
      <c r="W834" s="221">
        <f xml:space="preserve"> tabConsumo[[#This Row],[Média.A]] + (_xlfn.STDEV.S( tabConsumo[[#This Row],[QTD.PENDENTE]]:tabConsumo[[#This Row],[09_23]] ) * 3)</f>
        <v>516.83523580303256</v>
      </c>
      <c r="X834" s="5">
        <f t="shared" si="28"/>
        <v>2</v>
      </c>
      <c r="Y834">
        <v>110</v>
      </c>
      <c r="Z834" s="223">
        <f>SUM( tabConsumo[[#This Row],[QTD.PENDENTE]]:tabConsumo[[#This Row],[09_23]] )</f>
        <v>1320</v>
      </c>
      <c r="AA834" s="223">
        <f>LARGE(tabConsumo[[#This Row],[10_22]:[09_23]],1)</f>
        <v>352</v>
      </c>
      <c r="AB834" s="146" t="s">
        <v>2241</v>
      </c>
      <c r="AC834" s="3" t="s">
        <v>2086</v>
      </c>
    </row>
    <row r="835" spans="1:29" x14ac:dyDescent="0.3">
      <c r="A835" s="4" t="s">
        <v>1681</v>
      </c>
      <c r="B835" s="3" t="s">
        <v>345</v>
      </c>
      <c r="C835" s="2">
        <v>111336</v>
      </c>
      <c r="D835" s="2">
        <v>622</v>
      </c>
      <c r="F835" s="2">
        <v>6</v>
      </c>
      <c r="G835" s="2">
        <v>80</v>
      </c>
      <c r="H835" s="2">
        <v>15</v>
      </c>
      <c r="I835" s="2">
        <v>0</v>
      </c>
      <c r="J835" s="2">
        <v>35</v>
      </c>
      <c r="K835" s="2">
        <v>30</v>
      </c>
      <c r="L835" s="2">
        <v>120</v>
      </c>
      <c r="M835" s="2">
        <v>90</v>
      </c>
      <c r="N835" s="2">
        <v>91</v>
      </c>
      <c r="O835" s="2">
        <v>0</v>
      </c>
      <c r="P835" s="2">
        <v>0</v>
      </c>
      <c r="Q835" s="2">
        <v>0</v>
      </c>
      <c r="R835" s="238">
        <v>39981</v>
      </c>
      <c r="S835" s="219">
        <v>12</v>
      </c>
      <c r="T835" s="220">
        <f>SUM( tabConsumo[[#This Row],[QTD.PENDENTE]]:tabConsumo[[#This Row],[09_23]] ) / tabConsumo[[#This Row],[Div]]</f>
        <v>38.916666666666664</v>
      </c>
      <c r="U835" s="221">
        <f xml:space="preserve"> tabConsumo[[#This Row],[Média.A]] + (_xlfn.STDEV.S( tabConsumo[[#This Row],[QTD.PENDENTE]]:tabConsumo[[#This Row],[09_23]] ) * 1)</f>
        <v>83.016673538101571</v>
      </c>
      <c r="V835" s="221">
        <f xml:space="preserve"> tabConsumo[[#This Row],[Média.A]] + (_xlfn.STDEV.S( tabConsumo[[#This Row],[QTD.PENDENTE]]:tabConsumo[[#This Row],[09_23]] ) * 2)</f>
        <v>127.11668040953649</v>
      </c>
      <c r="W835" s="221">
        <f xml:space="preserve"> tabConsumo[[#This Row],[Média.A]] + (_xlfn.STDEV.S( tabConsumo[[#This Row],[QTD.PENDENTE]]:tabConsumo[[#This Row],[09_23]] ) * 3)</f>
        <v>171.21668728097137</v>
      </c>
      <c r="X835" s="5">
        <f t="shared" ref="X835:X862" si="30" xml:space="preserve"> 2</f>
        <v>2</v>
      </c>
      <c r="Y835">
        <v>38.916666666666664</v>
      </c>
      <c r="Z835" s="223">
        <f>SUM( tabConsumo[[#This Row],[QTD.PENDENTE]]:tabConsumo[[#This Row],[09_23]] )</f>
        <v>467</v>
      </c>
      <c r="AA835" s="223">
        <f>LARGE(tabConsumo[[#This Row],[10_22]:[09_23]],1)</f>
        <v>120</v>
      </c>
      <c r="AB835" s="146" t="s">
        <v>2246</v>
      </c>
      <c r="AC835" s="3" t="s">
        <v>2086</v>
      </c>
    </row>
    <row r="836" spans="1:29" x14ac:dyDescent="0.3">
      <c r="A836" s="4" t="s">
        <v>1395</v>
      </c>
      <c r="B836" s="3" t="s">
        <v>345</v>
      </c>
      <c r="C836" s="2">
        <v>66168</v>
      </c>
      <c r="D836" s="2">
        <v>139</v>
      </c>
      <c r="F836" s="2">
        <v>20</v>
      </c>
      <c r="G836" s="2">
        <v>189</v>
      </c>
      <c r="H836" s="2">
        <v>0</v>
      </c>
      <c r="I836" s="2">
        <v>15</v>
      </c>
      <c r="J836" s="2">
        <v>10</v>
      </c>
      <c r="K836" s="2">
        <v>0</v>
      </c>
      <c r="L836" s="2">
        <v>0</v>
      </c>
      <c r="M836" s="2">
        <v>200</v>
      </c>
      <c r="N836" s="2">
        <v>0</v>
      </c>
      <c r="O836" s="2">
        <v>0</v>
      </c>
      <c r="P836" s="2">
        <v>253</v>
      </c>
      <c r="Q836" s="2">
        <v>0</v>
      </c>
      <c r="R836" s="238">
        <v>367</v>
      </c>
      <c r="S836" s="219">
        <f xml:space="preserve"> 12</f>
        <v>12</v>
      </c>
      <c r="T836" s="220">
        <f>SUM( tabConsumo[[#This Row],[QTD.PENDENTE]]:tabConsumo[[#This Row],[09_23]] ) / tabConsumo[[#This Row],[Div]]</f>
        <v>57.25</v>
      </c>
      <c r="U836" s="221">
        <f xml:space="preserve"> tabConsumo[[#This Row],[Média.A]] + (_xlfn.STDEV.S( tabConsumo[[#This Row],[QTD.PENDENTE]]:tabConsumo[[#This Row],[09_23]] ) * 1)</f>
        <v>153.13072609426587</v>
      </c>
      <c r="V836" s="221">
        <f xml:space="preserve"> tabConsumo[[#This Row],[Média.A]] + (_xlfn.STDEV.S( tabConsumo[[#This Row],[QTD.PENDENTE]]:tabConsumo[[#This Row],[09_23]] ) * 2)</f>
        <v>249.01145218853173</v>
      </c>
      <c r="W836" s="221">
        <f xml:space="preserve"> tabConsumo[[#This Row],[Média.A]] + (_xlfn.STDEV.S( tabConsumo[[#This Row],[QTD.PENDENTE]]:tabConsumo[[#This Row],[09_23]] ) * 3)</f>
        <v>344.8921782827976</v>
      </c>
      <c r="X836" s="5">
        <f t="shared" si="30"/>
        <v>2</v>
      </c>
      <c r="Y836">
        <v>56.916666666666664</v>
      </c>
      <c r="Z836" s="223">
        <f>SUM( tabConsumo[[#This Row],[QTD.PENDENTE]]:tabConsumo[[#This Row],[09_23]] )</f>
        <v>687</v>
      </c>
      <c r="AA836" s="223">
        <f>LARGE(tabConsumo[[#This Row],[10_22]:[09_23]],1)</f>
        <v>253</v>
      </c>
      <c r="AB836" s="146" t="s">
        <v>2241</v>
      </c>
      <c r="AC836" s="3" t="s">
        <v>2086</v>
      </c>
    </row>
    <row r="837" spans="1:29" x14ac:dyDescent="0.3">
      <c r="A837" s="4" t="s">
        <v>1288</v>
      </c>
      <c r="B837" s="3" t="s">
        <v>263</v>
      </c>
      <c r="C837" s="2">
        <v>45607</v>
      </c>
      <c r="D837" s="2">
        <v>692</v>
      </c>
      <c r="F837" s="2">
        <v>56</v>
      </c>
      <c r="G837" s="2">
        <v>30</v>
      </c>
      <c r="H837" s="2">
        <v>44</v>
      </c>
      <c r="I837" s="2">
        <v>33</v>
      </c>
      <c r="J837" s="2">
        <v>43</v>
      </c>
      <c r="K837" s="2">
        <v>89</v>
      </c>
      <c r="L837" s="2">
        <v>30</v>
      </c>
      <c r="M837" s="2">
        <v>0</v>
      </c>
      <c r="N837" s="2">
        <v>0</v>
      </c>
      <c r="O837" s="2">
        <v>20</v>
      </c>
      <c r="P837" s="2">
        <v>30</v>
      </c>
      <c r="Q837" s="2">
        <v>40</v>
      </c>
      <c r="R837" s="238">
        <v>367</v>
      </c>
      <c r="S837" s="219">
        <f xml:space="preserve"> 12</f>
        <v>12</v>
      </c>
      <c r="T837" s="220">
        <f>SUM( tabConsumo[[#This Row],[QTD.PENDENTE]]:tabConsumo[[#This Row],[09_23]] ) / tabConsumo[[#This Row],[Div]]</f>
        <v>34.583333333333336</v>
      </c>
      <c r="U837" s="221">
        <f xml:space="preserve"> tabConsumo[[#This Row],[Média.A]] + (_xlfn.STDEV.S( tabConsumo[[#This Row],[QTD.PENDENTE]]:tabConsumo[[#This Row],[09_23]] ) * 1)</f>
        <v>58.474976350518361</v>
      </c>
      <c r="V837" s="221">
        <f xml:space="preserve"> tabConsumo[[#This Row],[Média.A]] + (_xlfn.STDEV.S( tabConsumo[[#This Row],[QTD.PENDENTE]]:tabConsumo[[#This Row],[09_23]] ) * 2)</f>
        <v>82.366619367703379</v>
      </c>
      <c r="W837" s="221">
        <f xml:space="preserve"> tabConsumo[[#This Row],[Média.A]] + (_xlfn.STDEV.S( tabConsumo[[#This Row],[QTD.PENDENTE]]:tabConsumo[[#This Row],[09_23]] ) * 3)</f>
        <v>106.25826238488841</v>
      </c>
      <c r="X837" s="5">
        <f t="shared" si="30"/>
        <v>2</v>
      </c>
      <c r="Y837">
        <v>34</v>
      </c>
      <c r="Z837" s="223">
        <f>SUM( tabConsumo[[#This Row],[QTD.PENDENTE]]:tabConsumo[[#This Row],[09_23]] )</f>
        <v>415</v>
      </c>
      <c r="AA837" s="223">
        <f>LARGE(tabConsumo[[#This Row],[10_22]:[09_23]],1)</f>
        <v>89</v>
      </c>
      <c r="AB837" s="146" t="s">
        <v>2238</v>
      </c>
      <c r="AC837" s="3" t="s">
        <v>2086</v>
      </c>
    </row>
    <row r="838" spans="1:29" x14ac:dyDescent="0.3">
      <c r="A838" s="4" t="s">
        <v>1235</v>
      </c>
      <c r="B838" s="3" t="s">
        <v>263</v>
      </c>
      <c r="C838" s="2">
        <v>28308</v>
      </c>
      <c r="D838" s="2">
        <v>74</v>
      </c>
      <c r="F838" s="2">
        <v>2</v>
      </c>
      <c r="G838" s="2">
        <v>0</v>
      </c>
      <c r="H838" s="2">
        <v>9</v>
      </c>
      <c r="I838" s="2">
        <v>0</v>
      </c>
      <c r="J838" s="2">
        <v>4</v>
      </c>
      <c r="K838" s="2">
        <v>10</v>
      </c>
      <c r="L838" s="2">
        <v>34</v>
      </c>
      <c r="M838" s="2">
        <v>0</v>
      </c>
      <c r="N838" s="2">
        <v>0</v>
      </c>
      <c r="O838" s="2">
        <v>0</v>
      </c>
      <c r="P838" s="2">
        <v>0</v>
      </c>
      <c r="Q838" s="2">
        <v>0</v>
      </c>
      <c r="R838" s="238">
        <v>367</v>
      </c>
      <c r="S838" s="219">
        <f xml:space="preserve"> 12</f>
        <v>12</v>
      </c>
      <c r="T838" s="220">
        <f>SUM( tabConsumo[[#This Row],[QTD.PENDENTE]]:tabConsumo[[#This Row],[09_23]] ) / tabConsumo[[#This Row],[Div]]</f>
        <v>4.916666666666667</v>
      </c>
      <c r="U838" s="221">
        <f xml:space="preserve"> tabConsumo[[#This Row],[Média.A]] + (_xlfn.STDEV.S( tabConsumo[[#This Row],[QTD.PENDENTE]]:tabConsumo[[#This Row],[09_23]] ) * 1)</f>
        <v>14.765139860132965</v>
      </c>
      <c r="V838" s="221">
        <f xml:space="preserve"> tabConsumo[[#This Row],[Média.A]] + (_xlfn.STDEV.S( tabConsumo[[#This Row],[QTD.PENDENTE]]:tabConsumo[[#This Row],[09_23]] ) * 2)</f>
        <v>24.613613053599263</v>
      </c>
      <c r="W838" s="221">
        <f xml:space="preserve"> tabConsumo[[#This Row],[Média.A]] + (_xlfn.STDEV.S( tabConsumo[[#This Row],[QTD.PENDENTE]]:tabConsumo[[#This Row],[09_23]] ) * 3)</f>
        <v>34.462086247065557</v>
      </c>
      <c r="X838" s="5">
        <f t="shared" si="30"/>
        <v>2</v>
      </c>
      <c r="Y838">
        <v>4.083333333333333</v>
      </c>
      <c r="Z838" s="223">
        <f>SUM( tabConsumo[[#This Row],[QTD.PENDENTE]]:tabConsumo[[#This Row],[09_23]] )</f>
        <v>59</v>
      </c>
      <c r="AA838" s="223">
        <f>LARGE(tabConsumo[[#This Row],[10_22]:[09_23]],1)</f>
        <v>34</v>
      </c>
      <c r="AB838" s="146" t="s">
        <v>2240</v>
      </c>
      <c r="AC838" s="3" t="s">
        <v>2086</v>
      </c>
    </row>
    <row r="839" spans="1:29" x14ac:dyDescent="0.3">
      <c r="A839" s="4" t="s">
        <v>1233</v>
      </c>
      <c r="B839" s="3" t="s">
        <v>263</v>
      </c>
      <c r="C839" s="2">
        <v>28306</v>
      </c>
      <c r="D839" s="2">
        <v>133</v>
      </c>
      <c r="F839" s="2">
        <v>4</v>
      </c>
      <c r="G839" s="2">
        <v>0</v>
      </c>
      <c r="H839" s="2">
        <v>5</v>
      </c>
      <c r="I839" s="2">
        <v>4</v>
      </c>
      <c r="J839" s="2">
        <v>0</v>
      </c>
      <c r="K839" s="2">
        <v>2</v>
      </c>
      <c r="L839" s="2">
        <v>5</v>
      </c>
      <c r="M839" s="2">
        <v>0</v>
      </c>
      <c r="N839" s="2">
        <v>0</v>
      </c>
      <c r="O839" s="2">
        <v>0</v>
      </c>
      <c r="P839" s="2">
        <v>0</v>
      </c>
      <c r="Q839" s="2">
        <v>0</v>
      </c>
      <c r="R839" s="238">
        <v>367</v>
      </c>
      <c r="S839" s="219">
        <f xml:space="preserve"> 12</f>
        <v>12</v>
      </c>
      <c r="T839" s="220">
        <f>SUM( tabConsumo[[#This Row],[QTD.PENDENTE]]:tabConsumo[[#This Row],[09_23]] ) / tabConsumo[[#This Row],[Div]]</f>
        <v>1.6666666666666667</v>
      </c>
      <c r="U839" s="221">
        <f xml:space="preserve"> tabConsumo[[#This Row],[Média.A]] + (_xlfn.STDEV.S( tabConsumo[[#This Row],[QTD.PENDENTE]]:tabConsumo[[#This Row],[09_23]] ) * 1)</f>
        <v>3.8547888725497819</v>
      </c>
      <c r="V839" s="221">
        <f xml:space="preserve"> tabConsumo[[#This Row],[Média.A]] + (_xlfn.STDEV.S( tabConsumo[[#This Row],[QTD.PENDENTE]]:tabConsumo[[#This Row],[09_23]] ) * 2)</f>
        <v>6.0429110784328968</v>
      </c>
      <c r="W839" s="221">
        <f xml:space="preserve"> tabConsumo[[#This Row],[Média.A]] + (_xlfn.STDEV.S( tabConsumo[[#This Row],[QTD.PENDENTE]]:tabConsumo[[#This Row],[09_23]] ) * 3)</f>
        <v>8.2310332843160108</v>
      </c>
      <c r="X839" s="5">
        <f t="shared" si="30"/>
        <v>2</v>
      </c>
      <c r="Y839">
        <v>1.6666666666666667</v>
      </c>
      <c r="Z839" s="223">
        <f>SUM( tabConsumo[[#This Row],[QTD.PENDENTE]]:tabConsumo[[#This Row],[09_23]] )</f>
        <v>20</v>
      </c>
      <c r="AA839" s="223">
        <f>LARGE(tabConsumo[[#This Row],[10_22]:[09_23]],1)</f>
        <v>5</v>
      </c>
      <c r="AB839" s="146" t="s">
        <v>2240</v>
      </c>
      <c r="AC839" s="3" t="s">
        <v>2086</v>
      </c>
    </row>
    <row r="840" spans="1:29" x14ac:dyDescent="0.3">
      <c r="A840" s="4" t="s">
        <v>1234</v>
      </c>
      <c r="B840" s="3" t="s">
        <v>263</v>
      </c>
      <c r="C840" s="2">
        <v>28307</v>
      </c>
      <c r="D840" s="2">
        <v>22</v>
      </c>
      <c r="F840" s="2">
        <v>0</v>
      </c>
      <c r="G840" s="2">
        <v>0</v>
      </c>
      <c r="H840" s="2">
        <v>0</v>
      </c>
      <c r="I840" s="2">
        <v>0</v>
      </c>
      <c r="J840" s="2">
        <v>0</v>
      </c>
      <c r="K840" s="2">
        <v>0</v>
      </c>
      <c r="L840" s="2">
        <v>8</v>
      </c>
      <c r="M840" s="2">
        <v>0</v>
      </c>
      <c r="N840" s="2">
        <v>0</v>
      </c>
      <c r="O840" s="2">
        <v>0</v>
      </c>
      <c r="P840" s="2">
        <v>0</v>
      </c>
      <c r="Q840" s="2">
        <v>0</v>
      </c>
      <c r="R840" s="238">
        <v>367</v>
      </c>
      <c r="S840" s="219">
        <f xml:space="preserve"> 12</f>
        <v>12</v>
      </c>
      <c r="T840" s="220">
        <f>SUM( tabConsumo[[#This Row],[QTD.PENDENTE]]:tabConsumo[[#This Row],[09_23]] ) / tabConsumo[[#This Row],[Div]]</f>
        <v>0.66666666666666663</v>
      </c>
      <c r="U840" s="221">
        <f xml:space="preserve"> tabConsumo[[#This Row],[Média.A]] + (_xlfn.STDEV.S( tabConsumo[[#This Row],[QTD.PENDENTE]]:tabConsumo[[#This Row],[09_23]] ) * 1)</f>
        <v>2.9760677434251694</v>
      </c>
      <c r="V840" s="221">
        <f xml:space="preserve"> tabConsumo[[#This Row],[Média.A]] + (_xlfn.STDEV.S( tabConsumo[[#This Row],[QTD.PENDENTE]]:tabConsumo[[#This Row],[09_23]] ) * 2)</f>
        <v>5.2854688201836728</v>
      </c>
      <c r="W840" s="221">
        <f xml:space="preserve"> tabConsumo[[#This Row],[Média.A]] + (_xlfn.STDEV.S( tabConsumo[[#This Row],[QTD.PENDENTE]]:tabConsumo[[#This Row],[09_23]] ) * 3)</f>
        <v>7.5948698969421757</v>
      </c>
      <c r="X840" s="5">
        <f t="shared" si="30"/>
        <v>2</v>
      </c>
      <c r="Y840">
        <v>0.41666666666666669</v>
      </c>
      <c r="Z840" s="223">
        <f>SUM( tabConsumo[[#This Row],[QTD.PENDENTE]]:tabConsumo[[#This Row],[09_23]] )</f>
        <v>8</v>
      </c>
      <c r="AA840" s="223">
        <f>LARGE(tabConsumo[[#This Row],[10_22]:[09_23]],1)</f>
        <v>8</v>
      </c>
      <c r="AB840" s="146" t="s">
        <v>2240</v>
      </c>
      <c r="AC840" s="3" t="s">
        <v>2086</v>
      </c>
    </row>
    <row r="841" spans="1:29" x14ac:dyDescent="0.3">
      <c r="A841" s="4" t="s">
        <v>1467</v>
      </c>
      <c r="B841" s="3" t="s">
        <v>263</v>
      </c>
      <c r="C841" s="2">
        <v>80390</v>
      </c>
      <c r="D841" s="2">
        <v>75</v>
      </c>
      <c r="F841" s="2">
        <v>0</v>
      </c>
      <c r="G841" s="2">
        <v>3</v>
      </c>
      <c r="H841" s="2">
        <v>7</v>
      </c>
      <c r="I841" s="2">
        <v>0</v>
      </c>
      <c r="J841" s="2">
        <v>10</v>
      </c>
      <c r="K841" s="2">
        <v>9</v>
      </c>
      <c r="L841" s="2">
        <v>11</v>
      </c>
      <c r="M841" s="2">
        <v>50</v>
      </c>
      <c r="N841" s="2">
        <v>0</v>
      </c>
      <c r="O841" s="2">
        <v>0</v>
      </c>
      <c r="P841" s="2">
        <v>0</v>
      </c>
      <c r="Q841" s="2">
        <v>0</v>
      </c>
      <c r="R841" s="238">
        <v>38169</v>
      </c>
      <c r="S841" s="219">
        <v>12</v>
      </c>
      <c r="T841" s="220">
        <f>SUM( tabConsumo[[#This Row],[QTD.PENDENTE]]:tabConsumo[[#This Row],[09_23]] ) / tabConsumo[[#This Row],[Div]]</f>
        <v>7.5</v>
      </c>
      <c r="U841" s="221">
        <f xml:space="preserve"> tabConsumo[[#This Row],[Média.A]] + (_xlfn.STDEV.S( tabConsumo[[#This Row],[QTD.PENDENTE]]:tabConsumo[[#This Row],[09_23]] ) * 1)</f>
        <v>21.593841337136006</v>
      </c>
      <c r="V841" s="221">
        <f xml:space="preserve"> tabConsumo[[#This Row],[Média.A]] + (_xlfn.STDEV.S( tabConsumo[[#This Row],[QTD.PENDENTE]]:tabConsumo[[#This Row],[09_23]] ) * 2)</f>
        <v>35.687682674272011</v>
      </c>
      <c r="W841" s="221">
        <f xml:space="preserve"> tabConsumo[[#This Row],[Média.A]] + (_xlfn.STDEV.S( tabConsumo[[#This Row],[QTD.PENDENTE]]:tabConsumo[[#This Row],[09_23]] ) * 3)</f>
        <v>49.781524011408017</v>
      </c>
      <c r="X841" s="5">
        <f t="shared" si="30"/>
        <v>2</v>
      </c>
      <c r="Y841">
        <v>6.25</v>
      </c>
      <c r="Z841" s="223">
        <f>SUM( tabConsumo[[#This Row],[QTD.PENDENTE]]:tabConsumo[[#This Row],[09_23]] )</f>
        <v>90</v>
      </c>
      <c r="AA841" s="223">
        <f>LARGE(tabConsumo[[#This Row],[10_22]:[09_23]],1)</f>
        <v>50</v>
      </c>
      <c r="AB841" s="146" t="s">
        <v>2244</v>
      </c>
      <c r="AC841" s="3" t="s">
        <v>2086</v>
      </c>
    </row>
    <row r="842" spans="1:29" x14ac:dyDescent="0.3">
      <c r="A842" s="4" t="s">
        <v>1608</v>
      </c>
      <c r="B842" s="3" t="s">
        <v>263</v>
      </c>
      <c r="C842" s="2">
        <v>104667</v>
      </c>
      <c r="D842" s="2">
        <v>96</v>
      </c>
      <c r="F842" s="2">
        <v>5</v>
      </c>
      <c r="G842" s="2">
        <v>11</v>
      </c>
      <c r="H842" s="2">
        <v>2</v>
      </c>
      <c r="I842" s="2">
        <v>3</v>
      </c>
      <c r="J842" s="2">
        <v>3</v>
      </c>
      <c r="K842" s="2">
        <v>8</v>
      </c>
      <c r="L842" s="2">
        <v>8</v>
      </c>
      <c r="M842" s="2">
        <v>9</v>
      </c>
      <c r="N842" s="2">
        <v>25</v>
      </c>
      <c r="O842" s="2">
        <v>0</v>
      </c>
      <c r="P842" s="2">
        <v>0</v>
      </c>
      <c r="Q842" s="2">
        <v>14</v>
      </c>
      <c r="R842" s="238">
        <v>39472</v>
      </c>
      <c r="S842" s="219">
        <v>12</v>
      </c>
      <c r="T842" s="220">
        <f>SUM( tabConsumo[[#This Row],[QTD.PENDENTE]]:tabConsumo[[#This Row],[09_23]] ) / tabConsumo[[#This Row],[Div]]</f>
        <v>7.333333333333333</v>
      </c>
      <c r="U842" s="221">
        <f xml:space="preserve"> tabConsumo[[#This Row],[Média.A]] + (_xlfn.STDEV.S( tabConsumo[[#This Row],[QTD.PENDENTE]]:tabConsumo[[#This Row],[09_23]] ) * 1)</f>
        <v>14.421522399831506</v>
      </c>
      <c r="V842" s="221">
        <f xml:space="preserve"> tabConsumo[[#This Row],[Média.A]] + (_xlfn.STDEV.S( tabConsumo[[#This Row],[QTD.PENDENTE]]:tabConsumo[[#This Row],[09_23]] ) * 2)</f>
        <v>21.50971146632968</v>
      </c>
      <c r="W842" s="221">
        <f xml:space="preserve"> tabConsumo[[#This Row],[Média.A]] + (_xlfn.STDEV.S( tabConsumo[[#This Row],[QTD.PENDENTE]]:tabConsumo[[#This Row],[09_23]] ) * 3)</f>
        <v>28.59790053282785</v>
      </c>
      <c r="X842" s="5">
        <f t="shared" si="30"/>
        <v>2</v>
      </c>
      <c r="Y842">
        <v>7</v>
      </c>
      <c r="Z842" s="223">
        <f>SUM( tabConsumo[[#This Row],[QTD.PENDENTE]]:tabConsumo[[#This Row],[09_23]] )</f>
        <v>88</v>
      </c>
      <c r="AA842" s="223">
        <f>LARGE(tabConsumo[[#This Row],[10_22]:[09_23]],1)</f>
        <v>25</v>
      </c>
      <c r="AB842" s="146" t="s">
        <v>2238</v>
      </c>
      <c r="AC842" s="3" t="s">
        <v>2086</v>
      </c>
    </row>
    <row r="843" spans="1:29" x14ac:dyDescent="0.3">
      <c r="A843" s="4" t="s">
        <v>1554</v>
      </c>
      <c r="B843" s="3" t="s">
        <v>263</v>
      </c>
      <c r="C843" s="2">
        <v>95209</v>
      </c>
      <c r="D843" s="2">
        <v>0</v>
      </c>
      <c r="E843" s="2">
        <v>100</v>
      </c>
      <c r="F843" s="2">
        <v>10</v>
      </c>
      <c r="G843" s="2">
        <v>37</v>
      </c>
      <c r="H843" s="2">
        <v>19</v>
      </c>
      <c r="I843" s="2">
        <v>8</v>
      </c>
      <c r="J843" s="2">
        <v>21</v>
      </c>
      <c r="K843" s="2">
        <v>46</v>
      </c>
      <c r="L843" s="2">
        <v>73</v>
      </c>
      <c r="M843" s="2">
        <v>9</v>
      </c>
      <c r="N843" s="2">
        <v>0</v>
      </c>
      <c r="O843" s="2">
        <v>0</v>
      </c>
      <c r="P843" s="2">
        <v>63</v>
      </c>
      <c r="Q843" s="2">
        <v>50</v>
      </c>
      <c r="R843" s="238">
        <v>39007</v>
      </c>
      <c r="S843" s="219">
        <v>12</v>
      </c>
      <c r="T843" s="220">
        <f>SUM( tabConsumo[[#This Row],[QTD.PENDENTE]]:tabConsumo[[#This Row],[09_23]] ) / tabConsumo[[#This Row],[Div]]</f>
        <v>36.333333333333336</v>
      </c>
      <c r="U843" s="221">
        <f xml:space="preserve"> tabConsumo[[#This Row],[Média.A]] + (_xlfn.STDEV.S( tabConsumo[[#This Row],[QTD.PENDENTE]]:tabConsumo[[#This Row],[09_23]] ) * 1)</f>
        <v>67.567970582748671</v>
      </c>
      <c r="V843" s="221">
        <f xml:space="preserve"> tabConsumo[[#This Row],[Média.A]] + (_xlfn.STDEV.S( tabConsumo[[#This Row],[QTD.PENDENTE]]:tabConsumo[[#This Row],[09_23]] ) * 2)</f>
        <v>98.802607832164</v>
      </c>
      <c r="W843" s="221">
        <f xml:space="preserve"> tabConsumo[[#This Row],[Média.A]] + (_xlfn.STDEV.S( tabConsumo[[#This Row],[QTD.PENDENTE]]:tabConsumo[[#This Row],[09_23]] ) * 3)</f>
        <v>130.03724508157936</v>
      </c>
      <c r="X843" s="5">
        <f t="shared" si="30"/>
        <v>2</v>
      </c>
      <c r="Y843">
        <v>36.333333333333336</v>
      </c>
      <c r="Z843" s="223">
        <f>SUM( tabConsumo[[#This Row],[QTD.PENDENTE]]:tabConsumo[[#This Row],[09_23]] )</f>
        <v>436</v>
      </c>
      <c r="AA843" s="223">
        <f>LARGE(tabConsumo[[#This Row],[10_22]:[09_23]],1)</f>
        <v>73</v>
      </c>
      <c r="AB843" s="146" t="s">
        <v>2238</v>
      </c>
      <c r="AC843" s="3" t="s">
        <v>2086</v>
      </c>
    </row>
    <row r="844" spans="1:29" x14ac:dyDescent="0.3">
      <c r="A844" s="4" t="s">
        <v>1838</v>
      </c>
      <c r="B844" s="3" t="s">
        <v>31</v>
      </c>
      <c r="C844" s="2">
        <v>132623</v>
      </c>
      <c r="D844" s="2">
        <v>65</v>
      </c>
      <c r="F844" s="2">
        <v>1</v>
      </c>
      <c r="G844" s="2">
        <v>1</v>
      </c>
      <c r="H844" s="2">
        <v>1</v>
      </c>
      <c r="I844" s="2">
        <v>6</v>
      </c>
      <c r="J844" s="2">
        <v>0</v>
      </c>
      <c r="K844" s="2">
        <v>1</v>
      </c>
      <c r="L844" s="2">
        <v>3</v>
      </c>
      <c r="M844" s="2">
        <v>0</v>
      </c>
      <c r="N844" s="2">
        <v>0</v>
      </c>
      <c r="O844" s="2">
        <v>0</v>
      </c>
      <c r="P844" s="2">
        <v>2</v>
      </c>
      <c r="Q844" s="2">
        <v>0</v>
      </c>
      <c r="R844" s="238">
        <v>42850</v>
      </c>
      <c r="S844" s="219">
        <v>12</v>
      </c>
      <c r="T844" s="220">
        <f>SUM( tabConsumo[[#This Row],[QTD.PENDENTE]]:tabConsumo[[#This Row],[09_23]] ) / tabConsumo[[#This Row],[Div]]</f>
        <v>1.25</v>
      </c>
      <c r="U844" s="221">
        <f xml:space="preserve"> tabConsumo[[#This Row],[Média.A]] + (_xlfn.STDEV.S( tabConsumo[[#This Row],[QTD.PENDENTE]]:tabConsumo[[#This Row],[09_23]] ) * 1)</f>
        <v>3.0145499039801518</v>
      </c>
      <c r="V844" s="221">
        <f xml:space="preserve"> tabConsumo[[#This Row],[Média.A]] + (_xlfn.STDEV.S( tabConsumo[[#This Row],[QTD.PENDENTE]]:tabConsumo[[#This Row],[09_23]] ) * 2)</f>
        <v>4.7790998079603035</v>
      </c>
      <c r="W844" s="221">
        <f xml:space="preserve"> tabConsumo[[#This Row],[Média.A]] + (_xlfn.STDEV.S( tabConsumo[[#This Row],[QTD.PENDENTE]]:tabConsumo[[#This Row],[09_23]] ) * 3)</f>
        <v>6.5436497119404562</v>
      </c>
      <c r="X844" s="5">
        <f t="shared" si="30"/>
        <v>2</v>
      </c>
      <c r="Y844">
        <v>1.0833333333333333</v>
      </c>
      <c r="Z844" s="223">
        <f>SUM( tabConsumo[[#This Row],[QTD.PENDENTE]]:tabConsumo[[#This Row],[09_23]] )</f>
        <v>15</v>
      </c>
      <c r="AA844" s="223">
        <f>LARGE(tabConsumo[[#This Row],[10_22]:[09_23]],1)</f>
        <v>6</v>
      </c>
      <c r="AB844" s="146" t="s">
        <v>2241</v>
      </c>
      <c r="AC844" s="3" t="s">
        <v>2086</v>
      </c>
    </row>
    <row r="845" spans="1:29" x14ac:dyDescent="0.3">
      <c r="A845" s="4" t="s">
        <v>1025</v>
      </c>
      <c r="B845" s="3" t="s">
        <v>263</v>
      </c>
      <c r="C845" s="2">
        <v>13192</v>
      </c>
      <c r="D845" s="2">
        <v>39</v>
      </c>
      <c r="E845" s="2">
        <v>5</v>
      </c>
      <c r="F845" s="2">
        <v>3</v>
      </c>
      <c r="G845" s="2">
        <v>2</v>
      </c>
      <c r="H845" s="2">
        <v>24</v>
      </c>
      <c r="I845" s="2">
        <v>7</v>
      </c>
      <c r="J845" s="2">
        <v>5</v>
      </c>
      <c r="K845" s="2">
        <v>1</v>
      </c>
      <c r="L845" s="2">
        <v>0</v>
      </c>
      <c r="M845" s="2">
        <v>0</v>
      </c>
      <c r="N845" s="2">
        <v>0</v>
      </c>
      <c r="O845" s="2">
        <v>0</v>
      </c>
      <c r="P845" s="2">
        <v>10</v>
      </c>
      <c r="Q845" s="2">
        <v>31</v>
      </c>
      <c r="R845" s="238">
        <v>367</v>
      </c>
      <c r="S845" s="219">
        <f xml:space="preserve"> 12</f>
        <v>12</v>
      </c>
      <c r="T845" s="220">
        <f>SUM( tabConsumo[[#This Row],[QTD.PENDENTE]]:tabConsumo[[#This Row],[09_23]] ) / tabConsumo[[#This Row],[Div]]</f>
        <v>7.333333333333333</v>
      </c>
      <c r="U845" s="221">
        <f xml:space="preserve"> tabConsumo[[#This Row],[Média.A]] + (_xlfn.STDEV.S( tabConsumo[[#This Row],[QTD.PENDENTE]]:tabConsumo[[#This Row],[09_23]] ) * 1)</f>
        <v>17.141101055516994</v>
      </c>
      <c r="V845" s="221">
        <f xml:space="preserve"> tabConsumo[[#This Row],[Média.A]] + (_xlfn.STDEV.S( tabConsumo[[#This Row],[QTD.PENDENTE]]:tabConsumo[[#This Row],[09_23]] ) * 2)</f>
        <v>26.948868777700657</v>
      </c>
      <c r="W845" s="221">
        <f xml:space="preserve"> tabConsumo[[#This Row],[Média.A]] + (_xlfn.STDEV.S( tabConsumo[[#This Row],[QTD.PENDENTE]]:tabConsumo[[#This Row],[09_23]] ) * 3)</f>
        <v>36.756636499884323</v>
      </c>
      <c r="X845" s="5">
        <f t="shared" si="30"/>
        <v>2</v>
      </c>
      <c r="Y845">
        <v>6.916666666666667</v>
      </c>
      <c r="Z845" s="223">
        <f>SUM( tabConsumo[[#This Row],[QTD.PENDENTE]]:tabConsumo[[#This Row],[09_23]] )</f>
        <v>88</v>
      </c>
      <c r="AA845" s="223">
        <f>LARGE(tabConsumo[[#This Row],[10_22]:[09_23]],1)</f>
        <v>31</v>
      </c>
      <c r="AB845" s="146" t="s">
        <v>2238</v>
      </c>
      <c r="AC845" s="3" t="s">
        <v>2086</v>
      </c>
    </row>
    <row r="846" spans="1:29" x14ac:dyDescent="0.3">
      <c r="A846" s="4" t="s">
        <v>281</v>
      </c>
      <c r="B846" s="3" t="s">
        <v>263</v>
      </c>
      <c r="C846" s="2">
        <v>12673</v>
      </c>
      <c r="D846" s="2">
        <v>0</v>
      </c>
      <c r="E846" s="2">
        <v>1</v>
      </c>
      <c r="F846" s="2">
        <v>0</v>
      </c>
      <c r="G846" s="2">
        <v>0</v>
      </c>
      <c r="H846" s="2">
        <v>0</v>
      </c>
      <c r="I846" s="2">
        <v>0</v>
      </c>
      <c r="J846" s="2">
        <v>0</v>
      </c>
      <c r="K846" s="2">
        <v>0</v>
      </c>
      <c r="L846" s="2">
        <v>0</v>
      </c>
      <c r="M846" s="2">
        <v>0</v>
      </c>
      <c r="N846" s="2">
        <v>0</v>
      </c>
      <c r="O846" s="2">
        <v>0</v>
      </c>
      <c r="P846" s="2">
        <v>0</v>
      </c>
      <c r="Q846" s="2">
        <v>0</v>
      </c>
      <c r="R846" s="238">
        <v>367</v>
      </c>
      <c r="S846" s="219">
        <f xml:space="preserve"> 12</f>
        <v>12</v>
      </c>
      <c r="T846" s="220">
        <f>SUM( tabConsumo[[#This Row],[QTD.PENDENTE]]:tabConsumo[[#This Row],[09_23]] ) / tabConsumo[[#This Row],[Div]]</f>
        <v>8.3333333333333329E-2</v>
      </c>
      <c r="U846" s="221">
        <f xml:space="preserve"> tabConsumo[[#This Row],[Média.A]] + (_xlfn.STDEV.S( tabConsumo[[#This Row],[QTD.PENDENTE]]:tabConsumo[[#This Row],[09_23]] ) * 1)</f>
        <v>0.36068343144594789</v>
      </c>
      <c r="V846" s="221">
        <f xml:space="preserve"> tabConsumo[[#This Row],[Média.A]] + (_xlfn.STDEV.S( tabConsumo[[#This Row],[QTD.PENDENTE]]:tabConsumo[[#This Row],[09_23]] ) * 2)</f>
        <v>0.63803352955856252</v>
      </c>
      <c r="W846" s="221">
        <f xml:space="preserve"> tabConsumo[[#This Row],[Média.A]] + (_xlfn.STDEV.S( tabConsumo[[#This Row],[QTD.PENDENTE]]:tabConsumo[[#This Row],[09_23]] ) * 3)</f>
        <v>0.91538362767117709</v>
      </c>
      <c r="X846" s="5">
        <f t="shared" si="30"/>
        <v>2</v>
      </c>
      <c r="Y846">
        <v>8.3333333333333329E-2</v>
      </c>
      <c r="Z846" s="223">
        <f>SUM( tabConsumo[[#This Row],[QTD.PENDENTE]]:tabConsumo[[#This Row],[09_23]] )</f>
        <v>1</v>
      </c>
      <c r="AA846" s="223">
        <f>LARGE(tabConsumo[[#This Row],[10_22]:[09_23]],1)</f>
        <v>0</v>
      </c>
      <c r="AB846" s="146" t="s">
        <v>2238</v>
      </c>
      <c r="AC846" s="3" t="s">
        <v>2086</v>
      </c>
    </row>
    <row r="847" spans="1:29" x14ac:dyDescent="0.3">
      <c r="A847" s="4" t="s">
        <v>594</v>
      </c>
      <c r="B847" s="3" t="s">
        <v>263</v>
      </c>
      <c r="C847" s="2">
        <v>91868</v>
      </c>
      <c r="D847" s="2">
        <v>0</v>
      </c>
      <c r="E847" s="2">
        <v>2</v>
      </c>
      <c r="F847" s="2">
        <v>0</v>
      </c>
      <c r="G847" s="2">
        <v>0</v>
      </c>
      <c r="H847" s="2">
        <v>0</v>
      </c>
      <c r="I847" s="2">
        <v>0</v>
      </c>
      <c r="J847" s="2">
        <v>0</v>
      </c>
      <c r="K847" s="2">
        <v>0</v>
      </c>
      <c r="L847" s="2">
        <v>0</v>
      </c>
      <c r="M847" s="2">
        <v>0</v>
      </c>
      <c r="N847" s="2">
        <v>0</v>
      </c>
      <c r="O847" s="2">
        <v>0</v>
      </c>
      <c r="P847" s="2">
        <v>0</v>
      </c>
      <c r="Q847" s="2">
        <v>0</v>
      </c>
      <c r="R847" s="238">
        <v>367</v>
      </c>
      <c r="S847" s="219">
        <f xml:space="preserve"> 12</f>
        <v>12</v>
      </c>
      <c r="T847" s="220">
        <f>SUM( tabConsumo[[#This Row],[QTD.PENDENTE]]:tabConsumo[[#This Row],[09_23]] ) / tabConsumo[[#This Row],[Div]]</f>
        <v>0.16666666666666666</v>
      </c>
      <c r="U847" s="221">
        <f xml:space="preserve"> tabConsumo[[#This Row],[Média.A]] + (_xlfn.STDEV.S( tabConsumo[[#This Row],[QTD.PENDENTE]]:tabConsumo[[#This Row],[09_23]] ) * 1)</f>
        <v>0.72136686289189578</v>
      </c>
      <c r="V847" s="221">
        <f xml:space="preserve"> tabConsumo[[#This Row],[Média.A]] + (_xlfn.STDEV.S( tabConsumo[[#This Row],[QTD.PENDENTE]]:tabConsumo[[#This Row],[09_23]] ) * 2)</f>
        <v>1.276067059117125</v>
      </c>
      <c r="W847" s="221">
        <f xml:space="preserve"> tabConsumo[[#This Row],[Média.A]] + (_xlfn.STDEV.S( tabConsumo[[#This Row],[QTD.PENDENTE]]:tabConsumo[[#This Row],[09_23]] ) * 3)</f>
        <v>1.8307672553423542</v>
      </c>
      <c r="X847" s="5">
        <f t="shared" si="30"/>
        <v>2</v>
      </c>
      <c r="Y847">
        <v>0.16666666666666666</v>
      </c>
      <c r="Z847" s="223">
        <f>SUM( tabConsumo[[#This Row],[QTD.PENDENTE]]:tabConsumo[[#This Row],[09_23]] )</f>
        <v>2</v>
      </c>
      <c r="AA847" s="223">
        <f>LARGE(tabConsumo[[#This Row],[10_22]:[09_23]],1)</f>
        <v>0</v>
      </c>
      <c r="AB847" s="146" t="s">
        <v>2238</v>
      </c>
      <c r="AC847" s="3" t="s">
        <v>2086</v>
      </c>
    </row>
    <row r="848" spans="1:29" x14ac:dyDescent="0.3">
      <c r="A848" s="4" t="s">
        <v>1284</v>
      </c>
      <c r="B848" s="3" t="s">
        <v>263</v>
      </c>
      <c r="C848" s="2">
        <v>42854</v>
      </c>
      <c r="D848" s="2">
        <v>293</v>
      </c>
      <c r="F848" s="2">
        <v>81</v>
      </c>
      <c r="G848" s="2">
        <v>76</v>
      </c>
      <c r="H848" s="2">
        <v>60</v>
      </c>
      <c r="I848" s="2">
        <v>95</v>
      </c>
      <c r="J848" s="2">
        <v>115</v>
      </c>
      <c r="K848" s="2">
        <v>106</v>
      </c>
      <c r="L848" s="2">
        <v>76</v>
      </c>
      <c r="M848" s="2">
        <v>101</v>
      </c>
      <c r="N848" s="2">
        <v>110</v>
      </c>
      <c r="O848" s="2">
        <v>0</v>
      </c>
      <c r="P848" s="2">
        <v>181</v>
      </c>
      <c r="Q848" s="2">
        <v>100</v>
      </c>
      <c r="R848" s="238">
        <v>367</v>
      </c>
      <c r="S848" s="219">
        <f xml:space="preserve"> 12</f>
        <v>12</v>
      </c>
      <c r="T848" s="220">
        <f>SUM( tabConsumo[[#This Row],[QTD.PENDENTE]]:tabConsumo[[#This Row],[09_23]] ) / tabConsumo[[#This Row],[Div]]</f>
        <v>91.75</v>
      </c>
      <c r="U848" s="221">
        <f xml:space="preserve"> tabConsumo[[#This Row],[Média.A]] + (_xlfn.STDEV.S( tabConsumo[[#This Row],[QTD.PENDENTE]]:tabConsumo[[#This Row],[09_23]] ) * 1)</f>
        <v>133.57675307416622</v>
      </c>
      <c r="V848" s="221">
        <f xml:space="preserve"> tabConsumo[[#This Row],[Média.A]] + (_xlfn.STDEV.S( tabConsumo[[#This Row],[QTD.PENDENTE]]:tabConsumo[[#This Row],[09_23]] ) * 2)</f>
        <v>175.40350614833244</v>
      </c>
      <c r="W848" s="221">
        <f xml:space="preserve"> tabConsumo[[#This Row],[Média.A]] + (_xlfn.STDEV.S( tabConsumo[[#This Row],[QTD.PENDENTE]]:tabConsumo[[#This Row],[09_23]] ) * 3)</f>
        <v>217.23025922249863</v>
      </c>
      <c r="X848" s="5">
        <f t="shared" si="30"/>
        <v>2</v>
      </c>
      <c r="Y848">
        <v>91.25</v>
      </c>
      <c r="Z848" s="223">
        <f>SUM( tabConsumo[[#This Row],[QTD.PENDENTE]]:tabConsumo[[#This Row],[09_23]] )</f>
        <v>1101</v>
      </c>
      <c r="AA848" s="223">
        <f>LARGE(tabConsumo[[#This Row],[10_22]:[09_23]],1)</f>
        <v>181</v>
      </c>
      <c r="AB848" s="146" t="s">
        <v>2238</v>
      </c>
      <c r="AC848" s="3" t="s">
        <v>2086</v>
      </c>
    </row>
    <row r="849" spans="1:29" x14ac:dyDescent="0.3">
      <c r="A849" s="4" t="s">
        <v>1316</v>
      </c>
      <c r="B849" s="3" t="s">
        <v>345</v>
      </c>
      <c r="C849" s="2">
        <v>54026</v>
      </c>
      <c r="D849" s="2">
        <v>125</v>
      </c>
      <c r="F849" s="2">
        <v>12</v>
      </c>
      <c r="G849" s="2">
        <v>0</v>
      </c>
      <c r="H849" s="2">
        <v>9</v>
      </c>
      <c r="I849" s="2">
        <v>10</v>
      </c>
      <c r="J849" s="2">
        <v>6</v>
      </c>
      <c r="K849" s="2">
        <v>3</v>
      </c>
      <c r="L849" s="2">
        <v>8</v>
      </c>
      <c r="M849" s="2">
        <v>10</v>
      </c>
      <c r="N849" s="2">
        <v>0</v>
      </c>
      <c r="O849" s="2">
        <v>0</v>
      </c>
      <c r="P849" s="2">
        <v>0</v>
      </c>
      <c r="Q849" s="2">
        <v>0</v>
      </c>
      <c r="R849" s="238">
        <v>367</v>
      </c>
      <c r="S849" s="219">
        <f xml:space="preserve"> 12</f>
        <v>12</v>
      </c>
      <c r="T849" s="220">
        <f>SUM( tabConsumo[[#This Row],[QTD.PENDENTE]]:tabConsumo[[#This Row],[09_23]] ) / tabConsumo[[#This Row],[Div]]</f>
        <v>4.833333333333333</v>
      </c>
      <c r="U849" s="221">
        <f xml:space="preserve"> tabConsumo[[#This Row],[Média.A]] + (_xlfn.STDEV.S( tabConsumo[[#This Row],[QTD.PENDENTE]]:tabConsumo[[#This Row],[09_23]] ) * 1)</f>
        <v>9.6354793182661176</v>
      </c>
      <c r="V849" s="221">
        <f xml:space="preserve"> tabConsumo[[#This Row],[Média.A]] + (_xlfn.STDEV.S( tabConsumo[[#This Row],[QTD.PENDENTE]]:tabConsumo[[#This Row],[09_23]] ) * 2)</f>
        <v>14.437625303198903</v>
      </c>
      <c r="W849" s="221">
        <f xml:space="preserve"> tabConsumo[[#This Row],[Média.A]] + (_xlfn.STDEV.S( tabConsumo[[#This Row],[QTD.PENDENTE]]:tabConsumo[[#This Row],[09_23]] ) * 3)</f>
        <v>19.239771288131685</v>
      </c>
      <c r="X849" s="5">
        <f t="shared" si="30"/>
        <v>2</v>
      </c>
      <c r="Y849">
        <v>4.833333333333333</v>
      </c>
      <c r="Z849" s="223">
        <f>SUM( tabConsumo[[#This Row],[QTD.PENDENTE]]:tabConsumo[[#This Row],[09_23]] )</f>
        <v>58</v>
      </c>
      <c r="AA849" s="223">
        <f>LARGE(tabConsumo[[#This Row],[10_22]:[09_23]],1)</f>
        <v>12</v>
      </c>
      <c r="AB849" s="146" t="s">
        <v>2244</v>
      </c>
      <c r="AC849" s="3" t="s">
        <v>2086</v>
      </c>
    </row>
    <row r="850" spans="1:29" x14ac:dyDescent="0.3">
      <c r="A850" s="4" t="s">
        <v>2036</v>
      </c>
      <c r="B850" s="3" t="s">
        <v>301</v>
      </c>
      <c r="C850" s="2">
        <v>141270</v>
      </c>
      <c r="D850" s="2">
        <v>22</v>
      </c>
      <c r="F850" s="2">
        <v>2</v>
      </c>
      <c r="G850" s="2">
        <v>0</v>
      </c>
      <c r="H850" s="2">
        <v>0</v>
      </c>
      <c r="I850" s="2">
        <v>0</v>
      </c>
      <c r="J850" s="2">
        <v>38</v>
      </c>
      <c r="K850" s="2">
        <v>0</v>
      </c>
      <c r="L850" s="2">
        <v>0</v>
      </c>
      <c r="M850" s="2">
        <v>0</v>
      </c>
      <c r="N850" s="2">
        <v>0</v>
      </c>
      <c r="O850" s="2">
        <v>0</v>
      </c>
      <c r="P850" s="2">
        <v>0</v>
      </c>
      <c r="Q850" s="2">
        <v>0</v>
      </c>
      <c r="R850" s="238">
        <v>44355</v>
      </c>
      <c r="S850" s="219">
        <v>12</v>
      </c>
      <c r="T850" s="220">
        <f>SUM( tabConsumo[[#This Row],[QTD.PENDENTE]]:tabConsumo[[#This Row],[09_23]] ) / tabConsumo[[#This Row],[Div]]</f>
        <v>3.3333333333333335</v>
      </c>
      <c r="U850" s="221">
        <f xml:space="preserve"> tabConsumo[[#This Row],[Média.A]] + (_xlfn.STDEV.S( tabConsumo[[#This Row],[QTD.PENDENTE]]:tabConsumo[[#This Row],[09_23]] ) * 1)</f>
        <v>14.265631880077816</v>
      </c>
      <c r="V850" s="221">
        <f xml:space="preserve"> tabConsumo[[#This Row],[Média.A]] + (_xlfn.STDEV.S( tabConsumo[[#This Row],[QTD.PENDENTE]]:tabConsumo[[#This Row],[09_23]] ) * 2)</f>
        <v>25.197930426822296</v>
      </c>
      <c r="W850" s="221">
        <f xml:space="preserve"> tabConsumo[[#This Row],[Média.A]] + (_xlfn.STDEV.S( tabConsumo[[#This Row],[QTD.PENDENTE]]:tabConsumo[[#This Row],[09_23]] ) * 3)</f>
        <v>36.13022897356678</v>
      </c>
      <c r="X850" s="5">
        <f t="shared" si="30"/>
        <v>2</v>
      </c>
      <c r="Y850">
        <v>2.25</v>
      </c>
      <c r="Z850" s="223">
        <f>SUM( tabConsumo[[#This Row],[QTD.PENDENTE]]:tabConsumo[[#This Row],[09_23]] )</f>
        <v>40</v>
      </c>
      <c r="AA850" s="223">
        <f>LARGE(tabConsumo[[#This Row],[10_22]:[09_23]],1)</f>
        <v>38</v>
      </c>
      <c r="AB850" s="146" t="s">
        <v>2248</v>
      </c>
      <c r="AC850" s="3" t="s">
        <v>2086</v>
      </c>
    </row>
    <row r="851" spans="1:29" x14ac:dyDescent="0.3">
      <c r="A851" s="4" t="s">
        <v>1411</v>
      </c>
      <c r="B851" s="3" t="s">
        <v>263</v>
      </c>
      <c r="C851" s="2">
        <v>74908</v>
      </c>
      <c r="D851" s="2">
        <v>350</v>
      </c>
      <c r="F851" s="2">
        <v>0</v>
      </c>
      <c r="G851" s="2">
        <v>1</v>
      </c>
      <c r="H851" s="2">
        <v>0</v>
      </c>
      <c r="I851" s="2">
        <v>12</v>
      </c>
      <c r="J851" s="2">
        <v>0</v>
      </c>
      <c r="K851" s="2">
        <v>0</v>
      </c>
      <c r="L851" s="2">
        <v>0</v>
      </c>
      <c r="M851" s="2">
        <v>6</v>
      </c>
      <c r="N851" s="2">
        <v>34</v>
      </c>
      <c r="O851" s="2">
        <v>0</v>
      </c>
      <c r="P851" s="2">
        <v>0</v>
      </c>
      <c r="Q851" s="2">
        <v>0</v>
      </c>
      <c r="R851" s="238">
        <v>37845</v>
      </c>
      <c r="S851" s="219">
        <v>12</v>
      </c>
      <c r="T851" s="220">
        <f>SUM( tabConsumo[[#This Row],[QTD.PENDENTE]]:tabConsumo[[#This Row],[09_23]] ) / tabConsumo[[#This Row],[Div]]</f>
        <v>4.416666666666667</v>
      </c>
      <c r="U851" s="221">
        <f xml:space="preserve"> tabConsumo[[#This Row],[Média.A]] + (_xlfn.STDEV.S( tabConsumo[[#This Row],[QTD.PENDENTE]]:tabConsumo[[#This Row],[09_23]] ) * 1)</f>
        <v>14.4299154658902</v>
      </c>
      <c r="V851" s="221">
        <f xml:space="preserve"> tabConsumo[[#This Row],[Média.A]] + (_xlfn.STDEV.S( tabConsumo[[#This Row],[QTD.PENDENTE]]:tabConsumo[[#This Row],[09_23]] ) * 2)</f>
        <v>24.443164265113733</v>
      </c>
      <c r="W851" s="221">
        <f xml:space="preserve"> tabConsumo[[#This Row],[Média.A]] + (_xlfn.STDEV.S( tabConsumo[[#This Row],[QTD.PENDENTE]]:tabConsumo[[#This Row],[09_23]] ) * 3)</f>
        <v>34.456413064337262</v>
      </c>
      <c r="X851" s="5">
        <f t="shared" si="30"/>
        <v>2</v>
      </c>
      <c r="Y851">
        <v>3.5833333333333335</v>
      </c>
      <c r="Z851" s="223">
        <f>SUM( tabConsumo[[#This Row],[QTD.PENDENTE]]:tabConsumo[[#This Row],[09_23]] )</f>
        <v>53</v>
      </c>
      <c r="AA851" s="223">
        <f>LARGE(tabConsumo[[#This Row],[10_22]:[09_23]],1)</f>
        <v>34</v>
      </c>
      <c r="AB851" s="146" t="s">
        <v>2246</v>
      </c>
      <c r="AC851" s="3" t="s">
        <v>2086</v>
      </c>
    </row>
    <row r="852" spans="1:29" x14ac:dyDescent="0.3">
      <c r="A852" s="4" t="s">
        <v>1429</v>
      </c>
      <c r="B852" s="3" t="s">
        <v>263</v>
      </c>
      <c r="C852" s="2">
        <v>77556</v>
      </c>
      <c r="D852" s="2">
        <v>87</v>
      </c>
      <c r="F852" s="2">
        <v>0</v>
      </c>
      <c r="G852" s="2">
        <v>0</v>
      </c>
      <c r="H852" s="2">
        <v>0</v>
      </c>
      <c r="I852" s="2">
        <v>0</v>
      </c>
      <c r="J852" s="2">
        <v>0</v>
      </c>
      <c r="K852" s="2">
        <v>0</v>
      </c>
      <c r="L852" s="2">
        <v>50</v>
      </c>
      <c r="M852" s="2">
        <v>0</v>
      </c>
      <c r="N852" s="2">
        <v>15</v>
      </c>
      <c r="O852" s="2">
        <v>0</v>
      </c>
      <c r="P852" s="2">
        <v>0</v>
      </c>
      <c r="Q852" s="2">
        <v>0</v>
      </c>
      <c r="R852" s="238">
        <v>38056</v>
      </c>
      <c r="S852" s="219">
        <v>12</v>
      </c>
      <c r="T852" s="220">
        <f>SUM( tabConsumo[[#This Row],[QTD.PENDENTE]]:tabConsumo[[#This Row],[09_23]] ) / tabConsumo[[#This Row],[Div]]</f>
        <v>5.416666666666667</v>
      </c>
      <c r="U852" s="221">
        <f xml:space="preserve"> tabConsumo[[#This Row],[Média.A]] + (_xlfn.STDEV.S( tabConsumo[[#This Row],[QTD.PENDENTE]]:tabConsumo[[#This Row],[09_23]] ) * 1)</f>
        <v>20.104065924864049</v>
      </c>
      <c r="V852" s="221">
        <f xml:space="preserve"> tabConsumo[[#This Row],[Média.A]] + (_xlfn.STDEV.S( tabConsumo[[#This Row],[QTD.PENDENTE]]:tabConsumo[[#This Row],[09_23]] ) * 2)</f>
        <v>34.791465183061426</v>
      </c>
      <c r="W852" s="221">
        <f xml:space="preserve"> tabConsumo[[#This Row],[Média.A]] + (_xlfn.STDEV.S( tabConsumo[[#This Row],[QTD.PENDENTE]]:tabConsumo[[#This Row],[09_23]] ) * 3)</f>
        <v>49.478864441258807</v>
      </c>
      <c r="X852" s="5">
        <f t="shared" si="30"/>
        <v>2</v>
      </c>
      <c r="Y852">
        <v>4.083333333333333</v>
      </c>
      <c r="Z852" s="223">
        <f>SUM( tabConsumo[[#This Row],[QTD.PENDENTE]]:tabConsumo[[#This Row],[09_23]] )</f>
        <v>65</v>
      </c>
      <c r="AA852" s="223">
        <f>LARGE(tabConsumo[[#This Row],[10_22]:[09_23]],1)</f>
        <v>50</v>
      </c>
      <c r="AB852" s="146" t="s">
        <v>2246</v>
      </c>
      <c r="AC852" s="3" t="s">
        <v>2086</v>
      </c>
    </row>
    <row r="853" spans="1:29" x14ac:dyDescent="0.3">
      <c r="A853" s="4" t="s">
        <v>1408</v>
      </c>
      <c r="B853" s="3" t="s">
        <v>263</v>
      </c>
      <c r="C853" s="2">
        <v>74907</v>
      </c>
      <c r="D853" s="2">
        <v>11</v>
      </c>
      <c r="F853" s="2">
        <v>0</v>
      </c>
      <c r="G853" s="2">
        <v>0</v>
      </c>
      <c r="H853" s="2">
        <v>23</v>
      </c>
      <c r="I853" s="2">
        <v>0</v>
      </c>
      <c r="J853" s="2">
        <v>0</v>
      </c>
      <c r="K853" s="2">
        <v>0</v>
      </c>
      <c r="L853" s="2">
        <v>0</v>
      </c>
      <c r="M853" s="2">
        <v>50</v>
      </c>
      <c r="N853" s="2">
        <v>10</v>
      </c>
      <c r="O853" s="2">
        <v>4</v>
      </c>
      <c r="P853" s="2">
        <v>0</v>
      </c>
      <c r="Q853" s="2">
        <v>0</v>
      </c>
      <c r="R853" s="238">
        <v>37845</v>
      </c>
      <c r="S853" s="219">
        <v>12</v>
      </c>
      <c r="T853" s="220">
        <f>SUM( tabConsumo[[#This Row],[QTD.PENDENTE]]:tabConsumo[[#This Row],[09_23]] ) / tabConsumo[[#This Row],[Div]]</f>
        <v>7.25</v>
      </c>
      <c r="U853" s="221">
        <f xml:space="preserve"> tabConsumo[[#This Row],[Média.A]] + (_xlfn.STDEV.S( tabConsumo[[#This Row],[QTD.PENDENTE]]:tabConsumo[[#This Row],[09_23]] ) * 1)</f>
        <v>22.368471543717035</v>
      </c>
      <c r="V853" s="221">
        <f xml:space="preserve"> tabConsumo[[#This Row],[Média.A]] + (_xlfn.STDEV.S( tabConsumo[[#This Row],[QTD.PENDENTE]]:tabConsumo[[#This Row],[09_23]] ) * 2)</f>
        <v>37.486943087434071</v>
      </c>
      <c r="W853" s="221">
        <f xml:space="preserve"> tabConsumo[[#This Row],[Média.A]] + (_xlfn.STDEV.S( tabConsumo[[#This Row],[QTD.PENDENTE]]:tabConsumo[[#This Row],[09_23]] ) * 3)</f>
        <v>52.605414631151113</v>
      </c>
      <c r="X853" s="5">
        <f t="shared" si="30"/>
        <v>2</v>
      </c>
      <c r="Y853">
        <v>6.166666666666667</v>
      </c>
      <c r="Z853" s="223">
        <f>SUM( tabConsumo[[#This Row],[QTD.PENDENTE]]:tabConsumo[[#This Row],[09_23]] )</f>
        <v>87</v>
      </c>
      <c r="AA853" s="223">
        <f>LARGE(tabConsumo[[#This Row],[10_22]:[09_23]],1)</f>
        <v>50</v>
      </c>
      <c r="AB853" s="146" t="s">
        <v>2239</v>
      </c>
      <c r="AC853" s="3" t="s">
        <v>2086</v>
      </c>
    </row>
    <row r="854" spans="1:29" x14ac:dyDescent="0.3">
      <c r="A854" s="4" t="s">
        <v>1430</v>
      </c>
      <c r="B854" s="3" t="s">
        <v>263</v>
      </c>
      <c r="C854" s="2">
        <v>77557</v>
      </c>
      <c r="D854" s="2">
        <v>186</v>
      </c>
      <c r="F854" s="2">
        <v>0</v>
      </c>
      <c r="G854" s="2">
        <v>0</v>
      </c>
      <c r="H854" s="2">
        <v>6</v>
      </c>
      <c r="I854" s="2">
        <v>0</v>
      </c>
      <c r="J854" s="2">
        <v>0</v>
      </c>
      <c r="K854" s="2">
        <v>0</v>
      </c>
      <c r="L854" s="2">
        <v>0</v>
      </c>
      <c r="M854" s="2">
        <v>3</v>
      </c>
      <c r="N854" s="2">
        <v>34</v>
      </c>
      <c r="O854" s="2">
        <v>0</v>
      </c>
      <c r="P854" s="2">
        <v>0</v>
      </c>
      <c r="Q854" s="2">
        <v>0</v>
      </c>
      <c r="R854" s="238">
        <v>38056</v>
      </c>
      <c r="S854" s="219">
        <v>12</v>
      </c>
      <c r="T854" s="220">
        <f>SUM( tabConsumo[[#This Row],[QTD.PENDENTE]]:tabConsumo[[#This Row],[09_23]] ) / tabConsumo[[#This Row],[Div]]</f>
        <v>3.5833333333333335</v>
      </c>
      <c r="U854" s="221">
        <f xml:space="preserve"> tabConsumo[[#This Row],[Média.A]] + (_xlfn.STDEV.S( tabConsumo[[#This Row],[QTD.PENDENTE]]:tabConsumo[[#This Row],[09_23]] ) * 1)</f>
        <v>13.339062031090485</v>
      </c>
      <c r="V854" s="221">
        <f xml:space="preserve"> tabConsumo[[#This Row],[Média.A]] + (_xlfn.STDEV.S( tabConsumo[[#This Row],[QTD.PENDENTE]]:tabConsumo[[#This Row],[09_23]] ) * 2)</f>
        <v>23.094790728847634</v>
      </c>
      <c r="W854" s="221">
        <f xml:space="preserve"> tabConsumo[[#This Row],[Média.A]] + (_xlfn.STDEV.S( tabConsumo[[#This Row],[QTD.PENDENTE]]:tabConsumo[[#This Row],[09_23]] ) * 3)</f>
        <v>32.850519426604791</v>
      </c>
      <c r="X854" s="5">
        <f t="shared" si="30"/>
        <v>2</v>
      </c>
      <c r="Y854">
        <v>2.6666666666666665</v>
      </c>
      <c r="Z854" s="223">
        <f>SUM( tabConsumo[[#This Row],[QTD.PENDENTE]]:tabConsumo[[#This Row],[09_23]] )</f>
        <v>43</v>
      </c>
      <c r="AA854" s="223">
        <f>LARGE(tabConsumo[[#This Row],[10_22]:[09_23]],1)</f>
        <v>34</v>
      </c>
      <c r="AB854" s="146" t="s">
        <v>2246</v>
      </c>
      <c r="AC854" s="3" t="s">
        <v>2086</v>
      </c>
    </row>
    <row r="855" spans="1:29" x14ac:dyDescent="0.3">
      <c r="A855" s="4" t="s">
        <v>1412</v>
      </c>
      <c r="B855" s="3" t="s">
        <v>263</v>
      </c>
      <c r="C855" s="2">
        <v>74909</v>
      </c>
      <c r="D855" s="2">
        <v>0</v>
      </c>
      <c r="E855" s="2">
        <v>23</v>
      </c>
      <c r="F855" s="2">
        <v>7</v>
      </c>
      <c r="G855" s="2">
        <v>70</v>
      </c>
      <c r="H855" s="2">
        <v>47</v>
      </c>
      <c r="I855" s="2">
        <v>0</v>
      </c>
      <c r="J855" s="2">
        <v>0</v>
      </c>
      <c r="K855" s="2">
        <v>0</v>
      </c>
      <c r="L855" s="2">
        <v>0</v>
      </c>
      <c r="M855" s="2">
        <v>0</v>
      </c>
      <c r="N855" s="2">
        <v>0</v>
      </c>
      <c r="O855" s="2">
        <v>0</v>
      </c>
      <c r="P855" s="2">
        <v>0</v>
      </c>
      <c r="Q855" s="2">
        <v>0</v>
      </c>
      <c r="R855" s="238">
        <v>37845</v>
      </c>
      <c r="S855" s="219">
        <v>12</v>
      </c>
      <c r="T855" s="220">
        <f>SUM( tabConsumo[[#This Row],[QTD.PENDENTE]]:tabConsumo[[#This Row],[09_23]] ) / tabConsumo[[#This Row],[Div]]</f>
        <v>12.25</v>
      </c>
      <c r="U855" s="221">
        <f xml:space="preserve"> tabConsumo[[#This Row],[Média.A]] + (_xlfn.STDEV.S( tabConsumo[[#This Row],[QTD.PENDENTE]]:tabConsumo[[#This Row],[09_23]] ) * 1)</f>
        <v>34.656786975470233</v>
      </c>
      <c r="V855" s="221">
        <f xml:space="preserve"> tabConsumo[[#This Row],[Média.A]] + (_xlfn.STDEV.S( tabConsumo[[#This Row],[QTD.PENDENTE]]:tabConsumo[[#This Row],[09_23]] ) * 2)</f>
        <v>57.063573950940466</v>
      </c>
      <c r="W855" s="221">
        <f xml:space="preserve"> tabConsumo[[#This Row],[Média.A]] + (_xlfn.STDEV.S( tabConsumo[[#This Row],[QTD.PENDENTE]]:tabConsumo[[#This Row],[09_23]] ) * 3)</f>
        <v>79.470360926410706</v>
      </c>
      <c r="X855" s="5">
        <f t="shared" si="30"/>
        <v>2</v>
      </c>
      <c r="Y855">
        <v>11.166666666666666</v>
      </c>
      <c r="Z855" s="223">
        <f>SUM( tabConsumo[[#This Row],[QTD.PENDENTE]]:tabConsumo[[#This Row],[09_23]] )</f>
        <v>147</v>
      </c>
      <c r="AA855" s="223">
        <f>LARGE(tabConsumo[[#This Row],[10_22]:[09_23]],1)</f>
        <v>70</v>
      </c>
      <c r="AB855" s="146" t="s">
        <v>2249</v>
      </c>
      <c r="AC855" s="3" t="s">
        <v>2086</v>
      </c>
    </row>
    <row r="856" spans="1:29" x14ac:dyDescent="0.3">
      <c r="A856" s="4" t="s">
        <v>1428</v>
      </c>
      <c r="B856" s="3" t="s">
        <v>263</v>
      </c>
      <c r="C856" s="2">
        <v>77554</v>
      </c>
      <c r="D856" s="2">
        <v>24</v>
      </c>
      <c r="F856" s="2">
        <v>24</v>
      </c>
      <c r="G856" s="2">
        <v>70</v>
      </c>
      <c r="H856" s="2">
        <v>0</v>
      </c>
      <c r="I856" s="2">
        <v>0</v>
      </c>
      <c r="J856" s="2">
        <v>0</v>
      </c>
      <c r="K856" s="2">
        <v>50</v>
      </c>
      <c r="L856" s="2">
        <v>6</v>
      </c>
      <c r="M856" s="2">
        <v>20</v>
      </c>
      <c r="N856" s="2">
        <v>5</v>
      </c>
      <c r="O856" s="2">
        <v>0</v>
      </c>
      <c r="P856" s="2">
        <v>50</v>
      </c>
      <c r="Q856" s="2">
        <v>0</v>
      </c>
      <c r="R856" s="238">
        <v>38056</v>
      </c>
      <c r="S856" s="219">
        <v>12</v>
      </c>
      <c r="T856" s="220">
        <f>SUM( tabConsumo[[#This Row],[QTD.PENDENTE]]:tabConsumo[[#This Row],[09_23]] ) / tabConsumo[[#This Row],[Div]]</f>
        <v>18.75</v>
      </c>
      <c r="U856" s="221">
        <f xml:space="preserve"> tabConsumo[[#This Row],[Média.A]] + (_xlfn.STDEV.S( tabConsumo[[#This Row],[QTD.PENDENTE]]:tabConsumo[[#This Row],[09_23]] ) * 1)</f>
        <v>43.463356712514795</v>
      </c>
      <c r="V856" s="221">
        <f xml:space="preserve"> tabConsumo[[#This Row],[Média.A]] + (_xlfn.STDEV.S( tabConsumo[[#This Row],[QTD.PENDENTE]]:tabConsumo[[#This Row],[09_23]] ) * 2)</f>
        <v>68.17671342502959</v>
      </c>
      <c r="W856" s="221">
        <f xml:space="preserve"> tabConsumo[[#This Row],[Média.A]] + (_xlfn.STDEV.S( tabConsumo[[#This Row],[QTD.PENDENTE]]:tabConsumo[[#This Row],[09_23]] ) * 3)</f>
        <v>92.890070137544384</v>
      </c>
      <c r="X856" s="5">
        <f t="shared" si="30"/>
        <v>2</v>
      </c>
      <c r="Y856">
        <v>18.583333333333332</v>
      </c>
      <c r="Z856" s="223">
        <f>SUM( tabConsumo[[#This Row],[QTD.PENDENTE]]:tabConsumo[[#This Row],[09_23]] )</f>
        <v>225</v>
      </c>
      <c r="AA856" s="223">
        <f>LARGE(tabConsumo[[#This Row],[10_22]:[09_23]],1)</f>
        <v>70</v>
      </c>
      <c r="AB856" s="146" t="s">
        <v>2241</v>
      </c>
      <c r="AC856" s="3" t="s">
        <v>2086</v>
      </c>
    </row>
    <row r="857" spans="1:29" x14ac:dyDescent="0.3">
      <c r="A857" s="4" t="s">
        <v>1413</v>
      </c>
      <c r="B857" s="3" t="s">
        <v>263</v>
      </c>
      <c r="C857" s="2">
        <v>74911</v>
      </c>
      <c r="D857" s="2">
        <v>17</v>
      </c>
      <c r="F857" s="2">
        <v>0</v>
      </c>
      <c r="G857" s="2">
        <v>0</v>
      </c>
      <c r="H857" s="2">
        <v>0</v>
      </c>
      <c r="I857" s="2">
        <v>0</v>
      </c>
      <c r="J857" s="2">
        <v>0</v>
      </c>
      <c r="K857" s="2">
        <v>50</v>
      </c>
      <c r="L857" s="2">
        <v>65</v>
      </c>
      <c r="M857" s="2">
        <v>0</v>
      </c>
      <c r="N857" s="2">
        <v>0</v>
      </c>
      <c r="O857" s="2">
        <v>0</v>
      </c>
      <c r="P857" s="2">
        <v>0</v>
      </c>
      <c r="Q857" s="2">
        <v>18</v>
      </c>
      <c r="R857" s="238">
        <v>37845</v>
      </c>
      <c r="S857" s="219">
        <v>12</v>
      </c>
      <c r="T857" s="220">
        <f>SUM( tabConsumo[[#This Row],[QTD.PENDENTE]]:tabConsumo[[#This Row],[09_23]] ) / tabConsumo[[#This Row],[Div]]</f>
        <v>11.083333333333334</v>
      </c>
      <c r="U857" s="221">
        <f xml:space="preserve"> tabConsumo[[#This Row],[Média.A]] + (_xlfn.STDEV.S( tabConsumo[[#This Row],[QTD.PENDENTE]]:tabConsumo[[#This Row],[09_23]] ) * 1)</f>
        <v>33.595787798819899</v>
      </c>
      <c r="V857" s="221">
        <f xml:space="preserve"> tabConsumo[[#This Row],[Média.A]] + (_xlfn.STDEV.S( tabConsumo[[#This Row],[QTD.PENDENTE]]:tabConsumo[[#This Row],[09_23]] ) * 2)</f>
        <v>56.108242264306469</v>
      </c>
      <c r="W857" s="221">
        <f xml:space="preserve"> tabConsumo[[#This Row],[Média.A]] + (_xlfn.STDEV.S( tabConsumo[[#This Row],[QTD.PENDENTE]]:tabConsumo[[#This Row],[09_23]] ) * 3)</f>
        <v>78.620696729793025</v>
      </c>
      <c r="X857" s="5">
        <f t="shared" si="30"/>
        <v>2</v>
      </c>
      <c r="Y857">
        <v>10.333333333333334</v>
      </c>
      <c r="Z857" s="223">
        <f>SUM( tabConsumo[[#This Row],[QTD.PENDENTE]]:tabConsumo[[#This Row],[09_23]] )</f>
        <v>133</v>
      </c>
      <c r="AA857" s="223">
        <f>LARGE(tabConsumo[[#This Row],[10_22]:[09_23]],1)</f>
        <v>65</v>
      </c>
      <c r="AB857" s="146" t="s">
        <v>2238</v>
      </c>
      <c r="AC857" s="3" t="s">
        <v>2086</v>
      </c>
    </row>
    <row r="858" spans="1:29" x14ac:dyDescent="0.3">
      <c r="A858" s="4" t="s">
        <v>1486</v>
      </c>
      <c r="B858" s="3" t="s">
        <v>263</v>
      </c>
      <c r="C858" s="2">
        <v>82185</v>
      </c>
      <c r="D858" s="2">
        <v>159</v>
      </c>
      <c r="F858" s="2">
        <v>0</v>
      </c>
      <c r="G858" s="2">
        <v>0</v>
      </c>
      <c r="H858" s="2">
        <v>0</v>
      </c>
      <c r="I858" s="2">
        <v>0</v>
      </c>
      <c r="J858" s="2">
        <v>0</v>
      </c>
      <c r="K858" s="2">
        <v>0</v>
      </c>
      <c r="L858" s="2">
        <v>10</v>
      </c>
      <c r="M858" s="2">
        <v>32</v>
      </c>
      <c r="N858" s="2">
        <v>17</v>
      </c>
      <c r="O858" s="2">
        <v>15</v>
      </c>
      <c r="P858" s="2">
        <v>0</v>
      </c>
      <c r="Q858" s="2">
        <v>0</v>
      </c>
      <c r="R858" s="238">
        <v>38273</v>
      </c>
      <c r="S858" s="219">
        <v>12</v>
      </c>
      <c r="T858" s="220">
        <f>SUM( tabConsumo[[#This Row],[QTD.PENDENTE]]:tabConsumo[[#This Row],[09_23]] ) / tabConsumo[[#This Row],[Div]]</f>
        <v>6.166666666666667</v>
      </c>
      <c r="U858" s="221">
        <f xml:space="preserve"> tabConsumo[[#This Row],[Média.A]] + (_xlfn.STDEV.S( tabConsumo[[#This Row],[QTD.PENDENTE]]:tabConsumo[[#This Row],[09_23]] ) * 1)</f>
        <v>16.531233344740691</v>
      </c>
      <c r="V858" s="221">
        <f xml:space="preserve"> tabConsumo[[#This Row],[Média.A]] + (_xlfn.STDEV.S( tabConsumo[[#This Row],[QTD.PENDENTE]]:tabConsumo[[#This Row],[09_23]] ) * 2)</f>
        <v>26.895800022814718</v>
      </c>
      <c r="W858" s="221">
        <f xml:space="preserve"> tabConsumo[[#This Row],[Média.A]] + (_xlfn.STDEV.S( tabConsumo[[#This Row],[QTD.PENDENTE]]:tabConsumo[[#This Row],[09_23]] ) * 3)</f>
        <v>37.260366700888738</v>
      </c>
      <c r="X858" s="5">
        <f t="shared" si="30"/>
        <v>2</v>
      </c>
      <c r="Y858">
        <v>5.666666666666667</v>
      </c>
      <c r="Z858" s="223">
        <f>SUM( tabConsumo[[#This Row],[QTD.PENDENTE]]:tabConsumo[[#This Row],[09_23]] )</f>
        <v>74</v>
      </c>
      <c r="AA858" s="223">
        <f>LARGE(tabConsumo[[#This Row],[10_22]:[09_23]],1)</f>
        <v>32</v>
      </c>
      <c r="AB858" s="146" t="s">
        <v>2239</v>
      </c>
      <c r="AC858" s="3" t="s">
        <v>2086</v>
      </c>
    </row>
    <row r="859" spans="1:29" x14ac:dyDescent="0.3">
      <c r="A859" s="4" t="s">
        <v>1709</v>
      </c>
      <c r="B859" s="3" t="s">
        <v>263</v>
      </c>
      <c r="C859" s="2">
        <v>114852</v>
      </c>
      <c r="D859" s="2">
        <v>133</v>
      </c>
      <c r="F859" s="2">
        <v>0</v>
      </c>
      <c r="G859" s="2">
        <v>25</v>
      </c>
      <c r="H859" s="2">
        <v>0</v>
      </c>
      <c r="I859" s="2">
        <v>0</v>
      </c>
      <c r="J859" s="2">
        <v>0</v>
      </c>
      <c r="K859" s="2">
        <v>0</v>
      </c>
      <c r="L859" s="2">
        <v>0</v>
      </c>
      <c r="M859" s="2">
        <v>30</v>
      </c>
      <c r="N859" s="2">
        <v>14</v>
      </c>
      <c r="O859" s="2">
        <v>0</v>
      </c>
      <c r="P859" s="2">
        <v>0</v>
      </c>
      <c r="Q859" s="2">
        <v>0</v>
      </c>
      <c r="R859" s="238">
        <v>40280</v>
      </c>
      <c r="S859" s="219">
        <v>12</v>
      </c>
      <c r="T859" s="220">
        <f>SUM( tabConsumo[[#This Row],[QTD.PENDENTE]]:tabConsumo[[#This Row],[09_23]] ) / tabConsumo[[#This Row],[Div]]</f>
        <v>5.75</v>
      </c>
      <c r="U859" s="221">
        <f xml:space="preserve"> tabConsumo[[#This Row],[Média.A]] + (_xlfn.STDEV.S( tabConsumo[[#This Row],[QTD.PENDENTE]]:tabConsumo[[#This Row],[09_23]] ) * 1)</f>
        <v>16.722071984651016</v>
      </c>
      <c r="V859" s="221">
        <f xml:space="preserve"> tabConsumo[[#This Row],[Média.A]] + (_xlfn.STDEV.S( tabConsumo[[#This Row],[QTD.PENDENTE]]:tabConsumo[[#This Row],[09_23]] ) * 2)</f>
        <v>27.694143969302029</v>
      </c>
      <c r="W859" s="221">
        <f xml:space="preserve"> tabConsumo[[#This Row],[Média.A]] + (_xlfn.STDEV.S( tabConsumo[[#This Row],[QTD.PENDENTE]]:tabConsumo[[#This Row],[09_23]] ) * 3)</f>
        <v>38.666215953953042</v>
      </c>
      <c r="X859" s="5">
        <f t="shared" si="30"/>
        <v>2</v>
      </c>
      <c r="Y859">
        <v>5.5</v>
      </c>
      <c r="Z859" s="223">
        <f>SUM( tabConsumo[[#This Row],[QTD.PENDENTE]]:tabConsumo[[#This Row],[09_23]] )</f>
        <v>69</v>
      </c>
      <c r="AA859" s="223">
        <f>LARGE(tabConsumo[[#This Row],[10_22]:[09_23]],1)</f>
        <v>30</v>
      </c>
      <c r="AB859" s="146" t="s">
        <v>2246</v>
      </c>
      <c r="AC859" s="3" t="s">
        <v>2086</v>
      </c>
    </row>
    <row r="860" spans="1:29" x14ac:dyDescent="0.3">
      <c r="A860" s="4" t="s">
        <v>1710</v>
      </c>
      <c r="B860" s="3" t="s">
        <v>263</v>
      </c>
      <c r="C860" s="2">
        <v>114853</v>
      </c>
      <c r="D860" s="2">
        <v>161</v>
      </c>
      <c r="F860" s="2">
        <v>1</v>
      </c>
      <c r="G860" s="2">
        <v>0</v>
      </c>
      <c r="H860" s="2">
        <v>7</v>
      </c>
      <c r="I860" s="2">
        <v>0</v>
      </c>
      <c r="J860" s="2">
        <v>0</v>
      </c>
      <c r="K860" s="2">
        <v>6</v>
      </c>
      <c r="L860" s="2">
        <v>0</v>
      </c>
      <c r="M860" s="2">
        <v>16</v>
      </c>
      <c r="N860" s="2">
        <v>15</v>
      </c>
      <c r="O860" s="2">
        <v>2</v>
      </c>
      <c r="P860" s="2">
        <v>0</v>
      </c>
      <c r="Q860" s="2">
        <v>0</v>
      </c>
      <c r="R860" s="238">
        <v>40280</v>
      </c>
      <c r="S860" s="219">
        <v>12</v>
      </c>
      <c r="T860" s="220">
        <f>SUM( tabConsumo[[#This Row],[QTD.PENDENTE]]:tabConsumo[[#This Row],[09_23]] ) / tabConsumo[[#This Row],[Div]]</f>
        <v>3.9166666666666665</v>
      </c>
      <c r="U860" s="221">
        <f xml:space="preserve"> tabConsumo[[#This Row],[Média.A]] + (_xlfn.STDEV.S( tabConsumo[[#This Row],[QTD.PENDENTE]]:tabConsumo[[#This Row],[09_23]] ) * 1)</f>
        <v>9.8474543398381158</v>
      </c>
      <c r="V860" s="221">
        <f xml:space="preserve"> tabConsumo[[#This Row],[Média.A]] + (_xlfn.STDEV.S( tabConsumo[[#This Row],[QTD.PENDENTE]]:tabConsumo[[#This Row],[09_23]] ) * 2)</f>
        <v>15.778242013009566</v>
      </c>
      <c r="W860" s="221">
        <f xml:space="preserve"> tabConsumo[[#This Row],[Média.A]] + (_xlfn.STDEV.S( tabConsumo[[#This Row],[QTD.PENDENTE]]:tabConsumo[[#This Row],[09_23]] ) * 3)</f>
        <v>21.709029686181015</v>
      </c>
      <c r="X860" s="5">
        <f t="shared" si="30"/>
        <v>2</v>
      </c>
      <c r="Y860">
        <v>3.8333333333333335</v>
      </c>
      <c r="Z860" s="223">
        <f>SUM( tabConsumo[[#This Row],[QTD.PENDENTE]]:tabConsumo[[#This Row],[09_23]] )</f>
        <v>47</v>
      </c>
      <c r="AA860" s="223">
        <f>LARGE(tabConsumo[[#This Row],[10_22]:[09_23]],1)</f>
        <v>16</v>
      </c>
      <c r="AB860" s="146" t="s">
        <v>2239</v>
      </c>
      <c r="AC860" s="3" t="s">
        <v>2086</v>
      </c>
    </row>
    <row r="861" spans="1:29" x14ac:dyDescent="0.3">
      <c r="A861" s="4" t="s">
        <v>1721</v>
      </c>
      <c r="B861" s="3" t="s">
        <v>31</v>
      </c>
      <c r="C861" s="2">
        <v>115840</v>
      </c>
      <c r="D861" s="2">
        <v>25</v>
      </c>
      <c r="F861" s="2">
        <v>0</v>
      </c>
      <c r="G861" s="2">
        <v>0</v>
      </c>
      <c r="H861" s="2">
        <v>0</v>
      </c>
      <c r="I861" s="2">
        <v>0</v>
      </c>
      <c r="J861" s="2">
        <v>0</v>
      </c>
      <c r="K861" s="2">
        <v>0</v>
      </c>
      <c r="L861" s="2">
        <v>0</v>
      </c>
      <c r="M861" s="2">
        <v>0</v>
      </c>
      <c r="N861" s="2">
        <v>6</v>
      </c>
      <c r="O861" s="2">
        <v>1</v>
      </c>
      <c r="P861" s="2">
        <v>0</v>
      </c>
      <c r="Q861" s="2">
        <v>0</v>
      </c>
      <c r="R861" s="238">
        <v>40357</v>
      </c>
      <c r="S861" s="219">
        <v>12</v>
      </c>
      <c r="T861" s="220">
        <f>SUM( tabConsumo[[#This Row],[QTD.PENDENTE]]:tabConsumo[[#This Row],[09_23]] ) / tabConsumo[[#This Row],[Div]]</f>
        <v>0.58333333333333337</v>
      </c>
      <c r="U861" s="221">
        <f xml:space="preserve"> tabConsumo[[#This Row],[Média.A]] + (_xlfn.STDEV.S( tabConsumo[[#This Row],[QTD.PENDENTE]]:tabConsumo[[#This Row],[09_23]] ) * 1)</f>
        <v>2.3131958256789655</v>
      </c>
      <c r="V861" s="221">
        <f xml:space="preserve"> tabConsumo[[#This Row],[Média.A]] + (_xlfn.STDEV.S( tabConsumo[[#This Row],[QTD.PENDENTE]]:tabConsumo[[#This Row],[09_23]] ) * 2)</f>
        <v>4.0430583180245971</v>
      </c>
      <c r="W861" s="221">
        <f xml:space="preserve"> tabConsumo[[#This Row],[Média.A]] + (_xlfn.STDEV.S( tabConsumo[[#This Row],[QTD.PENDENTE]]:tabConsumo[[#This Row],[09_23]] ) * 3)</f>
        <v>5.7729208103702296</v>
      </c>
      <c r="X861" s="5">
        <f t="shared" si="30"/>
        <v>2</v>
      </c>
      <c r="Y861">
        <v>0.41666666666666669</v>
      </c>
      <c r="Z861" s="223">
        <f>SUM( tabConsumo[[#This Row],[QTD.PENDENTE]]:tabConsumo[[#This Row],[09_23]] )</f>
        <v>7</v>
      </c>
      <c r="AA861" s="223">
        <f>LARGE(tabConsumo[[#This Row],[10_22]:[09_23]],1)</f>
        <v>6</v>
      </c>
      <c r="AB861" s="146" t="s">
        <v>2239</v>
      </c>
      <c r="AC861" s="3" t="s">
        <v>2086</v>
      </c>
    </row>
    <row r="862" spans="1:29" x14ac:dyDescent="0.3">
      <c r="A862" s="4" t="s">
        <v>1143</v>
      </c>
      <c r="B862" s="3" t="s">
        <v>263</v>
      </c>
      <c r="C862" s="2">
        <v>17946</v>
      </c>
      <c r="D862" s="2">
        <v>2316</v>
      </c>
      <c r="F862" s="2">
        <v>0</v>
      </c>
      <c r="G862" s="2">
        <v>0</v>
      </c>
      <c r="H862" s="2">
        <v>0</v>
      </c>
      <c r="I862" s="2">
        <v>0</v>
      </c>
      <c r="J862" s="2">
        <v>0</v>
      </c>
      <c r="K862" s="2">
        <v>0</v>
      </c>
      <c r="L862" s="2">
        <v>0</v>
      </c>
      <c r="M862" s="2">
        <v>20</v>
      </c>
      <c r="N862" s="2">
        <v>0</v>
      </c>
      <c r="O862" s="2">
        <v>0</v>
      </c>
      <c r="P862" s="2">
        <v>0</v>
      </c>
      <c r="Q862" s="2">
        <v>0</v>
      </c>
      <c r="R862" s="238">
        <v>367</v>
      </c>
      <c r="S862" s="219">
        <f xml:space="preserve"> 12</f>
        <v>12</v>
      </c>
      <c r="T862" s="220">
        <f>SUM( tabConsumo[[#This Row],[QTD.PENDENTE]]:tabConsumo[[#This Row],[09_23]] ) / tabConsumo[[#This Row],[Div]]</f>
        <v>1.6666666666666667</v>
      </c>
      <c r="U862" s="221">
        <f xml:space="preserve"> tabConsumo[[#This Row],[Média.A]] + (_xlfn.STDEV.S( tabConsumo[[#This Row],[QTD.PENDENTE]]:tabConsumo[[#This Row],[09_23]] ) * 1)</f>
        <v>7.4401693585629252</v>
      </c>
      <c r="V862" s="221">
        <f xml:space="preserve"> tabConsumo[[#This Row],[Média.A]] + (_xlfn.STDEV.S( tabConsumo[[#This Row],[QTD.PENDENTE]]:tabConsumo[[#This Row],[09_23]] ) * 2)</f>
        <v>13.213672050459182</v>
      </c>
      <c r="W862" s="221">
        <f xml:space="preserve"> tabConsumo[[#This Row],[Média.A]] + (_xlfn.STDEV.S( tabConsumo[[#This Row],[QTD.PENDENTE]]:tabConsumo[[#This Row],[09_23]] ) * 3)</f>
        <v>18.987174742355442</v>
      </c>
      <c r="X862" s="5">
        <f t="shared" si="30"/>
        <v>2</v>
      </c>
      <c r="Y862">
        <v>1.0833333333333333</v>
      </c>
      <c r="Z862" s="223">
        <f>SUM( tabConsumo[[#This Row],[QTD.PENDENTE]]:tabConsumo[[#This Row],[09_23]] )</f>
        <v>20</v>
      </c>
      <c r="AA862" s="223">
        <f>LARGE(tabConsumo[[#This Row],[10_22]:[09_23]],1)</f>
        <v>20</v>
      </c>
      <c r="AB862" s="146" t="s">
        <v>2244</v>
      </c>
      <c r="AC862" s="3" t="s">
        <v>2086</v>
      </c>
    </row>
  </sheetData>
  <dataConsolidate link="1"/>
  <conditionalFormatting sqref="A2:XFD2">
    <cfRule type="cellIs" dxfId="120" priority="679" operator="greaterThan">
      <formula>""""""</formula>
    </cfRule>
  </conditionalFormatting>
  <conditionalFormatting sqref="AC1:AC2">
    <cfRule type="cellIs" dxfId="119"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90667" r:id="rId4" name="btn_Consumo_AtalPPed">
          <controlPr defaultSize="0" autoLine="0" r:id="rId5">
            <anchor moveWithCells="1">
              <from>
                <xdr:col>0</xdr:col>
                <xdr:colOff>2286000</xdr:colOff>
                <xdr:row>0</xdr:row>
                <xdr:rowOff>60960</xdr:rowOff>
              </from>
              <to>
                <xdr:col>0</xdr:col>
                <xdr:colOff>3368040</xdr:colOff>
                <xdr:row>0</xdr:row>
                <xdr:rowOff>632460</xdr:rowOff>
              </to>
            </anchor>
          </controlPr>
        </control>
      </mc:Choice>
      <mc:Fallback>
        <control shapeId="1890667" r:id="rId4" name="btn_Consumo_AtalPPed"/>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1135380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289838" r:id="rId8" name="btn_Consumo_ReapurarMedias">
          <controlPr defaultSize="0" autoLine="0" r:id="rId9">
            <anchor moveWithCells="1">
              <from>
                <xdr:col>0</xdr:col>
                <xdr:colOff>1165860</xdr:colOff>
                <xdr:row>0</xdr:row>
                <xdr:rowOff>60960</xdr:rowOff>
              </from>
              <to>
                <xdr:col>0</xdr:col>
                <xdr:colOff>2247900</xdr:colOff>
                <xdr:row>0</xdr:row>
                <xdr:rowOff>632460</xdr:rowOff>
              </to>
            </anchor>
          </controlPr>
        </control>
      </mc:Choice>
      <mc:Fallback>
        <control shapeId="289838" r:id="rId8" name="btn_Consumo_ReapurarMedias"/>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zoomScale="85" zoomScaleNormal="85" workbookViewId="0">
      <pane xSplit="8" ySplit="3" topLeftCell="I574" activePane="bottomRight" state="frozen"/>
      <selection pane="topRight" activeCell="G1" sqref="G1"/>
      <selection pane="bottomLeft" activeCell="A4" sqref="A4"/>
      <selection pane="bottomRight" activeCell="B578" sqref="B578"/>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2.4414062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360" t="s">
        <v>114</v>
      </c>
      <c r="B1" s="361"/>
      <c r="C1" s="361"/>
      <c r="D1" s="361"/>
      <c r="E1" s="361"/>
      <c r="F1" s="361"/>
      <c r="G1" s="361"/>
      <c r="H1" s="361"/>
    </row>
    <row r="2" spans="1:8" ht="32.25" customHeight="1" x14ac:dyDescent="0.3">
      <c r="A2" s="362"/>
      <c r="B2" s="362"/>
      <c r="C2" s="362"/>
      <c r="D2" s="362"/>
      <c r="E2" s="362"/>
      <c r="F2" s="362"/>
      <c r="G2" s="362"/>
      <c r="H2" s="362"/>
    </row>
    <row r="3" spans="1:8" x14ac:dyDescent="0.3">
      <c r="A3" s="69" t="s">
        <v>0</v>
      </c>
      <c r="B3" s="70" t="s">
        <v>1</v>
      </c>
      <c r="C3" s="71" t="s">
        <v>31</v>
      </c>
      <c r="D3" s="72" t="s">
        <v>20</v>
      </c>
      <c r="E3" s="72" t="s">
        <v>34</v>
      </c>
      <c r="F3" s="107" t="s">
        <v>93</v>
      </c>
      <c r="G3" s="107" t="s">
        <v>94</v>
      </c>
      <c r="H3" s="78" t="s">
        <v>61</v>
      </c>
    </row>
    <row r="4" spans="1:8" x14ac:dyDescent="0.3">
      <c r="A4" s="2">
        <v>2278</v>
      </c>
      <c r="B4" s="4" t="s">
        <v>259</v>
      </c>
      <c r="C4" s="3" t="s">
        <v>260</v>
      </c>
      <c r="D4" s="270">
        <v>70</v>
      </c>
      <c r="E4" s="270">
        <v>17</v>
      </c>
      <c r="F4" s="271" t="s">
        <v>261</v>
      </c>
      <c r="G4" s="272">
        <v>44463.593159722222</v>
      </c>
      <c r="H4" s="2"/>
    </row>
    <row r="5" spans="1:8" x14ac:dyDescent="0.3">
      <c r="A5" s="2">
        <v>4689</v>
      </c>
      <c r="B5" s="4" t="s">
        <v>262</v>
      </c>
      <c r="C5" s="3" t="s">
        <v>263</v>
      </c>
      <c r="D5" s="270">
        <v>20</v>
      </c>
      <c r="E5" s="270">
        <v>3</v>
      </c>
      <c r="F5" s="271" t="s">
        <v>264</v>
      </c>
      <c r="G5" s="272">
        <v>44313.495532407411</v>
      </c>
      <c r="H5" s="2"/>
    </row>
    <row r="6" spans="1:8" x14ac:dyDescent="0.3">
      <c r="A6" s="2">
        <v>4690</v>
      </c>
      <c r="B6" s="4" t="s">
        <v>265</v>
      </c>
      <c r="C6" s="3" t="s">
        <v>263</v>
      </c>
      <c r="D6" s="270">
        <v>20</v>
      </c>
      <c r="E6" s="270">
        <v>3</v>
      </c>
      <c r="F6" s="271" t="s">
        <v>264</v>
      </c>
      <c r="G6" s="272">
        <v>44313.495532407411</v>
      </c>
      <c r="H6" s="2"/>
    </row>
    <row r="7" spans="1:8" x14ac:dyDescent="0.3">
      <c r="A7" s="2">
        <v>10870</v>
      </c>
      <c r="B7" s="4" t="s">
        <v>266</v>
      </c>
      <c r="C7" s="3" t="s">
        <v>267</v>
      </c>
      <c r="D7" s="270"/>
      <c r="E7" s="270"/>
      <c r="F7" s="271"/>
      <c r="G7" s="272"/>
      <c r="H7" s="2"/>
    </row>
    <row r="8" spans="1:8" x14ac:dyDescent="0.3">
      <c r="A8" s="2">
        <v>11287</v>
      </c>
      <c r="B8" s="4" t="s">
        <v>268</v>
      </c>
      <c r="C8" s="3" t="s">
        <v>269</v>
      </c>
      <c r="D8" s="270">
        <v>45</v>
      </c>
      <c r="E8" s="270">
        <v>12</v>
      </c>
      <c r="F8" s="271" t="s">
        <v>270</v>
      </c>
      <c r="G8" s="272">
        <v>43882.488356481481</v>
      </c>
      <c r="H8" s="2"/>
    </row>
    <row r="9" spans="1:8" x14ac:dyDescent="0.3">
      <c r="A9" s="2">
        <v>11882</v>
      </c>
      <c r="B9" s="4" t="s">
        <v>271</v>
      </c>
      <c r="C9" s="3" t="s">
        <v>272</v>
      </c>
      <c r="D9" s="270">
        <v>80</v>
      </c>
      <c r="E9" s="270">
        <v>1</v>
      </c>
      <c r="F9" s="271"/>
      <c r="G9" s="272"/>
      <c r="H9" s="2"/>
    </row>
    <row r="10" spans="1:8" x14ac:dyDescent="0.3">
      <c r="A10" s="2">
        <v>11956</v>
      </c>
      <c r="B10" s="4" t="s">
        <v>273</v>
      </c>
      <c r="C10" s="3" t="s">
        <v>272</v>
      </c>
      <c r="D10" s="270">
        <v>80</v>
      </c>
      <c r="E10" s="270">
        <v>1</v>
      </c>
      <c r="F10" s="271"/>
      <c r="G10" s="272"/>
      <c r="H10" s="2"/>
    </row>
    <row r="11" spans="1:8" x14ac:dyDescent="0.3">
      <c r="A11" s="2">
        <v>11980</v>
      </c>
      <c r="B11" s="4" t="s">
        <v>274</v>
      </c>
      <c r="C11" s="3"/>
      <c r="D11" s="270"/>
      <c r="E11" s="270"/>
      <c r="F11" s="271"/>
      <c r="G11" s="272"/>
      <c r="H11" s="2"/>
    </row>
    <row r="12" spans="1:8" x14ac:dyDescent="0.3">
      <c r="A12" s="2">
        <v>12020</v>
      </c>
      <c r="B12" s="4" t="s">
        <v>275</v>
      </c>
      <c r="C12" s="3" t="s">
        <v>263</v>
      </c>
      <c r="D12" s="270">
        <v>80</v>
      </c>
      <c r="E12" s="270">
        <v>1</v>
      </c>
      <c r="F12" s="271"/>
      <c r="G12" s="272"/>
      <c r="H12" s="2"/>
    </row>
    <row r="13" spans="1:8" x14ac:dyDescent="0.3">
      <c r="A13" s="2">
        <v>12610</v>
      </c>
      <c r="B13" s="4" t="s">
        <v>276</v>
      </c>
      <c r="C13" s="3" t="s">
        <v>31</v>
      </c>
      <c r="D13" s="270">
        <v>45</v>
      </c>
      <c r="E13" s="270">
        <v>11</v>
      </c>
      <c r="F13" s="271" t="s">
        <v>264</v>
      </c>
      <c r="G13" s="272" t="s">
        <v>277</v>
      </c>
      <c r="H13" s="2"/>
    </row>
    <row r="14" spans="1:8" x14ac:dyDescent="0.3">
      <c r="A14" s="2">
        <v>12615</v>
      </c>
      <c r="B14" s="4" t="s">
        <v>278</v>
      </c>
      <c r="C14" s="3" t="s">
        <v>279</v>
      </c>
      <c r="D14" s="270">
        <v>72</v>
      </c>
      <c r="E14" s="270">
        <v>9</v>
      </c>
      <c r="F14" s="271" t="s">
        <v>270</v>
      </c>
      <c r="G14" s="272">
        <v>43732.432951388888</v>
      </c>
      <c r="H14" s="2"/>
    </row>
    <row r="15" spans="1:8" x14ac:dyDescent="0.3">
      <c r="A15" s="2">
        <v>12657</v>
      </c>
      <c r="B15" s="4" t="s">
        <v>280</v>
      </c>
      <c r="C15" s="3" t="s">
        <v>267</v>
      </c>
      <c r="D15" s="270">
        <v>81</v>
      </c>
      <c r="E15" s="270">
        <v>9</v>
      </c>
      <c r="F15" s="271"/>
      <c r="G15" s="272"/>
      <c r="H15" s="2"/>
    </row>
    <row r="16" spans="1:8" x14ac:dyDescent="0.3">
      <c r="A16" s="2">
        <v>12673</v>
      </c>
      <c r="B16" s="4" t="s">
        <v>281</v>
      </c>
      <c r="C16" s="3" t="s">
        <v>263</v>
      </c>
      <c r="D16" s="270">
        <v>72</v>
      </c>
      <c r="E16" s="270">
        <v>5</v>
      </c>
      <c r="F16" s="271" t="s">
        <v>261</v>
      </c>
      <c r="G16" s="272">
        <v>44873.378078703703</v>
      </c>
      <c r="H16" s="2"/>
    </row>
    <row r="17" spans="1:8" x14ac:dyDescent="0.3">
      <c r="A17" s="2">
        <v>12675</v>
      </c>
      <c r="B17" s="4" t="s">
        <v>282</v>
      </c>
      <c r="C17" s="3" t="s">
        <v>263</v>
      </c>
      <c r="D17" s="270">
        <v>72</v>
      </c>
      <c r="E17" s="270">
        <v>5</v>
      </c>
      <c r="F17" s="271"/>
      <c r="G17" s="272"/>
      <c r="H17" s="2"/>
    </row>
    <row r="18" spans="1:8" x14ac:dyDescent="0.3">
      <c r="A18" s="2">
        <v>12708</v>
      </c>
      <c r="B18" s="4" t="s">
        <v>283</v>
      </c>
      <c r="C18" s="3"/>
      <c r="D18" s="270"/>
      <c r="E18" s="270"/>
      <c r="F18" s="271"/>
      <c r="G18" s="272"/>
      <c r="H18" s="2"/>
    </row>
    <row r="19" spans="1:8" x14ac:dyDescent="0.3">
      <c r="A19" s="2">
        <v>12712</v>
      </c>
      <c r="B19" s="4" t="s">
        <v>284</v>
      </c>
      <c r="C19" s="3" t="s">
        <v>263</v>
      </c>
      <c r="D19" s="270">
        <v>72</v>
      </c>
      <c r="E19" s="270">
        <v>9</v>
      </c>
      <c r="F19" s="271" t="s">
        <v>270</v>
      </c>
      <c r="G19" s="272">
        <v>43732.432951388888</v>
      </c>
      <c r="H19" s="2"/>
    </row>
    <row r="20" spans="1:8" x14ac:dyDescent="0.3">
      <c r="A20" s="2">
        <v>12720</v>
      </c>
      <c r="B20" s="4" t="s">
        <v>285</v>
      </c>
      <c r="C20" s="3" t="s">
        <v>263</v>
      </c>
      <c r="D20" s="270">
        <v>72</v>
      </c>
      <c r="E20" s="270">
        <v>6</v>
      </c>
      <c r="F20" s="271"/>
      <c r="G20" s="272"/>
      <c r="H20" s="2"/>
    </row>
    <row r="21" spans="1:8" x14ac:dyDescent="0.3">
      <c r="A21" s="2">
        <v>12806</v>
      </c>
      <c r="B21" s="4" t="s">
        <v>286</v>
      </c>
      <c r="C21" s="3" t="s">
        <v>287</v>
      </c>
      <c r="D21" s="270">
        <v>76</v>
      </c>
      <c r="E21" s="270">
        <v>16</v>
      </c>
      <c r="F21" s="271" t="s">
        <v>270</v>
      </c>
      <c r="G21" s="272">
        <v>44008.450694444444</v>
      </c>
      <c r="H21" s="2"/>
    </row>
    <row r="22" spans="1:8" x14ac:dyDescent="0.3">
      <c r="A22" s="2">
        <v>12812</v>
      </c>
      <c r="B22" s="4" t="s">
        <v>288</v>
      </c>
      <c r="C22" s="3" t="s">
        <v>263</v>
      </c>
      <c r="D22" s="270">
        <v>76</v>
      </c>
      <c r="E22" s="270">
        <v>11</v>
      </c>
      <c r="F22" s="271" t="s">
        <v>261</v>
      </c>
      <c r="G22" s="272">
        <v>44463.593159722222</v>
      </c>
      <c r="H22" s="2"/>
    </row>
    <row r="23" spans="1:8" x14ac:dyDescent="0.3">
      <c r="A23" s="2">
        <v>12818</v>
      </c>
      <c r="B23" s="4" t="s">
        <v>289</v>
      </c>
      <c r="C23" s="3" t="s">
        <v>290</v>
      </c>
      <c r="D23" s="270">
        <v>76</v>
      </c>
      <c r="E23" s="270">
        <v>6</v>
      </c>
      <c r="F23" s="271" t="s">
        <v>270</v>
      </c>
      <c r="G23" s="272">
        <v>43896.298993055556</v>
      </c>
      <c r="H23" s="2"/>
    </row>
    <row r="24" spans="1:8" x14ac:dyDescent="0.3">
      <c r="A24" s="2">
        <v>12820</v>
      </c>
      <c r="B24" s="4" t="s">
        <v>291</v>
      </c>
      <c r="C24" s="3" t="s">
        <v>290</v>
      </c>
      <c r="D24" s="270">
        <v>76</v>
      </c>
      <c r="E24" s="270">
        <v>6</v>
      </c>
      <c r="F24" s="271" t="s">
        <v>270</v>
      </c>
      <c r="G24" s="272">
        <v>43896.298993055556</v>
      </c>
      <c r="H24" s="2"/>
    </row>
    <row r="25" spans="1:8" x14ac:dyDescent="0.3">
      <c r="A25" s="2">
        <v>12829</v>
      </c>
      <c r="B25" s="4" t="s">
        <v>292</v>
      </c>
      <c r="C25" s="3" t="s">
        <v>290</v>
      </c>
      <c r="D25" s="270">
        <v>76</v>
      </c>
      <c r="E25" s="270">
        <v>6</v>
      </c>
      <c r="F25" s="271" t="s">
        <v>270</v>
      </c>
      <c r="G25" s="272">
        <v>43896.298993055556</v>
      </c>
      <c r="H25" s="2"/>
    </row>
    <row r="26" spans="1:8" x14ac:dyDescent="0.3">
      <c r="A26" s="2">
        <v>12831</v>
      </c>
      <c r="B26" s="4" t="s">
        <v>293</v>
      </c>
      <c r="C26" s="3" t="s">
        <v>290</v>
      </c>
      <c r="D26" s="270">
        <v>76</v>
      </c>
      <c r="E26" s="270">
        <v>6</v>
      </c>
      <c r="F26" s="271" t="s">
        <v>270</v>
      </c>
      <c r="G26" s="272">
        <v>43896.298993055556</v>
      </c>
      <c r="H26" s="2"/>
    </row>
    <row r="27" spans="1:8" x14ac:dyDescent="0.3">
      <c r="A27" s="2">
        <v>12838</v>
      </c>
      <c r="B27" s="4" t="s">
        <v>294</v>
      </c>
      <c r="C27" s="3" t="s">
        <v>290</v>
      </c>
      <c r="D27" s="270">
        <v>76</v>
      </c>
      <c r="E27" s="270">
        <v>6</v>
      </c>
      <c r="F27" s="271" t="s">
        <v>270</v>
      </c>
      <c r="G27" s="272">
        <v>43896.298993055556</v>
      </c>
      <c r="H27" s="2"/>
    </row>
    <row r="28" spans="1:8" x14ac:dyDescent="0.3">
      <c r="A28" s="2">
        <v>12851</v>
      </c>
      <c r="B28" s="4" t="s">
        <v>295</v>
      </c>
      <c r="C28" s="3" t="s">
        <v>263</v>
      </c>
      <c r="D28" s="270">
        <v>51</v>
      </c>
      <c r="E28" s="270">
        <v>12</v>
      </c>
      <c r="F28" s="271"/>
      <c r="G28" s="272"/>
      <c r="H28" s="2"/>
    </row>
    <row r="29" spans="1:8" x14ac:dyDescent="0.3">
      <c r="A29" s="2">
        <v>12853</v>
      </c>
      <c r="B29" s="4" t="s">
        <v>296</v>
      </c>
      <c r="C29" s="3" t="s">
        <v>263</v>
      </c>
      <c r="D29" s="270">
        <v>76</v>
      </c>
      <c r="E29" s="270">
        <v>11</v>
      </c>
      <c r="F29" s="271" t="s">
        <v>261</v>
      </c>
      <c r="G29" s="272">
        <v>44463.593159722222</v>
      </c>
      <c r="H29" s="2"/>
    </row>
    <row r="30" spans="1:8" x14ac:dyDescent="0.3">
      <c r="A30" s="2">
        <v>12857</v>
      </c>
      <c r="B30" s="4" t="s">
        <v>297</v>
      </c>
      <c r="C30" s="3" t="s">
        <v>263</v>
      </c>
      <c r="D30" s="270">
        <v>76</v>
      </c>
      <c r="E30" s="270">
        <v>11</v>
      </c>
      <c r="F30" s="271" t="s">
        <v>261</v>
      </c>
      <c r="G30" s="272">
        <v>44463.593159722222</v>
      </c>
      <c r="H30" s="2"/>
    </row>
    <row r="31" spans="1:8" x14ac:dyDescent="0.3">
      <c r="A31" s="2">
        <v>12869</v>
      </c>
      <c r="B31" s="4" t="s">
        <v>298</v>
      </c>
      <c r="C31" s="3" t="s">
        <v>263</v>
      </c>
      <c r="D31" s="270">
        <v>61</v>
      </c>
      <c r="E31" s="270">
        <v>8</v>
      </c>
      <c r="F31" s="271" t="s">
        <v>270</v>
      </c>
      <c r="G31" s="272">
        <v>43875.455243055556</v>
      </c>
      <c r="H31" s="2"/>
    </row>
    <row r="32" spans="1:8" x14ac:dyDescent="0.3">
      <c r="A32" s="2">
        <v>12888</v>
      </c>
      <c r="B32" s="4" t="s">
        <v>299</v>
      </c>
      <c r="C32" s="3" t="s">
        <v>263</v>
      </c>
      <c r="D32" s="270">
        <v>61</v>
      </c>
      <c r="E32" s="270">
        <v>8</v>
      </c>
      <c r="F32" s="271"/>
      <c r="G32" s="272"/>
      <c r="H32" s="2"/>
    </row>
    <row r="33" spans="1:8" x14ac:dyDescent="0.3">
      <c r="A33" s="2">
        <v>12915</v>
      </c>
      <c r="B33" s="4" t="s">
        <v>300</v>
      </c>
      <c r="C33" s="3" t="s">
        <v>301</v>
      </c>
      <c r="D33" s="270">
        <v>76</v>
      </c>
      <c r="E33" s="270">
        <v>5</v>
      </c>
      <c r="F33" s="271"/>
      <c r="G33" s="272"/>
      <c r="H33" s="2"/>
    </row>
    <row r="34" spans="1:8" x14ac:dyDescent="0.3">
      <c r="A34" s="2">
        <v>12925</v>
      </c>
      <c r="B34" s="4" t="s">
        <v>302</v>
      </c>
      <c r="C34" s="3" t="s">
        <v>263</v>
      </c>
      <c r="D34" s="270">
        <v>70</v>
      </c>
      <c r="E34" s="270">
        <v>17</v>
      </c>
      <c r="F34" s="271" t="s">
        <v>270</v>
      </c>
      <c r="G34" s="272" t="s">
        <v>303</v>
      </c>
      <c r="H34" s="2"/>
    </row>
    <row r="35" spans="1:8" x14ac:dyDescent="0.3">
      <c r="A35" s="2">
        <v>12934</v>
      </c>
      <c r="B35" s="4" t="s">
        <v>304</v>
      </c>
      <c r="C35" s="3" t="s">
        <v>263</v>
      </c>
      <c r="D35" s="270">
        <v>70</v>
      </c>
      <c r="E35" s="270">
        <v>30</v>
      </c>
      <c r="F35" s="271"/>
      <c r="G35" s="272"/>
      <c r="H35" s="2"/>
    </row>
    <row r="36" spans="1:8" x14ac:dyDescent="0.3">
      <c r="A36" s="2">
        <v>12937</v>
      </c>
      <c r="B36" s="4" t="s">
        <v>305</v>
      </c>
      <c r="C36" s="3" t="s">
        <v>263</v>
      </c>
      <c r="D36" s="270">
        <v>55</v>
      </c>
      <c r="E36" s="270">
        <v>26</v>
      </c>
      <c r="F36" s="271"/>
      <c r="G36" s="272"/>
      <c r="H36" s="2"/>
    </row>
    <row r="37" spans="1:8" x14ac:dyDescent="0.3">
      <c r="A37" s="2">
        <v>12944</v>
      </c>
      <c r="B37" s="4" t="s">
        <v>306</v>
      </c>
      <c r="C37" s="3" t="s">
        <v>263</v>
      </c>
      <c r="D37" s="270">
        <v>61</v>
      </c>
      <c r="E37" s="270">
        <v>8</v>
      </c>
      <c r="F37" s="271"/>
      <c r="G37" s="272"/>
      <c r="H37" s="2"/>
    </row>
    <row r="38" spans="1:8" x14ac:dyDescent="0.3">
      <c r="A38" s="2">
        <v>12953</v>
      </c>
      <c r="B38" s="4" t="s">
        <v>307</v>
      </c>
      <c r="C38" s="3" t="s">
        <v>263</v>
      </c>
      <c r="D38" s="270">
        <v>61</v>
      </c>
      <c r="E38" s="270">
        <v>8</v>
      </c>
      <c r="F38" s="271"/>
      <c r="G38" s="272"/>
      <c r="H38" s="2"/>
    </row>
    <row r="39" spans="1:8" x14ac:dyDescent="0.3">
      <c r="A39" s="2">
        <v>12961</v>
      </c>
      <c r="B39" s="4" t="s">
        <v>308</v>
      </c>
      <c r="C39" s="3" t="s">
        <v>263</v>
      </c>
      <c r="D39" s="270">
        <v>61</v>
      </c>
      <c r="E39" s="270">
        <v>8</v>
      </c>
      <c r="F39" s="271"/>
      <c r="G39" s="272"/>
      <c r="H39" s="2"/>
    </row>
    <row r="40" spans="1:8" x14ac:dyDescent="0.3">
      <c r="A40" s="2">
        <v>12964</v>
      </c>
      <c r="B40" s="4" t="s">
        <v>309</v>
      </c>
      <c r="C40" s="3" t="s">
        <v>263</v>
      </c>
      <c r="D40" s="270">
        <v>61</v>
      </c>
      <c r="E40" s="270">
        <v>8</v>
      </c>
      <c r="F40" s="271"/>
      <c r="G40" s="272"/>
      <c r="H40" s="2"/>
    </row>
    <row r="41" spans="1:8" x14ac:dyDescent="0.3">
      <c r="A41" s="2">
        <v>13007</v>
      </c>
      <c r="B41" s="4" t="s">
        <v>310</v>
      </c>
      <c r="C41" s="3" t="s">
        <v>272</v>
      </c>
      <c r="D41" s="270">
        <v>55</v>
      </c>
      <c r="E41" s="270">
        <v>32</v>
      </c>
      <c r="F41" s="271"/>
      <c r="G41" s="272"/>
      <c r="H41" s="2"/>
    </row>
    <row r="42" spans="1:8" x14ac:dyDescent="0.3">
      <c r="A42" s="2">
        <v>13013</v>
      </c>
      <c r="B42" s="4" t="s">
        <v>311</v>
      </c>
      <c r="C42" s="3" t="s">
        <v>263</v>
      </c>
      <c r="D42" s="270">
        <v>55</v>
      </c>
      <c r="E42" s="270">
        <v>49</v>
      </c>
      <c r="F42" s="271"/>
      <c r="G42" s="272"/>
      <c r="H42" s="2"/>
    </row>
    <row r="43" spans="1:8" x14ac:dyDescent="0.3">
      <c r="A43" s="2">
        <v>13019</v>
      </c>
      <c r="B43" s="4" t="s">
        <v>312</v>
      </c>
      <c r="C43" s="3"/>
      <c r="D43" s="270"/>
      <c r="E43" s="270"/>
      <c r="F43" s="271"/>
      <c r="G43" s="272"/>
      <c r="H43" s="2"/>
    </row>
    <row r="44" spans="1:8" x14ac:dyDescent="0.3">
      <c r="A44" s="2">
        <v>13021</v>
      </c>
      <c r="B44" s="4" t="s">
        <v>313</v>
      </c>
      <c r="C44" s="3" t="s">
        <v>269</v>
      </c>
      <c r="D44" s="270">
        <v>67</v>
      </c>
      <c r="E44" s="270">
        <v>6</v>
      </c>
      <c r="F44" s="271" t="s">
        <v>261</v>
      </c>
      <c r="G44" s="272">
        <v>44460.646018518521</v>
      </c>
      <c r="H44" s="2"/>
    </row>
    <row r="45" spans="1:8" x14ac:dyDescent="0.3">
      <c r="A45" s="2">
        <v>13033</v>
      </c>
      <c r="B45" s="4" t="s">
        <v>314</v>
      </c>
      <c r="C45" s="3" t="s">
        <v>263</v>
      </c>
      <c r="D45" s="270">
        <v>51</v>
      </c>
      <c r="E45" s="270">
        <v>26</v>
      </c>
      <c r="F45" s="271"/>
      <c r="G45" s="272"/>
      <c r="H45" s="2"/>
    </row>
    <row r="46" spans="1:8" x14ac:dyDescent="0.3">
      <c r="A46" s="2">
        <v>13053</v>
      </c>
      <c r="B46" s="4" t="s">
        <v>315</v>
      </c>
      <c r="C46" s="3" t="s">
        <v>263</v>
      </c>
      <c r="D46" s="270">
        <v>55</v>
      </c>
      <c r="E46" s="270">
        <v>57</v>
      </c>
      <c r="F46" s="271" t="s">
        <v>270</v>
      </c>
      <c r="G46" s="272">
        <v>43719.388321759259</v>
      </c>
      <c r="H46" s="2"/>
    </row>
    <row r="47" spans="1:8" x14ac:dyDescent="0.3">
      <c r="A47" s="2">
        <v>13059</v>
      </c>
      <c r="B47" s="4" t="s">
        <v>316</v>
      </c>
      <c r="C47" s="3" t="s">
        <v>263</v>
      </c>
      <c r="D47" s="270">
        <v>55</v>
      </c>
      <c r="E47" s="270">
        <v>52</v>
      </c>
      <c r="F47" s="271" t="s">
        <v>270</v>
      </c>
      <c r="G47" s="272">
        <v>43901.63380787037</v>
      </c>
      <c r="H47" s="2"/>
    </row>
    <row r="48" spans="1:8" x14ac:dyDescent="0.3">
      <c r="A48" s="2">
        <v>13060</v>
      </c>
      <c r="B48" s="4" t="s">
        <v>317</v>
      </c>
      <c r="C48" s="3" t="s">
        <v>263</v>
      </c>
      <c r="D48" s="270">
        <v>55</v>
      </c>
      <c r="E48" s="270">
        <v>52</v>
      </c>
      <c r="F48" s="271" t="s">
        <v>270</v>
      </c>
      <c r="G48" s="272">
        <v>43901.63380787037</v>
      </c>
      <c r="H48" s="2"/>
    </row>
    <row r="49" spans="1:8" x14ac:dyDescent="0.3">
      <c r="A49" s="2">
        <v>13070</v>
      </c>
      <c r="B49" s="4" t="s">
        <v>318</v>
      </c>
      <c r="C49" s="3" t="s">
        <v>263</v>
      </c>
      <c r="D49" s="270">
        <v>61</v>
      </c>
      <c r="E49" s="270">
        <v>8</v>
      </c>
      <c r="F49" s="271"/>
      <c r="G49" s="272"/>
      <c r="H49" s="2"/>
    </row>
    <row r="50" spans="1:8" x14ac:dyDescent="0.3">
      <c r="A50" s="2">
        <v>13076</v>
      </c>
      <c r="B50" s="4" t="s">
        <v>319</v>
      </c>
      <c r="C50" s="3" t="s">
        <v>320</v>
      </c>
      <c r="D50" s="270">
        <v>67</v>
      </c>
      <c r="E50" s="270">
        <v>6</v>
      </c>
      <c r="F50" s="271"/>
      <c r="G50" s="272"/>
      <c r="H50" s="2"/>
    </row>
    <row r="51" spans="1:8" x14ac:dyDescent="0.3">
      <c r="A51" s="2">
        <v>13077</v>
      </c>
      <c r="B51" s="4" t="s">
        <v>321</v>
      </c>
      <c r="C51" s="3" t="s">
        <v>320</v>
      </c>
      <c r="D51" s="270">
        <v>67</v>
      </c>
      <c r="E51" s="270">
        <v>6</v>
      </c>
      <c r="F51" s="271"/>
      <c r="G51" s="272"/>
      <c r="H51" s="2"/>
    </row>
    <row r="52" spans="1:8" x14ac:dyDescent="0.3">
      <c r="A52" s="2">
        <v>13078</v>
      </c>
      <c r="B52" s="4" t="s">
        <v>322</v>
      </c>
      <c r="C52" s="3" t="s">
        <v>263</v>
      </c>
      <c r="D52" s="270">
        <v>61</v>
      </c>
      <c r="E52" s="270">
        <v>8</v>
      </c>
      <c r="F52" s="271"/>
      <c r="G52" s="272"/>
      <c r="H52" s="2"/>
    </row>
    <row r="53" spans="1:8" x14ac:dyDescent="0.3">
      <c r="A53" s="2">
        <v>13096</v>
      </c>
      <c r="B53" s="4" t="s">
        <v>323</v>
      </c>
      <c r="C53" s="3" t="s">
        <v>263</v>
      </c>
      <c r="D53" s="270">
        <v>51</v>
      </c>
      <c r="E53" s="270">
        <v>36</v>
      </c>
      <c r="F53" s="271"/>
      <c r="G53" s="272"/>
      <c r="H53" s="2"/>
    </row>
    <row r="54" spans="1:8" x14ac:dyDescent="0.3">
      <c r="A54" s="2">
        <v>13100</v>
      </c>
      <c r="B54" s="4" t="s">
        <v>324</v>
      </c>
      <c r="C54" s="3" t="s">
        <v>263</v>
      </c>
      <c r="D54" s="270">
        <v>61</v>
      </c>
      <c r="E54" s="270">
        <v>8</v>
      </c>
      <c r="F54" s="271"/>
      <c r="G54" s="272"/>
      <c r="H54" s="2"/>
    </row>
    <row r="55" spans="1:8" x14ac:dyDescent="0.3">
      <c r="A55" s="2">
        <v>13123</v>
      </c>
      <c r="B55" s="4" t="s">
        <v>325</v>
      </c>
      <c r="C55" s="3" t="s">
        <v>263</v>
      </c>
      <c r="D55" s="270">
        <v>61</v>
      </c>
      <c r="E55" s="270">
        <v>15</v>
      </c>
      <c r="F55" s="271"/>
      <c r="G55" s="272"/>
      <c r="H55" s="2"/>
    </row>
    <row r="56" spans="1:8" x14ac:dyDescent="0.3">
      <c r="A56" s="2">
        <v>13125</v>
      </c>
      <c r="B56" s="4" t="s">
        <v>326</v>
      </c>
      <c r="C56" s="3" t="s">
        <v>263</v>
      </c>
      <c r="D56" s="270">
        <v>61</v>
      </c>
      <c r="E56" s="270">
        <v>15</v>
      </c>
      <c r="F56" s="271"/>
      <c r="G56" s="272"/>
      <c r="H56" s="2"/>
    </row>
    <row r="57" spans="1:8" x14ac:dyDescent="0.3">
      <c r="A57" s="2">
        <v>13130</v>
      </c>
      <c r="B57" s="4" t="s">
        <v>327</v>
      </c>
      <c r="C57" s="3"/>
      <c r="D57" s="270"/>
      <c r="E57" s="270"/>
      <c r="F57" s="271" t="s">
        <v>264</v>
      </c>
      <c r="G57" s="272" t="s">
        <v>328</v>
      </c>
      <c r="H57" s="2"/>
    </row>
    <row r="58" spans="1:8" x14ac:dyDescent="0.3">
      <c r="A58" s="2">
        <v>13152</v>
      </c>
      <c r="B58" s="4" t="s">
        <v>329</v>
      </c>
      <c r="C58" s="3" t="s">
        <v>263</v>
      </c>
      <c r="D58" s="270">
        <v>61</v>
      </c>
      <c r="E58" s="270">
        <v>14</v>
      </c>
      <c r="F58" s="271"/>
      <c r="G58" s="272"/>
      <c r="H58" s="2"/>
    </row>
    <row r="59" spans="1:8" x14ac:dyDescent="0.3">
      <c r="A59" s="2">
        <v>13175</v>
      </c>
      <c r="B59" s="4" t="s">
        <v>330</v>
      </c>
      <c r="C59" s="3" t="s">
        <v>263</v>
      </c>
      <c r="D59" s="270">
        <v>61</v>
      </c>
      <c r="E59" s="270">
        <v>14</v>
      </c>
      <c r="F59" s="271" t="s">
        <v>264</v>
      </c>
      <c r="G59" s="272">
        <v>44370.551851851851</v>
      </c>
      <c r="H59" s="2">
        <v>141429</v>
      </c>
    </row>
    <row r="60" spans="1:8" x14ac:dyDescent="0.3">
      <c r="A60" s="2">
        <v>13202</v>
      </c>
      <c r="B60" s="4" t="s">
        <v>331</v>
      </c>
      <c r="C60" s="3"/>
      <c r="D60" s="270"/>
      <c r="E60" s="270"/>
      <c r="F60" s="271"/>
      <c r="G60" s="272"/>
      <c r="H60" s="2">
        <v>136556</v>
      </c>
    </row>
    <row r="61" spans="1:8" x14ac:dyDescent="0.3">
      <c r="A61" s="2">
        <v>13225</v>
      </c>
      <c r="B61" s="4" t="s">
        <v>332</v>
      </c>
      <c r="C61" s="3" t="s">
        <v>263</v>
      </c>
      <c r="D61" s="270">
        <v>51</v>
      </c>
      <c r="E61" s="270">
        <v>11</v>
      </c>
      <c r="F61" s="271" t="s">
        <v>270</v>
      </c>
      <c r="G61" s="272" t="s">
        <v>333</v>
      </c>
      <c r="H61" s="2"/>
    </row>
    <row r="62" spans="1:8" x14ac:dyDescent="0.3">
      <c r="A62" s="2">
        <v>13905</v>
      </c>
      <c r="B62" s="4" t="s">
        <v>334</v>
      </c>
      <c r="C62" s="3" t="s">
        <v>335</v>
      </c>
      <c r="D62" s="270">
        <v>72</v>
      </c>
      <c r="E62" s="270">
        <v>10</v>
      </c>
      <c r="F62" s="271" t="s">
        <v>264</v>
      </c>
      <c r="G62" s="272">
        <v>44427.365474537037</v>
      </c>
      <c r="H62" s="2"/>
    </row>
    <row r="63" spans="1:8" x14ac:dyDescent="0.3">
      <c r="A63" s="2">
        <v>13975</v>
      </c>
      <c r="B63" s="4" t="s">
        <v>336</v>
      </c>
      <c r="C63" s="3" t="s">
        <v>263</v>
      </c>
      <c r="D63" s="270">
        <v>72</v>
      </c>
      <c r="E63" s="270">
        <v>6</v>
      </c>
      <c r="F63" s="271" t="s">
        <v>270</v>
      </c>
      <c r="G63" s="272">
        <v>43651.669050925928</v>
      </c>
      <c r="H63" s="2"/>
    </row>
    <row r="64" spans="1:8" x14ac:dyDescent="0.3">
      <c r="A64" s="2">
        <v>14009</v>
      </c>
      <c r="B64" s="4" t="s">
        <v>337</v>
      </c>
      <c r="C64" s="3" t="s">
        <v>263</v>
      </c>
      <c r="D64" s="270">
        <v>55</v>
      </c>
      <c r="E64" s="270">
        <v>46</v>
      </c>
      <c r="F64" s="271"/>
      <c r="G64" s="272"/>
      <c r="H64" s="2"/>
    </row>
    <row r="65" spans="1:8" x14ac:dyDescent="0.3">
      <c r="A65" s="2">
        <v>14010</v>
      </c>
      <c r="B65" s="4" t="s">
        <v>338</v>
      </c>
      <c r="C65" s="3" t="s">
        <v>263</v>
      </c>
      <c r="D65" s="270">
        <v>55</v>
      </c>
      <c r="E65" s="270">
        <v>46</v>
      </c>
      <c r="F65" s="271"/>
      <c r="G65" s="272"/>
      <c r="H65" s="2"/>
    </row>
    <row r="66" spans="1:8" x14ac:dyDescent="0.3">
      <c r="A66" s="2">
        <v>14014</v>
      </c>
      <c r="B66" s="4" t="s">
        <v>339</v>
      </c>
      <c r="C66" s="3" t="s">
        <v>263</v>
      </c>
      <c r="D66" s="270">
        <v>55</v>
      </c>
      <c r="E66" s="270">
        <v>46</v>
      </c>
      <c r="F66" s="271" t="s">
        <v>270</v>
      </c>
      <c r="G66" s="272" t="s">
        <v>340</v>
      </c>
      <c r="H66" s="2"/>
    </row>
    <row r="67" spans="1:8" x14ac:dyDescent="0.3">
      <c r="A67" s="2">
        <v>14199</v>
      </c>
      <c r="B67" s="4" t="s">
        <v>341</v>
      </c>
      <c r="C67" s="3" t="s">
        <v>279</v>
      </c>
      <c r="D67" s="270">
        <v>72</v>
      </c>
      <c r="E67" s="270">
        <v>9</v>
      </c>
      <c r="F67" s="271" t="s">
        <v>270</v>
      </c>
      <c r="G67" s="272">
        <v>43732.432951388888</v>
      </c>
      <c r="H67" s="2"/>
    </row>
    <row r="68" spans="1:8" x14ac:dyDescent="0.3">
      <c r="A68" s="2">
        <v>14895</v>
      </c>
      <c r="B68" s="4" t="s">
        <v>342</v>
      </c>
      <c r="C68" s="3" t="s">
        <v>263</v>
      </c>
      <c r="D68" s="270">
        <v>55</v>
      </c>
      <c r="E68" s="270">
        <v>27</v>
      </c>
      <c r="F68" s="271"/>
      <c r="G68" s="272"/>
      <c r="H68" s="2"/>
    </row>
    <row r="69" spans="1:8" x14ac:dyDescent="0.3">
      <c r="A69" s="2">
        <v>15029</v>
      </c>
      <c r="B69" s="4" t="s">
        <v>343</v>
      </c>
      <c r="C69" s="3" t="s">
        <v>263</v>
      </c>
      <c r="D69" s="270">
        <v>61</v>
      </c>
      <c r="E69" s="270">
        <v>10</v>
      </c>
      <c r="F69" s="271" t="s">
        <v>264</v>
      </c>
      <c r="G69" s="272">
        <v>43682.372615740744</v>
      </c>
      <c r="H69" s="2">
        <v>138055</v>
      </c>
    </row>
    <row r="70" spans="1:8" x14ac:dyDescent="0.3">
      <c r="A70" s="2">
        <v>15128</v>
      </c>
      <c r="B70" s="4" t="s">
        <v>344</v>
      </c>
      <c r="C70" s="3" t="s">
        <v>345</v>
      </c>
      <c r="D70" s="270">
        <v>61</v>
      </c>
      <c r="E70" s="270">
        <v>2</v>
      </c>
      <c r="F70" s="271"/>
      <c r="G70" s="272"/>
      <c r="H70" s="2"/>
    </row>
    <row r="71" spans="1:8" x14ac:dyDescent="0.3">
      <c r="A71" s="2">
        <v>15438</v>
      </c>
      <c r="B71" s="4" t="s">
        <v>346</v>
      </c>
      <c r="C71" s="3" t="s">
        <v>263</v>
      </c>
      <c r="D71" s="270">
        <v>51</v>
      </c>
      <c r="E71" s="270">
        <v>9</v>
      </c>
      <c r="F71" s="271"/>
      <c r="G71" s="272"/>
      <c r="H71" s="2"/>
    </row>
    <row r="72" spans="1:8" x14ac:dyDescent="0.3">
      <c r="A72" s="2">
        <v>15761</v>
      </c>
      <c r="B72" s="4" t="s">
        <v>347</v>
      </c>
      <c r="C72" s="3" t="s">
        <v>263</v>
      </c>
      <c r="D72" s="270">
        <v>61</v>
      </c>
      <c r="E72" s="270">
        <v>8</v>
      </c>
      <c r="F72" s="271" t="s">
        <v>261</v>
      </c>
      <c r="G72" s="272">
        <v>44433.653020833335</v>
      </c>
      <c r="H72" s="2">
        <v>63277</v>
      </c>
    </row>
    <row r="73" spans="1:8" x14ac:dyDescent="0.3">
      <c r="A73" s="2">
        <v>15804</v>
      </c>
      <c r="B73" s="4" t="s">
        <v>348</v>
      </c>
      <c r="C73" s="3" t="s">
        <v>263</v>
      </c>
      <c r="D73" s="270">
        <v>51</v>
      </c>
      <c r="E73" s="270">
        <v>17</v>
      </c>
      <c r="F73" s="271"/>
      <c r="G73" s="272"/>
      <c r="H73" s="2"/>
    </row>
    <row r="74" spans="1:8" x14ac:dyDescent="0.3">
      <c r="A74" s="2">
        <v>15840</v>
      </c>
      <c r="B74" s="4" t="s">
        <v>349</v>
      </c>
      <c r="C74" s="3" t="s">
        <v>301</v>
      </c>
      <c r="D74" s="270">
        <v>76</v>
      </c>
      <c r="E74" s="270">
        <v>3</v>
      </c>
      <c r="F74" s="271"/>
      <c r="G74" s="272"/>
      <c r="H74" s="2">
        <v>136037</v>
      </c>
    </row>
    <row r="75" spans="1:8" x14ac:dyDescent="0.3">
      <c r="A75" s="2">
        <v>15843</v>
      </c>
      <c r="B75" s="4" t="s">
        <v>350</v>
      </c>
      <c r="C75" s="3" t="s">
        <v>301</v>
      </c>
      <c r="D75" s="270">
        <v>76</v>
      </c>
      <c r="E75" s="270">
        <v>3</v>
      </c>
      <c r="F75" s="271" t="s">
        <v>270</v>
      </c>
      <c r="G75" s="272" t="s">
        <v>351</v>
      </c>
      <c r="H75" s="2">
        <v>135238</v>
      </c>
    </row>
    <row r="76" spans="1:8" x14ac:dyDescent="0.3">
      <c r="A76" s="2">
        <v>15845</v>
      </c>
      <c r="B76" s="4" t="s">
        <v>352</v>
      </c>
      <c r="C76" s="3" t="s">
        <v>301</v>
      </c>
      <c r="D76" s="270">
        <v>76</v>
      </c>
      <c r="E76" s="270">
        <v>3</v>
      </c>
      <c r="F76" s="271"/>
      <c r="G76" s="272"/>
      <c r="H76" s="2">
        <v>136038</v>
      </c>
    </row>
    <row r="77" spans="1:8" x14ac:dyDescent="0.3">
      <c r="A77" s="2">
        <v>15847</v>
      </c>
      <c r="B77" s="4" t="s">
        <v>353</v>
      </c>
      <c r="C77" s="3" t="s">
        <v>301</v>
      </c>
      <c r="D77" s="270">
        <v>76</v>
      </c>
      <c r="E77" s="270">
        <v>3</v>
      </c>
      <c r="F77" s="271"/>
      <c r="G77" s="272"/>
      <c r="H77" s="2">
        <v>136039</v>
      </c>
    </row>
    <row r="78" spans="1:8" x14ac:dyDescent="0.3">
      <c r="A78" s="2">
        <v>15900</v>
      </c>
      <c r="B78" s="4" t="s">
        <v>354</v>
      </c>
      <c r="C78" s="3" t="s">
        <v>301</v>
      </c>
      <c r="D78" s="270"/>
      <c r="E78" s="270"/>
      <c r="F78" s="271"/>
      <c r="G78" s="272"/>
      <c r="H78" s="2">
        <v>135239</v>
      </c>
    </row>
    <row r="79" spans="1:8" x14ac:dyDescent="0.3">
      <c r="A79" s="2">
        <v>16300</v>
      </c>
      <c r="B79" s="4" t="s">
        <v>355</v>
      </c>
      <c r="C79" s="3" t="s">
        <v>263</v>
      </c>
      <c r="D79" s="270">
        <v>74</v>
      </c>
      <c r="E79" s="270">
        <v>9</v>
      </c>
      <c r="F79" s="271"/>
      <c r="G79" s="272"/>
      <c r="H79" s="2"/>
    </row>
    <row r="80" spans="1:8" x14ac:dyDescent="0.3">
      <c r="A80" s="2">
        <v>16427</v>
      </c>
      <c r="B80" s="4" t="s">
        <v>356</v>
      </c>
      <c r="C80" s="3" t="s">
        <v>263</v>
      </c>
      <c r="D80" s="270">
        <v>52</v>
      </c>
      <c r="E80" s="270">
        <v>7</v>
      </c>
      <c r="F80" s="271"/>
      <c r="G80" s="272"/>
      <c r="H80" s="2"/>
    </row>
    <row r="81" spans="1:8" x14ac:dyDescent="0.3">
      <c r="A81" s="2">
        <v>16528</v>
      </c>
      <c r="B81" s="4" t="s">
        <v>357</v>
      </c>
      <c r="C81" s="3" t="s">
        <v>263</v>
      </c>
      <c r="D81" s="270">
        <v>73</v>
      </c>
      <c r="E81" s="270">
        <v>4</v>
      </c>
      <c r="F81" s="271" t="s">
        <v>261</v>
      </c>
      <c r="G81" s="272">
        <v>44804.517951388887</v>
      </c>
      <c r="H81" s="2">
        <v>89194</v>
      </c>
    </row>
    <row r="82" spans="1:8" x14ac:dyDescent="0.3">
      <c r="A82" s="2">
        <v>16532</v>
      </c>
      <c r="B82" s="4" t="s">
        <v>358</v>
      </c>
      <c r="C82" s="3" t="s">
        <v>263</v>
      </c>
      <c r="D82" s="270">
        <v>73</v>
      </c>
      <c r="E82" s="270">
        <v>4</v>
      </c>
      <c r="F82" s="271"/>
      <c r="G82" s="272"/>
      <c r="H82" s="2"/>
    </row>
    <row r="83" spans="1:8" x14ac:dyDescent="0.3">
      <c r="A83" s="2">
        <v>16590</v>
      </c>
      <c r="B83" s="4" t="s">
        <v>359</v>
      </c>
      <c r="C83" s="3" t="s">
        <v>31</v>
      </c>
      <c r="D83" s="270">
        <v>51</v>
      </c>
      <c r="E83" s="270">
        <v>49</v>
      </c>
      <c r="F83" s="271"/>
      <c r="G83" s="272"/>
      <c r="H83" s="2"/>
    </row>
    <row r="84" spans="1:8" x14ac:dyDescent="0.3">
      <c r="A84" s="2">
        <v>16688</v>
      </c>
      <c r="B84" s="4" t="s">
        <v>360</v>
      </c>
      <c r="C84" s="3" t="s">
        <v>263</v>
      </c>
      <c r="D84" s="270">
        <v>52</v>
      </c>
      <c r="E84" s="270">
        <v>7</v>
      </c>
      <c r="F84" s="271"/>
      <c r="G84" s="272"/>
      <c r="H84" s="2"/>
    </row>
    <row r="85" spans="1:8" x14ac:dyDescent="0.3">
      <c r="A85" s="2">
        <v>16691</v>
      </c>
      <c r="B85" s="4" t="s">
        <v>361</v>
      </c>
      <c r="C85" s="3" t="s">
        <v>263</v>
      </c>
      <c r="D85" s="270">
        <v>52</v>
      </c>
      <c r="E85" s="270">
        <v>7</v>
      </c>
      <c r="F85" s="271"/>
      <c r="G85" s="272"/>
      <c r="H85" s="2"/>
    </row>
    <row r="86" spans="1:8" x14ac:dyDescent="0.3">
      <c r="A86" s="2">
        <v>16692</v>
      </c>
      <c r="B86" s="4" t="s">
        <v>362</v>
      </c>
      <c r="C86" s="3" t="s">
        <v>263</v>
      </c>
      <c r="D86" s="270">
        <v>52</v>
      </c>
      <c r="E86" s="270">
        <v>7</v>
      </c>
      <c r="F86" s="271"/>
      <c r="G86" s="272"/>
      <c r="H86" s="2"/>
    </row>
    <row r="87" spans="1:8" x14ac:dyDescent="0.3">
      <c r="A87" s="2">
        <v>16729</v>
      </c>
      <c r="B87" s="4" t="s">
        <v>363</v>
      </c>
      <c r="C87" s="3" t="s">
        <v>31</v>
      </c>
      <c r="D87" s="270">
        <v>52</v>
      </c>
      <c r="E87" s="270">
        <v>13</v>
      </c>
      <c r="F87" s="271"/>
      <c r="G87" s="272"/>
      <c r="H87" s="2"/>
    </row>
    <row r="88" spans="1:8" x14ac:dyDescent="0.3">
      <c r="A88" s="2">
        <v>16736</v>
      </c>
      <c r="B88" s="4" t="s">
        <v>364</v>
      </c>
      <c r="C88" s="3" t="s">
        <v>263</v>
      </c>
      <c r="D88" s="270">
        <v>52</v>
      </c>
      <c r="E88" s="270">
        <v>13</v>
      </c>
      <c r="F88" s="271"/>
      <c r="G88" s="272"/>
      <c r="H88" s="2"/>
    </row>
    <row r="89" spans="1:8" x14ac:dyDescent="0.3">
      <c r="A89" s="2">
        <v>16737</v>
      </c>
      <c r="B89" s="4" t="s">
        <v>365</v>
      </c>
      <c r="C89" s="3" t="s">
        <v>263</v>
      </c>
      <c r="D89" s="270">
        <v>52</v>
      </c>
      <c r="E89" s="270">
        <v>13</v>
      </c>
      <c r="F89" s="271"/>
      <c r="G89" s="272"/>
      <c r="H89" s="2"/>
    </row>
    <row r="90" spans="1:8" x14ac:dyDescent="0.3">
      <c r="A90" s="2">
        <v>16757</v>
      </c>
      <c r="B90" s="4" t="s">
        <v>366</v>
      </c>
      <c r="C90" s="3" t="s">
        <v>263</v>
      </c>
      <c r="D90" s="270">
        <v>52</v>
      </c>
      <c r="E90" s="270">
        <v>8</v>
      </c>
      <c r="F90" s="271"/>
      <c r="G90" s="272"/>
      <c r="H90" s="2"/>
    </row>
    <row r="91" spans="1:8" x14ac:dyDescent="0.3">
      <c r="A91" s="2">
        <v>16763</v>
      </c>
      <c r="B91" s="4" t="s">
        <v>367</v>
      </c>
      <c r="C91" s="3" t="s">
        <v>263</v>
      </c>
      <c r="D91" s="270">
        <v>52</v>
      </c>
      <c r="E91" s="270">
        <v>7</v>
      </c>
      <c r="F91" s="271"/>
      <c r="G91" s="272"/>
      <c r="H91" s="2"/>
    </row>
    <row r="92" spans="1:8" x14ac:dyDescent="0.3">
      <c r="A92" s="2">
        <v>16808</v>
      </c>
      <c r="B92" s="4" t="s">
        <v>368</v>
      </c>
      <c r="C92" s="3" t="s">
        <v>263</v>
      </c>
      <c r="D92" s="270">
        <v>52</v>
      </c>
      <c r="E92" s="270">
        <v>13</v>
      </c>
      <c r="F92" s="271"/>
      <c r="G92" s="272"/>
      <c r="H92" s="2"/>
    </row>
    <row r="93" spans="1:8" x14ac:dyDescent="0.3">
      <c r="A93" s="2">
        <v>16813</v>
      </c>
      <c r="B93" s="4" t="s">
        <v>369</v>
      </c>
      <c r="C93" s="3" t="s">
        <v>263</v>
      </c>
      <c r="D93" s="270">
        <v>52</v>
      </c>
      <c r="E93" s="270">
        <v>13</v>
      </c>
      <c r="F93" s="271"/>
      <c r="G93" s="272"/>
      <c r="H93" s="2"/>
    </row>
    <row r="94" spans="1:8" x14ac:dyDescent="0.3">
      <c r="A94" s="2">
        <v>16827</v>
      </c>
      <c r="B94" s="4" t="s">
        <v>370</v>
      </c>
      <c r="C94" s="3" t="s">
        <v>263</v>
      </c>
      <c r="D94" s="270">
        <v>52</v>
      </c>
      <c r="E94" s="270">
        <v>13</v>
      </c>
      <c r="F94" s="271"/>
      <c r="G94" s="272"/>
      <c r="H94" s="2"/>
    </row>
    <row r="95" spans="1:8" x14ac:dyDescent="0.3">
      <c r="A95" s="2">
        <v>16835</v>
      </c>
      <c r="B95" s="4" t="s">
        <v>371</v>
      </c>
      <c r="C95" s="3" t="s">
        <v>263</v>
      </c>
      <c r="D95" s="270">
        <v>52</v>
      </c>
      <c r="E95" s="270">
        <v>13</v>
      </c>
      <c r="F95" s="271"/>
      <c r="G95" s="272"/>
      <c r="H95" s="2"/>
    </row>
    <row r="96" spans="1:8" x14ac:dyDescent="0.3">
      <c r="A96" s="2">
        <v>16846</v>
      </c>
      <c r="B96" s="4" t="s">
        <v>372</v>
      </c>
      <c r="C96" s="3" t="s">
        <v>263</v>
      </c>
      <c r="D96" s="270">
        <v>52</v>
      </c>
      <c r="E96" s="270">
        <v>13</v>
      </c>
      <c r="F96" s="271"/>
      <c r="G96" s="272"/>
      <c r="H96" s="2"/>
    </row>
    <row r="97" spans="1:8" x14ac:dyDescent="0.3">
      <c r="A97" s="2">
        <v>17026</v>
      </c>
      <c r="B97" s="4" t="s">
        <v>373</v>
      </c>
      <c r="C97" s="3" t="s">
        <v>263</v>
      </c>
      <c r="D97" s="270">
        <v>52</v>
      </c>
      <c r="E97" s="270">
        <v>7</v>
      </c>
      <c r="F97" s="271"/>
      <c r="G97" s="272"/>
      <c r="H97" s="2"/>
    </row>
    <row r="98" spans="1:8" x14ac:dyDescent="0.3">
      <c r="A98" s="2">
        <v>17033</v>
      </c>
      <c r="B98" s="4" t="s">
        <v>374</v>
      </c>
      <c r="C98" s="3" t="s">
        <v>263</v>
      </c>
      <c r="D98" s="270">
        <v>52</v>
      </c>
      <c r="E98" s="270">
        <v>13</v>
      </c>
      <c r="F98" s="271"/>
      <c r="G98" s="272"/>
      <c r="H98" s="2"/>
    </row>
    <row r="99" spans="1:8" x14ac:dyDescent="0.3">
      <c r="A99" s="2">
        <v>17064</v>
      </c>
      <c r="B99" s="4" t="s">
        <v>375</v>
      </c>
      <c r="C99" s="3" t="s">
        <v>263</v>
      </c>
      <c r="D99" s="270">
        <v>52</v>
      </c>
      <c r="E99" s="270">
        <v>13</v>
      </c>
      <c r="F99" s="271"/>
      <c r="G99" s="272"/>
      <c r="H99" s="2"/>
    </row>
    <row r="100" spans="1:8" x14ac:dyDescent="0.3">
      <c r="A100" s="2">
        <v>17105</v>
      </c>
      <c r="B100" s="4" t="s">
        <v>376</v>
      </c>
      <c r="C100" s="3" t="s">
        <v>263</v>
      </c>
      <c r="D100" s="270">
        <v>52</v>
      </c>
      <c r="E100" s="270">
        <v>5</v>
      </c>
      <c r="F100" s="271"/>
      <c r="G100" s="272"/>
      <c r="H100" s="2"/>
    </row>
    <row r="101" spans="1:8" x14ac:dyDescent="0.3">
      <c r="A101" s="2">
        <v>17537</v>
      </c>
      <c r="B101" s="4" t="s">
        <v>377</v>
      </c>
      <c r="C101" s="3" t="s">
        <v>263</v>
      </c>
      <c r="D101" s="270">
        <v>70</v>
      </c>
      <c r="E101" s="270">
        <v>17</v>
      </c>
      <c r="F101" s="271"/>
      <c r="G101" s="272"/>
      <c r="H101" s="2"/>
    </row>
    <row r="102" spans="1:8" x14ac:dyDescent="0.3">
      <c r="A102" s="2">
        <v>17659</v>
      </c>
      <c r="B102" s="4" t="s">
        <v>378</v>
      </c>
      <c r="C102" s="3" t="s">
        <v>263</v>
      </c>
      <c r="D102" s="270">
        <v>83</v>
      </c>
      <c r="E102" s="270">
        <v>3</v>
      </c>
      <c r="F102" s="271" t="s">
        <v>270</v>
      </c>
      <c r="G102" s="272">
        <v>43815.400833333333</v>
      </c>
      <c r="H102" s="2"/>
    </row>
    <row r="103" spans="1:8" x14ac:dyDescent="0.3">
      <c r="A103" s="2">
        <v>17663</v>
      </c>
      <c r="B103" s="4" t="s">
        <v>379</v>
      </c>
      <c r="C103" s="3" t="s">
        <v>380</v>
      </c>
      <c r="D103" s="270">
        <v>83</v>
      </c>
      <c r="E103" s="270">
        <v>2</v>
      </c>
      <c r="F103" s="271" t="s">
        <v>270</v>
      </c>
      <c r="G103" s="272">
        <v>43962.459189814814</v>
      </c>
      <c r="H103" s="2"/>
    </row>
    <row r="104" spans="1:8" x14ac:dyDescent="0.3">
      <c r="A104" s="2">
        <v>17670</v>
      </c>
      <c r="B104" s="4" t="s">
        <v>381</v>
      </c>
      <c r="C104" s="3" t="s">
        <v>320</v>
      </c>
      <c r="D104" s="270">
        <v>67</v>
      </c>
      <c r="E104" s="270">
        <v>6</v>
      </c>
      <c r="F104" s="271"/>
      <c r="G104" s="272"/>
      <c r="H104" s="2"/>
    </row>
    <row r="105" spans="1:8" x14ac:dyDescent="0.3">
      <c r="A105" s="2">
        <v>18342</v>
      </c>
      <c r="B105" s="4" t="s">
        <v>382</v>
      </c>
      <c r="C105" s="3" t="s">
        <v>320</v>
      </c>
      <c r="D105" s="270">
        <v>67</v>
      </c>
      <c r="E105" s="270">
        <v>6</v>
      </c>
      <c r="F105" s="271"/>
      <c r="G105" s="272"/>
      <c r="H105" s="2"/>
    </row>
    <row r="106" spans="1:8" x14ac:dyDescent="0.3">
      <c r="A106" s="2">
        <v>18351</v>
      </c>
      <c r="B106" s="4" t="s">
        <v>383</v>
      </c>
      <c r="C106" s="3" t="s">
        <v>320</v>
      </c>
      <c r="D106" s="270">
        <v>67</v>
      </c>
      <c r="E106" s="270">
        <v>6</v>
      </c>
      <c r="F106" s="271"/>
      <c r="G106" s="272"/>
      <c r="H106" s="2"/>
    </row>
    <row r="107" spans="1:8" x14ac:dyDescent="0.3">
      <c r="A107" s="2">
        <v>19872</v>
      </c>
      <c r="B107" s="4" t="s">
        <v>384</v>
      </c>
      <c r="C107" s="3" t="s">
        <v>263</v>
      </c>
      <c r="D107" s="270">
        <v>70</v>
      </c>
      <c r="E107" s="270">
        <v>31</v>
      </c>
      <c r="F107" s="271"/>
      <c r="G107" s="272"/>
      <c r="H107" s="2"/>
    </row>
    <row r="108" spans="1:8" x14ac:dyDescent="0.3">
      <c r="A108" s="2">
        <v>19881</v>
      </c>
      <c r="B108" s="4" t="s">
        <v>385</v>
      </c>
      <c r="C108" s="3" t="s">
        <v>263</v>
      </c>
      <c r="D108" s="270">
        <v>70</v>
      </c>
      <c r="E108" s="270">
        <v>31</v>
      </c>
      <c r="F108" s="271"/>
      <c r="G108" s="272"/>
      <c r="H108" s="2"/>
    </row>
    <row r="109" spans="1:8" x14ac:dyDescent="0.3">
      <c r="A109" s="2">
        <v>19884</v>
      </c>
      <c r="B109" s="4" t="s">
        <v>386</v>
      </c>
      <c r="C109" s="3" t="s">
        <v>263</v>
      </c>
      <c r="D109" s="270">
        <v>70</v>
      </c>
      <c r="E109" s="270">
        <v>31</v>
      </c>
      <c r="F109" s="271"/>
      <c r="G109" s="272"/>
      <c r="H109" s="2"/>
    </row>
    <row r="110" spans="1:8" x14ac:dyDescent="0.3">
      <c r="A110" s="2">
        <v>20169</v>
      </c>
      <c r="B110" s="4" t="s">
        <v>387</v>
      </c>
      <c r="C110" s="3" t="s">
        <v>263</v>
      </c>
      <c r="D110" s="270">
        <v>52</v>
      </c>
      <c r="E110" s="270">
        <v>6</v>
      </c>
      <c r="F110" s="271"/>
      <c r="G110" s="272"/>
      <c r="H110" s="2"/>
    </row>
    <row r="111" spans="1:8" x14ac:dyDescent="0.3">
      <c r="A111" s="2">
        <v>20431</v>
      </c>
      <c r="B111" s="4" t="s">
        <v>388</v>
      </c>
      <c r="C111" s="3" t="s">
        <v>263</v>
      </c>
      <c r="D111" s="270">
        <v>70</v>
      </c>
      <c r="E111" s="270">
        <v>15</v>
      </c>
      <c r="F111" s="271"/>
      <c r="G111" s="272"/>
      <c r="H111" s="2"/>
    </row>
    <row r="112" spans="1:8" x14ac:dyDescent="0.3">
      <c r="A112" s="2">
        <v>20539</v>
      </c>
      <c r="B112" s="4" t="s">
        <v>389</v>
      </c>
      <c r="C112" s="3" t="s">
        <v>320</v>
      </c>
      <c r="D112" s="270">
        <v>67</v>
      </c>
      <c r="E112" s="270">
        <v>6</v>
      </c>
      <c r="F112" s="271"/>
      <c r="G112" s="272"/>
      <c r="H112" s="2"/>
    </row>
    <row r="113" spans="1:8" x14ac:dyDescent="0.3">
      <c r="A113" s="2">
        <v>20540</v>
      </c>
      <c r="B113" s="4" t="s">
        <v>390</v>
      </c>
      <c r="C113" s="3" t="s">
        <v>320</v>
      </c>
      <c r="D113" s="270">
        <v>67</v>
      </c>
      <c r="E113" s="270">
        <v>6</v>
      </c>
      <c r="F113" s="271"/>
      <c r="G113" s="272"/>
      <c r="H113" s="2"/>
    </row>
    <row r="114" spans="1:8" x14ac:dyDescent="0.3">
      <c r="A114" s="2">
        <v>20585</v>
      </c>
      <c r="B114" s="4" t="s">
        <v>391</v>
      </c>
      <c r="C114" s="3" t="s">
        <v>263</v>
      </c>
      <c r="D114" s="270">
        <v>67</v>
      </c>
      <c r="E114" s="270">
        <v>7</v>
      </c>
      <c r="F114" s="271"/>
      <c r="G114" s="272"/>
      <c r="H114" s="2"/>
    </row>
    <row r="115" spans="1:8" x14ac:dyDescent="0.3">
      <c r="A115" s="2">
        <v>23424</v>
      </c>
      <c r="B115" s="4" t="s">
        <v>392</v>
      </c>
      <c r="C115" s="3" t="s">
        <v>393</v>
      </c>
      <c r="D115" s="270">
        <v>57</v>
      </c>
      <c r="E115" s="270">
        <v>19</v>
      </c>
      <c r="F115" s="271"/>
      <c r="G115" s="272"/>
      <c r="H115" s="2"/>
    </row>
    <row r="116" spans="1:8" x14ac:dyDescent="0.3">
      <c r="A116" s="2">
        <v>23992</v>
      </c>
      <c r="B116" s="4" t="s">
        <v>394</v>
      </c>
      <c r="C116" s="3" t="s">
        <v>260</v>
      </c>
      <c r="D116" s="270">
        <v>57</v>
      </c>
      <c r="E116" s="270">
        <v>2</v>
      </c>
      <c r="F116" s="271"/>
      <c r="G116" s="272"/>
      <c r="H116" s="2"/>
    </row>
    <row r="117" spans="1:8" x14ac:dyDescent="0.3">
      <c r="A117" s="2">
        <v>24031</v>
      </c>
      <c r="B117" s="4" t="s">
        <v>395</v>
      </c>
      <c r="C117" s="3" t="s">
        <v>263</v>
      </c>
      <c r="D117" s="270">
        <v>70</v>
      </c>
      <c r="E117" s="270">
        <v>24</v>
      </c>
      <c r="F117" s="271"/>
      <c r="G117" s="272"/>
      <c r="H117" s="2"/>
    </row>
    <row r="118" spans="1:8" x14ac:dyDescent="0.3">
      <c r="A118" s="2">
        <v>24205</v>
      </c>
      <c r="B118" s="4" t="s">
        <v>396</v>
      </c>
      <c r="C118" s="3" t="s">
        <v>263</v>
      </c>
      <c r="D118" s="270">
        <v>76</v>
      </c>
      <c r="E118" s="270">
        <v>11</v>
      </c>
      <c r="F118" s="271" t="s">
        <v>264</v>
      </c>
      <c r="G118" s="272">
        <v>44175.664502314816</v>
      </c>
      <c r="H118" s="2">
        <v>140315</v>
      </c>
    </row>
    <row r="119" spans="1:8" x14ac:dyDescent="0.3">
      <c r="A119" s="2">
        <v>24542</v>
      </c>
      <c r="B119" s="4" t="s">
        <v>397</v>
      </c>
      <c r="C119" s="3" t="s">
        <v>263</v>
      </c>
      <c r="D119" s="270">
        <v>52</v>
      </c>
      <c r="E119" s="270">
        <v>13</v>
      </c>
      <c r="F119" s="271"/>
      <c r="G119" s="272"/>
      <c r="H119" s="2"/>
    </row>
    <row r="120" spans="1:8" x14ac:dyDescent="0.3">
      <c r="A120" s="2">
        <v>24890</v>
      </c>
      <c r="B120" s="4" t="s">
        <v>398</v>
      </c>
      <c r="C120" s="3" t="s">
        <v>320</v>
      </c>
      <c r="D120" s="270">
        <v>67</v>
      </c>
      <c r="E120" s="270">
        <v>6</v>
      </c>
      <c r="F120" s="271"/>
      <c r="G120" s="272"/>
      <c r="H120" s="2"/>
    </row>
    <row r="121" spans="1:8" x14ac:dyDescent="0.3">
      <c r="A121" s="2">
        <v>25489</v>
      </c>
      <c r="B121" s="4" t="s">
        <v>399</v>
      </c>
      <c r="C121" s="3" t="s">
        <v>320</v>
      </c>
      <c r="D121" s="270">
        <v>67</v>
      </c>
      <c r="E121" s="270">
        <v>6</v>
      </c>
      <c r="F121" s="271"/>
      <c r="G121" s="272"/>
      <c r="H121" s="2"/>
    </row>
    <row r="122" spans="1:8" x14ac:dyDescent="0.3">
      <c r="A122" s="2">
        <v>25519</v>
      </c>
      <c r="B122" s="4" t="s">
        <v>400</v>
      </c>
      <c r="C122" s="3" t="s">
        <v>263</v>
      </c>
      <c r="D122" s="270">
        <v>52</v>
      </c>
      <c r="E122" s="270">
        <v>13</v>
      </c>
      <c r="F122" s="271"/>
      <c r="G122" s="272"/>
      <c r="H122" s="2"/>
    </row>
    <row r="123" spans="1:8" x14ac:dyDescent="0.3">
      <c r="A123" s="2">
        <v>25536</v>
      </c>
      <c r="B123" s="4" t="s">
        <v>401</v>
      </c>
      <c r="C123" s="3" t="s">
        <v>263</v>
      </c>
      <c r="D123" s="270">
        <v>55</v>
      </c>
      <c r="E123" s="270">
        <v>46</v>
      </c>
      <c r="F123" s="271"/>
      <c r="G123" s="272"/>
      <c r="H123" s="2"/>
    </row>
    <row r="124" spans="1:8" x14ac:dyDescent="0.3">
      <c r="A124" s="2">
        <v>26368</v>
      </c>
      <c r="B124" s="4" t="s">
        <v>402</v>
      </c>
      <c r="C124" s="3" t="s">
        <v>263</v>
      </c>
      <c r="D124" s="270">
        <v>51</v>
      </c>
      <c r="E124" s="270">
        <v>26</v>
      </c>
      <c r="F124" s="271"/>
      <c r="G124" s="272"/>
      <c r="H124" s="2"/>
    </row>
    <row r="125" spans="1:8" x14ac:dyDescent="0.3">
      <c r="A125" s="2">
        <v>26503</v>
      </c>
      <c r="B125" s="4" t="s">
        <v>403</v>
      </c>
      <c r="C125" s="3"/>
      <c r="D125" s="270">
        <v>78</v>
      </c>
      <c r="E125" s="270">
        <v>6</v>
      </c>
      <c r="F125" s="271"/>
      <c r="G125" s="272"/>
      <c r="H125" s="2"/>
    </row>
    <row r="126" spans="1:8" x14ac:dyDescent="0.3">
      <c r="A126" s="2">
        <v>26508</v>
      </c>
      <c r="B126" s="4" t="s">
        <v>404</v>
      </c>
      <c r="C126" s="3"/>
      <c r="D126" s="270">
        <v>78</v>
      </c>
      <c r="E126" s="270">
        <v>6</v>
      </c>
      <c r="F126" s="271"/>
      <c r="G126" s="272"/>
      <c r="H126" s="2"/>
    </row>
    <row r="127" spans="1:8" x14ac:dyDescent="0.3">
      <c r="A127" s="2">
        <v>27479</v>
      </c>
      <c r="B127" s="4" t="s">
        <v>405</v>
      </c>
      <c r="C127" s="3" t="s">
        <v>301</v>
      </c>
      <c r="D127" s="270">
        <v>76</v>
      </c>
      <c r="E127" s="270">
        <v>5</v>
      </c>
      <c r="F127" s="271" t="s">
        <v>264</v>
      </c>
      <c r="G127" s="272">
        <v>44376.356828703705</v>
      </c>
      <c r="H127" s="2">
        <v>141253</v>
      </c>
    </row>
    <row r="128" spans="1:8" x14ac:dyDescent="0.3">
      <c r="A128" s="2">
        <v>27759</v>
      </c>
      <c r="B128" s="4" t="s">
        <v>406</v>
      </c>
      <c r="C128" s="3" t="s">
        <v>263</v>
      </c>
      <c r="D128" s="270">
        <v>61</v>
      </c>
      <c r="E128" s="270">
        <v>15</v>
      </c>
      <c r="F128" s="271" t="s">
        <v>270</v>
      </c>
      <c r="G128" s="272">
        <v>43875.458043981482</v>
      </c>
      <c r="H128" s="2"/>
    </row>
    <row r="129" spans="1:8" x14ac:dyDescent="0.3">
      <c r="A129" s="2">
        <v>28040</v>
      </c>
      <c r="B129" s="4" t="s">
        <v>407</v>
      </c>
      <c r="C129" s="3" t="s">
        <v>320</v>
      </c>
      <c r="D129" s="270">
        <v>67</v>
      </c>
      <c r="E129" s="270">
        <v>6</v>
      </c>
      <c r="F129" s="271"/>
      <c r="G129" s="272"/>
      <c r="H129" s="2"/>
    </row>
    <row r="130" spans="1:8" x14ac:dyDescent="0.3">
      <c r="A130" s="2">
        <v>28781</v>
      </c>
      <c r="B130" s="4" t="s">
        <v>408</v>
      </c>
      <c r="C130" s="3" t="s">
        <v>263</v>
      </c>
      <c r="D130" s="270">
        <v>55</v>
      </c>
      <c r="E130" s="270">
        <v>46</v>
      </c>
      <c r="F130" s="271"/>
      <c r="G130" s="272"/>
      <c r="H130" s="2"/>
    </row>
    <row r="131" spans="1:8" x14ac:dyDescent="0.3">
      <c r="A131" s="2">
        <v>28782</v>
      </c>
      <c r="B131" s="4" t="s">
        <v>409</v>
      </c>
      <c r="C131" s="3" t="s">
        <v>263</v>
      </c>
      <c r="D131" s="270">
        <v>55</v>
      </c>
      <c r="E131" s="270">
        <v>46</v>
      </c>
      <c r="F131" s="271"/>
      <c r="G131" s="272"/>
      <c r="H131" s="2"/>
    </row>
    <row r="132" spans="1:8" x14ac:dyDescent="0.3">
      <c r="A132" s="2">
        <v>29288</v>
      </c>
      <c r="B132" s="4" t="s">
        <v>410</v>
      </c>
      <c r="C132" s="3"/>
      <c r="D132" s="270"/>
      <c r="E132" s="270"/>
      <c r="F132" s="271"/>
      <c r="G132" s="272"/>
      <c r="H132" s="2"/>
    </row>
    <row r="133" spans="1:8" x14ac:dyDescent="0.3">
      <c r="A133" s="2">
        <v>29294</v>
      </c>
      <c r="B133" s="4" t="s">
        <v>411</v>
      </c>
      <c r="C133" s="3" t="s">
        <v>263</v>
      </c>
      <c r="D133" s="270">
        <v>67</v>
      </c>
      <c r="E133" s="270">
        <v>9</v>
      </c>
      <c r="F133" s="271"/>
      <c r="G133" s="272"/>
      <c r="H133" s="2"/>
    </row>
    <row r="134" spans="1:8" x14ac:dyDescent="0.3">
      <c r="A134" s="2">
        <v>29435</v>
      </c>
      <c r="B134" s="4" t="s">
        <v>412</v>
      </c>
      <c r="C134" s="3" t="s">
        <v>31</v>
      </c>
      <c r="D134" s="270">
        <v>51</v>
      </c>
      <c r="E134" s="270">
        <v>36</v>
      </c>
      <c r="F134" s="271" t="s">
        <v>264</v>
      </c>
      <c r="G134" s="272">
        <v>44172.356412037036</v>
      </c>
      <c r="H134" s="2">
        <v>140283</v>
      </c>
    </row>
    <row r="135" spans="1:8" x14ac:dyDescent="0.3">
      <c r="A135" s="2">
        <v>29437</v>
      </c>
      <c r="B135" s="4" t="s">
        <v>413</v>
      </c>
      <c r="C135" s="3" t="s">
        <v>263</v>
      </c>
      <c r="D135" s="270">
        <v>61</v>
      </c>
      <c r="E135" s="270">
        <v>8</v>
      </c>
      <c r="F135" s="271" t="s">
        <v>270</v>
      </c>
      <c r="G135" s="272">
        <v>43875.455578703702</v>
      </c>
      <c r="H135" s="2"/>
    </row>
    <row r="136" spans="1:8" x14ac:dyDescent="0.3">
      <c r="A136" s="2">
        <v>29524</v>
      </c>
      <c r="B136" s="4" t="s">
        <v>414</v>
      </c>
      <c r="C136" s="3" t="s">
        <v>301</v>
      </c>
      <c r="D136" s="270">
        <v>76</v>
      </c>
      <c r="E136" s="270">
        <v>9</v>
      </c>
      <c r="F136" s="271"/>
      <c r="G136" s="272"/>
      <c r="H136" s="2"/>
    </row>
    <row r="137" spans="1:8" x14ac:dyDescent="0.3">
      <c r="A137" s="2">
        <v>29526</v>
      </c>
      <c r="B137" s="4" t="s">
        <v>415</v>
      </c>
      <c r="C137" s="3" t="s">
        <v>301</v>
      </c>
      <c r="D137" s="270">
        <v>76</v>
      </c>
      <c r="E137" s="270">
        <v>9</v>
      </c>
      <c r="F137" s="271"/>
      <c r="G137" s="272"/>
      <c r="H137" s="2"/>
    </row>
    <row r="138" spans="1:8" x14ac:dyDescent="0.3">
      <c r="A138" s="2">
        <v>29537</v>
      </c>
      <c r="B138" s="4" t="s">
        <v>416</v>
      </c>
      <c r="C138" s="3" t="s">
        <v>263</v>
      </c>
      <c r="D138" s="270">
        <v>61</v>
      </c>
      <c r="E138" s="270">
        <v>8</v>
      </c>
      <c r="F138" s="271"/>
      <c r="G138" s="272"/>
      <c r="H138" s="2"/>
    </row>
    <row r="139" spans="1:8" x14ac:dyDescent="0.3">
      <c r="A139" s="2">
        <v>29829</v>
      </c>
      <c r="B139" s="4" t="s">
        <v>417</v>
      </c>
      <c r="C139" s="3" t="s">
        <v>263</v>
      </c>
      <c r="D139" s="270">
        <v>61</v>
      </c>
      <c r="E139" s="270">
        <v>15</v>
      </c>
      <c r="F139" s="271"/>
      <c r="G139" s="272"/>
      <c r="H139" s="2"/>
    </row>
    <row r="140" spans="1:8" x14ac:dyDescent="0.3">
      <c r="A140" s="2">
        <v>29935</v>
      </c>
      <c r="B140" s="4" t="s">
        <v>418</v>
      </c>
      <c r="C140" s="3" t="s">
        <v>263</v>
      </c>
      <c r="D140" s="270">
        <v>76</v>
      </c>
      <c r="E140" s="270">
        <v>11</v>
      </c>
      <c r="F140" s="271" t="s">
        <v>270</v>
      </c>
      <c r="G140" s="272">
        <v>43899.571921296294</v>
      </c>
      <c r="H140" s="2"/>
    </row>
    <row r="141" spans="1:8" x14ac:dyDescent="0.3">
      <c r="A141" s="2">
        <v>29936</v>
      </c>
      <c r="B141" s="4" t="s">
        <v>419</v>
      </c>
      <c r="C141" s="3" t="s">
        <v>263</v>
      </c>
      <c r="D141" s="270">
        <v>76</v>
      </c>
      <c r="E141" s="270">
        <v>11</v>
      </c>
      <c r="F141" s="271"/>
      <c r="G141" s="272"/>
      <c r="H141" s="2"/>
    </row>
    <row r="142" spans="1:8" x14ac:dyDescent="0.3">
      <c r="A142" s="2">
        <v>29960</v>
      </c>
      <c r="B142" s="4" t="s">
        <v>420</v>
      </c>
      <c r="C142" s="3" t="s">
        <v>380</v>
      </c>
      <c r="D142" s="270">
        <v>57</v>
      </c>
      <c r="E142" s="270">
        <v>15</v>
      </c>
      <c r="F142" s="271"/>
      <c r="G142" s="272"/>
      <c r="H142" s="2"/>
    </row>
    <row r="143" spans="1:8" x14ac:dyDescent="0.3">
      <c r="A143" s="2">
        <v>30171</v>
      </c>
      <c r="B143" s="4" t="s">
        <v>421</v>
      </c>
      <c r="C143" s="3" t="s">
        <v>287</v>
      </c>
      <c r="D143" s="270">
        <v>76</v>
      </c>
      <c r="E143" s="270">
        <v>9</v>
      </c>
      <c r="F143" s="271" t="s">
        <v>270</v>
      </c>
      <c r="G143" s="272">
        <v>43896.301296296297</v>
      </c>
      <c r="H143" s="2"/>
    </row>
    <row r="144" spans="1:8" x14ac:dyDescent="0.3">
      <c r="A144" s="2">
        <v>30658</v>
      </c>
      <c r="B144" s="4" t="s">
        <v>422</v>
      </c>
      <c r="C144" s="3" t="s">
        <v>263</v>
      </c>
      <c r="D144" s="270">
        <v>61</v>
      </c>
      <c r="E144" s="270">
        <v>15</v>
      </c>
      <c r="F144" s="271" t="s">
        <v>270</v>
      </c>
      <c r="G144" s="272">
        <v>43671.424050925925</v>
      </c>
      <c r="H144" s="2"/>
    </row>
    <row r="145" spans="1:8" x14ac:dyDescent="0.3">
      <c r="A145" s="2">
        <v>30772</v>
      </c>
      <c r="B145" s="4" t="s">
        <v>423</v>
      </c>
      <c r="C145" s="3" t="s">
        <v>263</v>
      </c>
      <c r="D145" s="270">
        <v>72</v>
      </c>
      <c r="E145" s="270">
        <v>5</v>
      </c>
      <c r="F145" s="271"/>
      <c r="G145" s="272"/>
      <c r="H145" s="2"/>
    </row>
    <row r="146" spans="1:8" x14ac:dyDescent="0.3">
      <c r="A146" s="2">
        <v>31321</v>
      </c>
      <c r="B146" s="4" t="s">
        <v>424</v>
      </c>
      <c r="C146" s="3" t="s">
        <v>272</v>
      </c>
      <c r="D146" s="270">
        <v>55</v>
      </c>
      <c r="E146" s="270">
        <v>19</v>
      </c>
      <c r="F146" s="271" t="s">
        <v>264</v>
      </c>
      <c r="G146" s="272">
        <v>44104.394143518519</v>
      </c>
      <c r="H146" s="2">
        <v>140032</v>
      </c>
    </row>
    <row r="147" spans="1:8" x14ac:dyDescent="0.3">
      <c r="A147" s="2">
        <v>31427</v>
      </c>
      <c r="B147" s="4" t="s">
        <v>425</v>
      </c>
      <c r="C147" s="3" t="s">
        <v>263</v>
      </c>
      <c r="D147" s="270">
        <v>52</v>
      </c>
      <c r="E147" s="270">
        <v>7</v>
      </c>
      <c r="F147" s="271"/>
      <c r="G147" s="272"/>
      <c r="H147" s="2"/>
    </row>
    <row r="148" spans="1:8" x14ac:dyDescent="0.3">
      <c r="A148" s="2">
        <v>31428</v>
      </c>
      <c r="B148" s="4" t="s">
        <v>426</v>
      </c>
      <c r="C148" s="3" t="s">
        <v>263</v>
      </c>
      <c r="D148" s="270">
        <v>52</v>
      </c>
      <c r="E148" s="270">
        <v>7</v>
      </c>
      <c r="F148" s="271"/>
      <c r="G148" s="272"/>
      <c r="H148" s="2"/>
    </row>
    <row r="149" spans="1:8" x14ac:dyDescent="0.3">
      <c r="A149" s="2">
        <v>32487</v>
      </c>
      <c r="B149" s="4" t="s">
        <v>427</v>
      </c>
      <c r="C149" s="3" t="s">
        <v>301</v>
      </c>
      <c r="D149" s="270">
        <v>76</v>
      </c>
      <c r="E149" s="270">
        <v>9</v>
      </c>
      <c r="F149" s="271" t="s">
        <v>270</v>
      </c>
      <c r="G149" s="272">
        <v>43896.301296296297</v>
      </c>
      <c r="H149" s="2"/>
    </row>
    <row r="150" spans="1:8" x14ac:dyDescent="0.3">
      <c r="A150" s="2">
        <v>32648</v>
      </c>
      <c r="B150" s="4" t="s">
        <v>428</v>
      </c>
      <c r="C150" s="3" t="s">
        <v>260</v>
      </c>
      <c r="D150" s="270">
        <v>67</v>
      </c>
      <c r="E150" s="270">
        <v>14</v>
      </c>
      <c r="F150" s="271"/>
      <c r="G150" s="272"/>
      <c r="H150" s="2"/>
    </row>
    <row r="151" spans="1:8" x14ac:dyDescent="0.3">
      <c r="A151" s="2">
        <v>32752</v>
      </c>
      <c r="B151" s="4" t="s">
        <v>429</v>
      </c>
      <c r="C151" s="3" t="s">
        <v>320</v>
      </c>
      <c r="D151" s="270">
        <v>67</v>
      </c>
      <c r="E151" s="270">
        <v>6</v>
      </c>
      <c r="F151" s="271"/>
      <c r="G151" s="272"/>
      <c r="H151" s="2"/>
    </row>
    <row r="152" spans="1:8" x14ac:dyDescent="0.3">
      <c r="A152" s="2">
        <v>32759</v>
      </c>
      <c r="B152" s="4" t="s">
        <v>430</v>
      </c>
      <c r="C152" s="3" t="s">
        <v>320</v>
      </c>
      <c r="D152" s="270">
        <v>67</v>
      </c>
      <c r="E152" s="270">
        <v>6</v>
      </c>
      <c r="F152" s="271"/>
      <c r="G152" s="272"/>
      <c r="H152" s="2"/>
    </row>
    <row r="153" spans="1:8" x14ac:dyDescent="0.3">
      <c r="A153" s="2">
        <v>32761</v>
      </c>
      <c r="B153" s="4" t="s">
        <v>431</v>
      </c>
      <c r="C153" s="3" t="s">
        <v>320</v>
      </c>
      <c r="D153" s="270">
        <v>67</v>
      </c>
      <c r="E153" s="270">
        <v>6</v>
      </c>
      <c r="F153" s="271"/>
      <c r="G153" s="272"/>
      <c r="H153" s="2"/>
    </row>
    <row r="154" spans="1:8" x14ac:dyDescent="0.3">
      <c r="A154" s="2">
        <v>34405</v>
      </c>
      <c r="B154" s="4" t="s">
        <v>432</v>
      </c>
      <c r="C154" s="3" t="s">
        <v>263</v>
      </c>
      <c r="D154" s="270">
        <v>84</v>
      </c>
      <c r="E154" s="270">
        <v>1</v>
      </c>
      <c r="F154" s="271"/>
      <c r="G154" s="272"/>
      <c r="H154" s="2"/>
    </row>
    <row r="155" spans="1:8" x14ac:dyDescent="0.3">
      <c r="A155" s="2">
        <v>35227</v>
      </c>
      <c r="B155" s="4" t="s">
        <v>433</v>
      </c>
      <c r="C155" s="3" t="s">
        <v>263</v>
      </c>
      <c r="D155" s="270">
        <v>61</v>
      </c>
      <c r="E155" s="270">
        <v>8</v>
      </c>
      <c r="F155" s="271" t="s">
        <v>261</v>
      </c>
      <c r="G155" s="272">
        <v>44433.653020833335</v>
      </c>
      <c r="H155" s="2">
        <v>59400</v>
      </c>
    </row>
    <row r="156" spans="1:8" x14ac:dyDescent="0.3">
      <c r="A156" s="2">
        <v>35238</v>
      </c>
      <c r="B156" s="4" t="s">
        <v>434</v>
      </c>
      <c r="C156" s="3" t="s">
        <v>263</v>
      </c>
      <c r="D156" s="270">
        <v>54</v>
      </c>
      <c r="E156" s="270">
        <v>4</v>
      </c>
      <c r="F156" s="271" t="s">
        <v>270</v>
      </c>
      <c r="G156" s="272">
        <v>43875.456620370373</v>
      </c>
      <c r="H156" s="2"/>
    </row>
    <row r="157" spans="1:8" x14ac:dyDescent="0.3">
      <c r="A157" s="2">
        <v>35331</v>
      </c>
      <c r="B157" s="4" t="s">
        <v>435</v>
      </c>
      <c r="C157" s="3" t="s">
        <v>436</v>
      </c>
      <c r="D157" s="270">
        <v>54</v>
      </c>
      <c r="E157" s="270">
        <v>4</v>
      </c>
      <c r="F157" s="271" t="s">
        <v>270</v>
      </c>
      <c r="G157" s="272">
        <v>43999.45821759259</v>
      </c>
      <c r="H157" s="2"/>
    </row>
    <row r="158" spans="1:8" x14ac:dyDescent="0.3">
      <c r="A158" s="2">
        <v>35359</v>
      </c>
      <c r="B158" s="4" t="s">
        <v>437</v>
      </c>
      <c r="C158" s="3" t="s">
        <v>436</v>
      </c>
      <c r="D158" s="270">
        <v>54</v>
      </c>
      <c r="E158" s="270">
        <v>4</v>
      </c>
      <c r="F158" s="271" t="s">
        <v>270</v>
      </c>
      <c r="G158" s="272">
        <v>43720.378981481481</v>
      </c>
      <c r="H158" s="2">
        <v>137799</v>
      </c>
    </row>
    <row r="159" spans="1:8" x14ac:dyDescent="0.3">
      <c r="A159" s="2">
        <v>36011</v>
      </c>
      <c r="B159" s="4" t="s">
        <v>438</v>
      </c>
      <c r="C159" s="3" t="s">
        <v>287</v>
      </c>
      <c r="D159" s="270">
        <v>76</v>
      </c>
      <c r="E159" s="270">
        <v>9</v>
      </c>
      <c r="F159" s="271" t="s">
        <v>270</v>
      </c>
      <c r="G159" s="272">
        <v>43896.301296296297</v>
      </c>
      <c r="H159" s="2"/>
    </row>
    <row r="160" spans="1:8" x14ac:dyDescent="0.3">
      <c r="A160" s="2">
        <v>36033</v>
      </c>
      <c r="B160" s="4" t="s">
        <v>439</v>
      </c>
      <c r="C160" s="3" t="s">
        <v>272</v>
      </c>
      <c r="D160" s="270">
        <v>55</v>
      </c>
      <c r="E160" s="270">
        <v>19</v>
      </c>
      <c r="F160" s="271"/>
      <c r="G160" s="272"/>
      <c r="H160" s="2"/>
    </row>
    <row r="161" spans="1:8" x14ac:dyDescent="0.3">
      <c r="A161" s="2">
        <v>36107</v>
      </c>
      <c r="B161" s="4" t="s">
        <v>440</v>
      </c>
      <c r="C161" s="3" t="s">
        <v>263</v>
      </c>
      <c r="D161" s="270">
        <v>74</v>
      </c>
      <c r="E161" s="270">
        <v>9</v>
      </c>
      <c r="F161" s="271"/>
      <c r="G161" s="272"/>
      <c r="H161" s="2"/>
    </row>
    <row r="162" spans="1:8" x14ac:dyDescent="0.3">
      <c r="A162" s="2">
        <v>36400</v>
      </c>
      <c r="B162" s="4" t="s">
        <v>441</v>
      </c>
      <c r="C162" s="3" t="s">
        <v>263</v>
      </c>
      <c r="D162" s="270">
        <v>89</v>
      </c>
      <c r="E162" s="270">
        <v>12</v>
      </c>
      <c r="F162" s="271" t="s">
        <v>270</v>
      </c>
      <c r="G162" s="272">
        <v>43875.379710648151</v>
      </c>
      <c r="H162" s="2"/>
    </row>
    <row r="163" spans="1:8" x14ac:dyDescent="0.3">
      <c r="A163" s="2">
        <v>37847</v>
      </c>
      <c r="B163" s="4" t="s">
        <v>442</v>
      </c>
      <c r="C163" s="3"/>
      <c r="D163" s="270"/>
      <c r="E163" s="270"/>
      <c r="F163" s="271"/>
      <c r="G163" s="272"/>
      <c r="H163" s="2"/>
    </row>
    <row r="164" spans="1:8" x14ac:dyDescent="0.3">
      <c r="A164" s="2">
        <v>38079</v>
      </c>
      <c r="B164" s="4" t="s">
        <v>443</v>
      </c>
      <c r="C164" s="3" t="s">
        <v>263</v>
      </c>
      <c r="D164" s="270">
        <v>55</v>
      </c>
      <c r="E164" s="270">
        <v>46</v>
      </c>
      <c r="F164" s="271"/>
      <c r="G164" s="272"/>
      <c r="H164" s="2"/>
    </row>
    <row r="165" spans="1:8" x14ac:dyDescent="0.3">
      <c r="A165" s="2">
        <v>38648</v>
      </c>
      <c r="B165" s="4" t="s">
        <v>444</v>
      </c>
      <c r="C165" s="3" t="s">
        <v>272</v>
      </c>
      <c r="D165" s="270">
        <v>59</v>
      </c>
      <c r="E165" s="270">
        <v>18</v>
      </c>
      <c r="F165" s="271" t="s">
        <v>261</v>
      </c>
      <c r="G165" s="272">
        <v>44461.377997685187</v>
      </c>
      <c r="H165" s="2"/>
    </row>
    <row r="166" spans="1:8" x14ac:dyDescent="0.3">
      <c r="A166" s="2">
        <v>39982</v>
      </c>
      <c r="B166" s="4" t="s">
        <v>445</v>
      </c>
      <c r="C166" s="3" t="s">
        <v>263</v>
      </c>
      <c r="D166" s="270">
        <v>84</v>
      </c>
      <c r="E166" s="270">
        <v>1</v>
      </c>
      <c r="F166" s="271"/>
      <c r="G166" s="272"/>
      <c r="H166" s="2"/>
    </row>
    <row r="167" spans="1:8" x14ac:dyDescent="0.3">
      <c r="A167" s="2">
        <v>40685</v>
      </c>
      <c r="B167" s="4" t="s">
        <v>446</v>
      </c>
      <c r="C167" s="3" t="s">
        <v>272</v>
      </c>
      <c r="D167" s="270">
        <v>55</v>
      </c>
      <c r="E167" s="270">
        <v>19</v>
      </c>
      <c r="F167" s="271" t="s">
        <v>264</v>
      </c>
      <c r="G167" s="272">
        <v>44104.394143518519</v>
      </c>
      <c r="H167" s="2">
        <v>140038</v>
      </c>
    </row>
    <row r="168" spans="1:8" x14ac:dyDescent="0.3">
      <c r="A168" s="2">
        <v>40688</v>
      </c>
      <c r="B168" s="4" t="s">
        <v>447</v>
      </c>
      <c r="C168" s="3" t="s">
        <v>263</v>
      </c>
      <c r="D168" s="270">
        <v>67</v>
      </c>
      <c r="E168" s="270">
        <v>18</v>
      </c>
      <c r="F168" s="271"/>
      <c r="G168" s="272"/>
      <c r="H168" s="2"/>
    </row>
    <row r="169" spans="1:8" x14ac:dyDescent="0.3">
      <c r="A169" s="2">
        <v>40689</v>
      </c>
      <c r="B169" s="4" t="s">
        <v>448</v>
      </c>
      <c r="C169" s="3" t="s">
        <v>263</v>
      </c>
      <c r="D169" s="270">
        <v>67</v>
      </c>
      <c r="E169" s="270">
        <v>18</v>
      </c>
      <c r="F169" s="271"/>
      <c r="G169" s="272"/>
      <c r="H169" s="2"/>
    </row>
    <row r="170" spans="1:8" x14ac:dyDescent="0.3">
      <c r="A170" s="2">
        <v>42681</v>
      </c>
      <c r="B170" s="4" t="s">
        <v>449</v>
      </c>
      <c r="C170" s="3" t="s">
        <v>263</v>
      </c>
      <c r="D170" s="270">
        <v>54</v>
      </c>
      <c r="E170" s="270">
        <v>4</v>
      </c>
      <c r="F170" s="271" t="s">
        <v>270</v>
      </c>
      <c r="G170" s="272">
        <v>43875.456400462965</v>
      </c>
      <c r="H170" s="2"/>
    </row>
    <row r="171" spans="1:8" x14ac:dyDescent="0.3">
      <c r="A171" s="2">
        <v>43648</v>
      </c>
      <c r="B171" s="4" t="s">
        <v>450</v>
      </c>
      <c r="C171" s="3" t="s">
        <v>263</v>
      </c>
      <c r="D171" s="270">
        <v>55</v>
      </c>
      <c r="E171" s="270">
        <v>32</v>
      </c>
      <c r="F171" s="271"/>
      <c r="G171" s="272"/>
      <c r="H171" s="2"/>
    </row>
    <row r="172" spans="1:8" x14ac:dyDescent="0.3">
      <c r="A172" s="2">
        <v>43794</v>
      </c>
      <c r="B172" s="4" t="s">
        <v>451</v>
      </c>
      <c r="C172" s="3" t="s">
        <v>263</v>
      </c>
      <c r="D172" s="270">
        <v>74</v>
      </c>
      <c r="E172" s="270">
        <v>8</v>
      </c>
      <c r="F172" s="271"/>
      <c r="G172" s="272"/>
      <c r="H172" s="2"/>
    </row>
    <row r="173" spans="1:8" x14ac:dyDescent="0.3">
      <c r="A173" s="2">
        <v>45067</v>
      </c>
      <c r="B173" s="4" t="s">
        <v>452</v>
      </c>
      <c r="C173" s="3" t="s">
        <v>272</v>
      </c>
      <c r="D173" s="270">
        <v>55</v>
      </c>
      <c r="E173" s="270">
        <v>19</v>
      </c>
      <c r="F173" s="271"/>
      <c r="G173" s="272"/>
      <c r="H173" s="2"/>
    </row>
    <row r="174" spans="1:8" x14ac:dyDescent="0.3">
      <c r="A174" s="2">
        <v>45111</v>
      </c>
      <c r="B174" s="4" t="s">
        <v>453</v>
      </c>
      <c r="C174" s="3" t="s">
        <v>263</v>
      </c>
      <c r="D174" s="270">
        <v>84</v>
      </c>
      <c r="E174" s="270">
        <v>1</v>
      </c>
      <c r="F174" s="271"/>
      <c r="G174" s="272"/>
      <c r="H174" s="2"/>
    </row>
    <row r="175" spans="1:8" x14ac:dyDescent="0.3">
      <c r="A175" s="2">
        <v>45195</v>
      </c>
      <c r="B175" s="4" t="s">
        <v>454</v>
      </c>
      <c r="C175" s="3" t="s">
        <v>31</v>
      </c>
      <c r="D175" s="270">
        <v>51</v>
      </c>
      <c r="E175" s="270">
        <v>11</v>
      </c>
      <c r="F175" s="271"/>
      <c r="G175" s="272"/>
      <c r="H175" s="2"/>
    </row>
    <row r="176" spans="1:8" x14ac:dyDescent="0.3">
      <c r="A176" s="2">
        <v>45651</v>
      </c>
      <c r="B176" s="4" t="s">
        <v>455</v>
      </c>
      <c r="C176" s="3" t="s">
        <v>263</v>
      </c>
      <c r="D176" s="270">
        <v>67</v>
      </c>
      <c r="E176" s="270">
        <v>1</v>
      </c>
      <c r="F176" s="271"/>
      <c r="G176" s="272"/>
      <c r="H176" s="2"/>
    </row>
    <row r="177" spans="1:8" x14ac:dyDescent="0.3">
      <c r="A177" s="2">
        <v>48178</v>
      </c>
      <c r="B177" s="4" t="s">
        <v>456</v>
      </c>
      <c r="C177" s="3" t="s">
        <v>263</v>
      </c>
      <c r="D177" s="270">
        <v>74</v>
      </c>
      <c r="E177" s="270">
        <v>8</v>
      </c>
      <c r="F177" s="271"/>
      <c r="G177" s="272"/>
      <c r="H177" s="2"/>
    </row>
    <row r="178" spans="1:8" x14ac:dyDescent="0.3">
      <c r="A178" s="2">
        <v>48714</v>
      </c>
      <c r="B178" s="4" t="s">
        <v>457</v>
      </c>
      <c r="C178" s="3" t="s">
        <v>263</v>
      </c>
      <c r="D178" s="270">
        <v>83</v>
      </c>
      <c r="E178" s="270">
        <v>10</v>
      </c>
      <c r="F178" s="271"/>
      <c r="G178" s="272"/>
      <c r="H178" s="2"/>
    </row>
    <row r="179" spans="1:8" x14ac:dyDescent="0.3">
      <c r="A179" s="2">
        <v>49099</v>
      </c>
      <c r="B179" s="4" t="s">
        <v>458</v>
      </c>
      <c r="C179" s="3" t="s">
        <v>320</v>
      </c>
      <c r="D179" s="270">
        <v>67</v>
      </c>
      <c r="E179" s="270">
        <v>6</v>
      </c>
      <c r="F179" s="271"/>
      <c r="G179" s="272"/>
      <c r="H179" s="2"/>
    </row>
    <row r="180" spans="1:8" x14ac:dyDescent="0.3">
      <c r="A180" s="2">
        <v>49184</v>
      </c>
      <c r="B180" s="4" t="s">
        <v>459</v>
      </c>
      <c r="C180" s="3" t="s">
        <v>263</v>
      </c>
      <c r="D180" s="270">
        <v>52</v>
      </c>
      <c r="E180" s="270">
        <v>8</v>
      </c>
      <c r="F180" s="271"/>
      <c r="G180" s="272"/>
      <c r="H180" s="2"/>
    </row>
    <row r="181" spans="1:8" x14ac:dyDescent="0.3">
      <c r="A181" s="2">
        <v>49188</v>
      </c>
      <c r="B181" s="4" t="s">
        <v>460</v>
      </c>
      <c r="C181" s="3" t="s">
        <v>263</v>
      </c>
      <c r="D181" s="270">
        <v>52</v>
      </c>
      <c r="E181" s="270">
        <v>7</v>
      </c>
      <c r="F181" s="271"/>
      <c r="G181" s="272"/>
      <c r="H181" s="2"/>
    </row>
    <row r="182" spans="1:8" x14ac:dyDescent="0.3">
      <c r="A182" s="2">
        <v>49864</v>
      </c>
      <c r="B182" s="4" t="s">
        <v>461</v>
      </c>
      <c r="C182" s="3" t="s">
        <v>263</v>
      </c>
      <c r="D182" s="270">
        <v>73</v>
      </c>
      <c r="E182" s="270">
        <v>4</v>
      </c>
      <c r="F182" s="271"/>
      <c r="G182" s="272"/>
      <c r="H182" s="2"/>
    </row>
    <row r="183" spans="1:8" x14ac:dyDescent="0.3">
      <c r="A183" s="2">
        <v>49866</v>
      </c>
      <c r="B183" s="4" t="s">
        <v>462</v>
      </c>
      <c r="C183" s="3" t="s">
        <v>263</v>
      </c>
      <c r="D183" s="270">
        <v>55</v>
      </c>
      <c r="E183" s="270">
        <v>57</v>
      </c>
      <c r="F183" s="271"/>
      <c r="G183" s="272"/>
      <c r="H183" s="2"/>
    </row>
    <row r="184" spans="1:8" x14ac:dyDescent="0.3">
      <c r="A184" s="2">
        <v>49867</v>
      </c>
      <c r="B184" s="4" t="s">
        <v>463</v>
      </c>
      <c r="C184" s="3" t="s">
        <v>263</v>
      </c>
      <c r="D184" s="270">
        <v>55</v>
      </c>
      <c r="E184" s="270">
        <v>55</v>
      </c>
      <c r="F184" s="271"/>
      <c r="G184" s="272"/>
      <c r="H184" s="2"/>
    </row>
    <row r="185" spans="1:8" x14ac:dyDescent="0.3">
      <c r="A185" s="2">
        <v>49984</v>
      </c>
      <c r="B185" s="4" t="s">
        <v>464</v>
      </c>
      <c r="C185" s="3" t="s">
        <v>263</v>
      </c>
      <c r="D185" s="270">
        <v>52</v>
      </c>
      <c r="E185" s="270">
        <v>7</v>
      </c>
      <c r="F185" s="271"/>
      <c r="G185" s="272"/>
      <c r="H185" s="2"/>
    </row>
    <row r="186" spans="1:8" x14ac:dyDescent="0.3">
      <c r="A186" s="2">
        <v>49988</v>
      </c>
      <c r="B186" s="4" t="s">
        <v>464</v>
      </c>
      <c r="C186" s="3" t="s">
        <v>263</v>
      </c>
      <c r="D186" s="270">
        <v>52</v>
      </c>
      <c r="E186" s="270">
        <v>7</v>
      </c>
      <c r="F186" s="271"/>
      <c r="G186" s="272"/>
      <c r="H186" s="2"/>
    </row>
    <row r="187" spans="1:8" x14ac:dyDescent="0.3">
      <c r="A187" s="2">
        <v>50294</v>
      </c>
      <c r="B187" s="4" t="s">
        <v>465</v>
      </c>
      <c r="C187" s="3" t="s">
        <v>263</v>
      </c>
      <c r="D187" s="270">
        <v>61</v>
      </c>
      <c r="E187" s="270">
        <v>8</v>
      </c>
      <c r="F187" s="271"/>
      <c r="G187" s="272"/>
      <c r="H187" s="2"/>
    </row>
    <row r="188" spans="1:8" x14ac:dyDescent="0.3">
      <c r="A188" s="2">
        <v>50476</v>
      </c>
      <c r="B188" s="4" t="s">
        <v>466</v>
      </c>
      <c r="C188" s="3" t="s">
        <v>263</v>
      </c>
      <c r="D188" s="270">
        <v>51</v>
      </c>
      <c r="E188" s="270">
        <v>17</v>
      </c>
      <c r="F188" s="271"/>
      <c r="G188" s="272"/>
      <c r="H188" s="2"/>
    </row>
    <row r="189" spans="1:8" x14ac:dyDescent="0.3">
      <c r="A189" s="2">
        <v>51013</v>
      </c>
      <c r="B189" s="4" t="s">
        <v>467</v>
      </c>
      <c r="C189" s="3" t="s">
        <v>287</v>
      </c>
      <c r="D189" s="270">
        <v>76</v>
      </c>
      <c r="E189" s="270">
        <v>10</v>
      </c>
      <c r="F189" s="271" t="s">
        <v>270</v>
      </c>
      <c r="G189" s="272" t="s">
        <v>468</v>
      </c>
      <c r="H189" s="2"/>
    </row>
    <row r="190" spans="1:8" x14ac:dyDescent="0.3">
      <c r="A190" s="2">
        <v>51223</v>
      </c>
      <c r="B190" s="4" t="s">
        <v>469</v>
      </c>
      <c r="C190" s="3" t="s">
        <v>263</v>
      </c>
      <c r="D190" s="270">
        <v>55</v>
      </c>
      <c r="E190" s="270">
        <v>49</v>
      </c>
      <c r="F190" s="271"/>
      <c r="G190" s="272"/>
      <c r="H190" s="2"/>
    </row>
    <row r="191" spans="1:8" x14ac:dyDescent="0.3">
      <c r="A191" s="2">
        <v>51337</v>
      </c>
      <c r="B191" s="4" t="s">
        <v>470</v>
      </c>
      <c r="C191" s="3" t="s">
        <v>263</v>
      </c>
      <c r="D191" s="270">
        <v>74</v>
      </c>
      <c r="E191" s="270">
        <v>10</v>
      </c>
      <c r="F191" s="271"/>
      <c r="G191" s="272"/>
      <c r="H191" s="2"/>
    </row>
    <row r="192" spans="1:8" x14ac:dyDescent="0.3">
      <c r="A192" s="2">
        <v>52995</v>
      </c>
      <c r="B192" s="4" t="s">
        <v>471</v>
      </c>
      <c r="C192" s="3" t="s">
        <v>263</v>
      </c>
      <c r="D192" s="270">
        <v>61</v>
      </c>
      <c r="E192" s="270">
        <v>8</v>
      </c>
      <c r="F192" s="271"/>
      <c r="G192" s="272"/>
      <c r="H192" s="2"/>
    </row>
    <row r="193" spans="1:8" x14ac:dyDescent="0.3">
      <c r="A193" s="2">
        <v>53016</v>
      </c>
      <c r="B193" s="4" t="s">
        <v>472</v>
      </c>
      <c r="C193" s="3" t="s">
        <v>473</v>
      </c>
      <c r="D193" s="270">
        <v>74</v>
      </c>
      <c r="E193" s="270">
        <v>10</v>
      </c>
      <c r="F193" s="271"/>
      <c r="G193" s="272"/>
      <c r="H193" s="2"/>
    </row>
    <row r="194" spans="1:8" x14ac:dyDescent="0.3">
      <c r="A194" s="2">
        <v>53810</v>
      </c>
      <c r="B194" s="4" t="s">
        <v>474</v>
      </c>
      <c r="C194" s="3" t="s">
        <v>320</v>
      </c>
      <c r="D194" s="270">
        <v>67</v>
      </c>
      <c r="E194" s="270">
        <v>6</v>
      </c>
      <c r="F194" s="271"/>
      <c r="G194" s="272"/>
      <c r="H194" s="2"/>
    </row>
    <row r="195" spans="1:8" x14ac:dyDescent="0.3">
      <c r="A195" s="2">
        <v>53928</v>
      </c>
      <c r="B195" s="4" t="s">
        <v>475</v>
      </c>
      <c r="C195" s="3" t="s">
        <v>263</v>
      </c>
      <c r="D195" s="270">
        <v>51</v>
      </c>
      <c r="E195" s="270">
        <v>30</v>
      </c>
      <c r="F195" s="271"/>
      <c r="G195" s="272"/>
      <c r="H195" s="2"/>
    </row>
    <row r="196" spans="1:8" x14ac:dyDescent="0.3">
      <c r="A196" s="2">
        <v>54668</v>
      </c>
      <c r="B196" s="4" t="s">
        <v>476</v>
      </c>
      <c r="C196" s="3" t="s">
        <v>287</v>
      </c>
      <c r="D196" s="270">
        <v>76</v>
      </c>
      <c r="E196" s="270">
        <v>9</v>
      </c>
      <c r="F196" s="271" t="s">
        <v>270</v>
      </c>
      <c r="G196" s="272">
        <v>43896.300358796296</v>
      </c>
      <c r="H196" s="2"/>
    </row>
    <row r="197" spans="1:8" x14ac:dyDescent="0.3">
      <c r="A197" s="2">
        <v>54969</v>
      </c>
      <c r="B197" s="4" t="s">
        <v>477</v>
      </c>
      <c r="C197" s="3" t="s">
        <v>263</v>
      </c>
      <c r="D197" s="270">
        <v>61</v>
      </c>
      <c r="E197" s="270">
        <v>8</v>
      </c>
      <c r="F197" s="271"/>
      <c r="G197" s="272"/>
      <c r="H197" s="2"/>
    </row>
    <row r="198" spans="1:8" x14ac:dyDescent="0.3">
      <c r="A198" s="2">
        <v>57444</v>
      </c>
      <c r="B198" s="4" t="s">
        <v>478</v>
      </c>
      <c r="C198" s="3" t="s">
        <v>290</v>
      </c>
      <c r="D198" s="270">
        <v>76</v>
      </c>
      <c r="E198" s="270">
        <v>6</v>
      </c>
      <c r="F198" s="271" t="s">
        <v>270</v>
      </c>
      <c r="G198" s="272" t="s">
        <v>479</v>
      </c>
      <c r="H198" s="2"/>
    </row>
    <row r="199" spans="1:8" x14ac:dyDescent="0.3">
      <c r="A199" s="2">
        <v>57895</v>
      </c>
      <c r="B199" s="4" t="s">
        <v>480</v>
      </c>
      <c r="C199" s="3" t="s">
        <v>263</v>
      </c>
      <c r="D199" s="270">
        <v>51</v>
      </c>
      <c r="E199" s="270">
        <v>11</v>
      </c>
      <c r="F199" s="271"/>
      <c r="G199" s="272"/>
      <c r="H199" s="2"/>
    </row>
    <row r="200" spans="1:8" x14ac:dyDescent="0.3">
      <c r="A200" s="2">
        <v>58116</v>
      </c>
      <c r="B200" s="4" t="s">
        <v>481</v>
      </c>
      <c r="C200" s="3" t="s">
        <v>263</v>
      </c>
      <c r="D200" s="270">
        <v>70</v>
      </c>
      <c r="E200" s="270">
        <v>38</v>
      </c>
      <c r="F200" s="271" t="s">
        <v>261</v>
      </c>
      <c r="G200" s="272">
        <v>44463.593159722222</v>
      </c>
      <c r="H200" s="2"/>
    </row>
    <row r="201" spans="1:8" x14ac:dyDescent="0.3">
      <c r="A201" s="2">
        <v>58117</v>
      </c>
      <c r="B201" s="4" t="s">
        <v>482</v>
      </c>
      <c r="C201" s="3" t="s">
        <v>263</v>
      </c>
      <c r="D201" s="270">
        <v>70</v>
      </c>
      <c r="E201" s="270">
        <v>38</v>
      </c>
      <c r="F201" s="271" t="s">
        <v>264</v>
      </c>
      <c r="G201" s="272">
        <v>44313.495532407411</v>
      </c>
      <c r="H201" s="2"/>
    </row>
    <row r="202" spans="1:8" x14ac:dyDescent="0.3">
      <c r="A202" s="2">
        <v>58647</v>
      </c>
      <c r="B202" s="4" t="s">
        <v>483</v>
      </c>
      <c r="C202" s="3" t="s">
        <v>272</v>
      </c>
      <c r="D202" s="270">
        <v>51</v>
      </c>
      <c r="E202" s="270">
        <v>30</v>
      </c>
      <c r="F202" s="271" t="s">
        <v>270</v>
      </c>
      <c r="G202" s="272">
        <v>43720.441446759258</v>
      </c>
      <c r="H202" s="2">
        <v>64044</v>
      </c>
    </row>
    <row r="203" spans="1:8" x14ac:dyDescent="0.3">
      <c r="A203" s="2">
        <v>58792</v>
      </c>
      <c r="B203" s="4" t="s">
        <v>484</v>
      </c>
      <c r="C203" s="3" t="s">
        <v>31</v>
      </c>
      <c r="D203" s="270">
        <v>72</v>
      </c>
      <c r="E203" s="270">
        <v>6</v>
      </c>
      <c r="F203" s="271" t="s">
        <v>264</v>
      </c>
      <c r="G203" s="272">
        <v>44267.707777777781</v>
      </c>
      <c r="H203" s="2"/>
    </row>
    <row r="204" spans="1:8" x14ac:dyDescent="0.3">
      <c r="A204" s="2">
        <v>58977</v>
      </c>
      <c r="B204" s="4" t="s">
        <v>485</v>
      </c>
      <c r="C204" s="3" t="s">
        <v>263</v>
      </c>
      <c r="D204" s="270">
        <v>51</v>
      </c>
      <c r="E204" s="270">
        <v>37</v>
      </c>
      <c r="F204" s="271" t="s">
        <v>270</v>
      </c>
      <c r="G204" s="272">
        <v>43656.484259259261</v>
      </c>
      <c r="H204" s="2"/>
    </row>
    <row r="205" spans="1:8" x14ac:dyDescent="0.3">
      <c r="A205" s="2">
        <v>58989</v>
      </c>
      <c r="B205" s="4" t="s">
        <v>486</v>
      </c>
      <c r="C205" s="3"/>
      <c r="D205" s="270"/>
      <c r="E205" s="270"/>
      <c r="F205" s="271" t="s">
        <v>264</v>
      </c>
      <c r="G205" s="272">
        <v>43732.617048611108</v>
      </c>
      <c r="H205" s="2"/>
    </row>
    <row r="206" spans="1:8" x14ac:dyDescent="0.3">
      <c r="A206" s="2">
        <v>60108</v>
      </c>
      <c r="B206" s="4" t="s">
        <v>487</v>
      </c>
      <c r="C206" s="3" t="s">
        <v>31</v>
      </c>
      <c r="D206" s="270">
        <v>52</v>
      </c>
      <c r="E206" s="270">
        <v>13</v>
      </c>
      <c r="F206" s="271"/>
      <c r="G206" s="272"/>
      <c r="H206" s="2"/>
    </row>
    <row r="207" spans="1:8" x14ac:dyDescent="0.3">
      <c r="A207" s="2">
        <v>60110</v>
      </c>
      <c r="B207" s="4" t="s">
        <v>488</v>
      </c>
      <c r="C207" s="3" t="s">
        <v>31</v>
      </c>
      <c r="D207" s="270">
        <v>52</v>
      </c>
      <c r="E207" s="270">
        <v>10</v>
      </c>
      <c r="F207" s="271"/>
      <c r="G207" s="272"/>
      <c r="H207" s="2"/>
    </row>
    <row r="208" spans="1:8" x14ac:dyDescent="0.3">
      <c r="A208" s="2">
        <v>60854</v>
      </c>
      <c r="B208" s="4" t="s">
        <v>489</v>
      </c>
      <c r="C208" s="3" t="s">
        <v>263</v>
      </c>
      <c r="D208" s="270">
        <v>55</v>
      </c>
      <c r="E208" s="270">
        <v>32</v>
      </c>
      <c r="F208" s="271"/>
      <c r="G208" s="272"/>
      <c r="H208" s="2"/>
    </row>
    <row r="209" spans="1:8" x14ac:dyDescent="0.3">
      <c r="A209" s="2">
        <v>61167</v>
      </c>
      <c r="B209" s="4" t="s">
        <v>490</v>
      </c>
      <c r="C209" s="3" t="s">
        <v>301</v>
      </c>
      <c r="D209" s="270">
        <v>76</v>
      </c>
      <c r="E209" s="270">
        <v>3</v>
      </c>
      <c r="F209" s="271"/>
      <c r="G209" s="272"/>
      <c r="H209" s="2"/>
    </row>
    <row r="210" spans="1:8" x14ac:dyDescent="0.3">
      <c r="A210" s="2">
        <v>62365</v>
      </c>
      <c r="B210" s="4" t="s">
        <v>491</v>
      </c>
      <c r="C210" s="3" t="s">
        <v>263</v>
      </c>
      <c r="D210" s="270">
        <v>52</v>
      </c>
      <c r="E210" s="270">
        <v>8</v>
      </c>
      <c r="F210" s="271"/>
      <c r="G210" s="272"/>
      <c r="H210" s="2"/>
    </row>
    <row r="211" spans="1:8" x14ac:dyDescent="0.3">
      <c r="A211" s="2">
        <v>62625</v>
      </c>
      <c r="B211" s="4" t="s">
        <v>492</v>
      </c>
      <c r="C211" s="3"/>
      <c r="D211" s="270"/>
      <c r="E211" s="270"/>
      <c r="F211" s="271"/>
      <c r="G211" s="272"/>
      <c r="H211" s="2"/>
    </row>
    <row r="212" spans="1:8" x14ac:dyDescent="0.3">
      <c r="A212" s="2">
        <v>63383</v>
      </c>
      <c r="B212" s="4" t="s">
        <v>493</v>
      </c>
      <c r="C212" s="3" t="s">
        <v>31</v>
      </c>
      <c r="D212" s="270">
        <v>52</v>
      </c>
      <c r="E212" s="270">
        <v>9</v>
      </c>
      <c r="F212" s="271"/>
      <c r="G212" s="272"/>
      <c r="H212" s="2"/>
    </row>
    <row r="213" spans="1:8" x14ac:dyDescent="0.3">
      <c r="A213" s="2">
        <v>63384</v>
      </c>
      <c r="B213" s="4" t="s">
        <v>494</v>
      </c>
      <c r="C213" s="3" t="s">
        <v>263</v>
      </c>
      <c r="D213" s="270">
        <v>52</v>
      </c>
      <c r="E213" s="270">
        <v>5</v>
      </c>
      <c r="F213" s="271"/>
      <c r="G213" s="272"/>
      <c r="H213" s="2"/>
    </row>
    <row r="214" spans="1:8" x14ac:dyDescent="0.3">
      <c r="A214" s="2">
        <v>64302</v>
      </c>
      <c r="B214" s="4" t="s">
        <v>495</v>
      </c>
      <c r="C214" s="3" t="s">
        <v>272</v>
      </c>
      <c r="D214" s="270">
        <v>55</v>
      </c>
      <c r="E214" s="270">
        <v>19</v>
      </c>
      <c r="F214" s="271" t="s">
        <v>264</v>
      </c>
      <c r="G214" s="272">
        <v>44104.394143518519</v>
      </c>
      <c r="H214" s="2">
        <v>140036</v>
      </c>
    </row>
    <row r="215" spans="1:8" x14ac:dyDescent="0.3">
      <c r="A215" s="2">
        <v>64460</v>
      </c>
      <c r="B215" s="4" t="s">
        <v>496</v>
      </c>
      <c r="C215" s="3" t="s">
        <v>263</v>
      </c>
      <c r="D215" s="270">
        <v>67</v>
      </c>
      <c r="E215" s="270">
        <v>4</v>
      </c>
      <c r="F215" s="271"/>
      <c r="G215" s="272"/>
      <c r="H215" s="2"/>
    </row>
    <row r="216" spans="1:8" x14ac:dyDescent="0.3">
      <c r="A216" s="2">
        <v>64461</v>
      </c>
      <c r="B216" s="4" t="s">
        <v>497</v>
      </c>
      <c r="C216" s="3" t="s">
        <v>263</v>
      </c>
      <c r="D216" s="270">
        <v>67</v>
      </c>
      <c r="E216" s="270">
        <v>4</v>
      </c>
      <c r="F216" s="271"/>
      <c r="G216" s="272"/>
      <c r="H216" s="2"/>
    </row>
    <row r="217" spans="1:8" x14ac:dyDescent="0.3">
      <c r="A217" s="2">
        <v>64463</v>
      </c>
      <c r="B217" s="4" t="s">
        <v>498</v>
      </c>
      <c r="C217" s="3" t="s">
        <v>263</v>
      </c>
      <c r="D217" s="270">
        <v>67</v>
      </c>
      <c r="E217" s="270">
        <v>4</v>
      </c>
      <c r="F217" s="271"/>
      <c r="G217" s="272"/>
      <c r="H217" s="2"/>
    </row>
    <row r="218" spans="1:8" x14ac:dyDescent="0.3">
      <c r="A218" s="2">
        <v>64606</v>
      </c>
      <c r="B218" s="4" t="s">
        <v>499</v>
      </c>
      <c r="C218" s="3" t="s">
        <v>345</v>
      </c>
      <c r="D218" s="270">
        <v>69</v>
      </c>
      <c r="E218" s="270">
        <v>8</v>
      </c>
      <c r="F218" s="271"/>
      <c r="G218" s="272"/>
      <c r="H218" s="2"/>
    </row>
    <row r="219" spans="1:8" x14ac:dyDescent="0.3">
      <c r="A219" s="2">
        <v>64608</v>
      </c>
      <c r="B219" s="4" t="s">
        <v>500</v>
      </c>
      <c r="C219" s="3" t="s">
        <v>345</v>
      </c>
      <c r="D219" s="270">
        <v>69</v>
      </c>
      <c r="E219" s="270">
        <v>3</v>
      </c>
      <c r="F219" s="271"/>
      <c r="G219" s="272"/>
      <c r="H219" s="2"/>
    </row>
    <row r="220" spans="1:8" x14ac:dyDescent="0.3">
      <c r="A220" s="2">
        <v>64630</v>
      </c>
      <c r="B220" s="4" t="s">
        <v>501</v>
      </c>
      <c r="C220" s="3" t="s">
        <v>263</v>
      </c>
      <c r="D220" s="270">
        <v>83</v>
      </c>
      <c r="E220" s="270">
        <v>5</v>
      </c>
      <c r="F220" s="271" t="s">
        <v>264</v>
      </c>
      <c r="G220" s="272">
        <v>44113.417395833334</v>
      </c>
      <c r="H220" s="2"/>
    </row>
    <row r="221" spans="1:8" x14ac:dyDescent="0.3">
      <c r="A221" s="2">
        <v>64631</v>
      </c>
      <c r="B221" s="4" t="s">
        <v>502</v>
      </c>
      <c r="C221" s="3" t="s">
        <v>263</v>
      </c>
      <c r="D221" s="270">
        <v>83</v>
      </c>
      <c r="E221" s="270">
        <v>5</v>
      </c>
      <c r="F221" s="271"/>
      <c r="G221" s="272"/>
      <c r="H221" s="2"/>
    </row>
    <row r="222" spans="1:8" x14ac:dyDescent="0.3">
      <c r="A222" s="2">
        <v>64633</v>
      </c>
      <c r="B222" s="4" t="s">
        <v>503</v>
      </c>
      <c r="C222" s="3" t="s">
        <v>263</v>
      </c>
      <c r="D222" s="270">
        <v>83</v>
      </c>
      <c r="E222" s="270">
        <v>10</v>
      </c>
      <c r="F222" s="271"/>
      <c r="G222" s="272"/>
      <c r="H222" s="2"/>
    </row>
    <row r="223" spans="1:8" x14ac:dyDescent="0.3">
      <c r="A223" s="2">
        <v>64818</v>
      </c>
      <c r="B223" s="4" t="s">
        <v>504</v>
      </c>
      <c r="C223" s="3" t="s">
        <v>263</v>
      </c>
      <c r="D223" s="270">
        <v>61</v>
      </c>
      <c r="E223" s="270">
        <v>11</v>
      </c>
      <c r="F223" s="271"/>
      <c r="G223" s="272"/>
      <c r="H223" s="2"/>
    </row>
    <row r="224" spans="1:8" x14ac:dyDescent="0.3">
      <c r="A224" s="2">
        <v>64819</v>
      </c>
      <c r="B224" s="4" t="s">
        <v>505</v>
      </c>
      <c r="C224" s="3" t="s">
        <v>272</v>
      </c>
      <c r="D224" s="270">
        <v>51</v>
      </c>
      <c r="E224" s="270">
        <v>30</v>
      </c>
      <c r="F224" s="271" t="s">
        <v>270</v>
      </c>
      <c r="G224" s="272">
        <v>43720.454328703701</v>
      </c>
      <c r="H224" s="2">
        <v>54680</v>
      </c>
    </row>
    <row r="225" spans="1:8" x14ac:dyDescent="0.3">
      <c r="A225" s="2">
        <v>64820</v>
      </c>
      <c r="B225" s="4" t="s">
        <v>506</v>
      </c>
      <c r="C225" s="3" t="s">
        <v>263</v>
      </c>
      <c r="D225" s="270">
        <v>51</v>
      </c>
      <c r="E225" s="270">
        <v>17</v>
      </c>
      <c r="F225" s="271"/>
      <c r="G225" s="272"/>
      <c r="H225" s="2"/>
    </row>
    <row r="226" spans="1:8" x14ac:dyDescent="0.3">
      <c r="A226" s="2">
        <v>64821</v>
      </c>
      <c r="B226" s="4" t="s">
        <v>507</v>
      </c>
      <c r="C226" s="3" t="s">
        <v>287</v>
      </c>
      <c r="D226" s="270">
        <v>76</v>
      </c>
      <c r="E226" s="270">
        <v>9</v>
      </c>
      <c r="F226" s="271" t="s">
        <v>270</v>
      </c>
      <c r="G226" s="272">
        <v>43896.298993055556</v>
      </c>
      <c r="H226" s="2"/>
    </row>
    <row r="227" spans="1:8" x14ac:dyDescent="0.3">
      <c r="A227" s="2">
        <v>64822</v>
      </c>
      <c r="B227" s="4" t="s">
        <v>508</v>
      </c>
      <c r="C227" s="3" t="s">
        <v>287</v>
      </c>
      <c r="D227" s="270">
        <v>76</v>
      </c>
      <c r="E227" s="270">
        <v>9</v>
      </c>
      <c r="F227" s="271" t="s">
        <v>264</v>
      </c>
      <c r="G227" s="272">
        <v>44376.365567129629</v>
      </c>
      <c r="H227" s="2">
        <v>141608</v>
      </c>
    </row>
    <row r="228" spans="1:8" x14ac:dyDescent="0.3">
      <c r="A228" s="2">
        <v>65609</v>
      </c>
      <c r="B228" s="4" t="s">
        <v>509</v>
      </c>
      <c r="C228" s="3" t="s">
        <v>263</v>
      </c>
      <c r="D228" s="270">
        <v>51</v>
      </c>
      <c r="E228" s="270">
        <v>17</v>
      </c>
      <c r="F228" s="271"/>
      <c r="G228" s="272"/>
      <c r="H228" s="2"/>
    </row>
    <row r="229" spans="1:8" x14ac:dyDescent="0.3">
      <c r="A229" s="2">
        <v>65610</v>
      </c>
      <c r="B229" s="4" t="s">
        <v>510</v>
      </c>
      <c r="C229" s="3" t="s">
        <v>263</v>
      </c>
      <c r="D229" s="270">
        <v>51</v>
      </c>
      <c r="E229" s="270">
        <v>17</v>
      </c>
      <c r="F229" s="271"/>
      <c r="G229" s="272"/>
      <c r="H229" s="2"/>
    </row>
    <row r="230" spans="1:8" x14ac:dyDescent="0.3">
      <c r="A230" s="2">
        <v>65748</v>
      </c>
      <c r="B230" s="4" t="s">
        <v>511</v>
      </c>
      <c r="C230" s="3" t="s">
        <v>272</v>
      </c>
      <c r="D230" s="270">
        <v>55</v>
      </c>
      <c r="E230" s="270">
        <v>19</v>
      </c>
      <c r="F230" s="271" t="s">
        <v>264</v>
      </c>
      <c r="G230" s="272">
        <v>44104.394143518519</v>
      </c>
      <c r="H230" s="2">
        <v>140030</v>
      </c>
    </row>
    <row r="231" spans="1:8" x14ac:dyDescent="0.3">
      <c r="A231" s="2">
        <v>66786</v>
      </c>
      <c r="B231" s="4" t="s">
        <v>512</v>
      </c>
      <c r="C231" s="3" t="s">
        <v>513</v>
      </c>
      <c r="D231" s="270">
        <v>72</v>
      </c>
      <c r="E231" s="270">
        <v>9</v>
      </c>
      <c r="F231" s="271"/>
      <c r="G231" s="272"/>
      <c r="H231" s="2"/>
    </row>
    <row r="232" spans="1:8" x14ac:dyDescent="0.3">
      <c r="A232" s="2">
        <v>67862</v>
      </c>
      <c r="B232" s="4" t="s">
        <v>514</v>
      </c>
      <c r="C232" s="3" t="s">
        <v>263</v>
      </c>
      <c r="D232" s="270">
        <v>78</v>
      </c>
      <c r="E232" s="270">
        <v>6</v>
      </c>
      <c r="F232" s="271"/>
      <c r="G232" s="272"/>
      <c r="H232" s="2"/>
    </row>
    <row r="233" spans="1:8" x14ac:dyDescent="0.3">
      <c r="A233" s="2">
        <v>67892</v>
      </c>
      <c r="B233" s="4" t="s">
        <v>515</v>
      </c>
      <c r="C233" s="3" t="s">
        <v>263</v>
      </c>
      <c r="D233" s="270">
        <v>69</v>
      </c>
      <c r="E233" s="270">
        <v>5</v>
      </c>
      <c r="F233" s="271"/>
      <c r="G233" s="272"/>
      <c r="H233" s="2"/>
    </row>
    <row r="234" spans="1:8" x14ac:dyDescent="0.3">
      <c r="A234" s="2">
        <v>68351</v>
      </c>
      <c r="B234" s="4" t="s">
        <v>516</v>
      </c>
      <c r="C234" s="3" t="s">
        <v>263</v>
      </c>
      <c r="D234" s="270">
        <v>55</v>
      </c>
      <c r="E234" s="270">
        <v>5</v>
      </c>
      <c r="F234" s="271" t="s">
        <v>270</v>
      </c>
      <c r="G234" s="272" t="s">
        <v>517</v>
      </c>
      <c r="H234" s="2"/>
    </row>
    <row r="235" spans="1:8" x14ac:dyDescent="0.3">
      <c r="A235" s="2">
        <v>69339</v>
      </c>
      <c r="B235" s="4" t="s">
        <v>518</v>
      </c>
      <c r="C235" s="3" t="s">
        <v>263</v>
      </c>
      <c r="D235" s="270">
        <v>54</v>
      </c>
      <c r="E235" s="270">
        <v>16</v>
      </c>
      <c r="F235" s="271" t="s">
        <v>270</v>
      </c>
      <c r="G235" s="272" t="s">
        <v>519</v>
      </c>
      <c r="H235" s="2"/>
    </row>
    <row r="236" spans="1:8" x14ac:dyDescent="0.3">
      <c r="A236" s="2">
        <v>71053</v>
      </c>
      <c r="B236" s="4" t="s">
        <v>520</v>
      </c>
      <c r="C236" s="3" t="s">
        <v>263</v>
      </c>
      <c r="D236" s="270">
        <v>54</v>
      </c>
      <c r="E236" s="270">
        <v>4</v>
      </c>
      <c r="F236" s="271" t="s">
        <v>270</v>
      </c>
      <c r="G236" s="272">
        <v>43875.37903935185</v>
      </c>
      <c r="H236" s="2"/>
    </row>
    <row r="237" spans="1:8" x14ac:dyDescent="0.3">
      <c r="A237" s="2">
        <v>71189</v>
      </c>
      <c r="B237" s="4" t="s">
        <v>521</v>
      </c>
      <c r="C237" s="3" t="s">
        <v>31</v>
      </c>
      <c r="D237" s="270">
        <v>51</v>
      </c>
      <c r="E237" s="270">
        <v>10</v>
      </c>
      <c r="F237" s="271" t="s">
        <v>264</v>
      </c>
      <c r="G237" s="272">
        <v>43815.590601851851</v>
      </c>
      <c r="H237" s="2"/>
    </row>
    <row r="238" spans="1:8" x14ac:dyDescent="0.3">
      <c r="A238" s="2">
        <v>71190</v>
      </c>
      <c r="B238" s="4" t="s">
        <v>521</v>
      </c>
      <c r="C238" s="3" t="s">
        <v>263</v>
      </c>
      <c r="D238" s="270">
        <v>51</v>
      </c>
      <c r="E238" s="270">
        <v>10</v>
      </c>
      <c r="F238" s="271" t="s">
        <v>270</v>
      </c>
      <c r="G238" s="272" t="s">
        <v>522</v>
      </c>
      <c r="H238" s="2">
        <v>136553</v>
      </c>
    </row>
    <row r="239" spans="1:8" x14ac:dyDescent="0.3">
      <c r="A239" s="2">
        <v>72052</v>
      </c>
      <c r="B239" s="4" t="s">
        <v>523</v>
      </c>
      <c r="C239" s="3" t="s">
        <v>301</v>
      </c>
      <c r="D239" s="270">
        <v>76</v>
      </c>
      <c r="E239" s="270">
        <v>5</v>
      </c>
      <c r="F239" s="271" t="s">
        <v>264</v>
      </c>
      <c r="G239" s="272">
        <v>44376.404398148145</v>
      </c>
      <c r="H239" s="2">
        <v>141270</v>
      </c>
    </row>
    <row r="240" spans="1:8" x14ac:dyDescent="0.3">
      <c r="A240" s="2">
        <v>72174</v>
      </c>
      <c r="B240" s="4" t="s">
        <v>524</v>
      </c>
      <c r="C240" s="3" t="s">
        <v>31</v>
      </c>
      <c r="D240" s="270">
        <v>72</v>
      </c>
      <c r="E240" s="270">
        <v>6</v>
      </c>
      <c r="F240" s="271" t="s">
        <v>264</v>
      </c>
      <c r="G240" s="272">
        <v>44267.707777777781</v>
      </c>
      <c r="H240" s="2"/>
    </row>
    <row r="241" spans="1:8" x14ac:dyDescent="0.3">
      <c r="A241" s="2">
        <v>73020</v>
      </c>
      <c r="B241" s="4" t="s">
        <v>525</v>
      </c>
      <c r="C241" s="3" t="s">
        <v>263</v>
      </c>
      <c r="D241" s="270">
        <v>76</v>
      </c>
      <c r="E241" s="270">
        <v>11</v>
      </c>
      <c r="F241" s="271"/>
      <c r="G241" s="272"/>
      <c r="H241" s="2"/>
    </row>
    <row r="242" spans="1:8" x14ac:dyDescent="0.3">
      <c r="A242" s="2">
        <v>74081</v>
      </c>
      <c r="B242" s="4" t="s">
        <v>526</v>
      </c>
      <c r="C242" s="3" t="s">
        <v>263</v>
      </c>
      <c r="D242" s="270">
        <v>72</v>
      </c>
      <c r="E242" s="270">
        <v>6</v>
      </c>
      <c r="F242" s="271" t="s">
        <v>264</v>
      </c>
      <c r="G242" s="272">
        <v>44267.707777777781</v>
      </c>
      <c r="H242" s="2"/>
    </row>
    <row r="243" spans="1:8" x14ac:dyDescent="0.3">
      <c r="A243" s="2">
        <v>74124</v>
      </c>
      <c r="B243" s="4" t="s">
        <v>527</v>
      </c>
      <c r="C243" s="3" t="s">
        <v>272</v>
      </c>
      <c r="D243" s="270">
        <v>55</v>
      </c>
      <c r="E243" s="270">
        <v>19</v>
      </c>
      <c r="F243" s="271" t="s">
        <v>264</v>
      </c>
      <c r="G243" s="272">
        <v>44104.394143518519</v>
      </c>
      <c r="H243" s="2">
        <v>140028</v>
      </c>
    </row>
    <row r="244" spans="1:8" x14ac:dyDescent="0.3">
      <c r="A244" s="2">
        <v>74491</v>
      </c>
      <c r="B244" s="4" t="s">
        <v>528</v>
      </c>
      <c r="C244" s="3" t="s">
        <v>436</v>
      </c>
      <c r="D244" s="270">
        <v>78</v>
      </c>
      <c r="E244" s="270">
        <v>2</v>
      </c>
      <c r="F244" s="271"/>
      <c r="G244" s="272"/>
      <c r="H244" s="2"/>
    </row>
    <row r="245" spans="1:8" x14ac:dyDescent="0.3">
      <c r="A245" s="2">
        <v>74492</v>
      </c>
      <c r="B245" s="4" t="s">
        <v>529</v>
      </c>
      <c r="C245" s="3" t="s">
        <v>436</v>
      </c>
      <c r="D245" s="270">
        <v>78</v>
      </c>
      <c r="E245" s="270">
        <v>2</v>
      </c>
      <c r="F245" s="271"/>
      <c r="G245" s="272"/>
      <c r="H245" s="2"/>
    </row>
    <row r="246" spans="1:8" x14ac:dyDescent="0.3">
      <c r="A246" s="2">
        <v>75027</v>
      </c>
      <c r="B246" s="4" t="s">
        <v>530</v>
      </c>
      <c r="C246" s="3" t="s">
        <v>267</v>
      </c>
      <c r="D246" s="270">
        <v>65</v>
      </c>
      <c r="E246" s="270">
        <v>26</v>
      </c>
      <c r="F246" s="271"/>
      <c r="G246" s="272"/>
      <c r="H246" s="2"/>
    </row>
    <row r="247" spans="1:8" x14ac:dyDescent="0.3">
      <c r="A247" s="2">
        <v>75915</v>
      </c>
      <c r="B247" s="4" t="s">
        <v>531</v>
      </c>
      <c r="C247" s="3" t="s">
        <v>263</v>
      </c>
      <c r="D247" s="270">
        <v>51</v>
      </c>
      <c r="E247" s="270">
        <v>37</v>
      </c>
      <c r="F247" s="271"/>
      <c r="G247" s="272"/>
      <c r="H247" s="2"/>
    </row>
    <row r="248" spans="1:8" x14ac:dyDescent="0.3">
      <c r="A248" s="2">
        <v>76217</v>
      </c>
      <c r="B248" s="4" t="s">
        <v>532</v>
      </c>
      <c r="C248" s="3" t="s">
        <v>320</v>
      </c>
      <c r="D248" s="270">
        <v>69</v>
      </c>
      <c r="E248" s="270">
        <v>1</v>
      </c>
      <c r="F248" s="271" t="s">
        <v>270</v>
      </c>
      <c r="G248" s="272">
        <v>43685.445659722223</v>
      </c>
      <c r="H248" s="2"/>
    </row>
    <row r="249" spans="1:8" x14ac:dyDescent="0.3">
      <c r="A249" s="2">
        <v>76776</v>
      </c>
      <c r="B249" s="4" t="s">
        <v>533</v>
      </c>
      <c r="C249" s="3" t="s">
        <v>272</v>
      </c>
      <c r="D249" s="270">
        <v>55</v>
      </c>
      <c r="E249" s="270">
        <v>19</v>
      </c>
      <c r="F249" s="271" t="s">
        <v>264</v>
      </c>
      <c r="G249" s="272">
        <v>44104.394143518519</v>
      </c>
      <c r="H249" s="2">
        <v>140033</v>
      </c>
    </row>
    <row r="250" spans="1:8" x14ac:dyDescent="0.3">
      <c r="A250" s="2">
        <v>76777</v>
      </c>
      <c r="B250" s="4" t="s">
        <v>534</v>
      </c>
      <c r="C250" s="3" t="s">
        <v>272</v>
      </c>
      <c r="D250" s="270">
        <v>55</v>
      </c>
      <c r="E250" s="270">
        <v>19</v>
      </c>
      <c r="F250" s="271" t="s">
        <v>264</v>
      </c>
      <c r="G250" s="272">
        <v>44104.394143518519</v>
      </c>
      <c r="H250" s="2">
        <v>140042</v>
      </c>
    </row>
    <row r="251" spans="1:8" x14ac:dyDescent="0.3">
      <c r="A251" s="2">
        <v>76780</v>
      </c>
      <c r="B251" s="4" t="s">
        <v>535</v>
      </c>
      <c r="C251" s="3" t="s">
        <v>272</v>
      </c>
      <c r="D251" s="270">
        <v>55</v>
      </c>
      <c r="E251" s="270">
        <v>19</v>
      </c>
      <c r="F251" s="271" t="s">
        <v>264</v>
      </c>
      <c r="G251" s="272">
        <v>44104.394143518519</v>
      </c>
      <c r="H251" s="2">
        <v>140035</v>
      </c>
    </row>
    <row r="252" spans="1:8" x14ac:dyDescent="0.3">
      <c r="A252" s="2">
        <v>76781</v>
      </c>
      <c r="B252" s="4" t="s">
        <v>536</v>
      </c>
      <c r="C252" s="3" t="s">
        <v>272</v>
      </c>
      <c r="D252" s="270">
        <v>55</v>
      </c>
      <c r="E252" s="270">
        <v>19</v>
      </c>
      <c r="F252" s="271" t="s">
        <v>264</v>
      </c>
      <c r="G252" s="272">
        <v>44104.394143518519</v>
      </c>
      <c r="H252" s="2">
        <v>140043</v>
      </c>
    </row>
    <row r="253" spans="1:8" x14ac:dyDescent="0.3">
      <c r="A253" s="2">
        <v>77380</v>
      </c>
      <c r="B253" s="4" t="s">
        <v>537</v>
      </c>
      <c r="C253" s="3" t="s">
        <v>263</v>
      </c>
      <c r="D253" s="270">
        <v>72</v>
      </c>
      <c r="E253" s="270">
        <v>6</v>
      </c>
      <c r="F253" s="271" t="s">
        <v>264</v>
      </c>
      <c r="G253" s="272">
        <v>44267.707777777781</v>
      </c>
      <c r="H253" s="2"/>
    </row>
    <row r="254" spans="1:8" x14ac:dyDescent="0.3">
      <c r="A254" s="2">
        <v>77553</v>
      </c>
      <c r="B254" s="4" t="s">
        <v>538</v>
      </c>
      <c r="C254" s="3" t="s">
        <v>263</v>
      </c>
      <c r="D254" s="270">
        <v>74</v>
      </c>
      <c r="E254" s="270">
        <v>3</v>
      </c>
      <c r="F254" s="271"/>
      <c r="G254" s="272"/>
      <c r="H254" s="2"/>
    </row>
    <row r="255" spans="1:8" x14ac:dyDescent="0.3">
      <c r="A255" s="2">
        <v>77555</v>
      </c>
      <c r="B255" s="4" t="s">
        <v>539</v>
      </c>
      <c r="C255" s="3" t="s">
        <v>263</v>
      </c>
      <c r="D255" s="270">
        <v>74</v>
      </c>
      <c r="E255" s="270">
        <v>3</v>
      </c>
      <c r="F255" s="271"/>
      <c r="G255" s="272"/>
      <c r="H255" s="2"/>
    </row>
    <row r="256" spans="1:8" x14ac:dyDescent="0.3">
      <c r="A256" s="2">
        <v>77822</v>
      </c>
      <c r="B256" s="4" t="s">
        <v>540</v>
      </c>
      <c r="C256" s="3" t="s">
        <v>263</v>
      </c>
      <c r="D256" s="270">
        <v>72</v>
      </c>
      <c r="E256" s="270">
        <v>5</v>
      </c>
      <c r="F256" s="271" t="s">
        <v>261</v>
      </c>
      <c r="G256" s="272">
        <v>44873.378078703703</v>
      </c>
      <c r="H256" s="2"/>
    </row>
    <row r="257" spans="1:8" x14ac:dyDescent="0.3">
      <c r="A257" s="2">
        <v>77992</v>
      </c>
      <c r="B257" s="4" t="s">
        <v>541</v>
      </c>
      <c r="C257" s="3" t="s">
        <v>267</v>
      </c>
      <c r="D257" s="270">
        <v>52</v>
      </c>
      <c r="E257" s="270">
        <v>15</v>
      </c>
      <c r="F257" s="271" t="s">
        <v>264</v>
      </c>
      <c r="G257" s="272">
        <v>43649.450671296298</v>
      </c>
      <c r="H257" s="2"/>
    </row>
    <row r="258" spans="1:8" x14ac:dyDescent="0.3">
      <c r="A258" s="2">
        <v>78025</v>
      </c>
      <c r="B258" s="4" t="s">
        <v>542</v>
      </c>
      <c r="C258" s="3" t="s">
        <v>263</v>
      </c>
      <c r="D258" s="270">
        <v>72</v>
      </c>
      <c r="E258" s="270">
        <v>6</v>
      </c>
      <c r="F258" s="271" t="s">
        <v>270</v>
      </c>
      <c r="G258" s="272" t="s">
        <v>543</v>
      </c>
      <c r="H258" s="2">
        <v>74081</v>
      </c>
    </row>
    <row r="259" spans="1:8" x14ac:dyDescent="0.3">
      <c r="A259" s="2">
        <v>78027</v>
      </c>
      <c r="B259" s="4" t="s">
        <v>544</v>
      </c>
      <c r="C259" s="3" t="s">
        <v>263</v>
      </c>
      <c r="D259" s="270">
        <v>52</v>
      </c>
      <c r="E259" s="270">
        <v>13</v>
      </c>
      <c r="F259" s="271"/>
      <c r="G259" s="272"/>
      <c r="H259" s="2"/>
    </row>
    <row r="260" spans="1:8" x14ac:dyDescent="0.3">
      <c r="A260" s="2">
        <v>78043</v>
      </c>
      <c r="B260" s="4" t="s">
        <v>545</v>
      </c>
      <c r="C260" s="3" t="s">
        <v>263</v>
      </c>
      <c r="D260" s="270">
        <v>45</v>
      </c>
      <c r="E260" s="270">
        <v>12</v>
      </c>
      <c r="F260" s="271"/>
      <c r="G260" s="272"/>
      <c r="H260" s="2"/>
    </row>
    <row r="261" spans="1:8" x14ac:dyDescent="0.3">
      <c r="A261" s="2">
        <v>78304</v>
      </c>
      <c r="B261" s="4" t="s">
        <v>546</v>
      </c>
      <c r="C261" s="3" t="s">
        <v>263</v>
      </c>
      <c r="D261" s="270">
        <v>51</v>
      </c>
      <c r="E261" s="270">
        <v>36</v>
      </c>
      <c r="F261" s="271"/>
      <c r="G261" s="272"/>
      <c r="H261" s="2"/>
    </row>
    <row r="262" spans="1:8" x14ac:dyDescent="0.3">
      <c r="A262" s="2">
        <v>78398</v>
      </c>
      <c r="B262" s="4" t="s">
        <v>547</v>
      </c>
      <c r="C262" s="3" t="s">
        <v>263</v>
      </c>
      <c r="D262" s="270">
        <v>54</v>
      </c>
      <c r="E262" s="270">
        <v>9</v>
      </c>
      <c r="F262" s="271" t="s">
        <v>270</v>
      </c>
      <c r="G262" s="272">
        <v>43875.379710648151</v>
      </c>
      <c r="H262" s="2"/>
    </row>
    <row r="263" spans="1:8" x14ac:dyDescent="0.3">
      <c r="A263" s="2">
        <v>79118</v>
      </c>
      <c r="B263" s="4" t="s">
        <v>548</v>
      </c>
      <c r="C263" s="3" t="s">
        <v>263</v>
      </c>
      <c r="D263" s="270">
        <v>52</v>
      </c>
      <c r="E263" s="270">
        <v>13</v>
      </c>
      <c r="F263" s="271"/>
      <c r="G263" s="272"/>
      <c r="H263" s="2"/>
    </row>
    <row r="264" spans="1:8" x14ac:dyDescent="0.3">
      <c r="A264" s="2">
        <v>79635</v>
      </c>
      <c r="B264" s="4" t="s">
        <v>549</v>
      </c>
      <c r="C264" s="3" t="s">
        <v>263</v>
      </c>
      <c r="D264" s="270">
        <v>55</v>
      </c>
      <c r="E264" s="270">
        <v>57</v>
      </c>
      <c r="F264" s="271" t="s">
        <v>270</v>
      </c>
      <c r="G264" s="272" t="s">
        <v>340</v>
      </c>
      <c r="H264" s="2"/>
    </row>
    <row r="265" spans="1:8" x14ac:dyDescent="0.3">
      <c r="A265" s="2">
        <v>80297</v>
      </c>
      <c r="B265" s="4" t="s">
        <v>550</v>
      </c>
      <c r="C265" s="3" t="s">
        <v>263</v>
      </c>
      <c r="D265" s="270">
        <v>51</v>
      </c>
      <c r="E265" s="270">
        <v>30</v>
      </c>
      <c r="F265" s="271"/>
      <c r="G265" s="272"/>
      <c r="H265" s="2"/>
    </row>
    <row r="266" spans="1:8" x14ac:dyDescent="0.3">
      <c r="A266" s="2">
        <v>80349</v>
      </c>
      <c r="B266" s="4" t="s">
        <v>551</v>
      </c>
      <c r="C266" s="3" t="s">
        <v>263</v>
      </c>
      <c r="D266" s="270">
        <v>84</v>
      </c>
      <c r="E266" s="270">
        <v>1</v>
      </c>
      <c r="F266" s="271"/>
      <c r="G266" s="272"/>
      <c r="H266" s="2"/>
    </row>
    <row r="267" spans="1:8" x14ac:dyDescent="0.3">
      <c r="A267" s="2">
        <v>80384</v>
      </c>
      <c r="B267" s="4" t="s">
        <v>552</v>
      </c>
      <c r="C267" s="3"/>
      <c r="D267" s="270"/>
      <c r="E267" s="270"/>
      <c r="F267" s="271"/>
      <c r="G267" s="272"/>
      <c r="H267" s="2"/>
    </row>
    <row r="268" spans="1:8" x14ac:dyDescent="0.3">
      <c r="A268" s="2">
        <v>80388</v>
      </c>
      <c r="B268" s="4" t="s">
        <v>553</v>
      </c>
      <c r="C268" s="3" t="s">
        <v>436</v>
      </c>
      <c r="D268" s="270">
        <v>78</v>
      </c>
      <c r="E268" s="270">
        <v>2</v>
      </c>
      <c r="F268" s="271"/>
      <c r="G268" s="272"/>
      <c r="H268" s="2"/>
    </row>
    <row r="269" spans="1:8" x14ac:dyDescent="0.3">
      <c r="A269" s="2">
        <v>80391</v>
      </c>
      <c r="B269" s="4" t="s">
        <v>554</v>
      </c>
      <c r="C269" s="3" t="s">
        <v>263</v>
      </c>
      <c r="D269" s="270">
        <v>61</v>
      </c>
      <c r="E269" s="270">
        <v>11</v>
      </c>
      <c r="F269" s="271"/>
      <c r="G269" s="272"/>
      <c r="H269" s="2"/>
    </row>
    <row r="270" spans="1:8" x14ac:dyDescent="0.3">
      <c r="A270" s="2">
        <v>80575</v>
      </c>
      <c r="B270" s="4" t="s">
        <v>555</v>
      </c>
      <c r="C270" s="3" t="s">
        <v>263</v>
      </c>
      <c r="D270" s="270">
        <v>52</v>
      </c>
      <c r="E270" s="270">
        <v>10</v>
      </c>
      <c r="F270" s="271"/>
      <c r="G270" s="272"/>
      <c r="H270" s="2"/>
    </row>
    <row r="271" spans="1:8" x14ac:dyDescent="0.3">
      <c r="A271" s="2">
        <v>80650</v>
      </c>
      <c r="B271" s="4" t="s">
        <v>556</v>
      </c>
      <c r="C271" s="3" t="s">
        <v>263</v>
      </c>
      <c r="D271" s="270">
        <v>55</v>
      </c>
      <c r="E271" s="270">
        <v>46</v>
      </c>
      <c r="F271" s="271" t="s">
        <v>270</v>
      </c>
      <c r="G271" s="272" t="s">
        <v>557</v>
      </c>
      <c r="H271" s="2"/>
    </row>
    <row r="272" spans="1:8" x14ac:dyDescent="0.3">
      <c r="A272" s="2">
        <v>80749</v>
      </c>
      <c r="B272" s="4" t="s">
        <v>558</v>
      </c>
      <c r="C272" s="3" t="s">
        <v>263</v>
      </c>
      <c r="D272" s="270">
        <v>55</v>
      </c>
      <c r="E272" s="270">
        <v>37</v>
      </c>
      <c r="F272" s="271"/>
      <c r="G272" s="272"/>
      <c r="H272" s="2"/>
    </row>
    <row r="273" spans="1:8" x14ac:dyDescent="0.3">
      <c r="A273" s="2">
        <v>81509</v>
      </c>
      <c r="B273" s="4" t="s">
        <v>559</v>
      </c>
      <c r="C273" s="3" t="s">
        <v>560</v>
      </c>
      <c r="D273" s="270">
        <v>51</v>
      </c>
      <c r="E273" s="270">
        <v>21</v>
      </c>
      <c r="F273" s="271"/>
      <c r="G273" s="272"/>
      <c r="H273" s="2"/>
    </row>
    <row r="274" spans="1:8" x14ac:dyDescent="0.3">
      <c r="A274" s="2">
        <v>81566</v>
      </c>
      <c r="B274" s="4" t="s">
        <v>561</v>
      </c>
      <c r="C274" s="3" t="s">
        <v>473</v>
      </c>
      <c r="D274" s="270">
        <v>61</v>
      </c>
      <c r="E274" s="270">
        <v>15</v>
      </c>
      <c r="F274" s="271" t="s">
        <v>261</v>
      </c>
      <c r="G274" s="272">
        <v>44433.653020833335</v>
      </c>
      <c r="H274" s="2">
        <v>115805</v>
      </c>
    </row>
    <row r="275" spans="1:8" x14ac:dyDescent="0.3">
      <c r="A275" s="2">
        <v>82732</v>
      </c>
      <c r="B275" s="4" t="s">
        <v>562</v>
      </c>
      <c r="C275" s="3" t="s">
        <v>263</v>
      </c>
      <c r="D275" s="270">
        <v>55</v>
      </c>
      <c r="E275" s="270">
        <v>54</v>
      </c>
      <c r="F275" s="271" t="s">
        <v>270</v>
      </c>
      <c r="G275" s="272">
        <v>43901.63380787037</v>
      </c>
      <c r="H275" s="2"/>
    </row>
    <row r="276" spans="1:8" x14ac:dyDescent="0.3">
      <c r="A276" s="2">
        <v>82829</v>
      </c>
      <c r="B276" s="4" t="s">
        <v>563</v>
      </c>
      <c r="C276" s="3" t="s">
        <v>263</v>
      </c>
      <c r="D276" s="270">
        <v>52</v>
      </c>
      <c r="E276" s="270">
        <v>13</v>
      </c>
      <c r="F276" s="271"/>
      <c r="G276" s="272"/>
      <c r="H276" s="2"/>
    </row>
    <row r="277" spans="1:8" x14ac:dyDescent="0.3">
      <c r="A277" s="2">
        <v>82916</v>
      </c>
      <c r="B277" s="4" t="s">
        <v>564</v>
      </c>
      <c r="C277" s="3" t="s">
        <v>290</v>
      </c>
      <c r="D277" s="270">
        <v>76</v>
      </c>
      <c r="E277" s="270">
        <v>6</v>
      </c>
      <c r="F277" s="271" t="s">
        <v>270</v>
      </c>
      <c r="G277" s="272" t="s">
        <v>479</v>
      </c>
      <c r="H277" s="2"/>
    </row>
    <row r="278" spans="1:8" x14ac:dyDescent="0.3">
      <c r="A278" s="2">
        <v>83788</v>
      </c>
      <c r="B278" s="4" t="s">
        <v>565</v>
      </c>
      <c r="C278" s="3" t="s">
        <v>263</v>
      </c>
      <c r="D278" s="270">
        <v>55</v>
      </c>
      <c r="E278" s="270">
        <v>32</v>
      </c>
      <c r="F278" s="271"/>
      <c r="G278" s="272"/>
      <c r="H278" s="2"/>
    </row>
    <row r="279" spans="1:8" x14ac:dyDescent="0.3">
      <c r="A279" s="2">
        <v>85798</v>
      </c>
      <c r="B279" s="4" t="s">
        <v>566</v>
      </c>
      <c r="C279" s="3" t="s">
        <v>263</v>
      </c>
      <c r="D279" s="270">
        <v>83</v>
      </c>
      <c r="E279" s="270">
        <v>4</v>
      </c>
      <c r="F279" s="271" t="s">
        <v>270</v>
      </c>
      <c r="G279" s="272">
        <v>43998.568171296298</v>
      </c>
      <c r="H279" s="2">
        <v>139545</v>
      </c>
    </row>
    <row r="280" spans="1:8" x14ac:dyDescent="0.3">
      <c r="A280" s="2">
        <v>86030</v>
      </c>
      <c r="B280" s="4" t="s">
        <v>567</v>
      </c>
      <c r="C280" s="3" t="s">
        <v>263</v>
      </c>
      <c r="D280" s="270">
        <v>55</v>
      </c>
      <c r="E280" s="270">
        <v>49</v>
      </c>
      <c r="F280" s="271" t="s">
        <v>270</v>
      </c>
      <c r="G280" s="272">
        <v>43900.625949074078</v>
      </c>
      <c r="H280" s="2"/>
    </row>
    <row r="281" spans="1:8" x14ac:dyDescent="0.3">
      <c r="A281" s="2">
        <v>86118</v>
      </c>
      <c r="B281" s="4" t="s">
        <v>568</v>
      </c>
      <c r="C281" s="3" t="s">
        <v>263</v>
      </c>
      <c r="D281" s="270">
        <v>55</v>
      </c>
      <c r="E281" s="270">
        <v>55</v>
      </c>
      <c r="F281" s="271" t="s">
        <v>270</v>
      </c>
      <c r="G281" s="272">
        <v>43901.635428240741</v>
      </c>
      <c r="H281" s="2"/>
    </row>
    <row r="282" spans="1:8" x14ac:dyDescent="0.3">
      <c r="A282" s="2">
        <v>86891</v>
      </c>
      <c r="B282" s="4" t="s">
        <v>569</v>
      </c>
      <c r="C282" s="3" t="s">
        <v>263</v>
      </c>
      <c r="D282" s="270">
        <v>78</v>
      </c>
      <c r="E282" s="270">
        <v>2</v>
      </c>
      <c r="F282" s="271"/>
      <c r="G282" s="272"/>
      <c r="H282" s="2"/>
    </row>
    <row r="283" spans="1:8" x14ac:dyDescent="0.3">
      <c r="A283" s="2">
        <v>87157</v>
      </c>
      <c r="B283" s="4" t="s">
        <v>570</v>
      </c>
      <c r="C283" s="3" t="s">
        <v>560</v>
      </c>
      <c r="D283" s="270">
        <v>51</v>
      </c>
      <c r="E283" s="270">
        <v>19</v>
      </c>
      <c r="F283" s="271"/>
      <c r="G283" s="272"/>
      <c r="H283" s="2"/>
    </row>
    <row r="284" spans="1:8" x14ac:dyDescent="0.3">
      <c r="A284" s="2">
        <v>87160</v>
      </c>
      <c r="B284" s="4" t="s">
        <v>571</v>
      </c>
      <c r="C284" s="3" t="s">
        <v>560</v>
      </c>
      <c r="D284" s="270">
        <v>51</v>
      </c>
      <c r="E284" s="270">
        <v>19</v>
      </c>
      <c r="F284" s="271"/>
      <c r="G284" s="272"/>
      <c r="H284" s="2"/>
    </row>
    <row r="285" spans="1:8" x14ac:dyDescent="0.3">
      <c r="A285" s="2">
        <v>87465</v>
      </c>
      <c r="B285" s="4" t="s">
        <v>572</v>
      </c>
      <c r="C285" s="3" t="s">
        <v>31</v>
      </c>
      <c r="D285" s="270">
        <v>72</v>
      </c>
      <c r="E285" s="270">
        <v>7</v>
      </c>
      <c r="F285" s="271" t="s">
        <v>261</v>
      </c>
      <c r="G285" s="272">
        <v>44432.669953703706</v>
      </c>
      <c r="H285" s="2"/>
    </row>
    <row r="286" spans="1:8" x14ac:dyDescent="0.3">
      <c r="A286" s="2">
        <v>88083</v>
      </c>
      <c r="B286" s="4" t="s">
        <v>573</v>
      </c>
      <c r="C286" s="3" t="s">
        <v>263</v>
      </c>
      <c r="D286" s="270">
        <v>84</v>
      </c>
      <c r="E286" s="270">
        <v>1</v>
      </c>
      <c r="F286" s="271"/>
      <c r="G286" s="272"/>
      <c r="H286" s="2"/>
    </row>
    <row r="287" spans="1:8" x14ac:dyDescent="0.3">
      <c r="A287" s="2">
        <v>88084</v>
      </c>
      <c r="B287" s="4" t="s">
        <v>574</v>
      </c>
      <c r="C287" s="3" t="s">
        <v>263</v>
      </c>
      <c r="D287" s="270">
        <v>84</v>
      </c>
      <c r="E287" s="270">
        <v>2</v>
      </c>
      <c r="F287" s="271"/>
      <c r="G287" s="272"/>
      <c r="H287" s="2"/>
    </row>
    <row r="288" spans="1:8" x14ac:dyDescent="0.3">
      <c r="A288" s="2">
        <v>88718</v>
      </c>
      <c r="B288" s="4" t="s">
        <v>575</v>
      </c>
      <c r="C288" s="3" t="s">
        <v>263</v>
      </c>
      <c r="D288" s="270">
        <v>55</v>
      </c>
      <c r="E288" s="270">
        <v>26</v>
      </c>
      <c r="F288" s="271" t="s">
        <v>264</v>
      </c>
      <c r="G288" s="272">
        <v>44146.427777777775</v>
      </c>
      <c r="H288" s="2"/>
    </row>
    <row r="289" spans="1:8" x14ac:dyDescent="0.3">
      <c r="A289" s="2">
        <v>88719</v>
      </c>
      <c r="B289" s="4" t="s">
        <v>576</v>
      </c>
      <c r="C289" s="3" t="s">
        <v>263</v>
      </c>
      <c r="D289" s="270">
        <v>55</v>
      </c>
      <c r="E289" s="270">
        <v>26</v>
      </c>
      <c r="F289" s="271" t="s">
        <v>264</v>
      </c>
      <c r="G289" s="272">
        <v>44146.427777777775</v>
      </c>
      <c r="H289" s="2"/>
    </row>
    <row r="290" spans="1:8" x14ac:dyDescent="0.3">
      <c r="A290" s="2">
        <v>88741</v>
      </c>
      <c r="B290" s="4" t="s">
        <v>577</v>
      </c>
      <c r="C290" s="3" t="s">
        <v>263</v>
      </c>
      <c r="D290" s="270">
        <v>55</v>
      </c>
      <c r="E290" s="270">
        <v>26</v>
      </c>
      <c r="F290" s="271"/>
      <c r="G290" s="272"/>
      <c r="H290" s="2"/>
    </row>
    <row r="291" spans="1:8" x14ac:dyDescent="0.3">
      <c r="A291" s="2">
        <v>88742</v>
      </c>
      <c r="B291" s="4" t="s">
        <v>578</v>
      </c>
      <c r="C291" s="3" t="s">
        <v>263</v>
      </c>
      <c r="D291" s="270">
        <v>55</v>
      </c>
      <c r="E291" s="270">
        <v>26</v>
      </c>
      <c r="F291" s="271"/>
      <c r="G291" s="272"/>
      <c r="H291" s="2"/>
    </row>
    <row r="292" spans="1:8" x14ac:dyDescent="0.3">
      <c r="A292" s="2">
        <v>88989</v>
      </c>
      <c r="B292" s="4" t="s">
        <v>579</v>
      </c>
      <c r="C292" s="3" t="s">
        <v>436</v>
      </c>
      <c r="D292" s="270">
        <v>54</v>
      </c>
      <c r="E292" s="270">
        <v>4</v>
      </c>
      <c r="F292" s="271" t="s">
        <v>270</v>
      </c>
      <c r="G292" s="272">
        <v>43713.472581018519</v>
      </c>
      <c r="H292" s="2"/>
    </row>
    <row r="293" spans="1:8" x14ac:dyDescent="0.3">
      <c r="A293" s="2">
        <v>88992</v>
      </c>
      <c r="B293" s="4" t="s">
        <v>580</v>
      </c>
      <c r="C293" s="3" t="s">
        <v>436</v>
      </c>
      <c r="D293" s="270">
        <v>54</v>
      </c>
      <c r="E293" s="270">
        <v>4</v>
      </c>
      <c r="F293" s="271" t="s">
        <v>270</v>
      </c>
      <c r="G293" s="272">
        <v>43713.472581018519</v>
      </c>
      <c r="H293" s="2"/>
    </row>
    <row r="294" spans="1:8" x14ac:dyDescent="0.3">
      <c r="A294" s="2">
        <v>88993</v>
      </c>
      <c r="B294" s="4" t="s">
        <v>581</v>
      </c>
      <c r="C294" s="3" t="s">
        <v>436</v>
      </c>
      <c r="D294" s="270">
        <v>54</v>
      </c>
      <c r="E294" s="270">
        <v>4</v>
      </c>
      <c r="F294" s="271" t="s">
        <v>270</v>
      </c>
      <c r="G294" s="272">
        <v>43713.472581018519</v>
      </c>
      <c r="H294" s="2"/>
    </row>
    <row r="295" spans="1:8" x14ac:dyDescent="0.3">
      <c r="A295" s="2">
        <v>89818</v>
      </c>
      <c r="B295" s="4" t="s">
        <v>582</v>
      </c>
      <c r="C295" s="3" t="s">
        <v>436</v>
      </c>
      <c r="D295" s="270">
        <v>54</v>
      </c>
      <c r="E295" s="270">
        <v>4</v>
      </c>
      <c r="F295" s="271"/>
      <c r="G295" s="272"/>
      <c r="H295" s="2"/>
    </row>
    <row r="296" spans="1:8" x14ac:dyDescent="0.3">
      <c r="A296" s="2">
        <v>89855</v>
      </c>
      <c r="B296" s="4" t="s">
        <v>583</v>
      </c>
      <c r="C296" s="3" t="s">
        <v>263</v>
      </c>
      <c r="D296" s="270">
        <v>83</v>
      </c>
      <c r="E296" s="270">
        <v>3</v>
      </c>
      <c r="F296" s="271" t="s">
        <v>270</v>
      </c>
      <c r="G296" s="272">
        <v>43875.457060185188</v>
      </c>
      <c r="H296" s="2"/>
    </row>
    <row r="297" spans="1:8" x14ac:dyDescent="0.3">
      <c r="A297" s="2">
        <v>89860</v>
      </c>
      <c r="B297" s="4" t="s">
        <v>584</v>
      </c>
      <c r="C297" s="3" t="s">
        <v>263</v>
      </c>
      <c r="D297" s="270">
        <v>83</v>
      </c>
      <c r="E297" s="270">
        <v>3</v>
      </c>
      <c r="F297" s="271"/>
      <c r="G297" s="272"/>
      <c r="H297" s="2"/>
    </row>
    <row r="298" spans="1:8" x14ac:dyDescent="0.3">
      <c r="A298" s="2">
        <v>89866</v>
      </c>
      <c r="B298" s="4" t="s">
        <v>585</v>
      </c>
      <c r="C298" s="3" t="s">
        <v>269</v>
      </c>
      <c r="D298" s="270">
        <v>67</v>
      </c>
      <c r="E298" s="270">
        <v>3</v>
      </c>
      <c r="F298" s="271"/>
      <c r="G298" s="272"/>
      <c r="H298" s="2"/>
    </row>
    <row r="299" spans="1:8" x14ac:dyDescent="0.3">
      <c r="A299" s="2">
        <v>90232</v>
      </c>
      <c r="B299" s="4" t="s">
        <v>586</v>
      </c>
      <c r="C299" s="3" t="s">
        <v>287</v>
      </c>
      <c r="D299" s="270">
        <v>76</v>
      </c>
      <c r="E299" s="270">
        <v>10</v>
      </c>
      <c r="F299" s="271"/>
      <c r="G299" s="272"/>
      <c r="H299" s="2"/>
    </row>
    <row r="300" spans="1:8" x14ac:dyDescent="0.3">
      <c r="A300" s="2">
        <v>90469</v>
      </c>
      <c r="B300" s="4" t="s">
        <v>587</v>
      </c>
      <c r="C300" s="3" t="s">
        <v>301</v>
      </c>
      <c r="D300" s="270">
        <v>76</v>
      </c>
      <c r="E300" s="270">
        <v>3</v>
      </c>
      <c r="F300" s="271"/>
      <c r="G300" s="272"/>
      <c r="H300" s="2">
        <v>136040</v>
      </c>
    </row>
    <row r="301" spans="1:8" x14ac:dyDescent="0.3">
      <c r="A301" s="2">
        <v>90470</v>
      </c>
      <c r="B301" s="4" t="s">
        <v>588</v>
      </c>
      <c r="C301" s="3" t="s">
        <v>301</v>
      </c>
      <c r="D301" s="270">
        <v>76</v>
      </c>
      <c r="E301" s="270">
        <v>3</v>
      </c>
      <c r="F301" s="271"/>
      <c r="G301" s="272"/>
      <c r="H301" s="2"/>
    </row>
    <row r="302" spans="1:8" x14ac:dyDescent="0.3">
      <c r="A302" s="2">
        <v>90500</v>
      </c>
      <c r="B302" s="4" t="s">
        <v>589</v>
      </c>
      <c r="C302" s="3" t="s">
        <v>272</v>
      </c>
      <c r="D302" s="270">
        <v>55</v>
      </c>
      <c r="E302" s="270">
        <v>19</v>
      </c>
      <c r="F302" s="271" t="s">
        <v>264</v>
      </c>
      <c r="G302" s="272">
        <v>43648.569641203707</v>
      </c>
      <c r="H302" s="2">
        <v>136910</v>
      </c>
    </row>
    <row r="303" spans="1:8" x14ac:dyDescent="0.3">
      <c r="A303" s="2">
        <v>90502</v>
      </c>
      <c r="B303" s="4" t="s">
        <v>590</v>
      </c>
      <c r="C303" s="3" t="s">
        <v>272</v>
      </c>
      <c r="D303" s="270">
        <v>55</v>
      </c>
      <c r="E303" s="270">
        <v>19</v>
      </c>
      <c r="F303" s="271" t="s">
        <v>264</v>
      </c>
      <c r="G303" s="272">
        <v>43648.569641203707</v>
      </c>
      <c r="H303" s="2">
        <v>136911</v>
      </c>
    </row>
    <row r="304" spans="1:8" x14ac:dyDescent="0.3">
      <c r="A304" s="2">
        <v>90827</v>
      </c>
      <c r="B304" s="4" t="s">
        <v>591</v>
      </c>
      <c r="C304" s="3" t="s">
        <v>301</v>
      </c>
      <c r="D304" s="270">
        <v>51</v>
      </c>
      <c r="E304" s="270">
        <v>3</v>
      </c>
      <c r="F304" s="271"/>
      <c r="G304" s="272"/>
      <c r="H304" s="2"/>
    </row>
    <row r="305" spans="1:8" x14ac:dyDescent="0.3">
      <c r="A305" s="2">
        <v>90884</v>
      </c>
      <c r="B305" s="4" t="s">
        <v>592</v>
      </c>
      <c r="C305" s="3" t="s">
        <v>287</v>
      </c>
      <c r="D305" s="270">
        <v>76</v>
      </c>
      <c r="E305" s="270">
        <v>10</v>
      </c>
      <c r="F305" s="271"/>
      <c r="G305" s="272"/>
      <c r="H305" s="2"/>
    </row>
    <row r="306" spans="1:8" x14ac:dyDescent="0.3">
      <c r="A306" s="2">
        <v>91811</v>
      </c>
      <c r="B306" s="4" t="s">
        <v>593</v>
      </c>
      <c r="C306" s="3" t="s">
        <v>263</v>
      </c>
      <c r="D306" s="270">
        <v>72</v>
      </c>
      <c r="E306" s="270">
        <v>5</v>
      </c>
      <c r="F306" s="271" t="s">
        <v>261</v>
      </c>
      <c r="G306" s="272">
        <v>44432.669953703706</v>
      </c>
      <c r="H306" s="2"/>
    </row>
    <row r="307" spans="1:8" x14ac:dyDescent="0.3">
      <c r="A307" s="2">
        <v>91868</v>
      </c>
      <c r="B307" s="4" t="s">
        <v>594</v>
      </c>
      <c r="C307" s="3" t="s">
        <v>263</v>
      </c>
      <c r="D307" s="270">
        <v>72</v>
      </c>
      <c r="E307" s="270">
        <v>5</v>
      </c>
      <c r="F307" s="271" t="s">
        <v>261</v>
      </c>
      <c r="G307" s="272">
        <v>44873.378078703703</v>
      </c>
      <c r="H307" s="2"/>
    </row>
    <row r="308" spans="1:8" x14ac:dyDescent="0.3">
      <c r="A308" s="2">
        <v>92111</v>
      </c>
      <c r="B308" s="4" t="s">
        <v>595</v>
      </c>
      <c r="C308" s="3" t="s">
        <v>272</v>
      </c>
      <c r="D308" s="270">
        <v>55</v>
      </c>
      <c r="E308" s="270">
        <v>19</v>
      </c>
      <c r="F308" s="271" t="s">
        <v>264</v>
      </c>
      <c r="G308" s="272">
        <v>44104.394143518519</v>
      </c>
      <c r="H308" s="2">
        <v>140052</v>
      </c>
    </row>
    <row r="309" spans="1:8" x14ac:dyDescent="0.3">
      <c r="A309" s="2">
        <v>92906</v>
      </c>
      <c r="B309" s="4" t="s">
        <v>596</v>
      </c>
      <c r="C309" s="3" t="s">
        <v>267</v>
      </c>
      <c r="D309" s="270">
        <v>57</v>
      </c>
      <c r="E309" s="270">
        <v>17</v>
      </c>
      <c r="F309" s="271" t="s">
        <v>270</v>
      </c>
      <c r="G309" s="272">
        <v>43644.587048611109</v>
      </c>
      <c r="H309" s="2"/>
    </row>
    <row r="310" spans="1:8" x14ac:dyDescent="0.3">
      <c r="A310" s="2">
        <v>93333</v>
      </c>
      <c r="B310" s="4" t="s">
        <v>597</v>
      </c>
      <c r="C310" s="3" t="s">
        <v>380</v>
      </c>
      <c r="D310" s="270">
        <v>57</v>
      </c>
      <c r="E310" s="270">
        <v>2</v>
      </c>
      <c r="F310" s="271"/>
      <c r="G310" s="272"/>
      <c r="H310" s="2"/>
    </row>
    <row r="311" spans="1:8" x14ac:dyDescent="0.3">
      <c r="A311" s="2">
        <v>93344</v>
      </c>
      <c r="B311" s="4" t="s">
        <v>598</v>
      </c>
      <c r="C311" s="3" t="s">
        <v>436</v>
      </c>
      <c r="D311" s="270">
        <v>54</v>
      </c>
      <c r="E311" s="270">
        <v>4</v>
      </c>
      <c r="F311" s="271" t="s">
        <v>270</v>
      </c>
      <c r="G311" s="272">
        <v>43825.339375000003</v>
      </c>
      <c r="H311" s="2"/>
    </row>
    <row r="312" spans="1:8" x14ac:dyDescent="0.3">
      <c r="A312" s="2">
        <v>93346</v>
      </c>
      <c r="B312" s="4" t="s">
        <v>599</v>
      </c>
      <c r="C312" s="3" t="s">
        <v>436</v>
      </c>
      <c r="D312" s="270">
        <v>54</v>
      </c>
      <c r="E312" s="270">
        <v>4</v>
      </c>
      <c r="F312" s="271" t="s">
        <v>270</v>
      </c>
      <c r="G312" s="272">
        <v>43713.466284722221</v>
      </c>
      <c r="H312" s="2">
        <v>137799</v>
      </c>
    </row>
    <row r="313" spans="1:8" x14ac:dyDescent="0.3">
      <c r="A313" s="2">
        <v>94013</v>
      </c>
      <c r="B313" s="4" t="s">
        <v>600</v>
      </c>
      <c r="C313" s="3" t="s">
        <v>263</v>
      </c>
      <c r="D313" s="270">
        <v>54</v>
      </c>
      <c r="E313" s="270">
        <v>19</v>
      </c>
      <c r="F313" s="271" t="s">
        <v>270</v>
      </c>
      <c r="G313" s="272">
        <v>43713.472581018519</v>
      </c>
      <c r="H313" s="2"/>
    </row>
    <row r="314" spans="1:8" x14ac:dyDescent="0.3">
      <c r="A314" s="2">
        <v>94615</v>
      </c>
      <c r="B314" s="4" t="s">
        <v>601</v>
      </c>
      <c r="C314" s="3" t="s">
        <v>263</v>
      </c>
      <c r="D314" s="270">
        <v>62</v>
      </c>
      <c r="E314" s="270">
        <v>4</v>
      </c>
      <c r="F314" s="271" t="s">
        <v>270</v>
      </c>
      <c r="G314" s="272" t="s">
        <v>602</v>
      </c>
      <c r="H314" s="2"/>
    </row>
    <row r="315" spans="1:8" x14ac:dyDescent="0.3">
      <c r="A315" s="2">
        <v>94616</v>
      </c>
      <c r="B315" s="4" t="s">
        <v>603</v>
      </c>
      <c r="C315" s="3" t="s">
        <v>263</v>
      </c>
      <c r="D315" s="270">
        <v>62</v>
      </c>
      <c r="E315" s="270">
        <v>4</v>
      </c>
      <c r="F315" s="271" t="s">
        <v>270</v>
      </c>
      <c r="G315" s="272" t="s">
        <v>602</v>
      </c>
      <c r="H315" s="2"/>
    </row>
    <row r="316" spans="1:8" x14ac:dyDescent="0.3">
      <c r="A316" s="2">
        <v>94617</v>
      </c>
      <c r="B316" s="4" t="s">
        <v>604</v>
      </c>
      <c r="C316" s="3" t="s">
        <v>263</v>
      </c>
      <c r="D316" s="270">
        <v>62</v>
      </c>
      <c r="E316" s="270">
        <v>4</v>
      </c>
      <c r="F316" s="271" t="s">
        <v>270</v>
      </c>
      <c r="G316" s="272" t="s">
        <v>602</v>
      </c>
      <c r="H316" s="2"/>
    </row>
    <row r="317" spans="1:8" x14ac:dyDescent="0.3">
      <c r="A317" s="2">
        <v>94618</v>
      </c>
      <c r="B317" s="4" t="s">
        <v>605</v>
      </c>
      <c r="C317" s="3" t="s">
        <v>263</v>
      </c>
      <c r="D317" s="270">
        <v>62</v>
      </c>
      <c r="E317" s="270">
        <v>4</v>
      </c>
      <c r="F317" s="271"/>
      <c r="G317" s="272"/>
      <c r="H317" s="2"/>
    </row>
    <row r="318" spans="1:8" x14ac:dyDescent="0.3">
      <c r="A318" s="2">
        <v>94627</v>
      </c>
      <c r="B318" s="4" t="s">
        <v>606</v>
      </c>
      <c r="C318" s="3" t="s">
        <v>380</v>
      </c>
      <c r="D318" s="270">
        <v>83</v>
      </c>
      <c r="E318" s="270">
        <v>2</v>
      </c>
      <c r="F318" s="271" t="s">
        <v>270</v>
      </c>
      <c r="G318" s="272">
        <v>43962.459189814814</v>
      </c>
      <c r="H318" s="2"/>
    </row>
    <row r="319" spans="1:8" x14ac:dyDescent="0.3">
      <c r="A319" s="2">
        <v>94787</v>
      </c>
      <c r="B319" s="4" t="s">
        <v>607</v>
      </c>
      <c r="C319" s="3" t="s">
        <v>263</v>
      </c>
      <c r="D319" s="270">
        <v>67</v>
      </c>
      <c r="E319" s="270">
        <v>1</v>
      </c>
      <c r="F319" s="271"/>
      <c r="G319" s="272"/>
      <c r="H319" s="2"/>
    </row>
    <row r="320" spans="1:8" x14ac:dyDescent="0.3">
      <c r="A320" s="2">
        <v>95513</v>
      </c>
      <c r="B320" s="4" t="s">
        <v>608</v>
      </c>
      <c r="C320" s="3" t="s">
        <v>272</v>
      </c>
      <c r="D320" s="270">
        <v>55</v>
      </c>
      <c r="E320" s="270">
        <v>19</v>
      </c>
      <c r="F320" s="271" t="s">
        <v>264</v>
      </c>
      <c r="G320" s="272">
        <v>44104.394143518519</v>
      </c>
      <c r="H320" s="2">
        <v>140057</v>
      </c>
    </row>
    <row r="321" spans="1:8" x14ac:dyDescent="0.3">
      <c r="A321" s="2">
        <v>95970</v>
      </c>
      <c r="B321" s="4" t="s">
        <v>609</v>
      </c>
      <c r="C321" s="3" t="s">
        <v>263</v>
      </c>
      <c r="D321" s="270">
        <v>67</v>
      </c>
      <c r="E321" s="270">
        <v>13</v>
      </c>
      <c r="F321" s="271"/>
      <c r="G321" s="272"/>
      <c r="H321" s="2"/>
    </row>
    <row r="322" spans="1:8" x14ac:dyDescent="0.3">
      <c r="A322" s="2">
        <v>97965</v>
      </c>
      <c r="B322" s="4" t="s">
        <v>610</v>
      </c>
      <c r="C322" s="3" t="s">
        <v>611</v>
      </c>
      <c r="D322" s="270">
        <v>74</v>
      </c>
      <c r="E322" s="270">
        <v>4</v>
      </c>
      <c r="F322" s="271" t="s">
        <v>270</v>
      </c>
      <c r="G322" s="272">
        <v>43875.455000000002</v>
      </c>
      <c r="H322" s="2"/>
    </row>
    <row r="323" spans="1:8" x14ac:dyDescent="0.3">
      <c r="A323" s="2">
        <v>98360</v>
      </c>
      <c r="B323" s="4" t="s">
        <v>612</v>
      </c>
      <c r="C323" s="3" t="s">
        <v>260</v>
      </c>
      <c r="D323" s="270">
        <v>70</v>
      </c>
      <c r="E323" s="270">
        <v>47</v>
      </c>
      <c r="F323" s="271"/>
      <c r="G323" s="272"/>
      <c r="H323" s="2"/>
    </row>
    <row r="324" spans="1:8" x14ac:dyDescent="0.3">
      <c r="A324" s="2">
        <v>98747</v>
      </c>
      <c r="B324" s="4" t="s">
        <v>613</v>
      </c>
      <c r="C324" s="3" t="s">
        <v>436</v>
      </c>
      <c r="D324" s="270">
        <v>54</v>
      </c>
      <c r="E324" s="270">
        <v>19</v>
      </c>
      <c r="F324" s="271" t="s">
        <v>270</v>
      </c>
      <c r="G324" s="272">
        <v>43825.339375000003</v>
      </c>
      <c r="H324" s="2"/>
    </row>
    <row r="325" spans="1:8" x14ac:dyDescent="0.3">
      <c r="A325" s="2">
        <v>98748</v>
      </c>
      <c r="B325" s="4" t="s">
        <v>614</v>
      </c>
      <c r="C325" s="3" t="s">
        <v>436</v>
      </c>
      <c r="D325" s="270">
        <v>54</v>
      </c>
      <c r="E325" s="270">
        <v>19</v>
      </c>
      <c r="F325" s="271" t="s">
        <v>270</v>
      </c>
      <c r="G325" s="272">
        <v>43713.472581018519</v>
      </c>
      <c r="H325" s="2"/>
    </row>
    <row r="326" spans="1:8" x14ac:dyDescent="0.3">
      <c r="A326" s="2">
        <v>98749</v>
      </c>
      <c r="B326" s="4" t="s">
        <v>615</v>
      </c>
      <c r="C326" s="3" t="s">
        <v>436</v>
      </c>
      <c r="D326" s="270">
        <v>54</v>
      </c>
      <c r="E326" s="270">
        <v>19</v>
      </c>
      <c r="F326" s="271" t="s">
        <v>270</v>
      </c>
      <c r="G326" s="272">
        <v>43825.339375000003</v>
      </c>
      <c r="H326" s="2"/>
    </row>
    <row r="327" spans="1:8" x14ac:dyDescent="0.3">
      <c r="A327" s="2">
        <v>98750</v>
      </c>
      <c r="B327" s="4" t="s">
        <v>616</v>
      </c>
      <c r="C327" s="3" t="s">
        <v>436</v>
      </c>
      <c r="D327" s="270">
        <v>54</v>
      </c>
      <c r="E327" s="270">
        <v>19</v>
      </c>
      <c r="F327" s="271" t="s">
        <v>270</v>
      </c>
      <c r="G327" s="272">
        <v>43825.339375000003</v>
      </c>
      <c r="H327" s="2"/>
    </row>
    <row r="328" spans="1:8" x14ac:dyDescent="0.3">
      <c r="A328" s="2">
        <v>98751</v>
      </c>
      <c r="B328" s="4" t="s">
        <v>617</v>
      </c>
      <c r="C328" s="3" t="s">
        <v>436</v>
      </c>
      <c r="D328" s="270">
        <v>54</v>
      </c>
      <c r="E328" s="270">
        <v>19</v>
      </c>
      <c r="F328" s="271" t="s">
        <v>270</v>
      </c>
      <c r="G328" s="272">
        <v>43825.339375000003</v>
      </c>
      <c r="H328" s="2"/>
    </row>
    <row r="329" spans="1:8" x14ac:dyDescent="0.3">
      <c r="A329" s="2">
        <v>98819</v>
      </c>
      <c r="B329" s="4" t="s">
        <v>618</v>
      </c>
      <c r="C329" s="3" t="s">
        <v>263</v>
      </c>
      <c r="D329" s="270">
        <v>51</v>
      </c>
      <c r="E329" s="270">
        <v>49</v>
      </c>
      <c r="F329" s="271"/>
      <c r="G329" s="272"/>
      <c r="H329" s="2"/>
    </row>
    <row r="330" spans="1:8" x14ac:dyDescent="0.3">
      <c r="A330" s="2">
        <v>99790</v>
      </c>
      <c r="B330" s="4" t="s">
        <v>619</v>
      </c>
      <c r="C330" s="3" t="s">
        <v>263</v>
      </c>
      <c r="D330" s="270">
        <v>55</v>
      </c>
      <c r="E330" s="270">
        <v>32</v>
      </c>
      <c r="F330" s="271"/>
      <c r="G330" s="272"/>
      <c r="H330" s="2"/>
    </row>
    <row r="331" spans="1:8" x14ac:dyDescent="0.3">
      <c r="A331" s="2">
        <v>99796</v>
      </c>
      <c r="B331" s="4" t="s">
        <v>620</v>
      </c>
      <c r="C331" s="3" t="s">
        <v>263</v>
      </c>
      <c r="D331" s="270">
        <v>61</v>
      </c>
      <c r="E331" s="270">
        <v>8</v>
      </c>
      <c r="F331" s="271" t="s">
        <v>270</v>
      </c>
      <c r="G331" s="272" t="s">
        <v>621</v>
      </c>
      <c r="H331" s="2"/>
    </row>
    <row r="332" spans="1:8" x14ac:dyDescent="0.3">
      <c r="A332" s="2">
        <v>99810</v>
      </c>
      <c r="B332" s="4" t="s">
        <v>622</v>
      </c>
      <c r="C332" s="3" t="s">
        <v>272</v>
      </c>
      <c r="D332" s="270">
        <v>55</v>
      </c>
      <c r="E332" s="270">
        <v>19</v>
      </c>
      <c r="F332" s="271" t="s">
        <v>264</v>
      </c>
      <c r="G332" s="272">
        <v>44104.394143518519</v>
      </c>
      <c r="H332" s="2">
        <v>140048</v>
      </c>
    </row>
    <row r="333" spans="1:8" x14ac:dyDescent="0.3">
      <c r="A333" s="2">
        <v>100383</v>
      </c>
      <c r="B333" s="4" t="s">
        <v>623</v>
      </c>
      <c r="C333" s="3" t="s">
        <v>260</v>
      </c>
      <c r="D333" s="270">
        <v>80</v>
      </c>
      <c r="E333" s="270">
        <v>7</v>
      </c>
      <c r="F333" s="271" t="s">
        <v>261</v>
      </c>
      <c r="G333" s="272">
        <v>44463.593159722222</v>
      </c>
      <c r="H333" s="2"/>
    </row>
    <row r="334" spans="1:8" x14ac:dyDescent="0.3">
      <c r="A334" s="2">
        <v>101917</v>
      </c>
      <c r="B334" s="4" t="s">
        <v>624</v>
      </c>
      <c r="C334" s="3" t="s">
        <v>272</v>
      </c>
      <c r="D334" s="270">
        <v>55</v>
      </c>
      <c r="E334" s="270">
        <v>19</v>
      </c>
      <c r="F334" s="271" t="s">
        <v>264</v>
      </c>
      <c r="G334" s="272">
        <v>44104.394143518519</v>
      </c>
      <c r="H334" s="2">
        <v>140049</v>
      </c>
    </row>
    <row r="335" spans="1:8" x14ac:dyDescent="0.3">
      <c r="A335" s="2">
        <v>101938</v>
      </c>
      <c r="B335" s="4" t="s">
        <v>625</v>
      </c>
      <c r="C335" s="3" t="s">
        <v>436</v>
      </c>
      <c r="D335" s="270">
        <v>54</v>
      </c>
      <c r="E335" s="270">
        <v>4</v>
      </c>
      <c r="F335" s="271" t="s">
        <v>270</v>
      </c>
      <c r="G335" s="272">
        <v>43713.472581018519</v>
      </c>
      <c r="H335" s="2"/>
    </row>
    <row r="336" spans="1:8" x14ac:dyDescent="0.3">
      <c r="A336" s="2">
        <v>102234</v>
      </c>
      <c r="B336" s="4" t="s">
        <v>626</v>
      </c>
      <c r="C336" s="3" t="s">
        <v>263</v>
      </c>
      <c r="D336" s="270">
        <v>61</v>
      </c>
      <c r="E336" s="270">
        <v>8</v>
      </c>
      <c r="F336" s="271" t="s">
        <v>264</v>
      </c>
      <c r="G336" s="272">
        <v>43682.464849537035</v>
      </c>
      <c r="H336" s="2">
        <v>135304</v>
      </c>
    </row>
    <row r="337" spans="1:8" x14ac:dyDescent="0.3">
      <c r="A337" s="2">
        <v>102443</v>
      </c>
      <c r="B337" s="4" t="s">
        <v>627</v>
      </c>
      <c r="C337" s="3" t="s">
        <v>263</v>
      </c>
      <c r="D337" s="270">
        <v>78</v>
      </c>
      <c r="E337" s="270">
        <v>6</v>
      </c>
      <c r="F337" s="271"/>
      <c r="G337" s="272"/>
      <c r="H337" s="2"/>
    </row>
    <row r="338" spans="1:8" x14ac:dyDescent="0.3">
      <c r="A338" s="2">
        <v>102634</v>
      </c>
      <c r="B338" s="4" t="s">
        <v>628</v>
      </c>
      <c r="C338" s="3" t="s">
        <v>263</v>
      </c>
      <c r="D338" s="270">
        <v>69</v>
      </c>
      <c r="E338" s="270">
        <v>5</v>
      </c>
      <c r="F338" s="271"/>
      <c r="G338" s="272"/>
      <c r="H338" s="2"/>
    </row>
    <row r="339" spans="1:8" x14ac:dyDescent="0.3">
      <c r="A339" s="2">
        <v>102684</v>
      </c>
      <c r="B339" s="4" t="s">
        <v>629</v>
      </c>
      <c r="C339" s="3" t="s">
        <v>263</v>
      </c>
      <c r="D339" s="270">
        <v>69</v>
      </c>
      <c r="E339" s="270">
        <v>5</v>
      </c>
      <c r="F339" s="271"/>
      <c r="G339" s="272"/>
      <c r="H339" s="2"/>
    </row>
    <row r="340" spans="1:8" x14ac:dyDescent="0.3">
      <c r="A340" s="2">
        <v>102685</v>
      </c>
      <c r="B340" s="4" t="s">
        <v>630</v>
      </c>
      <c r="C340" s="3" t="s">
        <v>263</v>
      </c>
      <c r="D340" s="270">
        <v>69</v>
      </c>
      <c r="E340" s="270">
        <v>5</v>
      </c>
      <c r="F340" s="271"/>
      <c r="G340" s="272"/>
      <c r="H340" s="2"/>
    </row>
    <row r="341" spans="1:8" x14ac:dyDescent="0.3">
      <c r="A341" s="2">
        <v>102686</v>
      </c>
      <c r="B341" s="4" t="s">
        <v>631</v>
      </c>
      <c r="C341" s="3" t="s">
        <v>263</v>
      </c>
      <c r="D341" s="270">
        <v>69</v>
      </c>
      <c r="E341" s="270">
        <v>5</v>
      </c>
      <c r="F341" s="271"/>
      <c r="G341" s="272"/>
      <c r="H341" s="2"/>
    </row>
    <row r="342" spans="1:8" x14ac:dyDescent="0.3">
      <c r="A342" s="2">
        <v>102687</v>
      </c>
      <c r="B342" s="4" t="s">
        <v>632</v>
      </c>
      <c r="C342" s="3" t="s">
        <v>263</v>
      </c>
      <c r="D342" s="270">
        <v>69</v>
      </c>
      <c r="E342" s="270">
        <v>5</v>
      </c>
      <c r="F342" s="271"/>
      <c r="G342" s="272"/>
      <c r="H342" s="2"/>
    </row>
    <row r="343" spans="1:8" x14ac:dyDescent="0.3">
      <c r="A343" s="2">
        <v>102688</v>
      </c>
      <c r="B343" s="4" t="s">
        <v>633</v>
      </c>
      <c r="C343" s="3" t="s">
        <v>263</v>
      </c>
      <c r="D343" s="270">
        <v>69</v>
      </c>
      <c r="E343" s="270">
        <v>5</v>
      </c>
      <c r="F343" s="271"/>
      <c r="G343" s="272"/>
      <c r="H343" s="2"/>
    </row>
    <row r="344" spans="1:8" x14ac:dyDescent="0.3">
      <c r="A344" s="2">
        <v>102691</v>
      </c>
      <c r="B344" s="4" t="s">
        <v>634</v>
      </c>
      <c r="C344" s="3" t="s">
        <v>263</v>
      </c>
      <c r="D344" s="270">
        <v>69</v>
      </c>
      <c r="E344" s="270">
        <v>5</v>
      </c>
      <c r="F344" s="271" t="s">
        <v>270</v>
      </c>
      <c r="G344" s="272">
        <v>43875.455914351849</v>
      </c>
      <c r="H344" s="2"/>
    </row>
    <row r="345" spans="1:8" x14ac:dyDescent="0.3">
      <c r="A345" s="2">
        <v>102692</v>
      </c>
      <c r="B345" s="4" t="s">
        <v>635</v>
      </c>
      <c r="C345" s="3" t="s">
        <v>263</v>
      </c>
      <c r="D345" s="270">
        <v>69</v>
      </c>
      <c r="E345" s="270">
        <v>5</v>
      </c>
      <c r="F345" s="271"/>
      <c r="G345" s="272"/>
      <c r="H345" s="2"/>
    </row>
    <row r="346" spans="1:8" x14ac:dyDescent="0.3">
      <c r="A346" s="2">
        <v>102693</v>
      </c>
      <c r="B346" s="4" t="s">
        <v>636</v>
      </c>
      <c r="C346" s="3" t="s">
        <v>263</v>
      </c>
      <c r="D346" s="270">
        <v>69</v>
      </c>
      <c r="E346" s="270">
        <v>8</v>
      </c>
      <c r="F346" s="271"/>
      <c r="G346" s="272"/>
      <c r="H346" s="2"/>
    </row>
    <row r="347" spans="1:8" x14ac:dyDescent="0.3">
      <c r="A347" s="2">
        <v>102695</v>
      </c>
      <c r="B347" s="4" t="s">
        <v>637</v>
      </c>
      <c r="C347" s="3" t="s">
        <v>263</v>
      </c>
      <c r="D347" s="270">
        <v>69</v>
      </c>
      <c r="E347" s="270">
        <v>5</v>
      </c>
      <c r="F347" s="271"/>
      <c r="G347" s="272"/>
      <c r="H347" s="2"/>
    </row>
    <row r="348" spans="1:8" x14ac:dyDescent="0.3">
      <c r="A348" s="2">
        <v>102696</v>
      </c>
      <c r="B348" s="4" t="s">
        <v>638</v>
      </c>
      <c r="C348" s="3" t="s">
        <v>263</v>
      </c>
      <c r="D348" s="270">
        <v>69</v>
      </c>
      <c r="E348" s="270">
        <v>5</v>
      </c>
      <c r="F348" s="271"/>
      <c r="G348" s="272"/>
      <c r="H348" s="2"/>
    </row>
    <row r="349" spans="1:8" x14ac:dyDescent="0.3">
      <c r="A349" s="2">
        <v>102697</v>
      </c>
      <c r="B349" s="4" t="s">
        <v>639</v>
      </c>
      <c r="C349" s="3" t="s">
        <v>263</v>
      </c>
      <c r="D349" s="270">
        <v>69</v>
      </c>
      <c r="E349" s="270">
        <v>8</v>
      </c>
      <c r="F349" s="271"/>
      <c r="G349" s="272"/>
      <c r="H349" s="2"/>
    </row>
    <row r="350" spans="1:8" x14ac:dyDescent="0.3">
      <c r="A350" s="2">
        <v>102698</v>
      </c>
      <c r="B350" s="4" t="s">
        <v>640</v>
      </c>
      <c r="C350" s="3" t="s">
        <v>263</v>
      </c>
      <c r="D350" s="270">
        <v>69</v>
      </c>
      <c r="E350" s="270">
        <v>5</v>
      </c>
      <c r="F350" s="271"/>
      <c r="G350" s="272"/>
      <c r="H350" s="2"/>
    </row>
    <row r="351" spans="1:8" x14ac:dyDescent="0.3">
      <c r="A351" s="2">
        <v>102699</v>
      </c>
      <c r="B351" s="4" t="s">
        <v>641</v>
      </c>
      <c r="C351" s="3" t="s">
        <v>263</v>
      </c>
      <c r="D351" s="270">
        <v>69</v>
      </c>
      <c r="E351" s="270">
        <v>18</v>
      </c>
      <c r="F351" s="271"/>
      <c r="G351" s="272"/>
      <c r="H351" s="2"/>
    </row>
    <row r="352" spans="1:8" x14ac:dyDescent="0.3">
      <c r="A352" s="2">
        <v>102702</v>
      </c>
      <c r="B352" s="4" t="s">
        <v>642</v>
      </c>
      <c r="C352" s="3" t="s">
        <v>272</v>
      </c>
      <c r="D352" s="270">
        <v>60</v>
      </c>
      <c r="E352" s="270">
        <v>21</v>
      </c>
      <c r="F352" s="271" t="s">
        <v>270</v>
      </c>
      <c r="G352" s="272" t="s">
        <v>643</v>
      </c>
      <c r="H352" s="2">
        <v>136564</v>
      </c>
    </row>
    <row r="353" spans="1:8" x14ac:dyDescent="0.3">
      <c r="A353" s="2">
        <v>102726</v>
      </c>
      <c r="B353" s="4" t="s">
        <v>644</v>
      </c>
      <c r="C353" s="3" t="s">
        <v>263</v>
      </c>
      <c r="D353" s="270">
        <v>69</v>
      </c>
      <c r="E353" s="270">
        <v>5</v>
      </c>
      <c r="F353" s="271"/>
      <c r="G353" s="272"/>
      <c r="H353" s="2"/>
    </row>
    <row r="354" spans="1:8" x14ac:dyDescent="0.3">
      <c r="A354" s="2">
        <v>102775</v>
      </c>
      <c r="B354" s="4" t="s">
        <v>645</v>
      </c>
      <c r="C354" s="3" t="s">
        <v>263</v>
      </c>
      <c r="D354" s="270">
        <v>69</v>
      </c>
      <c r="E354" s="270">
        <v>8</v>
      </c>
      <c r="F354" s="271" t="s">
        <v>270</v>
      </c>
      <c r="G354" s="272">
        <v>43875.458738425928</v>
      </c>
      <c r="H354" s="2"/>
    </row>
    <row r="355" spans="1:8" x14ac:dyDescent="0.3">
      <c r="A355" s="2">
        <v>102777</v>
      </c>
      <c r="B355" s="4" t="s">
        <v>646</v>
      </c>
      <c r="C355" s="3" t="s">
        <v>263</v>
      </c>
      <c r="D355" s="270">
        <v>55</v>
      </c>
      <c r="E355" s="270">
        <v>32</v>
      </c>
      <c r="F355" s="271"/>
      <c r="G355" s="272"/>
      <c r="H355" s="2"/>
    </row>
    <row r="356" spans="1:8" x14ac:dyDescent="0.3">
      <c r="A356" s="2">
        <v>102782</v>
      </c>
      <c r="B356" s="4" t="s">
        <v>647</v>
      </c>
      <c r="C356" s="3" t="s">
        <v>263</v>
      </c>
      <c r="D356" s="270">
        <v>69</v>
      </c>
      <c r="E356" s="270">
        <v>5</v>
      </c>
      <c r="F356" s="271"/>
      <c r="G356" s="272"/>
      <c r="H356" s="2"/>
    </row>
    <row r="357" spans="1:8" x14ac:dyDescent="0.3">
      <c r="A357" s="2">
        <v>102791</v>
      </c>
      <c r="B357" s="4" t="s">
        <v>648</v>
      </c>
      <c r="C357" s="3" t="s">
        <v>272</v>
      </c>
      <c r="D357" s="270">
        <v>55</v>
      </c>
      <c r="E357" s="270">
        <v>19</v>
      </c>
      <c r="F357" s="271" t="s">
        <v>264</v>
      </c>
      <c r="G357" s="272">
        <v>44104.394143518519</v>
      </c>
      <c r="H357" s="2">
        <v>140054</v>
      </c>
    </row>
    <row r="358" spans="1:8" x14ac:dyDescent="0.3">
      <c r="A358" s="2">
        <v>103251</v>
      </c>
      <c r="B358" s="4" t="s">
        <v>649</v>
      </c>
      <c r="C358" s="3" t="s">
        <v>272</v>
      </c>
      <c r="D358" s="270">
        <v>55</v>
      </c>
      <c r="E358" s="270">
        <v>19</v>
      </c>
      <c r="F358" s="271" t="s">
        <v>264</v>
      </c>
      <c r="G358" s="272">
        <v>44104.394143518519</v>
      </c>
      <c r="H358" s="2">
        <v>140051</v>
      </c>
    </row>
    <row r="359" spans="1:8" x14ac:dyDescent="0.3">
      <c r="A359" s="2">
        <v>103298</v>
      </c>
      <c r="B359" s="4" t="s">
        <v>650</v>
      </c>
      <c r="C359" s="3" t="s">
        <v>263</v>
      </c>
      <c r="D359" s="270">
        <v>55</v>
      </c>
      <c r="E359" s="270">
        <v>49</v>
      </c>
      <c r="F359" s="271"/>
      <c r="G359" s="272"/>
      <c r="H359" s="2"/>
    </row>
    <row r="360" spans="1:8" x14ac:dyDescent="0.3">
      <c r="A360" s="2">
        <v>103299</v>
      </c>
      <c r="B360" s="4" t="s">
        <v>651</v>
      </c>
      <c r="C360" s="3" t="s">
        <v>263</v>
      </c>
      <c r="D360" s="270">
        <v>55</v>
      </c>
      <c r="E360" s="270">
        <v>49</v>
      </c>
      <c r="F360" s="271"/>
      <c r="G360" s="272"/>
      <c r="H360" s="2"/>
    </row>
    <row r="361" spans="1:8" x14ac:dyDescent="0.3">
      <c r="A361" s="2">
        <v>103405</v>
      </c>
      <c r="B361" s="4" t="s">
        <v>652</v>
      </c>
      <c r="C361" s="3" t="s">
        <v>653</v>
      </c>
      <c r="D361" s="270">
        <v>72</v>
      </c>
      <c r="E361" s="270">
        <v>8</v>
      </c>
      <c r="F361" s="271" t="s">
        <v>264</v>
      </c>
      <c r="G361" s="272">
        <v>43696.583043981482</v>
      </c>
      <c r="H361" s="2">
        <v>138352</v>
      </c>
    </row>
    <row r="362" spans="1:8" x14ac:dyDescent="0.3">
      <c r="A362" s="2">
        <v>103444</v>
      </c>
      <c r="B362" s="4" t="s">
        <v>654</v>
      </c>
      <c r="C362" s="3" t="s">
        <v>269</v>
      </c>
      <c r="D362" s="270">
        <v>70</v>
      </c>
      <c r="E362" s="270">
        <v>13</v>
      </c>
      <c r="F362" s="271"/>
      <c r="G362" s="272"/>
      <c r="H362" s="2"/>
    </row>
    <row r="363" spans="1:8" x14ac:dyDescent="0.3">
      <c r="A363" s="2">
        <v>103490</v>
      </c>
      <c r="B363" s="4" t="s">
        <v>655</v>
      </c>
      <c r="C363" s="3" t="s">
        <v>260</v>
      </c>
      <c r="D363" s="270">
        <v>59</v>
      </c>
      <c r="E363" s="270">
        <v>18</v>
      </c>
      <c r="F363" s="271" t="s">
        <v>261</v>
      </c>
      <c r="G363" s="272">
        <v>44461.404930555553</v>
      </c>
      <c r="H363" s="2"/>
    </row>
    <row r="364" spans="1:8" x14ac:dyDescent="0.3">
      <c r="A364" s="2">
        <v>104625</v>
      </c>
      <c r="B364" s="4" t="s">
        <v>656</v>
      </c>
      <c r="C364" s="3" t="s">
        <v>436</v>
      </c>
      <c r="D364" s="270">
        <v>54</v>
      </c>
      <c r="E364" s="270">
        <v>19</v>
      </c>
      <c r="F364" s="271" t="s">
        <v>270</v>
      </c>
      <c r="G364" s="272">
        <v>43713.472581018519</v>
      </c>
      <c r="H364" s="2"/>
    </row>
    <row r="365" spans="1:8" x14ac:dyDescent="0.3">
      <c r="A365" s="2">
        <v>104626</v>
      </c>
      <c r="B365" s="4" t="s">
        <v>657</v>
      </c>
      <c r="C365" s="3" t="s">
        <v>436</v>
      </c>
      <c r="D365" s="270">
        <v>54</v>
      </c>
      <c r="E365" s="270">
        <v>19</v>
      </c>
      <c r="F365" s="271" t="s">
        <v>270</v>
      </c>
      <c r="G365" s="272">
        <v>43713.472581018519</v>
      </c>
      <c r="H365" s="2"/>
    </row>
    <row r="366" spans="1:8" x14ac:dyDescent="0.3">
      <c r="A366" s="2">
        <v>104627</v>
      </c>
      <c r="B366" s="4" t="s">
        <v>658</v>
      </c>
      <c r="C366" s="3" t="s">
        <v>436</v>
      </c>
      <c r="D366" s="270">
        <v>54</v>
      </c>
      <c r="E366" s="270">
        <v>19</v>
      </c>
      <c r="F366" s="271" t="s">
        <v>270</v>
      </c>
      <c r="G366" s="272">
        <v>43713.472581018519</v>
      </c>
      <c r="H366" s="2"/>
    </row>
    <row r="367" spans="1:8" x14ac:dyDescent="0.3">
      <c r="A367" s="2">
        <v>104639</v>
      </c>
      <c r="B367" s="4" t="s">
        <v>659</v>
      </c>
      <c r="C367" s="3" t="s">
        <v>436</v>
      </c>
      <c r="D367" s="270">
        <v>54</v>
      </c>
      <c r="E367" s="270">
        <v>19</v>
      </c>
      <c r="F367" s="271" t="s">
        <v>270</v>
      </c>
      <c r="G367" s="272">
        <v>43846.380925925929</v>
      </c>
      <c r="H367" s="2"/>
    </row>
    <row r="368" spans="1:8" x14ac:dyDescent="0.3">
      <c r="A368" s="2">
        <v>104640</v>
      </c>
      <c r="B368" s="4" t="s">
        <v>660</v>
      </c>
      <c r="C368" s="3" t="s">
        <v>436</v>
      </c>
      <c r="D368" s="270">
        <v>54</v>
      </c>
      <c r="E368" s="270">
        <v>19</v>
      </c>
      <c r="F368" s="271" t="s">
        <v>270</v>
      </c>
      <c r="G368" s="272">
        <v>43846.380925925929</v>
      </c>
      <c r="H368" s="2"/>
    </row>
    <row r="369" spans="1:8" x14ac:dyDescent="0.3">
      <c r="A369" s="2">
        <v>104641</v>
      </c>
      <c r="B369" s="4" t="s">
        <v>661</v>
      </c>
      <c r="C369" s="3" t="s">
        <v>436</v>
      </c>
      <c r="D369" s="270">
        <v>54</v>
      </c>
      <c r="E369" s="270">
        <v>19</v>
      </c>
      <c r="F369" s="271" t="s">
        <v>270</v>
      </c>
      <c r="G369" s="272">
        <v>43713.472581018519</v>
      </c>
      <c r="H369" s="2"/>
    </row>
    <row r="370" spans="1:8" x14ac:dyDescent="0.3">
      <c r="A370" s="2">
        <v>104642</v>
      </c>
      <c r="B370" s="4" t="s">
        <v>662</v>
      </c>
      <c r="C370" s="3" t="s">
        <v>436</v>
      </c>
      <c r="D370" s="270">
        <v>54</v>
      </c>
      <c r="E370" s="270">
        <v>19</v>
      </c>
      <c r="F370" s="271" t="s">
        <v>270</v>
      </c>
      <c r="G370" s="272">
        <v>43713.472581018519</v>
      </c>
      <c r="H370" s="2"/>
    </row>
    <row r="371" spans="1:8" x14ac:dyDescent="0.3">
      <c r="A371" s="2">
        <v>104755</v>
      </c>
      <c r="B371" s="4" t="s">
        <v>663</v>
      </c>
      <c r="C371" s="3"/>
      <c r="D371" s="270">
        <v>78</v>
      </c>
      <c r="E371" s="270">
        <v>6</v>
      </c>
      <c r="F371" s="271"/>
      <c r="G371" s="272"/>
      <c r="H371" s="2"/>
    </row>
    <row r="372" spans="1:8" x14ac:dyDescent="0.3">
      <c r="A372" s="2">
        <v>104832</v>
      </c>
      <c r="B372" s="4" t="s">
        <v>664</v>
      </c>
      <c r="C372" s="3" t="s">
        <v>31</v>
      </c>
      <c r="D372" s="270">
        <v>51</v>
      </c>
      <c r="E372" s="270">
        <v>37</v>
      </c>
      <c r="F372" s="271" t="s">
        <v>270</v>
      </c>
      <c r="G372" s="272">
        <v>43656.484259259261</v>
      </c>
      <c r="H372" s="2"/>
    </row>
    <row r="373" spans="1:8" x14ac:dyDescent="0.3">
      <c r="A373" s="2">
        <v>105109</v>
      </c>
      <c r="B373" s="4" t="s">
        <v>665</v>
      </c>
      <c r="C373" s="3" t="s">
        <v>263</v>
      </c>
      <c r="D373" s="270">
        <v>62</v>
      </c>
      <c r="E373" s="270">
        <v>12</v>
      </c>
      <c r="F373" s="271" t="s">
        <v>261</v>
      </c>
      <c r="G373" s="272">
        <v>44662.643240740741</v>
      </c>
      <c r="H373" s="2"/>
    </row>
    <row r="374" spans="1:8" x14ac:dyDescent="0.3">
      <c r="A374" s="2">
        <v>105116</v>
      </c>
      <c r="B374" s="4" t="s">
        <v>666</v>
      </c>
      <c r="C374" s="3" t="s">
        <v>263</v>
      </c>
      <c r="D374" s="270">
        <v>62</v>
      </c>
      <c r="E374" s="270">
        <v>1</v>
      </c>
      <c r="F374" s="271" t="s">
        <v>264</v>
      </c>
      <c r="G374" s="272">
        <v>44314.377430555556</v>
      </c>
      <c r="H374" s="2"/>
    </row>
    <row r="375" spans="1:8" x14ac:dyDescent="0.3">
      <c r="A375" s="2">
        <v>105117</v>
      </c>
      <c r="B375" s="4" t="s">
        <v>667</v>
      </c>
      <c r="C375" s="3" t="s">
        <v>263</v>
      </c>
      <c r="D375" s="270">
        <v>62</v>
      </c>
      <c r="E375" s="270">
        <v>1</v>
      </c>
      <c r="F375" s="271" t="s">
        <v>261</v>
      </c>
      <c r="G375" s="272">
        <v>44662.643240740741</v>
      </c>
      <c r="H375" s="2"/>
    </row>
    <row r="376" spans="1:8" x14ac:dyDescent="0.3">
      <c r="A376" s="2">
        <v>105128</v>
      </c>
      <c r="B376" s="4" t="s">
        <v>668</v>
      </c>
      <c r="C376" s="3"/>
      <c r="D376" s="270"/>
      <c r="E376" s="270"/>
      <c r="F376" s="271"/>
      <c r="G376" s="272"/>
      <c r="H376" s="2">
        <v>135227</v>
      </c>
    </row>
    <row r="377" spans="1:8" x14ac:dyDescent="0.3">
      <c r="A377" s="2">
        <v>105180</v>
      </c>
      <c r="B377" s="4" t="s">
        <v>669</v>
      </c>
      <c r="C377" s="3" t="s">
        <v>560</v>
      </c>
      <c r="D377" s="270">
        <v>51</v>
      </c>
      <c r="E377" s="270">
        <v>21</v>
      </c>
      <c r="F377" s="271"/>
      <c r="G377" s="272"/>
      <c r="H377" s="2"/>
    </row>
    <row r="378" spans="1:8" x14ac:dyDescent="0.3">
      <c r="A378" s="2">
        <v>105419</v>
      </c>
      <c r="B378" s="4" t="s">
        <v>670</v>
      </c>
      <c r="C378" s="3" t="s">
        <v>263</v>
      </c>
      <c r="D378" s="270">
        <v>55</v>
      </c>
      <c r="E378" s="270">
        <v>32</v>
      </c>
      <c r="F378" s="271"/>
      <c r="G378" s="272"/>
      <c r="H378" s="2"/>
    </row>
    <row r="379" spans="1:8" x14ac:dyDescent="0.3">
      <c r="A379" s="2">
        <v>105489</v>
      </c>
      <c r="B379" s="4" t="s">
        <v>671</v>
      </c>
      <c r="C379" s="3" t="s">
        <v>287</v>
      </c>
      <c r="D379" s="270">
        <v>76</v>
      </c>
      <c r="E379" s="270">
        <v>9</v>
      </c>
      <c r="F379" s="271" t="s">
        <v>270</v>
      </c>
      <c r="G379" s="272" t="s">
        <v>672</v>
      </c>
      <c r="H379" s="2"/>
    </row>
    <row r="380" spans="1:8" x14ac:dyDescent="0.3">
      <c r="A380" s="2">
        <v>105491</v>
      </c>
      <c r="B380" s="4" t="s">
        <v>673</v>
      </c>
      <c r="C380" s="3" t="s">
        <v>287</v>
      </c>
      <c r="D380" s="270">
        <v>76</v>
      </c>
      <c r="E380" s="270">
        <v>9</v>
      </c>
      <c r="F380" s="271" t="s">
        <v>264</v>
      </c>
      <c r="G380" s="272" t="s">
        <v>674</v>
      </c>
      <c r="H380" s="2"/>
    </row>
    <row r="381" spans="1:8" x14ac:dyDescent="0.3">
      <c r="A381" s="2">
        <v>105492</v>
      </c>
      <c r="B381" s="4" t="s">
        <v>675</v>
      </c>
      <c r="C381" s="3" t="s">
        <v>287</v>
      </c>
      <c r="D381" s="270">
        <v>76</v>
      </c>
      <c r="E381" s="270">
        <v>9</v>
      </c>
      <c r="F381" s="271"/>
      <c r="G381" s="272"/>
      <c r="H381" s="2"/>
    </row>
    <row r="382" spans="1:8" x14ac:dyDescent="0.3">
      <c r="A382" s="2">
        <v>105493</v>
      </c>
      <c r="B382" s="4" t="s">
        <v>676</v>
      </c>
      <c r="C382" s="3" t="s">
        <v>287</v>
      </c>
      <c r="D382" s="270">
        <v>76</v>
      </c>
      <c r="E382" s="270">
        <v>9</v>
      </c>
      <c r="F382" s="271"/>
      <c r="G382" s="272"/>
      <c r="H382" s="2"/>
    </row>
    <row r="383" spans="1:8" x14ac:dyDescent="0.3">
      <c r="A383" s="2">
        <v>105810</v>
      </c>
      <c r="B383" s="4" t="s">
        <v>677</v>
      </c>
      <c r="C383" s="3" t="s">
        <v>436</v>
      </c>
      <c r="D383" s="270">
        <v>54</v>
      </c>
      <c r="E383" s="270">
        <v>4</v>
      </c>
      <c r="F383" s="271" t="s">
        <v>270</v>
      </c>
      <c r="G383" s="272">
        <v>43713.472581018519</v>
      </c>
      <c r="H383" s="2"/>
    </row>
    <row r="384" spans="1:8" x14ac:dyDescent="0.3">
      <c r="A384" s="2">
        <v>105993</v>
      </c>
      <c r="B384" s="4" t="s">
        <v>678</v>
      </c>
      <c r="C384" s="3" t="s">
        <v>436</v>
      </c>
      <c r="D384" s="270">
        <v>54</v>
      </c>
      <c r="E384" s="270">
        <v>4</v>
      </c>
      <c r="F384" s="271" t="s">
        <v>270</v>
      </c>
      <c r="G384" s="272">
        <v>44018.627002314817</v>
      </c>
      <c r="H384" s="2"/>
    </row>
    <row r="385" spans="1:8" x14ac:dyDescent="0.3">
      <c r="A385" s="2">
        <v>105994</v>
      </c>
      <c r="B385" s="4" t="s">
        <v>679</v>
      </c>
      <c r="C385" s="3" t="s">
        <v>436</v>
      </c>
      <c r="D385" s="270">
        <v>54</v>
      </c>
      <c r="E385" s="270">
        <v>4</v>
      </c>
      <c r="F385" s="271" t="s">
        <v>270</v>
      </c>
      <c r="G385" s="272">
        <v>44018.628750000003</v>
      </c>
      <c r="H385" s="2"/>
    </row>
    <row r="386" spans="1:8" x14ac:dyDescent="0.3">
      <c r="A386" s="2">
        <v>106027</v>
      </c>
      <c r="B386" s="4" t="s">
        <v>680</v>
      </c>
      <c r="C386" s="3" t="s">
        <v>436</v>
      </c>
      <c r="D386" s="270">
        <v>54</v>
      </c>
      <c r="E386" s="270">
        <v>4</v>
      </c>
      <c r="F386" s="271" t="s">
        <v>270</v>
      </c>
      <c r="G386" s="272" t="s">
        <v>681</v>
      </c>
      <c r="H386" s="2">
        <v>136858</v>
      </c>
    </row>
    <row r="387" spans="1:8" x14ac:dyDescent="0.3">
      <c r="A387" s="2">
        <v>106039</v>
      </c>
      <c r="B387" s="4" t="s">
        <v>682</v>
      </c>
      <c r="C387" s="3" t="s">
        <v>263</v>
      </c>
      <c r="D387" s="270">
        <v>52</v>
      </c>
      <c r="E387" s="270">
        <v>8</v>
      </c>
      <c r="F387" s="271"/>
      <c r="G387" s="272"/>
      <c r="H387" s="2"/>
    </row>
    <row r="388" spans="1:8" x14ac:dyDescent="0.3">
      <c r="A388" s="2">
        <v>106128</v>
      </c>
      <c r="B388" s="4" t="s">
        <v>683</v>
      </c>
      <c r="C388" s="3" t="s">
        <v>263</v>
      </c>
      <c r="D388" s="270">
        <v>50</v>
      </c>
      <c r="E388" s="270">
        <v>2</v>
      </c>
      <c r="F388" s="271" t="s">
        <v>261</v>
      </c>
      <c r="G388" s="272">
        <v>44432.679375</v>
      </c>
      <c r="H388" s="2">
        <v>142982</v>
      </c>
    </row>
    <row r="389" spans="1:8" x14ac:dyDescent="0.3">
      <c r="A389" s="2">
        <v>106631</v>
      </c>
      <c r="B389" s="4" t="s">
        <v>684</v>
      </c>
      <c r="C389" s="3" t="s">
        <v>31</v>
      </c>
      <c r="D389" s="270">
        <v>51</v>
      </c>
      <c r="E389" s="270">
        <v>37</v>
      </c>
      <c r="F389" s="271" t="s">
        <v>270</v>
      </c>
      <c r="G389" s="272">
        <v>43656.491157407407</v>
      </c>
      <c r="H389" s="2"/>
    </row>
    <row r="390" spans="1:8" x14ac:dyDescent="0.3">
      <c r="A390" s="2">
        <v>106765</v>
      </c>
      <c r="B390" s="4" t="s">
        <v>685</v>
      </c>
      <c r="C390" s="3" t="s">
        <v>263</v>
      </c>
      <c r="D390" s="270">
        <v>83</v>
      </c>
      <c r="E390" s="270">
        <v>3</v>
      </c>
      <c r="F390" s="271"/>
      <c r="G390" s="272"/>
      <c r="H390" s="2"/>
    </row>
    <row r="391" spans="1:8" x14ac:dyDescent="0.3">
      <c r="A391" s="2">
        <v>107736</v>
      </c>
      <c r="B391" s="4" t="s">
        <v>686</v>
      </c>
      <c r="C391" s="3" t="s">
        <v>31</v>
      </c>
      <c r="D391" s="270">
        <v>52</v>
      </c>
      <c r="E391" s="270">
        <v>10</v>
      </c>
      <c r="F391" s="271"/>
      <c r="G391" s="272"/>
      <c r="H391" s="2"/>
    </row>
    <row r="392" spans="1:8" x14ac:dyDescent="0.3">
      <c r="A392" s="2">
        <v>107737</v>
      </c>
      <c r="B392" s="4" t="s">
        <v>687</v>
      </c>
      <c r="C392" s="3" t="s">
        <v>31</v>
      </c>
      <c r="D392" s="270">
        <v>52</v>
      </c>
      <c r="E392" s="270">
        <v>10</v>
      </c>
      <c r="F392" s="271"/>
      <c r="G392" s="272"/>
      <c r="H392" s="2"/>
    </row>
    <row r="393" spans="1:8" x14ac:dyDescent="0.3">
      <c r="A393" s="2">
        <v>107909</v>
      </c>
      <c r="B393" s="4" t="s">
        <v>688</v>
      </c>
      <c r="C393" s="3" t="s">
        <v>689</v>
      </c>
      <c r="D393" s="270">
        <v>72</v>
      </c>
      <c r="E393" s="270">
        <v>14</v>
      </c>
      <c r="F393" s="271"/>
      <c r="G393" s="272"/>
      <c r="H393" s="2"/>
    </row>
    <row r="394" spans="1:8" x14ac:dyDescent="0.3">
      <c r="A394" s="2">
        <v>107925</v>
      </c>
      <c r="B394" s="4" t="s">
        <v>690</v>
      </c>
      <c r="C394" s="3" t="s">
        <v>31</v>
      </c>
      <c r="D394" s="270">
        <v>51</v>
      </c>
      <c r="E394" s="270">
        <v>11</v>
      </c>
      <c r="F394" s="271"/>
      <c r="G394" s="272"/>
      <c r="H394" s="2"/>
    </row>
    <row r="395" spans="1:8" x14ac:dyDescent="0.3">
      <c r="A395" s="2">
        <v>108046</v>
      </c>
      <c r="B395" s="4" t="s">
        <v>691</v>
      </c>
      <c r="C395" s="3" t="s">
        <v>263</v>
      </c>
      <c r="D395" s="270">
        <v>70</v>
      </c>
      <c r="E395" s="270">
        <v>15</v>
      </c>
      <c r="F395" s="271"/>
      <c r="G395" s="272"/>
      <c r="H395" s="2"/>
    </row>
    <row r="396" spans="1:8" x14ac:dyDescent="0.3">
      <c r="A396" s="2">
        <v>108440</v>
      </c>
      <c r="B396" s="4" t="s">
        <v>692</v>
      </c>
      <c r="C396" s="3" t="s">
        <v>31</v>
      </c>
      <c r="D396" s="270">
        <v>55</v>
      </c>
      <c r="E396" s="270">
        <v>49</v>
      </c>
      <c r="F396" s="271" t="s">
        <v>270</v>
      </c>
      <c r="G396" s="272">
        <v>43900.625949074078</v>
      </c>
      <c r="H396" s="2"/>
    </row>
    <row r="397" spans="1:8" x14ac:dyDescent="0.3">
      <c r="A397" s="2">
        <v>108441</v>
      </c>
      <c r="B397" s="4" t="s">
        <v>693</v>
      </c>
      <c r="C397" s="3" t="s">
        <v>263</v>
      </c>
      <c r="D397" s="270">
        <v>55</v>
      </c>
      <c r="E397" s="270">
        <v>65</v>
      </c>
      <c r="F397" s="271" t="s">
        <v>270</v>
      </c>
      <c r="G397" s="272">
        <v>43901.63380787037</v>
      </c>
      <c r="H397" s="2"/>
    </row>
    <row r="398" spans="1:8" x14ac:dyDescent="0.3">
      <c r="A398" s="2">
        <v>108463</v>
      </c>
      <c r="B398" s="4" t="s">
        <v>694</v>
      </c>
      <c r="C398" s="3" t="s">
        <v>272</v>
      </c>
      <c r="D398" s="270">
        <v>55</v>
      </c>
      <c r="E398" s="270">
        <v>19</v>
      </c>
      <c r="F398" s="271" t="s">
        <v>264</v>
      </c>
      <c r="G398" s="272">
        <v>44104.394143518519</v>
      </c>
      <c r="H398" s="2">
        <v>140055</v>
      </c>
    </row>
    <row r="399" spans="1:8" x14ac:dyDescent="0.3">
      <c r="A399" s="2">
        <v>108732</v>
      </c>
      <c r="B399" s="4" t="s">
        <v>695</v>
      </c>
      <c r="C399" s="3" t="s">
        <v>436</v>
      </c>
      <c r="D399" s="270">
        <v>54</v>
      </c>
      <c r="E399" s="270">
        <v>4</v>
      </c>
      <c r="F399" s="271"/>
      <c r="G399" s="272"/>
      <c r="H399" s="2">
        <v>98747</v>
      </c>
    </row>
    <row r="400" spans="1:8" x14ac:dyDescent="0.3">
      <c r="A400" s="2">
        <v>108734</v>
      </c>
      <c r="B400" s="4" t="s">
        <v>696</v>
      </c>
      <c r="C400" s="3" t="s">
        <v>436</v>
      </c>
      <c r="D400" s="270">
        <v>54</v>
      </c>
      <c r="E400" s="270">
        <v>4</v>
      </c>
      <c r="F400" s="271"/>
      <c r="G400" s="272"/>
      <c r="H400" s="2">
        <v>98749</v>
      </c>
    </row>
    <row r="401" spans="1:8" x14ac:dyDescent="0.3">
      <c r="A401" s="2">
        <v>108735</v>
      </c>
      <c r="B401" s="4" t="s">
        <v>697</v>
      </c>
      <c r="C401" s="3" t="s">
        <v>436</v>
      </c>
      <c r="D401" s="270">
        <v>54</v>
      </c>
      <c r="E401" s="270">
        <v>4</v>
      </c>
      <c r="F401" s="271"/>
      <c r="G401" s="272"/>
      <c r="H401" s="2">
        <v>98750</v>
      </c>
    </row>
    <row r="402" spans="1:8" x14ac:dyDescent="0.3">
      <c r="A402" s="2">
        <v>108736</v>
      </c>
      <c r="B402" s="4" t="s">
        <v>698</v>
      </c>
      <c r="C402" s="3" t="s">
        <v>436</v>
      </c>
      <c r="D402" s="270">
        <v>54</v>
      </c>
      <c r="E402" s="270">
        <v>4</v>
      </c>
      <c r="F402" s="271"/>
      <c r="G402" s="272"/>
      <c r="H402" s="2">
        <v>98751</v>
      </c>
    </row>
    <row r="403" spans="1:8" x14ac:dyDescent="0.3">
      <c r="A403" s="2">
        <v>109163</v>
      </c>
      <c r="B403" s="4" t="s">
        <v>699</v>
      </c>
      <c r="C403" s="3" t="s">
        <v>31</v>
      </c>
      <c r="D403" s="270">
        <v>45</v>
      </c>
      <c r="E403" s="270">
        <v>11</v>
      </c>
      <c r="F403" s="271" t="s">
        <v>264</v>
      </c>
      <c r="G403" s="272">
        <v>44041.380925925929</v>
      </c>
      <c r="H403" s="2">
        <v>139767</v>
      </c>
    </row>
    <row r="404" spans="1:8" x14ac:dyDescent="0.3">
      <c r="A404" s="2">
        <v>109251</v>
      </c>
      <c r="B404" s="4" t="s">
        <v>700</v>
      </c>
      <c r="C404" s="3" t="s">
        <v>31</v>
      </c>
      <c r="D404" s="270">
        <v>72</v>
      </c>
      <c r="E404" s="270">
        <v>6</v>
      </c>
      <c r="F404" s="271" t="s">
        <v>701</v>
      </c>
      <c r="G404" s="272">
        <v>45175.374340277776</v>
      </c>
      <c r="H404" s="2"/>
    </row>
    <row r="405" spans="1:8" x14ac:dyDescent="0.3">
      <c r="A405" s="2">
        <v>110216</v>
      </c>
      <c r="B405" s="4" t="s">
        <v>702</v>
      </c>
      <c r="C405" s="3" t="s">
        <v>272</v>
      </c>
      <c r="D405" s="270">
        <v>51</v>
      </c>
      <c r="E405" s="270">
        <v>4</v>
      </c>
      <c r="F405" s="271"/>
      <c r="G405" s="272"/>
      <c r="H405" s="2"/>
    </row>
    <row r="406" spans="1:8" x14ac:dyDescent="0.3">
      <c r="A406" s="2">
        <v>110503</v>
      </c>
      <c r="B406" s="4" t="s">
        <v>703</v>
      </c>
      <c r="C406" s="3" t="s">
        <v>263</v>
      </c>
      <c r="D406" s="270">
        <v>52</v>
      </c>
      <c r="E406" s="270">
        <v>6</v>
      </c>
      <c r="F406" s="271" t="s">
        <v>270</v>
      </c>
      <c r="G406" s="272">
        <v>43700.590555555558</v>
      </c>
      <c r="H406" s="2"/>
    </row>
    <row r="407" spans="1:8" x14ac:dyDescent="0.3">
      <c r="A407" s="2">
        <v>110890</v>
      </c>
      <c r="B407" s="4" t="s">
        <v>704</v>
      </c>
      <c r="C407" s="3" t="s">
        <v>272</v>
      </c>
      <c r="D407" s="270">
        <v>55</v>
      </c>
      <c r="E407" s="270">
        <v>19</v>
      </c>
      <c r="F407" s="271" t="s">
        <v>264</v>
      </c>
      <c r="G407" s="272">
        <v>44113.390856481485</v>
      </c>
      <c r="H407" s="2">
        <v>140125</v>
      </c>
    </row>
    <row r="408" spans="1:8" x14ac:dyDescent="0.3">
      <c r="A408" s="2">
        <v>110891</v>
      </c>
      <c r="B408" s="4" t="s">
        <v>705</v>
      </c>
      <c r="C408" s="3" t="s">
        <v>272</v>
      </c>
      <c r="D408" s="270">
        <v>55</v>
      </c>
      <c r="E408" s="270">
        <v>19</v>
      </c>
      <c r="F408" s="271" t="s">
        <v>264</v>
      </c>
      <c r="G408" s="272">
        <v>44104.394143518519</v>
      </c>
      <c r="H408" s="2">
        <v>140058</v>
      </c>
    </row>
    <row r="409" spans="1:8" x14ac:dyDescent="0.3">
      <c r="A409" s="2">
        <v>111756</v>
      </c>
      <c r="B409" s="4" t="s">
        <v>706</v>
      </c>
      <c r="C409" s="3" t="s">
        <v>31</v>
      </c>
      <c r="D409" s="270">
        <v>67</v>
      </c>
      <c r="E409" s="270">
        <v>13</v>
      </c>
      <c r="F409" s="271"/>
      <c r="G409" s="272"/>
      <c r="H409" s="2"/>
    </row>
    <row r="410" spans="1:8" x14ac:dyDescent="0.3">
      <c r="A410" s="2">
        <v>112064</v>
      </c>
      <c r="B410" s="4" t="s">
        <v>707</v>
      </c>
      <c r="C410" s="3" t="s">
        <v>31</v>
      </c>
      <c r="D410" s="270">
        <v>70</v>
      </c>
      <c r="E410" s="270">
        <v>38</v>
      </c>
      <c r="F410" s="271" t="s">
        <v>261</v>
      </c>
      <c r="G410" s="272">
        <v>44461.457592592589</v>
      </c>
      <c r="H410" s="2"/>
    </row>
    <row r="411" spans="1:8" x14ac:dyDescent="0.3">
      <c r="A411" s="2">
        <v>112160</v>
      </c>
      <c r="B411" s="4" t="s">
        <v>708</v>
      </c>
      <c r="C411" s="3" t="s">
        <v>31</v>
      </c>
      <c r="D411" s="270">
        <v>55</v>
      </c>
      <c r="E411" s="270">
        <v>7</v>
      </c>
      <c r="F411" s="271" t="s">
        <v>270</v>
      </c>
      <c r="G411" s="272">
        <v>43808.459768518522</v>
      </c>
      <c r="H411" s="2"/>
    </row>
    <row r="412" spans="1:8" x14ac:dyDescent="0.3">
      <c r="A412" s="2">
        <v>112164</v>
      </c>
      <c r="B412" s="4" t="s">
        <v>709</v>
      </c>
      <c r="C412" s="3" t="s">
        <v>31</v>
      </c>
      <c r="D412" s="270">
        <v>55</v>
      </c>
      <c r="E412" s="270">
        <v>37</v>
      </c>
      <c r="F412" s="271"/>
      <c r="G412" s="272"/>
      <c r="H412" s="2"/>
    </row>
    <row r="413" spans="1:8" x14ac:dyDescent="0.3">
      <c r="A413" s="2">
        <v>112330</v>
      </c>
      <c r="B413" s="4" t="s">
        <v>710</v>
      </c>
      <c r="C413" s="3" t="s">
        <v>320</v>
      </c>
      <c r="D413" s="270">
        <v>70</v>
      </c>
      <c r="E413" s="270">
        <v>33</v>
      </c>
      <c r="F413" s="271" t="s">
        <v>270</v>
      </c>
      <c r="G413" s="272" t="s">
        <v>711</v>
      </c>
      <c r="H413" s="2">
        <v>133371</v>
      </c>
    </row>
    <row r="414" spans="1:8" x14ac:dyDescent="0.3">
      <c r="A414" s="2">
        <v>112965</v>
      </c>
      <c r="B414" s="4" t="s">
        <v>712</v>
      </c>
      <c r="C414" s="3" t="s">
        <v>272</v>
      </c>
      <c r="D414" s="270">
        <v>55</v>
      </c>
      <c r="E414" s="270">
        <v>19</v>
      </c>
      <c r="F414" s="271" t="s">
        <v>264</v>
      </c>
      <c r="G414" s="272">
        <v>44104.394143518519</v>
      </c>
      <c r="H414" s="2">
        <v>140059</v>
      </c>
    </row>
    <row r="415" spans="1:8" x14ac:dyDescent="0.3">
      <c r="A415" s="2">
        <v>113097</v>
      </c>
      <c r="B415" s="4" t="s">
        <v>713</v>
      </c>
      <c r="C415" s="3" t="s">
        <v>263</v>
      </c>
      <c r="D415" s="270">
        <v>74</v>
      </c>
      <c r="E415" s="270">
        <v>2</v>
      </c>
      <c r="F415" s="271"/>
      <c r="G415" s="272"/>
      <c r="H415" s="2"/>
    </row>
    <row r="416" spans="1:8" x14ac:dyDescent="0.3">
      <c r="A416" s="2">
        <v>113180</v>
      </c>
      <c r="B416" s="4" t="s">
        <v>714</v>
      </c>
      <c r="C416" s="3"/>
      <c r="D416" s="270"/>
      <c r="E416" s="270"/>
      <c r="F416" s="271"/>
      <c r="G416" s="272"/>
      <c r="H416" s="2"/>
    </row>
    <row r="417" spans="1:8" x14ac:dyDescent="0.3">
      <c r="A417" s="2">
        <v>113207</v>
      </c>
      <c r="B417" s="4" t="s">
        <v>715</v>
      </c>
      <c r="C417" s="3" t="s">
        <v>560</v>
      </c>
      <c r="D417" s="270">
        <v>51</v>
      </c>
      <c r="E417" s="270">
        <v>21</v>
      </c>
      <c r="F417" s="271"/>
      <c r="G417" s="272"/>
      <c r="H417" s="2"/>
    </row>
    <row r="418" spans="1:8" x14ac:dyDescent="0.3">
      <c r="A418" s="2">
        <v>114255</v>
      </c>
      <c r="B418" s="4" t="s">
        <v>716</v>
      </c>
      <c r="C418" s="3" t="s">
        <v>560</v>
      </c>
      <c r="D418" s="270">
        <v>51</v>
      </c>
      <c r="E418" s="270">
        <v>21</v>
      </c>
      <c r="F418" s="271"/>
      <c r="G418" s="272"/>
      <c r="H418" s="2"/>
    </row>
    <row r="419" spans="1:8" x14ac:dyDescent="0.3">
      <c r="A419" s="2">
        <v>115135</v>
      </c>
      <c r="B419" s="4" t="s">
        <v>717</v>
      </c>
      <c r="C419" s="3" t="s">
        <v>263</v>
      </c>
      <c r="D419" s="270">
        <v>51</v>
      </c>
      <c r="E419" s="270">
        <v>17</v>
      </c>
      <c r="F419" s="271"/>
      <c r="G419" s="272"/>
      <c r="H419" s="2"/>
    </row>
    <row r="420" spans="1:8" x14ac:dyDescent="0.3">
      <c r="A420" s="2">
        <v>115146</v>
      </c>
      <c r="B420" s="4" t="s">
        <v>718</v>
      </c>
      <c r="C420" s="3" t="s">
        <v>263</v>
      </c>
      <c r="D420" s="270">
        <v>55</v>
      </c>
      <c r="E420" s="270">
        <v>32</v>
      </c>
      <c r="F420" s="271"/>
      <c r="G420" s="272"/>
      <c r="H420" s="2"/>
    </row>
    <row r="421" spans="1:8" x14ac:dyDescent="0.3">
      <c r="A421" s="2">
        <v>115149</v>
      </c>
      <c r="B421" s="4" t="s">
        <v>719</v>
      </c>
      <c r="C421" s="3" t="s">
        <v>263</v>
      </c>
      <c r="D421" s="270">
        <v>55</v>
      </c>
      <c r="E421" s="270">
        <v>32</v>
      </c>
      <c r="F421" s="271"/>
      <c r="G421" s="272"/>
      <c r="H421" s="2"/>
    </row>
    <row r="422" spans="1:8" x14ac:dyDescent="0.3">
      <c r="A422" s="2">
        <v>115151</v>
      </c>
      <c r="B422" s="4" t="s">
        <v>720</v>
      </c>
      <c r="C422" s="3" t="s">
        <v>263</v>
      </c>
      <c r="D422" s="270">
        <v>55</v>
      </c>
      <c r="E422" s="270">
        <v>32</v>
      </c>
      <c r="F422" s="271"/>
      <c r="G422" s="272"/>
      <c r="H422" s="2"/>
    </row>
    <row r="423" spans="1:8" x14ac:dyDescent="0.3">
      <c r="A423" s="2">
        <v>115152</v>
      </c>
      <c r="B423" s="4" t="s">
        <v>721</v>
      </c>
      <c r="C423" s="3" t="s">
        <v>263</v>
      </c>
      <c r="D423" s="270">
        <v>55</v>
      </c>
      <c r="E423" s="270">
        <v>32</v>
      </c>
      <c r="F423" s="271"/>
      <c r="G423" s="272"/>
      <c r="H423" s="2"/>
    </row>
    <row r="424" spans="1:8" x14ac:dyDescent="0.3">
      <c r="A424" s="2">
        <v>115154</v>
      </c>
      <c r="B424" s="4" t="s">
        <v>722</v>
      </c>
      <c r="C424" s="3" t="s">
        <v>263</v>
      </c>
      <c r="D424" s="270">
        <v>55</v>
      </c>
      <c r="E424" s="270">
        <v>32</v>
      </c>
      <c r="F424" s="271"/>
      <c r="G424" s="272"/>
      <c r="H424" s="2"/>
    </row>
    <row r="425" spans="1:8" x14ac:dyDescent="0.3">
      <c r="A425" s="2">
        <v>115214</v>
      </c>
      <c r="B425" s="4" t="s">
        <v>723</v>
      </c>
      <c r="C425" s="3" t="s">
        <v>263</v>
      </c>
      <c r="D425" s="270">
        <v>51</v>
      </c>
      <c r="E425" s="270">
        <v>17</v>
      </c>
      <c r="F425" s="271"/>
      <c r="G425" s="272"/>
      <c r="H425" s="2"/>
    </row>
    <row r="426" spans="1:8" x14ac:dyDescent="0.3">
      <c r="A426" s="2">
        <v>115737</v>
      </c>
      <c r="B426" s="4" t="s">
        <v>724</v>
      </c>
      <c r="C426" s="3" t="s">
        <v>560</v>
      </c>
      <c r="D426" s="270">
        <v>51</v>
      </c>
      <c r="E426" s="270">
        <v>20</v>
      </c>
      <c r="F426" s="271"/>
      <c r="G426" s="272"/>
      <c r="H426" s="2"/>
    </row>
    <row r="427" spans="1:8" x14ac:dyDescent="0.3">
      <c r="A427" s="2">
        <v>115781</v>
      </c>
      <c r="B427" s="4" t="s">
        <v>725</v>
      </c>
      <c r="C427" s="3" t="s">
        <v>31</v>
      </c>
      <c r="D427" s="270">
        <v>55</v>
      </c>
      <c r="E427" s="270">
        <v>64</v>
      </c>
      <c r="F427" s="271" t="s">
        <v>270</v>
      </c>
      <c r="G427" s="272">
        <v>43901.63380787037</v>
      </c>
      <c r="H427" s="2"/>
    </row>
    <row r="428" spans="1:8" x14ac:dyDescent="0.3">
      <c r="A428" s="2">
        <v>116771</v>
      </c>
      <c r="B428" s="4" t="s">
        <v>726</v>
      </c>
      <c r="C428" s="3" t="s">
        <v>727</v>
      </c>
      <c r="D428" s="270">
        <v>69</v>
      </c>
      <c r="E428" s="270">
        <v>1</v>
      </c>
      <c r="F428" s="271"/>
      <c r="G428" s="272"/>
      <c r="H428" s="2"/>
    </row>
    <row r="429" spans="1:8" x14ac:dyDescent="0.3">
      <c r="A429" s="2">
        <v>118243</v>
      </c>
      <c r="B429" s="4" t="s">
        <v>728</v>
      </c>
      <c r="C429" s="3" t="s">
        <v>263</v>
      </c>
      <c r="D429" s="270">
        <v>89</v>
      </c>
      <c r="E429" s="270">
        <v>12</v>
      </c>
      <c r="F429" s="271" t="s">
        <v>270</v>
      </c>
      <c r="G429" s="272">
        <v>43875.379710648151</v>
      </c>
      <c r="H429" s="2"/>
    </row>
    <row r="430" spans="1:8" x14ac:dyDescent="0.3">
      <c r="A430" s="2">
        <v>118248</v>
      </c>
      <c r="B430" s="4" t="s">
        <v>729</v>
      </c>
      <c r="C430" s="3" t="s">
        <v>560</v>
      </c>
      <c r="D430" s="270">
        <v>51</v>
      </c>
      <c r="E430" s="270">
        <v>21</v>
      </c>
      <c r="F430" s="271"/>
      <c r="G430" s="272"/>
      <c r="H430" s="2"/>
    </row>
    <row r="431" spans="1:8" x14ac:dyDescent="0.3">
      <c r="A431" s="2">
        <v>118578</v>
      </c>
      <c r="B431" s="4" t="s">
        <v>730</v>
      </c>
      <c r="C431" s="3" t="s">
        <v>560</v>
      </c>
      <c r="D431" s="270">
        <v>51</v>
      </c>
      <c r="E431" s="270">
        <v>21</v>
      </c>
      <c r="F431" s="271"/>
      <c r="G431" s="272"/>
      <c r="H431" s="2"/>
    </row>
    <row r="432" spans="1:8" x14ac:dyDescent="0.3">
      <c r="A432" s="2">
        <v>118580</v>
      </c>
      <c r="B432" s="4" t="s">
        <v>731</v>
      </c>
      <c r="C432" s="3" t="s">
        <v>560</v>
      </c>
      <c r="D432" s="270">
        <v>51</v>
      </c>
      <c r="E432" s="270">
        <v>21</v>
      </c>
      <c r="F432" s="271"/>
      <c r="G432" s="272"/>
      <c r="H432" s="2"/>
    </row>
    <row r="433" spans="1:8" x14ac:dyDescent="0.3">
      <c r="A433" s="2">
        <v>118660</v>
      </c>
      <c r="B433" s="4" t="s">
        <v>732</v>
      </c>
      <c r="C433" s="3"/>
      <c r="D433" s="270"/>
      <c r="E433" s="270"/>
      <c r="F433" s="271" t="s">
        <v>270</v>
      </c>
      <c r="G433" s="272">
        <v>43808.444606481484</v>
      </c>
      <c r="H433" s="2"/>
    </row>
    <row r="434" spans="1:8" x14ac:dyDescent="0.3">
      <c r="A434" s="2">
        <v>118779</v>
      </c>
      <c r="B434" s="4" t="s">
        <v>733</v>
      </c>
      <c r="C434" s="3" t="s">
        <v>263</v>
      </c>
      <c r="D434" s="270">
        <v>55</v>
      </c>
      <c r="E434" s="270">
        <v>32</v>
      </c>
      <c r="F434" s="271"/>
      <c r="G434" s="272"/>
      <c r="H434" s="2"/>
    </row>
    <row r="435" spans="1:8" x14ac:dyDescent="0.3">
      <c r="A435" s="2">
        <v>118843</v>
      </c>
      <c r="B435" s="4" t="s">
        <v>734</v>
      </c>
      <c r="C435" s="3" t="s">
        <v>263</v>
      </c>
      <c r="D435" s="270">
        <v>52</v>
      </c>
      <c r="E435" s="270">
        <v>9</v>
      </c>
      <c r="F435" s="271"/>
      <c r="G435" s="272"/>
      <c r="H435" s="2"/>
    </row>
    <row r="436" spans="1:8" x14ac:dyDescent="0.3">
      <c r="A436" s="2">
        <v>118864</v>
      </c>
      <c r="B436" s="4" t="s">
        <v>735</v>
      </c>
      <c r="C436" s="3" t="s">
        <v>263</v>
      </c>
      <c r="D436" s="270">
        <v>51</v>
      </c>
      <c r="E436" s="270">
        <v>9</v>
      </c>
      <c r="F436" s="271" t="s">
        <v>270</v>
      </c>
      <c r="G436" s="272" t="s">
        <v>522</v>
      </c>
      <c r="H436" s="2">
        <v>136554</v>
      </c>
    </row>
    <row r="437" spans="1:8" x14ac:dyDescent="0.3">
      <c r="A437" s="2">
        <v>118865</v>
      </c>
      <c r="B437" s="4" t="s">
        <v>736</v>
      </c>
      <c r="C437" s="3" t="s">
        <v>263</v>
      </c>
      <c r="D437" s="270">
        <v>51</v>
      </c>
      <c r="E437" s="270">
        <v>9</v>
      </c>
      <c r="F437" s="271" t="s">
        <v>270</v>
      </c>
      <c r="G437" s="272" t="s">
        <v>737</v>
      </c>
      <c r="H437" s="2">
        <v>136555</v>
      </c>
    </row>
    <row r="438" spans="1:8" x14ac:dyDescent="0.3">
      <c r="A438" s="2">
        <v>118993</v>
      </c>
      <c r="B438" s="4" t="s">
        <v>738</v>
      </c>
      <c r="C438" s="3" t="s">
        <v>560</v>
      </c>
      <c r="D438" s="270">
        <v>51</v>
      </c>
      <c r="E438" s="270">
        <v>21</v>
      </c>
      <c r="F438" s="271"/>
      <c r="G438" s="272"/>
      <c r="H438" s="2"/>
    </row>
    <row r="439" spans="1:8" x14ac:dyDescent="0.3">
      <c r="A439" s="2">
        <v>118994</v>
      </c>
      <c r="B439" s="4" t="s">
        <v>739</v>
      </c>
      <c r="C439" s="3" t="s">
        <v>560</v>
      </c>
      <c r="D439" s="270">
        <v>51</v>
      </c>
      <c r="E439" s="270">
        <v>21</v>
      </c>
      <c r="F439" s="271"/>
      <c r="G439" s="272"/>
      <c r="H439" s="2"/>
    </row>
    <row r="440" spans="1:8" x14ac:dyDescent="0.3">
      <c r="A440" s="2">
        <v>119008</v>
      </c>
      <c r="B440" s="4" t="s">
        <v>740</v>
      </c>
      <c r="C440" s="3" t="s">
        <v>31</v>
      </c>
      <c r="D440" s="270">
        <v>55</v>
      </c>
      <c r="E440" s="270">
        <v>62</v>
      </c>
      <c r="F440" s="271" t="s">
        <v>270</v>
      </c>
      <c r="G440" s="272">
        <v>43875.457731481481</v>
      </c>
      <c r="H440" s="2"/>
    </row>
    <row r="441" spans="1:8" x14ac:dyDescent="0.3">
      <c r="A441" s="2">
        <v>119087</v>
      </c>
      <c r="B441" s="4" t="s">
        <v>741</v>
      </c>
      <c r="C441" s="3" t="s">
        <v>263</v>
      </c>
      <c r="D441" s="270">
        <v>59</v>
      </c>
      <c r="E441" s="270">
        <v>18</v>
      </c>
      <c r="F441" s="271" t="s">
        <v>261</v>
      </c>
      <c r="G441" s="272">
        <v>44461.442743055559</v>
      </c>
      <c r="H441" s="2"/>
    </row>
    <row r="442" spans="1:8" x14ac:dyDescent="0.3">
      <c r="A442" s="2">
        <v>119182</v>
      </c>
      <c r="B442" s="4" t="s">
        <v>742</v>
      </c>
      <c r="C442" s="3" t="s">
        <v>31</v>
      </c>
      <c r="D442" s="270">
        <v>55</v>
      </c>
      <c r="E442" s="270">
        <v>37</v>
      </c>
      <c r="F442" s="271"/>
      <c r="G442" s="272"/>
      <c r="H442" s="2">
        <v>136083</v>
      </c>
    </row>
    <row r="443" spans="1:8" x14ac:dyDescent="0.3">
      <c r="A443" s="2">
        <v>119183</v>
      </c>
      <c r="B443" s="4" t="s">
        <v>743</v>
      </c>
      <c r="C443" s="3" t="s">
        <v>31</v>
      </c>
      <c r="D443" s="270">
        <v>55</v>
      </c>
      <c r="E443" s="270">
        <v>37</v>
      </c>
      <c r="F443" s="271"/>
      <c r="G443" s="272"/>
      <c r="H443" s="2"/>
    </row>
    <row r="444" spans="1:8" x14ac:dyDescent="0.3">
      <c r="A444" s="2">
        <v>119514</v>
      </c>
      <c r="B444" s="4" t="s">
        <v>744</v>
      </c>
      <c r="C444" s="3" t="s">
        <v>272</v>
      </c>
      <c r="D444" s="270">
        <v>51</v>
      </c>
      <c r="E444" s="270">
        <v>28</v>
      </c>
      <c r="F444" s="271" t="s">
        <v>270</v>
      </c>
      <c r="G444" s="272" t="s">
        <v>745</v>
      </c>
      <c r="H444" s="2"/>
    </row>
    <row r="445" spans="1:8" x14ac:dyDescent="0.3">
      <c r="A445" s="2">
        <v>119626</v>
      </c>
      <c r="B445" s="4" t="s">
        <v>746</v>
      </c>
      <c r="C445" s="3" t="s">
        <v>560</v>
      </c>
      <c r="D445" s="270">
        <v>51</v>
      </c>
      <c r="E445" s="270">
        <v>19</v>
      </c>
      <c r="F445" s="271"/>
      <c r="G445" s="272"/>
      <c r="H445" s="2"/>
    </row>
    <row r="446" spans="1:8" x14ac:dyDescent="0.3">
      <c r="A446" s="2">
        <v>119627</v>
      </c>
      <c r="B446" s="4" t="s">
        <v>747</v>
      </c>
      <c r="C446" s="3" t="s">
        <v>272</v>
      </c>
      <c r="D446" s="270">
        <v>55</v>
      </c>
      <c r="E446" s="270">
        <v>19</v>
      </c>
      <c r="F446" s="271" t="s">
        <v>264</v>
      </c>
      <c r="G446" s="272">
        <v>44104.394143518519</v>
      </c>
      <c r="H446" s="2">
        <v>140050</v>
      </c>
    </row>
    <row r="447" spans="1:8" x14ac:dyDescent="0.3">
      <c r="A447" s="2">
        <v>119628</v>
      </c>
      <c r="B447" s="4" t="s">
        <v>748</v>
      </c>
      <c r="C447" s="3" t="s">
        <v>272</v>
      </c>
      <c r="D447" s="270">
        <v>55</v>
      </c>
      <c r="E447" s="270">
        <v>19</v>
      </c>
      <c r="F447" s="271" t="s">
        <v>264</v>
      </c>
      <c r="G447" s="272">
        <v>44104.394143518519</v>
      </c>
      <c r="H447" s="2">
        <v>140053</v>
      </c>
    </row>
    <row r="448" spans="1:8" x14ac:dyDescent="0.3">
      <c r="A448" s="2">
        <v>119793</v>
      </c>
      <c r="B448" s="4" t="s">
        <v>749</v>
      </c>
      <c r="C448" s="3" t="s">
        <v>560</v>
      </c>
      <c r="D448" s="270">
        <v>51</v>
      </c>
      <c r="E448" s="270">
        <v>19</v>
      </c>
      <c r="F448" s="271"/>
      <c r="G448" s="272"/>
      <c r="H448" s="2"/>
    </row>
    <row r="449" spans="1:8" x14ac:dyDescent="0.3">
      <c r="A449" s="2">
        <v>119794</v>
      </c>
      <c r="B449" s="4" t="s">
        <v>750</v>
      </c>
      <c r="C449" s="3" t="s">
        <v>560</v>
      </c>
      <c r="D449" s="270">
        <v>51</v>
      </c>
      <c r="E449" s="270">
        <v>19</v>
      </c>
      <c r="F449" s="271"/>
      <c r="G449" s="272"/>
      <c r="H449" s="2"/>
    </row>
    <row r="450" spans="1:8" x14ac:dyDescent="0.3">
      <c r="A450" s="2">
        <v>119795</v>
      </c>
      <c r="B450" s="4" t="s">
        <v>751</v>
      </c>
      <c r="C450" s="3" t="s">
        <v>560</v>
      </c>
      <c r="D450" s="270">
        <v>51</v>
      </c>
      <c r="E450" s="270">
        <v>19</v>
      </c>
      <c r="F450" s="271"/>
      <c r="G450" s="272"/>
      <c r="H450" s="2"/>
    </row>
    <row r="451" spans="1:8" x14ac:dyDescent="0.3">
      <c r="A451" s="2">
        <v>119796</v>
      </c>
      <c r="B451" s="4" t="s">
        <v>752</v>
      </c>
      <c r="C451" s="3" t="s">
        <v>560</v>
      </c>
      <c r="D451" s="270">
        <v>51</v>
      </c>
      <c r="E451" s="270">
        <v>19</v>
      </c>
      <c r="F451" s="271"/>
      <c r="G451" s="272"/>
      <c r="H451" s="2"/>
    </row>
    <row r="452" spans="1:8" x14ac:dyDescent="0.3">
      <c r="A452" s="2">
        <v>119798</v>
      </c>
      <c r="B452" s="4" t="s">
        <v>753</v>
      </c>
      <c r="C452" s="3" t="s">
        <v>560</v>
      </c>
      <c r="D452" s="270">
        <v>51</v>
      </c>
      <c r="E452" s="270">
        <v>19</v>
      </c>
      <c r="F452" s="271"/>
      <c r="G452" s="272"/>
      <c r="H452" s="2"/>
    </row>
    <row r="453" spans="1:8" x14ac:dyDescent="0.3">
      <c r="A453" s="2">
        <v>119810</v>
      </c>
      <c r="B453" s="4" t="s">
        <v>754</v>
      </c>
      <c r="C453" s="3" t="s">
        <v>263</v>
      </c>
      <c r="D453" s="270">
        <v>55</v>
      </c>
      <c r="E453" s="270">
        <v>52</v>
      </c>
      <c r="F453" s="271" t="s">
        <v>270</v>
      </c>
      <c r="G453" s="272">
        <v>43901.63380787037</v>
      </c>
      <c r="H453" s="2"/>
    </row>
    <row r="454" spans="1:8" x14ac:dyDescent="0.3">
      <c r="A454" s="2">
        <v>119811</v>
      </c>
      <c r="B454" s="4" t="s">
        <v>755</v>
      </c>
      <c r="C454" s="3" t="s">
        <v>263</v>
      </c>
      <c r="D454" s="270">
        <v>55</v>
      </c>
      <c r="E454" s="270">
        <v>52</v>
      </c>
      <c r="F454" s="271" t="s">
        <v>270</v>
      </c>
      <c r="G454" s="272">
        <v>43901.63380787037</v>
      </c>
      <c r="H454" s="2"/>
    </row>
    <row r="455" spans="1:8" x14ac:dyDescent="0.3">
      <c r="A455" s="2">
        <v>120217</v>
      </c>
      <c r="B455" s="4" t="s">
        <v>756</v>
      </c>
      <c r="C455" s="3" t="s">
        <v>263</v>
      </c>
      <c r="D455" s="270">
        <v>84</v>
      </c>
      <c r="E455" s="270">
        <v>1</v>
      </c>
      <c r="F455" s="271"/>
      <c r="G455" s="272"/>
      <c r="H455" s="2"/>
    </row>
    <row r="456" spans="1:8" x14ac:dyDescent="0.3">
      <c r="A456" s="2">
        <v>120477</v>
      </c>
      <c r="B456" s="4" t="s">
        <v>757</v>
      </c>
      <c r="C456" s="3" t="s">
        <v>263</v>
      </c>
      <c r="D456" s="270">
        <v>55</v>
      </c>
      <c r="E456" s="270">
        <v>63</v>
      </c>
      <c r="F456" s="271" t="s">
        <v>270</v>
      </c>
      <c r="G456" s="272">
        <v>43901.63380787037</v>
      </c>
      <c r="H456" s="2"/>
    </row>
    <row r="457" spans="1:8" x14ac:dyDescent="0.3">
      <c r="A457" s="2">
        <v>121214</v>
      </c>
      <c r="B457" s="4" t="s">
        <v>758</v>
      </c>
      <c r="C457" s="3" t="s">
        <v>31</v>
      </c>
      <c r="D457" s="270">
        <v>83</v>
      </c>
      <c r="E457" s="270">
        <v>8</v>
      </c>
      <c r="F457" s="271" t="s">
        <v>270</v>
      </c>
      <c r="G457" s="272" t="s">
        <v>759</v>
      </c>
      <c r="H457" s="2"/>
    </row>
    <row r="458" spans="1:8" x14ac:dyDescent="0.3">
      <c r="A458" s="2">
        <v>121292</v>
      </c>
      <c r="B458" s="4" t="s">
        <v>760</v>
      </c>
      <c r="C458" s="3" t="s">
        <v>31</v>
      </c>
      <c r="D458" s="270">
        <v>55</v>
      </c>
      <c r="E458" s="270">
        <v>49</v>
      </c>
      <c r="F458" s="271" t="s">
        <v>270</v>
      </c>
      <c r="G458" s="272">
        <v>43808.481793981482</v>
      </c>
      <c r="H458" s="2">
        <v>136898</v>
      </c>
    </row>
    <row r="459" spans="1:8" x14ac:dyDescent="0.3">
      <c r="A459" s="2">
        <v>122153</v>
      </c>
      <c r="B459" s="4" t="s">
        <v>761</v>
      </c>
      <c r="C459" s="3" t="s">
        <v>263</v>
      </c>
      <c r="D459" s="270">
        <v>55</v>
      </c>
      <c r="E459" s="270">
        <v>46</v>
      </c>
      <c r="F459" s="271"/>
      <c r="G459" s="272"/>
      <c r="H459" s="2"/>
    </row>
    <row r="460" spans="1:8" x14ac:dyDescent="0.3">
      <c r="A460" s="2">
        <v>122154</v>
      </c>
      <c r="B460" s="4" t="s">
        <v>762</v>
      </c>
      <c r="C460" s="3" t="s">
        <v>31</v>
      </c>
      <c r="D460" s="270">
        <v>55</v>
      </c>
      <c r="E460" s="270">
        <v>63</v>
      </c>
      <c r="F460" s="271"/>
      <c r="G460" s="272"/>
      <c r="H460" s="2"/>
    </row>
    <row r="461" spans="1:8" x14ac:dyDescent="0.3">
      <c r="A461" s="2">
        <v>122545</v>
      </c>
      <c r="B461" s="4" t="s">
        <v>763</v>
      </c>
      <c r="C461" s="3" t="s">
        <v>263</v>
      </c>
      <c r="D461" s="270">
        <v>84</v>
      </c>
      <c r="E461" s="270">
        <v>2</v>
      </c>
      <c r="F461" s="271"/>
      <c r="G461" s="272"/>
      <c r="H461" s="2"/>
    </row>
    <row r="462" spans="1:8" x14ac:dyDescent="0.3">
      <c r="A462" s="2">
        <v>123146</v>
      </c>
      <c r="B462" s="4" t="s">
        <v>764</v>
      </c>
      <c r="C462" s="3" t="s">
        <v>611</v>
      </c>
      <c r="D462" s="270">
        <v>51</v>
      </c>
      <c r="E462" s="270">
        <v>4</v>
      </c>
      <c r="F462" s="271" t="s">
        <v>261</v>
      </c>
      <c r="G462" s="272">
        <v>44454.452928240738</v>
      </c>
      <c r="H462" s="2"/>
    </row>
    <row r="463" spans="1:8" x14ac:dyDescent="0.3">
      <c r="A463" s="2">
        <v>123241</v>
      </c>
      <c r="B463" s="4" t="s">
        <v>765</v>
      </c>
      <c r="C463" s="3" t="s">
        <v>345</v>
      </c>
      <c r="D463" s="270">
        <v>69</v>
      </c>
      <c r="E463" s="270">
        <v>2</v>
      </c>
      <c r="F463" s="271" t="s">
        <v>264</v>
      </c>
      <c r="G463" s="272">
        <v>44237.476643518516</v>
      </c>
      <c r="H463" s="2"/>
    </row>
    <row r="464" spans="1:8" x14ac:dyDescent="0.3">
      <c r="A464" s="2">
        <v>123347</v>
      </c>
      <c r="B464" s="4" t="s">
        <v>766</v>
      </c>
      <c r="C464" s="3" t="s">
        <v>269</v>
      </c>
      <c r="D464" s="270">
        <v>67</v>
      </c>
      <c r="E464" s="270">
        <v>7</v>
      </c>
      <c r="F464" s="271"/>
      <c r="G464" s="272"/>
      <c r="H464" s="2"/>
    </row>
    <row r="465" spans="1:8" x14ac:dyDescent="0.3">
      <c r="A465" s="2">
        <v>123348</v>
      </c>
      <c r="B465" s="4" t="s">
        <v>767</v>
      </c>
      <c r="C465" s="3" t="s">
        <v>269</v>
      </c>
      <c r="D465" s="270">
        <v>67</v>
      </c>
      <c r="E465" s="270">
        <v>7</v>
      </c>
      <c r="F465" s="271"/>
      <c r="G465" s="272"/>
      <c r="H465" s="2"/>
    </row>
    <row r="466" spans="1:8" x14ac:dyDescent="0.3">
      <c r="A466" s="2">
        <v>123351</v>
      </c>
      <c r="B466" s="4" t="s">
        <v>768</v>
      </c>
      <c r="C466" s="3" t="s">
        <v>269</v>
      </c>
      <c r="D466" s="270">
        <v>67</v>
      </c>
      <c r="E466" s="270">
        <v>7</v>
      </c>
      <c r="F466" s="271"/>
      <c r="G466" s="272"/>
      <c r="H466" s="2"/>
    </row>
    <row r="467" spans="1:8" x14ac:dyDescent="0.3">
      <c r="A467" s="2">
        <v>123352</v>
      </c>
      <c r="B467" s="4" t="s">
        <v>769</v>
      </c>
      <c r="C467" s="3" t="s">
        <v>269</v>
      </c>
      <c r="D467" s="270">
        <v>67</v>
      </c>
      <c r="E467" s="270">
        <v>7</v>
      </c>
      <c r="F467" s="271"/>
      <c r="G467" s="272"/>
      <c r="H467" s="2"/>
    </row>
    <row r="468" spans="1:8" x14ac:dyDescent="0.3">
      <c r="A468" s="2">
        <v>123353</v>
      </c>
      <c r="B468" s="4" t="s">
        <v>770</v>
      </c>
      <c r="C468" s="3" t="s">
        <v>269</v>
      </c>
      <c r="D468" s="270">
        <v>67</v>
      </c>
      <c r="E468" s="270">
        <v>7</v>
      </c>
      <c r="F468" s="271"/>
      <c r="G468" s="272"/>
      <c r="H468" s="2"/>
    </row>
    <row r="469" spans="1:8" x14ac:dyDescent="0.3">
      <c r="A469" s="2">
        <v>123371</v>
      </c>
      <c r="B469" s="4" t="s">
        <v>771</v>
      </c>
      <c r="C469" s="3" t="s">
        <v>272</v>
      </c>
      <c r="D469" s="270">
        <v>55</v>
      </c>
      <c r="E469" s="270">
        <v>19</v>
      </c>
      <c r="F469" s="271" t="s">
        <v>264</v>
      </c>
      <c r="G469" s="272">
        <v>44104.394143518519</v>
      </c>
      <c r="H469" s="2">
        <v>140061</v>
      </c>
    </row>
    <row r="470" spans="1:8" x14ac:dyDescent="0.3">
      <c r="A470" s="2">
        <v>123373</v>
      </c>
      <c r="B470" s="4" t="s">
        <v>772</v>
      </c>
      <c r="C470" s="3" t="s">
        <v>272</v>
      </c>
      <c r="D470" s="270">
        <v>55</v>
      </c>
      <c r="E470" s="270">
        <v>19</v>
      </c>
      <c r="F470" s="271" t="s">
        <v>264</v>
      </c>
      <c r="G470" s="272">
        <v>44104.394143518519</v>
      </c>
      <c r="H470" s="2">
        <v>140060</v>
      </c>
    </row>
    <row r="471" spans="1:8" x14ac:dyDescent="0.3">
      <c r="A471" s="2">
        <v>124241</v>
      </c>
      <c r="B471" s="4" t="s">
        <v>773</v>
      </c>
      <c r="C471" s="3" t="s">
        <v>31</v>
      </c>
      <c r="D471" s="270">
        <v>61</v>
      </c>
      <c r="E471" s="270">
        <v>10</v>
      </c>
      <c r="F471" s="271" t="s">
        <v>264</v>
      </c>
      <c r="G471" s="272">
        <v>43682.372615740744</v>
      </c>
      <c r="H471" s="2">
        <v>138054</v>
      </c>
    </row>
    <row r="472" spans="1:8" x14ac:dyDescent="0.3">
      <c r="A472" s="2">
        <v>124335</v>
      </c>
      <c r="B472" s="4" t="s">
        <v>774</v>
      </c>
      <c r="C472" s="3" t="s">
        <v>263</v>
      </c>
      <c r="D472" s="270">
        <v>55</v>
      </c>
      <c r="E472" s="270">
        <v>49</v>
      </c>
      <c r="F472" s="271" t="s">
        <v>270</v>
      </c>
      <c r="G472" s="272">
        <v>43734.501006944447</v>
      </c>
      <c r="H472" s="2">
        <v>138547</v>
      </c>
    </row>
    <row r="473" spans="1:8" x14ac:dyDescent="0.3">
      <c r="A473" s="2">
        <v>124980</v>
      </c>
      <c r="B473" s="4" t="s">
        <v>775</v>
      </c>
      <c r="C473" s="3" t="s">
        <v>272</v>
      </c>
      <c r="D473" s="270">
        <v>55</v>
      </c>
      <c r="E473" s="270">
        <v>19</v>
      </c>
      <c r="F473" s="271" t="s">
        <v>264</v>
      </c>
      <c r="G473" s="272">
        <v>44104.394143518519</v>
      </c>
      <c r="H473" s="2">
        <v>140056</v>
      </c>
    </row>
    <row r="474" spans="1:8" x14ac:dyDescent="0.3">
      <c r="A474" s="2">
        <v>125260</v>
      </c>
      <c r="B474" s="4" t="s">
        <v>776</v>
      </c>
      <c r="C474" s="3" t="s">
        <v>560</v>
      </c>
      <c r="D474" s="270">
        <v>51</v>
      </c>
      <c r="E474" s="270">
        <v>21</v>
      </c>
      <c r="F474" s="271"/>
      <c r="G474" s="272"/>
      <c r="H474" s="2"/>
    </row>
    <row r="475" spans="1:8" x14ac:dyDescent="0.3">
      <c r="A475" s="2">
        <v>125443</v>
      </c>
      <c r="B475" s="4" t="s">
        <v>777</v>
      </c>
      <c r="C475" s="3" t="s">
        <v>31</v>
      </c>
      <c r="D475" s="270">
        <v>55</v>
      </c>
      <c r="E475" s="270">
        <v>63</v>
      </c>
      <c r="F475" s="271"/>
      <c r="G475" s="272"/>
      <c r="H475" s="2"/>
    </row>
    <row r="476" spans="1:8" x14ac:dyDescent="0.3">
      <c r="A476" s="2">
        <v>125576</v>
      </c>
      <c r="B476" s="4" t="s">
        <v>778</v>
      </c>
      <c r="C476" s="3" t="s">
        <v>31</v>
      </c>
      <c r="D476" s="270">
        <v>84</v>
      </c>
      <c r="E476" s="270">
        <v>7</v>
      </c>
      <c r="F476" s="271"/>
      <c r="G476" s="272"/>
      <c r="H476" s="2"/>
    </row>
    <row r="477" spans="1:8" x14ac:dyDescent="0.3">
      <c r="A477" s="2">
        <v>126076</v>
      </c>
      <c r="B477" s="4" t="s">
        <v>779</v>
      </c>
      <c r="C477" s="3" t="s">
        <v>31</v>
      </c>
      <c r="D477" s="270">
        <v>55</v>
      </c>
      <c r="E477" s="270">
        <v>57</v>
      </c>
      <c r="F477" s="271" t="s">
        <v>270</v>
      </c>
      <c r="G477" s="272">
        <v>43901.63380787037</v>
      </c>
      <c r="H477" s="2"/>
    </row>
    <row r="478" spans="1:8" x14ac:dyDescent="0.3">
      <c r="A478" s="2">
        <v>126078</v>
      </c>
      <c r="B478" s="4" t="s">
        <v>780</v>
      </c>
      <c r="C478" s="3" t="s">
        <v>31</v>
      </c>
      <c r="D478" s="270">
        <v>55</v>
      </c>
      <c r="E478" s="270">
        <v>37</v>
      </c>
      <c r="F478" s="271"/>
      <c r="G478" s="272"/>
      <c r="H478" s="2"/>
    </row>
    <row r="479" spans="1:8" x14ac:dyDescent="0.3">
      <c r="A479" s="2">
        <v>126079</v>
      </c>
      <c r="B479" s="4" t="s">
        <v>781</v>
      </c>
      <c r="C479" s="3" t="s">
        <v>31</v>
      </c>
      <c r="D479" s="270">
        <v>55</v>
      </c>
      <c r="E479" s="270">
        <v>26</v>
      </c>
      <c r="F479" s="271"/>
      <c r="G479" s="272"/>
      <c r="H479" s="2"/>
    </row>
    <row r="480" spans="1:8" x14ac:dyDescent="0.3">
      <c r="A480" s="2">
        <v>126080</v>
      </c>
      <c r="B480" s="4" t="s">
        <v>782</v>
      </c>
      <c r="C480" s="3" t="s">
        <v>31</v>
      </c>
      <c r="D480" s="270">
        <v>55</v>
      </c>
      <c r="E480" s="270">
        <v>26</v>
      </c>
      <c r="F480" s="271"/>
      <c r="G480" s="272"/>
      <c r="H480" s="2"/>
    </row>
    <row r="481" spans="1:8" x14ac:dyDescent="0.3">
      <c r="A481" s="2">
        <v>126081</v>
      </c>
      <c r="B481" s="4" t="s">
        <v>783</v>
      </c>
      <c r="C481" s="3" t="s">
        <v>31</v>
      </c>
      <c r="D481" s="270">
        <v>55</v>
      </c>
      <c r="E481" s="270">
        <v>26</v>
      </c>
      <c r="F481" s="271"/>
      <c r="G481" s="272"/>
      <c r="H481" s="2"/>
    </row>
    <row r="482" spans="1:8" x14ac:dyDescent="0.3">
      <c r="A482" s="2">
        <v>126127</v>
      </c>
      <c r="B482" s="4" t="s">
        <v>784</v>
      </c>
      <c r="C482" s="3" t="s">
        <v>31</v>
      </c>
      <c r="D482" s="270">
        <v>55</v>
      </c>
      <c r="E482" s="270">
        <v>26</v>
      </c>
      <c r="F482" s="271"/>
      <c r="G482" s="272"/>
      <c r="H482" s="2"/>
    </row>
    <row r="483" spans="1:8" x14ac:dyDescent="0.3">
      <c r="A483" s="2">
        <v>126343</v>
      </c>
      <c r="B483" s="4" t="s">
        <v>785</v>
      </c>
      <c r="C483" s="3" t="s">
        <v>560</v>
      </c>
      <c r="D483" s="270">
        <v>51</v>
      </c>
      <c r="E483" s="270">
        <v>21</v>
      </c>
      <c r="F483" s="271"/>
      <c r="G483" s="272"/>
      <c r="H483" s="2"/>
    </row>
    <row r="484" spans="1:8" x14ac:dyDescent="0.3">
      <c r="A484" s="2">
        <v>126344</v>
      </c>
      <c r="B484" s="4" t="s">
        <v>786</v>
      </c>
      <c r="C484" s="3" t="s">
        <v>560</v>
      </c>
      <c r="D484" s="270">
        <v>51</v>
      </c>
      <c r="E484" s="270">
        <v>21</v>
      </c>
      <c r="F484" s="271"/>
      <c r="G484" s="272"/>
      <c r="H484" s="2"/>
    </row>
    <row r="485" spans="1:8" x14ac:dyDescent="0.3">
      <c r="A485" s="2">
        <v>127331</v>
      </c>
      <c r="B485" s="4" t="s">
        <v>787</v>
      </c>
      <c r="C485" s="3" t="s">
        <v>335</v>
      </c>
      <c r="D485" s="270">
        <v>72</v>
      </c>
      <c r="E485" s="270">
        <v>8</v>
      </c>
      <c r="F485" s="271" t="s">
        <v>264</v>
      </c>
      <c r="G485" s="272">
        <v>44258.722500000003</v>
      </c>
      <c r="H485" s="2"/>
    </row>
    <row r="486" spans="1:8" x14ac:dyDescent="0.3">
      <c r="A486" s="2">
        <v>127963</v>
      </c>
      <c r="B486" s="4" t="s">
        <v>788</v>
      </c>
      <c r="C486" s="3" t="s">
        <v>263</v>
      </c>
      <c r="D486" s="270">
        <v>55</v>
      </c>
      <c r="E486" s="270">
        <v>34</v>
      </c>
      <c r="F486" s="271" t="s">
        <v>270</v>
      </c>
      <c r="G486" s="272">
        <v>43875.454641203702</v>
      </c>
      <c r="H486" s="2"/>
    </row>
    <row r="487" spans="1:8" x14ac:dyDescent="0.3">
      <c r="A487" s="2">
        <v>128301</v>
      </c>
      <c r="B487" s="4" t="s">
        <v>789</v>
      </c>
      <c r="C487" s="3" t="s">
        <v>263</v>
      </c>
      <c r="D487" s="270">
        <v>55</v>
      </c>
      <c r="E487" s="270">
        <v>62</v>
      </c>
      <c r="F487" s="271"/>
      <c r="G487" s="272"/>
      <c r="H487" s="2"/>
    </row>
    <row r="488" spans="1:8" x14ac:dyDescent="0.3">
      <c r="A488" s="2">
        <v>128302</v>
      </c>
      <c r="B488" s="4" t="s">
        <v>790</v>
      </c>
      <c r="C488" s="3" t="s">
        <v>263</v>
      </c>
      <c r="D488" s="270">
        <v>54</v>
      </c>
      <c r="E488" s="270">
        <v>16</v>
      </c>
      <c r="F488" s="271" t="s">
        <v>270</v>
      </c>
      <c r="G488" s="272" t="s">
        <v>519</v>
      </c>
      <c r="H488" s="2"/>
    </row>
    <row r="489" spans="1:8" x14ac:dyDescent="0.3">
      <c r="A489" s="2">
        <v>128306</v>
      </c>
      <c r="B489" s="4" t="s">
        <v>791</v>
      </c>
      <c r="C489" s="3" t="s">
        <v>263</v>
      </c>
      <c r="D489" s="270">
        <v>54</v>
      </c>
      <c r="E489" s="270">
        <v>16</v>
      </c>
      <c r="F489" s="271" t="s">
        <v>270</v>
      </c>
      <c r="G489" s="272" t="s">
        <v>519</v>
      </c>
      <c r="H489" s="2"/>
    </row>
    <row r="490" spans="1:8" x14ac:dyDescent="0.3">
      <c r="A490" s="2">
        <v>128307</v>
      </c>
      <c r="B490" s="4" t="s">
        <v>792</v>
      </c>
      <c r="C490" s="3" t="s">
        <v>263</v>
      </c>
      <c r="D490" s="270">
        <v>54</v>
      </c>
      <c r="E490" s="270">
        <v>16</v>
      </c>
      <c r="F490" s="271" t="s">
        <v>270</v>
      </c>
      <c r="G490" s="272">
        <v>44018.628750000003</v>
      </c>
      <c r="H490" s="2"/>
    </row>
    <row r="491" spans="1:8" x14ac:dyDescent="0.3">
      <c r="A491" s="2">
        <v>128308</v>
      </c>
      <c r="B491" s="4" t="s">
        <v>793</v>
      </c>
      <c r="C491" s="3" t="s">
        <v>263</v>
      </c>
      <c r="D491" s="270">
        <v>56</v>
      </c>
      <c r="E491" s="270">
        <v>1</v>
      </c>
      <c r="F491" s="271" t="s">
        <v>270</v>
      </c>
      <c r="G491" s="272" t="s">
        <v>794</v>
      </c>
      <c r="H491" s="2"/>
    </row>
    <row r="492" spans="1:8" x14ac:dyDescent="0.3">
      <c r="A492" s="2">
        <v>128309</v>
      </c>
      <c r="B492" s="4" t="s">
        <v>795</v>
      </c>
      <c r="C492" s="3" t="s">
        <v>263</v>
      </c>
      <c r="D492" s="270">
        <v>56</v>
      </c>
      <c r="E492" s="270">
        <v>1</v>
      </c>
      <c r="F492" s="271" t="s">
        <v>270</v>
      </c>
      <c r="G492" s="272" t="s">
        <v>794</v>
      </c>
      <c r="H492" s="2"/>
    </row>
    <row r="493" spans="1:8" x14ac:dyDescent="0.3">
      <c r="A493" s="2">
        <v>128389</v>
      </c>
      <c r="B493" s="4" t="s">
        <v>796</v>
      </c>
      <c r="C493" s="3" t="s">
        <v>263</v>
      </c>
      <c r="D493" s="270">
        <v>55</v>
      </c>
      <c r="E493" s="270">
        <v>5</v>
      </c>
      <c r="F493" s="271" t="s">
        <v>264</v>
      </c>
      <c r="G493" s="272">
        <v>44069.495046296295</v>
      </c>
      <c r="H493" s="2"/>
    </row>
    <row r="494" spans="1:8" x14ac:dyDescent="0.3">
      <c r="A494" s="2">
        <v>128392</v>
      </c>
      <c r="B494" s="4" t="s">
        <v>797</v>
      </c>
      <c r="C494" s="3" t="s">
        <v>260</v>
      </c>
      <c r="D494" s="270">
        <v>70</v>
      </c>
      <c r="E494" s="270">
        <v>47</v>
      </c>
      <c r="F494" s="271"/>
      <c r="G494" s="272"/>
      <c r="H494" s="2"/>
    </row>
    <row r="495" spans="1:8" x14ac:dyDescent="0.3">
      <c r="A495" s="2">
        <v>128458</v>
      </c>
      <c r="B495" s="4" t="s">
        <v>798</v>
      </c>
      <c r="C495" s="3" t="s">
        <v>31</v>
      </c>
      <c r="D495" s="270">
        <v>54</v>
      </c>
      <c r="E495" s="270">
        <v>16</v>
      </c>
      <c r="F495" s="271" t="s">
        <v>270</v>
      </c>
      <c r="G495" s="272" t="s">
        <v>519</v>
      </c>
      <c r="H495" s="2"/>
    </row>
    <row r="496" spans="1:8" x14ac:dyDescent="0.3">
      <c r="A496" s="2">
        <v>128817</v>
      </c>
      <c r="B496" s="4" t="s">
        <v>799</v>
      </c>
      <c r="C496" s="3" t="s">
        <v>31</v>
      </c>
      <c r="D496" s="270">
        <v>55</v>
      </c>
      <c r="E496" s="270">
        <v>32</v>
      </c>
      <c r="F496" s="271" t="s">
        <v>264</v>
      </c>
      <c r="G496" s="272">
        <v>44237.606608796297</v>
      </c>
      <c r="H496" s="2"/>
    </row>
    <row r="497" spans="1:8" x14ac:dyDescent="0.3">
      <c r="A497" s="2">
        <v>128832</v>
      </c>
      <c r="B497" s="4" t="s">
        <v>800</v>
      </c>
      <c r="C497" s="3" t="s">
        <v>31</v>
      </c>
      <c r="D497" s="270">
        <v>84</v>
      </c>
      <c r="E497" s="270">
        <v>5</v>
      </c>
      <c r="F497" s="271"/>
      <c r="G497" s="272"/>
      <c r="H497" s="2"/>
    </row>
    <row r="498" spans="1:8" x14ac:dyDescent="0.3">
      <c r="A498" s="2">
        <v>129959</v>
      </c>
      <c r="B498" s="4" t="s">
        <v>801</v>
      </c>
      <c r="C498" s="3" t="s">
        <v>272</v>
      </c>
      <c r="D498" s="270">
        <v>55</v>
      </c>
      <c r="E498" s="270">
        <v>19</v>
      </c>
      <c r="F498" s="271" t="s">
        <v>264</v>
      </c>
      <c r="G498" s="272">
        <v>44104.394143518519</v>
      </c>
      <c r="H498" s="2">
        <v>140047</v>
      </c>
    </row>
    <row r="499" spans="1:8" x14ac:dyDescent="0.3">
      <c r="A499" s="2">
        <v>129979</v>
      </c>
      <c r="B499" s="4" t="s">
        <v>802</v>
      </c>
      <c r="C499" s="3" t="s">
        <v>31</v>
      </c>
      <c r="D499" s="270">
        <v>61</v>
      </c>
      <c r="E499" s="270">
        <v>8</v>
      </c>
      <c r="F499" s="271" t="s">
        <v>270</v>
      </c>
      <c r="G499" s="272" t="s">
        <v>803</v>
      </c>
      <c r="H499" s="2"/>
    </row>
    <row r="500" spans="1:8" x14ac:dyDescent="0.3">
      <c r="A500" s="2">
        <v>130157</v>
      </c>
      <c r="B500" s="4" t="s">
        <v>804</v>
      </c>
      <c r="C500" s="3" t="s">
        <v>272</v>
      </c>
      <c r="D500" s="270">
        <v>56</v>
      </c>
      <c r="E500" s="270">
        <v>9</v>
      </c>
      <c r="F500" s="271" t="s">
        <v>270</v>
      </c>
      <c r="G500" s="272" t="s">
        <v>794</v>
      </c>
      <c r="H500" s="2"/>
    </row>
    <row r="501" spans="1:8" x14ac:dyDescent="0.3">
      <c r="A501" s="2">
        <v>130564</v>
      </c>
      <c r="B501" s="4" t="s">
        <v>805</v>
      </c>
      <c r="C501" s="3" t="s">
        <v>31</v>
      </c>
      <c r="D501" s="270">
        <v>54</v>
      </c>
      <c r="E501" s="270">
        <v>4</v>
      </c>
      <c r="F501" s="271" t="s">
        <v>270</v>
      </c>
      <c r="G501" s="272">
        <v>43825.339375000003</v>
      </c>
      <c r="H501" s="2"/>
    </row>
    <row r="502" spans="1:8" x14ac:dyDescent="0.3">
      <c r="A502" s="2">
        <v>130614</v>
      </c>
      <c r="B502" s="4" t="s">
        <v>806</v>
      </c>
      <c r="C502" s="3" t="s">
        <v>335</v>
      </c>
      <c r="D502" s="270">
        <v>75</v>
      </c>
      <c r="E502" s="270">
        <v>5</v>
      </c>
      <c r="F502" s="271" t="s">
        <v>261</v>
      </c>
      <c r="G502" s="272">
        <v>44463.593159722222</v>
      </c>
      <c r="H502" s="2"/>
    </row>
    <row r="503" spans="1:8" x14ac:dyDescent="0.3">
      <c r="A503" s="2">
        <v>130740</v>
      </c>
      <c r="B503" s="4" t="s">
        <v>807</v>
      </c>
      <c r="C503" s="3" t="s">
        <v>263</v>
      </c>
      <c r="D503" s="270">
        <v>54</v>
      </c>
      <c r="E503" s="270">
        <v>4</v>
      </c>
      <c r="F503" s="271" t="s">
        <v>270</v>
      </c>
      <c r="G503" s="272">
        <v>43846.392233796294</v>
      </c>
      <c r="H503" s="2"/>
    </row>
    <row r="504" spans="1:8" x14ac:dyDescent="0.3">
      <c r="A504" s="2">
        <v>131195</v>
      </c>
      <c r="B504" s="4" t="s">
        <v>808</v>
      </c>
      <c r="C504" s="3" t="s">
        <v>345</v>
      </c>
      <c r="D504" s="270">
        <v>61</v>
      </c>
      <c r="E504" s="270">
        <v>3</v>
      </c>
      <c r="F504" s="271"/>
      <c r="G504" s="272"/>
      <c r="H504" s="2"/>
    </row>
    <row r="505" spans="1:8" x14ac:dyDescent="0.3">
      <c r="A505" s="2">
        <v>131221</v>
      </c>
      <c r="B505" s="4" t="s">
        <v>809</v>
      </c>
      <c r="C505" s="3" t="s">
        <v>727</v>
      </c>
      <c r="D505" s="270">
        <v>59</v>
      </c>
      <c r="E505" s="270">
        <v>35</v>
      </c>
      <c r="F505" s="271" t="s">
        <v>270</v>
      </c>
      <c r="G505" s="272">
        <v>43808.459768518522</v>
      </c>
      <c r="H505" s="2"/>
    </row>
    <row r="506" spans="1:8" x14ac:dyDescent="0.3">
      <c r="A506" s="2">
        <v>131579</v>
      </c>
      <c r="B506" s="4" t="s">
        <v>810</v>
      </c>
      <c r="C506" s="3" t="s">
        <v>31</v>
      </c>
      <c r="D506" s="270">
        <v>54</v>
      </c>
      <c r="E506" s="270">
        <v>4</v>
      </c>
      <c r="F506" s="271" t="s">
        <v>270</v>
      </c>
      <c r="G506" s="272">
        <v>43713.472581018519</v>
      </c>
      <c r="H506" s="2"/>
    </row>
    <row r="507" spans="1:8" x14ac:dyDescent="0.3">
      <c r="A507" s="2">
        <v>131931</v>
      </c>
      <c r="B507" s="4" t="s">
        <v>811</v>
      </c>
      <c r="C507" s="3" t="s">
        <v>31</v>
      </c>
      <c r="D507" s="270">
        <v>45</v>
      </c>
      <c r="E507" s="270">
        <v>9</v>
      </c>
      <c r="F507" s="271" t="s">
        <v>264</v>
      </c>
      <c r="G507" s="272">
        <v>44313.495532407411</v>
      </c>
      <c r="H507" s="2">
        <v>132299</v>
      </c>
    </row>
    <row r="508" spans="1:8" x14ac:dyDescent="0.3">
      <c r="A508" s="2">
        <v>131933</v>
      </c>
      <c r="B508" s="4" t="s">
        <v>812</v>
      </c>
      <c r="C508" s="3" t="s">
        <v>31</v>
      </c>
      <c r="D508" s="270">
        <v>45</v>
      </c>
      <c r="E508" s="270">
        <v>9</v>
      </c>
      <c r="F508" s="271" t="s">
        <v>264</v>
      </c>
      <c r="G508" s="272">
        <v>43727.555393518516</v>
      </c>
      <c r="H508" s="2">
        <v>138465</v>
      </c>
    </row>
    <row r="509" spans="1:8" x14ac:dyDescent="0.3">
      <c r="A509" s="2">
        <v>131938</v>
      </c>
      <c r="B509" s="4" t="s">
        <v>813</v>
      </c>
      <c r="C509" s="3" t="s">
        <v>31</v>
      </c>
      <c r="D509" s="270">
        <v>45</v>
      </c>
      <c r="E509" s="270">
        <v>9</v>
      </c>
      <c r="F509" s="271" t="s">
        <v>264</v>
      </c>
      <c r="G509" s="272">
        <v>43881.673472222225</v>
      </c>
      <c r="H509" s="2">
        <v>139141</v>
      </c>
    </row>
    <row r="510" spans="1:8" x14ac:dyDescent="0.3">
      <c r="A510" s="2">
        <v>131939</v>
      </c>
      <c r="B510" s="4" t="s">
        <v>814</v>
      </c>
      <c r="C510" s="3" t="s">
        <v>31</v>
      </c>
      <c r="D510" s="270">
        <v>45</v>
      </c>
      <c r="E510" s="270">
        <v>9</v>
      </c>
      <c r="F510" s="271" t="s">
        <v>264</v>
      </c>
      <c r="G510" s="272">
        <v>43881.673472222225</v>
      </c>
      <c r="H510" s="2">
        <v>139142</v>
      </c>
    </row>
    <row r="511" spans="1:8" x14ac:dyDescent="0.3">
      <c r="A511" s="2">
        <v>131940</v>
      </c>
      <c r="B511" s="4" t="s">
        <v>815</v>
      </c>
      <c r="C511" s="3" t="s">
        <v>31</v>
      </c>
      <c r="D511" s="270">
        <v>45</v>
      </c>
      <c r="E511" s="270">
        <v>9</v>
      </c>
      <c r="F511" s="271" t="s">
        <v>264</v>
      </c>
      <c r="G511" s="272">
        <v>43881.673472222225</v>
      </c>
      <c r="H511" s="2">
        <v>139144</v>
      </c>
    </row>
    <row r="512" spans="1:8" x14ac:dyDescent="0.3">
      <c r="A512" s="2">
        <v>131942</v>
      </c>
      <c r="B512" s="4" t="s">
        <v>816</v>
      </c>
      <c r="C512" s="3"/>
      <c r="D512" s="270"/>
      <c r="E512" s="270"/>
      <c r="F512" s="271"/>
      <c r="G512" s="272"/>
      <c r="H512" s="2">
        <v>135701</v>
      </c>
    </row>
    <row r="513" spans="1:8" x14ac:dyDescent="0.3">
      <c r="A513" s="2">
        <v>132230</v>
      </c>
      <c r="B513" s="4" t="s">
        <v>817</v>
      </c>
      <c r="C513" s="3" t="s">
        <v>272</v>
      </c>
      <c r="D513" s="270">
        <v>55</v>
      </c>
      <c r="E513" s="270">
        <v>19</v>
      </c>
      <c r="F513" s="271" t="s">
        <v>264</v>
      </c>
      <c r="G513" s="272">
        <v>44113.390856481485</v>
      </c>
      <c r="H513" s="2">
        <v>140126</v>
      </c>
    </row>
    <row r="514" spans="1:8" x14ac:dyDescent="0.3">
      <c r="A514" s="2">
        <v>132231</v>
      </c>
      <c r="B514" s="4" t="s">
        <v>818</v>
      </c>
      <c r="C514" s="3" t="s">
        <v>272</v>
      </c>
      <c r="D514" s="270">
        <v>55</v>
      </c>
      <c r="E514" s="270">
        <v>19</v>
      </c>
      <c r="F514" s="271" t="s">
        <v>264</v>
      </c>
      <c r="G514" s="272">
        <v>44132.463969907411</v>
      </c>
      <c r="H514" s="2">
        <v>140242</v>
      </c>
    </row>
    <row r="515" spans="1:8" x14ac:dyDescent="0.3">
      <c r="A515" s="2">
        <v>132305</v>
      </c>
      <c r="B515" s="4" t="s">
        <v>819</v>
      </c>
      <c r="C515" s="3" t="s">
        <v>31</v>
      </c>
      <c r="D515" s="270">
        <v>45</v>
      </c>
      <c r="E515" s="270">
        <v>9</v>
      </c>
      <c r="F515" s="271" t="s">
        <v>264</v>
      </c>
      <c r="G515" s="272">
        <v>43881.673472222225</v>
      </c>
      <c r="H515" s="2">
        <v>139143</v>
      </c>
    </row>
    <row r="516" spans="1:8" x14ac:dyDescent="0.3">
      <c r="A516" s="2">
        <v>132447</v>
      </c>
      <c r="B516" s="4" t="s">
        <v>820</v>
      </c>
      <c r="C516" s="3" t="s">
        <v>560</v>
      </c>
      <c r="D516" s="270">
        <v>51</v>
      </c>
      <c r="E516" s="270">
        <v>21</v>
      </c>
      <c r="F516" s="271"/>
      <c r="G516" s="272"/>
      <c r="H516" s="2"/>
    </row>
    <row r="517" spans="1:8" x14ac:dyDescent="0.3">
      <c r="A517" s="2">
        <v>132612</v>
      </c>
      <c r="B517" s="4" t="s">
        <v>821</v>
      </c>
      <c r="C517" s="3" t="s">
        <v>31</v>
      </c>
      <c r="D517" s="270">
        <v>55</v>
      </c>
      <c r="E517" s="270">
        <v>66</v>
      </c>
      <c r="F517" s="271" t="s">
        <v>270</v>
      </c>
      <c r="G517" s="272" t="s">
        <v>822</v>
      </c>
      <c r="H517" s="2">
        <v>136895</v>
      </c>
    </row>
    <row r="518" spans="1:8" x14ac:dyDescent="0.3">
      <c r="A518" s="2">
        <v>132613</v>
      </c>
      <c r="B518" s="4" t="s">
        <v>823</v>
      </c>
      <c r="C518" s="3" t="s">
        <v>31</v>
      </c>
      <c r="D518" s="270">
        <v>55</v>
      </c>
      <c r="E518" s="270">
        <v>66</v>
      </c>
      <c r="F518" s="271" t="s">
        <v>270</v>
      </c>
      <c r="G518" s="272" t="s">
        <v>824</v>
      </c>
      <c r="H518" s="2">
        <v>136896</v>
      </c>
    </row>
    <row r="519" spans="1:8" x14ac:dyDescent="0.3">
      <c r="A519" s="2">
        <v>132713</v>
      </c>
      <c r="B519" s="4" t="s">
        <v>825</v>
      </c>
      <c r="C519" s="3" t="s">
        <v>263</v>
      </c>
      <c r="D519" s="270">
        <v>80</v>
      </c>
      <c r="E519" s="270">
        <v>12</v>
      </c>
      <c r="F519" s="271"/>
      <c r="G519" s="272"/>
      <c r="H519" s="2"/>
    </row>
    <row r="520" spans="1:8" x14ac:dyDescent="0.3">
      <c r="A520" s="2">
        <v>132714</v>
      </c>
      <c r="B520" s="4" t="s">
        <v>826</v>
      </c>
      <c r="C520" s="3" t="s">
        <v>263</v>
      </c>
      <c r="D520" s="270">
        <v>51</v>
      </c>
      <c r="E520" s="270">
        <v>17</v>
      </c>
      <c r="F520" s="271" t="s">
        <v>270</v>
      </c>
      <c r="G520" s="272">
        <v>43738.410543981481</v>
      </c>
      <c r="H520" s="2"/>
    </row>
    <row r="521" spans="1:8" x14ac:dyDescent="0.3">
      <c r="A521" s="2">
        <v>132715</v>
      </c>
      <c r="B521" s="4" t="s">
        <v>827</v>
      </c>
      <c r="C521" s="3" t="s">
        <v>263</v>
      </c>
      <c r="D521" s="270">
        <v>51</v>
      </c>
      <c r="E521" s="270">
        <v>17</v>
      </c>
      <c r="F521" s="271" t="s">
        <v>270</v>
      </c>
      <c r="G521" s="272">
        <v>43738.410856481481</v>
      </c>
      <c r="H521" s="2"/>
    </row>
    <row r="522" spans="1:8" x14ac:dyDescent="0.3">
      <c r="A522" s="2">
        <v>132769</v>
      </c>
      <c r="B522" s="4" t="s">
        <v>828</v>
      </c>
      <c r="C522" s="3" t="s">
        <v>290</v>
      </c>
      <c r="D522" s="270">
        <v>51</v>
      </c>
      <c r="E522" s="270">
        <v>33</v>
      </c>
      <c r="F522" s="271" t="s">
        <v>264</v>
      </c>
      <c r="G522" s="272">
        <v>44181.387789351851</v>
      </c>
      <c r="H522" s="2">
        <v>140326</v>
      </c>
    </row>
    <row r="523" spans="1:8" x14ac:dyDescent="0.3">
      <c r="A523" s="2">
        <v>133042</v>
      </c>
      <c r="B523" s="4" t="s">
        <v>829</v>
      </c>
      <c r="C523" s="3" t="s">
        <v>31</v>
      </c>
      <c r="D523" s="270">
        <v>51</v>
      </c>
      <c r="E523" s="270">
        <v>17</v>
      </c>
      <c r="F523" s="271"/>
      <c r="G523" s="272"/>
      <c r="H523" s="2"/>
    </row>
    <row r="524" spans="1:8" x14ac:dyDescent="0.3">
      <c r="A524" s="2">
        <v>133043</v>
      </c>
      <c r="B524" s="4" t="s">
        <v>830</v>
      </c>
      <c r="C524" s="3" t="s">
        <v>31</v>
      </c>
      <c r="D524" s="270">
        <v>51</v>
      </c>
      <c r="E524" s="270">
        <v>17</v>
      </c>
      <c r="F524" s="271"/>
      <c r="G524" s="272"/>
      <c r="H524" s="2"/>
    </row>
    <row r="525" spans="1:8" x14ac:dyDescent="0.3">
      <c r="A525" s="2">
        <v>133452</v>
      </c>
      <c r="B525" s="4" t="s">
        <v>831</v>
      </c>
      <c r="C525" s="3" t="s">
        <v>393</v>
      </c>
      <c r="D525" s="270">
        <v>57</v>
      </c>
      <c r="E525" s="270">
        <v>15</v>
      </c>
      <c r="F525" s="271" t="s">
        <v>264</v>
      </c>
      <c r="G525" s="272">
        <v>43881.67491898148</v>
      </c>
      <c r="H525" s="2"/>
    </row>
    <row r="526" spans="1:8" x14ac:dyDescent="0.3">
      <c r="A526" s="2">
        <v>133777</v>
      </c>
      <c r="B526" s="4" t="s">
        <v>832</v>
      </c>
      <c r="C526" s="3"/>
      <c r="D526" s="270"/>
      <c r="E526" s="270"/>
      <c r="F526" s="271"/>
      <c r="G526" s="272"/>
      <c r="H526" s="2">
        <v>135699</v>
      </c>
    </row>
    <row r="527" spans="1:8" x14ac:dyDescent="0.3">
      <c r="A527" s="2">
        <v>133778</v>
      </c>
      <c r="B527" s="4" t="s">
        <v>833</v>
      </c>
      <c r="C527" s="3" t="s">
        <v>31</v>
      </c>
      <c r="D527" s="270">
        <v>45</v>
      </c>
      <c r="E527" s="270">
        <v>9</v>
      </c>
      <c r="F527" s="271" t="s">
        <v>264</v>
      </c>
      <c r="G527" s="272">
        <v>43727.555393518516</v>
      </c>
      <c r="H527" s="2">
        <v>138451</v>
      </c>
    </row>
    <row r="528" spans="1:8" x14ac:dyDescent="0.3">
      <c r="A528" s="2">
        <v>133779</v>
      </c>
      <c r="B528" s="4" t="s">
        <v>834</v>
      </c>
      <c r="C528" s="3" t="s">
        <v>31</v>
      </c>
      <c r="D528" s="270">
        <v>45</v>
      </c>
      <c r="E528" s="270">
        <v>11</v>
      </c>
      <c r="F528" s="271" t="s">
        <v>264</v>
      </c>
      <c r="G528" s="272">
        <v>43727.555393518516</v>
      </c>
      <c r="H528" s="2">
        <v>138453</v>
      </c>
    </row>
    <row r="529" spans="1:8" x14ac:dyDescent="0.3">
      <c r="A529" s="2">
        <v>133781</v>
      </c>
      <c r="B529" s="4" t="s">
        <v>835</v>
      </c>
      <c r="C529" s="3" t="s">
        <v>31</v>
      </c>
      <c r="D529" s="270">
        <v>45</v>
      </c>
      <c r="E529" s="270">
        <v>11</v>
      </c>
      <c r="F529" s="271" t="s">
        <v>264</v>
      </c>
      <c r="G529" s="272">
        <v>43727.555393518516</v>
      </c>
      <c r="H529" s="2">
        <v>138456</v>
      </c>
    </row>
    <row r="530" spans="1:8" x14ac:dyDescent="0.3">
      <c r="A530" s="2">
        <v>133782</v>
      </c>
      <c r="B530" s="4" t="s">
        <v>836</v>
      </c>
      <c r="C530" s="3" t="s">
        <v>31</v>
      </c>
      <c r="D530" s="270">
        <v>45</v>
      </c>
      <c r="E530" s="270">
        <v>11</v>
      </c>
      <c r="F530" s="271" t="s">
        <v>264</v>
      </c>
      <c r="G530" s="272">
        <v>43727.555393518516</v>
      </c>
      <c r="H530" s="2">
        <v>138457</v>
      </c>
    </row>
    <row r="531" spans="1:8" x14ac:dyDescent="0.3">
      <c r="A531" s="2">
        <v>133783</v>
      </c>
      <c r="B531" s="4" t="s">
        <v>837</v>
      </c>
      <c r="C531" s="3" t="s">
        <v>31</v>
      </c>
      <c r="D531" s="270">
        <v>45</v>
      </c>
      <c r="E531" s="270">
        <v>11</v>
      </c>
      <c r="F531" s="271" t="s">
        <v>270</v>
      </c>
      <c r="G531" s="272">
        <v>43882.591736111113</v>
      </c>
      <c r="H531" s="2">
        <v>138458</v>
      </c>
    </row>
    <row r="532" spans="1:8" x14ac:dyDescent="0.3">
      <c r="A532" s="2">
        <v>133787</v>
      </c>
      <c r="B532" s="4" t="s">
        <v>838</v>
      </c>
      <c r="C532" s="3"/>
      <c r="D532" s="270"/>
      <c r="E532" s="270"/>
      <c r="F532" s="271"/>
      <c r="G532" s="272"/>
      <c r="H532" s="2">
        <v>136408</v>
      </c>
    </row>
    <row r="533" spans="1:8" x14ac:dyDescent="0.3">
      <c r="A533" s="2">
        <v>133793</v>
      </c>
      <c r="B533" s="4" t="s">
        <v>839</v>
      </c>
      <c r="C533" s="3" t="s">
        <v>31</v>
      </c>
      <c r="D533" s="270">
        <v>45</v>
      </c>
      <c r="E533" s="270">
        <v>9</v>
      </c>
      <c r="F533" s="271" t="s">
        <v>264</v>
      </c>
      <c r="G533" s="272">
        <v>43727.555393518516</v>
      </c>
      <c r="H533" s="2">
        <v>135703</v>
      </c>
    </row>
    <row r="534" spans="1:8" x14ac:dyDescent="0.3">
      <c r="A534" s="2">
        <v>133794</v>
      </c>
      <c r="B534" s="4" t="s">
        <v>840</v>
      </c>
      <c r="C534" s="3"/>
      <c r="D534" s="270"/>
      <c r="E534" s="270"/>
      <c r="F534" s="271"/>
      <c r="G534" s="272"/>
      <c r="H534" s="2">
        <v>135704</v>
      </c>
    </row>
    <row r="535" spans="1:8" x14ac:dyDescent="0.3">
      <c r="A535" s="2">
        <v>133812</v>
      </c>
      <c r="B535" s="4" t="s">
        <v>841</v>
      </c>
      <c r="C535" s="3" t="s">
        <v>31</v>
      </c>
      <c r="D535" s="270">
        <v>55</v>
      </c>
      <c r="E535" s="270">
        <v>55</v>
      </c>
      <c r="F535" s="271" t="s">
        <v>270</v>
      </c>
      <c r="G535" s="272">
        <v>43901.63380787037</v>
      </c>
      <c r="H535" s="2"/>
    </row>
    <row r="536" spans="1:8" x14ac:dyDescent="0.3">
      <c r="A536" s="2">
        <v>133813</v>
      </c>
      <c r="B536" s="4" t="s">
        <v>842</v>
      </c>
      <c r="C536" s="3" t="s">
        <v>31</v>
      </c>
      <c r="D536" s="270">
        <v>55</v>
      </c>
      <c r="E536" s="270">
        <v>55</v>
      </c>
      <c r="F536" s="271" t="s">
        <v>270</v>
      </c>
      <c r="G536" s="272" t="s">
        <v>340</v>
      </c>
      <c r="H536" s="2"/>
    </row>
    <row r="537" spans="1:8" x14ac:dyDescent="0.3">
      <c r="A537" s="2">
        <v>133851</v>
      </c>
      <c r="B537" s="4" t="s">
        <v>843</v>
      </c>
      <c r="C537" s="3" t="s">
        <v>393</v>
      </c>
      <c r="D537" s="270">
        <v>57</v>
      </c>
      <c r="E537" s="270">
        <v>2</v>
      </c>
      <c r="F537" s="271" t="s">
        <v>270</v>
      </c>
      <c r="G537" s="272" t="s">
        <v>844</v>
      </c>
      <c r="H537" s="2">
        <v>136941</v>
      </c>
    </row>
    <row r="538" spans="1:8" x14ac:dyDescent="0.3">
      <c r="A538" s="2">
        <v>133950</v>
      </c>
      <c r="B538" s="4" t="s">
        <v>845</v>
      </c>
      <c r="C538" s="3" t="s">
        <v>31</v>
      </c>
      <c r="D538" s="270">
        <v>45</v>
      </c>
      <c r="E538" s="270">
        <v>11</v>
      </c>
      <c r="F538" s="271" t="s">
        <v>264</v>
      </c>
      <c r="G538" s="272">
        <v>43727.555393518516</v>
      </c>
      <c r="H538" s="2">
        <v>138454</v>
      </c>
    </row>
    <row r="539" spans="1:8" x14ac:dyDescent="0.3">
      <c r="A539" s="2">
        <v>133953</v>
      </c>
      <c r="B539" s="4" t="s">
        <v>846</v>
      </c>
      <c r="C539" s="3" t="s">
        <v>847</v>
      </c>
      <c r="D539" s="270">
        <v>45</v>
      </c>
      <c r="E539" s="270">
        <v>9</v>
      </c>
      <c r="F539" s="271" t="s">
        <v>264</v>
      </c>
      <c r="G539" s="272">
        <v>43727.555393518516</v>
      </c>
      <c r="H539" s="2">
        <v>138461</v>
      </c>
    </row>
    <row r="540" spans="1:8" x14ac:dyDescent="0.3">
      <c r="A540" s="2">
        <v>133954</v>
      </c>
      <c r="B540" s="4" t="s">
        <v>848</v>
      </c>
      <c r="C540" s="3" t="s">
        <v>269</v>
      </c>
      <c r="D540" s="270">
        <v>45</v>
      </c>
      <c r="E540" s="270">
        <v>16</v>
      </c>
      <c r="F540" s="271" t="s">
        <v>264</v>
      </c>
      <c r="G540" s="272">
        <v>43727.555393518516</v>
      </c>
      <c r="H540" s="2">
        <v>138462</v>
      </c>
    </row>
    <row r="541" spans="1:8" x14ac:dyDescent="0.3">
      <c r="A541" s="2">
        <v>133955</v>
      </c>
      <c r="B541" s="4" t="s">
        <v>849</v>
      </c>
      <c r="C541" s="3" t="s">
        <v>269</v>
      </c>
      <c r="D541" s="270">
        <v>45</v>
      </c>
      <c r="E541" s="270">
        <v>9</v>
      </c>
      <c r="F541" s="271" t="s">
        <v>264</v>
      </c>
      <c r="G541" s="272">
        <v>43727.555393518516</v>
      </c>
      <c r="H541" s="2">
        <v>138463</v>
      </c>
    </row>
    <row r="542" spans="1:8" x14ac:dyDescent="0.3">
      <c r="A542" s="2">
        <v>133956</v>
      </c>
      <c r="B542" s="4" t="s">
        <v>850</v>
      </c>
      <c r="C542" s="3" t="s">
        <v>31</v>
      </c>
      <c r="D542" s="270">
        <v>45</v>
      </c>
      <c r="E542" s="270">
        <v>10</v>
      </c>
      <c r="F542" s="271" t="s">
        <v>264</v>
      </c>
      <c r="G542" s="272">
        <v>43727.555393518516</v>
      </c>
      <c r="H542" s="2">
        <v>138459</v>
      </c>
    </row>
    <row r="543" spans="1:8" x14ac:dyDescent="0.3">
      <c r="A543" s="2">
        <v>133957</v>
      </c>
      <c r="B543" s="4" t="s">
        <v>851</v>
      </c>
      <c r="C543" s="3" t="s">
        <v>31</v>
      </c>
      <c r="D543" s="270">
        <v>45</v>
      </c>
      <c r="E543" s="270">
        <v>10</v>
      </c>
      <c r="F543" s="271" t="s">
        <v>264</v>
      </c>
      <c r="G543" s="272">
        <v>43727.555393518516</v>
      </c>
      <c r="H543" s="2">
        <v>138460</v>
      </c>
    </row>
    <row r="544" spans="1:8" x14ac:dyDescent="0.3">
      <c r="A544" s="2">
        <v>134045</v>
      </c>
      <c r="B544" s="4" t="s">
        <v>852</v>
      </c>
      <c r="C544" s="3" t="s">
        <v>31</v>
      </c>
      <c r="D544" s="270">
        <v>61</v>
      </c>
      <c r="E544" s="270">
        <v>16</v>
      </c>
      <c r="F544" s="271" t="s">
        <v>264</v>
      </c>
      <c r="G544" s="272">
        <v>44370.556041666663</v>
      </c>
      <c r="H544" s="2">
        <v>141430</v>
      </c>
    </row>
    <row r="545" spans="1:8" x14ac:dyDescent="0.3">
      <c r="A545" s="2">
        <v>134542</v>
      </c>
      <c r="B545" s="4" t="s">
        <v>853</v>
      </c>
      <c r="C545" s="3" t="s">
        <v>560</v>
      </c>
      <c r="D545" s="270">
        <v>51</v>
      </c>
      <c r="E545" s="270">
        <v>21</v>
      </c>
      <c r="F545" s="271" t="s">
        <v>264</v>
      </c>
      <c r="G545" s="272">
        <v>44082.568240740744</v>
      </c>
      <c r="H545" s="2">
        <v>139957</v>
      </c>
    </row>
    <row r="546" spans="1:8" x14ac:dyDescent="0.3">
      <c r="A546" s="2">
        <v>134543</v>
      </c>
      <c r="B546" s="4" t="s">
        <v>854</v>
      </c>
      <c r="C546" s="3" t="s">
        <v>560</v>
      </c>
      <c r="D546" s="270">
        <v>51</v>
      </c>
      <c r="E546" s="270">
        <v>21</v>
      </c>
      <c r="F546" s="271" t="s">
        <v>264</v>
      </c>
      <c r="G546" s="272">
        <v>44082.568240740744</v>
      </c>
      <c r="H546" s="2">
        <v>139958</v>
      </c>
    </row>
    <row r="547" spans="1:8" x14ac:dyDescent="0.3">
      <c r="A547" s="2">
        <v>135012</v>
      </c>
      <c r="B547" s="4" t="s">
        <v>855</v>
      </c>
      <c r="C547" s="3" t="s">
        <v>436</v>
      </c>
      <c r="D547" s="270">
        <v>54</v>
      </c>
      <c r="E547" s="270">
        <v>4</v>
      </c>
      <c r="F547" s="271" t="s">
        <v>264</v>
      </c>
      <c r="G547" s="272">
        <v>44313.495532407411</v>
      </c>
      <c r="H547" s="2"/>
    </row>
    <row r="548" spans="1:8" x14ac:dyDescent="0.3">
      <c r="A548" s="2">
        <v>135016</v>
      </c>
      <c r="B548" s="4" t="s">
        <v>856</v>
      </c>
      <c r="C548" s="3" t="s">
        <v>436</v>
      </c>
      <c r="D548" s="270">
        <v>54</v>
      </c>
      <c r="E548" s="270">
        <v>4</v>
      </c>
      <c r="F548" s="271" t="s">
        <v>264</v>
      </c>
      <c r="G548" s="272">
        <v>44313.495532407411</v>
      </c>
      <c r="H548" s="2"/>
    </row>
    <row r="549" spans="1:8" x14ac:dyDescent="0.3">
      <c r="A549" s="2">
        <v>135023</v>
      </c>
      <c r="B549" s="4" t="s">
        <v>857</v>
      </c>
      <c r="C549" s="3" t="s">
        <v>31</v>
      </c>
      <c r="D549" s="270">
        <v>54</v>
      </c>
      <c r="E549" s="270">
        <v>4</v>
      </c>
      <c r="F549" s="271" t="s">
        <v>264</v>
      </c>
      <c r="G549" s="272">
        <v>44313.495532407411</v>
      </c>
      <c r="H549" s="2"/>
    </row>
    <row r="550" spans="1:8" x14ac:dyDescent="0.3">
      <c r="A550" s="2">
        <v>135224</v>
      </c>
      <c r="B550" s="4" t="s">
        <v>858</v>
      </c>
      <c r="C550" s="3" t="s">
        <v>301</v>
      </c>
      <c r="D550" s="270">
        <v>76</v>
      </c>
      <c r="E550" s="270">
        <v>3</v>
      </c>
      <c r="F550" s="271" t="s">
        <v>264</v>
      </c>
      <c r="G550" s="272">
        <v>44376.373101851852</v>
      </c>
      <c r="H550" s="2">
        <v>141680</v>
      </c>
    </row>
    <row r="551" spans="1:8" x14ac:dyDescent="0.3">
      <c r="A551" s="2">
        <v>135225</v>
      </c>
      <c r="B551" s="4" t="s">
        <v>859</v>
      </c>
      <c r="C551" s="3" t="s">
        <v>287</v>
      </c>
      <c r="D551" s="270">
        <v>76</v>
      </c>
      <c r="E551" s="270">
        <v>10</v>
      </c>
      <c r="F551" s="271" t="s">
        <v>264</v>
      </c>
      <c r="G551" s="272">
        <v>44376.377187500002</v>
      </c>
      <c r="H551" s="2">
        <v>141786</v>
      </c>
    </row>
    <row r="552" spans="1:8" x14ac:dyDescent="0.3">
      <c r="A552" s="2">
        <v>135226</v>
      </c>
      <c r="B552" s="4" t="s">
        <v>860</v>
      </c>
      <c r="C552" s="3" t="s">
        <v>287</v>
      </c>
      <c r="D552" s="270">
        <v>76</v>
      </c>
      <c r="E552" s="270">
        <v>10</v>
      </c>
      <c r="F552" s="271" t="s">
        <v>264</v>
      </c>
      <c r="G552" s="272">
        <v>44376.404398148145</v>
      </c>
      <c r="H552" s="2">
        <v>141787</v>
      </c>
    </row>
    <row r="553" spans="1:8" x14ac:dyDescent="0.3">
      <c r="A553" s="2">
        <v>135227</v>
      </c>
      <c r="B553" s="4" t="s">
        <v>861</v>
      </c>
      <c r="C553" s="3" t="s">
        <v>287</v>
      </c>
      <c r="D553" s="270">
        <v>76</v>
      </c>
      <c r="E553" s="270">
        <v>10</v>
      </c>
      <c r="F553" s="271" t="s">
        <v>264</v>
      </c>
      <c r="G553" s="272">
        <v>44376.404398148145</v>
      </c>
      <c r="H553" s="2">
        <v>141615</v>
      </c>
    </row>
    <row r="554" spans="1:8" x14ac:dyDescent="0.3">
      <c r="A554" s="2">
        <v>135238</v>
      </c>
      <c r="B554" s="4" t="s">
        <v>862</v>
      </c>
      <c r="C554" s="3" t="s">
        <v>301</v>
      </c>
      <c r="D554" s="270">
        <v>76</v>
      </c>
      <c r="E554" s="270">
        <v>3</v>
      </c>
      <c r="F554" s="271" t="s">
        <v>264</v>
      </c>
      <c r="G554" s="272">
        <v>44376.374710648146</v>
      </c>
      <c r="H554" s="2">
        <v>141268</v>
      </c>
    </row>
    <row r="555" spans="1:8" x14ac:dyDescent="0.3">
      <c r="A555" s="2">
        <v>135239</v>
      </c>
      <c r="B555" s="4" t="s">
        <v>863</v>
      </c>
      <c r="C555" s="3" t="s">
        <v>301</v>
      </c>
      <c r="D555" s="270">
        <v>76</v>
      </c>
      <c r="E555" s="270">
        <v>3</v>
      </c>
      <c r="F555" s="271"/>
      <c r="G555" s="272"/>
      <c r="H555" s="2"/>
    </row>
    <row r="556" spans="1:8" x14ac:dyDescent="0.3">
      <c r="A556" s="2">
        <v>135699</v>
      </c>
      <c r="B556" s="4" t="s">
        <v>864</v>
      </c>
      <c r="C556" s="3" t="s">
        <v>31</v>
      </c>
      <c r="D556" s="270">
        <v>45</v>
      </c>
      <c r="E556" s="270">
        <v>9</v>
      </c>
      <c r="F556" s="271" t="s">
        <v>264</v>
      </c>
      <c r="G556" s="272">
        <v>43727.555393518516</v>
      </c>
      <c r="H556" s="2">
        <v>138450</v>
      </c>
    </row>
    <row r="557" spans="1:8" x14ac:dyDescent="0.3">
      <c r="A557" s="2">
        <v>135700</v>
      </c>
      <c r="B557" s="4" t="s">
        <v>865</v>
      </c>
      <c r="C557" s="3" t="s">
        <v>31</v>
      </c>
      <c r="D557" s="270">
        <v>45</v>
      </c>
      <c r="E557" s="270">
        <v>9</v>
      </c>
      <c r="F557" s="271" t="s">
        <v>264</v>
      </c>
      <c r="G557" s="272">
        <v>43727.555393518516</v>
      </c>
      <c r="H557" s="2">
        <v>138464</v>
      </c>
    </row>
    <row r="558" spans="1:8" x14ac:dyDescent="0.3">
      <c r="A558" s="2">
        <v>135704</v>
      </c>
      <c r="B558" s="4" t="s">
        <v>866</v>
      </c>
      <c r="C558" s="3" t="s">
        <v>31</v>
      </c>
      <c r="D558" s="270">
        <v>45</v>
      </c>
      <c r="E558" s="270">
        <v>12</v>
      </c>
      <c r="F558" s="271" t="s">
        <v>264</v>
      </c>
      <c r="G558" s="272">
        <v>43727.555393518516</v>
      </c>
      <c r="H558" s="2">
        <v>138471</v>
      </c>
    </row>
    <row r="559" spans="1:8" x14ac:dyDescent="0.3">
      <c r="A559" s="2">
        <v>135734</v>
      </c>
      <c r="B559" s="4" t="s">
        <v>867</v>
      </c>
      <c r="C559" s="3" t="s">
        <v>31</v>
      </c>
      <c r="D559" s="270">
        <v>55</v>
      </c>
      <c r="E559" s="270">
        <v>66</v>
      </c>
      <c r="F559" s="271" t="s">
        <v>270</v>
      </c>
      <c r="G559" s="272" t="s">
        <v>868</v>
      </c>
      <c r="H559" s="2">
        <v>135088</v>
      </c>
    </row>
    <row r="560" spans="1:8" x14ac:dyDescent="0.3">
      <c r="A560" s="2">
        <v>136037</v>
      </c>
      <c r="B560" s="4" t="s">
        <v>869</v>
      </c>
      <c r="C560" s="3" t="s">
        <v>301</v>
      </c>
      <c r="D560" s="270">
        <v>76</v>
      </c>
      <c r="E560" s="270">
        <v>3</v>
      </c>
      <c r="F560" s="271" t="s">
        <v>264</v>
      </c>
      <c r="G560" s="272">
        <v>44376.373101851852</v>
      </c>
      <c r="H560" s="2">
        <v>141679</v>
      </c>
    </row>
    <row r="561" spans="1:8" x14ac:dyDescent="0.3">
      <c r="A561" s="2">
        <v>136038</v>
      </c>
      <c r="B561" s="4" t="s">
        <v>870</v>
      </c>
      <c r="C561" s="3" t="s">
        <v>301</v>
      </c>
      <c r="D561" s="270">
        <v>76</v>
      </c>
      <c r="E561" s="270">
        <v>3</v>
      </c>
      <c r="F561" s="271" t="s">
        <v>264</v>
      </c>
      <c r="G561" s="272">
        <v>44376.375381944446</v>
      </c>
      <c r="H561" s="2">
        <v>141265</v>
      </c>
    </row>
    <row r="562" spans="1:8" x14ac:dyDescent="0.3">
      <c r="A562" s="2">
        <v>136039</v>
      </c>
      <c r="B562" s="4" t="s">
        <v>871</v>
      </c>
      <c r="C562" s="3" t="s">
        <v>301</v>
      </c>
      <c r="D562" s="270">
        <v>76</v>
      </c>
      <c r="E562" s="270">
        <v>3</v>
      </c>
      <c r="F562" s="271" t="s">
        <v>264</v>
      </c>
      <c r="G562" s="272">
        <v>44376.373912037037</v>
      </c>
      <c r="H562" s="2">
        <v>141681</v>
      </c>
    </row>
    <row r="563" spans="1:8" x14ac:dyDescent="0.3">
      <c r="A563" s="2">
        <v>136040</v>
      </c>
      <c r="B563" s="4" t="s">
        <v>872</v>
      </c>
      <c r="C563" s="3" t="s">
        <v>301</v>
      </c>
      <c r="D563" s="270">
        <v>76</v>
      </c>
      <c r="E563" s="270">
        <v>3</v>
      </c>
      <c r="F563" s="271" t="s">
        <v>264</v>
      </c>
      <c r="G563" s="272">
        <v>44376.377187500002</v>
      </c>
      <c r="H563" s="2">
        <v>141266</v>
      </c>
    </row>
    <row r="564" spans="1:8" x14ac:dyDescent="0.3">
      <c r="A564" s="2">
        <v>136676</v>
      </c>
      <c r="B564" s="4" t="s">
        <v>873</v>
      </c>
      <c r="C564" s="3" t="s">
        <v>263</v>
      </c>
      <c r="D564" s="270">
        <v>62</v>
      </c>
      <c r="E564" s="270">
        <v>1</v>
      </c>
      <c r="F564" s="271" t="s">
        <v>264</v>
      </c>
      <c r="G564" s="272">
        <v>44313.495532407411</v>
      </c>
      <c r="H564" s="2"/>
    </row>
    <row r="565" spans="1:8" x14ac:dyDescent="0.3">
      <c r="A565" s="2">
        <v>136820</v>
      </c>
      <c r="B565" s="4" t="s">
        <v>874</v>
      </c>
      <c r="C565" s="3" t="s">
        <v>436</v>
      </c>
      <c r="D565" s="270">
        <v>54</v>
      </c>
      <c r="E565" s="270">
        <v>4</v>
      </c>
      <c r="F565" s="271" t="s">
        <v>264</v>
      </c>
      <c r="G565" s="272">
        <v>44315.660057870373</v>
      </c>
      <c r="H565" s="2"/>
    </row>
    <row r="566" spans="1:8" x14ac:dyDescent="0.3">
      <c r="A566" s="2">
        <v>136821</v>
      </c>
      <c r="B566" s="4" t="s">
        <v>875</v>
      </c>
      <c r="C566" s="3" t="s">
        <v>436</v>
      </c>
      <c r="D566" s="270">
        <v>54</v>
      </c>
      <c r="E566" s="270">
        <v>4</v>
      </c>
      <c r="F566" s="271" t="s">
        <v>264</v>
      </c>
      <c r="G566" s="272">
        <v>44315.660057870373</v>
      </c>
      <c r="H566" s="2"/>
    </row>
    <row r="567" spans="1:8" x14ac:dyDescent="0.3">
      <c r="A567" s="2">
        <v>136822</v>
      </c>
      <c r="B567" s="4" t="s">
        <v>876</v>
      </c>
      <c r="C567" s="3" t="s">
        <v>436</v>
      </c>
      <c r="D567" s="270">
        <v>54</v>
      </c>
      <c r="E567" s="270">
        <v>4</v>
      </c>
      <c r="F567" s="271" t="s">
        <v>264</v>
      </c>
      <c r="G567" s="272">
        <v>44315.660057870373</v>
      </c>
      <c r="H567" s="2"/>
    </row>
    <row r="568" spans="1:8" x14ac:dyDescent="0.3">
      <c r="A568" s="2">
        <v>136837</v>
      </c>
      <c r="B568" s="4" t="s">
        <v>877</v>
      </c>
      <c r="C568" s="3" t="s">
        <v>436</v>
      </c>
      <c r="D568" s="270">
        <v>54</v>
      </c>
      <c r="E568" s="270">
        <v>4</v>
      </c>
      <c r="F568" s="271" t="s">
        <v>264</v>
      </c>
      <c r="G568" s="272">
        <v>44315.660057870373</v>
      </c>
      <c r="H568" s="2"/>
    </row>
    <row r="569" spans="1:8" x14ac:dyDescent="0.3">
      <c r="A569" s="2">
        <v>136838</v>
      </c>
      <c r="B569" s="4" t="s">
        <v>878</v>
      </c>
      <c r="C569" s="3" t="s">
        <v>436</v>
      </c>
      <c r="D569" s="270">
        <v>54</v>
      </c>
      <c r="E569" s="270">
        <v>4</v>
      </c>
      <c r="F569" s="271" t="s">
        <v>264</v>
      </c>
      <c r="G569" s="272">
        <v>44315.660057870373</v>
      </c>
      <c r="H569" s="2"/>
    </row>
    <row r="570" spans="1:8" x14ac:dyDescent="0.3">
      <c r="A570" s="2">
        <v>136839</v>
      </c>
      <c r="B570" s="4" t="s">
        <v>879</v>
      </c>
      <c r="C570" s="3" t="s">
        <v>436</v>
      </c>
      <c r="D570" s="270">
        <v>54</v>
      </c>
      <c r="E570" s="270">
        <v>4</v>
      </c>
      <c r="F570" s="271" t="s">
        <v>264</v>
      </c>
      <c r="G570" s="272">
        <v>44315.660057870373</v>
      </c>
      <c r="H570" s="2"/>
    </row>
    <row r="571" spans="1:8" x14ac:dyDescent="0.3">
      <c r="A571" s="2">
        <v>136840</v>
      </c>
      <c r="B571" s="4" t="s">
        <v>880</v>
      </c>
      <c r="C571" s="3" t="s">
        <v>436</v>
      </c>
      <c r="D571" s="270">
        <v>54</v>
      </c>
      <c r="E571" s="270">
        <v>4</v>
      </c>
      <c r="F571" s="271" t="s">
        <v>264</v>
      </c>
      <c r="G571" s="272">
        <v>44315.660057870373</v>
      </c>
      <c r="H571" s="2"/>
    </row>
    <row r="572" spans="1:8" x14ac:dyDescent="0.3">
      <c r="A572" s="2">
        <v>136841</v>
      </c>
      <c r="B572" s="4" t="s">
        <v>881</v>
      </c>
      <c r="C572" s="3" t="s">
        <v>436</v>
      </c>
      <c r="D572" s="270">
        <v>54</v>
      </c>
      <c r="E572" s="270">
        <v>4</v>
      </c>
      <c r="F572" s="271" t="s">
        <v>264</v>
      </c>
      <c r="G572" s="272">
        <v>44315.660057870373</v>
      </c>
      <c r="H572" s="2"/>
    </row>
    <row r="573" spans="1:8" x14ac:dyDescent="0.3">
      <c r="A573" s="2">
        <v>136842</v>
      </c>
      <c r="B573" s="4" t="s">
        <v>882</v>
      </c>
      <c r="C573" s="3" t="s">
        <v>436</v>
      </c>
      <c r="D573" s="270">
        <v>54</v>
      </c>
      <c r="E573" s="270">
        <v>4</v>
      </c>
      <c r="F573" s="271" t="s">
        <v>264</v>
      </c>
      <c r="G573" s="272">
        <v>44315.660057870373</v>
      </c>
      <c r="H573" s="2"/>
    </row>
    <row r="574" spans="1:8" x14ac:dyDescent="0.3">
      <c r="A574" s="2">
        <v>136843</v>
      </c>
      <c r="B574" s="4" t="s">
        <v>883</v>
      </c>
      <c r="C574" s="3" t="s">
        <v>436</v>
      </c>
      <c r="D574" s="270">
        <v>54</v>
      </c>
      <c r="E574" s="270">
        <v>4</v>
      </c>
      <c r="F574" s="271" t="s">
        <v>264</v>
      </c>
      <c r="G574" s="272">
        <v>44315.660057870373</v>
      </c>
      <c r="H574" s="2"/>
    </row>
    <row r="575" spans="1:8" x14ac:dyDescent="0.3">
      <c r="A575" s="2">
        <v>136910</v>
      </c>
      <c r="B575" s="4" t="s">
        <v>884</v>
      </c>
      <c r="C575" s="3" t="s">
        <v>272</v>
      </c>
      <c r="D575" s="270">
        <v>55</v>
      </c>
      <c r="E575" s="270">
        <v>19</v>
      </c>
      <c r="F575" s="271" t="s">
        <v>264</v>
      </c>
      <c r="G575" s="272">
        <v>44132.463969907411</v>
      </c>
      <c r="H575" s="2">
        <v>140241</v>
      </c>
    </row>
    <row r="576" spans="1:8" x14ac:dyDescent="0.3">
      <c r="A576" s="2">
        <v>136911</v>
      </c>
      <c r="B576" s="4" t="s">
        <v>885</v>
      </c>
      <c r="C576" s="3" t="s">
        <v>272</v>
      </c>
      <c r="D576" s="270">
        <v>55</v>
      </c>
      <c r="E576" s="270">
        <v>19</v>
      </c>
      <c r="F576" s="271" t="s">
        <v>264</v>
      </c>
      <c r="G576" s="272">
        <v>44132.463969907411</v>
      </c>
      <c r="H576" s="2">
        <v>140063</v>
      </c>
    </row>
    <row r="577" spans="1:8" x14ac:dyDescent="0.3">
      <c r="A577" s="2">
        <v>138547</v>
      </c>
      <c r="B577" s="4" t="s">
        <v>886</v>
      </c>
      <c r="C577" s="3" t="s">
        <v>31</v>
      </c>
      <c r="D577" s="270">
        <v>55</v>
      </c>
      <c r="E577" s="270">
        <v>49</v>
      </c>
      <c r="F577" s="271" t="s">
        <v>264</v>
      </c>
      <c r="G577" s="272">
        <v>44267.707777777781</v>
      </c>
      <c r="H577" s="2">
        <v>140666</v>
      </c>
    </row>
    <row r="578" spans="1:8" x14ac:dyDescent="0.3">
      <c r="A578" s="2">
        <v>140315</v>
      </c>
      <c r="B578" s="4" t="s">
        <v>887</v>
      </c>
      <c r="C578" s="3" t="s">
        <v>31</v>
      </c>
      <c r="D578" s="270">
        <v>76</v>
      </c>
      <c r="E578" s="270">
        <v>11</v>
      </c>
      <c r="F578" s="271" t="s">
        <v>264</v>
      </c>
      <c r="G578" s="272">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5573" r:id="rId4" name="btn_Excluir_FilCód">
          <controlPr defaultSize="0" print="0" autoLine="0" r:id="rId5">
            <anchor moveWithCells="1" sizeWithCells="1">
              <from>
                <xdr:col>1</xdr:col>
                <xdr:colOff>4899660</xdr:colOff>
                <xdr:row>1</xdr:row>
                <xdr:rowOff>45720</xdr:rowOff>
              </from>
              <to>
                <xdr:col>1</xdr:col>
                <xdr:colOff>6667500</xdr:colOff>
                <xdr:row>1</xdr:row>
                <xdr:rowOff>373380</xdr:rowOff>
              </to>
            </anchor>
          </controlPr>
        </control>
      </mc:Choice>
      <mc:Fallback>
        <control shapeId="275573" r:id="rId4" name="btn_Excluir_FilCód"/>
      </mc:Fallback>
    </mc:AlternateContent>
    <mc:AlternateContent xmlns:mc="http://schemas.openxmlformats.org/markup-compatibility/2006">
      <mc:Choice Requires="x14">
        <control shapeId="275524" r:id="rId6" name="btn_Excluir_AbrirCadastro">
          <controlPr defaultSize="0" print="0" autoLine="0" r:id="rId7">
            <anchor moveWithCells="1" sizeWithCells="1">
              <from>
                <xdr:col>1</xdr:col>
                <xdr:colOff>3070860</xdr:colOff>
                <xdr:row>1</xdr:row>
                <xdr:rowOff>45720</xdr:rowOff>
              </from>
              <to>
                <xdr:col>1</xdr:col>
                <xdr:colOff>4838700</xdr:colOff>
                <xdr:row>1</xdr:row>
                <xdr:rowOff>373380</xdr:rowOff>
              </to>
            </anchor>
          </controlPr>
        </control>
      </mc:Choice>
      <mc:Fallback>
        <control shapeId="275524" r:id="rId6" name="btn_Excluir_AbrirCadastro"/>
      </mc:Fallback>
    </mc:AlternateContent>
    <mc:AlternateContent xmlns:mc="http://schemas.openxmlformats.org/markup-compatibility/2006">
      <mc:Choice Requires="x14">
        <control shapeId="275461" r:id="rId8" name="btn_Excluir_Atualizar_Planilha">
          <controlPr defaultSize="0" print="0" autoLine="0" r:id="rId9">
            <anchor moveWithCells="1" sizeWithCells="1">
              <from>
                <xdr:col>2</xdr:col>
                <xdr:colOff>68580</xdr:colOff>
                <xdr:row>1</xdr:row>
                <xdr:rowOff>45720</xdr:rowOff>
              </from>
              <to>
                <xdr:col>7</xdr:col>
                <xdr:colOff>365760</xdr:colOff>
                <xdr:row>1</xdr:row>
                <xdr:rowOff>373380</xdr:rowOff>
              </to>
            </anchor>
          </controlPr>
        </control>
      </mc:Choice>
      <mc:Fallback>
        <control shapeId="275461" r:id="rId8" name="btn_Excluir_Atualizar_Planilha"/>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45720</xdr:rowOff>
              </from>
              <to>
                <xdr:col>1</xdr:col>
                <xdr:colOff>3009900</xdr:colOff>
                <xdr:row>1</xdr:row>
                <xdr:rowOff>373380</xdr:rowOff>
              </to>
            </anchor>
          </controlPr>
        </control>
      </mc:Choice>
      <mc:Fallback>
        <control shapeId="275460" r:id="rId10" name="btn_Excluir_OcultarReexibir"/>
      </mc:Fallback>
    </mc:AlternateContent>
    <mc:AlternateContent xmlns:mc="http://schemas.openxmlformats.org/markup-compatibility/2006">
      <mc:Choice Requires="x14">
        <control shapeId="275462" r:id="rId12" name="btn_Excluir_VoltarParaItens">
          <controlPr defaultSize="0" print="0" autoLine="0" r:id="rId13">
            <anchor moveWithCells="1" sizeWithCells="1">
              <from>
                <xdr:col>0</xdr:col>
                <xdr:colOff>38100</xdr:colOff>
                <xdr:row>1</xdr:row>
                <xdr:rowOff>45720</xdr:rowOff>
              </from>
              <to>
                <xdr:col>1</xdr:col>
                <xdr:colOff>1181100</xdr:colOff>
                <xdr:row>1</xdr:row>
                <xdr:rowOff>373380</xdr:rowOff>
              </to>
            </anchor>
          </controlPr>
        </control>
      </mc:Choice>
      <mc:Fallback>
        <control shapeId="275462" r:id="rId12" name="btn_Excluir_VoltarParaItens"/>
      </mc:Fallback>
    </mc:AlternateContent>
    <mc:AlternateContent xmlns:mc="http://schemas.openxmlformats.org/markup-compatibility/2006">
      <mc:Choice Requires="x14">
        <control shapeId="276000" r:id="rId14" name="btn_Excluir_ListTransf">
          <controlPr defaultSize="0" print="0" autoLine="0" r:id="rId15">
            <anchor moveWithCells="1" sizeWithCells="1">
              <from>
                <xdr:col>1</xdr:col>
                <xdr:colOff>6728460</xdr:colOff>
                <xdr:row>1</xdr:row>
                <xdr:rowOff>45720</xdr:rowOff>
              </from>
              <to>
                <xdr:col>1</xdr:col>
                <xdr:colOff>8496300</xdr:colOff>
                <xdr:row>1</xdr:row>
                <xdr:rowOff>373380</xdr:rowOff>
              </to>
            </anchor>
          </controlPr>
        </control>
      </mc:Choice>
      <mc:Fallback>
        <control shapeId="276000" r:id="rId14" name="btn_Excluir_ListTransf"/>
      </mc:Fallback>
    </mc:AlternateContent>
    <mc:AlternateContent xmlns:mc="http://schemas.openxmlformats.org/markup-compatibility/2006">
      <mc:Choice Requires="x14">
        <control shapeId="276138" r:id="rId16" name="btn_Excluir_VerAta">
          <controlPr defaultSize="0" print="0" autoLine="0" r:id="rId17">
            <anchor moveWithCells="1" sizeWithCells="1">
              <from>
                <xdr:col>1</xdr:col>
                <xdr:colOff>8557260</xdr:colOff>
                <xdr:row>1</xdr:row>
                <xdr:rowOff>45720</xdr:rowOff>
              </from>
              <to>
                <xdr:col>1</xdr:col>
                <xdr:colOff>10325100</xdr:colOff>
                <xdr:row>1</xdr:row>
                <xdr:rowOff>373380</xdr:rowOff>
              </to>
            </anchor>
          </controlPr>
        </control>
      </mc:Choice>
      <mc:Fallback>
        <control shapeId="276138" r:id="rId16" name="btn_Excluir_VerAta"/>
      </mc:Fallback>
    </mc:AlternateContent>
  </controls>
  <tableParts count="1">
    <tablePart r:id="rId1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1"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348"/>
      <c r="B1" s="348"/>
      <c r="C1" s="348"/>
      <c r="D1" s="66" t="s">
        <v>258</v>
      </c>
    </row>
    <row r="2" spans="1:4" ht="21" x14ac:dyDescent="0.3">
      <c r="A2" s="79" t="s">
        <v>56</v>
      </c>
      <c r="B2" s="83" t="s">
        <v>57</v>
      </c>
      <c r="C2" s="79" t="s">
        <v>58</v>
      </c>
      <c r="D2" s="231" t="s">
        <v>128</v>
      </c>
    </row>
    <row r="3" spans="1:4" ht="18" x14ac:dyDescent="0.3">
      <c r="A3" s="190" t="s">
        <v>131</v>
      </c>
      <c r="B3" s="189">
        <v>60</v>
      </c>
      <c r="C3" s="189" t="s">
        <v>132</v>
      </c>
      <c r="D3" s="232"/>
    </row>
    <row r="4" spans="1:4" ht="18" x14ac:dyDescent="0.3">
      <c r="A4" s="190" t="s">
        <v>133</v>
      </c>
      <c r="B4" s="189" t="b">
        <v>0</v>
      </c>
      <c r="C4" s="189" t="s">
        <v>240</v>
      </c>
      <c r="D4" s="232"/>
    </row>
    <row r="5" spans="1:4" ht="18" x14ac:dyDescent="0.3">
      <c r="A5" s="190" t="s">
        <v>134</v>
      </c>
      <c r="B5" s="189"/>
      <c r="C5" s="189" t="s">
        <v>241</v>
      </c>
      <c r="D5" s="232"/>
    </row>
    <row r="6" spans="1:4" ht="18" x14ac:dyDescent="0.3">
      <c r="A6" s="190" t="s">
        <v>135</v>
      </c>
      <c r="B6" s="189" t="s">
        <v>136</v>
      </c>
      <c r="C6" s="189" t="s">
        <v>137</v>
      </c>
      <c r="D6" s="232"/>
    </row>
    <row r="7" spans="1:4" ht="18" x14ac:dyDescent="0.3">
      <c r="A7" s="190" t="s">
        <v>138</v>
      </c>
      <c r="B7" s="189">
        <v>3</v>
      </c>
      <c r="C7" s="189" t="s">
        <v>139</v>
      </c>
      <c r="D7" s="232"/>
    </row>
    <row r="8" spans="1:4" ht="18" x14ac:dyDescent="0.3">
      <c r="A8" s="190" t="s">
        <v>140</v>
      </c>
      <c r="B8" s="189" t="b">
        <v>1</v>
      </c>
      <c r="C8" s="189" t="s">
        <v>141</v>
      </c>
      <c r="D8" s="232"/>
    </row>
    <row r="9" spans="1:4" ht="18" x14ac:dyDescent="0.3">
      <c r="A9" s="190" t="s">
        <v>142</v>
      </c>
      <c r="B9" s="189">
        <v>120</v>
      </c>
      <c r="C9" s="189" t="s">
        <v>143</v>
      </c>
      <c r="D9" s="232"/>
    </row>
    <row r="10" spans="1:4" ht="18" x14ac:dyDescent="0.3">
      <c r="A10" s="190" t="s">
        <v>62</v>
      </c>
      <c r="B10" s="189" t="s">
        <v>95</v>
      </c>
      <c r="C10" s="189" t="s">
        <v>63</v>
      </c>
      <c r="D10" s="232" t="s">
        <v>129</v>
      </c>
    </row>
    <row r="11" spans="1:4" ht="18" x14ac:dyDescent="0.3">
      <c r="A11" s="190" t="s">
        <v>144</v>
      </c>
      <c r="B11" s="189" t="s">
        <v>54</v>
      </c>
      <c r="C11" s="189" t="s">
        <v>145</v>
      </c>
      <c r="D11" s="232"/>
    </row>
    <row r="12" spans="1:4" ht="18" x14ac:dyDescent="0.3">
      <c r="A12" s="190" t="s">
        <v>146</v>
      </c>
      <c r="B12" s="189">
        <v>17</v>
      </c>
      <c r="C12" s="189" t="s">
        <v>147</v>
      </c>
      <c r="D12" s="232"/>
    </row>
    <row r="13" spans="1:4" ht="18" x14ac:dyDescent="0.3">
      <c r="A13" s="190" t="s">
        <v>148</v>
      </c>
      <c r="B13" s="189">
        <v>29</v>
      </c>
      <c r="C13" s="189" t="s">
        <v>149</v>
      </c>
      <c r="D13" s="232"/>
    </row>
    <row r="14" spans="1:4" ht="18" x14ac:dyDescent="0.3">
      <c r="A14" s="190" t="s">
        <v>150</v>
      </c>
      <c r="B14" s="189">
        <v>862</v>
      </c>
      <c r="C14" s="189" t="s">
        <v>151</v>
      </c>
      <c r="D14" s="232"/>
    </row>
    <row r="15" spans="1:4" ht="18" x14ac:dyDescent="0.3">
      <c r="A15" s="190" t="s">
        <v>152</v>
      </c>
      <c r="B15" s="189">
        <v>12</v>
      </c>
      <c r="C15" s="189" t="s">
        <v>153</v>
      </c>
      <c r="D15" s="232"/>
    </row>
    <row r="16" spans="1:4" ht="18" x14ac:dyDescent="0.3">
      <c r="A16" s="190" t="s">
        <v>154</v>
      </c>
      <c r="B16" s="189">
        <v>24</v>
      </c>
      <c r="C16" s="189" t="s">
        <v>155</v>
      </c>
      <c r="D16" s="232"/>
    </row>
    <row r="17" spans="1:4" ht="18" x14ac:dyDescent="0.3">
      <c r="A17" s="190" t="s">
        <v>156</v>
      </c>
      <c r="B17" s="189" t="b">
        <v>1</v>
      </c>
      <c r="C17" s="189" t="s">
        <v>157</v>
      </c>
      <c r="D17" s="232"/>
    </row>
    <row r="18" spans="1:4" ht="18" x14ac:dyDescent="0.3">
      <c r="A18" s="190" t="s">
        <v>158</v>
      </c>
      <c r="B18" s="189" t="s">
        <v>159</v>
      </c>
      <c r="C18" s="189" t="s">
        <v>160</v>
      </c>
      <c r="D18" s="232"/>
    </row>
    <row r="19" spans="1:4" ht="18" x14ac:dyDescent="0.3">
      <c r="A19" s="190" t="s">
        <v>161</v>
      </c>
      <c r="B19" s="189">
        <v>50</v>
      </c>
      <c r="C19" s="189" t="s">
        <v>162</v>
      </c>
      <c r="D19" s="232"/>
    </row>
    <row r="20" spans="1:4" ht="18" x14ac:dyDescent="0.3">
      <c r="A20" s="190" t="s">
        <v>163</v>
      </c>
      <c r="B20" s="189" t="s">
        <v>164</v>
      </c>
      <c r="C20" s="189" t="s">
        <v>242</v>
      </c>
      <c r="D20" s="232"/>
    </row>
    <row r="21" spans="1:4" ht="18" x14ac:dyDescent="0.3">
      <c r="A21" s="190" t="s">
        <v>165</v>
      </c>
      <c r="B21" s="189"/>
      <c r="C21" s="189" t="s">
        <v>243</v>
      </c>
      <c r="D21" s="232"/>
    </row>
    <row r="22" spans="1:4" ht="18" x14ac:dyDescent="0.3">
      <c r="A22" s="190" t="s">
        <v>166</v>
      </c>
      <c r="B22" s="189" t="s">
        <v>167</v>
      </c>
      <c r="C22" s="189" t="s">
        <v>244</v>
      </c>
      <c r="D22" s="232"/>
    </row>
    <row r="23" spans="1:4" ht="18" x14ac:dyDescent="0.3">
      <c r="A23" s="190" t="s">
        <v>168</v>
      </c>
      <c r="B23" s="189" t="s">
        <v>169</v>
      </c>
      <c r="C23" s="189" t="s">
        <v>245</v>
      </c>
      <c r="D23" s="232"/>
    </row>
    <row r="24" spans="1:4" ht="18" x14ac:dyDescent="0.3">
      <c r="A24" s="190" t="s">
        <v>170</v>
      </c>
      <c r="B24" s="189" t="s">
        <v>171</v>
      </c>
      <c r="C24" s="189" t="s">
        <v>172</v>
      </c>
      <c r="D24" s="232"/>
    </row>
    <row r="25" spans="1:4" ht="18" x14ac:dyDescent="0.3">
      <c r="A25" s="190" t="s">
        <v>173</v>
      </c>
      <c r="B25" s="189" t="s">
        <v>174</v>
      </c>
      <c r="C25" s="189" t="s">
        <v>175</v>
      </c>
      <c r="D25" s="232"/>
    </row>
    <row r="26" spans="1:4" ht="18" x14ac:dyDescent="0.3">
      <c r="A26" s="190" t="s">
        <v>176</v>
      </c>
      <c r="B26" s="189" t="b">
        <v>0</v>
      </c>
      <c r="C26" s="189" t="s">
        <v>177</v>
      </c>
      <c r="D26" s="232"/>
    </row>
    <row r="27" spans="1:4" ht="18" x14ac:dyDescent="0.3">
      <c r="A27" s="190" t="s">
        <v>178</v>
      </c>
      <c r="B27" s="189"/>
      <c r="C27" s="189" t="s">
        <v>246</v>
      </c>
      <c r="D27" s="232"/>
    </row>
    <row r="28" spans="1:4" ht="18" x14ac:dyDescent="0.3">
      <c r="A28" s="190" t="s">
        <v>179</v>
      </c>
      <c r="B28" s="189" t="s">
        <v>180</v>
      </c>
      <c r="C28" s="189" t="s">
        <v>181</v>
      </c>
      <c r="D28" s="232"/>
    </row>
    <row r="29" spans="1:4" ht="18" x14ac:dyDescent="0.3">
      <c r="A29" s="190" t="s">
        <v>182</v>
      </c>
      <c r="B29" s="189">
        <v>54.62</v>
      </c>
      <c r="C29" s="189" t="s">
        <v>183</v>
      </c>
      <c r="D29" s="232"/>
    </row>
    <row r="30" spans="1:4" ht="18" x14ac:dyDescent="0.3">
      <c r="A30" s="190" t="s">
        <v>184</v>
      </c>
      <c r="B30" s="233"/>
      <c r="C30" s="189" t="s">
        <v>247</v>
      </c>
      <c r="D30" s="232"/>
    </row>
    <row r="31" spans="1:4" ht="18" x14ac:dyDescent="0.3">
      <c r="A31" s="190" t="s">
        <v>185</v>
      </c>
      <c r="B31" s="189" t="s">
        <v>186</v>
      </c>
      <c r="C31" s="189" t="s">
        <v>187</v>
      </c>
      <c r="D31" s="232"/>
    </row>
    <row r="32" spans="1:4" ht="18" x14ac:dyDescent="0.3">
      <c r="A32" s="190" t="s">
        <v>188</v>
      </c>
      <c r="B32" s="189" t="s">
        <v>12</v>
      </c>
      <c r="C32" s="189" t="s">
        <v>189</v>
      </c>
      <c r="D32" s="232"/>
    </row>
    <row r="33" spans="1:4" ht="18" x14ac:dyDescent="0.3">
      <c r="A33" s="190" t="s">
        <v>190</v>
      </c>
      <c r="B33" s="189" t="b">
        <v>0</v>
      </c>
      <c r="C33" s="189" t="s">
        <v>248</v>
      </c>
      <c r="D33" s="232"/>
    </row>
    <row r="34" spans="1:4" ht="18" x14ac:dyDescent="0.3">
      <c r="A34" s="190" t="s">
        <v>191</v>
      </c>
      <c r="B34" s="189" t="b">
        <v>1</v>
      </c>
      <c r="C34" s="189" t="s">
        <v>249</v>
      </c>
      <c r="D34" s="232"/>
    </row>
    <row r="35" spans="1:4" ht="18" x14ac:dyDescent="0.3">
      <c r="A35" s="190" t="s">
        <v>192</v>
      </c>
      <c r="B35" s="189" t="s">
        <v>193</v>
      </c>
      <c r="C35" s="189" t="s">
        <v>194</v>
      </c>
      <c r="D35" s="232"/>
    </row>
    <row r="36" spans="1:4" ht="18" x14ac:dyDescent="0.3">
      <c r="A36" s="190" t="s">
        <v>195</v>
      </c>
      <c r="B36" s="189" t="b">
        <v>0</v>
      </c>
      <c r="C36" s="189" t="s">
        <v>250</v>
      </c>
      <c r="D36" s="232"/>
    </row>
    <row r="37" spans="1:4" ht="18" x14ac:dyDescent="0.3">
      <c r="A37" s="190" t="s">
        <v>196</v>
      </c>
      <c r="B37" s="189" t="s">
        <v>197</v>
      </c>
      <c r="C37" s="189" t="s">
        <v>198</v>
      </c>
      <c r="D37" s="232"/>
    </row>
    <row r="38" spans="1:4" ht="18" x14ac:dyDescent="0.3">
      <c r="A38" s="190" t="s">
        <v>199</v>
      </c>
      <c r="B38" s="189" t="s">
        <v>200</v>
      </c>
      <c r="C38" s="189" t="s">
        <v>201</v>
      </c>
      <c r="D38" s="232"/>
    </row>
    <row r="39" spans="1:4" ht="18" x14ac:dyDescent="0.3">
      <c r="A39" s="190" t="s">
        <v>202</v>
      </c>
      <c r="B39" s="189" t="s">
        <v>203</v>
      </c>
      <c r="C39" s="189" t="s">
        <v>204</v>
      </c>
      <c r="D39" s="232"/>
    </row>
    <row r="40" spans="1:4" ht="18" x14ac:dyDescent="0.3">
      <c r="A40" s="190" t="s">
        <v>205</v>
      </c>
      <c r="B40" s="189">
        <v>1</v>
      </c>
      <c r="C40" s="189" t="s">
        <v>206</v>
      </c>
      <c r="D40" s="232"/>
    </row>
    <row r="41" spans="1:4" ht="18" x14ac:dyDescent="0.3">
      <c r="A41" s="190" t="s">
        <v>207</v>
      </c>
      <c r="B41" s="189">
        <v>3</v>
      </c>
      <c r="C41" s="189" t="s">
        <v>208</v>
      </c>
      <c r="D41" s="232"/>
    </row>
    <row r="42" spans="1:4" ht="18" x14ac:dyDescent="0.3">
      <c r="A42" s="190" t="s">
        <v>209</v>
      </c>
      <c r="B42" s="189">
        <v>6</v>
      </c>
      <c r="C42" s="189" t="s">
        <v>210</v>
      </c>
      <c r="D42" s="232"/>
    </row>
    <row r="43" spans="1:4" ht="18" x14ac:dyDescent="0.3">
      <c r="A43" s="190" t="s">
        <v>211</v>
      </c>
      <c r="B43" s="189">
        <v>4</v>
      </c>
      <c r="C43" s="189" t="s">
        <v>212</v>
      </c>
      <c r="D43" s="232"/>
    </row>
    <row r="44" spans="1:4" ht="18" x14ac:dyDescent="0.3">
      <c r="A44" s="190" t="s">
        <v>213</v>
      </c>
      <c r="B44" s="189">
        <v>8</v>
      </c>
      <c r="C44" s="189" t="s">
        <v>214</v>
      </c>
      <c r="D44" s="232"/>
    </row>
    <row r="45" spans="1:4" ht="18" x14ac:dyDescent="0.3">
      <c r="A45" s="190" t="s">
        <v>215</v>
      </c>
      <c r="B45" s="189" t="s">
        <v>216</v>
      </c>
      <c r="C45" s="189" t="s">
        <v>217</v>
      </c>
      <c r="D45" s="232"/>
    </row>
    <row r="46" spans="1:4" ht="18" x14ac:dyDescent="0.3">
      <c r="A46" s="190" t="s">
        <v>218</v>
      </c>
      <c r="B46" s="189" t="b">
        <v>0</v>
      </c>
      <c r="C46" s="189" t="s">
        <v>219</v>
      </c>
      <c r="D46" s="232"/>
    </row>
    <row r="47" spans="1:4" ht="18" x14ac:dyDescent="0.3">
      <c r="A47" s="190" t="s">
        <v>220</v>
      </c>
      <c r="B47" s="189" t="s">
        <v>221</v>
      </c>
      <c r="C47" s="189" t="s">
        <v>251</v>
      </c>
      <c r="D47" s="232"/>
    </row>
    <row r="48" spans="1:4" ht="18" x14ac:dyDescent="0.3">
      <c r="A48" s="190" t="s">
        <v>222</v>
      </c>
      <c r="B48" s="189" t="s">
        <v>223</v>
      </c>
      <c r="C48" s="189" t="s">
        <v>224</v>
      </c>
      <c r="D48" s="232"/>
    </row>
    <row r="49" spans="1:4" ht="18" x14ac:dyDescent="0.3">
      <c r="A49" s="190" t="s">
        <v>225</v>
      </c>
      <c r="B49" s="189" t="s">
        <v>226</v>
      </c>
      <c r="C49" s="189" t="s">
        <v>227</v>
      </c>
      <c r="D49" s="232"/>
    </row>
    <row r="50" spans="1:4" ht="18" x14ac:dyDescent="0.3">
      <c r="A50" s="190" t="s">
        <v>228</v>
      </c>
      <c r="B50" s="189">
        <v>943</v>
      </c>
      <c r="C50" s="189" t="s">
        <v>252</v>
      </c>
      <c r="D50" s="232"/>
    </row>
    <row r="51" spans="1:4" ht="18" x14ac:dyDescent="0.3">
      <c r="A51" s="190" t="s">
        <v>229</v>
      </c>
      <c r="B51" s="189" t="s">
        <v>230</v>
      </c>
      <c r="C51" s="189" t="s">
        <v>231</v>
      </c>
      <c r="D51" s="232"/>
    </row>
    <row r="52" spans="1:4" ht="18" x14ac:dyDescent="0.3">
      <c r="A52" s="190" t="s">
        <v>232</v>
      </c>
      <c r="B52" s="189" t="s">
        <v>233</v>
      </c>
      <c r="C52" s="189" t="s">
        <v>234</v>
      </c>
      <c r="D52" s="232"/>
    </row>
    <row r="53" spans="1:4" ht="18" x14ac:dyDescent="0.3">
      <c r="A53" s="190" t="s">
        <v>235</v>
      </c>
      <c r="B53" s="189" t="s">
        <v>236</v>
      </c>
      <c r="C53" s="189" t="s">
        <v>237</v>
      </c>
      <c r="D53" s="232"/>
    </row>
    <row r="54" spans="1:4" ht="18" x14ac:dyDescent="0.3">
      <c r="A54" s="190" t="s">
        <v>238</v>
      </c>
      <c r="B54" s="189">
        <v>2019</v>
      </c>
      <c r="C54" s="189" t="s">
        <v>239</v>
      </c>
      <c r="D54" s="232"/>
    </row>
  </sheetData>
  <sortState xmlns:xlrd2="http://schemas.microsoft.com/office/spreadsheetml/2017/richdata2" ref="A3:D54">
    <sortCondition ref="A2:A54"/>
  </sortState>
  <dataConsolidate/>
  <mergeCells count="1">
    <mergeCell ref="A1:C1"/>
  </mergeCells>
  <conditionalFormatting sqref="A3:A54">
    <cfRule type="duplicateValues" dxfId="79"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744" r:id="rId4" name="btn_Parâmetros_Atua">
          <controlPr defaultSize="0" autoLine="0" r:id="rId5">
            <anchor moveWithCells="1">
              <from>
                <xdr:col>1</xdr:col>
                <xdr:colOff>1432560</xdr:colOff>
                <xdr:row>0</xdr:row>
                <xdr:rowOff>68580</xdr:rowOff>
              </from>
              <to>
                <xdr:col>1</xdr:col>
                <xdr:colOff>4221480</xdr:colOff>
                <xdr:row>0</xdr:row>
                <xdr:rowOff>518160</xdr:rowOff>
              </to>
            </anchor>
          </controlPr>
        </control>
      </mc:Choice>
      <mc:Fallback>
        <control shapeId="626744" r:id="rId4" name="btn_Parâmetros_Atua"/>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689" r:id="rId8" name="btn_Parâmetros_Reordenar">
          <controlPr defaultSize="0" autoLine="0" r:id="rId9">
            <anchor moveWithCells="1">
              <from>
                <xdr:col>0</xdr:col>
                <xdr:colOff>190500</xdr:colOff>
                <xdr:row>0</xdr:row>
                <xdr:rowOff>68580</xdr:rowOff>
              </from>
              <to>
                <xdr:col>0</xdr:col>
                <xdr:colOff>2979420</xdr:colOff>
                <xdr:row>0</xdr:row>
                <xdr:rowOff>518160</xdr:rowOff>
              </to>
            </anchor>
          </controlPr>
        </control>
      </mc:Choice>
      <mc:Fallback>
        <control shapeId="626689" r:id="rId8" name="btn_Parâmetros_Reordenar"/>
      </mc:Fallback>
    </mc:AlternateContent>
  </controls>
  <tableParts count="1">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343" t="s">
        <v>256</v>
      </c>
      <c r="B1" s="343"/>
      <c r="C1" s="343"/>
      <c r="D1" s="343"/>
      <c r="E1" s="343"/>
      <c r="F1" s="343"/>
      <c r="G1" s="343"/>
      <c r="H1" s="343"/>
      <c r="I1" s="343"/>
      <c r="J1" s="343"/>
      <c r="K1" s="343"/>
      <c r="L1" s="343"/>
      <c r="M1" s="343"/>
      <c r="N1" s="343"/>
      <c r="O1" s="343"/>
      <c r="P1" s="343"/>
      <c r="Q1" s="343"/>
      <c r="R1" s="343"/>
      <c r="S1" s="343"/>
      <c r="T1" s="343"/>
      <c r="U1" s="343"/>
      <c r="V1" s="343"/>
      <c r="W1" s="343"/>
      <c r="X1" s="343"/>
      <c r="Y1" s="343"/>
      <c r="Z1" s="343"/>
    </row>
    <row r="2" spans="1:26" ht="19.5" customHeight="1" x14ac:dyDescent="0.3">
      <c r="A2" s="343" t="s">
        <v>257</v>
      </c>
      <c r="B2" s="343"/>
      <c r="C2" s="343"/>
      <c r="D2" s="343"/>
      <c r="E2" s="343"/>
      <c r="F2" s="343"/>
      <c r="G2" s="343"/>
      <c r="H2" s="343"/>
      <c r="I2" s="343"/>
      <c r="J2" s="343"/>
      <c r="K2" s="343"/>
      <c r="L2" s="343"/>
      <c r="M2" s="343"/>
      <c r="N2" s="343"/>
      <c r="O2" s="343"/>
      <c r="P2" s="343"/>
      <c r="Q2" s="343"/>
      <c r="R2" s="343"/>
      <c r="S2" s="343"/>
      <c r="T2" s="343"/>
      <c r="U2" s="343"/>
      <c r="V2" s="343"/>
      <c r="W2" s="343"/>
      <c r="X2" s="343"/>
      <c r="Y2" s="343"/>
      <c r="Z2" s="343"/>
    </row>
    <row r="3" spans="1:26" ht="18" customHeight="1" x14ac:dyDescent="0.3">
      <c r="A3" s="343"/>
      <c r="B3" s="343"/>
      <c r="C3" s="343"/>
      <c r="D3" s="343"/>
      <c r="E3" s="343"/>
      <c r="F3" s="343"/>
      <c r="G3" s="343"/>
      <c r="H3" s="343"/>
      <c r="I3" s="343"/>
      <c r="J3" s="343"/>
      <c r="K3" s="343"/>
      <c r="L3" s="343"/>
      <c r="M3" s="343"/>
      <c r="N3" s="343"/>
      <c r="O3" s="343"/>
      <c r="P3" s="343"/>
      <c r="Q3" s="343"/>
      <c r="R3" s="343"/>
      <c r="S3" s="343"/>
      <c r="T3" s="343"/>
      <c r="U3" s="343"/>
      <c r="V3" s="343"/>
      <c r="W3" s="343"/>
      <c r="X3" s="343"/>
      <c r="Y3" s="343"/>
      <c r="Z3" s="343"/>
    </row>
    <row r="4" spans="1:26" ht="18" customHeight="1" x14ac:dyDescent="0.3">
      <c r="A4" s="372" t="s">
        <v>77</v>
      </c>
      <c r="B4" s="372"/>
      <c r="C4" s="372"/>
      <c r="D4" s="372"/>
      <c r="E4" s="372"/>
      <c r="F4" s="372"/>
      <c r="G4" s="372"/>
      <c r="H4" s="372"/>
      <c r="I4" s="372"/>
      <c r="J4" s="372"/>
      <c r="K4" s="372"/>
      <c r="L4" s="372"/>
      <c r="M4" s="372"/>
      <c r="N4" s="372"/>
      <c r="O4" s="372"/>
      <c r="P4" s="372"/>
      <c r="Q4" s="372"/>
      <c r="R4" s="372"/>
      <c r="S4" s="372"/>
      <c r="T4" s="372"/>
      <c r="U4" s="372"/>
      <c r="V4" s="372"/>
      <c r="W4" s="372"/>
      <c r="X4" s="372"/>
      <c r="Y4" s="372"/>
      <c r="Z4" s="372"/>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253</v>
      </c>
      <c r="M6" s="93"/>
      <c r="N6" s="92"/>
      <c r="O6" s="92"/>
      <c r="P6" s="92"/>
      <c r="Q6" s="92"/>
      <c r="R6" s="94"/>
      <c r="S6" s="92"/>
      <c r="T6" s="92"/>
      <c r="U6" s="92"/>
      <c r="V6" s="92"/>
      <c r="W6" s="92"/>
      <c r="X6" s="92"/>
      <c r="Y6" s="92"/>
      <c r="Z6" s="92"/>
    </row>
    <row r="7" spans="1:26" ht="10.5" customHeight="1" x14ac:dyDescent="0.3">
      <c r="A7" s="363" t="s">
        <v>118</v>
      </c>
      <c r="B7" s="364"/>
      <c r="C7" s="364"/>
      <c r="D7" s="364"/>
      <c r="E7" s="364"/>
      <c r="F7" s="364"/>
      <c r="G7" s="364"/>
      <c r="H7" s="364"/>
      <c r="I7" s="364"/>
      <c r="J7" s="364"/>
      <c r="K7" s="364"/>
      <c r="L7" s="364"/>
      <c r="M7" s="364"/>
      <c r="N7" s="364"/>
      <c r="O7" s="364"/>
      <c r="P7" s="364"/>
      <c r="Q7" s="364"/>
      <c r="R7" s="364"/>
      <c r="S7" s="364"/>
      <c r="T7" s="364"/>
      <c r="U7" s="364"/>
      <c r="V7" s="364"/>
      <c r="W7" s="364"/>
      <c r="X7" s="364"/>
      <c r="Y7" s="364"/>
      <c r="Z7" s="365"/>
    </row>
    <row r="8" spans="1:26" ht="11.25" customHeight="1" x14ac:dyDescent="0.3">
      <c r="A8" s="366"/>
      <c r="B8" s="367"/>
      <c r="C8" s="367"/>
      <c r="D8" s="367"/>
      <c r="E8" s="367"/>
      <c r="F8" s="367"/>
      <c r="G8" s="367"/>
      <c r="H8" s="367"/>
      <c r="I8" s="367"/>
      <c r="J8" s="367"/>
      <c r="K8" s="367"/>
      <c r="L8" s="367"/>
      <c r="M8" s="367"/>
      <c r="N8" s="367"/>
      <c r="O8" s="367"/>
      <c r="P8" s="367"/>
      <c r="Q8" s="367"/>
      <c r="R8" s="367"/>
      <c r="S8" s="367"/>
      <c r="T8" s="367"/>
      <c r="U8" s="367"/>
      <c r="V8" s="367"/>
      <c r="W8" s="367"/>
      <c r="X8" s="367"/>
      <c r="Y8" s="367"/>
      <c r="Z8" s="368"/>
    </row>
    <row r="9" spans="1:26" ht="9.75" customHeight="1" x14ac:dyDescent="0.3">
      <c r="A9" s="369"/>
      <c r="B9" s="370"/>
      <c r="C9" s="370"/>
      <c r="D9" s="370"/>
      <c r="E9" s="370"/>
      <c r="F9" s="370"/>
      <c r="G9" s="370"/>
      <c r="H9" s="370"/>
      <c r="I9" s="370"/>
      <c r="J9" s="370"/>
      <c r="K9" s="370"/>
      <c r="L9" s="370"/>
      <c r="M9" s="370"/>
      <c r="N9" s="370"/>
      <c r="O9" s="370"/>
      <c r="P9" s="370"/>
      <c r="Q9" s="370"/>
      <c r="R9" s="370"/>
      <c r="S9" s="370"/>
      <c r="T9" s="370"/>
      <c r="U9" s="370"/>
      <c r="V9" s="370"/>
      <c r="W9" s="370"/>
      <c r="X9" s="370"/>
      <c r="Y9" s="370"/>
      <c r="Z9" s="371"/>
    </row>
    <row r="10" spans="1:26" s="38" customFormat="1" ht="38.4" x14ac:dyDescent="0.3">
      <c r="A10" s="48" t="s">
        <v>41</v>
      </c>
      <c r="B10" s="49" t="s">
        <v>0</v>
      </c>
      <c r="C10" s="50" t="s">
        <v>1</v>
      </c>
      <c r="D10" s="50" t="s">
        <v>31</v>
      </c>
      <c r="E10" s="51" t="s">
        <v>20</v>
      </c>
      <c r="F10" s="51" t="s">
        <v>42</v>
      </c>
      <c r="G10" s="49" t="s">
        <v>43</v>
      </c>
      <c r="H10" s="95" t="s">
        <v>3</v>
      </c>
      <c r="I10" s="59" t="s">
        <v>44</v>
      </c>
      <c r="J10" s="50" t="s">
        <v>45</v>
      </c>
      <c r="K10" s="52" t="s">
        <v>15</v>
      </c>
      <c r="L10" s="53" t="s">
        <v>46</v>
      </c>
      <c r="M10" s="62" t="s">
        <v>5</v>
      </c>
      <c r="N10" s="50" t="s">
        <v>22</v>
      </c>
      <c r="O10" s="50" t="s">
        <v>23</v>
      </c>
      <c r="P10" s="50" t="s">
        <v>24</v>
      </c>
      <c r="Q10" s="50" t="s">
        <v>26</v>
      </c>
      <c r="R10" s="67" t="s">
        <v>53</v>
      </c>
      <c r="S10" s="54" t="s">
        <v>29</v>
      </c>
      <c r="T10" s="54" t="s">
        <v>93</v>
      </c>
      <c r="U10" s="54" t="s">
        <v>94</v>
      </c>
      <c r="V10" s="49" t="s">
        <v>47</v>
      </c>
      <c r="W10" s="55" t="s">
        <v>50</v>
      </c>
      <c r="X10" s="55" t="s">
        <v>49</v>
      </c>
      <c r="Y10" s="99" t="s">
        <v>48</v>
      </c>
      <c r="Z10" s="100" t="s">
        <v>80</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75"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8821" r:id="rId4" name="btn_Assinaturas_Exportar">
          <controlPr defaultSize="0" print="0" autoLine="0" r:id="rId5">
            <anchor moveWithCells="1">
              <from>
                <xdr:col>26</xdr:col>
                <xdr:colOff>518160</xdr:colOff>
                <xdr:row>1</xdr:row>
                <xdr:rowOff>190500</xdr:rowOff>
              </from>
              <to>
                <xdr:col>29</xdr:col>
                <xdr:colOff>464820</xdr:colOff>
                <xdr:row>3</xdr:row>
                <xdr:rowOff>76200</xdr:rowOff>
              </to>
            </anchor>
          </controlPr>
        </control>
      </mc:Choice>
      <mc:Fallback>
        <control shapeId="798821" r:id="rId4" name="btn_Assinaturas_Exportar"/>
      </mc:Fallback>
    </mc:AlternateContent>
    <mc:AlternateContent xmlns:mc="http://schemas.openxmlformats.org/markup-compatibility/2006">
      <mc:Choice Requires="x14">
        <control shapeId="798819" r:id="rId6" name="btn_Assinaturas_FilAta">
          <controlPr defaultSize="0" print="0" autoLine="0" r:id="rId7">
            <anchor moveWithCells="1">
              <from>
                <xdr:col>26</xdr:col>
                <xdr:colOff>518160</xdr:colOff>
                <xdr:row>3</xdr:row>
                <xdr:rowOff>99060</xdr:rowOff>
              </from>
              <to>
                <xdr:col>29</xdr:col>
                <xdr:colOff>464820</xdr:colOff>
                <xdr:row>4</xdr:row>
                <xdr:rowOff>228600</xdr:rowOff>
              </to>
            </anchor>
          </controlPr>
        </control>
      </mc:Choice>
      <mc:Fallback>
        <control shapeId="798819" r:id="rId6" name="btn_Assinaturas_FilAta"/>
      </mc:Fallback>
    </mc:AlternateContent>
    <mc:AlternateContent xmlns:mc="http://schemas.openxmlformats.org/markup-compatibility/2006">
      <mc:Choice Requires="x14">
        <control shapeId="798811" r:id="rId8" name="btn_Assinaturas_AtalCompl">
          <controlPr defaultSize="0" print="0" autoLine="0" r:id="rId9">
            <anchor moveWithCells="1">
              <from>
                <xdr:col>24</xdr:col>
                <xdr:colOff>441960</xdr:colOff>
                <xdr:row>0</xdr:row>
                <xdr:rowOff>38100</xdr:rowOff>
              </from>
              <to>
                <xdr:col>26</xdr:col>
                <xdr:colOff>480060</xdr:colOff>
                <xdr:row>1</xdr:row>
                <xdr:rowOff>167640</xdr:rowOff>
              </to>
            </anchor>
          </controlPr>
        </control>
      </mc:Choice>
      <mc:Fallback>
        <control shapeId="798811" r:id="rId8" name="btn_Assinaturas_AtalCompl"/>
      </mc:Fallback>
    </mc:AlternateContent>
    <mc:AlternateContent xmlns:mc="http://schemas.openxmlformats.org/markup-compatibility/2006">
      <mc:Choice Requires="x14">
        <control shapeId="798723" r:id="rId10" name="btn_Assinaturas_Exibir">
          <controlPr defaultSize="0" print="0" autoLine="0" r:id="rId11">
            <anchor moveWithCells="1">
              <from>
                <xdr:col>11</xdr:col>
                <xdr:colOff>548640</xdr:colOff>
                <xdr:row>0</xdr:row>
                <xdr:rowOff>38100</xdr:rowOff>
              </from>
              <to>
                <xdr:col>24</xdr:col>
                <xdr:colOff>396240</xdr:colOff>
                <xdr:row>1</xdr:row>
                <xdr:rowOff>167640</xdr:rowOff>
              </to>
            </anchor>
          </controlPr>
        </control>
      </mc:Choice>
      <mc:Fallback>
        <control shapeId="798723" r:id="rId10" name="btn_Assinaturas_Exib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441960</xdr:colOff>
                <xdr:row>1</xdr:row>
                <xdr:rowOff>190500</xdr:rowOff>
              </from>
              <to>
                <xdr:col>26</xdr:col>
                <xdr:colOff>480060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1" r:id="rId14" name="btn_Assinaturas_Imprimir">
          <controlPr defaultSize="0" print="0" autoLine="0" r:id="rId15">
            <anchor moveWithCells="1">
              <from>
                <xdr:col>11</xdr:col>
                <xdr:colOff>548640</xdr:colOff>
                <xdr:row>1</xdr:row>
                <xdr:rowOff>190500</xdr:rowOff>
              </from>
              <to>
                <xdr:col>24</xdr:col>
                <xdr:colOff>396240</xdr:colOff>
                <xdr:row>3</xdr:row>
                <xdr:rowOff>76200</xdr:rowOff>
              </to>
            </anchor>
          </controlPr>
        </control>
      </mc:Choice>
      <mc:Fallback>
        <control shapeId="798721" r:id="rId14" name="btn_Assinaturas_Imprimir"/>
      </mc:Fallback>
    </mc:AlternateContent>
    <mc:AlternateContent xmlns:mc="http://schemas.openxmlformats.org/markup-compatibility/2006">
      <mc:Choice Requires="x14">
        <control shapeId="798766" r:id="rId16" name="btn_Assinaturas_Justif">
          <controlPr defaultSize="0" print="0" autoLine="0" r:id="rId17">
            <anchor moveWithCells="1">
              <from>
                <xdr:col>24</xdr:col>
                <xdr:colOff>441960</xdr:colOff>
                <xdr:row>3</xdr:row>
                <xdr:rowOff>99060</xdr:rowOff>
              </from>
              <to>
                <xdr:col>26</xdr:col>
                <xdr:colOff>480060</xdr:colOff>
                <xdr:row>4</xdr:row>
                <xdr:rowOff>228600</xdr:rowOff>
              </to>
            </anchor>
          </controlPr>
        </control>
      </mc:Choice>
      <mc:Fallback>
        <control shapeId="798766" r:id="rId16" name="btn_Assinaturas_Justif"/>
      </mc:Fallback>
    </mc:AlternateContent>
    <mc:AlternateContent xmlns:mc="http://schemas.openxmlformats.org/markup-compatibility/2006">
      <mc:Choice Requires="x14">
        <control shapeId="798996" r:id="rId18" name="btn_Assinaturas_VItens">
          <controlPr defaultSize="0" print="0" autoLine="0" r:id="rId19">
            <anchor moveWithCells="1">
              <from>
                <xdr:col>11</xdr:col>
                <xdr:colOff>548640</xdr:colOff>
                <xdr:row>3</xdr:row>
                <xdr:rowOff>99060</xdr:rowOff>
              </from>
              <to>
                <xdr:col>24</xdr:col>
                <xdr:colOff>396240</xdr:colOff>
                <xdr:row>4</xdr:row>
                <xdr:rowOff>228600</xdr:rowOff>
              </to>
            </anchor>
          </controlPr>
        </control>
      </mc:Choice>
      <mc:Fallback>
        <control shapeId="798996" r:id="rId18" name="btn_Assinaturas_VItens"/>
      </mc:Fallback>
    </mc:AlternateContent>
    <mc:AlternateContent xmlns:mc="http://schemas.openxmlformats.org/markup-compatibility/2006">
      <mc:Choice Requires="x14">
        <control shapeId="799254" r:id="rId20" name="btn_Assinaturas_Conferir">
          <controlPr defaultSize="0" print="0" autoLine="0" r:id="rId21">
            <anchor moveWithCells="1">
              <from>
                <xdr:col>26</xdr:col>
                <xdr:colOff>518160</xdr:colOff>
                <xdr:row>0</xdr:row>
                <xdr:rowOff>38100</xdr:rowOff>
              </from>
              <to>
                <xdr:col>29</xdr:col>
                <xdr:colOff>464820</xdr:colOff>
                <xdr:row>1</xdr:row>
                <xdr:rowOff>167640</xdr:rowOff>
              </to>
            </anchor>
          </controlPr>
        </control>
      </mc:Choice>
      <mc:Fallback>
        <control shapeId="799254" r:id="rId20" name="btn_Assinaturas_Conferir"/>
      </mc:Fallback>
    </mc:AlternateContent>
  </controls>
  <tableParts count="1">
    <tablePart r:id="rId2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47</v>
      </c>
      <c r="B1" s="97" t="s">
        <v>73</v>
      </c>
      <c r="C1" s="14" t="s">
        <v>74</v>
      </c>
      <c r="D1" s="14" t="s">
        <v>75</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43"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73" t="s">
        <v>120</v>
      </c>
      <c r="B1" s="374"/>
      <c r="C1" s="374"/>
      <c r="D1" s="374"/>
      <c r="E1" s="374"/>
      <c r="F1" s="374"/>
      <c r="G1" s="374"/>
      <c r="H1" s="374"/>
      <c r="I1" s="374"/>
      <c r="J1" s="374"/>
      <c r="K1" s="374"/>
      <c r="L1" s="374"/>
    </row>
    <row r="2" spans="1:12" x14ac:dyDescent="0.3">
      <c r="A2" s="102" t="s">
        <v>25</v>
      </c>
      <c r="B2" s="88" t="s">
        <v>24</v>
      </c>
      <c r="C2" s="88" t="s">
        <v>26</v>
      </c>
      <c r="D2" s="89" t="s">
        <v>27</v>
      </c>
      <c r="E2" s="90" t="s">
        <v>0</v>
      </c>
      <c r="F2" s="91" t="s">
        <v>1</v>
      </c>
      <c r="G2" s="91" t="s">
        <v>85</v>
      </c>
      <c r="H2" s="91" t="s">
        <v>5</v>
      </c>
      <c r="I2" s="101" t="s">
        <v>84</v>
      </c>
      <c r="J2" s="101" t="s">
        <v>82</v>
      </c>
      <c r="K2" s="101" t="s">
        <v>83</v>
      </c>
      <c r="L2" s="101" t="s">
        <v>76</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77" r:id="rId4" name="btn_VerificarAFsExportar">
          <controlPr defaultSize="0" print="0" autoLine="0" r:id="rId5">
            <anchor moveWithCells="1">
              <from>
                <xdr:col>2</xdr:col>
                <xdr:colOff>563880</xdr:colOff>
                <xdr:row>0</xdr:row>
                <xdr:rowOff>106680</xdr:rowOff>
              </from>
              <to>
                <xdr:col>4</xdr:col>
                <xdr:colOff>487680</xdr:colOff>
                <xdr:row>0</xdr:row>
                <xdr:rowOff>556260</xdr:rowOff>
              </to>
            </anchor>
          </controlPr>
        </control>
      </mc:Choice>
      <mc:Fallback>
        <control shapeId="786477" r:id="rId4" name="btn_VerificarAFsExpor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64" r:id="rId8" name="btn_VerificarAFsVoltar">
          <controlPr defaultSize="0" print="0" autoLine="0" r:id="rId9">
            <anchor moveWithCells="1">
              <from>
                <xdr:col>10</xdr:col>
                <xdr:colOff>1516380</xdr:colOff>
                <xdr:row>0</xdr:row>
                <xdr:rowOff>106680</xdr:rowOff>
              </from>
              <to>
                <xdr:col>11</xdr:col>
                <xdr:colOff>312420</xdr:colOff>
                <xdr:row>0</xdr:row>
                <xdr:rowOff>556260</xdr:rowOff>
              </to>
            </anchor>
          </controlPr>
        </control>
      </mc:Choice>
      <mc:Fallback>
        <control shapeId="786464" r:id="rId8" name="btn_VerificarAFsVoltar"/>
      </mc:Fallback>
    </mc:AlternateContent>
  </controls>
  <tableParts count="1">
    <tablePart r:id="rId10"/>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73" t="s">
        <v>119</v>
      </c>
      <c r="B1" s="373"/>
      <c r="C1" s="373"/>
      <c r="D1" s="373"/>
      <c r="E1" s="373"/>
      <c r="F1" s="373"/>
      <c r="G1" s="373"/>
      <c r="H1" s="373"/>
      <c r="I1" s="373"/>
      <c r="J1" s="373"/>
      <c r="K1" s="373"/>
      <c r="L1" s="373"/>
      <c r="M1" s="373"/>
      <c r="N1" s="373"/>
      <c r="O1" s="373"/>
      <c r="P1" s="373"/>
    </row>
    <row r="2" spans="1:16" x14ac:dyDescent="0.3">
      <c r="A2" s="103" t="s">
        <v>0</v>
      </c>
      <c r="B2" s="104" t="s">
        <v>1</v>
      </c>
      <c r="C2" s="104" t="s">
        <v>20</v>
      </c>
      <c r="D2" s="104" t="s">
        <v>21</v>
      </c>
      <c r="E2" s="103" t="s">
        <v>72</v>
      </c>
      <c r="F2" s="103" t="s">
        <v>87</v>
      </c>
      <c r="G2" s="88" t="s">
        <v>88</v>
      </c>
      <c r="H2" s="88" t="s">
        <v>89</v>
      </c>
      <c r="I2" s="89" t="s">
        <v>86</v>
      </c>
      <c r="J2" s="91" t="s">
        <v>85</v>
      </c>
      <c r="K2" s="91" t="s">
        <v>5</v>
      </c>
      <c r="L2" s="106" t="s">
        <v>84</v>
      </c>
      <c r="M2" s="106" t="s">
        <v>82</v>
      </c>
      <c r="N2" s="106" t="s">
        <v>83</v>
      </c>
      <c r="O2" s="105" t="s">
        <v>76</v>
      </c>
      <c r="P2" s="101" t="s">
        <v>90</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8081" r:id="rId4" name="btn_VerifRcAfFilC">
          <controlPr defaultSize="0" print="0" autoLine="0" r:id="rId5">
            <anchor moveWithCells="1">
              <from>
                <xdr:col>12</xdr:col>
                <xdr:colOff>830580</xdr:colOff>
                <xdr:row>0</xdr:row>
                <xdr:rowOff>259080</xdr:rowOff>
              </from>
              <to>
                <xdr:col>13</xdr:col>
                <xdr:colOff>1645920</xdr:colOff>
                <xdr:row>0</xdr:row>
                <xdr:rowOff>708660</xdr:rowOff>
              </to>
            </anchor>
          </controlPr>
        </control>
      </mc:Choice>
      <mc:Fallback>
        <control shapeId="978081" r:id="rId4" name="btn_VerifRcAfFilC"/>
      </mc:Fallback>
    </mc:AlternateContent>
    <mc:AlternateContent xmlns:mc="http://schemas.openxmlformats.org/markup-compatibility/2006">
      <mc:Choice Requires="x14">
        <control shapeId="977922" r:id="rId6" name="btn_VerifRcAfVol">
          <controlPr defaultSize="0" print="0" autoLine="0" r:id="rId7">
            <anchor moveWithCells="1">
              <from>
                <xdr:col>13</xdr:col>
                <xdr:colOff>1813560</xdr:colOff>
                <xdr:row>0</xdr:row>
                <xdr:rowOff>259080</xdr:rowOff>
              </from>
              <to>
                <xdr:col>14</xdr:col>
                <xdr:colOff>1729740</xdr:colOff>
                <xdr:row>0</xdr:row>
                <xdr:rowOff>708660</xdr:rowOff>
              </to>
            </anchor>
          </controlPr>
        </control>
      </mc:Choice>
      <mc:Fallback>
        <control shapeId="977922" r:id="rId6" name="btn_VerifRcAfVol"/>
      </mc:Fallback>
    </mc:AlternateContent>
    <mc:AlternateContent xmlns:mc="http://schemas.openxmlformats.org/markup-compatibility/2006">
      <mc:Choice Requires="x14">
        <control shapeId="977921" r:id="rId8" name="btn_VerifRcAfOrd">
          <controlPr defaultSize="0" print="0" autoLine="0" r:id="rId9">
            <anchor moveWithCells="1">
              <from>
                <xdr:col>0</xdr:col>
                <xdr:colOff>68580</xdr:colOff>
                <xdr:row>0</xdr:row>
                <xdr:rowOff>259080</xdr:rowOff>
              </from>
              <to>
                <xdr:col>1</xdr:col>
                <xdr:colOff>1196340</xdr:colOff>
                <xdr:row>0</xdr:row>
                <xdr:rowOff>708660</xdr:rowOff>
              </to>
            </anchor>
          </controlPr>
        </control>
      </mc:Choice>
      <mc:Fallback>
        <control shapeId="977921" r:id="rId8" name="btn_VerifRcAfOrd"/>
      </mc:Fallback>
    </mc:AlternateContent>
    <mc:AlternateContent xmlns:mc="http://schemas.openxmlformats.org/markup-compatibility/2006">
      <mc:Choice Requires="x14">
        <control shapeId="977994" r:id="rId10" name="btn_VerifRcAfExport">
          <controlPr defaultSize="0" print="0" autoLine="0" r:id="rId11">
            <anchor moveWithCells="1">
              <from>
                <xdr:col>1</xdr:col>
                <xdr:colOff>1341120</xdr:colOff>
                <xdr:row>0</xdr:row>
                <xdr:rowOff>259080</xdr:rowOff>
              </from>
              <to>
                <xdr:col>4</xdr:col>
                <xdr:colOff>274320</xdr:colOff>
                <xdr:row>0</xdr:row>
                <xdr:rowOff>708660</xdr:rowOff>
              </to>
            </anchor>
          </controlPr>
        </control>
      </mc:Choice>
      <mc:Fallback>
        <control shapeId="977994" r:id="rId10" name="btn_VerifRcAfExport"/>
      </mc:Fallback>
    </mc:AlternateContent>
  </controls>
  <tableParts count="1">
    <tablePart r:id="rId1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AFEJSONBlob>
</file>

<file path=customXml/item2.xml>�� 
</file>

<file path=customXml/itemProps1.xml><?xml version="1.0" encoding="utf-8"?>
<ds:datastoreItem xmlns:ds="http://schemas.openxmlformats.org/officeDocument/2006/customXml" ds:itemID="{D98F18A2-E4FC-4B93-B276-33CDABBC20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E80043E4-5061-4EED-9B6C-232CBA415A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6</vt:i4>
      </vt:variant>
    </vt:vector>
  </HeadingPairs>
  <TitlesOfParts>
    <vt:vector size="20" baseType="lpstr">
      <vt:lpstr>EstimativaDeAta</vt:lpstr>
      <vt:lpstr>Itens</vt:lpstr>
      <vt:lpstr>DataFrame</vt:lpstr>
      <vt:lpstr>DashBoard</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2020-07-22T15:09:39Z</cp:lastPrinted>
  <dcterms:created xsi:type="dcterms:W3CDTF">2018-10-31T11:37:29Z</dcterms:created>
  <dcterms:modified xsi:type="dcterms:W3CDTF">2023-11-30T23:31:38Z</dcterms:modified>
</cp:coreProperties>
</file>